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domluszczyszyn/Library/Mobile Documents/com~apple~CloudDocs/Documents/Fantasy Projections/"/>
    </mc:Choice>
  </mc:AlternateContent>
  <xr:revisionPtr revIDLastSave="0" documentId="13_ncr:1_{2E200916-704E-B744-BD0F-AC8C15B74ECC}" xr6:coauthVersionLast="47" xr6:coauthVersionMax="47" xr10:uidLastSave="{00000000-0000-0000-0000-000000000000}"/>
  <bookViews>
    <workbookView xWindow="0" yWindow="760" windowWidth="30100" windowHeight="19160" activeTab="1" xr2:uid="{00000000-000D-0000-FFFF-FFFF00000000}"/>
  </bookViews>
  <sheets>
    <sheet name="Settings" sheetId="1" r:id="rId1"/>
    <sheet name="The List" sheetId="2" r:id="rId2"/>
    <sheet name="Team Comparison" sheetId="3" r:id="rId3"/>
    <sheet name="F" sheetId="4" r:id="rId4"/>
    <sheet name="C" sheetId="5" r:id="rId5"/>
    <sheet name="LW" sheetId="6" r:id="rId6"/>
    <sheet name="RW" sheetId="7" r:id="rId7"/>
    <sheet name="D" sheetId="8" r:id="rId8"/>
    <sheet name="G" sheetId="9" r:id="rId9"/>
    <sheet name="ADP" sheetId="10" r:id="rId10"/>
    <sheet name="Player Data" sheetId="11" r:id="rId11"/>
    <sheet name="Standard Deviations" sheetId="12" r:id="rId12"/>
  </sheets>
  <definedNames>
    <definedName name="_xlnm._FilterDatabase" localSheetId="1" hidden="1">'The List'!$A$1:$AR$727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728" i="12" l="1"/>
  <c r="B727" i="12"/>
  <c r="B726" i="12"/>
  <c r="B725" i="12"/>
  <c r="B724" i="12"/>
  <c r="B723" i="12"/>
  <c r="B722" i="12"/>
  <c r="B721" i="12"/>
  <c r="B720" i="12"/>
  <c r="B719" i="12"/>
  <c r="B718" i="12"/>
  <c r="B717" i="12"/>
  <c r="B716" i="12"/>
  <c r="B715" i="12"/>
  <c r="B714" i="12"/>
  <c r="B713" i="12"/>
  <c r="B712" i="12"/>
  <c r="B711" i="12"/>
  <c r="B710" i="12"/>
  <c r="B709" i="12"/>
  <c r="B708" i="12"/>
  <c r="B707" i="12"/>
  <c r="B706" i="12"/>
  <c r="B705" i="12"/>
  <c r="B704" i="12"/>
  <c r="B703" i="12"/>
  <c r="B702" i="12"/>
  <c r="B701" i="12"/>
  <c r="B700" i="12"/>
  <c r="B699" i="12"/>
  <c r="B698" i="12"/>
  <c r="B697" i="12"/>
  <c r="B696" i="12"/>
  <c r="B695" i="12"/>
  <c r="B694" i="12"/>
  <c r="B693" i="12"/>
  <c r="B692" i="12"/>
  <c r="B691" i="12"/>
  <c r="B690" i="12"/>
  <c r="B689" i="12"/>
  <c r="B688" i="12"/>
  <c r="B687" i="12"/>
  <c r="B686" i="12"/>
  <c r="B685" i="12"/>
  <c r="B684" i="12"/>
  <c r="B683" i="12"/>
  <c r="B682" i="12"/>
  <c r="B681" i="12"/>
  <c r="B680" i="12"/>
  <c r="B679" i="12"/>
  <c r="B678" i="12"/>
  <c r="B677" i="12"/>
  <c r="B676" i="12"/>
  <c r="B675" i="12"/>
  <c r="B674" i="12"/>
  <c r="B673" i="12"/>
  <c r="B672" i="12"/>
  <c r="B671" i="12"/>
  <c r="B670" i="12"/>
  <c r="B669" i="12"/>
  <c r="B668" i="12"/>
  <c r="B667" i="12"/>
  <c r="B666" i="12"/>
  <c r="B665" i="12"/>
  <c r="B664" i="12"/>
  <c r="B663" i="12"/>
  <c r="B662" i="12"/>
  <c r="B661" i="12"/>
  <c r="B660" i="12"/>
  <c r="B659" i="12"/>
  <c r="B658" i="12"/>
  <c r="B657" i="12"/>
  <c r="B656" i="12"/>
  <c r="D654" i="12"/>
  <c r="B654" i="12"/>
  <c r="D653" i="12"/>
  <c r="B653" i="12"/>
  <c r="D652" i="12"/>
  <c r="B652" i="12"/>
  <c r="D651" i="12"/>
  <c r="B651" i="12"/>
  <c r="D650" i="12"/>
  <c r="B650" i="12"/>
  <c r="D649" i="12"/>
  <c r="B649" i="12"/>
  <c r="D648" i="12"/>
  <c r="B648" i="12"/>
  <c r="D647" i="12"/>
  <c r="B647" i="12"/>
  <c r="D646" i="12"/>
  <c r="B646" i="12"/>
  <c r="D645" i="12"/>
  <c r="B645" i="12"/>
  <c r="D644" i="12"/>
  <c r="B644" i="12"/>
  <c r="D643" i="12"/>
  <c r="B643" i="12"/>
  <c r="D642" i="12"/>
  <c r="B642" i="12"/>
  <c r="D641" i="12"/>
  <c r="B641" i="12"/>
  <c r="D640" i="12"/>
  <c r="B640" i="12"/>
  <c r="D639" i="12"/>
  <c r="B639" i="12"/>
  <c r="D638" i="12"/>
  <c r="B638" i="12"/>
  <c r="D637" i="12"/>
  <c r="B637" i="12"/>
  <c r="D636" i="12"/>
  <c r="B636" i="12"/>
  <c r="D635" i="12"/>
  <c r="B635" i="12"/>
  <c r="D634" i="12"/>
  <c r="B634" i="12"/>
  <c r="D633" i="12"/>
  <c r="B633" i="12"/>
  <c r="D632" i="12"/>
  <c r="B632" i="12"/>
  <c r="D631" i="12"/>
  <c r="B631" i="12"/>
  <c r="D630" i="12"/>
  <c r="B630" i="12"/>
  <c r="D629" i="12"/>
  <c r="B629" i="12"/>
  <c r="D628" i="12"/>
  <c r="B628" i="12"/>
  <c r="D627" i="12"/>
  <c r="B627" i="12"/>
  <c r="D626" i="12"/>
  <c r="B626" i="12"/>
  <c r="D625" i="12"/>
  <c r="B625" i="12"/>
  <c r="D624" i="12"/>
  <c r="B624" i="12"/>
  <c r="D623" i="12"/>
  <c r="B623" i="12"/>
  <c r="D622" i="12"/>
  <c r="B622" i="12"/>
  <c r="D621" i="12"/>
  <c r="B621" i="12"/>
  <c r="D620" i="12"/>
  <c r="B620" i="12"/>
  <c r="D619" i="12"/>
  <c r="B619" i="12"/>
  <c r="D618" i="12"/>
  <c r="B618" i="12"/>
  <c r="D617" i="12"/>
  <c r="B617" i="12"/>
  <c r="D616" i="12"/>
  <c r="B616" i="12"/>
  <c r="D615" i="12"/>
  <c r="B615" i="12"/>
  <c r="D614" i="12"/>
  <c r="B614" i="12"/>
  <c r="D613" i="12"/>
  <c r="B613" i="12"/>
  <c r="D612" i="12"/>
  <c r="B612" i="12"/>
  <c r="D611" i="12"/>
  <c r="B611" i="12"/>
  <c r="D610" i="12"/>
  <c r="B610" i="12"/>
  <c r="D609" i="12"/>
  <c r="B609" i="12"/>
  <c r="D608" i="12"/>
  <c r="B608" i="12"/>
  <c r="D607" i="12"/>
  <c r="B607" i="12"/>
  <c r="D606" i="12"/>
  <c r="B606" i="12"/>
  <c r="D605" i="12"/>
  <c r="B605" i="12"/>
  <c r="D604" i="12"/>
  <c r="B604" i="12"/>
  <c r="D603" i="12"/>
  <c r="B603" i="12"/>
  <c r="D602" i="12"/>
  <c r="B602" i="12"/>
  <c r="D601" i="12"/>
  <c r="B601" i="12"/>
  <c r="D600" i="12"/>
  <c r="B600" i="12"/>
  <c r="D599" i="12"/>
  <c r="B599" i="12"/>
  <c r="D598" i="12"/>
  <c r="B598" i="12"/>
  <c r="D597" i="12"/>
  <c r="B597" i="12"/>
  <c r="D596" i="12"/>
  <c r="B596" i="12"/>
  <c r="D595" i="12"/>
  <c r="B595" i="12"/>
  <c r="D594" i="12"/>
  <c r="B594" i="12"/>
  <c r="D593" i="12"/>
  <c r="B593" i="12"/>
  <c r="D592" i="12"/>
  <c r="B592" i="12"/>
  <c r="D591" i="12"/>
  <c r="B591" i="12"/>
  <c r="D590" i="12"/>
  <c r="B590" i="12"/>
  <c r="D589" i="12"/>
  <c r="B589" i="12"/>
  <c r="D588" i="12"/>
  <c r="B588" i="12"/>
  <c r="D587" i="12"/>
  <c r="B587" i="12"/>
  <c r="D586" i="12"/>
  <c r="B586" i="12"/>
  <c r="D585" i="12"/>
  <c r="B585" i="12"/>
  <c r="D584" i="12"/>
  <c r="B584" i="12"/>
  <c r="D583" i="12"/>
  <c r="B583" i="12"/>
  <c r="D582" i="12"/>
  <c r="B582" i="12"/>
  <c r="D581" i="12"/>
  <c r="B581" i="12"/>
  <c r="D580" i="12"/>
  <c r="B580" i="12"/>
  <c r="D579" i="12"/>
  <c r="B579" i="12"/>
  <c r="D578" i="12"/>
  <c r="B578" i="12"/>
  <c r="D577" i="12"/>
  <c r="B577" i="12"/>
  <c r="D576" i="12"/>
  <c r="B576" i="12"/>
  <c r="D575" i="12"/>
  <c r="B575" i="12"/>
  <c r="D574" i="12"/>
  <c r="B574" i="12"/>
  <c r="D573" i="12"/>
  <c r="B573" i="12"/>
  <c r="D572" i="12"/>
  <c r="B572" i="12"/>
  <c r="D571" i="12"/>
  <c r="B571" i="12"/>
  <c r="D570" i="12"/>
  <c r="B570" i="12"/>
  <c r="D569" i="12"/>
  <c r="B569" i="12"/>
  <c r="D568" i="12"/>
  <c r="B568" i="12"/>
  <c r="D567" i="12"/>
  <c r="B567" i="12"/>
  <c r="D566" i="12"/>
  <c r="B566" i="12"/>
  <c r="D565" i="12"/>
  <c r="B565" i="12"/>
  <c r="D564" i="12"/>
  <c r="B564" i="12"/>
  <c r="D563" i="12"/>
  <c r="B563" i="12"/>
  <c r="D562" i="12"/>
  <c r="B562" i="12"/>
  <c r="D561" i="12"/>
  <c r="B561" i="12"/>
  <c r="D560" i="12"/>
  <c r="B560" i="12"/>
  <c r="D559" i="12"/>
  <c r="B559" i="12"/>
  <c r="D558" i="12"/>
  <c r="B558" i="12"/>
  <c r="D557" i="12"/>
  <c r="B557" i="12"/>
  <c r="D556" i="12"/>
  <c r="B556" i="12"/>
  <c r="D555" i="12"/>
  <c r="B555" i="12"/>
  <c r="D554" i="12"/>
  <c r="B554" i="12"/>
  <c r="D553" i="12"/>
  <c r="B553" i="12"/>
  <c r="D552" i="12"/>
  <c r="B552" i="12"/>
  <c r="D551" i="12"/>
  <c r="B551" i="12"/>
  <c r="D550" i="12"/>
  <c r="B550" i="12"/>
  <c r="D549" i="12"/>
  <c r="B549" i="12"/>
  <c r="D548" i="12"/>
  <c r="B548" i="12"/>
  <c r="D547" i="12"/>
  <c r="B547" i="12"/>
  <c r="D546" i="12"/>
  <c r="B546" i="12"/>
  <c r="D545" i="12"/>
  <c r="B545" i="12"/>
  <c r="D544" i="12"/>
  <c r="B544" i="12"/>
  <c r="D543" i="12"/>
  <c r="B543" i="12"/>
  <c r="D542" i="12"/>
  <c r="B542" i="12"/>
  <c r="D541" i="12"/>
  <c r="B541" i="12"/>
  <c r="D540" i="12"/>
  <c r="B540" i="12"/>
  <c r="D539" i="12"/>
  <c r="B539" i="12"/>
  <c r="D538" i="12"/>
  <c r="B538" i="12"/>
  <c r="D537" i="12"/>
  <c r="B537" i="12"/>
  <c r="D536" i="12"/>
  <c r="B536" i="12"/>
  <c r="D535" i="12"/>
  <c r="B535" i="12"/>
  <c r="D534" i="12"/>
  <c r="B534" i="12"/>
  <c r="D533" i="12"/>
  <c r="B533" i="12"/>
  <c r="D532" i="12"/>
  <c r="B532" i="12"/>
  <c r="D531" i="12"/>
  <c r="B531" i="12"/>
  <c r="D530" i="12"/>
  <c r="B530" i="12"/>
  <c r="D529" i="12"/>
  <c r="B529" i="12"/>
  <c r="D528" i="12"/>
  <c r="B528" i="12"/>
  <c r="D527" i="12"/>
  <c r="B527" i="12"/>
  <c r="D526" i="12"/>
  <c r="B526" i="12"/>
  <c r="D525" i="12"/>
  <c r="B525" i="12"/>
  <c r="D524" i="12"/>
  <c r="B524" i="12"/>
  <c r="D523" i="12"/>
  <c r="B523" i="12"/>
  <c r="D522" i="12"/>
  <c r="B522" i="12"/>
  <c r="D521" i="12"/>
  <c r="B521" i="12"/>
  <c r="D520" i="12"/>
  <c r="B520" i="12"/>
  <c r="D519" i="12"/>
  <c r="B519" i="12"/>
  <c r="D518" i="12"/>
  <c r="B518" i="12"/>
  <c r="D517" i="12"/>
  <c r="B517" i="12"/>
  <c r="D516" i="12"/>
  <c r="B516" i="12"/>
  <c r="D515" i="12"/>
  <c r="B515" i="12"/>
  <c r="D514" i="12"/>
  <c r="B514" i="12"/>
  <c r="D513" i="12"/>
  <c r="B513" i="12"/>
  <c r="D512" i="12"/>
  <c r="B512" i="12"/>
  <c r="D511" i="12"/>
  <c r="B511" i="12"/>
  <c r="D510" i="12"/>
  <c r="B510" i="12"/>
  <c r="D509" i="12"/>
  <c r="B509" i="12"/>
  <c r="D508" i="12"/>
  <c r="B508" i="12"/>
  <c r="D507" i="12"/>
  <c r="B507" i="12"/>
  <c r="D506" i="12"/>
  <c r="B506" i="12"/>
  <c r="D505" i="12"/>
  <c r="B505" i="12"/>
  <c r="D504" i="12"/>
  <c r="B504" i="12"/>
  <c r="D503" i="12"/>
  <c r="B503" i="12"/>
  <c r="D502" i="12"/>
  <c r="B502" i="12"/>
  <c r="D501" i="12"/>
  <c r="B501" i="12"/>
  <c r="D500" i="12"/>
  <c r="B500" i="12"/>
  <c r="D499" i="12"/>
  <c r="B499" i="12"/>
  <c r="D498" i="12"/>
  <c r="B498" i="12"/>
  <c r="D497" i="12"/>
  <c r="B497" i="12"/>
  <c r="D496" i="12"/>
  <c r="B496" i="12"/>
  <c r="D495" i="12"/>
  <c r="B495" i="12"/>
  <c r="D494" i="12"/>
  <c r="B494" i="12"/>
  <c r="D493" i="12"/>
  <c r="B493" i="12"/>
  <c r="D492" i="12"/>
  <c r="B492" i="12"/>
  <c r="D491" i="12"/>
  <c r="B491" i="12"/>
  <c r="D490" i="12"/>
  <c r="B490" i="12"/>
  <c r="D489" i="12"/>
  <c r="B489" i="12"/>
  <c r="D488" i="12"/>
  <c r="B488" i="12"/>
  <c r="D487" i="12"/>
  <c r="B487" i="12"/>
  <c r="D486" i="12"/>
  <c r="B486" i="12"/>
  <c r="D485" i="12"/>
  <c r="B485" i="12"/>
  <c r="D484" i="12"/>
  <c r="B484" i="12"/>
  <c r="D483" i="12"/>
  <c r="B483" i="12"/>
  <c r="D482" i="12"/>
  <c r="B482" i="12"/>
  <c r="D481" i="12"/>
  <c r="B481" i="12"/>
  <c r="D480" i="12"/>
  <c r="B480" i="12"/>
  <c r="D479" i="12"/>
  <c r="B479" i="12"/>
  <c r="D478" i="12"/>
  <c r="B478" i="12"/>
  <c r="D477" i="12"/>
  <c r="B477" i="12"/>
  <c r="D476" i="12"/>
  <c r="B476" i="12"/>
  <c r="D475" i="12"/>
  <c r="B475" i="12"/>
  <c r="D474" i="12"/>
  <c r="B474" i="12"/>
  <c r="D473" i="12"/>
  <c r="B473" i="12"/>
  <c r="D472" i="12"/>
  <c r="B472" i="12"/>
  <c r="D471" i="12"/>
  <c r="B471" i="12"/>
  <c r="D470" i="12"/>
  <c r="B470" i="12"/>
  <c r="D469" i="12"/>
  <c r="B469" i="12"/>
  <c r="D468" i="12"/>
  <c r="B468" i="12"/>
  <c r="D467" i="12"/>
  <c r="B467" i="12"/>
  <c r="D466" i="12"/>
  <c r="B466" i="12"/>
  <c r="D465" i="12"/>
  <c r="B465" i="12"/>
  <c r="D464" i="12"/>
  <c r="B464" i="12"/>
  <c r="D463" i="12"/>
  <c r="B463" i="12"/>
  <c r="D462" i="12"/>
  <c r="B462" i="12"/>
  <c r="D461" i="12"/>
  <c r="B461" i="12"/>
  <c r="D460" i="12"/>
  <c r="B460" i="12"/>
  <c r="D459" i="12"/>
  <c r="B459" i="12"/>
  <c r="D458" i="12"/>
  <c r="B458" i="12"/>
  <c r="D457" i="12"/>
  <c r="B457" i="12"/>
  <c r="D456" i="12"/>
  <c r="B456" i="12"/>
  <c r="D455" i="12"/>
  <c r="B455" i="12"/>
  <c r="D454" i="12"/>
  <c r="B454" i="12"/>
  <c r="D453" i="12"/>
  <c r="B453" i="12"/>
  <c r="D452" i="12"/>
  <c r="B452" i="12"/>
  <c r="D451" i="12"/>
  <c r="B451" i="12"/>
  <c r="D450" i="12"/>
  <c r="B450" i="12"/>
  <c r="D449" i="12"/>
  <c r="B449" i="12"/>
  <c r="D448" i="12"/>
  <c r="B448" i="12"/>
  <c r="D447" i="12"/>
  <c r="B447" i="12"/>
  <c r="D446" i="12"/>
  <c r="B446" i="12"/>
  <c r="D445" i="12"/>
  <c r="B445" i="12"/>
  <c r="D444" i="12"/>
  <c r="B444" i="12"/>
  <c r="D443" i="12"/>
  <c r="B443" i="12"/>
  <c r="D442" i="12"/>
  <c r="B442" i="12"/>
  <c r="D441" i="12"/>
  <c r="B441" i="12"/>
  <c r="D440" i="12"/>
  <c r="B440" i="12"/>
  <c r="D439" i="12"/>
  <c r="B439" i="12"/>
  <c r="D438" i="12"/>
  <c r="B438" i="12"/>
  <c r="D437" i="12"/>
  <c r="B437" i="12"/>
  <c r="D436" i="12"/>
  <c r="B436" i="12"/>
  <c r="D435" i="12"/>
  <c r="B435" i="12"/>
  <c r="D434" i="12"/>
  <c r="B434" i="12"/>
  <c r="D433" i="12"/>
  <c r="B433" i="12"/>
  <c r="D432" i="12"/>
  <c r="B432" i="12"/>
  <c r="D431" i="12"/>
  <c r="B431" i="12"/>
  <c r="D430" i="12"/>
  <c r="B430" i="12"/>
  <c r="D429" i="12"/>
  <c r="B429" i="12"/>
  <c r="D428" i="12"/>
  <c r="B428" i="12"/>
  <c r="D427" i="12"/>
  <c r="B427" i="12"/>
  <c r="D426" i="12"/>
  <c r="B426" i="12"/>
  <c r="D425" i="12"/>
  <c r="B425" i="12"/>
  <c r="D424" i="12"/>
  <c r="B424" i="12"/>
  <c r="D423" i="12"/>
  <c r="B423" i="12"/>
  <c r="D422" i="12"/>
  <c r="B422" i="12"/>
  <c r="D421" i="12"/>
  <c r="B421" i="12"/>
  <c r="D420" i="12"/>
  <c r="B420" i="12"/>
  <c r="D419" i="12"/>
  <c r="B419" i="12"/>
  <c r="D418" i="12"/>
  <c r="B418" i="12"/>
  <c r="D417" i="12"/>
  <c r="B417" i="12"/>
  <c r="D416" i="12"/>
  <c r="B416" i="12"/>
  <c r="D415" i="12"/>
  <c r="B415" i="12"/>
  <c r="D414" i="12"/>
  <c r="B414" i="12"/>
  <c r="D413" i="12"/>
  <c r="B413" i="12"/>
  <c r="D412" i="12"/>
  <c r="B412" i="12"/>
  <c r="D411" i="12"/>
  <c r="B411" i="12"/>
  <c r="D410" i="12"/>
  <c r="B410" i="12"/>
  <c r="D409" i="12"/>
  <c r="B409" i="12"/>
  <c r="D408" i="12"/>
  <c r="B408" i="12"/>
  <c r="D407" i="12"/>
  <c r="B407" i="12"/>
  <c r="D406" i="12"/>
  <c r="B406" i="12"/>
  <c r="D405" i="12"/>
  <c r="B405" i="12"/>
  <c r="D404" i="12"/>
  <c r="B404" i="12"/>
  <c r="D403" i="12"/>
  <c r="B403" i="12"/>
  <c r="D402" i="12"/>
  <c r="B402" i="12"/>
  <c r="D401" i="12"/>
  <c r="B401" i="12"/>
  <c r="D400" i="12"/>
  <c r="B400" i="12"/>
  <c r="D399" i="12"/>
  <c r="B399" i="12"/>
  <c r="D398" i="12"/>
  <c r="B398" i="12"/>
  <c r="D397" i="12"/>
  <c r="B397" i="12"/>
  <c r="D396" i="12"/>
  <c r="B396" i="12"/>
  <c r="D395" i="12"/>
  <c r="B395" i="12"/>
  <c r="D394" i="12"/>
  <c r="B394" i="12"/>
  <c r="D393" i="12"/>
  <c r="B393" i="12"/>
  <c r="D392" i="12"/>
  <c r="B392" i="12"/>
  <c r="D391" i="12"/>
  <c r="B391" i="12"/>
  <c r="D390" i="12"/>
  <c r="B390" i="12"/>
  <c r="D389" i="12"/>
  <c r="B389" i="12"/>
  <c r="D388" i="12"/>
  <c r="B388" i="12"/>
  <c r="D387" i="12"/>
  <c r="B387" i="12"/>
  <c r="D386" i="12"/>
  <c r="B386" i="12"/>
  <c r="D385" i="12"/>
  <c r="B385" i="12"/>
  <c r="D384" i="12"/>
  <c r="B384" i="12"/>
  <c r="D383" i="12"/>
  <c r="B383" i="12"/>
  <c r="D382" i="12"/>
  <c r="B382" i="12"/>
  <c r="D381" i="12"/>
  <c r="B381" i="12"/>
  <c r="D380" i="12"/>
  <c r="B380" i="12"/>
  <c r="D379" i="12"/>
  <c r="B379" i="12"/>
  <c r="D378" i="12"/>
  <c r="B378" i="12"/>
  <c r="D377" i="12"/>
  <c r="B377" i="12"/>
  <c r="D376" i="12"/>
  <c r="B376" i="12"/>
  <c r="D375" i="12"/>
  <c r="B375" i="12"/>
  <c r="D374" i="12"/>
  <c r="B374" i="12"/>
  <c r="D373" i="12"/>
  <c r="B373" i="12"/>
  <c r="D372" i="12"/>
  <c r="B372" i="12"/>
  <c r="D371" i="12"/>
  <c r="B371" i="12"/>
  <c r="D370" i="12"/>
  <c r="B370" i="12"/>
  <c r="D369" i="12"/>
  <c r="B369" i="12"/>
  <c r="D368" i="12"/>
  <c r="B368" i="12"/>
  <c r="D367" i="12"/>
  <c r="B367" i="12"/>
  <c r="D366" i="12"/>
  <c r="B366" i="12"/>
  <c r="D365" i="12"/>
  <c r="B365" i="12"/>
  <c r="D364" i="12"/>
  <c r="B364" i="12"/>
  <c r="D363" i="12"/>
  <c r="B363" i="12"/>
  <c r="D362" i="12"/>
  <c r="B362" i="12"/>
  <c r="D361" i="12"/>
  <c r="B361" i="12"/>
  <c r="D360" i="12"/>
  <c r="B360" i="12"/>
  <c r="D359" i="12"/>
  <c r="B359" i="12"/>
  <c r="D358" i="12"/>
  <c r="B358" i="12"/>
  <c r="D357" i="12"/>
  <c r="B357" i="12"/>
  <c r="D356" i="12"/>
  <c r="B356" i="12"/>
  <c r="D355" i="12"/>
  <c r="B355" i="12"/>
  <c r="D354" i="12"/>
  <c r="B354" i="12"/>
  <c r="D353" i="12"/>
  <c r="B353" i="12"/>
  <c r="D352" i="12"/>
  <c r="B352" i="12"/>
  <c r="D351" i="12"/>
  <c r="B351" i="12"/>
  <c r="D350" i="12"/>
  <c r="B350" i="12"/>
  <c r="D349" i="12"/>
  <c r="B349" i="12"/>
  <c r="D348" i="12"/>
  <c r="B348" i="12"/>
  <c r="D347" i="12"/>
  <c r="B347" i="12"/>
  <c r="D346" i="12"/>
  <c r="B346" i="12"/>
  <c r="D345" i="12"/>
  <c r="B345" i="12"/>
  <c r="D344" i="12"/>
  <c r="B344" i="12"/>
  <c r="D343" i="12"/>
  <c r="B343" i="12"/>
  <c r="D342" i="12"/>
  <c r="B342" i="12"/>
  <c r="D341" i="12"/>
  <c r="B341" i="12"/>
  <c r="D340" i="12"/>
  <c r="B340" i="12"/>
  <c r="D339" i="12"/>
  <c r="B339" i="12"/>
  <c r="D338" i="12"/>
  <c r="B338" i="12"/>
  <c r="D337" i="12"/>
  <c r="B337" i="12"/>
  <c r="D336" i="12"/>
  <c r="B336" i="12"/>
  <c r="D335" i="12"/>
  <c r="B335" i="12"/>
  <c r="D334" i="12"/>
  <c r="B334" i="12"/>
  <c r="D333" i="12"/>
  <c r="B333" i="12"/>
  <c r="D332" i="12"/>
  <c r="B332" i="12"/>
  <c r="D331" i="12"/>
  <c r="B331" i="12"/>
  <c r="D330" i="12"/>
  <c r="B330" i="12"/>
  <c r="D329" i="12"/>
  <c r="B329" i="12"/>
  <c r="D328" i="12"/>
  <c r="B328" i="12"/>
  <c r="D327" i="12"/>
  <c r="B327" i="12"/>
  <c r="D326" i="12"/>
  <c r="B326" i="12"/>
  <c r="D325" i="12"/>
  <c r="B325" i="12"/>
  <c r="D324" i="12"/>
  <c r="B324" i="12"/>
  <c r="D323" i="12"/>
  <c r="B323" i="12"/>
  <c r="D322" i="12"/>
  <c r="B322" i="12"/>
  <c r="D321" i="12"/>
  <c r="B321" i="12"/>
  <c r="D320" i="12"/>
  <c r="B320" i="12"/>
  <c r="D319" i="12"/>
  <c r="B319" i="12"/>
  <c r="D318" i="12"/>
  <c r="B318" i="12"/>
  <c r="D317" i="12"/>
  <c r="B317" i="12"/>
  <c r="D316" i="12"/>
  <c r="B316" i="12"/>
  <c r="D315" i="12"/>
  <c r="B315" i="12"/>
  <c r="D314" i="12"/>
  <c r="B314" i="12"/>
  <c r="D313" i="12"/>
  <c r="B313" i="12"/>
  <c r="D312" i="12"/>
  <c r="B312" i="12"/>
  <c r="D311" i="12"/>
  <c r="B311" i="12"/>
  <c r="D310" i="12"/>
  <c r="B310" i="12"/>
  <c r="D309" i="12"/>
  <c r="B309" i="12"/>
  <c r="D308" i="12"/>
  <c r="B308" i="12"/>
  <c r="D307" i="12"/>
  <c r="B307" i="12"/>
  <c r="D306" i="12"/>
  <c r="B306" i="12"/>
  <c r="D305" i="12"/>
  <c r="B305" i="12"/>
  <c r="D304" i="12"/>
  <c r="B304" i="12"/>
  <c r="D303" i="12"/>
  <c r="B303" i="12"/>
  <c r="D302" i="12"/>
  <c r="B302" i="12"/>
  <c r="D301" i="12"/>
  <c r="B301" i="12"/>
  <c r="D300" i="12"/>
  <c r="B300" i="12"/>
  <c r="D299" i="12"/>
  <c r="B299" i="12"/>
  <c r="D298" i="12"/>
  <c r="B298" i="12"/>
  <c r="D297" i="12"/>
  <c r="B297" i="12"/>
  <c r="D296" i="12"/>
  <c r="B296" i="12"/>
  <c r="D295" i="12"/>
  <c r="B295" i="12"/>
  <c r="D294" i="12"/>
  <c r="B294" i="12"/>
  <c r="D293" i="12"/>
  <c r="B293" i="12"/>
  <c r="D292" i="12"/>
  <c r="B292" i="12"/>
  <c r="D291" i="12"/>
  <c r="B291" i="12"/>
  <c r="D290" i="12"/>
  <c r="B290" i="12"/>
  <c r="D289" i="12"/>
  <c r="B289" i="12"/>
  <c r="D288" i="12"/>
  <c r="B288" i="12"/>
  <c r="D287" i="12"/>
  <c r="B287" i="12"/>
  <c r="D286" i="12"/>
  <c r="B286" i="12"/>
  <c r="D285" i="12"/>
  <c r="B285" i="12"/>
  <c r="D284" i="12"/>
  <c r="B284" i="12"/>
  <c r="D283" i="12"/>
  <c r="B283" i="12"/>
  <c r="D282" i="12"/>
  <c r="B282" i="12"/>
  <c r="D281" i="12"/>
  <c r="B281" i="12"/>
  <c r="D280" i="12"/>
  <c r="B280" i="12"/>
  <c r="D279" i="12"/>
  <c r="B279" i="12"/>
  <c r="D278" i="12"/>
  <c r="B278" i="12"/>
  <c r="D277" i="12"/>
  <c r="B277" i="12"/>
  <c r="D276" i="12"/>
  <c r="B276" i="12"/>
  <c r="D275" i="12"/>
  <c r="B275" i="12"/>
  <c r="D274" i="12"/>
  <c r="B274" i="12"/>
  <c r="D273" i="12"/>
  <c r="B273" i="12"/>
  <c r="D272" i="12"/>
  <c r="B272" i="12"/>
  <c r="D271" i="12"/>
  <c r="B271" i="12"/>
  <c r="D270" i="12"/>
  <c r="B270" i="12"/>
  <c r="D269" i="12"/>
  <c r="B269" i="12"/>
  <c r="D268" i="12"/>
  <c r="B268" i="12"/>
  <c r="D267" i="12"/>
  <c r="B267" i="12"/>
  <c r="D266" i="12"/>
  <c r="B266" i="12"/>
  <c r="D265" i="12"/>
  <c r="B265" i="12"/>
  <c r="D264" i="12"/>
  <c r="B264" i="12"/>
  <c r="D263" i="12"/>
  <c r="B263" i="12"/>
  <c r="D262" i="12"/>
  <c r="B262" i="12"/>
  <c r="D261" i="12"/>
  <c r="B261" i="12"/>
  <c r="D260" i="12"/>
  <c r="B260" i="12"/>
  <c r="D259" i="12"/>
  <c r="B259" i="12"/>
  <c r="D258" i="12"/>
  <c r="B258" i="12"/>
  <c r="D257" i="12"/>
  <c r="B257" i="12"/>
  <c r="D256" i="12"/>
  <c r="B256" i="12"/>
  <c r="D255" i="12"/>
  <c r="B255" i="12"/>
  <c r="D254" i="12"/>
  <c r="B254" i="12"/>
  <c r="D253" i="12"/>
  <c r="B253" i="12"/>
  <c r="D252" i="12"/>
  <c r="B252" i="12"/>
  <c r="D251" i="12"/>
  <c r="B251" i="12"/>
  <c r="D250" i="12"/>
  <c r="B250" i="12"/>
  <c r="D249" i="12"/>
  <c r="B249" i="12"/>
  <c r="D248" i="12"/>
  <c r="B248" i="12"/>
  <c r="D247" i="12"/>
  <c r="B247" i="12"/>
  <c r="D246" i="12"/>
  <c r="B246" i="12"/>
  <c r="D245" i="12"/>
  <c r="B245" i="12"/>
  <c r="D244" i="12"/>
  <c r="B244" i="12"/>
  <c r="D243" i="12"/>
  <c r="B243" i="12"/>
  <c r="D242" i="12"/>
  <c r="B242" i="12"/>
  <c r="D241" i="12"/>
  <c r="B241" i="12"/>
  <c r="D240" i="12"/>
  <c r="B240" i="12"/>
  <c r="D239" i="12"/>
  <c r="B239" i="12"/>
  <c r="D238" i="12"/>
  <c r="B238" i="12"/>
  <c r="D237" i="12"/>
  <c r="B237" i="12"/>
  <c r="D236" i="12"/>
  <c r="B236" i="12"/>
  <c r="D235" i="12"/>
  <c r="B235" i="12"/>
  <c r="D234" i="12"/>
  <c r="B234" i="12"/>
  <c r="D233" i="12"/>
  <c r="B233" i="12"/>
  <c r="D232" i="12"/>
  <c r="B232" i="12"/>
  <c r="D231" i="12"/>
  <c r="B231" i="12"/>
  <c r="D230" i="12"/>
  <c r="B230" i="12"/>
  <c r="D229" i="12"/>
  <c r="B229" i="12"/>
  <c r="D228" i="12"/>
  <c r="B228" i="12"/>
  <c r="D227" i="12"/>
  <c r="B227" i="12"/>
  <c r="D226" i="12"/>
  <c r="B226" i="12"/>
  <c r="D225" i="12"/>
  <c r="B225" i="12"/>
  <c r="D224" i="12"/>
  <c r="B224" i="12"/>
  <c r="D223" i="12"/>
  <c r="B223" i="12"/>
  <c r="D222" i="12"/>
  <c r="B222" i="12"/>
  <c r="D221" i="12"/>
  <c r="B221" i="12"/>
  <c r="D220" i="12"/>
  <c r="B220" i="12"/>
  <c r="D219" i="12"/>
  <c r="B219" i="12"/>
  <c r="D218" i="12"/>
  <c r="B218" i="12"/>
  <c r="D217" i="12"/>
  <c r="B217" i="12"/>
  <c r="D216" i="12"/>
  <c r="B216" i="12"/>
  <c r="D215" i="12"/>
  <c r="B215" i="12"/>
  <c r="D214" i="12"/>
  <c r="B214" i="12"/>
  <c r="D213" i="12"/>
  <c r="B213" i="12"/>
  <c r="D212" i="12"/>
  <c r="B212" i="12"/>
  <c r="D211" i="12"/>
  <c r="B211" i="12"/>
  <c r="D210" i="12"/>
  <c r="B210" i="12"/>
  <c r="D209" i="12"/>
  <c r="B209" i="12"/>
  <c r="D208" i="12"/>
  <c r="B208" i="12"/>
  <c r="D207" i="12"/>
  <c r="B207" i="12"/>
  <c r="D206" i="12"/>
  <c r="B206" i="12"/>
  <c r="D205" i="12"/>
  <c r="B205" i="12"/>
  <c r="D204" i="12"/>
  <c r="B204" i="12"/>
  <c r="D203" i="12"/>
  <c r="B203" i="12"/>
  <c r="D202" i="12"/>
  <c r="B202" i="12"/>
  <c r="D201" i="12"/>
  <c r="B201" i="12"/>
  <c r="D200" i="12"/>
  <c r="B200" i="12"/>
  <c r="D199" i="12"/>
  <c r="B199" i="12"/>
  <c r="D198" i="12"/>
  <c r="B198" i="12"/>
  <c r="D197" i="12"/>
  <c r="B197" i="12"/>
  <c r="D196" i="12"/>
  <c r="B196" i="12"/>
  <c r="D195" i="12"/>
  <c r="B195" i="12"/>
  <c r="D194" i="12"/>
  <c r="B194" i="12"/>
  <c r="D193" i="12"/>
  <c r="B193" i="12"/>
  <c r="D192" i="12"/>
  <c r="B192" i="12"/>
  <c r="D191" i="12"/>
  <c r="B191" i="12"/>
  <c r="D190" i="12"/>
  <c r="B190" i="12"/>
  <c r="D189" i="12"/>
  <c r="B189" i="12"/>
  <c r="D188" i="12"/>
  <c r="B188" i="12"/>
  <c r="D187" i="12"/>
  <c r="B187" i="12"/>
  <c r="D186" i="12"/>
  <c r="B186" i="12"/>
  <c r="D185" i="12"/>
  <c r="B185" i="12"/>
  <c r="D184" i="12"/>
  <c r="B184" i="12"/>
  <c r="D183" i="12"/>
  <c r="B183" i="12"/>
  <c r="D182" i="12"/>
  <c r="B182" i="12"/>
  <c r="D181" i="12"/>
  <c r="B181" i="12"/>
  <c r="D180" i="12"/>
  <c r="B180" i="12"/>
  <c r="D179" i="12"/>
  <c r="B179" i="12"/>
  <c r="D178" i="12"/>
  <c r="B178" i="12"/>
  <c r="D177" i="12"/>
  <c r="B177" i="12"/>
  <c r="D176" i="12"/>
  <c r="B176" i="12"/>
  <c r="D175" i="12"/>
  <c r="B175" i="12"/>
  <c r="D174" i="12"/>
  <c r="B174" i="12"/>
  <c r="D173" i="12"/>
  <c r="B173" i="12"/>
  <c r="D172" i="12"/>
  <c r="B172" i="12"/>
  <c r="D171" i="12"/>
  <c r="B171" i="12"/>
  <c r="D170" i="12"/>
  <c r="B170" i="12"/>
  <c r="D169" i="12"/>
  <c r="B169" i="12"/>
  <c r="D168" i="12"/>
  <c r="B168" i="12"/>
  <c r="D167" i="12"/>
  <c r="B167" i="12"/>
  <c r="D166" i="12"/>
  <c r="B166" i="12"/>
  <c r="D165" i="12"/>
  <c r="B165" i="12"/>
  <c r="D164" i="12"/>
  <c r="B164" i="12"/>
  <c r="D163" i="12"/>
  <c r="B163" i="12"/>
  <c r="D162" i="12"/>
  <c r="B162" i="12"/>
  <c r="D161" i="12"/>
  <c r="B161" i="12"/>
  <c r="D160" i="12"/>
  <c r="B160" i="12"/>
  <c r="D159" i="12"/>
  <c r="B159" i="12"/>
  <c r="D158" i="12"/>
  <c r="B158" i="12"/>
  <c r="D157" i="12"/>
  <c r="B157" i="12"/>
  <c r="D156" i="12"/>
  <c r="B156" i="12"/>
  <c r="D155" i="12"/>
  <c r="B155" i="12"/>
  <c r="D154" i="12"/>
  <c r="B154" i="12"/>
  <c r="D153" i="12"/>
  <c r="B153" i="12"/>
  <c r="D152" i="12"/>
  <c r="B152" i="12"/>
  <c r="D151" i="12"/>
  <c r="B151" i="12"/>
  <c r="D150" i="12"/>
  <c r="B150" i="12"/>
  <c r="D149" i="12"/>
  <c r="B149" i="12"/>
  <c r="D148" i="12"/>
  <c r="B148" i="12"/>
  <c r="D147" i="12"/>
  <c r="B147" i="12"/>
  <c r="D146" i="12"/>
  <c r="B146" i="12"/>
  <c r="D145" i="12"/>
  <c r="B145" i="12"/>
  <c r="D144" i="12"/>
  <c r="B144" i="12"/>
  <c r="D143" i="12"/>
  <c r="B143" i="12"/>
  <c r="D142" i="12"/>
  <c r="B142" i="12"/>
  <c r="D141" i="12"/>
  <c r="B141" i="12"/>
  <c r="D140" i="12"/>
  <c r="B140" i="12"/>
  <c r="D139" i="12"/>
  <c r="B139" i="12"/>
  <c r="D138" i="12"/>
  <c r="B138" i="12"/>
  <c r="D137" i="12"/>
  <c r="B137" i="12"/>
  <c r="D136" i="12"/>
  <c r="B136" i="12"/>
  <c r="D135" i="12"/>
  <c r="B135" i="12"/>
  <c r="D134" i="12"/>
  <c r="B134" i="12"/>
  <c r="D133" i="12"/>
  <c r="B133" i="12"/>
  <c r="D132" i="12"/>
  <c r="B132" i="12"/>
  <c r="D131" i="12"/>
  <c r="B131" i="12"/>
  <c r="D130" i="12"/>
  <c r="B130" i="12"/>
  <c r="D129" i="12"/>
  <c r="B129" i="12"/>
  <c r="D128" i="12"/>
  <c r="B128" i="12"/>
  <c r="D127" i="12"/>
  <c r="B127" i="12"/>
  <c r="D126" i="12"/>
  <c r="B126" i="12"/>
  <c r="D125" i="12"/>
  <c r="B125" i="12"/>
  <c r="D124" i="12"/>
  <c r="B124" i="12"/>
  <c r="D123" i="12"/>
  <c r="B123" i="12"/>
  <c r="D122" i="12"/>
  <c r="B122" i="12"/>
  <c r="D121" i="12"/>
  <c r="B121" i="12"/>
  <c r="D120" i="12"/>
  <c r="B120" i="12"/>
  <c r="D119" i="12"/>
  <c r="B119" i="12"/>
  <c r="D118" i="12"/>
  <c r="B118" i="12"/>
  <c r="D117" i="12"/>
  <c r="B117" i="12"/>
  <c r="D116" i="12"/>
  <c r="B116" i="12"/>
  <c r="D115" i="12"/>
  <c r="B115" i="12"/>
  <c r="D114" i="12"/>
  <c r="B114" i="12"/>
  <c r="D113" i="12"/>
  <c r="B113" i="12"/>
  <c r="D112" i="12"/>
  <c r="B112" i="12"/>
  <c r="D111" i="12"/>
  <c r="B111" i="12"/>
  <c r="D110" i="12"/>
  <c r="B110" i="12"/>
  <c r="D109" i="12"/>
  <c r="B109" i="12"/>
  <c r="D108" i="12"/>
  <c r="B108" i="12"/>
  <c r="D107" i="12"/>
  <c r="B107" i="12"/>
  <c r="D106" i="12"/>
  <c r="B106" i="12"/>
  <c r="D105" i="12"/>
  <c r="B105" i="12"/>
  <c r="D104" i="12"/>
  <c r="B104" i="12"/>
  <c r="D103" i="12"/>
  <c r="B103" i="12"/>
  <c r="D102" i="12"/>
  <c r="B102" i="12"/>
  <c r="D101" i="12"/>
  <c r="B101" i="12"/>
  <c r="D100" i="12"/>
  <c r="B100" i="12"/>
  <c r="D99" i="12"/>
  <c r="B99" i="12"/>
  <c r="D98" i="12"/>
  <c r="B98" i="12"/>
  <c r="D97" i="12"/>
  <c r="B97" i="12"/>
  <c r="D96" i="12"/>
  <c r="B96" i="12"/>
  <c r="D95" i="12"/>
  <c r="B95" i="12"/>
  <c r="D94" i="12"/>
  <c r="B94" i="12"/>
  <c r="D93" i="12"/>
  <c r="B93" i="12"/>
  <c r="D92" i="12"/>
  <c r="B92" i="12"/>
  <c r="D91" i="12"/>
  <c r="B91" i="12"/>
  <c r="D90" i="12"/>
  <c r="B90" i="12"/>
  <c r="D89" i="12"/>
  <c r="B89" i="12"/>
  <c r="D88" i="12"/>
  <c r="B88" i="12"/>
  <c r="D87" i="12"/>
  <c r="B87" i="12"/>
  <c r="D86" i="12"/>
  <c r="B86" i="12"/>
  <c r="D85" i="12"/>
  <c r="B85" i="12"/>
  <c r="D84" i="12"/>
  <c r="B84" i="12"/>
  <c r="D83" i="12"/>
  <c r="B83" i="12"/>
  <c r="D82" i="12"/>
  <c r="B82" i="12"/>
  <c r="D81" i="12"/>
  <c r="B81" i="12"/>
  <c r="D80" i="12"/>
  <c r="B80" i="12"/>
  <c r="D79" i="12"/>
  <c r="B79" i="12"/>
  <c r="D78" i="12"/>
  <c r="B78" i="12"/>
  <c r="D77" i="12"/>
  <c r="B77" i="12"/>
  <c r="D76" i="12"/>
  <c r="B76" i="12"/>
  <c r="D75" i="12"/>
  <c r="B75" i="12"/>
  <c r="D74" i="12"/>
  <c r="B74" i="12"/>
  <c r="D73" i="12"/>
  <c r="B73" i="12"/>
  <c r="D72" i="12"/>
  <c r="B72" i="12"/>
  <c r="D71" i="12"/>
  <c r="B71" i="12"/>
  <c r="D70" i="12"/>
  <c r="B70" i="12"/>
  <c r="D69" i="12"/>
  <c r="B69" i="12"/>
  <c r="D68" i="12"/>
  <c r="B68" i="12"/>
  <c r="D67" i="12"/>
  <c r="B67" i="12"/>
  <c r="D66" i="12"/>
  <c r="B66" i="12"/>
  <c r="D65" i="12"/>
  <c r="B65" i="12"/>
  <c r="D64" i="12"/>
  <c r="B64" i="12"/>
  <c r="D63" i="12"/>
  <c r="B63" i="12"/>
  <c r="D62" i="12"/>
  <c r="B62" i="12"/>
  <c r="D61" i="12"/>
  <c r="B61" i="12"/>
  <c r="D60" i="12"/>
  <c r="B60" i="12"/>
  <c r="D59" i="12"/>
  <c r="B59" i="12"/>
  <c r="D58" i="12"/>
  <c r="B58" i="12"/>
  <c r="D57" i="12"/>
  <c r="B57" i="12"/>
  <c r="D56" i="12"/>
  <c r="B56" i="12"/>
  <c r="D55" i="12"/>
  <c r="B55" i="12"/>
  <c r="D54" i="12"/>
  <c r="B54" i="12"/>
  <c r="D53" i="12"/>
  <c r="B53" i="12"/>
  <c r="D52" i="12"/>
  <c r="B52" i="12"/>
  <c r="D51" i="12"/>
  <c r="B51" i="12"/>
  <c r="D50" i="12"/>
  <c r="B50" i="12"/>
  <c r="D49" i="12"/>
  <c r="B49" i="12"/>
  <c r="D48" i="12"/>
  <c r="B48" i="12"/>
  <c r="D47" i="12"/>
  <c r="B47" i="12"/>
  <c r="D46" i="12"/>
  <c r="B46" i="12"/>
  <c r="D45" i="12"/>
  <c r="B45" i="12"/>
  <c r="D44" i="12"/>
  <c r="B44" i="12"/>
  <c r="D43" i="12"/>
  <c r="B43" i="12"/>
  <c r="D42" i="12"/>
  <c r="B42" i="12"/>
  <c r="D41" i="12"/>
  <c r="B41" i="12"/>
  <c r="D40" i="12"/>
  <c r="B40" i="12"/>
  <c r="D39" i="12"/>
  <c r="B39" i="12"/>
  <c r="D38" i="12"/>
  <c r="B38" i="12"/>
  <c r="D37" i="12"/>
  <c r="B37" i="12"/>
  <c r="D36" i="12"/>
  <c r="B36" i="12"/>
  <c r="D35" i="12"/>
  <c r="B35" i="12"/>
  <c r="D34" i="12"/>
  <c r="B34" i="12"/>
  <c r="D33" i="12"/>
  <c r="B33" i="12"/>
  <c r="D32" i="12"/>
  <c r="B32" i="12"/>
  <c r="D31" i="12"/>
  <c r="B31" i="12"/>
  <c r="D30" i="12"/>
  <c r="B30" i="12"/>
  <c r="D29" i="12"/>
  <c r="B29" i="12"/>
  <c r="D28" i="12"/>
  <c r="B28" i="12"/>
  <c r="D27" i="12"/>
  <c r="B27" i="12"/>
  <c r="D26" i="12"/>
  <c r="B26" i="12"/>
  <c r="D25" i="12"/>
  <c r="B25" i="12"/>
  <c r="D24" i="12"/>
  <c r="B24" i="12"/>
  <c r="D23" i="12"/>
  <c r="B23" i="12"/>
  <c r="D22" i="12"/>
  <c r="B22" i="12"/>
  <c r="D21" i="12"/>
  <c r="B21" i="12"/>
  <c r="D20" i="12"/>
  <c r="B20" i="12"/>
  <c r="D19" i="12"/>
  <c r="B19" i="12"/>
  <c r="D18" i="12"/>
  <c r="B18" i="12"/>
  <c r="D17" i="12"/>
  <c r="B17" i="12"/>
  <c r="D16" i="12"/>
  <c r="B16" i="12"/>
  <c r="D15" i="12"/>
  <c r="B15" i="12"/>
  <c r="D14" i="12"/>
  <c r="B14" i="12"/>
  <c r="D13" i="12"/>
  <c r="B13" i="12"/>
  <c r="D12" i="12"/>
  <c r="B12" i="12"/>
  <c r="D11" i="12"/>
  <c r="B11" i="12"/>
  <c r="D10" i="12"/>
  <c r="B10" i="12"/>
  <c r="D9" i="12"/>
  <c r="B9" i="12"/>
  <c r="D8" i="12"/>
  <c r="B8" i="12"/>
  <c r="D7" i="12"/>
  <c r="B7" i="12"/>
  <c r="D6" i="12"/>
  <c r="B6" i="12"/>
  <c r="D5" i="12"/>
  <c r="B5" i="12"/>
  <c r="D4" i="12"/>
  <c r="B4" i="12"/>
  <c r="D3" i="12"/>
  <c r="B3" i="12"/>
  <c r="D2" i="12"/>
  <c r="B2" i="12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Q462" i="3"/>
  <c r="P462" i="3"/>
  <c r="O462" i="3"/>
  <c r="N462" i="3"/>
  <c r="M462" i="3"/>
  <c r="L462" i="3"/>
  <c r="K462" i="3"/>
  <c r="J462" i="3"/>
  <c r="I462" i="3"/>
  <c r="G462" i="3"/>
  <c r="F462" i="3"/>
  <c r="E462" i="3"/>
  <c r="D462" i="3"/>
  <c r="C462" i="3"/>
  <c r="B462" i="3"/>
  <c r="Q461" i="3"/>
  <c r="P461" i="3"/>
  <c r="O461" i="3"/>
  <c r="N461" i="3"/>
  <c r="M461" i="3"/>
  <c r="L461" i="3"/>
  <c r="K461" i="3"/>
  <c r="J461" i="3"/>
  <c r="I461" i="3"/>
  <c r="G461" i="3"/>
  <c r="F461" i="3"/>
  <c r="E461" i="3"/>
  <c r="D461" i="3"/>
  <c r="C461" i="3"/>
  <c r="B461" i="3"/>
  <c r="T460" i="3"/>
  <c r="Q460" i="3"/>
  <c r="P460" i="3"/>
  <c r="O460" i="3"/>
  <c r="N460" i="3"/>
  <c r="M460" i="3"/>
  <c r="L460" i="3"/>
  <c r="K460" i="3"/>
  <c r="J460" i="3"/>
  <c r="I460" i="3"/>
  <c r="G460" i="3"/>
  <c r="F460" i="3"/>
  <c r="E460" i="3"/>
  <c r="D460" i="3"/>
  <c r="C460" i="3"/>
  <c r="B460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M456" i="3"/>
  <c r="L456" i="3"/>
  <c r="K456" i="3"/>
  <c r="J456" i="3"/>
  <c r="I456" i="3"/>
  <c r="G456" i="3"/>
  <c r="F456" i="3"/>
  <c r="E456" i="3"/>
  <c r="D456" i="3"/>
  <c r="C456" i="3"/>
  <c r="B456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M455" i="3"/>
  <c r="L455" i="3"/>
  <c r="K455" i="3"/>
  <c r="J455" i="3"/>
  <c r="I455" i="3"/>
  <c r="G455" i="3"/>
  <c r="F455" i="3"/>
  <c r="E455" i="3"/>
  <c r="D455" i="3"/>
  <c r="C455" i="3"/>
  <c r="B455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M454" i="3"/>
  <c r="L454" i="3"/>
  <c r="K454" i="3"/>
  <c r="J454" i="3"/>
  <c r="I454" i="3"/>
  <c r="G454" i="3"/>
  <c r="F454" i="3"/>
  <c r="E454" i="3"/>
  <c r="D454" i="3"/>
  <c r="C454" i="3"/>
  <c r="B454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M453" i="3"/>
  <c r="L453" i="3"/>
  <c r="K453" i="3"/>
  <c r="J453" i="3"/>
  <c r="I453" i="3"/>
  <c r="G453" i="3"/>
  <c r="F453" i="3"/>
  <c r="E453" i="3"/>
  <c r="D453" i="3"/>
  <c r="C453" i="3"/>
  <c r="B453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M452" i="3"/>
  <c r="L452" i="3"/>
  <c r="K452" i="3"/>
  <c r="J452" i="3"/>
  <c r="I452" i="3"/>
  <c r="G452" i="3"/>
  <c r="F452" i="3"/>
  <c r="E452" i="3"/>
  <c r="D452" i="3"/>
  <c r="C452" i="3"/>
  <c r="B452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M451" i="3"/>
  <c r="L451" i="3"/>
  <c r="K451" i="3"/>
  <c r="J451" i="3"/>
  <c r="I451" i="3"/>
  <c r="G451" i="3"/>
  <c r="F451" i="3"/>
  <c r="E451" i="3"/>
  <c r="D451" i="3"/>
  <c r="C451" i="3"/>
  <c r="B451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M450" i="3"/>
  <c r="L450" i="3"/>
  <c r="K450" i="3"/>
  <c r="J450" i="3"/>
  <c r="I450" i="3"/>
  <c r="G450" i="3"/>
  <c r="F450" i="3"/>
  <c r="E450" i="3"/>
  <c r="D450" i="3"/>
  <c r="C450" i="3"/>
  <c r="B450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M449" i="3"/>
  <c r="L449" i="3"/>
  <c r="K449" i="3"/>
  <c r="J449" i="3"/>
  <c r="I449" i="3"/>
  <c r="G449" i="3"/>
  <c r="F449" i="3"/>
  <c r="E449" i="3"/>
  <c r="D449" i="3"/>
  <c r="C449" i="3"/>
  <c r="B449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M448" i="3"/>
  <c r="L448" i="3"/>
  <c r="K448" i="3"/>
  <c r="J448" i="3"/>
  <c r="I448" i="3"/>
  <c r="G448" i="3"/>
  <c r="F448" i="3"/>
  <c r="E448" i="3"/>
  <c r="D448" i="3"/>
  <c r="C448" i="3"/>
  <c r="B448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M447" i="3"/>
  <c r="L447" i="3"/>
  <c r="K447" i="3"/>
  <c r="J447" i="3"/>
  <c r="I447" i="3"/>
  <c r="G447" i="3"/>
  <c r="F447" i="3"/>
  <c r="E447" i="3"/>
  <c r="D447" i="3"/>
  <c r="C447" i="3"/>
  <c r="B447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M446" i="3"/>
  <c r="L446" i="3"/>
  <c r="K446" i="3"/>
  <c r="J446" i="3"/>
  <c r="I446" i="3"/>
  <c r="G446" i="3"/>
  <c r="F446" i="3"/>
  <c r="E446" i="3"/>
  <c r="D446" i="3"/>
  <c r="C446" i="3"/>
  <c r="B446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M445" i="3"/>
  <c r="L445" i="3"/>
  <c r="K445" i="3"/>
  <c r="J445" i="3"/>
  <c r="I445" i="3"/>
  <c r="G445" i="3"/>
  <c r="F445" i="3"/>
  <c r="E445" i="3"/>
  <c r="D445" i="3"/>
  <c r="C445" i="3"/>
  <c r="B445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M444" i="3"/>
  <c r="L444" i="3"/>
  <c r="K444" i="3"/>
  <c r="J444" i="3"/>
  <c r="I444" i="3"/>
  <c r="G444" i="3"/>
  <c r="F444" i="3"/>
  <c r="E444" i="3"/>
  <c r="D444" i="3"/>
  <c r="C444" i="3"/>
  <c r="B444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M443" i="3"/>
  <c r="L443" i="3"/>
  <c r="K443" i="3"/>
  <c r="J443" i="3"/>
  <c r="I443" i="3"/>
  <c r="G443" i="3"/>
  <c r="F443" i="3"/>
  <c r="E443" i="3"/>
  <c r="D443" i="3"/>
  <c r="C443" i="3"/>
  <c r="B443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M442" i="3"/>
  <c r="L442" i="3"/>
  <c r="K442" i="3"/>
  <c r="J442" i="3"/>
  <c r="I442" i="3"/>
  <c r="G442" i="3"/>
  <c r="F442" i="3"/>
  <c r="E442" i="3"/>
  <c r="D442" i="3"/>
  <c r="C442" i="3"/>
  <c r="B442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M441" i="3"/>
  <c r="L441" i="3"/>
  <c r="K441" i="3"/>
  <c r="J441" i="3"/>
  <c r="I441" i="3"/>
  <c r="G441" i="3"/>
  <c r="F441" i="3"/>
  <c r="E441" i="3"/>
  <c r="D441" i="3"/>
  <c r="C441" i="3"/>
  <c r="B441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M440" i="3"/>
  <c r="L440" i="3"/>
  <c r="K440" i="3"/>
  <c r="J440" i="3"/>
  <c r="I440" i="3"/>
  <c r="G440" i="3"/>
  <c r="F440" i="3"/>
  <c r="E440" i="3"/>
  <c r="D440" i="3"/>
  <c r="C440" i="3"/>
  <c r="B440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M439" i="3"/>
  <c r="L439" i="3"/>
  <c r="K439" i="3"/>
  <c r="J439" i="3"/>
  <c r="I439" i="3"/>
  <c r="G439" i="3"/>
  <c r="F439" i="3"/>
  <c r="E439" i="3"/>
  <c r="D439" i="3"/>
  <c r="C439" i="3"/>
  <c r="B439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M438" i="3"/>
  <c r="L438" i="3"/>
  <c r="K438" i="3"/>
  <c r="J438" i="3"/>
  <c r="I438" i="3"/>
  <c r="G438" i="3"/>
  <c r="F438" i="3"/>
  <c r="E438" i="3"/>
  <c r="D438" i="3"/>
  <c r="C438" i="3"/>
  <c r="B438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G437" i="3"/>
  <c r="F437" i="3"/>
  <c r="E437" i="3"/>
  <c r="D437" i="3"/>
  <c r="C437" i="3"/>
  <c r="B437" i="3"/>
  <c r="Q433" i="3"/>
  <c r="P433" i="3"/>
  <c r="O433" i="3"/>
  <c r="N433" i="3"/>
  <c r="M433" i="3"/>
  <c r="L433" i="3"/>
  <c r="K433" i="3"/>
  <c r="J433" i="3"/>
  <c r="I433" i="3"/>
  <c r="G433" i="3"/>
  <c r="F433" i="3"/>
  <c r="E433" i="3"/>
  <c r="D433" i="3"/>
  <c r="C433" i="3"/>
  <c r="B433" i="3"/>
  <c r="Q432" i="3"/>
  <c r="P432" i="3"/>
  <c r="O432" i="3"/>
  <c r="N432" i="3"/>
  <c r="M432" i="3"/>
  <c r="L432" i="3"/>
  <c r="K432" i="3"/>
  <c r="J432" i="3"/>
  <c r="I432" i="3"/>
  <c r="G432" i="3"/>
  <c r="F432" i="3"/>
  <c r="E432" i="3"/>
  <c r="D432" i="3"/>
  <c r="C432" i="3"/>
  <c r="B432" i="3"/>
  <c r="T431" i="3"/>
  <c r="Q431" i="3"/>
  <c r="P431" i="3"/>
  <c r="O431" i="3"/>
  <c r="N431" i="3"/>
  <c r="M431" i="3"/>
  <c r="L431" i="3"/>
  <c r="K431" i="3"/>
  <c r="J431" i="3"/>
  <c r="I431" i="3"/>
  <c r="G431" i="3"/>
  <c r="F431" i="3"/>
  <c r="E431" i="3"/>
  <c r="D431" i="3"/>
  <c r="C431" i="3"/>
  <c r="B431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M427" i="3"/>
  <c r="L427" i="3"/>
  <c r="K427" i="3"/>
  <c r="J427" i="3"/>
  <c r="I427" i="3"/>
  <c r="G427" i="3"/>
  <c r="F427" i="3"/>
  <c r="E427" i="3"/>
  <c r="D427" i="3"/>
  <c r="C427" i="3"/>
  <c r="B427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M426" i="3"/>
  <c r="L426" i="3"/>
  <c r="K426" i="3"/>
  <c r="J426" i="3"/>
  <c r="I426" i="3"/>
  <c r="G426" i="3"/>
  <c r="F426" i="3"/>
  <c r="E426" i="3"/>
  <c r="D426" i="3"/>
  <c r="C426" i="3"/>
  <c r="B426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M425" i="3"/>
  <c r="L425" i="3"/>
  <c r="K425" i="3"/>
  <c r="J425" i="3"/>
  <c r="I425" i="3"/>
  <c r="G425" i="3"/>
  <c r="F425" i="3"/>
  <c r="E425" i="3"/>
  <c r="D425" i="3"/>
  <c r="C425" i="3"/>
  <c r="B425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G424" i="3"/>
  <c r="F424" i="3"/>
  <c r="E424" i="3"/>
  <c r="D424" i="3"/>
  <c r="C424" i="3"/>
  <c r="B424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M423" i="3"/>
  <c r="L423" i="3"/>
  <c r="K423" i="3"/>
  <c r="J423" i="3"/>
  <c r="I423" i="3"/>
  <c r="G423" i="3"/>
  <c r="F423" i="3"/>
  <c r="E423" i="3"/>
  <c r="D423" i="3"/>
  <c r="C423" i="3"/>
  <c r="B423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M422" i="3"/>
  <c r="L422" i="3"/>
  <c r="K422" i="3"/>
  <c r="J422" i="3"/>
  <c r="I422" i="3"/>
  <c r="G422" i="3"/>
  <c r="F422" i="3"/>
  <c r="E422" i="3"/>
  <c r="D422" i="3"/>
  <c r="C422" i="3"/>
  <c r="B422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M421" i="3"/>
  <c r="L421" i="3"/>
  <c r="K421" i="3"/>
  <c r="J421" i="3"/>
  <c r="I421" i="3"/>
  <c r="G421" i="3"/>
  <c r="F421" i="3"/>
  <c r="E421" i="3"/>
  <c r="D421" i="3"/>
  <c r="C421" i="3"/>
  <c r="B421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M420" i="3"/>
  <c r="L420" i="3"/>
  <c r="K420" i="3"/>
  <c r="J420" i="3"/>
  <c r="I420" i="3"/>
  <c r="G420" i="3"/>
  <c r="F420" i="3"/>
  <c r="E420" i="3"/>
  <c r="D420" i="3"/>
  <c r="C420" i="3"/>
  <c r="B420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M419" i="3"/>
  <c r="L419" i="3"/>
  <c r="K419" i="3"/>
  <c r="J419" i="3"/>
  <c r="I419" i="3"/>
  <c r="G419" i="3"/>
  <c r="F419" i="3"/>
  <c r="E419" i="3"/>
  <c r="D419" i="3"/>
  <c r="C419" i="3"/>
  <c r="B419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M418" i="3"/>
  <c r="L418" i="3"/>
  <c r="K418" i="3"/>
  <c r="J418" i="3"/>
  <c r="I418" i="3"/>
  <c r="G418" i="3"/>
  <c r="F418" i="3"/>
  <c r="E418" i="3"/>
  <c r="D418" i="3"/>
  <c r="C418" i="3"/>
  <c r="B418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M417" i="3"/>
  <c r="L417" i="3"/>
  <c r="K417" i="3"/>
  <c r="J417" i="3"/>
  <c r="I417" i="3"/>
  <c r="G417" i="3"/>
  <c r="F417" i="3"/>
  <c r="E417" i="3"/>
  <c r="D417" i="3"/>
  <c r="C417" i="3"/>
  <c r="B417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M416" i="3"/>
  <c r="L416" i="3"/>
  <c r="K416" i="3"/>
  <c r="J416" i="3"/>
  <c r="I416" i="3"/>
  <c r="G416" i="3"/>
  <c r="F416" i="3"/>
  <c r="E416" i="3"/>
  <c r="D416" i="3"/>
  <c r="C416" i="3"/>
  <c r="B416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M415" i="3"/>
  <c r="L415" i="3"/>
  <c r="K415" i="3"/>
  <c r="J415" i="3"/>
  <c r="I415" i="3"/>
  <c r="G415" i="3"/>
  <c r="F415" i="3"/>
  <c r="E415" i="3"/>
  <c r="D415" i="3"/>
  <c r="C415" i="3"/>
  <c r="B415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M414" i="3"/>
  <c r="L414" i="3"/>
  <c r="K414" i="3"/>
  <c r="J414" i="3"/>
  <c r="I414" i="3"/>
  <c r="G414" i="3"/>
  <c r="F414" i="3"/>
  <c r="E414" i="3"/>
  <c r="D414" i="3"/>
  <c r="C414" i="3"/>
  <c r="B414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M413" i="3"/>
  <c r="L413" i="3"/>
  <c r="K413" i="3"/>
  <c r="J413" i="3"/>
  <c r="I413" i="3"/>
  <c r="G413" i="3"/>
  <c r="F413" i="3"/>
  <c r="E413" i="3"/>
  <c r="D413" i="3"/>
  <c r="C413" i="3"/>
  <c r="B413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M412" i="3"/>
  <c r="L412" i="3"/>
  <c r="K412" i="3"/>
  <c r="J412" i="3"/>
  <c r="I412" i="3"/>
  <c r="G412" i="3"/>
  <c r="F412" i="3"/>
  <c r="E412" i="3"/>
  <c r="D412" i="3"/>
  <c r="C412" i="3"/>
  <c r="B412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M411" i="3"/>
  <c r="L411" i="3"/>
  <c r="K411" i="3"/>
  <c r="J411" i="3"/>
  <c r="I411" i="3"/>
  <c r="G411" i="3"/>
  <c r="F411" i="3"/>
  <c r="E411" i="3"/>
  <c r="D411" i="3"/>
  <c r="C411" i="3"/>
  <c r="B411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M410" i="3"/>
  <c r="L410" i="3"/>
  <c r="K410" i="3"/>
  <c r="J410" i="3"/>
  <c r="I410" i="3"/>
  <c r="G410" i="3"/>
  <c r="F410" i="3"/>
  <c r="E410" i="3"/>
  <c r="D410" i="3"/>
  <c r="C410" i="3"/>
  <c r="B410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M409" i="3"/>
  <c r="L409" i="3"/>
  <c r="K409" i="3"/>
  <c r="J409" i="3"/>
  <c r="I409" i="3"/>
  <c r="G409" i="3"/>
  <c r="F409" i="3"/>
  <c r="E409" i="3"/>
  <c r="D409" i="3"/>
  <c r="C409" i="3"/>
  <c r="B409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M408" i="3"/>
  <c r="L408" i="3"/>
  <c r="K408" i="3"/>
  <c r="J408" i="3"/>
  <c r="I408" i="3"/>
  <c r="G408" i="3"/>
  <c r="F408" i="3"/>
  <c r="E408" i="3"/>
  <c r="D408" i="3"/>
  <c r="C408" i="3"/>
  <c r="B408" i="3"/>
  <c r="Q404" i="3"/>
  <c r="P404" i="3"/>
  <c r="O404" i="3"/>
  <c r="N404" i="3"/>
  <c r="M404" i="3"/>
  <c r="L404" i="3"/>
  <c r="K404" i="3"/>
  <c r="J404" i="3"/>
  <c r="I404" i="3"/>
  <c r="G404" i="3"/>
  <c r="F404" i="3"/>
  <c r="E404" i="3"/>
  <c r="D404" i="3"/>
  <c r="C404" i="3"/>
  <c r="B404" i="3"/>
  <c r="Q403" i="3"/>
  <c r="P403" i="3"/>
  <c r="O403" i="3"/>
  <c r="N403" i="3"/>
  <c r="M403" i="3"/>
  <c r="L403" i="3"/>
  <c r="K403" i="3"/>
  <c r="J403" i="3"/>
  <c r="I403" i="3"/>
  <c r="G403" i="3"/>
  <c r="F403" i="3"/>
  <c r="E403" i="3"/>
  <c r="D403" i="3"/>
  <c r="C403" i="3"/>
  <c r="B403" i="3"/>
  <c r="T402" i="3"/>
  <c r="Q402" i="3"/>
  <c r="P402" i="3"/>
  <c r="O402" i="3"/>
  <c r="N402" i="3"/>
  <c r="M402" i="3"/>
  <c r="L402" i="3"/>
  <c r="K402" i="3"/>
  <c r="J402" i="3"/>
  <c r="I402" i="3"/>
  <c r="G402" i="3"/>
  <c r="F402" i="3"/>
  <c r="E402" i="3"/>
  <c r="D402" i="3"/>
  <c r="C402" i="3"/>
  <c r="B402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G398" i="3"/>
  <c r="F398" i="3"/>
  <c r="E398" i="3"/>
  <c r="D398" i="3"/>
  <c r="C398" i="3"/>
  <c r="B398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G397" i="3"/>
  <c r="F397" i="3"/>
  <c r="E397" i="3"/>
  <c r="D397" i="3"/>
  <c r="C397" i="3"/>
  <c r="B397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G396" i="3"/>
  <c r="F396" i="3"/>
  <c r="E396" i="3"/>
  <c r="D396" i="3"/>
  <c r="C396" i="3"/>
  <c r="B396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G395" i="3"/>
  <c r="F395" i="3"/>
  <c r="E395" i="3"/>
  <c r="D395" i="3"/>
  <c r="C395" i="3"/>
  <c r="B395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G394" i="3"/>
  <c r="F394" i="3"/>
  <c r="E394" i="3"/>
  <c r="D394" i="3"/>
  <c r="C394" i="3"/>
  <c r="B394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G393" i="3"/>
  <c r="F393" i="3"/>
  <c r="E393" i="3"/>
  <c r="D393" i="3"/>
  <c r="C393" i="3"/>
  <c r="B393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G392" i="3"/>
  <c r="F392" i="3"/>
  <c r="E392" i="3"/>
  <c r="D392" i="3"/>
  <c r="C392" i="3"/>
  <c r="B392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G391" i="3"/>
  <c r="F391" i="3"/>
  <c r="E391" i="3"/>
  <c r="D391" i="3"/>
  <c r="C391" i="3"/>
  <c r="B391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G390" i="3"/>
  <c r="F390" i="3"/>
  <c r="E390" i="3"/>
  <c r="D390" i="3"/>
  <c r="C390" i="3"/>
  <c r="B390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G389" i="3"/>
  <c r="F389" i="3"/>
  <c r="E389" i="3"/>
  <c r="D389" i="3"/>
  <c r="C389" i="3"/>
  <c r="B389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G388" i="3"/>
  <c r="F388" i="3"/>
  <c r="E388" i="3"/>
  <c r="D388" i="3"/>
  <c r="C388" i="3"/>
  <c r="B388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G387" i="3"/>
  <c r="F387" i="3"/>
  <c r="E387" i="3"/>
  <c r="D387" i="3"/>
  <c r="C387" i="3"/>
  <c r="B387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G386" i="3"/>
  <c r="F386" i="3"/>
  <c r="E386" i="3"/>
  <c r="D386" i="3"/>
  <c r="C386" i="3"/>
  <c r="B386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G385" i="3"/>
  <c r="F385" i="3"/>
  <c r="E385" i="3"/>
  <c r="D385" i="3"/>
  <c r="C385" i="3"/>
  <c r="B385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G384" i="3"/>
  <c r="F384" i="3"/>
  <c r="E384" i="3"/>
  <c r="D384" i="3"/>
  <c r="C384" i="3"/>
  <c r="B384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G383" i="3"/>
  <c r="F383" i="3"/>
  <c r="E383" i="3"/>
  <c r="D383" i="3"/>
  <c r="C383" i="3"/>
  <c r="B383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G382" i="3"/>
  <c r="F382" i="3"/>
  <c r="E382" i="3"/>
  <c r="D382" i="3"/>
  <c r="C382" i="3"/>
  <c r="B382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G381" i="3"/>
  <c r="F381" i="3"/>
  <c r="E381" i="3"/>
  <c r="D381" i="3"/>
  <c r="C381" i="3"/>
  <c r="B381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G380" i="3"/>
  <c r="F380" i="3"/>
  <c r="E380" i="3"/>
  <c r="D380" i="3"/>
  <c r="C380" i="3"/>
  <c r="B380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G379" i="3"/>
  <c r="F379" i="3"/>
  <c r="E379" i="3"/>
  <c r="D379" i="3"/>
  <c r="C379" i="3"/>
  <c r="B379" i="3"/>
  <c r="Q375" i="3"/>
  <c r="P375" i="3"/>
  <c r="O375" i="3"/>
  <c r="N375" i="3"/>
  <c r="M375" i="3"/>
  <c r="L375" i="3"/>
  <c r="K375" i="3"/>
  <c r="J375" i="3"/>
  <c r="I375" i="3"/>
  <c r="G375" i="3"/>
  <c r="F375" i="3"/>
  <c r="E375" i="3"/>
  <c r="D375" i="3"/>
  <c r="C375" i="3"/>
  <c r="B375" i="3"/>
  <c r="Q374" i="3"/>
  <c r="P374" i="3"/>
  <c r="O374" i="3"/>
  <c r="N374" i="3"/>
  <c r="M374" i="3"/>
  <c r="L374" i="3"/>
  <c r="K374" i="3"/>
  <c r="J374" i="3"/>
  <c r="I374" i="3"/>
  <c r="G374" i="3"/>
  <c r="F374" i="3"/>
  <c r="E374" i="3"/>
  <c r="D374" i="3"/>
  <c r="C374" i="3"/>
  <c r="B374" i="3"/>
  <c r="T373" i="3"/>
  <c r="Q373" i="3"/>
  <c r="P373" i="3"/>
  <c r="O373" i="3"/>
  <c r="N373" i="3"/>
  <c r="M373" i="3"/>
  <c r="L373" i="3"/>
  <c r="K373" i="3"/>
  <c r="J373" i="3"/>
  <c r="I373" i="3"/>
  <c r="G373" i="3"/>
  <c r="F373" i="3"/>
  <c r="E373" i="3"/>
  <c r="D373" i="3"/>
  <c r="C373" i="3"/>
  <c r="B373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G369" i="3"/>
  <c r="F369" i="3"/>
  <c r="E369" i="3"/>
  <c r="D369" i="3"/>
  <c r="C369" i="3"/>
  <c r="B369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G368" i="3"/>
  <c r="F368" i="3"/>
  <c r="E368" i="3"/>
  <c r="D368" i="3"/>
  <c r="C368" i="3"/>
  <c r="B368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G367" i="3"/>
  <c r="F367" i="3"/>
  <c r="E367" i="3"/>
  <c r="D367" i="3"/>
  <c r="C367" i="3"/>
  <c r="B367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G366" i="3"/>
  <c r="F366" i="3"/>
  <c r="E366" i="3"/>
  <c r="D366" i="3"/>
  <c r="C366" i="3"/>
  <c r="B366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G365" i="3"/>
  <c r="F365" i="3"/>
  <c r="E365" i="3"/>
  <c r="D365" i="3"/>
  <c r="C365" i="3"/>
  <c r="B365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G364" i="3"/>
  <c r="F364" i="3"/>
  <c r="E364" i="3"/>
  <c r="D364" i="3"/>
  <c r="C364" i="3"/>
  <c r="B364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G363" i="3"/>
  <c r="F363" i="3"/>
  <c r="E363" i="3"/>
  <c r="D363" i="3"/>
  <c r="C363" i="3"/>
  <c r="B363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G362" i="3"/>
  <c r="F362" i="3"/>
  <c r="E362" i="3"/>
  <c r="D362" i="3"/>
  <c r="C362" i="3"/>
  <c r="B362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G361" i="3"/>
  <c r="F361" i="3"/>
  <c r="E361" i="3"/>
  <c r="D361" i="3"/>
  <c r="C361" i="3"/>
  <c r="B361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G360" i="3"/>
  <c r="F360" i="3"/>
  <c r="E360" i="3"/>
  <c r="D360" i="3"/>
  <c r="C360" i="3"/>
  <c r="B360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G359" i="3"/>
  <c r="F359" i="3"/>
  <c r="E359" i="3"/>
  <c r="D359" i="3"/>
  <c r="C359" i="3"/>
  <c r="B359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G358" i="3"/>
  <c r="F358" i="3"/>
  <c r="E358" i="3"/>
  <c r="D358" i="3"/>
  <c r="C358" i="3"/>
  <c r="B358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G357" i="3"/>
  <c r="F357" i="3"/>
  <c r="E357" i="3"/>
  <c r="D357" i="3"/>
  <c r="C357" i="3"/>
  <c r="B357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G356" i="3"/>
  <c r="F356" i="3"/>
  <c r="E356" i="3"/>
  <c r="D356" i="3"/>
  <c r="C356" i="3"/>
  <c r="B356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G355" i="3"/>
  <c r="F355" i="3"/>
  <c r="E355" i="3"/>
  <c r="D355" i="3"/>
  <c r="C355" i="3"/>
  <c r="B355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G354" i="3"/>
  <c r="F354" i="3"/>
  <c r="E354" i="3"/>
  <c r="D354" i="3"/>
  <c r="C354" i="3"/>
  <c r="B354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G353" i="3"/>
  <c r="F353" i="3"/>
  <c r="E353" i="3"/>
  <c r="D353" i="3"/>
  <c r="C353" i="3"/>
  <c r="B353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G352" i="3"/>
  <c r="F352" i="3"/>
  <c r="E352" i="3"/>
  <c r="D352" i="3"/>
  <c r="C352" i="3"/>
  <c r="B352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G351" i="3"/>
  <c r="F351" i="3"/>
  <c r="E351" i="3"/>
  <c r="D351" i="3"/>
  <c r="C351" i="3"/>
  <c r="B351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G350" i="3"/>
  <c r="F350" i="3"/>
  <c r="E350" i="3"/>
  <c r="D350" i="3"/>
  <c r="C350" i="3"/>
  <c r="B350" i="3"/>
  <c r="Q346" i="3"/>
  <c r="P346" i="3"/>
  <c r="O346" i="3"/>
  <c r="N346" i="3"/>
  <c r="M346" i="3"/>
  <c r="L346" i="3"/>
  <c r="K346" i="3"/>
  <c r="J346" i="3"/>
  <c r="I346" i="3"/>
  <c r="G346" i="3"/>
  <c r="F346" i="3"/>
  <c r="E346" i="3"/>
  <c r="D346" i="3"/>
  <c r="C346" i="3"/>
  <c r="B346" i="3"/>
  <c r="Q345" i="3"/>
  <c r="P345" i="3"/>
  <c r="O345" i="3"/>
  <c r="N345" i="3"/>
  <c r="M345" i="3"/>
  <c r="L345" i="3"/>
  <c r="K345" i="3"/>
  <c r="J345" i="3"/>
  <c r="I345" i="3"/>
  <c r="G345" i="3"/>
  <c r="F345" i="3"/>
  <c r="E345" i="3"/>
  <c r="D345" i="3"/>
  <c r="C345" i="3"/>
  <c r="B345" i="3"/>
  <c r="T344" i="3"/>
  <c r="Q344" i="3"/>
  <c r="P344" i="3"/>
  <c r="O344" i="3"/>
  <c r="N344" i="3"/>
  <c r="M344" i="3"/>
  <c r="L344" i="3"/>
  <c r="K344" i="3"/>
  <c r="J344" i="3"/>
  <c r="I344" i="3"/>
  <c r="G344" i="3"/>
  <c r="F344" i="3"/>
  <c r="E344" i="3"/>
  <c r="D344" i="3"/>
  <c r="C344" i="3"/>
  <c r="B344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G340" i="3"/>
  <c r="F340" i="3"/>
  <c r="E340" i="3"/>
  <c r="D340" i="3"/>
  <c r="C340" i="3"/>
  <c r="B340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G339" i="3"/>
  <c r="F339" i="3"/>
  <c r="E339" i="3"/>
  <c r="D339" i="3"/>
  <c r="C339" i="3"/>
  <c r="B339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G338" i="3"/>
  <c r="F338" i="3"/>
  <c r="E338" i="3"/>
  <c r="D338" i="3"/>
  <c r="C338" i="3"/>
  <c r="B338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G337" i="3"/>
  <c r="F337" i="3"/>
  <c r="E337" i="3"/>
  <c r="D337" i="3"/>
  <c r="C337" i="3"/>
  <c r="B337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G336" i="3"/>
  <c r="F336" i="3"/>
  <c r="E336" i="3"/>
  <c r="D336" i="3"/>
  <c r="C336" i="3"/>
  <c r="B336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G335" i="3"/>
  <c r="F335" i="3"/>
  <c r="E335" i="3"/>
  <c r="D335" i="3"/>
  <c r="C335" i="3"/>
  <c r="B335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G334" i="3"/>
  <c r="F334" i="3"/>
  <c r="E334" i="3"/>
  <c r="D334" i="3"/>
  <c r="C334" i="3"/>
  <c r="B334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G333" i="3"/>
  <c r="F333" i="3"/>
  <c r="E333" i="3"/>
  <c r="D333" i="3"/>
  <c r="C333" i="3"/>
  <c r="B333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G332" i="3"/>
  <c r="F332" i="3"/>
  <c r="E332" i="3"/>
  <c r="D332" i="3"/>
  <c r="C332" i="3"/>
  <c r="B332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G331" i="3"/>
  <c r="F331" i="3"/>
  <c r="E331" i="3"/>
  <c r="D331" i="3"/>
  <c r="C331" i="3"/>
  <c r="B331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G330" i="3"/>
  <c r="F330" i="3"/>
  <c r="E330" i="3"/>
  <c r="D330" i="3"/>
  <c r="C330" i="3"/>
  <c r="B330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G329" i="3"/>
  <c r="F329" i="3"/>
  <c r="E329" i="3"/>
  <c r="D329" i="3"/>
  <c r="C329" i="3"/>
  <c r="B329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G328" i="3"/>
  <c r="F328" i="3"/>
  <c r="E328" i="3"/>
  <c r="D328" i="3"/>
  <c r="C328" i="3"/>
  <c r="B328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G327" i="3"/>
  <c r="F327" i="3"/>
  <c r="E327" i="3"/>
  <c r="D327" i="3"/>
  <c r="C327" i="3"/>
  <c r="B327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G326" i="3"/>
  <c r="F326" i="3"/>
  <c r="E326" i="3"/>
  <c r="D326" i="3"/>
  <c r="C326" i="3"/>
  <c r="B326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G325" i="3"/>
  <c r="F325" i="3"/>
  <c r="E325" i="3"/>
  <c r="D325" i="3"/>
  <c r="C325" i="3"/>
  <c r="B325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G324" i="3"/>
  <c r="F324" i="3"/>
  <c r="E324" i="3"/>
  <c r="D324" i="3"/>
  <c r="C324" i="3"/>
  <c r="B324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G323" i="3"/>
  <c r="F323" i="3"/>
  <c r="E323" i="3"/>
  <c r="D323" i="3"/>
  <c r="C323" i="3"/>
  <c r="B323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G322" i="3"/>
  <c r="F322" i="3"/>
  <c r="E322" i="3"/>
  <c r="D322" i="3"/>
  <c r="C322" i="3"/>
  <c r="B322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G321" i="3"/>
  <c r="F321" i="3"/>
  <c r="E321" i="3"/>
  <c r="D321" i="3"/>
  <c r="C321" i="3"/>
  <c r="B321" i="3"/>
  <c r="Q317" i="3"/>
  <c r="P317" i="3"/>
  <c r="O317" i="3"/>
  <c r="N317" i="3"/>
  <c r="M317" i="3"/>
  <c r="L317" i="3"/>
  <c r="K317" i="3"/>
  <c r="J317" i="3"/>
  <c r="I317" i="3"/>
  <c r="G317" i="3"/>
  <c r="F317" i="3"/>
  <c r="E317" i="3"/>
  <c r="D317" i="3"/>
  <c r="C317" i="3"/>
  <c r="B317" i="3"/>
  <c r="Q316" i="3"/>
  <c r="P316" i="3"/>
  <c r="O316" i="3"/>
  <c r="N316" i="3"/>
  <c r="M316" i="3"/>
  <c r="L316" i="3"/>
  <c r="K316" i="3"/>
  <c r="J316" i="3"/>
  <c r="I316" i="3"/>
  <c r="G316" i="3"/>
  <c r="F316" i="3"/>
  <c r="E316" i="3"/>
  <c r="D316" i="3"/>
  <c r="C316" i="3"/>
  <c r="B316" i="3"/>
  <c r="T315" i="3"/>
  <c r="Q315" i="3"/>
  <c r="P315" i="3"/>
  <c r="O315" i="3"/>
  <c r="N315" i="3"/>
  <c r="M315" i="3"/>
  <c r="L315" i="3"/>
  <c r="K315" i="3"/>
  <c r="J315" i="3"/>
  <c r="I315" i="3"/>
  <c r="G315" i="3"/>
  <c r="F315" i="3"/>
  <c r="E315" i="3"/>
  <c r="D315" i="3"/>
  <c r="C315" i="3"/>
  <c r="B315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G311" i="3"/>
  <c r="F311" i="3"/>
  <c r="E311" i="3"/>
  <c r="D311" i="3"/>
  <c r="C311" i="3"/>
  <c r="B311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G310" i="3"/>
  <c r="F310" i="3"/>
  <c r="E310" i="3"/>
  <c r="D310" i="3"/>
  <c r="C310" i="3"/>
  <c r="B310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G309" i="3"/>
  <c r="F309" i="3"/>
  <c r="E309" i="3"/>
  <c r="D309" i="3"/>
  <c r="C309" i="3"/>
  <c r="B309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G308" i="3"/>
  <c r="F308" i="3"/>
  <c r="E308" i="3"/>
  <c r="D308" i="3"/>
  <c r="C308" i="3"/>
  <c r="B308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G307" i="3"/>
  <c r="F307" i="3"/>
  <c r="E307" i="3"/>
  <c r="D307" i="3"/>
  <c r="C307" i="3"/>
  <c r="B307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G306" i="3"/>
  <c r="F306" i="3"/>
  <c r="E306" i="3"/>
  <c r="D306" i="3"/>
  <c r="C306" i="3"/>
  <c r="B306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G305" i="3"/>
  <c r="F305" i="3"/>
  <c r="E305" i="3"/>
  <c r="D305" i="3"/>
  <c r="C305" i="3"/>
  <c r="B305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G304" i="3"/>
  <c r="F304" i="3"/>
  <c r="E304" i="3"/>
  <c r="D304" i="3"/>
  <c r="C304" i="3"/>
  <c r="B304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G303" i="3"/>
  <c r="F303" i="3"/>
  <c r="E303" i="3"/>
  <c r="D303" i="3"/>
  <c r="C303" i="3"/>
  <c r="B303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G302" i="3"/>
  <c r="F302" i="3"/>
  <c r="E302" i="3"/>
  <c r="D302" i="3"/>
  <c r="C302" i="3"/>
  <c r="B302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G301" i="3"/>
  <c r="F301" i="3"/>
  <c r="E301" i="3"/>
  <c r="D301" i="3"/>
  <c r="C301" i="3"/>
  <c r="B301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G300" i="3"/>
  <c r="F300" i="3"/>
  <c r="E300" i="3"/>
  <c r="D300" i="3"/>
  <c r="C300" i="3"/>
  <c r="B300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G299" i="3"/>
  <c r="F299" i="3"/>
  <c r="E299" i="3"/>
  <c r="D299" i="3"/>
  <c r="C299" i="3"/>
  <c r="B299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G298" i="3"/>
  <c r="F298" i="3"/>
  <c r="E298" i="3"/>
  <c r="D298" i="3"/>
  <c r="C298" i="3"/>
  <c r="B298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G297" i="3"/>
  <c r="F297" i="3"/>
  <c r="E297" i="3"/>
  <c r="D297" i="3"/>
  <c r="C297" i="3"/>
  <c r="B297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G296" i="3"/>
  <c r="F296" i="3"/>
  <c r="E296" i="3"/>
  <c r="D296" i="3"/>
  <c r="C296" i="3"/>
  <c r="B296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G295" i="3"/>
  <c r="F295" i="3"/>
  <c r="E295" i="3"/>
  <c r="D295" i="3"/>
  <c r="C295" i="3"/>
  <c r="B295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G294" i="3"/>
  <c r="F294" i="3"/>
  <c r="E294" i="3"/>
  <c r="D294" i="3"/>
  <c r="C294" i="3"/>
  <c r="B294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G293" i="3"/>
  <c r="F293" i="3"/>
  <c r="E293" i="3"/>
  <c r="D293" i="3"/>
  <c r="C293" i="3"/>
  <c r="B293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G292" i="3"/>
  <c r="F292" i="3"/>
  <c r="E292" i="3"/>
  <c r="D292" i="3"/>
  <c r="C292" i="3"/>
  <c r="B292" i="3"/>
  <c r="Q288" i="3"/>
  <c r="P288" i="3"/>
  <c r="O288" i="3"/>
  <c r="N288" i="3"/>
  <c r="M288" i="3"/>
  <c r="L288" i="3"/>
  <c r="K288" i="3"/>
  <c r="J288" i="3"/>
  <c r="I288" i="3"/>
  <c r="G288" i="3"/>
  <c r="F288" i="3"/>
  <c r="E288" i="3"/>
  <c r="D288" i="3"/>
  <c r="C288" i="3"/>
  <c r="B288" i="3"/>
  <c r="Q287" i="3"/>
  <c r="P287" i="3"/>
  <c r="O287" i="3"/>
  <c r="N287" i="3"/>
  <c r="M287" i="3"/>
  <c r="L287" i="3"/>
  <c r="K287" i="3"/>
  <c r="J287" i="3"/>
  <c r="I287" i="3"/>
  <c r="G287" i="3"/>
  <c r="F287" i="3"/>
  <c r="E287" i="3"/>
  <c r="D287" i="3"/>
  <c r="C287" i="3"/>
  <c r="B287" i="3"/>
  <c r="T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G282" i="3"/>
  <c r="F282" i="3"/>
  <c r="E282" i="3"/>
  <c r="D282" i="3"/>
  <c r="C282" i="3"/>
  <c r="B282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G281" i="3"/>
  <c r="F281" i="3"/>
  <c r="E281" i="3"/>
  <c r="D281" i="3"/>
  <c r="C281" i="3"/>
  <c r="B281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G280" i="3"/>
  <c r="F280" i="3"/>
  <c r="E280" i="3"/>
  <c r="D280" i="3"/>
  <c r="C280" i="3"/>
  <c r="B280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G279" i="3"/>
  <c r="F279" i="3"/>
  <c r="E279" i="3"/>
  <c r="D279" i="3"/>
  <c r="C279" i="3"/>
  <c r="B279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G278" i="3"/>
  <c r="F278" i="3"/>
  <c r="E278" i="3"/>
  <c r="D278" i="3"/>
  <c r="C278" i="3"/>
  <c r="B278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G277" i="3"/>
  <c r="F277" i="3"/>
  <c r="E277" i="3"/>
  <c r="D277" i="3"/>
  <c r="C277" i="3"/>
  <c r="B277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G276" i="3"/>
  <c r="F276" i="3"/>
  <c r="E276" i="3"/>
  <c r="D276" i="3"/>
  <c r="C276" i="3"/>
  <c r="B276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G275" i="3"/>
  <c r="F275" i="3"/>
  <c r="E275" i="3"/>
  <c r="D275" i="3"/>
  <c r="C275" i="3"/>
  <c r="B275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G274" i="3"/>
  <c r="F274" i="3"/>
  <c r="E274" i="3"/>
  <c r="D274" i="3"/>
  <c r="C274" i="3"/>
  <c r="B274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G273" i="3"/>
  <c r="F273" i="3"/>
  <c r="E273" i="3"/>
  <c r="D273" i="3"/>
  <c r="C273" i="3"/>
  <c r="B273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G272" i="3"/>
  <c r="F272" i="3"/>
  <c r="E272" i="3"/>
  <c r="D272" i="3"/>
  <c r="C272" i="3"/>
  <c r="B272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G271" i="3"/>
  <c r="F271" i="3"/>
  <c r="E271" i="3"/>
  <c r="D271" i="3"/>
  <c r="C271" i="3"/>
  <c r="B271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G270" i="3"/>
  <c r="F270" i="3"/>
  <c r="E270" i="3"/>
  <c r="D270" i="3"/>
  <c r="C270" i="3"/>
  <c r="B270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G269" i="3"/>
  <c r="F269" i="3"/>
  <c r="E269" i="3"/>
  <c r="D269" i="3"/>
  <c r="C269" i="3"/>
  <c r="B269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G268" i="3"/>
  <c r="F268" i="3"/>
  <c r="E268" i="3"/>
  <c r="D268" i="3"/>
  <c r="C268" i="3"/>
  <c r="B268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G267" i="3"/>
  <c r="F267" i="3"/>
  <c r="E267" i="3"/>
  <c r="D267" i="3"/>
  <c r="C267" i="3"/>
  <c r="B267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G266" i="3"/>
  <c r="F266" i="3"/>
  <c r="E266" i="3"/>
  <c r="D266" i="3"/>
  <c r="C266" i="3"/>
  <c r="B266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G265" i="3"/>
  <c r="F265" i="3"/>
  <c r="E265" i="3"/>
  <c r="D265" i="3"/>
  <c r="C265" i="3"/>
  <c r="B265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G264" i="3"/>
  <c r="F264" i="3"/>
  <c r="E264" i="3"/>
  <c r="D264" i="3"/>
  <c r="C264" i="3"/>
  <c r="B264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G263" i="3"/>
  <c r="F263" i="3"/>
  <c r="E263" i="3"/>
  <c r="D263" i="3"/>
  <c r="C263" i="3"/>
  <c r="B263" i="3"/>
  <c r="Q259" i="3"/>
  <c r="P259" i="3"/>
  <c r="O259" i="3"/>
  <c r="N259" i="3"/>
  <c r="M259" i="3"/>
  <c r="L259" i="3"/>
  <c r="K259" i="3"/>
  <c r="J259" i="3"/>
  <c r="I259" i="3"/>
  <c r="G259" i="3"/>
  <c r="F259" i="3"/>
  <c r="E259" i="3"/>
  <c r="D259" i="3"/>
  <c r="C259" i="3"/>
  <c r="B259" i="3"/>
  <c r="Q258" i="3"/>
  <c r="P258" i="3"/>
  <c r="O258" i="3"/>
  <c r="N258" i="3"/>
  <c r="M258" i="3"/>
  <c r="L258" i="3"/>
  <c r="K258" i="3"/>
  <c r="J258" i="3"/>
  <c r="I258" i="3"/>
  <c r="G258" i="3"/>
  <c r="F258" i="3"/>
  <c r="E258" i="3"/>
  <c r="D258" i="3"/>
  <c r="C258" i="3"/>
  <c r="B258" i="3"/>
  <c r="T257" i="3"/>
  <c r="Q257" i="3"/>
  <c r="P257" i="3"/>
  <c r="O257" i="3"/>
  <c r="N257" i="3"/>
  <c r="M257" i="3"/>
  <c r="L257" i="3"/>
  <c r="K257" i="3"/>
  <c r="J257" i="3"/>
  <c r="I257" i="3"/>
  <c r="G257" i="3"/>
  <c r="F257" i="3"/>
  <c r="E257" i="3"/>
  <c r="D257" i="3"/>
  <c r="C257" i="3"/>
  <c r="B257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G253" i="3"/>
  <c r="F253" i="3"/>
  <c r="E253" i="3"/>
  <c r="D253" i="3"/>
  <c r="C253" i="3"/>
  <c r="B253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G252" i="3"/>
  <c r="F252" i="3"/>
  <c r="E252" i="3"/>
  <c r="D252" i="3"/>
  <c r="C252" i="3"/>
  <c r="B252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G251" i="3"/>
  <c r="F251" i="3"/>
  <c r="E251" i="3"/>
  <c r="D251" i="3"/>
  <c r="C251" i="3"/>
  <c r="B251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G250" i="3"/>
  <c r="F250" i="3"/>
  <c r="E250" i="3"/>
  <c r="D250" i="3"/>
  <c r="C250" i="3"/>
  <c r="B250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G249" i="3"/>
  <c r="F249" i="3"/>
  <c r="E249" i="3"/>
  <c r="D249" i="3"/>
  <c r="C249" i="3"/>
  <c r="B249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G248" i="3"/>
  <c r="F248" i="3"/>
  <c r="E248" i="3"/>
  <c r="D248" i="3"/>
  <c r="C248" i="3"/>
  <c r="B248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G247" i="3"/>
  <c r="F247" i="3"/>
  <c r="E247" i="3"/>
  <c r="D247" i="3"/>
  <c r="C247" i="3"/>
  <c r="B247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G246" i="3"/>
  <c r="F246" i="3"/>
  <c r="E246" i="3"/>
  <c r="D246" i="3"/>
  <c r="C246" i="3"/>
  <c r="B246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G245" i="3"/>
  <c r="F245" i="3"/>
  <c r="E245" i="3"/>
  <c r="D245" i="3"/>
  <c r="C245" i="3"/>
  <c r="B245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G244" i="3"/>
  <c r="F244" i="3"/>
  <c r="E244" i="3"/>
  <c r="D244" i="3"/>
  <c r="C244" i="3"/>
  <c r="B244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G243" i="3"/>
  <c r="F243" i="3"/>
  <c r="E243" i="3"/>
  <c r="D243" i="3"/>
  <c r="C243" i="3"/>
  <c r="B243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G242" i="3"/>
  <c r="F242" i="3"/>
  <c r="E242" i="3"/>
  <c r="D242" i="3"/>
  <c r="C242" i="3"/>
  <c r="B242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G241" i="3"/>
  <c r="F241" i="3"/>
  <c r="E241" i="3"/>
  <c r="D241" i="3"/>
  <c r="C241" i="3"/>
  <c r="B241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G240" i="3"/>
  <c r="F240" i="3"/>
  <c r="E240" i="3"/>
  <c r="D240" i="3"/>
  <c r="C240" i="3"/>
  <c r="B240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G239" i="3"/>
  <c r="F239" i="3"/>
  <c r="E239" i="3"/>
  <c r="D239" i="3"/>
  <c r="C239" i="3"/>
  <c r="B239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G238" i="3"/>
  <c r="F238" i="3"/>
  <c r="E238" i="3"/>
  <c r="D238" i="3"/>
  <c r="C238" i="3"/>
  <c r="B238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G237" i="3"/>
  <c r="F237" i="3"/>
  <c r="E237" i="3"/>
  <c r="D237" i="3"/>
  <c r="C237" i="3"/>
  <c r="B237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G236" i="3"/>
  <c r="F236" i="3"/>
  <c r="E236" i="3"/>
  <c r="D236" i="3"/>
  <c r="C236" i="3"/>
  <c r="B236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G235" i="3"/>
  <c r="F235" i="3"/>
  <c r="E235" i="3"/>
  <c r="D235" i="3"/>
  <c r="C235" i="3"/>
  <c r="B235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G234" i="3"/>
  <c r="F234" i="3"/>
  <c r="E234" i="3"/>
  <c r="D234" i="3"/>
  <c r="C234" i="3"/>
  <c r="B234" i="3"/>
  <c r="Q230" i="3"/>
  <c r="P230" i="3"/>
  <c r="O230" i="3"/>
  <c r="N230" i="3"/>
  <c r="M230" i="3"/>
  <c r="L230" i="3"/>
  <c r="K230" i="3"/>
  <c r="J230" i="3"/>
  <c r="I230" i="3"/>
  <c r="G230" i="3"/>
  <c r="F230" i="3"/>
  <c r="E230" i="3"/>
  <c r="D230" i="3"/>
  <c r="C230" i="3"/>
  <c r="B230" i="3"/>
  <c r="Q229" i="3"/>
  <c r="P229" i="3"/>
  <c r="O229" i="3"/>
  <c r="N229" i="3"/>
  <c r="M229" i="3"/>
  <c r="L229" i="3"/>
  <c r="K229" i="3"/>
  <c r="J229" i="3"/>
  <c r="I229" i="3"/>
  <c r="G229" i="3"/>
  <c r="F229" i="3"/>
  <c r="E229" i="3"/>
  <c r="D229" i="3"/>
  <c r="C229" i="3"/>
  <c r="B229" i="3"/>
  <c r="T228" i="3"/>
  <c r="Q228" i="3"/>
  <c r="P228" i="3"/>
  <c r="O228" i="3"/>
  <c r="N228" i="3"/>
  <c r="M228" i="3"/>
  <c r="L228" i="3"/>
  <c r="K228" i="3"/>
  <c r="J228" i="3"/>
  <c r="I228" i="3"/>
  <c r="G228" i="3"/>
  <c r="F228" i="3"/>
  <c r="E228" i="3"/>
  <c r="D228" i="3"/>
  <c r="C228" i="3"/>
  <c r="B228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G224" i="3"/>
  <c r="F224" i="3"/>
  <c r="E224" i="3"/>
  <c r="D224" i="3"/>
  <c r="C224" i="3"/>
  <c r="B224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G223" i="3"/>
  <c r="F223" i="3"/>
  <c r="E223" i="3"/>
  <c r="D223" i="3"/>
  <c r="C223" i="3"/>
  <c r="B223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G222" i="3"/>
  <c r="F222" i="3"/>
  <c r="E222" i="3"/>
  <c r="D222" i="3"/>
  <c r="C222" i="3"/>
  <c r="B222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G221" i="3"/>
  <c r="F221" i="3"/>
  <c r="E221" i="3"/>
  <c r="D221" i="3"/>
  <c r="C221" i="3"/>
  <c r="B221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G220" i="3"/>
  <c r="F220" i="3"/>
  <c r="E220" i="3"/>
  <c r="D220" i="3"/>
  <c r="C220" i="3"/>
  <c r="B220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G219" i="3"/>
  <c r="F219" i="3"/>
  <c r="E219" i="3"/>
  <c r="D219" i="3"/>
  <c r="C219" i="3"/>
  <c r="B219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G218" i="3"/>
  <c r="F218" i="3"/>
  <c r="E218" i="3"/>
  <c r="D218" i="3"/>
  <c r="C218" i="3"/>
  <c r="B218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G217" i="3"/>
  <c r="F217" i="3"/>
  <c r="E217" i="3"/>
  <c r="D217" i="3"/>
  <c r="C217" i="3"/>
  <c r="B217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G216" i="3"/>
  <c r="F216" i="3"/>
  <c r="E216" i="3"/>
  <c r="D216" i="3"/>
  <c r="C216" i="3"/>
  <c r="B216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G215" i="3"/>
  <c r="F215" i="3"/>
  <c r="E215" i="3"/>
  <c r="D215" i="3"/>
  <c r="C215" i="3"/>
  <c r="B215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G214" i="3"/>
  <c r="F214" i="3"/>
  <c r="E214" i="3"/>
  <c r="D214" i="3"/>
  <c r="C214" i="3"/>
  <c r="B214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G213" i="3"/>
  <c r="F213" i="3"/>
  <c r="E213" i="3"/>
  <c r="D213" i="3"/>
  <c r="C213" i="3"/>
  <c r="B213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G212" i="3"/>
  <c r="F212" i="3"/>
  <c r="E212" i="3"/>
  <c r="D212" i="3"/>
  <c r="C212" i="3"/>
  <c r="B212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G211" i="3"/>
  <c r="F211" i="3"/>
  <c r="E211" i="3"/>
  <c r="D211" i="3"/>
  <c r="C211" i="3"/>
  <c r="B211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G210" i="3"/>
  <c r="F210" i="3"/>
  <c r="E210" i="3"/>
  <c r="D210" i="3"/>
  <c r="C210" i="3"/>
  <c r="B210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G209" i="3"/>
  <c r="F209" i="3"/>
  <c r="E209" i="3"/>
  <c r="D209" i="3"/>
  <c r="C209" i="3"/>
  <c r="B209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G208" i="3"/>
  <c r="F208" i="3"/>
  <c r="E208" i="3"/>
  <c r="D208" i="3"/>
  <c r="C208" i="3"/>
  <c r="B208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G207" i="3"/>
  <c r="F207" i="3"/>
  <c r="E207" i="3"/>
  <c r="D207" i="3"/>
  <c r="C207" i="3"/>
  <c r="B207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G206" i="3"/>
  <c r="F206" i="3"/>
  <c r="E206" i="3"/>
  <c r="D206" i="3"/>
  <c r="C206" i="3"/>
  <c r="B206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G205" i="3"/>
  <c r="F205" i="3"/>
  <c r="E205" i="3"/>
  <c r="D205" i="3"/>
  <c r="C205" i="3"/>
  <c r="B205" i="3"/>
  <c r="Q201" i="3"/>
  <c r="P201" i="3"/>
  <c r="O201" i="3"/>
  <c r="N201" i="3"/>
  <c r="M201" i="3"/>
  <c r="L201" i="3"/>
  <c r="K201" i="3"/>
  <c r="J201" i="3"/>
  <c r="I201" i="3"/>
  <c r="G201" i="3"/>
  <c r="F201" i="3"/>
  <c r="E201" i="3"/>
  <c r="D201" i="3"/>
  <c r="C201" i="3"/>
  <c r="B201" i="3"/>
  <c r="Q200" i="3"/>
  <c r="P200" i="3"/>
  <c r="O200" i="3"/>
  <c r="N200" i="3"/>
  <c r="M200" i="3"/>
  <c r="L200" i="3"/>
  <c r="K200" i="3"/>
  <c r="J200" i="3"/>
  <c r="I200" i="3"/>
  <c r="G200" i="3"/>
  <c r="F200" i="3"/>
  <c r="E200" i="3"/>
  <c r="D200" i="3"/>
  <c r="C200" i="3"/>
  <c r="B200" i="3"/>
  <c r="T199" i="3"/>
  <c r="Q199" i="3"/>
  <c r="P199" i="3"/>
  <c r="O199" i="3"/>
  <c r="N199" i="3"/>
  <c r="M199" i="3"/>
  <c r="L199" i="3"/>
  <c r="K199" i="3"/>
  <c r="J199" i="3"/>
  <c r="I199" i="3"/>
  <c r="G199" i="3"/>
  <c r="F199" i="3"/>
  <c r="E199" i="3"/>
  <c r="D199" i="3"/>
  <c r="C199" i="3"/>
  <c r="B199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G195" i="3"/>
  <c r="F195" i="3"/>
  <c r="E195" i="3"/>
  <c r="D195" i="3"/>
  <c r="C195" i="3"/>
  <c r="B195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G194" i="3"/>
  <c r="F194" i="3"/>
  <c r="E194" i="3"/>
  <c r="D194" i="3"/>
  <c r="C194" i="3"/>
  <c r="B194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G193" i="3"/>
  <c r="F193" i="3"/>
  <c r="E193" i="3"/>
  <c r="D193" i="3"/>
  <c r="C193" i="3"/>
  <c r="B193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G192" i="3"/>
  <c r="F192" i="3"/>
  <c r="E192" i="3"/>
  <c r="D192" i="3"/>
  <c r="C192" i="3"/>
  <c r="B192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G191" i="3"/>
  <c r="F191" i="3"/>
  <c r="E191" i="3"/>
  <c r="D191" i="3"/>
  <c r="C191" i="3"/>
  <c r="B191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G190" i="3"/>
  <c r="F190" i="3"/>
  <c r="E190" i="3"/>
  <c r="D190" i="3"/>
  <c r="C190" i="3"/>
  <c r="B190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G189" i="3"/>
  <c r="F189" i="3"/>
  <c r="E189" i="3"/>
  <c r="D189" i="3"/>
  <c r="C189" i="3"/>
  <c r="B189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G188" i="3"/>
  <c r="F188" i="3"/>
  <c r="E188" i="3"/>
  <c r="D188" i="3"/>
  <c r="C188" i="3"/>
  <c r="B188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G187" i="3"/>
  <c r="F187" i="3"/>
  <c r="E187" i="3"/>
  <c r="D187" i="3"/>
  <c r="C187" i="3"/>
  <c r="B187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G186" i="3"/>
  <c r="F186" i="3"/>
  <c r="E186" i="3"/>
  <c r="D186" i="3"/>
  <c r="C186" i="3"/>
  <c r="B186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G185" i="3"/>
  <c r="F185" i="3"/>
  <c r="E185" i="3"/>
  <c r="D185" i="3"/>
  <c r="C185" i="3"/>
  <c r="B185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G184" i="3"/>
  <c r="F184" i="3"/>
  <c r="E184" i="3"/>
  <c r="D184" i="3"/>
  <c r="C184" i="3"/>
  <c r="B184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G183" i="3"/>
  <c r="F183" i="3"/>
  <c r="E183" i="3"/>
  <c r="D183" i="3"/>
  <c r="C183" i="3"/>
  <c r="B183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G182" i="3"/>
  <c r="F182" i="3"/>
  <c r="E182" i="3"/>
  <c r="D182" i="3"/>
  <c r="C182" i="3"/>
  <c r="B182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G181" i="3"/>
  <c r="F181" i="3"/>
  <c r="E181" i="3"/>
  <c r="D181" i="3"/>
  <c r="C181" i="3"/>
  <c r="B181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G180" i="3"/>
  <c r="F180" i="3"/>
  <c r="E180" i="3"/>
  <c r="D180" i="3"/>
  <c r="C180" i="3"/>
  <c r="B180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G179" i="3"/>
  <c r="F179" i="3"/>
  <c r="E179" i="3"/>
  <c r="D179" i="3"/>
  <c r="C179" i="3"/>
  <c r="B179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G178" i="3"/>
  <c r="F178" i="3"/>
  <c r="E178" i="3"/>
  <c r="D178" i="3"/>
  <c r="C178" i="3"/>
  <c r="B178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G177" i="3"/>
  <c r="F177" i="3"/>
  <c r="E177" i="3"/>
  <c r="D177" i="3"/>
  <c r="C177" i="3"/>
  <c r="B177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G176" i="3"/>
  <c r="F176" i="3"/>
  <c r="E176" i="3"/>
  <c r="D176" i="3"/>
  <c r="C176" i="3"/>
  <c r="B176" i="3"/>
  <c r="Q172" i="3"/>
  <c r="P172" i="3"/>
  <c r="O172" i="3"/>
  <c r="N172" i="3"/>
  <c r="M172" i="3"/>
  <c r="L172" i="3"/>
  <c r="K172" i="3"/>
  <c r="J172" i="3"/>
  <c r="I172" i="3"/>
  <c r="G172" i="3"/>
  <c r="F172" i="3"/>
  <c r="E172" i="3"/>
  <c r="D172" i="3"/>
  <c r="C172" i="3"/>
  <c r="B172" i="3"/>
  <c r="Q171" i="3"/>
  <c r="P171" i="3"/>
  <c r="O171" i="3"/>
  <c r="N171" i="3"/>
  <c r="M171" i="3"/>
  <c r="L171" i="3"/>
  <c r="K171" i="3"/>
  <c r="J171" i="3"/>
  <c r="I171" i="3"/>
  <c r="G171" i="3"/>
  <c r="F171" i="3"/>
  <c r="E171" i="3"/>
  <c r="D171" i="3"/>
  <c r="C171" i="3"/>
  <c r="B171" i="3"/>
  <c r="T170" i="3"/>
  <c r="Q170" i="3"/>
  <c r="P170" i="3"/>
  <c r="O170" i="3"/>
  <c r="N170" i="3"/>
  <c r="M170" i="3"/>
  <c r="L170" i="3"/>
  <c r="K170" i="3"/>
  <c r="J170" i="3"/>
  <c r="I170" i="3"/>
  <c r="G170" i="3"/>
  <c r="F170" i="3"/>
  <c r="E170" i="3"/>
  <c r="D170" i="3"/>
  <c r="C170" i="3"/>
  <c r="B170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G166" i="3"/>
  <c r="F166" i="3"/>
  <c r="E166" i="3"/>
  <c r="D166" i="3"/>
  <c r="C166" i="3"/>
  <c r="B166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G165" i="3"/>
  <c r="F165" i="3"/>
  <c r="E165" i="3"/>
  <c r="D165" i="3"/>
  <c r="C165" i="3"/>
  <c r="B165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G164" i="3"/>
  <c r="F164" i="3"/>
  <c r="E164" i="3"/>
  <c r="D164" i="3"/>
  <c r="C164" i="3"/>
  <c r="B164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G163" i="3"/>
  <c r="F163" i="3"/>
  <c r="E163" i="3"/>
  <c r="D163" i="3"/>
  <c r="C163" i="3"/>
  <c r="B163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G162" i="3"/>
  <c r="F162" i="3"/>
  <c r="E162" i="3"/>
  <c r="D162" i="3"/>
  <c r="C162" i="3"/>
  <c r="B162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G161" i="3"/>
  <c r="F161" i="3"/>
  <c r="E161" i="3"/>
  <c r="D161" i="3"/>
  <c r="C161" i="3"/>
  <c r="B161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G160" i="3"/>
  <c r="F160" i="3"/>
  <c r="E160" i="3"/>
  <c r="D160" i="3"/>
  <c r="C160" i="3"/>
  <c r="B160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G159" i="3"/>
  <c r="F159" i="3"/>
  <c r="E159" i="3"/>
  <c r="D159" i="3"/>
  <c r="C159" i="3"/>
  <c r="B159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G158" i="3"/>
  <c r="F158" i="3"/>
  <c r="E158" i="3"/>
  <c r="D158" i="3"/>
  <c r="C158" i="3"/>
  <c r="B158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G157" i="3"/>
  <c r="F157" i="3"/>
  <c r="E157" i="3"/>
  <c r="D157" i="3"/>
  <c r="C157" i="3"/>
  <c r="B157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G156" i="3"/>
  <c r="F156" i="3"/>
  <c r="E156" i="3"/>
  <c r="D156" i="3"/>
  <c r="C156" i="3"/>
  <c r="B156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G155" i="3"/>
  <c r="F155" i="3"/>
  <c r="E155" i="3"/>
  <c r="D155" i="3"/>
  <c r="C155" i="3"/>
  <c r="B155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G154" i="3"/>
  <c r="F154" i="3"/>
  <c r="E154" i="3"/>
  <c r="D154" i="3"/>
  <c r="C154" i="3"/>
  <c r="B154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G153" i="3"/>
  <c r="F153" i="3"/>
  <c r="E153" i="3"/>
  <c r="D153" i="3"/>
  <c r="C153" i="3"/>
  <c r="B153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G152" i="3"/>
  <c r="F152" i="3"/>
  <c r="E152" i="3"/>
  <c r="D152" i="3"/>
  <c r="C152" i="3"/>
  <c r="B152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G151" i="3"/>
  <c r="F151" i="3"/>
  <c r="E151" i="3"/>
  <c r="D151" i="3"/>
  <c r="C151" i="3"/>
  <c r="B151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G150" i="3"/>
  <c r="F150" i="3"/>
  <c r="E150" i="3"/>
  <c r="D150" i="3"/>
  <c r="C150" i="3"/>
  <c r="B150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G149" i="3"/>
  <c r="F149" i="3"/>
  <c r="E149" i="3"/>
  <c r="D149" i="3"/>
  <c r="C149" i="3"/>
  <c r="B149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G148" i="3"/>
  <c r="F148" i="3"/>
  <c r="E148" i="3"/>
  <c r="D148" i="3"/>
  <c r="C148" i="3"/>
  <c r="B148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G147" i="3"/>
  <c r="F147" i="3"/>
  <c r="E147" i="3"/>
  <c r="D147" i="3"/>
  <c r="C147" i="3"/>
  <c r="B147" i="3"/>
  <c r="Q143" i="3"/>
  <c r="P143" i="3"/>
  <c r="O143" i="3"/>
  <c r="N143" i="3"/>
  <c r="M143" i="3"/>
  <c r="L143" i="3"/>
  <c r="K143" i="3"/>
  <c r="J143" i="3"/>
  <c r="I143" i="3"/>
  <c r="G143" i="3"/>
  <c r="F143" i="3"/>
  <c r="E143" i="3"/>
  <c r="D143" i="3"/>
  <c r="C143" i="3"/>
  <c r="B143" i="3"/>
  <c r="Q142" i="3"/>
  <c r="P142" i="3"/>
  <c r="O142" i="3"/>
  <c r="N142" i="3"/>
  <c r="M142" i="3"/>
  <c r="L142" i="3"/>
  <c r="K142" i="3"/>
  <c r="J142" i="3"/>
  <c r="I142" i="3"/>
  <c r="G142" i="3"/>
  <c r="F142" i="3"/>
  <c r="E142" i="3"/>
  <c r="D142" i="3"/>
  <c r="C142" i="3"/>
  <c r="B142" i="3"/>
  <c r="T141" i="3"/>
  <c r="Q141" i="3"/>
  <c r="P141" i="3"/>
  <c r="O141" i="3"/>
  <c r="N141" i="3"/>
  <c r="M141" i="3"/>
  <c r="L141" i="3"/>
  <c r="K141" i="3"/>
  <c r="J141" i="3"/>
  <c r="I141" i="3"/>
  <c r="G141" i="3"/>
  <c r="F141" i="3"/>
  <c r="E141" i="3"/>
  <c r="D141" i="3"/>
  <c r="C141" i="3"/>
  <c r="B141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G137" i="3"/>
  <c r="F137" i="3"/>
  <c r="E137" i="3"/>
  <c r="D137" i="3"/>
  <c r="C137" i="3"/>
  <c r="B137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G136" i="3"/>
  <c r="F136" i="3"/>
  <c r="E136" i="3"/>
  <c r="D136" i="3"/>
  <c r="C136" i="3"/>
  <c r="B136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G135" i="3"/>
  <c r="F135" i="3"/>
  <c r="E135" i="3"/>
  <c r="D135" i="3"/>
  <c r="C135" i="3"/>
  <c r="B135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G134" i="3"/>
  <c r="F134" i="3"/>
  <c r="E134" i="3"/>
  <c r="D134" i="3"/>
  <c r="C134" i="3"/>
  <c r="B134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G133" i="3"/>
  <c r="F133" i="3"/>
  <c r="E133" i="3"/>
  <c r="D133" i="3"/>
  <c r="C133" i="3"/>
  <c r="B133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G132" i="3"/>
  <c r="F132" i="3"/>
  <c r="E132" i="3"/>
  <c r="D132" i="3"/>
  <c r="C132" i="3"/>
  <c r="B132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G131" i="3"/>
  <c r="F131" i="3"/>
  <c r="E131" i="3"/>
  <c r="D131" i="3"/>
  <c r="C131" i="3"/>
  <c r="B131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G130" i="3"/>
  <c r="F130" i="3"/>
  <c r="E130" i="3"/>
  <c r="D130" i="3"/>
  <c r="C130" i="3"/>
  <c r="B130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G129" i="3"/>
  <c r="F129" i="3"/>
  <c r="E129" i="3"/>
  <c r="D129" i="3"/>
  <c r="C129" i="3"/>
  <c r="B129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G128" i="3"/>
  <c r="F128" i="3"/>
  <c r="E128" i="3"/>
  <c r="D128" i="3"/>
  <c r="C128" i="3"/>
  <c r="B128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G127" i="3"/>
  <c r="F127" i="3"/>
  <c r="E127" i="3"/>
  <c r="D127" i="3"/>
  <c r="C127" i="3"/>
  <c r="B127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G126" i="3"/>
  <c r="F126" i="3"/>
  <c r="E126" i="3"/>
  <c r="D126" i="3"/>
  <c r="C126" i="3"/>
  <c r="B126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G125" i="3"/>
  <c r="F125" i="3"/>
  <c r="E125" i="3"/>
  <c r="D125" i="3"/>
  <c r="C125" i="3"/>
  <c r="B125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G124" i="3"/>
  <c r="F124" i="3"/>
  <c r="E124" i="3"/>
  <c r="D124" i="3"/>
  <c r="C124" i="3"/>
  <c r="B124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G123" i="3"/>
  <c r="F123" i="3"/>
  <c r="E123" i="3"/>
  <c r="D123" i="3"/>
  <c r="C123" i="3"/>
  <c r="B123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G122" i="3"/>
  <c r="F122" i="3"/>
  <c r="E122" i="3"/>
  <c r="D122" i="3"/>
  <c r="C122" i="3"/>
  <c r="B122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G121" i="3"/>
  <c r="F121" i="3"/>
  <c r="E121" i="3"/>
  <c r="D121" i="3"/>
  <c r="C121" i="3"/>
  <c r="B121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G120" i="3"/>
  <c r="F120" i="3"/>
  <c r="E120" i="3"/>
  <c r="D120" i="3"/>
  <c r="C120" i="3"/>
  <c r="B120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G119" i="3"/>
  <c r="F119" i="3"/>
  <c r="E119" i="3"/>
  <c r="D119" i="3"/>
  <c r="C119" i="3"/>
  <c r="B119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G118" i="3"/>
  <c r="F118" i="3"/>
  <c r="E118" i="3"/>
  <c r="D118" i="3"/>
  <c r="C118" i="3"/>
  <c r="B118" i="3"/>
  <c r="Q114" i="3"/>
  <c r="P114" i="3"/>
  <c r="O114" i="3"/>
  <c r="N114" i="3"/>
  <c r="M114" i="3"/>
  <c r="L114" i="3"/>
  <c r="K114" i="3"/>
  <c r="J114" i="3"/>
  <c r="I114" i="3"/>
  <c r="G114" i="3"/>
  <c r="F114" i="3"/>
  <c r="E114" i="3"/>
  <c r="D114" i="3"/>
  <c r="C114" i="3"/>
  <c r="B114" i="3"/>
  <c r="Q113" i="3"/>
  <c r="P113" i="3"/>
  <c r="O113" i="3"/>
  <c r="N113" i="3"/>
  <c r="M113" i="3"/>
  <c r="L113" i="3"/>
  <c r="K113" i="3"/>
  <c r="J113" i="3"/>
  <c r="I113" i="3"/>
  <c r="G113" i="3"/>
  <c r="F113" i="3"/>
  <c r="E113" i="3"/>
  <c r="D113" i="3"/>
  <c r="C113" i="3"/>
  <c r="B113" i="3"/>
  <c r="T112" i="3"/>
  <c r="Q112" i="3"/>
  <c r="P112" i="3"/>
  <c r="O112" i="3"/>
  <c r="N112" i="3"/>
  <c r="M112" i="3"/>
  <c r="L112" i="3"/>
  <c r="K112" i="3"/>
  <c r="J112" i="3"/>
  <c r="I112" i="3"/>
  <c r="G112" i="3"/>
  <c r="F112" i="3"/>
  <c r="E112" i="3"/>
  <c r="D112" i="3"/>
  <c r="C112" i="3"/>
  <c r="B112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G108" i="3"/>
  <c r="F108" i="3"/>
  <c r="E108" i="3"/>
  <c r="D108" i="3"/>
  <c r="C108" i="3"/>
  <c r="B108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G107" i="3"/>
  <c r="F107" i="3"/>
  <c r="E107" i="3"/>
  <c r="D107" i="3"/>
  <c r="C107" i="3"/>
  <c r="B107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G106" i="3"/>
  <c r="F106" i="3"/>
  <c r="E106" i="3"/>
  <c r="D106" i="3"/>
  <c r="C106" i="3"/>
  <c r="B106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G105" i="3"/>
  <c r="F105" i="3"/>
  <c r="E105" i="3"/>
  <c r="D105" i="3"/>
  <c r="C105" i="3"/>
  <c r="B105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G104" i="3"/>
  <c r="F104" i="3"/>
  <c r="E104" i="3"/>
  <c r="D104" i="3"/>
  <c r="C104" i="3"/>
  <c r="B104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G103" i="3"/>
  <c r="F103" i="3"/>
  <c r="E103" i="3"/>
  <c r="D103" i="3"/>
  <c r="C103" i="3"/>
  <c r="B103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G102" i="3"/>
  <c r="F102" i="3"/>
  <c r="E102" i="3"/>
  <c r="D102" i="3"/>
  <c r="C102" i="3"/>
  <c r="B102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G101" i="3"/>
  <c r="F101" i="3"/>
  <c r="E101" i="3"/>
  <c r="D101" i="3"/>
  <c r="C101" i="3"/>
  <c r="B101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G100" i="3"/>
  <c r="F100" i="3"/>
  <c r="E100" i="3"/>
  <c r="D100" i="3"/>
  <c r="C100" i="3"/>
  <c r="B100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G99" i="3"/>
  <c r="F99" i="3"/>
  <c r="E99" i="3"/>
  <c r="D99" i="3"/>
  <c r="C99" i="3"/>
  <c r="B99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G98" i="3"/>
  <c r="F98" i="3"/>
  <c r="E98" i="3"/>
  <c r="D98" i="3"/>
  <c r="C98" i="3"/>
  <c r="B98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G97" i="3"/>
  <c r="F97" i="3"/>
  <c r="E97" i="3"/>
  <c r="D97" i="3"/>
  <c r="C97" i="3"/>
  <c r="B97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G96" i="3"/>
  <c r="F96" i="3"/>
  <c r="E96" i="3"/>
  <c r="D96" i="3"/>
  <c r="C96" i="3"/>
  <c r="B96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G95" i="3"/>
  <c r="F95" i="3"/>
  <c r="E95" i="3"/>
  <c r="D95" i="3"/>
  <c r="C95" i="3"/>
  <c r="B95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G94" i="3"/>
  <c r="F94" i="3"/>
  <c r="E94" i="3"/>
  <c r="D94" i="3"/>
  <c r="C94" i="3"/>
  <c r="B94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G93" i="3"/>
  <c r="F93" i="3"/>
  <c r="E93" i="3"/>
  <c r="D93" i="3"/>
  <c r="C93" i="3"/>
  <c r="B93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G92" i="3"/>
  <c r="F92" i="3"/>
  <c r="E92" i="3"/>
  <c r="D92" i="3"/>
  <c r="C92" i="3"/>
  <c r="B92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G91" i="3"/>
  <c r="F91" i="3"/>
  <c r="E91" i="3"/>
  <c r="D91" i="3"/>
  <c r="C91" i="3"/>
  <c r="B91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G90" i="3"/>
  <c r="F90" i="3"/>
  <c r="E90" i="3"/>
  <c r="D90" i="3"/>
  <c r="C90" i="3"/>
  <c r="B90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G89" i="3"/>
  <c r="F89" i="3"/>
  <c r="E89" i="3"/>
  <c r="D89" i="3"/>
  <c r="C89" i="3"/>
  <c r="B89" i="3"/>
  <c r="Q85" i="3"/>
  <c r="P85" i="3"/>
  <c r="O85" i="3"/>
  <c r="N85" i="3"/>
  <c r="M85" i="3"/>
  <c r="L85" i="3"/>
  <c r="K85" i="3"/>
  <c r="J85" i="3"/>
  <c r="I85" i="3"/>
  <c r="G85" i="3"/>
  <c r="F85" i="3"/>
  <c r="E85" i="3"/>
  <c r="D85" i="3"/>
  <c r="C85" i="3"/>
  <c r="B85" i="3"/>
  <c r="Q84" i="3"/>
  <c r="P84" i="3"/>
  <c r="O84" i="3"/>
  <c r="N84" i="3"/>
  <c r="M84" i="3"/>
  <c r="L84" i="3"/>
  <c r="K84" i="3"/>
  <c r="J84" i="3"/>
  <c r="I84" i="3"/>
  <c r="G84" i="3"/>
  <c r="F84" i="3"/>
  <c r="E84" i="3"/>
  <c r="D84" i="3"/>
  <c r="C84" i="3"/>
  <c r="B84" i="3"/>
  <c r="T83" i="3"/>
  <c r="Q83" i="3"/>
  <c r="P83" i="3"/>
  <c r="O83" i="3"/>
  <c r="N83" i="3"/>
  <c r="M83" i="3"/>
  <c r="L83" i="3"/>
  <c r="K83" i="3"/>
  <c r="J83" i="3"/>
  <c r="I83" i="3"/>
  <c r="G83" i="3"/>
  <c r="F83" i="3"/>
  <c r="E83" i="3"/>
  <c r="D83" i="3"/>
  <c r="C83" i="3"/>
  <c r="B83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G79" i="3"/>
  <c r="F79" i="3"/>
  <c r="E79" i="3"/>
  <c r="D79" i="3"/>
  <c r="C79" i="3"/>
  <c r="B79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G78" i="3"/>
  <c r="F78" i="3"/>
  <c r="E78" i="3"/>
  <c r="D78" i="3"/>
  <c r="C78" i="3"/>
  <c r="B78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G77" i="3"/>
  <c r="F77" i="3"/>
  <c r="E77" i="3"/>
  <c r="D77" i="3"/>
  <c r="C77" i="3"/>
  <c r="B77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G76" i="3"/>
  <c r="F76" i="3"/>
  <c r="E76" i="3"/>
  <c r="D76" i="3"/>
  <c r="C76" i="3"/>
  <c r="B76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G75" i="3"/>
  <c r="F75" i="3"/>
  <c r="E75" i="3"/>
  <c r="D75" i="3"/>
  <c r="C75" i="3"/>
  <c r="B75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G74" i="3"/>
  <c r="F74" i="3"/>
  <c r="E74" i="3"/>
  <c r="D74" i="3"/>
  <c r="C74" i="3"/>
  <c r="B74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G73" i="3"/>
  <c r="F73" i="3"/>
  <c r="E73" i="3"/>
  <c r="D73" i="3"/>
  <c r="C73" i="3"/>
  <c r="B73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G72" i="3"/>
  <c r="F72" i="3"/>
  <c r="E72" i="3"/>
  <c r="D72" i="3"/>
  <c r="C72" i="3"/>
  <c r="B72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G71" i="3"/>
  <c r="F71" i="3"/>
  <c r="E71" i="3"/>
  <c r="D71" i="3"/>
  <c r="C71" i="3"/>
  <c r="B71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G70" i="3"/>
  <c r="F70" i="3"/>
  <c r="E70" i="3"/>
  <c r="D70" i="3"/>
  <c r="C70" i="3"/>
  <c r="B70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G69" i="3"/>
  <c r="F69" i="3"/>
  <c r="E69" i="3"/>
  <c r="D69" i="3"/>
  <c r="C69" i="3"/>
  <c r="B69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G68" i="3"/>
  <c r="F68" i="3"/>
  <c r="E68" i="3"/>
  <c r="D68" i="3"/>
  <c r="C68" i="3"/>
  <c r="B68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G67" i="3"/>
  <c r="F67" i="3"/>
  <c r="E67" i="3"/>
  <c r="D67" i="3"/>
  <c r="C67" i="3"/>
  <c r="B67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G66" i="3"/>
  <c r="F66" i="3"/>
  <c r="E66" i="3"/>
  <c r="D66" i="3"/>
  <c r="C66" i="3"/>
  <c r="B66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G65" i="3"/>
  <c r="F65" i="3"/>
  <c r="E65" i="3"/>
  <c r="D65" i="3"/>
  <c r="C65" i="3"/>
  <c r="B65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G64" i="3"/>
  <c r="F64" i="3"/>
  <c r="E64" i="3"/>
  <c r="D64" i="3"/>
  <c r="C64" i="3"/>
  <c r="B64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G63" i="3"/>
  <c r="F63" i="3"/>
  <c r="E63" i="3"/>
  <c r="D63" i="3"/>
  <c r="C63" i="3"/>
  <c r="B63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G62" i="3"/>
  <c r="F62" i="3"/>
  <c r="E62" i="3"/>
  <c r="D62" i="3"/>
  <c r="C62" i="3"/>
  <c r="B62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G61" i="3"/>
  <c r="F61" i="3"/>
  <c r="E61" i="3"/>
  <c r="D61" i="3"/>
  <c r="C61" i="3"/>
  <c r="B61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G60" i="3"/>
  <c r="F60" i="3"/>
  <c r="E60" i="3"/>
  <c r="D60" i="3"/>
  <c r="C60" i="3"/>
  <c r="B60" i="3"/>
  <c r="Q56" i="3"/>
  <c r="P56" i="3"/>
  <c r="O56" i="3"/>
  <c r="N56" i="3"/>
  <c r="M56" i="3"/>
  <c r="L56" i="3"/>
  <c r="K56" i="3"/>
  <c r="J56" i="3"/>
  <c r="I56" i="3"/>
  <c r="G56" i="3"/>
  <c r="F56" i="3"/>
  <c r="E56" i="3"/>
  <c r="D56" i="3"/>
  <c r="C56" i="3"/>
  <c r="B56" i="3"/>
  <c r="Q55" i="3"/>
  <c r="P55" i="3"/>
  <c r="O55" i="3"/>
  <c r="N55" i="3"/>
  <c r="M55" i="3"/>
  <c r="L55" i="3"/>
  <c r="K55" i="3"/>
  <c r="J55" i="3"/>
  <c r="I55" i="3"/>
  <c r="G55" i="3"/>
  <c r="F55" i="3"/>
  <c r="E55" i="3"/>
  <c r="D55" i="3"/>
  <c r="C55" i="3"/>
  <c r="B55" i="3"/>
  <c r="T54" i="3"/>
  <c r="Q54" i="3"/>
  <c r="P54" i="3"/>
  <c r="O54" i="3"/>
  <c r="N54" i="3"/>
  <c r="M54" i="3"/>
  <c r="L54" i="3"/>
  <c r="K54" i="3"/>
  <c r="J54" i="3"/>
  <c r="I54" i="3"/>
  <c r="G54" i="3"/>
  <c r="F54" i="3"/>
  <c r="E54" i="3"/>
  <c r="D54" i="3"/>
  <c r="C54" i="3"/>
  <c r="B54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G50" i="3"/>
  <c r="F50" i="3"/>
  <c r="E50" i="3"/>
  <c r="D50" i="3"/>
  <c r="C50" i="3"/>
  <c r="B50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G49" i="3"/>
  <c r="F49" i="3"/>
  <c r="E49" i="3"/>
  <c r="D49" i="3"/>
  <c r="C49" i="3"/>
  <c r="B49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G48" i="3"/>
  <c r="F48" i="3"/>
  <c r="E48" i="3"/>
  <c r="D48" i="3"/>
  <c r="C48" i="3"/>
  <c r="B48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G47" i="3"/>
  <c r="F47" i="3"/>
  <c r="E47" i="3"/>
  <c r="D47" i="3"/>
  <c r="C47" i="3"/>
  <c r="B47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G46" i="3"/>
  <c r="F46" i="3"/>
  <c r="E46" i="3"/>
  <c r="D46" i="3"/>
  <c r="C46" i="3"/>
  <c r="B46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G45" i="3"/>
  <c r="F45" i="3"/>
  <c r="E45" i="3"/>
  <c r="D45" i="3"/>
  <c r="C45" i="3"/>
  <c r="B45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G44" i="3"/>
  <c r="F44" i="3"/>
  <c r="E44" i="3"/>
  <c r="D44" i="3"/>
  <c r="C44" i="3"/>
  <c r="B44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G43" i="3"/>
  <c r="F43" i="3"/>
  <c r="E43" i="3"/>
  <c r="D43" i="3"/>
  <c r="C43" i="3"/>
  <c r="B43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G42" i="3"/>
  <c r="F42" i="3"/>
  <c r="E42" i="3"/>
  <c r="D42" i="3"/>
  <c r="C42" i="3"/>
  <c r="B42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G41" i="3"/>
  <c r="F41" i="3"/>
  <c r="E41" i="3"/>
  <c r="D41" i="3"/>
  <c r="C41" i="3"/>
  <c r="B41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G40" i="3"/>
  <c r="F40" i="3"/>
  <c r="E40" i="3"/>
  <c r="D40" i="3"/>
  <c r="C40" i="3"/>
  <c r="B40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G39" i="3"/>
  <c r="F39" i="3"/>
  <c r="E39" i="3"/>
  <c r="D39" i="3"/>
  <c r="C39" i="3"/>
  <c r="B39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G38" i="3"/>
  <c r="F38" i="3"/>
  <c r="E38" i="3"/>
  <c r="D38" i="3"/>
  <c r="C38" i="3"/>
  <c r="B38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G37" i="3"/>
  <c r="F37" i="3"/>
  <c r="E37" i="3"/>
  <c r="D37" i="3"/>
  <c r="C37" i="3"/>
  <c r="B37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G36" i="3"/>
  <c r="F36" i="3"/>
  <c r="E36" i="3"/>
  <c r="D36" i="3"/>
  <c r="C36" i="3"/>
  <c r="B36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G35" i="3"/>
  <c r="F35" i="3"/>
  <c r="E35" i="3"/>
  <c r="D35" i="3"/>
  <c r="C35" i="3"/>
  <c r="B35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G34" i="3"/>
  <c r="F34" i="3"/>
  <c r="E34" i="3"/>
  <c r="D34" i="3"/>
  <c r="C34" i="3"/>
  <c r="B34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G33" i="3"/>
  <c r="F33" i="3"/>
  <c r="E33" i="3"/>
  <c r="D33" i="3"/>
  <c r="C33" i="3"/>
  <c r="B33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G32" i="3"/>
  <c r="F32" i="3"/>
  <c r="E32" i="3"/>
  <c r="D32" i="3"/>
  <c r="C32" i="3"/>
  <c r="B32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G31" i="3"/>
  <c r="F31" i="3"/>
  <c r="E31" i="3"/>
  <c r="D31" i="3"/>
  <c r="C31" i="3"/>
  <c r="B31" i="3"/>
  <c r="Q27" i="3"/>
  <c r="P27" i="3"/>
  <c r="O27" i="3"/>
  <c r="N27" i="3"/>
  <c r="M27" i="3"/>
  <c r="L27" i="3"/>
  <c r="K27" i="3"/>
  <c r="J27" i="3"/>
  <c r="I27" i="3"/>
  <c r="G27" i="3"/>
  <c r="F27" i="3"/>
  <c r="E27" i="3"/>
  <c r="D27" i="3"/>
  <c r="C27" i="3"/>
  <c r="B27" i="3"/>
  <c r="Q26" i="3"/>
  <c r="P26" i="3"/>
  <c r="O26" i="3"/>
  <c r="N26" i="3"/>
  <c r="M26" i="3"/>
  <c r="L26" i="3"/>
  <c r="K26" i="3"/>
  <c r="J26" i="3"/>
  <c r="I26" i="3"/>
  <c r="G26" i="3"/>
  <c r="F26" i="3"/>
  <c r="E26" i="3"/>
  <c r="D26" i="3"/>
  <c r="C26" i="3"/>
  <c r="B26" i="3"/>
  <c r="T25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G21" i="3"/>
  <c r="F21" i="3"/>
  <c r="E21" i="3"/>
  <c r="D21" i="3"/>
  <c r="C21" i="3"/>
  <c r="B21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G20" i="3"/>
  <c r="F20" i="3"/>
  <c r="E20" i="3"/>
  <c r="D20" i="3"/>
  <c r="C20" i="3"/>
  <c r="B20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G19" i="3"/>
  <c r="F19" i="3"/>
  <c r="E19" i="3"/>
  <c r="D19" i="3"/>
  <c r="C19" i="3"/>
  <c r="B19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G18" i="3"/>
  <c r="F18" i="3"/>
  <c r="E18" i="3"/>
  <c r="D18" i="3"/>
  <c r="C18" i="3"/>
  <c r="B18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G17" i="3"/>
  <c r="F17" i="3"/>
  <c r="E17" i="3"/>
  <c r="D17" i="3"/>
  <c r="C17" i="3"/>
  <c r="B17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G16" i="3"/>
  <c r="F16" i="3"/>
  <c r="E16" i="3"/>
  <c r="D16" i="3"/>
  <c r="C16" i="3"/>
  <c r="B16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G15" i="3"/>
  <c r="F15" i="3"/>
  <c r="E15" i="3"/>
  <c r="D15" i="3"/>
  <c r="C15" i="3"/>
  <c r="B15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G13" i="3"/>
  <c r="F13" i="3"/>
  <c r="E13" i="3"/>
  <c r="D13" i="3"/>
  <c r="C13" i="3"/>
  <c r="B13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G12" i="3"/>
  <c r="F12" i="3"/>
  <c r="E12" i="3"/>
  <c r="D12" i="3"/>
  <c r="C12" i="3"/>
  <c r="B12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G11" i="3"/>
  <c r="F11" i="3"/>
  <c r="E11" i="3"/>
  <c r="D11" i="3"/>
  <c r="C11" i="3"/>
  <c r="B11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G9" i="3"/>
  <c r="F9" i="3"/>
  <c r="E9" i="3"/>
  <c r="D9" i="3"/>
  <c r="C9" i="3"/>
  <c r="B9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G8" i="3"/>
  <c r="F8" i="3"/>
  <c r="E8" i="3"/>
  <c r="D8" i="3"/>
  <c r="C8" i="3"/>
  <c r="B8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G7" i="3"/>
  <c r="F7" i="3"/>
  <c r="E7" i="3"/>
  <c r="D7" i="3"/>
  <c r="C7" i="3"/>
  <c r="B7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G5" i="3"/>
  <c r="F5" i="3"/>
  <c r="E5" i="3"/>
  <c r="D5" i="3"/>
  <c r="C5" i="3"/>
  <c r="B5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G4" i="3"/>
  <c r="F4" i="3"/>
  <c r="E4" i="3"/>
  <c r="D4" i="3"/>
  <c r="C4" i="3"/>
  <c r="B4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G3" i="3"/>
  <c r="F3" i="3"/>
  <c r="E3" i="3"/>
  <c r="D3" i="3"/>
  <c r="C3" i="3"/>
  <c r="B3" i="3"/>
  <c r="AJ727" i="2"/>
  <c r="AM727" i="2" s="1"/>
  <c r="P727" i="2"/>
  <c r="M727" i="2"/>
  <c r="H727" i="2"/>
  <c r="G727" i="2"/>
  <c r="F727" i="2"/>
  <c r="D75" i="9" s="1"/>
  <c r="D727" i="2"/>
  <c r="B75" i="9" s="1"/>
  <c r="AH726" i="2"/>
  <c r="R726" i="2"/>
  <c r="Q726" i="2"/>
  <c r="AA726" i="2" s="1"/>
  <c r="P726" i="2"/>
  <c r="M726" i="2"/>
  <c r="H726" i="2"/>
  <c r="G726" i="2"/>
  <c r="F726" i="2"/>
  <c r="D726" i="2"/>
  <c r="AH725" i="2"/>
  <c r="R725" i="2"/>
  <c r="Q725" i="2"/>
  <c r="AB725" i="2" s="1"/>
  <c r="P725" i="2"/>
  <c r="M725" i="2"/>
  <c r="H725" i="2"/>
  <c r="G725" i="2"/>
  <c r="F725" i="2"/>
  <c r="D725" i="2"/>
  <c r="AH724" i="2"/>
  <c r="R724" i="2"/>
  <c r="Q724" i="2"/>
  <c r="P724" i="2"/>
  <c r="M724" i="2"/>
  <c r="H724" i="2"/>
  <c r="G724" i="2"/>
  <c r="F724" i="2"/>
  <c r="D724" i="2"/>
  <c r="AJ723" i="2"/>
  <c r="P723" i="2"/>
  <c r="M723" i="2"/>
  <c r="H723" i="2"/>
  <c r="G723" i="2"/>
  <c r="F723" i="2"/>
  <c r="D74" i="9" s="1"/>
  <c r="D723" i="2"/>
  <c r="B74" i="9" s="1"/>
  <c r="AH722" i="2"/>
  <c r="R722" i="2"/>
  <c r="Q722" i="2"/>
  <c r="P722" i="2"/>
  <c r="M722" i="2"/>
  <c r="H722" i="2"/>
  <c r="G722" i="2"/>
  <c r="F722" i="2"/>
  <c r="D722" i="2"/>
  <c r="AH721" i="2"/>
  <c r="R721" i="2"/>
  <c r="Q721" i="2"/>
  <c r="AG721" i="2" s="1"/>
  <c r="P721" i="2"/>
  <c r="M721" i="2"/>
  <c r="H721" i="2"/>
  <c r="G721" i="2"/>
  <c r="F721" i="2"/>
  <c r="D721" i="2"/>
  <c r="AH720" i="2"/>
  <c r="R720" i="2"/>
  <c r="Q720" i="2"/>
  <c r="AA720" i="2" s="1"/>
  <c r="P720" i="2"/>
  <c r="M720" i="2"/>
  <c r="H720" i="2"/>
  <c r="G720" i="2"/>
  <c r="F720" i="2"/>
  <c r="D720" i="2"/>
  <c r="AH719" i="2"/>
  <c r="R719" i="2"/>
  <c r="Q719" i="2"/>
  <c r="AA719" i="2" s="1"/>
  <c r="P719" i="2"/>
  <c r="M719" i="2"/>
  <c r="H719" i="2"/>
  <c r="G719" i="2"/>
  <c r="F719" i="2"/>
  <c r="D719" i="2"/>
  <c r="AH718" i="2"/>
  <c r="R718" i="2"/>
  <c r="Q718" i="2"/>
  <c r="Z718" i="2" s="1"/>
  <c r="P718" i="2"/>
  <c r="M718" i="2"/>
  <c r="H718" i="2"/>
  <c r="G718" i="2"/>
  <c r="F718" i="2"/>
  <c r="D718" i="2"/>
  <c r="AH717" i="2"/>
  <c r="AB717" i="2"/>
  <c r="R717" i="2"/>
  <c r="Q717" i="2"/>
  <c r="AA717" i="2" s="1"/>
  <c r="P717" i="2"/>
  <c r="M717" i="2"/>
  <c r="H717" i="2"/>
  <c r="G717" i="2"/>
  <c r="F717" i="2"/>
  <c r="D717" i="2"/>
  <c r="AH716" i="2"/>
  <c r="R716" i="2"/>
  <c r="Q716" i="2"/>
  <c r="P716" i="2"/>
  <c r="M716" i="2"/>
  <c r="H716" i="2"/>
  <c r="G716" i="2"/>
  <c r="F716" i="2"/>
  <c r="D716" i="2"/>
  <c r="AH715" i="2"/>
  <c r="R715" i="2"/>
  <c r="Q715" i="2"/>
  <c r="AF715" i="2" s="1"/>
  <c r="P715" i="2"/>
  <c r="M715" i="2"/>
  <c r="H715" i="2"/>
  <c r="G715" i="2"/>
  <c r="F715" i="2"/>
  <c r="D715" i="2"/>
  <c r="AJ714" i="2"/>
  <c r="AM714" i="2" s="1"/>
  <c r="P714" i="2"/>
  <c r="M714" i="2"/>
  <c r="H714" i="2"/>
  <c r="G714" i="2"/>
  <c r="F714" i="2"/>
  <c r="D73" i="9" s="1"/>
  <c r="D714" i="2"/>
  <c r="B73" i="9" s="1"/>
  <c r="AH713" i="2"/>
  <c r="R713" i="2"/>
  <c r="Q713" i="2"/>
  <c r="AF713" i="2" s="1"/>
  <c r="P713" i="2"/>
  <c r="M713" i="2"/>
  <c r="H713" i="2"/>
  <c r="G713" i="2"/>
  <c r="F713" i="2"/>
  <c r="D713" i="2"/>
  <c r="AJ712" i="2"/>
  <c r="P712" i="2"/>
  <c r="M712" i="2"/>
  <c r="H712" i="2"/>
  <c r="G712" i="2"/>
  <c r="F712" i="2"/>
  <c r="D72" i="9" s="1"/>
  <c r="D712" i="2"/>
  <c r="B72" i="9" s="1"/>
  <c r="AH711" i="2"/>
  <c r="R711" i="2"/>
  <c r="Q711" i="2"/>
  <c r="AA711" i="2" s="1"/>
  <c r="P711" i="2"/>
  <c r="M711" i="2"/>
  <c r="H711" i="2"/>
  <c r="G711" i="2"/>
  <c r="F711" i="2"/>
  <c r="D711" i="2"/>
  <c r="AH710" i="2"/>
  <c r="R710" i="2"/>
  <c r="Q710" i="2"/>
  <c r="Z710" i="2" s="1"/>
  <c r="P710" i="2"/>
  <c r="M710" i="2"/>
  <c r="H710" i="2"/>
  <c r="G710" i="2"/>
  <c r="F710" i="2"/>
  <c r="D710" i="2"/>
  <c r="AH709" i="2"/>
  <c r="R709" i="2"/>
  <c r="Q709" i="2"/>
  <c r="AA709" i="2" s="1"/>
  <c r="P709" i="2"/>
  <c r="M709" i="2"/>
  <c r="H709" i="2"/>
  <c r="G709" i="2"/>
  <c r="F709" i="2"/>
  <c r="D709" i="2"/>
  <c r="AH708" i="2"/>
  <c r="R708" i="2"/>
  <c r="Q708" i="2"/>
  <c r="P708" i="2"/>
  <c r="M708" i="2"/>
  <c r="H708" i="2"/>
  <c r="G708" i="2"/>
  <c r="F708" i="2"/>
  <c r="D708" i="2"/>
  <c r="AH707" i="2"/>
  <c r="R707" i="2"/>
  <c r="Q707" i="2"/>
  <c r="AF707" i="2" s="1"/>
  <c r="P707" i="2"/>
  <c r="M707" i="2"/>
  <c r="H707" i="2"/>
  <c r="G707" i="2"/>
  <c r="F707" i="2"/>
  <c r="D707" i="2"/>
  <c r="AJ706" i="2"/>
  <c r="AM706" i="2" s="1"/>
  <c r="P706" i="2"/>
  <c r="M706" i="2"/>
  <c r="H706" i="2"/>
  <c r="G706" i="2"/>
  <c r="F706" i="2"/>
  <c r="D71" i="9" s="1"/>
  <c r="D706" i="2"/>
  <c r="B71" i="9" s="1"/>
  <c r="AH705" i="2"/>
  <c r="R705" i="2"/>
  <c r="Q705" i="2"/>
  <c r="P705" i="2"/>
  <c r="AE705" i="2" s="1"/>
  <c r="M705" i="2"/>
  <c r="H705" i="2"/>
  <c r="G705" i="2"/>
  <c r="F705" i="2"/>
  <c r="D705" i="2"/>
  <c r="AH704" i="2"/>
  <c r="R704" i="2"/>
  <c r="Q704" i="2"/>
  <c r="P704" i="2"/>
  <c r="M704" i="2"/>
  <c r="H704" i="2"/>
  <c r="G704" i="2"/>
  <c r="F704" i="2"/>
  <c r="D704" i="2"/>
  <c r="AH703" i="2"/>
  <c r="R703" i="2"/>
  <c r="Q703" i="2"/>
  <c r="Z703" i="2" s="1"/>
  <c r="P703" i="2"/>
  <c r="M703" i="2"/>
  <c r="H703" i="2"/>
  <c r="G703" i="2"/>
  <c r="F703" i="2"/>
  <c r="D703" i="2"/>
  <c r="AH702" i="2"/>
  <c r="R702" i="2"/>
  <c r="Q702" i="2"/>
  <c r="AB702" i="2" s="1"/>
  <c r="P702" i="2"/>
  <c r="M702" i="2"/>
  <c r="H702" i="2"/>
  <c r="G702" i="2"/>
  <c r="F702" i="2"/>
  <c r="D702" i="2"/>
  <c r="AJ701" i="2"/>
  <c r="AN701" i="2" s="1"/>
  <c r="P701" i="2"/>
  <c r="M701" i="2"/>
  <c r="H701" i="2"/>
  <c r="G701" i="2"/>
  <c r="F701" i="2"/>
  <c r="D70" i="9" s="1"/>
  <c r="D701" i="2"/>
  <c r="B70" i="9" s="1"/>
  <c r="AH700" i="2"/>
  <c r="R700" i="2"/>
  <c r="Q700" i="2"/>
  <c r="P700" i="2"/>
  <c r="M700" i="2"/>
  <c r="H700" i="2"/>
  <c r="G700" i="2"/>
  <c r="F700" i="2"/>
  <c r="D700" i="2"/>
  <c r="AJ699" i="2"/>
  <c r="AN699" i="2" s="1"/>
  <c r="P699" i="2"/>
  <c r="M699" i="2"/>
  <c r="H699" i="2"/>
  <c r="G699" i="2"/>
  <c r="F699" i="2"/>
  <c r="D69" i="9" s="1"/>
  <c r="D699" i="2"/>
  <c r="B69" i="9" s="1"/>
  <c r="AH698" i="2"/>
  <c r="R698" i="2"/>
  <c r="Q698" i="2"/>
  <c r="AD698" i="2" s="1"/>
  <c r="P698" i="2"/>
  <c r="M698" i="2"/>
  <c r="H698" i="2"/>
  <c r="G698" i="2"/>
  <c r="F698" i="2"/>
  <c r="D698" i="2"/>
  <c r="AH697" i="2"/>
  <c r="R697" i="2"/>
  <c r="Q697" i="2"/>
  <c r="P697" i="2"/>
  <c r="M697" i="2"/>
  <c r="H697" i="2"/>
  <c r="G697" i="2"/>
  <c r="F697" i="2"/>
  <c r="D697" i="2"/>
  <c r="AH696" i="2"/>
  <c r="R696" i="2"/>
  <c r="Q696" i="2"/>
  <c r="AG696" i="2" s="1"/>
  <c r="P696" i="2"/>
  <c r="M696" i="2"/>
  <c r="H696" i="2"/>
  <c r="G696" i="2"/>
  <c r="F696" i="2"/>
  <c r="D696" i="2"/>
  <c r="AH695" i="2"/>
  <c r="R695" i="2"/>
  <c r="Q695" i="2"/>
  <c r="P695" i="2"/>
  <c r="M695" i="2"/>
  <c r="H695" i="2"/>
  <c r="G695" i="2"/>
  <c r="F695" i="2"/>
  <c r="D695" i="2"/>
  <c r="AH694" i="2"/>
  <c r="R694" i="2"/>
  <c r="Q694" i="2"/>
  <c r="AB694" i="2" s="1"/>
  <c r="P694" i="2"/>
  <c r="M694" i="2"/>
  <c r="H694" i="2"/>
  <c r="G694" i="2"/>
  <c r="F694" i="2"/>
  <c r="D694" i="2"/>
  <c r="AH693" i="2"/>
  <c r="R693" i="2"/>
  <c r="Q693" i="2"/>
  <c r="Z693" i="2" s="1"/>
  <c r="P693" i="2"/>
  <c r="M693" i="2"/>
  <c r="H693" i="2"/>
  <c r="G693" i="2"/>
  <c r="F693" i="2"/>
  <c r="D693" i="2"/>
  <c r="AH692" i="2"/>
  <c r="R692" i="2"/>
  <c r="Q692" i="2"/>
  <c r="AA692" i="2" s="1"/>
  <c r="P692" i="2"/>
  <c r="X692" i="2" s="1"/>
  <c r="M692" i="2"/>
  <c r="H692" i="2"/>
  <c r="G692" i="2"/>
  <c r="F692" i="2"/>
  <c r="D692" i="2"/>
  <c r="AH691" i="2"/>
  <c r="R691" i="2"/>
  <c r="Q691" i="2"/>
  <c r="AF691" i="2" s="1"/>
  <c r="P691" i="2"/>
  <c r="M691" i="2"/>
  <c r="H691" i="2"/>
  <c r="G691" i="2"/>
  <c r="F691" i="2"/>
  <c r="D691" i="2"/>
  <c r="AH690" i="2"/>
  <c r="R690" i="2"/>
  <c r="Q690" i="2"/>
  <c r="AD690" i="2" s="1"/>
  <c r="P690" i="2"/>
  <c r="M690" i="2"/>
  <c r="H690" i="2"/>
  <c r="G690" i="2"/>
  <c r="F690" i="2"/>
  <c r="D690" i="2"/>
  <c r="AJ689" i="2"/>
  <c r="P689" i="2"/>
  <c r="M689" i="2"/>
  <c r="H689" i="2"/>
  <c r="G689" i="2"/>
  <c r="F689" i="2"/>
  <c r="D68" i="9" s="1"/>
  <c r="D689" i="2"/>
  <c r="B68" i="9" s="1"/>
  <c r="AH688" i="2"/>
  <c r="AD688" i="2"/>
  <c r="R688" i="2"/>
  <c r="Q688" i="2"/>
  <c r="AF688" i="2" s="1"/>
  <c r="P688" i="2"/>
  <c r="M688" i="2"/>
  <c r="H688" i="2"/>
  <c r="G688" i="2"/>
  <c r="F688" i="2"/>
  <c r="D688" i="2"/>
  <c r="AH687" i="2"/>
  <c r="R687" i="2"/>
  <c r="Q687" i="2"/>
  <c r="AG687" i="2" s="1"/>
  <c r="P687" i="2"/>
  <c r="M687" i="2"/>
  <c r="H687" i="2"/>
  <c r="G687" i="2"/>
  <c r="F687" i="2"/>
  <c r="D687" i="2"/>
  <c r="AJ686" i="2"/>
  <c r="P686" i="2"/>
  <c r="M686" i="2"/>
  <c r="H686" i="2"/>
  <c r="G686" i="2"/>
  <c r="F686" i="2"/>
  <c r="D67" i="9" s="1"/>
  <c r="D686" i="2"/>
  <c r="B67" i="9" s="1"/>
  <c r="AH685" i="2"/>
  <c r="R685" i="2"/>
  <c r="Q685" i="2"/>
  <c r="P685" i="2"/>
  <c r="M685" i="2"/>
  <c r="H685" i="2"/>
  <c r="G685" i="2"/>
  <c r="F685" i="2"/>
  <c r="D685" i="2"/>
  <c r="AJ684" i="2"/>
  <c r="P684" i="2"/>
  <c r="M684" i="2"/>
  <c r="H684" i="2"/>
  <c r="G684" i="2"/>
  <c r="F684" i="2"/>
  <c r="D66" i="9" s="1"/>
  <c r="D684" i="2"/>
  <c r="B66" i="9" s="1"/>
  <c r="AH683" i="2"/>
  <c r="R683" i="2"/>
  <c r="Q683" i="2"/>
  <c r="P683" i="2"/>
  <c r="M683" i="2"/>
  <c r="H683" i="2"/>
  <c r="G683" i="2"/>
  <c r="F683" i="2"/>
  <c r="D683" i="2"/>
  <c r="AH682" i="2"/>
  <c r="R682" i="2"/>
  <c r="Q682" i="2"/>
  <c r="AD682" i="2" s="1"/>
  <c r="P682" i="2"/>
  <c r="M682" i="2"/>
  <c r="H682" i="2"/>
  <c r="G682" i="2"/>
  <c r="F682" i="2"/>
  <c r="D682" i="2"/>
  <c r="AH681" i="2"/>
  <c r="R681" i="2"/>
  <c r="Q681" i="2"/>
  <c r="P681" i="2"/>
  <c r="M681" i="2"/>
  <c r="H681" i="2"/>
  <c r="G681" i="2"/>
  <c r="F681" i="2"/>
  <c r="D681" i="2"/>
  <c r="AH680" i="2"/>
  <c r="R680" i="2"/>
  <c r="Q680" i="2"/>
  <c r="Y680" i="2" s="1"/>
  <c r="P680" i="2"/>
  <c r="M680" i="2"/>
  <c r="H680" i="2"/>
  <c r="G680" i="2"/>
  <c r="F680" i="2"/>
  <c r="D680" i="2"/>
  <c r="AH679" i="2"/>
  <c r="R679" i="2"/>
  <c r="Q679" i="2"/>
  <c r="AG679" i="2" s="1"/>
  <c r="P679" i="2"/>
  <c r="M679" i="2"/>
  <c r="H679" i="2"/>
  <c r="G679" i="2"/>
  <c r="F679" i="2"/>
  <c r="D679" i="2"/>
  <c r="AJ678" i="2"/>
  <c r="P678" i="2"/>
  <c r="M678" i="2"/>
  <c r="H678" i="2"/>
  <c r="G678" i="2"/>
  <c r="F678" i="2"/>
  <c r="D65" i="9" s="1"/>
  <c r="D678" i="2"/>
  <c r="B65" i="9" s="1"/>
  <c r="AJ677" i="2"/>
  <c r="AM677" i="2" s="1"/>
  <c r="P677" i="2"/>
  <c r="M677" i="2"/>
  <c r="H677" i="2"/>
  <c r="G677" i="2"/>
  <c r="F677" i="2"/>
  <c r="D64" i="9" s="1"/>
  <c r="D677" i="2"/>
  <c r="AH676" i="2"/>
  <c r="R676" i="2"/>
  <c r="Q676" i="2"/>
  <c r="P676" i="2"/>
  <c r="M676" i="2"/>
  <c r="H676" i="2"/>
  <c r="G676" i="2"/>
  <c r="F676" i="2"/>
  <c r="D676" i="2"/>
  <c r="AH675" i="2"/>
  <c r="R675" i="2"/>
  <c r="Q675" i="2"/>
  <c r="AF675" i="2" s="1"/>
  <c r="P675" i="2"/>
  <c r="M675" i="2"/>
  <c r="H675" i="2"/>
  <c r="G675" i="2"/>
  <c r="F675" i="2"/>
  <c r="D675" i="2"/>
  <c r="AH674" i="2"/>
  <c r="R674" i="2"/>
  <c r="Q674" i="2"/>
  <c r="P674" i="2"/>
  <c r="M674" i="2"/>
  <c r="H674" i="2"/>
  <c r="G674" i="2"/>
  <c r="F674" i="2"/>
  <c r="D674" i="2"/>
  <c r="AJ673" i="2"/>
  <c r="P673" i="2"/>
  <c r="M673" i="2"/>
  <c r="H673" i="2"/>
  <c r="G673" i="2"/>
  <c r="F673" i="2"/>
  <c r="D63" i="9" s="1"/>
  <c r="D673" i="2"/>
  <c r="AH672" i="2"/>
  <c r="Z672" i="2"/>
  <c r="R672" i="2"/>
  <c r="Q672" i="2"/>
  <c r="AD672" i="2" s="1"/>
  <c r="P672" i="2"/>
  <c r="X672" i="2" s="1"/>
  <c r="M672" i="2"/>
  <c r="H672" i="2"/>
  <c r="G672" i="2"/>
  <c r="F672" i="2"/>
  <c r="D672" i="2"/>
  <c r="AH671" i="2"/>
  <c r="R671" i="2"/>
  <c r="Q671" i="2"/>
  <c r="P671" i="2"/>
  <c r="V671" i="2" s="1"/>
  <c r="M671" i="2"/>
  <c r="H671" i="2"/>
  <c r="G671" i="2"/>
  <c r="F671" i="2"/>
  <c r="D671" i="2"/>
  <c r="AH670" i="2"/>
  <c r="R670" i="2"/>
  <c r="Q670" i="2"/>
  <c r="P670" i="2"/>
  <c r="M670" i="2"/>
  <c r="H670" i="2"/>
  <c r="G670" i="2"/>
  <c r="F670" i="2"/>
  <c r="D670" i="2"/>
  <c r="AH669" i="2"/>
  <c r="R669" i="2"/>
  <c r="Q669" i="2"/>
  <c r="AA669" i="2" s="1"/>
  <c r="P669" i="2"/>
  <c r="S669" i="2" s="1"/>
  <c r="M669" i="2"/>
  <c r="H669" i="2"/>
  <c r="G669" i="2"/>
  <c r="F669" i="2"/>
  <c r="D669" i="2"/>
  <c r="AH668" i="2"/>
  <c r="R668" i="2"/>
  <c r="Q668" i="2"/>
  <c r="Y668" i="2" s="1"/>
  <c r="P668" i="2"/>
  <c r="M668" i="2"/>
  <c r="H668" i="2"/>
  <c r="G668" i="2"/>
  <c r="F668" i="2"/>
  <c r="D668" i="2"/>
  <c r="AH667" i="2"/>
  <c r="R667" i="2"/>
  <c r="Q667" i="2"/>
  <c r="P667" i="2"/>
  <c r="AC667" i="2" s="1"/>
  <c r="M667" i="2"/>
  <c r="H667" i="2"/>
  <c r="G667" i="2"/>
  <c r="F667" i="2"/>
  <c r="D667" i="2"/>
  <c r="AH666" i="2"/>
  <c r="R666" i="2"/>
  <c r="Q666" i="2"/>
  <c r="P666" i="2"/>
  <c r="M666" i="2"/>
  <c r="H666" i="2"/>
  <c r="G666" i="2"/>
  <c r="F666" i="2"/>
  <c r="D666" i="2"/>
  <c r="AH665" i="2"/>
  <c r="AF665" i="2"/>
  <c r="AC665" i="2"/>
  <c r="W665" i="2"/>
  <c r="R665" i="2"/>
  <c r="Q665" i="2"/>
  <c r="AA665" i="2" s="1"/>
  <c r="P665" i="2"/>
  <c r="M665" i="2"/>
  <c r="H665" i="2"/>
  <c r="G665" i="2"/>
  <c r="F665" i="2"/>
  <c r="D665" i="2"/>
  <c r="AH664" i="2"/>
  <c r="R664" i="2"/>
  <c r="Q664" i="2"/>
  <c r="P664" i="2"/>
  <c r="M664" i="2"/>
  <c r="H664" i="2"/>
  <c r="G664" i="2"/>
  <c r="F664" i="2"/>
  <c r="D664" i="2"/>
  <c r="AH663" i="2"/>
  <c r="R663" i="2"/>
  <c r="Q663" i="2"/>
  <c r="P663" i="2"/>
  <c r="M663" i="2"/>
  <c r="H663" i="2"/>
  <c r="G663" i="2"/>
  <c r="F663" i="2"/>
  <c r="D663" i="2"/>
  <c r="AH662" i="2"/>
  <c r="Z662" i="2"/>
  <c r="Y662" i="2"/>
  <c r="R662" i="2"/>
  <c r="Q662" i="2"/>
  <c r="AD662" i="2" s="1"/>
  <c r="P662" i="2"/>
  <c r="M662" i="2"/>
  <c r="H662" i="2"/>
  <c r="G662" i="2"/>
  <c r="F662" i="2"/>
  <c r="D662" i="2"/>
  <c r="AH661" i="2"/>
  <c r="R661" i="2"/>
  <c r="Q661" i="2"/>
  <c r="P661" i="2"/>
  <c r="M661" i="2"/>
  <c r="H661" i="2"/>
  <c r="G661" i="2"/>
  <c r="F661" i="2"/>
  <c r="D661" i="2"/>
  <c r="AJ660" i="2"/>
  <c r="P660" i="2"/>
  <c r="M660" i="2"/>
  <c r="H660" i="2"/>
  <c r="G660" i="2"/>
  <c r="F660" i="2"/>
  <c r="D62" i="9" s="1"/>
  <c r="D660" i="2"/>
  <c r="AJ659" i="2"/>
  <c r="AN659" i="2" s="1"/>
  <c r="P659" i="2"/>
  <c r="AO659" i="2" s="1"/>
  <c r="M659" i="2"/>
  <c r="H659" i="2"/>
  <c r="G659" i="2"/>
  <c r="F659" i="2"/>
  <c r="D61" i="9" s="1"/>
  <c r="D659" i="2"/>
  <c r="B61" i="9" s="1"/>
  <c r="AH658" i="2"/>
  <c r="R658" i="2"/>
  <c r="Q658" i="2"/>
  <c r="P658" i="2"/>
  <c r="M658" i="2"/>
  <c r="H658" i="2"/>
  <c r="G658" i="2"/>
  <c r="F658" i="2"/>
  <c r="D658" i="2"/>
  <c r="AJ657" i="2"/>
  <c r="AP657" i="2" s="1"/>
  <c r="P657" i="2"/>
  <c r="M657" i="2"/>
  <c r="H657" i="2"/>
  <c r="G657" i="2"/>
  <c r="F657" i="2"/>
  <c r="D60" i="9" s="1"/>
  <c r="D657" i="2"/>
  <c r="AH656" i="2"/>
  <c r="Y656" i="2"/>
  <c r="R656" i="2"/>
  <c r="Q656" i="2"/>
  <c r="AG656" i="2" s="1"/>
  <c r="P656" i="2"/>
  <c r="M656" i="2"/>
  <c r="H656" i="2"/>
  <c r="G656" i="2"/>
  <c r="F656" i="2"/>
  <c r="D656" i="2"/>
  <c r="AH655" i="2"/>
  <c r="R655" i="2"/>
  <c r="Q655" i="2"/>
  <c r="P655" i="2"/>
  <c r="M655" i="2"/>
  <c r="H655" i="2"/>
  <c r="G655" i="2"/>
  <c r="F655" i="2"/>
  <c r="D655" i="2"/>
  <c r="AJ654" i="2"/>
  <c r="P654" i="2"/>
  <c r="M654" i="2"/>
  <c r="H654" i="2"/>
  <c r="G654" i="2"/>
  <c r="F654" i="2"/>
  <c r="D59" i="9" s="1"/>
  <c r="D654" i="2"/>
  <c r="B59" i="9" s="1"/>
  <c r="AH653" i="2"/>
  <c r="R653" i="2"/>
  <c r="Q653" i="2"/>
  <c r="P653" i="2"/>
  <c r="M653" i="2"/>
  <c r="H653" i="2"/>
  <c r="G653" i="2"/>
  <c r="F653" i="2"/>
  <c r="D653" i="2"/>
  <c r="AJ652" i="2"/>
  <c r="AN652" i="2" s="1"/>
  <c r="P652" i="2"/>
  <c r="M652" i="2"/>
  <c r="H652" i="2"/>
  <c r="G652" i="2"/>
  <c r="F652" i="2"/>
  <c r="D58" i="9" s="1"/>
  <c r="D652" i="2"/>
  <c r="B58" i="9" s="1"/>
  <c r="AH651" i="2"/>
  <c r="R651" i="2"/>
  <c r="Q651" i="2"/>
  <c r="P651" i="2"/>
  <c r="M651" i="2"/>
  <c r="H651" i="2"/>
  <c r="G651" i="2"/>
  <c r="F651" i="2"/>
  <c r="D651" i="2"/>
  <c r="AH650" i="2"/>
  <c r="R650" i="2"/>
  <c r="Q650" i="2"/>
  <c r="P650" i="2"/>
  <c r="M650" i="2"/>
  <c r="H650" i="2"/>
  <c r="G650" i="2"/>
  <c r="F650" i="2"/>
  <c r="D650" i="2"/>
  <c r="AH649" i="2"/>
  <c r="R649" i="2"/>
  <c r="Q649" i="2"/>
  <c r="AG649" i="2" s="1"/>
  <c r="P649" i="2"/>
  <c r="M649" i="2"/>
  <c r="H649" i="2"/>
  <c r="G649" i="2"/>
  <c r="F649" i="2"/>
  <c r="D649" i="2"/>
  <c r="AH648" i="2"/>
  <c r="R648" i="2"/>
  <c r="Q648" i="2"/>
  <c r="P648" i="2"/>
  <c r="M648" i="2"/>
  <c r="H648" i="2"/>
  <c r="G648" i="2"/>
  <c r="F648" i="2"/>
  <c r="D648" i="2"/>
  <c r="AH647" i="2"/>
  <c r="R647" i="2"/>
  <c r="Q647" i="2"/>
  <c r="P647" i="2"/>
  <c r="M647" i="2"/>
  <c r="H647" i="2"/>
  <c r="G647" i="2"/>
  <c r="F647" i="2"/>
  <c r="D647" i="2"/>
  <c r="AH646" i="2"/>
  <c r="AB646" i="2"/>
  <c r="AA646" i="2"/>
  <c r="R646" i="2"/>
  <c r="Q646" i="2"/>
  <c r="Z646" i="2" s="1"/>
  <c r="P646" i="2"/>
  <c r="M646" i="2"/>
  <c r="H646" i="2"/>
  <c r="G646" i="2"/>
  <c r="F646" i="2"/>
  <c r="D646" i="2"/>
  <c r="AH645" i="2"/>
  <c r="R645" i="2"/>
  <c r="Q645" i="2"/>
  <c r="AG645" i="2" s="1"/>
  <c r="P645" i="2"/>
  <c r="M645" i="2"/>
  <c r="H645" i="2"/>
  <c r="G645" i="2"/>
  <c r="F645" i="2"/>
  <c r="D645" i="2"/>
  <c r="AH644" i="2"/>
  <c r="R644" i="2"/>
  <c r="Q644" i="2"/>
  <c r="P644" i="2"/>
  <c r="M644" i="2"/>
  <c r="H644" i="2"/>
  <c r="G644" i="2"/>
  <c r="F644" i="2"/>
  <c r="D644" i="2"/>
  <c r="AH643" i="2"/>
  <c r="R643" i="2"/>
  <c r="Q643" i="2"/>
  <c r="P643" i="2"/>
  <c r="M643" i="2"/>
  <c r="H643" i="2"/>
  <c r="G643" i="2"/>
  <c r="F643" i="2"/>
  <c r="D643" i="2"/>
  <c r="AP642" i="2"/>
  <c r="AJ642" i="2"/>
  <c r="AM642" i="2" s="1"/>
  <c r="P642" i="2"/>
  <c r="M642" i="2"/>
  <c r="H642" i="2"/>
  <c r="G642" i="2"/>
  <c r="F642" i="2"/>
  <c r="D57" i="9" s="1"/>
  <c r="D642" i="2"/>
  <c r="B57" i="9" s="1"/>
  <c r="AH641" i="2"/>
  <c r="R641" i="2"/>
  <c r="Q641" i="2"/>
  <c r="P641" i="2"/>
  <c r="M641" i="2"/>
  <c r="H641" i="2"/>
  <c r="G641" i="2"/>
  <c r="F641" i="2"/>
  <c r="D641" i="2"/>
  <c r="AH640" i="2"/>
  <c r="AC640" i="2"/>
  <c r="AB640" i="2"/>
  <c r="R640" i="2"/>
  <c r="Q640" i="2"/>
  <c r="AD640" i="2" s="1"/>
  <c r="P640" i="2"/>
  <c r="M640" i="2"/>
  <c r="H640" i="2"/>
  <c r="G640" i="2"/>
  <c r="F640" i="2"/>
  <c r="D640" i="2"/>
  <c r="AH639" i="2"/>
  <c r="R639" i="2"/>
  <c r="Q639" i="2"/>
  <c r="AF639" i="2" s="1"/>
  <c r="P639" i="2"/>
  <c r="M639" i="2"/>
  <c r="H639" i="2"/>
  <c r="G639" i="2"/>
  <c r="F639" i="2"/>
  <c r="D639" i="2"/>
  <c r="AH638" i="2"/>
  <c r="R638" i="2"/>
  <c r="Q638" i="2"/>
  <c r="P638" i="2"/>
  <c r="M638" i="2"/>
  <c r="H638" i="2"/>
  <c r="G638" i="2"/>
  <c r="F638" i="2"/>
  <c r="D638" i="2"/>
  <c r="AJ637" i="2"/>
  <c r="P637" i="2"/>
  <c r="M637" i="2"/>
  <c r="H637" i="2"/>
  <c r="G637" i="2"/>
  <c r="F637" i="2"/>
  <c r="D56" i="9" s="1"/>
  <c r="D637" i="2"/>
  <c r="B56" i="9" s="1"/>
  <c r="AH636" i="2"/>
  <c r="AA636" i="2"/>
  <c r="Y636" i="2"/>
  <c r="W636" i="2"/>
  <c r="T636" i="2"/>
  <c r="R636" i="2"/>
  <c r="Q636" i="2"/>
  <c r="AB636" i="2" s="1"/>
  <c r="P636" i="2"/>
  <c r="M636" i="2"/>
  <c r="H636" i="2"/>
  <c r="G636" i="2"/>
  <c r="F636" i="2"/>
  <c r="D636" i="2"/>
  <c r="AH635" i="2"/>
  <c r="AG635" i="2"/>
  <c r="R635" i="2"/>
  <c r="Q635" i="2"/>
  <c r="AD635" i="2" s="1"/>
  <c r="P635" i="2"/>
  <c r="M635" i="2"/>
  <c r="H635" i="2"/>
  <c r="G635" i="2"/>
  <c r="F635" i="2"/>
  <c r="D635" i="2"/>
  <c r="AH634" i="2"/>
  <c r="R634" i="2"/>
  <c r="Q634" i="2"/>
  <c r="P634" i="2"/>
  <c r="M634" i="2"/>
  <c r="H634" i="2"/>
  <c r="G634" i="2"/>
  <c r="F634" i="2"/>
  <c r="D634" i="2"/>
  <c r="AH633" i="2"/>
  <c r="R633" i="2"/>
  <c r="Q633" i="2"/>
  <c r="AG633" i="2" s="1"/>
  <c r="P633" i="2"/>
  <c r="M633" i="2"/>
  <c r="H633" i="2"/>
  <c r="G633" i="2"/>
  <c r="F633" i="2"/>
  <c r="D633" i="2"/>
  <c r="AH632" i="2"/>
  <c r="R632" i="2"/>
  <c r="Q632" i="2"/>
  <c r="AB632" i="2" s="1"/>
  <c r="P632" i="2"/>
  <c r="M632" i="2"/>
  <c r="H632" i="2"/>
  <c r="G632" i="2"/>
  <c r="F632" i="2"/>
  <c r="D632" i="2"/>
  <c r="AH631" i="2"/>
  <c r="R631" i="2"/>
  <c r="Q631" i="2"/>
  <c r="P631" i="2"/>
  <c r="M631" i="2"/>
  <c r="H631" i="2"/>
  <c r="G631" i="2"/>
  <c r="F631" i="2"/>
  <c r="D631" i="2"/>
  <c r="AH630" i="2"/>
  <c r="R630" i="2"/>
  <c r="Q630" i="2"/>
  <c r="Z630" i="2" s="1"/>
  <c r="P630" i="2"/>
  <c r="M630" i="2"/>
  <c r="H630" i="2"/>
  <c r="G630" i="2"/>
  <c r="F630" i="2"/>
  <c r="D630" i="2"/>
  <c r="AH629" i="2"/>
  <c r="R629" i="2"/>
  <c r="Q629" i="2"/>
  <c r="P629" i="2"/>
  <c r="M629" i="2"/>
  <c r="H629" i="2"/>
  <c r="G629" i="2"/>
  <c r="F629" i="2"/>
  <c r="D629" i="2"/>
  <c r="AH628" i="2"/>
  <c r="R628" i="2"/>
  <c r="Q628" i="2"/>
  <c r="AB628" i="2" s="1"/>
  <c r="P628" i="2"/>
  <c r="M628" i="2"/>
  <c r="H628" i="2"/>
  <c r="G628" i="2"/>
  <c r="F628" i="2"/>
  <c r="D628" i="2"/>
  <c r="AH627" i="2"/>
  <c r="R627" i="2"/>
  <c r="Q627" i="2"/>
  <c r="AG627" i="2" s="1"/>
  <c r="P627" i="2"/>
  <c r="M627" i="2"/>
  <c r="H627" i="2"/>
  <c r="G627" i="2"/>
  <c r="F627" i="2"/>
  <c r="D627" i="2"/>
  <c r="AH626" i="2"/>
  <c r="R626" i="2"/>
  <c r="Q626" i="2"/>
  <c r="AA626" i="2" s="1"/>
  <c r="P626" i="2"/>
  <c r="M626" i="2"/>
  <c r="H626" i="2"/>
  <c r="G626" i="2"/>
  <c r="F626" i="2"/>
  <c r="D626" i="2"/>
  <c r="AH625" i="2"/>
  <c r="R625" i="2"/>
  <c r="Q625" i="2"/>
  <c r="AB625" i="2" s="1"/>
  <c r="P625" i="2"/>
  <c r="M625" i="2"/>
  <c r="H625" i="2"/>
  <c r="G625" i="2"/>
  <c r="F625" i="2"/>
  <c r="D625" i="2"/>
  <c r="AH624" i="2"/>
  <c r="R624" i="2"/>
  <c r="Q624" i="2"/>
  <c r="P624" i="2"/>
  <c r="M624" i="2"/>
  <c r="H624" i="2"/>
  <c r="G624" i="2"/>
  <c r="F624" i="2"/>
  <c r="D227" i="8" s="1"/>
  <c r="D624" i="2"/>
  <c r="B227" i="8" s="1"/>
  <c r="AH623" i="2"/>
  <c r="R623" i="2"/>
  <c r="Q623" i="2"/>
  <c r="P623" i="2"/>
  <c r="M623" i="2"/>
  <c r="H623" i="2"/>
  <c r="G623" i="2"/>
  <c r="F623" i="2"/>
  <c r="D623" i="2"/>
  <c r="AH622" i="2"/>
  <c r="R622" i="2"/>
  <c r="Q622" i="2"/>
  <c r="AF622" i="2" s="1"/>
  <c r="P622" i="2"/>
  <c r="W622" i="2" s="1"/>
  <c r="M622" i="2"/>
  <c r="H622" i="2"/>
  <c r="G622" i="2"/>
  <c r="F622" i="2"/>
  <c r="D622" i="2"/>
  <c r="AH621" i="2"/>
  <c r="R621" i="2"/>
  <c r="Q621" i="2"/>
  <c r="P621" i="2"/>
  <c r="M621" i="2"/>
  <c r="H621" i="2"/>
  <c r="G621" i="2"/>
  <c r="F621" i="2"/>
  <c r="D621" i="2"/>
  <c r="AH620" i="2"/>
  <c r="R620" i="2"/>
  <c r="Q620" i="2"/>
  <c r="P620" i="2"/>
  <c r="M620" i="2"/>
  <c r="H620" i="2"/>
  <c r="G620" i="2"/>
  <c r="F620" i="2"/>
  <c r="D620" i="2"/>
  <c r="AH619" i="2"/>
  <c r="R619" i="2"/>
  <c r="Q619" i="2"/>
  <c r="AF619" i="2" s="1"/>
  <c r="P619" i="2"/>
  <c r="X619" i="2" s="1"/>
  <c r="M619" i="2"/>
  <c r="H619" i="2"/>
  <c r="G619" i="2"/>
  <c r="F619" i="2"/>
  <c r="D619" i="2"/>
  <c r="AH618" i="2"/>
  <c r="R618" i="2"/>
  <c r="Q618" i="2"/>
  <c r="P618" i="2"/>
  <c r="M618" i="2"/>
  <c r="H618" i="2"/>
  <c r="G618" i="2"/>
  <c r="F618" i="2"/>
  <c r="D618" i="2"/>
  <c r="AJ617" i="2"/>
  <c r="P617" i="2"/>
  <c r="M617" i="2"/>
  <c r="H617" i="2"/>
  <c r="G617" i="2"/>
  <c r="F617" i="2"/>
  <c r="D54" i="9" s="1"/>
  <c r="D617" i="2"/>
  <c r="B54" i="9" s="1"/>
  <c r="AH616" i="2"/>
  <c r="R616" i="2"/>
  <c r="Q616" i="2"/>
  <c r="Y616" i="2" s="1"/>
  <c r="P616" i="2"/>
  <c r="M616" i="2"/>
  <c r="H616" i="2"/>
  <c r="G616" i="2"/>
  <c r="F616" i="2"/>
  <c r="D616" i="2"/>
  <c r="AH615" i="2"/>
  <c r="R615" i="2"/>
  <c r="Q615" i="2"/>
  <c r="P615" i="2"/>
  <c r="M615" i="2"/>
  <c r="H615" i="2"/>
  <c r="G615" i="2"/>
  <c r="F615" i="2"/>
  <c r="D615" i="2"/>
  <c r="AH614" i="2"/>
  <c r="R614" i="2"/>
  <c r="Q614" i="2"/>
  <c r="P614" i="2"/>
  <c r="M614" i="2"/>
  <c r="H614" i="2"/>
  <c r="G614" i="2"/>
  <c r="F614" i="2"/>
  <c r="D614" i="2"/>
  <c r="AJ613" i="2"/>
  <c r="AM613" i="2" s="1"/>
  <c r="P613" i="2"/>
  <c r="AK613" i="2" s="1"/>
  <c r="M613" i="2"/>
  <c r="H613" i="2"/>
  <c r="G613" i="2"/>
  <c r="F613" i="2"/>
  <c r="D55" i="9" s="1"/>
  <c r="D613" i="2"/>
  <c r="AH612" i="2"/>
  <c r="R612" i="2"/>
  <c r="Q612" i="2"/>
  <c r="AD612" i="2" s="1"/>
  <c r="P612" i="2"/>
  <c r="M612" i="2"/>
  <c r="H612" i="2"/>
  <c r="G612" i="2"/>
  <c r="F612" i="2"/>
  <c r="D612" i="2"/>
  <c r="AJ611" i="2"/>
  <c r="P611" i="2"/>
  <c r="M611" i="2"/>
  <c r="H611" i="2"/>
  <c r="G611" i="2"/>
  <c r="F611" i="2"/>
  <c r="D53" i="9" s="1"/>
  <c r="D611" i="2"/>
  <c r="AH610" i="2"/>
  <c r="R610" i="2"/>
  <c r="Q610" i="2"/>
  <c r="P610" i="2"/>
  <c r="M610" i="2"/>
  <c r="H610" i="2"/>
  <c r="G610" i="2"/>
  <c r="F610" i="2"/>
  <c r="D610" i="2"/>
  <c r="AH609" i="2"/>
  <c r="R609" i="2"/>
  <c r="Q609" i="2"/>
  <c r="P609" i="2"/>
  <c r="M609" i="2"/>
  <c r="H609" i="2"/>
  <c r="G609" i="2"/>
  <c r="F609" i="2"/>
  <c r="D609" i="2"/>
  <c r="AH608" i="2"/>
  <c r="R608" i="2"/>
  <c r="Q608" i="2"/>
  <c r="P608" i="2"/>
  <c r="M608" i="2"/>
  <c r="H608" i="2"/>
  <c r="G608" i="2"/>
  <c r="F608" i="2"/>
  <c r="D226" i="8" s="1"/>
  <c r="D608" i="2"/>
  <c r="AH607" i="2"/>
  <c r="R607" i="2"/>
  <c r="Q607" i="2"/>
  <c r="AF607" i="2" s="1"/>
  <c r="P607" i="2"/>
  <c r="M607" i="2"/>
  <c r="H607" i="2"/>
  <c r="G607" i="2"/>
  <c r="F607" i="2"/>
  <c r="D607" i="2"/>
  <c r="AJ606" i="2"/>
  <c r="P606" i="2"/>
  <c r="M606" i="2"/>
  <c r="H606" i="2"/>
  <c r="G606" i="2"/>
  <c r="F606" i="2"/>
  <c r="D52" i="9" s="1"/>
  <c r="D606" i="2"/>
  <c r="B52" i="9" s="1"/>
  <c r="AH605" i="2"/>
  <c r="R605" i="2"/>
  <c r="Q605" i="2"/>
  <c r="AG605" i="2" s="1"/>
  <c r="P605" i="2"/>
  <c r="M605" i="2"/>
  <c r="H605" i="2"/>
  <c r="G605" i="2"/>
  <c r="F605" i="2"/>
  <c r="D605" i="2"/>
  <c r="AH604" i="2"/>
  <c r="R604" i="2"/>
  <c r="Q604" i="2"/>
  <c r="P604" i="2"/>
  <c r="M604" i="2"/>
  <c r="H604" i="2"/>
  <c r="G604" i="2"/>
  <c r="F604" i="2"/>
  <c r="D604" i="2"/>
  <c r="AJ603" i="2"/>
  <c r="P603" i="2"/>
  <c r="M603" i="2"/>
  <c r="H603" i="2"/>
  <c r="G603" i="2"/>
  <c r="F603" i="2"/>
  <c r="D51" i="9" s="1"/>
  <c r="D603" i="2"/>
  <c r="AH602" i="2"/>
  <c r="R602" i="2"/>
  <c r="Q602" i="2"/>
  <c r="P602" i="2"/>
  <c r="M602" i="2"/>
  <c r="H602" i="2"/>
  <c r="G602" i="2"/>
  <c r="F602" i="2"/>
  <c r="D602" i="2"/>
  <c r="AH601" i="2"/>
  <c r="R601" i="2"/>
  <c r="Q601" i="2"/>
  <c r="AD601" i="2" s="1"/>
  <c r="P601" i="2"/>
  <c r="M601" i="2"/>
  <c r="H601" i="2"/>
  <c r="G601" i="2"/>
  <c r="F601" i="2"/>
  <c r="D601" i="2"/>
  <c r="AH600" i="2"/>
  <c r="Y600" i="2"/>
  <c r="R600" i="2"/>
  <c r="Q600" i="2"/>
  <c r="AF600" i="2" s="1"/>
  <c r="P600" i="2"/>
  <c r="X600" i="2" s="1"/>
  <c r="M600" i="2"/>
  <c r="H600" i="2"/>
  <c r="G600" i="2"/>
  <c r="F600" i="2"/>
  <c r="D600" i="2"/>
  <c r="AH599" i="2"/>
  <c r="R599" i="2"/>
  <c r="Q599" i="2"/>
  <c r="P599" i="2"/>
  <c r="M599" i="2"/>
  <c r="H599" i="2"/>
  <c r="G599" i="2"/>
  <c r="F599" i="2"/>
  <c r="D599" i="2"/>
  <c r="AH598" i="2"/>
  <c r="R598" i="2"/>
  <c r="Q598" i="2"/>
  <c r="AG598" i="2" s="1"/>
  <c r="P598" i="2"/>
  <c r="M598" i="2"/>
  <c r="H598" i="2"/>
  <c r="G598" i="2"/>
  <c r="F598" i="2"/>
  <c r="D598" i="2"/>
  <c r="AH597" i="2"/>
  <c r="R597" i="2"/>
  <c r="Q597" i="2"/>
  <c r="P597" i="2"/>
  <c r="M597" i="2"/>
  <c r="H597" i="2"/>
  <c r="G597" i="2"/>
  <c r="F597" i="2"/>
  <c r="D597" i="2"/>
  <c r="AH596" i="2"/>
  <c r="R596" i="2"/>
  <c r="Q596" i="2"/>
  <c r="P596" i="2"/>
  <c r="M596" i="2"/>
  <c r="H596" i="2"/>
  <c r="G596" i="2"/>
  <c r="F596" i="2"/>
  <c r="D224" i="8" s="1"/>
  <c r="D596" i="2"/>
  <c r="AH595" i="2"/>
  <c r="R595" i="2"/>
  <c r="Q595" i="2"/>
  <c r="P595" i="2"/>
  <c r="M595" i="2"/>
  <c r="H595" i="2"/>
  <c r="G595" i="2"/>
  <c r="F595" i="2"/>
  <c r="D225" i="8" s="1"/>
  <c r="D595" i="2"/>
  <c r="B225" i="8" s="1"/>
  <c r="AH594" i="2"/>
  <c r="R594" i="2"/>
  <c r="Q594" i="2"/>
  <c r="Y594" i="2" s="1"/>
  <c r="P594" i="2"/>
  <c r="M594" i="2"/>
  <c r="H594" i="2"/>
  <c r="G594" i="2"/>
  <c r="F594" i="2"/>
  <c r="D594" i="2"/>
  <c r="AH593" i="2"/>
  <c r="R593" i="2"/>
  <c r="Q593" i="2"/>
  <c r="AB593" i="2" s="1"/>
  <c r="P593" i="2"/>
  <c r="M593" i="2"/>
  <c r="H593" i="2"/>
  <c r="G593" i="2"/>
  <c r="F593" i="2"/>
  <c r="D223" i="8" s="1"/>
  <c r="D593" i="2"/>
  <c r="B223" i="8" s="1"/>
  <c r="AH592" i="2"/>
  <c r="R592" i="2"/>
  <c r="Q592" i="2"/>
  <c r="P592" i="2"/>
  <c r="M592" i="2"/>
  <c r="H592" i="2"/>
  <c r="G592" i="2"/>
  <c r="F592" i="2"/>
  <c r="D592" i="2"/>
  <c r="AH591" i="2"/>
  <c r="R591" i="2"/>
  <c r="Q591" i="2"/>
  <c r="P591" i="2"/>
  <c r="M591" i="2"/>
  <c r="H591" i="2"/>
  <c r="G591" i="2"/>
  <c r="F591" i="2"/>
  <c r="D591" i="2"/>
  <c r="AH590" i="2"/>
  <c r="R590" i="2"/>
  <c r="Q590" i="2"/>
  <c r="P590" i="2"/>
  <c r="W590" i="2" s="1"/>
  <c r="M590" i="2"/>
  <c r="H590" i="2"/>
  <c r="G590" i="2"/>
  <c r="F590" i="2"/>
  <c r="D590" i="2"/>
  <c r="AH589" i="2"/>
  <c r="R589" i="2"/>
  <c r="Q589" i="2"/>
  <c r="AB589" i="2" s="1"/>
  <c r="P589" i="2"/>
  <c r="M589" i="2"/>
  <c r="H589" i="2"/>
  <c r="G589" i="2"/>
  <c r="F589" i="2"/>
  <c r="D221" i="8" s="1"/>
  <c r="D589" i="2"/>
  <c r="B221" i="8" s="1"/>
  <c r="AH588" i="2"/>
  <c r="R588" i="2"/>
  <c r="Q588" i="2"/>
  <c r="P588" i="2"/>
  <c r="M588" i="2"/>
  <c r="H588" i="2"/>
  <c r="G588" i="2"/>
  <c r="F588" i="2"/>
  <c r="D588" i="2"/>
  <c r="AH587" i="2"/>
  <c r="R587" i="2"/>
  <c r="Q587" i="2"/>
  <c r="P587" i="2"/>
  <c r="M587" i="2"/>
  <c r="H587" i="2"/>
  <c r="G587" i="2"/>
  <c r="F587" i="2"/>
  <c r="D587" i="2"/>
  <c r="AH586" i="2"/>
  <c r="R586" i="2"/>
  <c r="Q586" i="2"/>
  <c r="Z586" i="2" s="1"/>
  <c r="P586" i="2"/>
  <c r="M586" i="2"/>
  <c r="H586" i="2"/>
  <c r="G586" i="2"/>
  <c r="F586" i="2"/>
  <c r="D222" i="8" s="1"/>
  <c r="D586" i="2"/>
  <c r="AH585" i="2"/>
  <c r="R585" i="2"/>
  <c r="Q585" i="2"/>
  <c r="P585" i="2"/>
  <c r="M585" i="2"/>
  <c r="H585" i="2"/>
  <c r="G585" i="2"/>
  <c r="F585" i="2"/>
  <c r="D220" i="8" s="1"/>
  <c r="D585" i="2"/>
  <c r="B220" i="8" s="1"/>
  <c r="AH584" i="2"/>
  <c r="AE584" i="2"/>
  <c r="X584" i="2"/>
  <c r="V584" i="2"/>
  <c r="R584" i="2"/>
  <c r="Q584" i="2"/>
  <c r="AA584" i="2" s="1"/>
  <c r="P584" i="2"/>
  <c r="M584" i="2"/>
  <c r="H584" i="2"/>
  <c r="G584" i="2"/>
  <c r="F584" i="2"/>
  <c r="D584" i="2"/>
  <c r="AH583" i="2"/>
  <c r="R583" i="2"/>
  <c r="Q583" i="2"/>
  <c r="P583" i="2"/>
  <c r="M583" i="2"/>
  <c r="H583" i="2"/>
  <c r="G583" i="2"/>
  <c r="F583" i="2"/>
  <c r="D583" i="2"/>
  <c r="AH582" i="2"/>
  <c r="AE582" i="2"/>
  <c r="AD582" i="2"/>
  <c r="R582" i="2"/>
  <c r="Q582" i="2"/>
  <c r="Y582" i="2" s="1"/>
  <c r="P582" i="2"/>
  <c r="M582" i="2"/>
  <c r="H582" i="2"/>
  <c r="G582" i="2"/>
  <c r="F582" i="2"/>
  <c r="D582" i="2"/>
  <c r="AH581" i="2"/>
  <c r="AD581" i="2"/>
  <c r="R581" i="2"/>
  <c r="Q581" i="2"/>
  <c r="Z581" i="2" s="1"/>
  <c r="P581" i="2"/>
  <c r="AE581" i="2" s="1"/>
  <c r="M581" i="2"/>
  <c r="H581" i="2"/>
  <c r="G581" i="2"/>
  <c r="F581" i="2"/>
  <c r="D581" i="2"/>
  <c r="AH580" i="2"/>
  <c r="R580" i="2"/>
  <c r="Q580" i="2"/>
  <c r="P580" i="2"/>
  <c r="M580" i="2"/>
  <c r="H580" i="2"/>
  <c r="G580" i="2"/>
  <c r="F580" i="2"/>
  <c r="D580" i="2"/>
  <c r="AH579" i="2"/>
  <c r="R579" i="2"/>
  <c r="Q579" i="2"/>
  <c r="P579" i="2"/>
  <c r="M579" i="2"/>
  <c r="H579" i="2"/>
  <c r="G579" i="2"/>
  <c r="F579" i="2"/>
  <c r="D579" i="2"/>
  <c r="AJ578" i="2"/>
  <c r="P578" i="2"/>
  <c r="M578" i="2"/>
  <c r="H578" i="2"/>
  <c r="G578" i="2"/>
  <c r="F578" i="2"/>
  <c r="D50" i="9" s="1"/>
  <c r="D578" i="2"/>
  <c r="B50" i="9" s="1"/>
  <c r="AH577" i="2"/>
  <c r="R577" i="2"/>
  <c r="Q577" i="2"/>
  <c r="AA577" i="2" s="1"/>
  <c r="P577" i="2"/>
  <c r="M577" i="2"/>
  <c r="H577" i="2"/>
  <c r="G577" i="2"/>
  <c r="F577" i="2"/>
  <c r="D577" i="2"/>
  <c r="AH576" i="2"/>
  <c r="R576" i="2"/>
  <c r="Q576" i="2"/>
  <c r="Y576" i="2" s="1"/>
  <c r="P576" i="2"/>
  <c r="M576" i="2"/>
  <c r="H576" i="2"/>
  <c r="G576" i="2"/>
  <c r="F576" i="2"/>
  <c r="D219" i="8" s="1"/>
  <c r="D576" i="2"/>
  <c r="AH575" i="2"/>
  <c r="R575" i="2"/>
  <c r="Q575" i="2"/>
  <c r="AE575" i="2" s="1"/>
  <c r="P575" i="2"/>
  <c r="M575" i="2"/>
  <c r="H575" i="2"/>
  <c r="G575" i="2"/>
  <c r="F575" i="2"/>
  <c r="D575" i="2"/>
  <c r="AH574" i="2"/>
  <c r="R574" i="2"/>
  <c r="Q574" i="2"/>
  <c r="AG574" i="2" s="1"/>
  <c r="P574" i="2"/>
  <c r="V574" i="2" s="1"/>
  <c r="M574" i="2"/>
  <c r="H574" i="2"/>
  <c r="G574" i="2"/>
  <c r="F574" i="2"/>
  <c r="D574" i="2"/>
  <c r="AH573" i="2"/>
  <c r="R573" i="2"/>
  <c r="Q573" i="2"/>
  <c r="P573" i="2"/>
  <c r="M573" i="2"/>
  <c r="H573" i="2"/>
  <c r="G573" i="2"/>
  <c r="F573" i="2"/>
  <c r="D217" i="8" s="1"/>
  <c r="D573" i="2"/>
  <c r="B217" i="8" s="1"/>
  <c r="AH572" i="2"/>
  <c r="R572" i="2"/>
  <c r="Q572" i="2"/>
  <c r="AD572" i="2" s="1"/>
  <c r="P572" i="2"/>
  <c r="AE572" i="2" s="1"/>
  <c r="M572" i="2"/>
  <c r="H572" i="2"/>
  <c r="G572" i="2"/>
  <c r="F572" i="2"/>
  <c r="D216" i="8" s="1"/>
  <c r="D572" i="2"/>
  <c r="B216" i="8" s="1"/>
  <c r="AH571" i="2"/>
  <c r="R571" i="2"/>
  <c r="Q571" i="2"/>
  <c r="AA571" i="2" s="1"/>
  <c r="P571" i="2"/>
  <c r="M571" i="2"/>
  <c r="H571" i="2"/>
  <c r="G571" i="2"/>
  <c r="F571" i="2"/>
  <c r="D571" i="2"/>
  <c r="AH570" i="2"/>
  <c r="R570" i="2"/>
  <c r="Q570" i="2"/>
  <c r="Y570" i="2" s="1"/>
  <c r="P570" i="2"/>
  <c r="M570" i="2"/>
  <c r="H570" i="2"/>
  <c r="G570" i="2"/>
  <c r="F570" i="2"/>
  <c r="D570" i="2"/>
  <c r="AH569" i="2"/>
  <c r="R569" i="2"/>
  <c r="Q569" i="2"/>
  <c r="P569" i="2"/>
  <c r="M569" i="2"/>
  <c r="H569" i="2"/>
  <c r="G569" i="2"/>
  <c r="F569" i="2"/>
  <c r="D218" i="8" s="1"/>
  <c r="D569" i="2"/>
  <c r="AH568" i="2"/>
  <c r="R568" i="2"/>
  <c r="Q568" i="2"/>
  <c r="AC568" i="2" s="1"/>
  <c r="P568" i="2"/>
  <c r="M568" i="2"/>
  <c r="H568" i="2"/>
  <c r="G568" i="2"/>
  <c r="F568" i="2"/>
  <c r="D214" i="8" s="1"/>
  <c r="D568" i="2"/>
  <c r="AH567" i="2"/>
  <c r="R567" i="2"/>
  <c r="Q567" i="2"/>
  <c r="Y567" i="2" s="1"/>
  <c r="P567" i="2"/>
  <c r="M567" i="2"/>
  <c r="H567" i="2"/>
  <c r="G567" i="2"/>
  <c r="F567" i="2"/>
  <c r="D567" i="2"/>
  <c r="AH566" i="2"/>
  <c r="R566" i="2"/>
  <c r="Q566" i="2"/>
  <c r="AG566" i="2" s="1"/>
  <c r="P566" i="2"/>
  <c r="M566" i="2"/>
  <c r="H566" i="2"/>
  <c r="G566" i="2"/>
  <c r="F566" i="2"/>
  <c r="D213" i="8" s="1"/>
  <c r="D566" i="2"/>
  <c r="B213" i="8" s="1"/>
  <c r="AH565" i="2"/>
  <c r="R565" i="2"/>
  <c r="Q565" i="2"/>
  <c r="P565" i="2"/>
  <c r="M565" i="2"/>
  <c r="H565" i="2"/>
  <c r="G565" i="2"/>
  <c r="F565" i="2"/>
  <c r="D565" i="2"/>
  <c r="AH564" i="2"/>
  <c r="R564" i="2"/>
  <c r="Q564" i="2"/>
  <c r="P564" i="2"/>
  <c r="M564" i="2"/>
  <c r="H564" i="2"/>
  <c r="G564" i="2"/>
  <c r="F564" i="2"/>
  <c r="D564" i="2"/>
  <c r="AJ563" i="2"/>
  <c r="AN563" i="2" s="1"/>
  <c r="P563" i="2"/>
  <c r="M563" i="2"/>
  <c r="H563" i="2"/>
  <c r="G563" i="2"/>
  <c r="F563" i="2"/>
  <c r="D49" i="9" s="1"/>
  <c r="D563" i="2"/>
  <c r="B49" i="9" s="1"/>
  <c r="AH562" i="2"/>
  <c r="AB562" i="2"/>
  <c r="R562" i="2"/>
  <c r="Q562" i="2"/>
  <c r="AA562" i="2" s="1"/>
  <c r="P562" i="2"/>
  <c r="M562" i="2"/>
  <c r="H562" i="2"/>
  <c r="G562" i="2"/>
  <c r="F562" i="2"/>
  <c r="D215" i="8" s="1"/>
  <c r="D562" i="2"/>
  <c r="B215" i="8" s="1"/>
  <c r="AH561" i="2"/>
  <c r="R561" i="2"/>
  <c r="Q561" i="2"/>
  <c r="AA561" i="2" s="1"/>
  <c r="P561" i="2"/>
  <c r="M561" i="2"/>
  <c r="H561" i="2"/>
  <c r="G561" i="2"/>
  <c r="F561" i="2"/>
  <c r="D561" i="2"/>
  <c r="AH560" i="2"/>
  <c r="R560" i="2"/>
  <c r="Q560" i="2"/>
  <c r="P560" i="2"/>
  <c r="M560" i="2"/>
  <c r="H560" i="2"/>
  <c r="G560" i="2"/>
  <c r="F560" i="2"/>
  <c r="D560" i="2"/>
  <c r="AJ559" i="2"/>
  <c r="P559" i="2"/>
  <c r="M559" i="2"/>
  <c r="H559" i="2"/>
  <c r="G559" i="2"/>
  <c r="F559" i="2"/>
  <c r="D48" i="9" s="1"/>
  <c r="D559" i="2"/>
  <c r="AH558" i="2"/>
  <c r="R558" i="2"/>
  <c r="Q558" i="2"/>
  <c r="AD558" i="2" s="1"/>
  <c r="P558" i="2"/>
  <c r="M558" i="2"/>
  <c r="H558" i="2"/>
  <c r="G558" i="2"/>
  <c r="F558" i="2"/>
  <c r="D212" i="8" s="1"/>
  <c r="D558" i="2"/>
  <c r="B212" i="8" s="1"/>
  <c r="AH557" i="2"/>
  <c r="AA557" i="2"/>
  <c r="Z557" i="2"/>
  <c r="R557" i="2"/>
  <c r="Q557" i="2"/>
  <c r="X557" i="2" s="1"/>
  <c r="P557" i="2"/>
  <c r="M557" i="2"/>
  <c r="H557" i="2"/>
  <c r="G557" i="2"/>
  <c r="F557" i="2"/>
  <c r="D557" i="2"/>
  <c r="AH556" i="2"/>
  <c r="R556" i="2"/>
  <c r="Q556" i="2"/>
  <c r="P556" i="2"/>
  <c r="M556" i="2"/>
  <c r="H556" i="2"/>
  <c r="G556" i="2"/>
  <c r="F556" i="2"/>
  <c r="D556" i="2"/>
  <c r="AH555" i="2"/>
  <c r="AG555" i="2"/>
  <c r="AB555" i="2"/>
  <c r="AA555" i="2"/>
  <c r="Z555" i="2"/>
  <c r="R555" i="2"/>
  <c r="Q555" i="2"/>
  <c r="P555" i="2"/>
  <c r="W555" i="2" s="1"/>
  <c r="M555" i="2"/>
  <c r="H555" i="2"/>
  <c r="G555" i="2"/>
  <c r="F555" i="2"/>
  <c r="D211" i="8" s="1"/>
  <c r="D555" i="2"/>
  <c r="B211" i="8" s="1"/>
  <c r="AH554" i="2"/>
  <c r="R554" i="2"/>
  <c r="Q554" i="2"/>
  <c r="P554" i="2"/>
  <c r="M554" i="2"/>
  <c r="H554" i="2"/>
  <c r="G554" i="2"/>
  <c r="F554" i="2"/>
  <c r="D210" i="8" s="1"/>
  <c r="D554" i="2"/>
  <c r="AH553" i="2"/>
  <c r="AD553" i="2"/>
  <c r="R553" i="2"/>
  <c r="Q553" i="2"/>
  <c r="AA553" i="2" s="1"/>
  <c r="P553" i="2"/>
  <c r="M553" i="2"/>
  <c r="H553" i="2"/>
  <c r="G553" i="2"/>
  <c r="F553" i="2"/>
  <c r="D553" i="2"/>
  <c r="AH552" i="2"/>
  <c r="R552" i="2"/>
  <c r="Q552" i="2"/>
  <c r="AG552" i="2" s="1"/>
  <c r="P552" i="2"/>
  <c r="S552" i="2" s="1"/>
  <c r="M552" i="2"/>
  <c r="H552" i="2"/>
  <c r="G552" i="2"/>
  <c r="F552" i="2"/>
  <c r="D209" i="8" s="1"/>
  <c r="D552" i="2"/>
  <c r="B209" i="8" s="1"/>
  <c r="AH551" i="2"/>
  <c r="R551" i="2"/>
  <c r="Q551" i="2"/>
  <c r="AA551" i="2" s="1"/>
  <c r="P551" i="2"/>
  <c r="M551" i="2"/>
  <c r="H551" i="2"/>
  <c r="G551" i="2"/>
  <c r="F551" i="2"/>
  <c r="D207" i="8" s="1"/>
  <c r="D551" i="2"/>
  <c r="B207" i="8" s="1"/>
  <c r="AH550" i="2"/>
  <c r="R550" i="2"/>
  <c r="Q550" i="2"/>
  <c r="P550" i="2"/>
  <c r="M550" i="2"/>
  <c r="H550" i="2"/>
  <c r="G550" i="2"/>
  <c r="F550" i="2"/>
  <c r="D208" i="8" s="1"/>
  <c r="D550" i="2"/>
  <c r="AH549" i="2"/>
  <c r="R549" i="2"/>
  <c r="Q549" i="2"/>
  <c r="Z549" i="2" s="1"/>
  <c r="P549" i="2"/>
  <c r="M549" i="2"/>
  <c r="H549" i="2"/>
  <c r="G549" i="2"/>
  <c r="F549" i="2"/>
  <c r="D206" i="8" s="1"/>
  <c r="D549" i="2"/>
  <c r="B206" i="8" s="1"/>
  <c r="AH548" i="2"/>
  <c r="R548" i="2"/>
  <c r="Q548" i="2"/>
  <c r="P548" i="2"/>
  <c r="M548" i="2"/>
  <c r="H548" i="2"/>
  <c r="G548" i="2"/>
  <c r="F548" i="2"/>
  <c r="D548" i="2"/>
  <c r="AH547" i="2"/>
  <c r="R547" i="2"/>
  <c r="Q547" i="2"/>
  <c r="P547" i="2"/>
  <c r="M547" i="2"/>
  <c r="H547" i="2"/>
  <c r="G547" i="2"/>
  <c r="F547" i="2"/>
  <c r="D547" i="2"/>
  <c r="AH546" i="2"/>
  <c r="R546" i="2"/>
  <c r="Q546" i="2"/>
  <c r="P546" i="2"/>
  <c r="M546" i="2"/>
  <c r="H546" i="2"/>
  <c r="G546" i="2"/>
  <c r="F546" i="2"/>
  <c r="D546" i="2"/>
  <c r="AH545" i="2"/>
  <c r="R545" i="2"/>
  <c r="Q545" i="2"/>
  <c r="Y545" i="2" s="1"/>
  <c r="P545" i="2"/>
  <c r="M545" i="2"/>
  <c r="H545" i="2"/>
  <c r="G545" i="2"/>
  <c r="F545" i="2"/>
  <c r="D545" i="2"/>
  <c r="AH544" i="2"/>
  <c r="R544" i="2"/>
  <c r="Q544" i="2"/>
  <c r="Y544" i="2" s="1"/>
  <c r="P544" i="2"/>
  <c r="M544" i="2"/>
  <c r="H544" i="2"/>
  <c r="G544" i="2"/>
  <c r="F544" i="2"/>
  <c r="D544" i="2"/>
  <c r="AJ543" i="2"/>
  <c r="AN543" i="2" s="1"/>
  <c r="P543" i="2"/>
  <c r="M543" i="2"/>
  <c r="H543" i="2"/>
  <c r="G543" i="2"/>
  <c r="F543" i="2"/>
  <c r="D47" i="9" s="1"/>
  <c r="D543" i="2"/>
  <c r="B47" i="9" s="1"/>
  <c r="AH542" i="2"/>
  <c r="R542" i="2"/>
  <c r="Q542" i="2"/>
  <c r="P542" i="2"/>
  <c r="M542" i="2"/>
  <c r="H542" i="2"/>
  <c r="G542" i="2"/>
  <c r="F542" i="2"/>
  <c r="D542" i="2"/>
  <c r="AH541" i="2"/>
  <c r="R541" i="2"/>
  <c r="Q541" i="2"/>
  <c r="AA541" i="2" s="1"/>
  <c r="P541" i="2"/>
  <c r="M541" i="2"/>
  <c r="H541" i="2"/>
  <c r="G541" i="2"/>
  <c r="F541" i="2"/>
  <c r="D205" i="8" s="1"/>
  <c r="D541" i="2"/>
  <c r="B205" i="8" s="1"/>
  <c r="AH540" i="2"/>
  <c r="R540" i="2"/>
  <c r="Q540" i="2"/>
  <c r="P540" i="2"/>
  <c r="M540" i="2"/>
  <c r="H540" i="2"/>
  <c r="G540" i="2"/>
  <c r="F540" i="2"/>
  <c r="D540" i="2"/>
  <c r="AH539" i="2"/>
  <c r="R539" i="2"/>
  <c r="Q539" i="2"/>
  <c r="AA539" i="2" s="1"/>
  <c r="P539" i="2"/>
  <c r="M539" i="2"/>
  <c r="H539" i="2"/>
  <c r="G539" i="2"/>
  <c r="F539" i="2"/>
  <c r="D539" i="2"/>
  <c r="AH538" i="2"/>
  <c r="R538" i="2"/>
  <c r="Q538" i="2"/>
  <c r="AB538" i="2" s="1"/>
  <c r="P538" i="2"/>
  <c r="M538" i="2"/>
  <c r="H538" i="2"/>
  <c r="G538" i="2"/>
  <c r="F538" i="2"/>
  <c r="D538" i="2"/>
  <c r="AH537" i="2"/>
  <c r="R537" i="2"/>
  <c r="Q537" i="2"/>
  <c r="P537" i="2"/>
  <c r="M537" i="2"/>
  <c r="H537" i="2"/>
  <c r="G537" i="2"/>
  <c r="F537" i="2"/>
  <c r="D537" i="2"/>
  <c r="AH536" i="2"/>
  <c r="R536" i="2"/>
  <c r="Q536" i="2"/>
  <c r="Y536" i="2" s="1"/>
  <c r="P536" i="2"/>
  <c r="M536" i="2"/>
  <c r="H536" i="2"/>
  <c r="G536" i="2"/>
  <c r="F536" i="2"/>
  <c r="D536" i="2"/>
  <c r="AH535" i="2"/>
  <c r="R535" i="2"/>
  <c r="Q535" i="2"/>
  <c r="P535" i="2"/>
  <c r="M535" i="2"/>
  <c r="H535" i="2"/>
  <c r="G535" i="2"/>
  <c r="F535" i="2"/>
  <c r="D535" i="2"/>
  <c r="AH534" i="2"/>
  <c r="R534" i="2"/>
  <c r="Q534" i="2"/>
  <c r="AE534" i="2" s="1"/>
  <c r="P534" i="2"/>
  <c r="M534" i="2"/>
  <c r="H534" i="2"/>
  <c r="G534" i="2"/>
  <c r="F534" i="2"/>
  <c r="D204" i="8" s="1"/>
  <c r="D534" i="2"/>
  <c r="B204" i="8" s="1"/>
  <c r="AH533" i="2"/>
  <c r="R533" i="2"/>
  <c r="Q533" i="2"/>
  <c r="Z533" i="2" s="1"/>
  <c r="P533" i="2"/>
  <c r="M533" i="2"/>
  <c r="H533" i="2"/>
  <c r="G533" i="2"/>
  <c r="F533" i="2"/>
  <c r="D533" i="2"/>
  <c r="AH532" i="2"/>
  <c r="R532" i="2"/>
  <c r="Q532" i="2"/>
  <c r="P532" i="2"/>
  <c r="M532" i="2"/>
  <c r="H532" i="2"/>
  <c r="G532" i="2"/>
  <c r="F532" i="2"/>
  <c r="D202" i="8" s="1"/>
  <c r="D532" i="2"/>
  <c r="B202" i="8" s="1"/>
  <c r="AJ531" i="2"/>
  <c r="P531" i="2"/>
  <c r="M531" i="2"/>
  <c r="H531" i="2"/>
  <c r="G531" i="2"/>
  <c r="F531" i="2"/>
  <c r="D46" i="9" s="1"/>
  <c r="D531" i="2"/>
  <c r="B46" i="9" s="1"/>
  <c r="AH530" i="2"/>
  <c r="R530" i="2"/>
  <c r="Q530" i="2"/>
  <c r="P530" i="2"/>
  <c r="M530" i="2"/>
  <c r="H530" i="2"/>
  <c r="G530" i="2"/>
  <c r="F530" i="2"/>
  <c r="D530" i="2"/>
  <c r="AH529" i="2"/>
  <c r="R529" i="2"/>
  <c r="Q529" i="2"/>
  <c r="P529" i="2"/>
  <c r="M529" i="2"/>
  <c r="H529" i="2"/>
  <c r="G529" i="2"/>
  <c r="F529" i="2"/>
  <c r="D203" i="8" s="1"/>
  <c r="D529" i="2"/>
  <c r="B203" i="8" s="1"/>
  <c r="AH528" i="2"/>
  <c r="R528" i="2"/>
  <c r="Q528" i="2"/>
  <c r="P528" i="2"/>
  <c r="M528" i="2"/>
  <c r="H528" i="2"/>
  <c r="G528" i="2"/>
  <c r="F528" i="2"/>
  <c r="D200" i="8" s="1"/>
  <c r="D528" i="2"/>
  <c r="AH527" i="2"/>
  <c r="R527" i="2"/>
  <c r="Q527" i="2"/>
  <c r="P527" i="2"/>
  <c r="M527" i="2"/>
  <c r="H527" i="2"/>
  <c r="G527" i="2"/>
  <c r="F527" i="2"/>
  <c r="D527" i="2"/>
  <c r="AH526" i="2"/>
  <c r="R526" i="2"/>
  <c r="Q526" i="2"/>
  <c r="P526" i="2"/>
  <c r="M526" i="2"/>
  <c r="H526" i="2"/>
  <c r="G526" i="2"/>
  <c r="F526" i="2"/>
  <c r="D199" i="8" s="1"/>
  <c r="D526" i="2"/>
  <c r="AH525" i="2"/>
  <c r="R525" i="2"/>
  <c r="Q525" i="2"/>
  <c r="P525" i="2"/>
  <c r="M525" i="2"/>
  <c r="H525" i="2"/>
  <c r="G525" i="2"/>
  <c r="F525" i="2"/>
  <c r="D201" i="8" s="1"/>
  <c r="D525" i="2"/>
  <c r="B201" i="8" s="1"/>
  <c r="AH524" i="2"/>
  <c r="R524" i="2"/>
  <c r="Q524" i="2"/>
  <c r="AG524" i="2" s="1"/>
  <c r="P524" i="2"/>
  <c r="M524" i="2"/>
  <c r="H524" i="2"/>
  <c r="G524" i="2"/>
  <c r="F524" i="2"/>
  <c r="D198" i="8" s="1"/>
  <c r="D524" i="2"/>
  <c r="B198" i="8" s="1"/>
  <c r="AH523" i="2"/>
  <c r="R523" i="2"/>
  <c r="Q523" i="2"/>
  <c r="AF523" i="2" s="1"/>
  <c r="P523" i="2"/>
  <c r="M523" i="2"/>
  <c r="H523" i="2"/>
  <c r="G523" i="2"/>
  <c r="F523" i="2"/>
  <c r="D523" i="2"/>
  <c r="AH522" i="2"/>
  <c r="R522" i="2"/>
  <c r="Q522" i="2"/>
  <c r="AF522" i="2" s="1"/>
  <c r="P522" i="2"/>
  <c r="M522" i="2"/>
  <c r="H522" i="2"/>
  <c r="G522" i="2"/>
  <c r="F522" i="2"/>
  <c r="D197" i="8" s="1"/>
  <c r="D522" i="2"/>
  <c r="B197" i="8" s="1"/>
  <c r="AH521" i="2"/>
  <c r="R521" i="2"/>
  <c r="Q521" i="2"/>
  <c r="AD521" i="2" s="1"/>
  <c r="P521" i="2"/>
  <c r="M521" i="2"/>
  <c r="H521" i="2"/>
  <c r="G521" i="2"/>
  <c r="F521" i="2"/>
  <c r="D196" i="8" s="1"/>
  <c r="D521" i="2"/>
  <c r="B196" i="8" s="1"/>
  <c r="AH520" i="2"/>
  <c r="R520" i="2"/>
  <c r="Q520" i="2"/>
  <c r="AF520" i="2" s="1"/>
  <c r="P520" i="2"/>
  <c r="M520" i="2"/>
  <c r="H520" i="2"/>
  <c r="G520" i="2"/>
  <c r="F520" i="2"/>
  <c r="D195" i="8" s="1"/>
  <c r="D520" i="2"/>
  <c r="B195" i="8" s="1"/>
  <c r="AH519" i="2"/>
  <c r="R519" i="2"/>
  <c r="Q519" i="2"/>
  <c r="P519" i="2"/>
  <c r="M519" i="2"/>
  <c r="H519" i="2"/>
  <c r="G519" i="2"/>
  <c r="F519" i="2"/>
  <c r="D519" i="2"/>
  <c r="AH518" i="2"/>
  <c r="R518" i="2"/>
  <c r="Q518" i="2"/>
  <c r="AA518" i="2" s="1"/>
  <c r="P518" i="2"/>
  <c r="M518" i="2"/>
  <c r="H518" i="2"/>
  <c r="G518" i="2"/>
  <c r="F518" i="2"/>
  <c r="D194" i="8" s="1"/>
  <c r="D518" i="2"/>
  <c r="AH517" i="2"/>
  <c r="R517" i="2"/>
  <c r="Q517" i="2"/>
  <c r="P517" i="2"/>
  <c r="M517" i="2"/>
  <c r="H517" i="2"/>
  <c r="G517" i="2"/>
  <c r="F517" i="2"/>
  <c r="D517" i="2"/>
  <c r="AH516" i="2"/>
  <c r="R516" i="2"/>
  <c r="Q516" i="2"/>
  <c r="W516" i="2" s="1"/>
  <c r="P516" i="2"/>
  <c r="M516" i="2"/>
  <c r="H516" i="2"/>
  <c r="G516" i="2"/>
  <c r="F516" i="2"/>
  <c r="D516" i="2"/>
  <c r="AH515" i="2"/>
  <c r="R515" i="2"/>
  <c r="Q515" i="2"/>
  <c r="AF515" i="2" s="1"/>
  <c r="P515" i="2"/>
  <c r="M515" i="2"/>
  <c r="H515" i="2"/>
  <c r="G515" i="2"/>
  <c r="F515" i="2"/>
  <c r="D193" i="8" s="1"/>
  <c r="D515" i="2"/>
  <c r="B193" i="8" s="1"/>
  <c r="AH514" i="2"/>
  <c r="R514" i="2"/>
  <c r="Q514" i="2"/>
  <c r="P514" i="2"/>
  <c r="M514" i="2"/>
  <c r="H514" i="2"/>
  <c r="G514" i="2"/>
  <c r="F514" i="2"/>
  <c r="D192" i="8" s="1"/>
  <c r="D514" i="2"/>
  <c r="B192" i="8" s="1"/>
  <c r="AH513" i="2"/>
  <c r="R513" i="2"/>
  <c r="Q513" i="2"/>
  <c r="Y513" i="2" s="1"/>
  <c r="P513" i="2"/>
  <c r="M513" i="2"/>
  <c r="H513" i="2"/>
  <c r="G513" i="2"/>
  <c r="F513" i="2"/>
  <c r="D513" i="2"/>
  <c r="AH512" i="2"/>
  <c r="R512" i="2"/>
  <c r="Q512" i="2"/>
  <c r="P512" i="2"/>
  <c r="M512" i="2"/>
  <c r="H512" i="2"/>
  <c r="G512" i="2"/>
  <c r="F512" i="2"/>
  <c r="D512" i="2"/>
  <c r="AH511" i="2"/>
  <c r="R511" i="2"/>
  <c r="Q511" i="2"/>
  <c r="P511" i="2"/>
  <c r="M511" i="2"/>
  <c r="H511" i="2"/>
  <c r="G511" i="2"/>
  <c r="F511" i="2"/>
  <c r="D191" i="8" s="1"/>
  <c r="D511" i="2"/>
  <c r="B191" i="8" s="1"/>
  <c r="AH510" i="2"/>
  <c r="R510" i="2"/>
  <c r="Q510" i="2"/>
  <c r="AA510" i="2" s="1"/>
  <c r="P510" i="2"/>
  <c r="M510" i="2"/>
  <c r="H510" i="2"/>
  <c r="G510" i="2"/>
  <c r="F510" i="2"/>
  <c r="D510" i="2"/>
  <c r="AH509" i="2"/>
  <c r="R509" i="2"/>
  <c r="Q509" i="2"/>
  <c r="Y509" i="2" s="1"/>
  <c r="P509" i="2"/>
  <c r="V509" i="2" s="1"/>
  <c r="M509" i="2"/>
  <c r="H509" i="2"/>
  <c r="G509" i="2"/>
  <c r="F509" i="2"/>
  <c r="D189" i="8" s="1"/>
  <c r="D509" i="2"/>
  <c r="AH508" i="2"/>
  <c r="R508" i="2"/>
  <c r="Q508" i="2"/>
  <c r="Y508" i="2" s="1"/>
  <c r="P508" i="2"/>
  <c r="M508" i="2"/>
  <c r="H508" i="2"/>
  <c r="G508" i="2"/>
  <c r="F508" i="2"/>
  <c r="D508" i="2"/>
  <c r="AH507" i="2"/>
  <c r="R507" i="2"/>
  <c r="Q507" i="2"/>
  <c r="P507" i="2"/>
  <c r="AC507" i="2" s="1"/>
  <c r="M507" i="2"/>
  <c r="H507" i="2"/>
  <c r="G507" i="2"/>
  <c r="F507" i="2"/>
  <c r="D507" i="2"/>
  <c r="AH506" i="2"/>
  <c r="R506" i="2"/>
  <c r="Q506" i="2"/>
  <c r="AA506" i="2" s="1"/>
  <c r="P506" i="2"/>
  <c r="M506" i="2"/>
  <c r="H506" i="2"/>
  <c r="G506" i="2"/>
  <c r="F506" i="2"/>
  <c r="D506" i="2"/>
  <c r="AH505" i="2"/>
  <c r="R505" i="2"/>
  <c r="Q505" i="2"/>
  <c r="AF505" i="2" s="1"/>
  <c r="P505" i="2"/>
  <c r="M505" i="2"/>
  <c r="H505" i="2"/>
  <c r="G505" i="2"/>
  <c r="F505" i="2"/>
  <c r="D188" i="8" s="1"/>
  <c r="D505" i="2"/>
  <c r="B188" i="8" s="1"/>
  <c r="AH504" i="2"/>
  <c r="R504" i="2"/>
  <c r="Q504" i="2"/>
  <c r="AE504" i="2" s="1"/>
  <c r="P504" i="2"/>
  <c r="M504" i="2"/>
  <c r="H504" i="2"/>
  <c r="G504" i="2"/>
  <c r="F504" i="2"/>
  <c r="D504" i="2"/>
  <c r="AH503" i="2"/>
  <c r="R503" i="2"/>
  <c r="Q503" i="2"/>
  <c r="AF503" i="2" s="1"/>
  <c r="P503" i="2"/>
  <c r="M503" i="2"/>
  <c r="H503" i="2"/>
  <c r="G503" i="2"/>
  <c r="F503" i="2"/>
  <c r="D187" i="8" s="1"/>
  <c r="D503" i="2"/>
  <c r="B187" i="8" s="1"/>
  <c r="AH502" i="2"/>
  <c r="R502" i="2"/>
  <c r="Q502" i="2"/>
  <c r="P502" i="2"/>
  <c r="M502" i="2"/>
  <c r="H502" i="2"/>
  <c r="G502" i="2"/>
  <c r="F502" i="2"/>
  <c r="D186" i="8" s="1"/>
  <c r="D502" i="2"/>
  <c r="B186" i="8" s="1"/>
  <c r="AH501" i="2"/>
  <c r="R501" i="2"/>
  <c r="Q501" i="2"/>
  <c r="Y501" i="2" s="1"/>
  <c r="P501" i="2"/>
  <c r="M501" i="2"/>
  <c r="H501" i="2"/>
  <c r="G501" i="2"/>
  <c r="F501" i="2"/>
  <c r="D185" i="8" s="1"/>
  <c r="D501" i="2"/>
  <c r="AH500" i="2"/>
  <c r="R500" i="2"/>
  <c r="Q500" i="2"/>
  <c r="P500" i="2"/>
  <c r="M500" i="2"/>
  <c r="H500" i="2"/>
  <c r="G500" i="2"/>
  <c r="F500" i="2"/>
  <c r="D190" i="8" s="1"/>
  <c r="D500" i="2"/>
  <c r="AH499" i="2"/>
  <c r="R499" i="2"/>
  <c r="Q499" i="2"/>
  <c r="Z499" i="2" s="1"/>
  <c r="P499" i="2"/>
  <c r="M499" i="2"/>
  <c r="H499" i="2"/>
  <c r="G499" i="2"/>
  <c r="F499" i="2"/>
  <c r="D499" i="2"/>
  <c r="AH498" i="2"/>
  <c r="R498" i="2"/>
  <c r="Q498" i="2"/>
  <c r="P498" i="2"/>
  <c r="M498" i="2"/>
  <c r="H498" i="2"/>
  <c r="G498" i="2"/>
  <c r="F498" i="2"/>
  <c r="D498" i="2"/>
  <c r="AH497" i="2"/>
  <c r="R497" i="2"/>
  <c r="Q497" i="2"/>
  <c r="AG497" i="2" s="1"/>
  <c r="P497" i="2"/>
  <c r="M497" i="2"/>
  <c r="H497" i="2"/>
  <c r="G497" i="2"/>
  <c r="F497" i="2"/>
  <c r="D497" i="2"/>
  <c r="AH496" i="2"/>
  <c r="R496" i="2"/>
  <c r="Q496" i="2"/>
  <c r="AD496" i="2" s="1"/>
  <c r="P496" i="2"/>
  <c r="M496" i="2"/>
  <c r="H496" i="2"/>
  <c r="G496" i="2"/>
  <c r="F496" i="2"/>
  <c r="D496" i="2"/>
  <c r="AH495" i="2"/>
  <c r="R495" i="2"/>
  <c r="Q495" i="2"/>
  <c r="AB495" i="2" s="1"/>
  <c r="P495" i="2"/>
  <c r="X495" i="2" s="1"/>
  <c r="M495" i="2"/>
  <c r="H495" i="2"/>
  <c r="G495" i="2"/>
  <c r="F495" i="2"/>
  <c r="D495" i="2"/>
  <c r="AH494" i="2"/>
  <c r="R494" i="2"/>
  <c r="Q494" i="2"/>
  <c r="AF494" i="2" s="1"/>
  <c r="P494" i="2"/>
  <c r="M494" i="2"/>
  <c r="H494" i="2"/>
  <c r="G494" i="2"/>
  <c r="F494" i="2"/>
  <c r="D183" i="8" s="1"/>
  <c r="D494" i="2"/>
  <c r="B183" i="8" s="1"/>
  <c r="AH493" i="2"/>
  <c r="R493" i="2"/>
  <c r="Q493" i="2"/>
  <c r="P493" i="2"/>
  <c r="M493" i="2"/>
  <c r="H493" i="2"/>
  <c r="G493" i="2"/>
  <c r="F493" i="2"/>
  <c r="D184" i="8" s="1"/>
  <c r="D493" i="2"/>
  <c r="B184" i="8" s="1"/>
  <c r="AH492" i="2"/>
  <c r="R492" i="2"/>
  <c r="Q492" i="2"/>
  <c r="AF492" i="2" s="1"/>
  <c r="P492" i="2"/>
  <c r="M492" i="2"/>
  <c r="H492" i="2"/>
  <c r="G492" i="2"/>
  <c r="F492" i="2"/>
  <c r="D182" i="8" s="1"/>
  <c r="D492" i="2"/>
  <c r="B182" i="8" s="1"/>
  <c r="AH491" i="2"/>
  <c r="R491" i="2"/>
  <c r="Q491" i="2"/>
  <c r="AF491" i="2" s="1"/>
  <c r="P491" i="2"/>
  <c r="M491" i="2"/>
  <c r="H491" i="2"/>
  <c r="G491" i="2"/>
  <c r="F491" i="2"/>
  <c r="D491" i="2"/>
  <c r="AH490" i="2"/>
  <c r="R490" i="2"/>
  <c r="Q490" i="2"/>
  <c r="AG490" i="2" s="1"/>
  <c r="P490" i="2"/>
  <c r="M490" i="2"/>
  <c r="H490" i="2"/>
  <c r="G490" i="2"/>
  <c r="F490" i="2"/>
  <c r="D490" i="2"/>
  <c r="AH489" i="2"/>
  <c r="R489" i="2"/>
  <c r="Q489" i="2"/>
  <c r="P489" i="2"/>
  <c r="M489" i="2"/>
  <c r="H489" i="2"/>
  <c r="G489" i="2"/>
  <c r="F489" i="2"/>
  <c r="D489" i="2"/>
  <c r="AH488" i="2"/>
  <c r="R488" i="2"/>
  <c r="Q488" i="2"/>
  <c r="AB488" i="2" s="1"/>
  <c r="P488" i="2"/>
  <c r="M488" i="2"/>
  <c r="H488" i="2"/>
  <c r="G488" i="2"/>
  <c r="F488" i="2"/>
  <c r="D180" i="8" s="1"/>
  <c r="D488" i="2"/>
  <c r="B180" i="8" s="1"/>
  <c r="AH487" i="2"/>
  <c r="R487" i="2"/>
  <c r="Q487" i="2"/>
  <c r="AG487" i="2" s="1"/>
  <c r="P487" i="2"/>
  <c r="M487" i="2"/>
  <c r="H487" i="2"/>
  <c r="G487" i="2"/>
  <c r="F487" i="2"/>
  <c r="D181" i="8" s="1"/>
  <c r="D487" i="2"/>
  <c r="B181" i="8" s="1"/>
  <c r="AH486" i="2"/>
  <c r="R486" i="2"/>
  <c r="Q486" i="2"/>
  <c r="AB486" i="2" s="1"/>
  <c r="P486" i="2"/>
  <c r="M486" i="2"/>
  <c r="H486" i="2"/>
  <c r="G486" i="2"/>
  <c r="F486" i="2"/>
  <c r="D486" i="2"/>
  <c r="AH485" i="2"/>
  <c r="R485" i="2"/>
  <c r="Q485" i="2"/>
  <c r="P485" i="2"/>
  <c r="M485" i="2"/>
  <c r="H485" i="2"/>
  <c r="G485" i="2"/>
  <c r="F485" i="2"/>
  <c r="D485" i="2"/>
  <c r="AH484" i="2"/>
  <c r="R484" i="2"/>
  <c r="Q484" i="2"/>
  <c r="AF484" i="2" s="1"/>
  <c r="P484" i="2"/>
  <c r="M484" i="2"/>
  <c r="H484" i="2"/>
  <c r="G484" i="2"/>
  <c r="F484" i="2"/>
  <c r="D484" i="2"/>
  <c r="AH483" i="2"/>
  <c r="R483" i="2"/>
  <c r="Q483" i="2"/>
  <c r="AD483" i="2" s="1"/>
  <c r="P483" i="2"/>
  <c r="M483" i="2"/>
  <c r="H483" i="2"/>
  <c r="G483" i="2"/>
  <c r="F483" i="2"/>
  <c r="D179" i="8" s="1"/>
  <c r="D483" i="2"/>
  <c r="B179" i="8" s="1"/>
  <c r="AH482" i="2"/>
  <c r="X482" i="2"/>
  <c r="S482" i="2"/>
  <c r="R482" i="2"/>
  <c r="Q482" i="2"/>
  <c r="AG482" i="2" s="1"/>
  <c r="P482" i="2"/>
  <c r="M482" i="2"/>
  <c r="H482" i="2"/>
  <c r="G482" i="2"/>
  <c r="F482" i="2"/>
  <c r="D482" i="2"/>
  <c r="AH481" i="2"/>
  <c r="AD481" i="2"/>
  <c r="R481" i="2"/>
  <c r="Q481" i="2"/>
  <c r="AF481" i="2" s="1"/>
  <c r="P481" i="2"/>
  <c r="M481" i="2"/>
  <c r="H481" i="2"/>
  <c r="G481" i="2"/>
  <c r="F481" i="2"/>
  <c r="D178" i="8" s="1"/>
  <c r="D481" i="2"/>
  <c r="AH480" i="2"/>
  <c r="R480" i="2"/>
  <c r="Q480" i="2"/>
  <c r="P480" i="2"/>
  <c r="M480" i="2"/>
  <c r="H480" i="2"/>
  <c r="G480" i="2"/>
  <c r="F480" i="2"/>
  <c r="D480" i="2"/>
  <c r="AH479" i="2"/>
  <c r="R479" i="2"/>
  <c r="Q479" i="2"/>
  <c r="P479" i="2"/>
  <c r="M479" i="2"/>
  <c r="H479" i="2"/>
  <c r="G479" i="2"/>
  <c r="F479" i="2"/>
  <c r="D177" i="8" s="1"/>
  <c r="D479" i="2"/>
  <c r="B177" i="8" s="1"/>
  <c r="AH478" i="2"/>
  <c r="R478" i="2"/>
  <c r="Q478" i="2"/>
  <c r="AA478" i="2" s="1"/>
  <c r="P478" i="2"/>
  <c r="M478" i="2"/>
  <c r="H478" i="2"/>
  <c r="G478" i="2"/>
  <c r="F478" i="2"/>
  <c r="D478" i="2"/>
  <c r="AH477" i="2"/>
  <c r="R477" i="2"/>
  <c r="Q477" i="2"/>
  <c r="Z477" i="2" s="1"/>
  <c r="P477" i="2"/>
  <c r="M477" i="2"/>
  <c r="H477" i="2"/>
  <c r="G477" i="2"/>
  <c r="F477" i="2"/>
  <c r="D477" i="2"/>
  <c r="AH476" i="2"/>
  <c r="AG476" i="2"/>
  <c r="AF476" i="2"/>
  <c r="AD476" i="2"/>
  <c r="AB476" i="2"/>
  <c r="Z476" i="2"/>
  <c r="R476" i="2"/>
  <c r="Q476" i="2"/>
  <c r="AA476" i="2" s="1"/>
  <c r="P476" i="2"/>
  <c r="X476" i="2" s="1"/>
  <c r="M476" i="2"/>
  <c r="H476" i="2"/>
  <c r="G476" i="2"/>
  <c r="F476" i="2"/>
  <c r="D476" i="2"/>
  <c r="AH475" i="2"/>
  <c r="R475" i="2"/>
  <c r="Q475" i="2"/>
  <c r="AF475" i="2" s="1"/>
  <c r="P475" i="2"/>
  <c r="M475" i="2"/>
  <c r="H475" i="2"/>
  <c r="G475" i="2"/>
  <c r="F475" i="2"/>
  <c r="D475" i="2"/>
  <c r="AH474" i="2"/>
  <c r="R474" i="2"/>
  <c r="Q474" i="2"/>
  <c r="P474" i="2"/>
  <c r="M474" i="2"/>
  <c r="H474" i="2"/>
  <c r="G474" i="2"/>
  <c r="F474" i="2"/>
  <c r="D175" i="8" s="1"/>
  <c r="D474" i="2"/>
  <c r="B175" i="8" s="1"/>
  <c r="AH473" i="2"/>
  <c r="R473" i="2"/>
  <c r="Q473" i="2"/>
  <c r="P473" i="2"/>
  <c r="M473" i="2"/>
  <c r="H473" i="2"/>
  <c r="G473" i="2"/>
  <c r="F473" i="2"/>
  <c r="D176" i="8" s="1"/>
  <c r="D473" i="2"/>
  <c r="B176" i="8" s="1"/>
  <c r="AH472" i="2"/>
  <c r="X472" i="2"/>
  <c r="R472" i="2"/>
  <c r="Q472" i="2"/>
  <c r="AB472" i="2" s="1"/>
  <c r="P472" i="2"/>
  <c r="M472" i="2"/>
  <c r="H472" i="2"/>
  <c r="G472" i="2"/>
  <c r="F472" i="2"/>
  <c r="D472" i="2"/>
  <c r="AH471" i="2"/>
  <c r="Y471" i="2"/>
  <c r="R471" i="2"/>
  <c r="Q471" i="2"/>
  <c r="AF471" i="2" s="1"/>
  <c r="P471" i="2"/>
  <c r="M471" i="2"/>
  <c r="H471" i="2"/>
  <c r="G471" i="2"/>
  <c r="F471" i="2"/>
  <c r="D471" i="2"/>
  <c r="AH470" i="2"/>
  <c r="R470" i="2"/>
  <c r="Q470" i="2"/>
  <c r="AG470" i="2" s="1"/>
  <c r="P470" i="2"/>
  <c r="M470" i="2"/>
  <c r="H470" i="2"/>
  <c r="G470" i="2"/>
  <c r="F470" i="2"/>
  <c r="D174" i="8" s="1"/>
  <c r="D470" i="2"/>
  <c r="AH469" i="2"/>
  <c r="R469" i="2"/>
  <c r="Q469" i="2"/>
  <c r="P469" i="2"/>
  <c r="M469" i="2"/>
  <c r="H469" i="2"/>
  <c r="G469" i="2"/>
  <c r="F469" i="2"/>
  <c r="D469" i="2"/>
  <c r="AH468" i="2"/>
  <c r="R468" i="2"/>
  <c r="Q468" i="2"/>
  <c r="AF468" i="2" s="1"/>
  <c r="P468" i="2"/>
  <c r="M468" i="2"/>
  <c r="H468" i="2"/>
  <c r="G468" i="2"/>
  <c r="F468" i="2"/>
  <c r="D468" i="2"/>
  <c r="AH467" i="2"/>
  <c r="R467" i="2"/>
  <c r="Q467" i="2"/>
  <c r="AG467" i="2" s="1"/>
  <c r="P467" i="2"/>
  <c r="M467" i="2"/>
  <c r="H467" i="2"/>
  <c r="G467" i="2"/>
  <c r="F467" i="2"/>
  <c r="D171" i="8" s="1"/>
  <c r="D467" i="2"/>
  <c r="B171" i="8" s="1"/>
  <c r="AH466" i="2"/>
  <c r="R466" i="2"/>
  <c r="Q466" i="2"/>
  <c r="P466" i="2"/>
  <c r="AE466" i="2" s="1"/>
  <c r="M466" i="2"/>
  <c r="H466" i="2"/>
  <c r="G466" i="2"/>
  <c r="F466" i="2"/>
  <c r="D466" i="2"/>
  <c r="AH465" i="2"/>
  <c r="AG465" i="2"/>
  <c r="AD465" i="2"/>
  <c r="W465" i="2"/>
  <c r="R465" i="2"/>
  <c r="Q465" i="2"/>
  <c r="AB465" i="2" s="1"/>
  <c r="P465" i="2"/>
  <c r="M465" i="2"/>
  <c r="H465" i="2"/>
  <c r="G465" i="2"/>
  <c r="F465" i="2"/>
  <c r="D170" i="8" s="1"/>
  <c r="D465" i="2"/>
  <c r="B170" i="8" s="1"/>
  <c r="AH464" i="2"/>
  <c r="R464" i="2"/>
  <c r="Q464" i="2"/>
  <c r="P464" i="2"/>
  <c r="M464" i="2"/>
  <c r="H464" i="2"/>
  <c r="G464" i="2"/>
  <c r="F464" i="2"/>
  <c r="D173" i="8" s="1"/>
  <c r="D464" i="2"/>
  <c r="B173" i="8" s="1"/>
  <c r="AH463" i="2"/>
  <c r="R463" i="2"/>
  <c r="Q463" i="2"/>
  <c r="AF463" i="2" s="1"/>
  <c r="P463" i="2"/>
  <c r="M463" i="2"/>
  <c r="H463" i="2"/>
  <c r="G463" i="2"/>
  <c r="F463" i="2"/>
  <c r="D172" i="8" s="1"/>
  <c r="D463" i="2"/>
  <c r="AH462" i="2"/>
  <c r="R462" i="2"/>
  <c r="Q462" i="2"/>
  <c r="S462" i="2" s="1"/>
  <c r="P462" i="2"/>
  <c r="M462" i="2"/>
  <c r="H462" i="2"/>
  <c r="G462" i="2"/>
  <c r="F462" i="2"/>
  <c r="D462" i="2"/>
  <c r="AH461" i="2"/>
  <c r="R461" i="2"/>
  <c r="Q461" i="2"/>
  <c r="P461" i="2"/>
  <c r="M461" i="2"/>
  <c r="H461" i="2"/>
  <c r="G461" i="2"/>
  <c r="F461" i="2"/>
  <c r="D461" i="2"/>
  <c r="AH460" i="2"/>
  <c r="R460" i="2"/>
  <c r="Q460" i="2"/>
  <c r="Y460" i="2" s="1"/>
  <c r="P460" i="2"/>
  <c r="M460" i="2"/>
  <c r="H460" i="2"/>
  <c r="G460" i="2"/>
  <c r="F460" i="2"/>
  <c r="D460" i="2"/>
  <c r="AH459" i="2"/>
  <c r="R459" i="2"/>
  <c r="Q459" i="2"/>
  <c r="P459" i="2"/>
  <c r="M459" i="2"/>
  <c r="H459" i="2"/>
  <c r="G459" i="2"/>
  <c r="F459" i="2"/>
  <c r="D169" i="8" s="1"/>
  <c r="D459" i="2"/>
  <c r="B169" i="8" s="1"/>
  <c r="AH458" i="2"/>
  <c r="R458" i="2"/>
  <c r="Q458" i="2"/>
  <c r="P458" i="2"/>
  <c r="M458" i="2"/>
  <c r="H458" i="2"/>
  <c r="G458" i="2"/>
  <c r="F458" i="2"/>
  <c r="D458" i="2"/>
  <c r="AH457" i="2"/>
  <c r="R457" i="2"/>
  <c r="Q457" i="2"/>
  <c r="P457" i="2"/>
  <c r="M457" i="2"/>
  <c r="H457" i="2"/>
  <c r="G457" i="2"/>
  <c r="F457" i="2"/>
  <c r="D457" i="2"/>
  <c r="AH456" i="2"/>
  <c r="R456" i="2"/>
  <c r="Q456" i="2"/>
  <c r="P456" i="2"/>
  <c r="M456" i="2"/>
  <c r="H456" i="2"/>
  <c r="G456" i="2"/>
  <c r="F456" i="2"/>
  <c r="D456" i="2"/>
  <c r="AJ455" i="2"/>
  <c r="P455" i="2"/>
  <c r="M455" i="2"/>
  <c r="H455" i="2"/>
  <c r="G455" i="2"/>
  <c r="F455" i="2"/>
  <c r="D45" i="9" s="1"/>
  <c r="D455" i="2"/>
  <c r="B45" i="9" s="1"/>
  <c r="AH454" i="2"/>
  <c r="R454" i="2"/>
  <c r="Q454" i="2"/>
  <c r="P454" i="2"/>
  <c r="M454" i="2"/>
  <c r="H454" i="2"/>
  <c r="G454" i="2"/>
  <c r="F454" i="2"/>
  <c r="D167" i="8" s="1"/>
  <c r="D454" i="2"/>
  <c r="AM453" i="2"/>
  <c r="AJ453" i="2"/>
  <c r="P453" i="2"/>
  <c r="M453" i="2"/>
  <c r="H453" i="2"/>
  <c r="G453" i="2"/>
  <c r="F453" i="2"/>
  <c r="D44" i="9" s="1"/>
  <c r="D453" i="2"/>
  <c r="AH452" i="2"/>
  <c r="Z452" i="2"/>
  <c r="R452" i="2"/>
  <c r="Q452" i="2"/>
  <c r="AG452" i="2" s="1"/>
  <c r="P452" i="2"/>
  <c r="AE452" i="2" s="1"/>
  <c r="M452" i="2"/>
  <c r="H452" i="2"/>
  <c r="G452" i="2"/>
  <c r="F452" i="2"/>
  <c r="D452" i="2"/>
  <c r="AH451" i="2"/>
  <c r="R451" i="2"/>
  <c r="Q451" i="2"/>
  <c r="AF451" i="2" s="1"/>
  <c r="P451" i="2"/>
  <c r="M451" i="2"/>
  <c r="H451" i="2"/>
  <c r="G451" i="2"/>
  <c r="F451" i="2"/>
  <c r="D168" i="8" s="1"/>
  <c r="D451" i="2"/>
  <c r="B168" i="8" s="1"/>
  <c r="AH450" i="2"/>
  <c r="R450" i="2"/>
  <c r="Q450" i="2"/>
  <c r="AF450" i="2" s="1"/>
  <c r="P450" i="2"/>
  <c r="M450" i="2"/>
  <c r="H450" i="2"/>
  <c r="G450" i="2"/>
  <c r="F450" i="2"/>
  <c r="D165" i="8" s="1"/>
  <c r="D450" i="2"/>
  <c r="B165" i="8" s="1"/>
  <c r="AH449" i="2"/>
  <c r="R449" i="2"/>
  <c r="Q449" i="2"/>
  <c r="AE449" i="2" s="1"/>
  <c r="P449" i="2"/>
  <c r="M449" i="2"/>
  <c r="H449" i="2"/>
  <c r="G449" i="2"/>
  <c r="F449" i="2"/>
  <c r="D166" i="8" s="1"/>
  <c r="D449" i="2"/>
  <c r="B166" i="8" s="1"/>
  <c r="AH448" i="2"/>
  <c r="R448" i="2"/>
  <c r="Q448" i="2"/>
  <c r="AA448" i="2" s="1"/>
  <c r="P448" i="2"/>
  <c r="M448" i="2"/>
  <c r="H448" i="2"/>
  <c r="G448" i="2"/>
  <c r="F448" i="2"/>
  <c r="D164" i="8" s="1"/>
  <c r="D448" i="2"/>
  <c r="AJ447" i="2"/>
  <c r="AN447" i="2" s="1"/>
  <c r="P447" i="2"/>
  <c r="M447" i="2"/>
  <c r="H447" i="2"/>
  <c r="G447" i="2"/>
  <c r="F447" i="2"/>
  <c r="D43" i="9" s="1"/>
  <c r="D447" i="2"/>
  <c r="B43" i="9" s="1"/>
  <c r="AH446" i="2"/>
  <c r="R446" i="2"/>
  <c r="Q446" i="2"/>
  <c r="AG446" i="2" s="1"/>
  <c r="P446" i="2"/>
  <c r="M446" i="2"/>
  <c r="H446" i="2"/>
  <c r="G446" i="2"/>
  <c r="F446" i="2"/>
  <c r="D162" i="8" s="1"/>
  <c r="D446" i="2"/>
  <c r="AH445" i="2"/>
  <c r="R445" i="2"/>
  <c r="Q445" i="2"/>
  <c r="AF445" i="2" s="1"/>
  <c r="P445" i="2"/>
  <c r="M445" i="2"/>
  <c r="H445" i="2"/>
  <c r="G445" i="2"/>
  <c r="F445" i="2"/>
  <c r="D445" i="2"/>
  <c r="AH444" i="2"/>
  <c r="R444" i="2"/>
  <c r="Q444" i="2"/>
  <c r="AA444" i="2" s="1"/>
  <c r="P444" i="2"/>
  <c r="M444" i="2"/>
  <c r="H444" i="2"/>
  <c r="G444" i="2"/>
  <c r="F444" i="2"/>
  <c r="D161" i="8" s="1"/>
  <c r="D444" i="2"/>
  <c r="AH443" i="2"/>
  <c r="R443" i="2"/>
  <c r="Q443" i="2"/>
  <c r="P443" i="2"/>
  <c r="M443" i="2"/>
  <c r="H443" i="2"/>
  <c r="G443" i="2"/>
  <c r="F443" i="2"/>
  <c r="D160" i="8" s="1"/>
  <c r="D443" i="2"/>
  <c r="AH442" i="2"/>
  <c r="R442" i="2"/>
  <c r="Q442" i="2"/>
  <c r="Z442" i="2" s="1"/>
  <c r="P442" i="2"/>
  <c r="S442" i="2" s="1"/>
  <c r="M442" i="2"/>
  <c r="H442" i="2"/>
  <c r="G442" i="2"/>
  <c r="F442" i="2"/>
  <c r="D163" i="8" s="1"/>
  <c r="D442" i="2"/>
  <c r="B163" i="8" s="1"/>
  <c r="AH441" i="2"/>
  <c r="R441" i="2"/>
  <c r="Q441" i="2"/>
  <c r="P441" i="2"/>
  <c r="M441" i="2"/>
  <c r="H441" i="2"/>
  <c r="G441" i="2"/>
  <c r="F441" i="2"/>
  <c r="D159" i="8" s="1"/>
  <c r="D441" i="2"/>
  <c r="B159" i="8" s="1"/>
  <c r="AH440" i="2"/>
  <c r="R440" i="2"/>
  <c r="Q440" i="2"/>
  <c r="P440" i="2"/>
  <c r="M440" i="2"/>
  <c r="H440" i="2"/>
  <c r="G440" i="2"/>
  <c r="F440" i="2"/>
  <c r="D440" i="2"/>
  <c r="AH439" i="2"/>
  <c r="R439" i="2"/>
  <c r="Q439" i="2"/>
  <c r="S439" i="2" s="1"/>
  <c r="P439" i="2"/>
  <c r="M439" i="2"/>
  <c r="H439" i="2"/>
  <c r="G439" i="2"/>
  <c r="F439" i="2"/>
  <c r="D439" i="2"/>
  <c r="AH438" i="2"/>
  <c r="R438" i="2"/>
  <c r="Q438" i="2"/>
  <c r="AB438" i="2" s="1"/>
  <c r="P438" i="2"/>
  <c r="M438" i="2"/>
  <c r="H438" i="2"/>
  <c r="G438" i="2"/>
  <c r="F438" i="2"/>
  <c r="D438" i="2"/>
  <c r="AH437" i="2"/>
  <c r="R437" i="2"/>
  <c r="Q437" i="2"/>
  <c r="P437" i="2"/>
  <c r="M437" i="2"/>
  <c r="H437" i="2"/>
  <c r="G437" i="2"/>
  <c r="F437" i="2"/>
  <c r="D158" i="8" s="1"/>
  <c r="D437" i="2"/>
  <c r="B158" i="8" s="1"/>
  <c r="AH436" i="2"/>
  <c r="R436" i="2"/>
  <c r="Q436" i="2"/>
  <c r="P436" i="2"/>
  <c r="M436" i="2"/>
  <c r="H436" i="2"/>
  <c r="G436" i="2"/>
  <c r="F436" i="2"/>
  <c r="D436" i="2"/>
  <c r="AH435" i="2"/>
  <c r="R435" i="2"/>
  <c r="Q435" i="2"/>
  <c r="AB435" i="2" s="1"/>
  <c r="P435" i="2"/>
  <c r="M435" i="2"/>
  <c r="H435" i="2"/>
  <c r="G435" i="2"/>
  <c r="F435" i="2"/>
  <c r="D435" i="2"/>
  <c r="AH434" i="2"/>
  <c r="R434" i="2"/>
  <c r="Q434" i="2"/>
  <c r="AD434" i="2" s="1"/>
  <c r="P434" i="2"/>
  <c r="M434" i="2"/>
  <c r="H434" i="2"/>
  <c r="G434" i="2"/>
  <c r="F434" i="2"/>
  <c r="D434" i="2"/>
  <c r="AH433" i="2"/>
  <c r="R433" i="2"/>
  <c r="Q433" i="2"/>
  <c r="P433" i="2"/>
  <c r="M433" i="2"/>
  <c r="H433" i="2"/>
  <c r="G433" i="2"/>
  <c r="F433" i="2"/>
  <c r="D157" i="8" s="1"/>
  <c r="D433" i="2"/>
  <c r="B157" i="8" s="1"/>
  <c r="AH432" i="2"/>
  <c r="R432" i="2"/>
  <c r="Q432" i="2"/>
  <c r="AF432" i="2" s="1"/>
  <c r="P432" i="2"/>
  <c r="M432" i="2"/>
  <c r="H432" i="2"/>
  <c r="G432" i="2"/>
  <c r="F432" i="2"/>
  <c r="D432" i="2"/>
  <c r="AH431" i="2"/>
  <c r="R431" i="2"/>
  <c r="Q431" i="2"/>
  <c r="P431" i="2"/>
  <c r="M431" i="2"/>
  <c r="H431" i="2"/>
  <c r="G431" i="2"/>
  <c r="F431" i="2"/>
  <c r="D431" i="2"/>
  <c r="AH430" i="2"/>
  <c r="R430" i="2"/>
  <c r="Q430" i="2"/>
  <c r="P430" i="2"/>
  <c r="M430" i="2"/>
  <c r="H430" i="2"/>
  <c r="G430" i="2"/>
  <c r="F430" i="2"/>
  <c r="D156" i="8" s="1"/>
  <c r="D430" i="2"/>
  <c r="B156" i="8" s="1"/>
  <c r="AH429" i="2"/>
  <c r="R429" i="2"/>
  <c r="Q429" i="2"/>
  <c r="AD429" i="2" s="1"/>
  <c r="P429" i="2"/>
  <c r="M429" i="2"/>
  <c r="H429" i="2"/>
  <c r="G429" i="2"/>
  <c r="F429" i="2"/>
  <c r="D155" i="8" s="1"/>
  <c r="D429" i="2"/>
  <c r="B155" i="8" s="1"/>
  <c r="AH428" i="2"/>
  <c r="R428" i="2"/>
  <c r="Q428" i="2"/>
  <c r="P428" i="2"/>
  <c r="M428" i="2"/>
  <c r="H428" i="2"/>
  <c r="G428" i="2"/>
  <c r="F428" i="2"/>
  <c r="D428" i="2"/>
  <c r="AH427" i="2"/>
  <c r="R427" i="2"/>
  <c r="Q427" i="2"/>
  <c r="AD427" i="2" s="1"/>
  <c r="P427" i="2"/>
  <c r="M427" i="2"/>
  <c r="H427" i="2"/>
  <c r="G427" i="2"/>
  <c r="F427" i="2"/>
  <c r="D427" i="2"/>
  <c r="AH426" i="2"/>
  <c r="R426" i="2"/>
  <c r="Q426" i="2"/>
  <c r="P426" i="2"/>
  <c r="V426" i="2" s="1"/>
  <c r="M426" i="2"/>
  <c r="H426" i="2"/>
  <c r="G426" i="2"/>
  <c r="F426" i="2"/>
  <c r="D426" i="2"/>
  <c r="AH425" i="2"/>
  <c r="R425" i="2"/>
  <c r="Q425" i="2"/>
  <c r="P425" i="2"/>
  <c r="M425" i="2"/>
  <c r="H425" i="2"/>
  <c r="G425" i="2"/>
  <c r="F425" i="2"/>
  <c r="D425" i="2"/>
  <c r="AH424" i="2"/>
  <c r="R424" i="2"/>
  <c r="Q424" i="2"/>
  <c r="P424" i="2"/>
  <c r="M424" i="2"/>
  <c r="H424" i="2"/>
  <c r="G424" i="2"/>
  <c r="F424" i="2"/>
  <c r="D152" i="8" s="1"/>
  <c r="D424" i="2"/>
  <c r="AJ423" i="2"/>
  <c r="P423" i="2"/>
  <c r="M423" i="2"/>
  <c r="H423" i="2"/>
  <c r="G423" i="2"/>
  <c r="F423" i="2"/>
  <c r="D42" i="9" s="1"/>
  <c r="D423" i="2"/>
  <c r="B42" i="9" s="1"/>
  <c r="AH422" i="2"/>
  <c r="R422" i="2"/>
  <c r="Q422" i="2"/>
  <c r="P422" i="2"/>
  <c r="M422" i="2"/>
  <c r="H422" i="2"/>
  <c r="G422" i="2"/>
  <c r="F422" i="2"/>
  <c r="D153" i="8" s="1"/>
  <c r="D422" i="2"/>
  <c r="B153" i="8" s="1"/>
  <c r="AH421" i="2"/>
  <c r="R421" i="2"/>
  <c r="Q421" i="2"/>
  <c r="P421" i="2"/>
  <c r="M421" i="2"/>
  <c r="H421" i="2"/>
  <c r="G421" i="2"/>
  <c r="F421" i="2"/>
  <c r="D154" i="8" s="1"/>
  <c r="D421" i="2"/>
  <c r="B154" i="8" s="1"/>
  <c r="AH420" i="2"/>
  <c r="R420" i="2"/>
  <c r="Q420" i="2"/>
  <c r="P420" i="2"/>
  <c r="M420" i="2"/>
  <c r="H420" i="2"/>
  <c r="G420" i="2"/>
  <c r="F420" i="2"/>
  <c r="D149" i="8" s="1"/>
  <c r="D420" i="2"/>
  <c r="AH419" i="2"/>
  <c r="R419" i="2"/>
  <c r="Q419" i="2"/>
  <c r="Y419" i="2" s="1"/>
  <c r="P419" i="2"/>
  <c r="M419" i="2"/>
  <c r="H419" i="2"/>
  <c r="G419" i="2"/>
  <c r="F419" i="2"/>
  <c r="D151" i="8" s="1"/>
  <c r="D419" i="2"/>
  <c r="B151" i="8" s="1"/>
  <c r="AH418" i="2"/>
  <c r="R418" i="2"/>
  <c r="Q418" i="2"/>
  <c r="AA418" i="2" s="1"/>
  <c r="P418" i="2"/>
  <c r="M418" i="2"/>
  <c r="H418" i="2"/>
  <c r="G418" i="2"/>
  <c r="F418" i="2"/>
  <c r="D147" i="8" s="1"/>
  <c r="D418" i="2"/>
  <c r="B147" i="8" s="1"/>
  <c r="AH417" i="2"/>
  <c r="R417" i="2"/>
  <c r="Q417" i="2"/>
  <c r="AF417" i="2" s="1"/>
  <c r="P417" i="2"/>
  <c r="M417" i="2"/>
  <c r="H417" i="2"/>
  <c r="G417" i="2"/>
  <c r="F417" i="2"/>
  <c r="D150" i="8" s="1"/>
  <c r="D417" i="2"/>
  <c r="B150" i="8" s="1"/>
  <c r="AH416" i="2"/>
  <c r="R416" i="2"/>
  <c r="Q416" i="2"/>
  <c r="AB416" i="2" s="1"/>
  <c r="P416" i="2"/>
  <c r="M416" i="2"/>
  <c r="H416" i="2"/>
  <c r="G416" i="2"/>
  <c r="F416" i="2"/>
  <c r="D416" i="2"/>
  <c r="AH415" i="2"/>
  <c r="AG415" i="2"/>
  <c r="S415" i="2"/>
  <c r="R415" i="2"/>
  <c r="Q415" i="2"/>
  <c r="P415" i="2"/>
  <c r="M415" i="2"/>
  <c r="H415" i="2"/>
  <c r="G415" i="2"/>
  <c r="F415" i="2"/>
  <c r="D148" i="8" s="1"/>
  <c r="D415" i="2"/>
  <c r="AH414" i="2"/>
  <c r="R414" i="2"/>
  <c r="Q414" i="2"/>
  <c r="P414" i="2"/>
  <c r="M414" i="2"/>
  <c r="H414" i="2"/>
  <c r="G414" i="2"/>
  <c r="F414" i="2"/>
  <c r="D146" i="8" s="1"/>
  <c r="D414" i="2"/>
  <c r="B146" i="8" s="1"/>
  <c r="AH413" i="2"/>
  <c r="AA413" i="2"/>
  <c r="Z413" i="2"/>
  <c r="Y413" i="2"/>
  <c r="R413" i="2"/>
  <c r="Q413" i="2"/>
  <c r="P413" i="2"/>
  <c r="M413" i="2"/>
  <c r="H413" i="2"/>
  <c r="G413" i="2"/>
  <c r="F413" i="2"/>
  <c r="D145" i="8" s="1"/>
  <c r="D413" i="2"/>
  <c r="B145" i="8" s="1"/>
  <c r="AH412" i="2"/>
  <c r="R412" i="2"/>
  <c r="Q412" i="2"/>
  <c r="AC412" i="2" s="1"/>
  <c r="P412" i="2"/>
  <c r="M412" i="2"/>
  <c r="H412" i="2"/>
  <c r="G412" i="2"/>
  <c r="F412" i="2"/>
  <c r="D143" i="8" s="1"/>
  <c r="D412" i="2"/>
  <c r="B143" i="8" s="1"/>
  <c r="AH411" i="2"/>
  <c r="AA411" i="2"/>
  <c r="R411" i="2"/>
  <c r="Q411" i="2"/>
  <c r="AB411" i="2" s="1"/>
  <c r="P411" i="2"/>
  <c r="T411" i="2" s="1"/>
  <c r="M411" i="2"/>
  <c r="H411" i="2"/>
  <c r="G411" i="2"/>
  <c r="F411" i="2"/>
  <c r="D142" i="8" s="1"/>
  <c r="D411" i="2"/>
  <c r="B142" i="8" s="1"/>
  <c r="AH410" i="2"/>
  <c r="R410" i="2"/>
  <c r="Q410" i="2"/>
  <c r="P410" i="2"/>
  <c r="M410" i="2"/>
  <c r="H410" i="2"/>
  <c r="G410" i="2"/>
  <c r="F410" i="2"/>
  <c r="D141" i="8" s="1"/>
  <c r="D410" i="2"/>
  <c r="B141" i="8" s="1"/>
  <c r="AH409" i="2"/>
  <c r="R409" i="2"/>
  <c r="Q409" i="2"/>
  <c r="AB409" i="2" s="1"/>
  <c r="P409" i="2"/>
  <c r="M409" i="2"/>
  <c r="H409" i="2"/>
  <c r="G409" i="2"/>
  <c r="F409" i="2"/>
  <c r="D144" i="8" s="1"/>
  <c r="D409" i="2"/>
  <c r="B144" i="8" s="1"/>
  <c r="AH408" i="2"/>
  <c r="R408" i="2"/>
  <c r="Q408" i="2"/>
  <c r="AF408" i="2" s="1"/>
  <c r="P408" i="2"/>
  <c r="M408" i="2"/>
  <c r="H408" i="2"/>
  <c r="G408" i="2"/>
  <c r="F408" i="2"/>
  <c r="D408" i="2"/>
  <c r="AH407" i="2"/>
  <c r="R407" i="2"/>
  <c r="Q407" i="2"/>
  <c r="P407" i="2"/>
  <c r="M407" i="2"/>
  <c r="H407" i="2"/>
  <c r="G407" i="2"/>
  <c r="F407" i="2"/>
  <c r="D140" i="8" s="1"/>
  <c r="D407" i="2"/>
  <c r="AH406" i="2"/>
  <c r="R406" i="2"/>
  <c r="Q406" i="2"/>
  <c r="P406" i="2"/>
  <c r="M406" i="2"/>
  <c r="H406" i="2"/>
  <c r="G406" i="2"/>
  <c r="F406" i="2"/>
  <c r="D406" i="2"/>
  <c r="AH405" i="2"/>
  <c r="R405" i="2"/>
  <c r="Q405" i="2"/>
  <c r="P405" i="2"/>
  <c r="M405" i="2"/>
  <c r="H405" i="2"/>
  <c r="G405" i="2"/>
  <c r="F405" i="2"/>
  <c r="D405" i="2"/>
  <c r="AH404" i="2"/>
  <c r="R404" i="2"/>
  <c r="Q404" i="2"/>
  <c r="AB404" i="2" s="1"/>
  <c r="P404" i="2"/>
  <c r="M404" i="2"/>
  <c r="H404" i="2"/>
  <c r="G404" i="2"/>
  <c r="F404" i="2"/>
  <c r="D404" i="2"/>
  <c r="AH403" i="2"/>
  <c r="R403" i="2"/>
  <c r="Q403" i="2"/>
  <c r="AD403" i="2" s="1"/>
  <c r="P403" i="2"/>
  <c r="M403" i="2"/>
  <c r="H403" i="2"/>
  <c r="G403" i="2"/>
  <c r="F403" i="2"/>
  <c r="D135" i="8" s="1"/>
  <c r="D403" i="2"/>
  <c r="B135" i="8" s="1"/>
  <c r="AH402" i="2"/>
  <c r="Z402" i="2"/>
  <c r="T402" i="2"/>
  <c r="R402" i="2"/>
  <c r="Q402" i="2"/>
  <c r="P402" i="2"/>
  <c r="M402" i="2"/>
  <c r="H402" i="2"/>
  <c r="G402" i="2"/>
  <c r="F402" i="2"/>
  <c r="D139" i="8" s="1"/>
  <c r="D402" i="2"/>
  <c r="B139" i="8" s="1"/>
  <c r="AH401" i="2"/>
  <c r="R401" i="2"/>
  <c r="Q401" i="2"/>
  <c r="P401" i="2"/>
  <c r="M401" i="2"/>
  <c r="H401" i="2"/>
  <c r="G401" i="2"/>
  <c r="F401" i="2"/>
  <c r="D401" i="2"/>
  <c r="AH400" i="2"/>
  <c r="R400" i="2"/>
  <c r="Q400" i="2"/>
  <c r="AF400" i="2" s="1"/>
  <c r="P400" i="2"/>
  <c r="M400" i="2"/>
  <c r="H400" i="2"/>
  <c r="G400" i="2"/>
  <c r="F400" i="2"/>
  <c r="D137" i="8" s="1"/>
  <c r="D400" i="2"/>
  <c r="B137" i="8" s="1"/>
  <c r="AH399" i="2"/>
  <c r="R399" i="2"/>
  <c r="Q399" i="2"/>
  <c r="P399" i="2"/>
  <c r="M399" i="2"/>
  <c r="H399" i="2"/>
  <c r="G399" i="2"/>
  <c r="F399" i="2"/>
  <c r="D136" i="8" s="1"/>
  <c r="D399" i="2"/>
  <c r="B136" i="8" s="1"/>
  <c r="AH398" i="2"/>
  <c r="R398" i="2"/>
  <c r="Q398" i="2"/>
  <c r="AD398" i="2" s="1"/>
  <c r="P398" i="2"/>
  <c r="M398" i="2"/>
  <c r="H398" i="2"/>
  <c r="G398" i="2"/>
  <c r="F398" i="2"/>
  <c r="D134" i="8" s="1"/>
  <c r="D398" i="2"/>
  <c r="B134" i="8" s="1"/>
  <c r="AH397" i="2"/>
  <c r="R397" i="2"/>
  <c r="Q397" i="2"/>
  <c r="P397" i="2"/>
  <c r="M397" i="2"/>
  <c r="H397" i="2"/>
  <c r="G397" i="2"/>
  <c r="F397" i="2"/>
  <c r="D138" i="8" s="1"/>
  <c r="D397" i="2"/>
  <c r="B138" i="8" s="1"/>
  <c r="AH396" i="2"/>
  <c r="R396" i="2"/>
  <c r="Q396" i="2"/>
  <c r="AG396" i="2" s="1"/>
  <c r="P396" i="2"/>
  <c r="M396" i="2"/>
  <c r="H396" i="2"/>
  <c r="G396" i="2"/>
  <c r="F396" i="2"/>
  <c r="D396" i="2"/>
  <c r="AH395" i="2"/>
  <c r="R395" i="2"/>
  <c r="Q395" i="2"/>
  <c r="Y395" i="2" s="1"/>
  <c r="P395" i="2"/>
  <c r="M395" i="2"/>
  <c r="H395" i="2"/>
  <c r="G395" i="2"/>
  <c r="F395" i="2"/>
  <c r="D132" i="8" s="1"/>
  <c r="D395" i="2"/>
  <c r="B132" i="8" s="1"/>
  <c r="AH394" i="2"/>
  <c r="R394" i="2"/>
  <c r="Q394" i="2"/>
  <c r="P394" i="2"/>
  <c r="M394" i="2"/>
  <c r="H394" i="2"/>
  <c r="G394" i="2"/>
  <c r="F394" i="2"/>
  <c r="D133" i="8" s="1"/>
  <c r="D394" i="2"/>
  <c r="B133" i="8" s="1"/>
  <c r="AH393" i="2"/>
  <c r="Y393" i="2"/>
  <c r="R393" i="2"/>
  <c r="Q393" i="2"/>
  <c r="AF393" i="2" s="1"/>
  <c r="P393" i="2"/>
  <c r="W393" i="2" s="1"/>
  <c r="M393" i="2"/>
  <c r="H393" i="2"/>
  <c r="G393" i="2"/>
  <c r="F393" i="2"/>
  <c r="D393" i="2"/>
  <c r="AH392" i="2"/>
  <c r="AF392" i="2"/>
  <c r="R392" i="2"/>
  <c r="Q392" i="2"/>
  <c r="AA392" i="2" s="1"/>
  <c r="P392" i="2"/>
  <c r="M392" i="2"/>
  <c r="H392" i="2"/>
  <c r="G392" i="2"/>
  <c r="F392" i="2"/>
  <c r="D129" i="8" s="1"/>
  <c r="D392" i="2"/>
  <c r="B129" i="8" s="1"/>
  <c r="AH391" i="2"/>
  <c r="R391" i="2"/>
  <c r="Q391" i="2"/>
  <c r="AF391" i="2" s="1"/>
  <c r="P391" i="2"/>
  <c r="M391" i="2"/>
  <c r="H391" i="2"/>
  <c r="G391" i="2"/>
  <c r="F391" i="2"/>
  <c r="D391" i="2"/>
  <c r="AH390" i="2"/>
  <c r="R390" i="2"/>
  <c r="Q390" i="2"/>
  <c r="P390" i="2"/>
  <c r="M390" i="2"/>
  <c r="H390" i="2"/>
  <c r="G390" i="2"/>
  <c r="F390" i="2"/>
  <c r="D131" i="8" s="1"/>
  <c r="D390" i="2"/>
  <c r="B131" i="8" s="1"/>
  <c r="AH389" i="2"/>
  <c r="R389" i="2"/>
  <c r="Q389" i="2"/>
  <c r="P389" i="2"/>
  <c r="M389" i="2"/>
  <c r="H389" i="2"/>
  <c r="G389" i="2"/>
  <c r="F389" i="2"/>
  <c r="D126" i="8" s="1"/>
  <c r="D389" i="2"/>
  <c r="B126" i="8" s="1"/>
  <c r="AH388" i="2"/>
  <c r="R388" i="2"/>
  <c r="Q388" i="2"/>
  <c r="P388" i="2"/>
  <c r="M388" i="2"/>
  <c r="H388" i="2"/>
  <c r="G388" i="2"/>
  <c r="F388" i="2"/>
  <c r="D388" i="2"/>
  <c r="AH387" i="2"/>
  <c r="R387" i="2"/>
  <c r="Q387" i="2"/>
  <c r="Z387" i="2" s="1"/>
  <c r="P387" i="2"/>
  <c r="M387" i="2"/>
  <c r="H387" i="2"/>
  <c r="G387" i="2"/>
  <c r="F387" i="2"/>
  <c r="D387" i="2"/>
  <c r="AH386" i="2"/>
  <c r="R386" i="2"/>
  <c r="Q386" i="2"/>
  <c r="Z386" i="2" s="1"/>
  <c r="P386" i="2"/>
  <c r="M386" i="2"/>
  <c r="H386" i="2"/>
  <c r="G386" i="2"/>
  <c r="F386" i="2"/>
  <c r="D130" i="8" s="1"/>
  <c r="D386" i="2"/>
  <c r="AH385" i="2"/>
  <c r="R385" i="2"/>
  <c r="Q385" i="2"/>
  <c r="AA385" i="2" s="1"/>
  <c r="P385" i="2"/>
  <c r="M385" i="2"/>
  <c r="H385" i="2"/>
  <c r="G385" i="2"/>
  <c r="F385" i="2"/>
  <c r="D125" i="8" s="1"/>
  <c r="D385" i="2"/>
  <c r="B125" i="8" s="1"/>
  <c r="AH384" i="2"/>
  <c r="R384" i="2"/>
  <c r="Q384" i="2"/>
  <c r="P384" i="2"/>
  <c r="M384" i="2"/>
  <c r="H384" i="2"/>
  <c r="G384" i="2"/>
  <c r="F384" i="2"/>
  <c r="D124" i="8" s="1"/>
  <c r="D384" i="2"/>
  <c r="B124" i="8" s="1"/>
  <c r="AH383" i="2"/>
  <c r="R383" i="2"/>
  <c r="Q383" i="2"/>
  <c r="AD383" i="2" s="1"/>
  <c r="P383" i="2"/>
  <c r="M383" i="2"/>
  <c r="H383" i="2"/>
  <c r="G383" i="2"/>
  <c r="F383" i="2"/>
  <c r="D128" i="8" s="1"/>
  <c r="D383" i="2"/>
  <c r="B128" i="8" s="1"/>
  <c r="AH382" i="2"/>
  <c r="R382" i="2"/>
  <c r="Q382" i="2"/>
  <c r="AB382" i="2" s="1"/>
  <c r="P382" i="2"/>
  <c r="AC382" i="2" s="1"/>
  <c r="M382" i="2"/>
  <c r="H382" i="2"/>
  <c r="G382" i="2"/>
  <c r="F382" i="2"/>
  <c r="D382" i="2"/>
  <c r="AH381" i="2"/>
  <c r="R381" i="2"/>
  <c r="Q381" i="2"/>
  <c r="AA381" i="2" s="1"/>
  <c r="P381" i="2"/>
  <c r="M381" i="2"/>
  <c r="H381" i="2"/>
  <c r="G381" i="2"/>
  <c r="F381" i="2"/>
  <c r="D123" i="8" s="1"/>
  <c r="D381" i="2"/>
  <c r="AH380" i="2"/>
  <c r="AB380" i="2"/>
  <c r="R380" i="2"/>
  <c r="Q380" i="2"/>
  <c r="Y380" i="2" s="1"/>
  <c r="P380" i="2"/>
  <c r="M380" i="2"/>
  <c r="H380" i="2"/>
  <c r="G380" i="2"/>
  <c r="F380" i="2"/>
  <c r="D120" i="8" s="1"/>
  <c r="D380" i="2"/>
  <c r="AH379" i="2"/>
  <c r="R379" i="2"/>
  <c r="Q379" i="2"/>
  <c r="P379" i="2"/>
  <c r="M379" i="2"/>
  <c r="H379" i="2"/>
  <c r="G379" i="2"/>
  <c r="F379" i="2"/>
  <c r="D379" i="2"/>
  <c r="AH378" i="2"/>
  <c r="R378" i="2"/>
  <c r="Q378" i="2"/>
  <c r="P378" i="2"/>
  <c r="M378" i="2"/>
  <c r="H378" i="2"/>
  <c r="G378" i="2"/>
  <c r="F378" i="2"/>
  <c r="D127" i="8" s="1"/>
  <c r="D378" i="2"/>
  <c r="B127" i="8" s="1"/>
  <c r="AJ377" i="2"/>
  <c r="AM377" i="2" s="1"/>
  <c r="P377" i="2"/>
  <c r="M377" i="2"/>
  <c r="H377" i="2"/>
  <c r="G377" i="2"/>
  <c r="F377" i="2"/>
  <c r="D41" i="9" s="1"/>
  <c r="D377" i="2"/>
  <c r="B41" i="9" s="1"/>
  <c r="AH376" i="2"/>
  <c r="R376" i="2"/>
  <c r="Q376" i="2"/>
  <c r="AB376" i="2" s="1"/>
  <c r="P376" i="2"/>
  <c r="M376" i="2"/>
  <c r="H376" i="2"/>
  <c r="G376" i="2"/>
  <c r="F376" i="2"/>
  <c r="D119" i="8" s="1"/>
  <c r="D376" i="2"/>
  <c r="B119" i="8" s="1"/>
  <c r="AH375" i="2"/>
  <c r="R375" i="2"/>
  <c r="Q375" i="2"/>
  <c r="P375" i="2"/>
  <c r="M375" i="2"/>
  <c r="H375" i="2"/>
  <c r="G375" i="2"/>
  <c r="F375" i="2"/>
  <c r="D375" i="2"/>
  <c r="AH374" i="2"/>
  <c r="R374" i="2"/>
  <c r="Q374" i="2"/>
  <c r="AD374" i="2" s="1"/>
  <c r="P374" i="2"/>
  <c r="M374" i="2"/>
  <c r="H374" i="2"/>
  <c r="G374" i="2"/>
  <c r="F374" i="2"/>
  <c r="D122" i="8" s="1"/>
  <c r="D374" i="2"/>
  <c r="B122" i="8" s="1"/>
  <c r="AH373" i="2"/>
  <c r="R373" i="2"/>
  <c r="Q373" i="2"/>
  <c r="P373" i="2"/>
  <c r="M373" i="2"/>
  <c r="H373" i="2"/>
  <c r="G373" i="2"/>
  <c r="F373" i="2"/>
  <c r="D373" i="2"/>
  <c r="AH372" i="2"/>
  <c r="R372" i="2"/>
  <c r="Q372" i="2"/>
  <c r="P372" i="2"/>
  <c r="M372" i="2"/>
  <c r="H372" i="2"/>
  <c r="G372" i="2"/>
  <c r="F372" i="2"/>
  <c r="D372" i="2"/>
  <c r="AJ371" i="2"/>
  <c r="P371" i="2"/>
  <c r="M371" i="2"/>
  <c r="H371" i="2"/>
  <c r="G371" i="2"/>
  <c r="F371" i="2"/>
  <c r="D40" i="9" s="1"/>
  <c r="D371" i="2"/>
  <c r="B40" i="9" s="1"/>
  <c r="AH370" i="2"/>
  <c r="AB370" i="2"/>
  <c r="R370" i="2"/>
  <c r="Q370" i="2"/>
  <c r="AA370" i="2" s="1"/>
  <c r="P370" i="2"/>
  <c r="M370" i="2"/>
  <c r="H370" i="2"/>
  <c r="G370" i="2"/>
  <c r="F370" i="2"/>
  <c r="D370" i="2"/>
  <c r="AJ369" i="2"/>
  <c r="AN369" i="2" s="1"/>
  <c r="P369" i="2"/>
  <c r="M369" i="2"/>
  <c r="H369" i="2"/>
  <c r="G369" i="2"/>
  <c r="F369" i="2"/>
  <c r="D39" i="9" s="1"/>
  <c r="D369" i="2"/>
  <c r="B39" i="9" s="1"/>
  <c r="AH368" i="2"/>
  <c r="R368" i="2"/>
  <c r="Q368" i="2"/>
  <c r="P368" i="2"/>
  <c r="M368" i="2"/>
  <c r="H368" i="2"/>
  <c r="G368" i="2"/>
  <c r="F368" i="2"/>
  <c r="D118" i="8" s="1"/>
  <c r="D368" i="2"/>
  <c r="B118" i="8" s="1"/>
  <c r="AH367" i="2"/>
  <c r="R367" i="2"/>
  <c r="Q367" i="2"/>
  <c r="AE367" i="2" s="1"/>
  <c r="P367" i="2"/>
  <c r="M367" i="2"/>
  <c r="H367" i="2"/>
  <c r="G367" i="2"/>
  <c r="F367" i="2"/>
  <c r="D367" i="2"/>
  <c r="AH366" i="2"/>
  <c r="R366" i="2"/>
  <c r="Q366" i="2"/>
  <c r="P366" i="2"/>
  <c r="M366" i="2"/>
  <c r="H366" i="2"/>
  <c r="G366" i="2"/>
  <c r="F366" i="2"/>
  <c r="D116" i="8" s="1"/>
  <c r="D366" i="2"/>
  <c r="B116" i="8" s="1"/>
  <c r="AH365" i="2"/>
  <c r="R365" i="2"/>
  <c r="Q365" i="2"/>
  <c r="AG365" i="2" s="1"/>
  <c r="P365" i="2"/>
  <c r="M365" i="2"/>
  <c r="H365" i="2"/>
  <c r="G365" i="2"/>
  <c r="F365" i="2"/>
  <c r="D117" i="8" s="1"/>
  <c r="D365" i="2"/>
  <c r="B117" i="8" s="1"/>
  <c r="AH364" i="2"/>
  <c r="R364" i="2"/>
  <c r="Q364" i="2"/>
  <c r="AF364" i="2" s="1"/>
  <c r="P364" i="2"/>
  <c r="M364" i="2"/>
  <c r="H364" i="2"/>
  <c r="G364" i="2"/>
  <c r="F364" i="2"/>
  <c r="D121" i="8" s="1"/>
  <c r="D364" i="2"/>
  <c r="AH363" i="2"/>
  <c r="R363" i="2"/>
  <c r="Q363" i="2"/>
  <c r="AG363" i="2" s="1"/>
  <c r="P363" i="2"/>
  <c r="M363" i="2"/>
  <c r="H363" i="2"/>
  <c r="G363" i="2"/>
  <c r="F363" i="2"/>
  <c r="D114" i="8" s="1"/>
  <c r="D363" i="2"/>
  <c r="B114" i="8" s="1"/>
  <c r="AH362" i="2"/>
  <c r="R362" i="2"/>
  <c r="Q362" i="2"/>
  <c r="AF362" i="2" s="1"/>
  <c r="P362" i="2"/>
  <c r="M362" i="2"/>
  <c r="H362" i="2"/>
  <c r="G362" i="2"/>
  <c r="F362" i="2"/>
  <c r="D362" i="2"/>
  <c r="AH361" i="2"/>
  <c r="R361" i="2"/>
  <c r="Q361" i="2"/>
  <c r="P361" i="2"/>
  <c r="M361" i="2"/>
  <c r="H361" i="2"/>
  <c r="G361" i="2"/>
  <c r="F361" i="2"/>
  <c r="D112" i="8" s="1"/>
  <c r="D361" i="2"/>
  <c r="B112" i="8" s="1"/>
  <c r="AH360" i="2"/>
  <c r="R360" i="2"/>
  <c r="Q360" i="2"/>
  <c r="P360" i="2"/>
  <c r="X360" i="2" s="1"/>
  <c r="M360" i="2"/>
  <c r="H360" i="2"/>
  <c r="G360" i="2"/>
  <c r="F360" i="2"/>
  <c r="D111" i="8" s="1"/>
  <c r="D360" i="2"/>
  <c r="B111" i="8" s="1"/>
  <c r="AH359" i="2"/>
  <c r="Y359" i="2"/>
  <c r="R359" i="2"/>
  <c r="Q359" i="2"/>
  <c r="AA359" i="2" s="1"/>
  <c r="P359" i="2"/>
  <c r="M359" i="2"/>
  <c r="H359" i="2"/>
  <c r="G359" i="2"/>
  <c r="F359" i="2"/>
  <c r="D113" i="8" s="1"/>
  <c r="D359" i="2"/>
  <c r="AH358" i="2"/>
  <c r="AD358" i="2"/>
  <c r="R358" i="2"/>
  <c r="Q358" i="2"/>
  <c r="AB358" i="2" s="1"/>
  <c r="P358" i="2"/>
  <c r="M358" i="2"/>
  <c r="H358" i="2"/>
  <c r="G358" i="2"/>
  <c r="F358" i="2"/>
  <c r="D358" i="2"/>
  <c r="AH357" i="2"/>
  <c r="R357" i="2"/>
  <c r="Q357" i="2"/>
  <c r="AF357" i="2" s="1"/>
  <c r="P357" i="2"/>
  <c r="M357" i="2"/>
  <c r="H357" i="2"/>
  <c r="G357" i="2"/>
  <c r="F357" i="2"/>
  <c r="D357" i="2"/>
  <c r="AH356" i="2"/>
  <c r="R356" i="2"/>
  <c r="Q356" i="2"/>
  <c r="P356" i="2"/>
  <c r="M356" i="2"/>
  <c r="H356" i="2"/>
  <c r="G356" i="2"/>
  <c r="F356" i="2"/>
  <c r="D110" i="8" s="1"/>
  <c r="D356" i="2"/>
  <c r="B110" i="8" s="1"/>
  <c r="AH355" i="2"/>
  <c r="AB355" i="2"/>
  <c r="R355" i="2"/>
  <c r="Q355" i="2"/>
  <c r="Z355" i="2" s="1"/>
  <c r="P355" i="2"/>
  <c r="M355" i="2"/>
  <c r="H355" i="2"/>
  <c r="G355" i="2"/>
  <c r="F355" i="2"/>
  <c r="D115" i="8" s="1"/>
  <c r="D355" i="2"/>
  <c r="B115" i="8" s="1"/>
  <c r="AH354" i="2"/>
  <c r="R354" i="2"/>
  <c r="Q354" i="2"/>
  <c r="AF354" i="2" s="1"/>
  <c r="P354" i="2"/>
  <c r="M354" i="2"/>
  <c r="H354" i="2"/>
  <c r="G354" i="2"/>
  <c r="F354" i="2"/>
  <c r="D354" i="2"/>
  <c r="AH353" i="2"/>
  <c r="R353" i="2"/>
  <c r="Q353" i="2"/>
  <c r="P353" i="2"/>
  <c r="M353" i="2"/>
  <c r="H353" i="2"/>
  <c r="G353" i="2"/>
  <c r="F353" i="2"/>
  <c r="D108" i="8" s="1"/>
  <c r="D353" i="2"/>
  <c r="B108" i="8" s="1"/>
  <c r="AH352" i="2"/>
  <c r="R352" i="2"/>
  <c r="Q352" i="2"/>
  <c r="Z352" i="2" s="1"/>
  <c r="P352" i="2"/>
  <c r="M352" i="2"/>
  <c r="H352" i="2"/>
  <c r="G352" i="2"/>
  <c r="F352" i="2"/>
  <c r="D352" i="2"/>
  <c r="AH351" i="2"/>
  <c r="R351" i="2"/>
  <c r="Q351" i="2"/>
  <c r="AG351" i="2" s="1"/>
  <c r="P351" i="2"/>
  <c r="M351" i="2"/>
  <c r="H351" i="2"/>
  <c r="G351" i="2"/>
  <c r="F351" i="2"/>
  <c r="D351" i="2"/>
  <c r="AH350" i="2"/>
  <c r="R350" i="2"/>
  <c r="Q350" i="2"/>
  <c r="P350" i="2"/>
  <c r="M350" i="2"/>
  <c r="H350" i="2"/>
  <c r="G350" i="2"/>
  <c r="F350" i="2"/>
  <c r="D350" i="2"/>
  <c r="AH349" i="2"/>
  <c r="R349" i="2"/>
  <c r="Q349" i="2"/>
  <c r="AF349" i="2" s="1"/>
  <c r="P349" i="2"/>
  <c r="M349" i="2"/>
  <c r="H349" i="2"/>
  <c r="G349" i="2"/>
  <c r="F349" i="2"/>
  <c r="D109" i="8" s="1"/>
  <c r="D349" i="2"/>
  <c r="AH348" i="2"/>
  <c r="R348" i="2"/>
  <c r="Q348" i="2"/>
  <c r="P348" i="2"/>
  <c r="M348" i="2"/>
  <c r="H348" i="2"/>
  <c r="G348" i="2"/>
  <c r="F348" i="2"/>
  <c r="D348" i="2"/>
  <c r="AH347" i="2"/>
  <c r="R347" i="2"/>
  <c r="Q347" i="2"/>
  <c r="P347" i="2"/>
  <c r="M347" i="2"/>
  <c r="H347" i="2"/>
  <c r="G347" i="2"/>
  <c r="F347" i="2"/>
  <c r="D347" i="2"/>
  <c r="AH346" i="2"/>
  <c r="R346" i="2"/>
  <c r="Q346" i="2"/>
  <c r="AD346" i="2" s="1"/>
  <c r="P346" i="2"/>
  <c r="M346" i="2"/>
  <c r="H346" i="2"/>
  <c r="G346" i="2"/>
  <c r="F346" i="2"/>
  <c r="D346" i="2"/>
  <c r="AH345" i="2"/>
  <c r="R345" i="2"/>
  <c r="Q345" i="2"/>
  <c r="AG345" i="2" s="1"/>
  <c r="P345" i="2"/>
  <c r="M345" i="2"/>
  <c r="H345" i="2"/>
  <c r="G345" i="2"/>
  <c r="F345" i="2"/>
  <c r="D106" i="8" s="1"/>
  <c r="D345" i="2"/>
  <c r="B106" i="8" s="1"/>
  <c r="AH344" i="2"/>
  <c r="R344" i="2"/>
  <c r="Q344" i="2"/>
  <c r="Y344" i="2" s="1"/>
  <c r="P344" i="2"/>
  <c r="M344" i="2"/>
  <c r="H344" i="2"/>
  <c r="G344" i="2"/>
  <c r="F344" i="2"/>
  <c r="D107" i="8" s="1"/>
  <c r="D344" i="2"/>
  <c r="AH343" i="2"/>
  <c r="R343" i="2"/>
  <c r="Q343" i="2"/>
  <c r="AG343" i="2" s="1"/>
  <c r="P343" i="2"/>
  <c r="M343" i="2"/>
  <c r="H343" i="2"/>
  <c r="G343" i="2"/>
  <c r="F343" i="2"/>
  <c r="D343" i="2"/>
  <c r="AH342" i="2"/>
  <c r="R342" i="2"/>
  <c r="Q342" i="2"/>
  <c r="AF342" i="2" s="1"/>
  <c r="P342" i="2"/>
  <c r="M342" i="2"/>
  <c r="H342" i="2"/>
  <c r="G342" i="2"/>
  <c r="F342" i="2"/>
  <c r="D342" i="2"/>
  <c r="AH341" i="2"/>
  <c r="R341" i="2"/>
  <c r="Q341" i="2"/>
  <c r="AD341" i="2" s="1"/>
  <c r="P341" i="2"/>
  <c r="M341" i="2"/>
  <c r="H341" i="2"/>
  <c r="G341" i="2"/>
  <c r="F341" i="2"/>
  <c r="D341" i="2"/>
  <c r="AH340" i="2"/>
  <c r="R340" i="2"/>
  <c r="Q340" i="2"/>
  <c r="P340" i="2"/>
  <c r="M340" i="2"/>
  <c r="H340" i="2"/>
  <c r="G340" i="2"/>
  <c r="F340" i="2"/>
  <c r="D340" i="2"/>
  <c r="AH339" i="2"/>
  <c r="R339" i="2"/>
  <c r="Q339" i="2"/>
  <c r="AA339" i="2" s="1"/>
  <c r="P339" i="2"/>
  <c r="M339" i="2"/>
  <c r="H339" i="2"/>
  <c r="G339" i="2"/>
  <c r="F339" i="2"/>
  <c r="D339" i="2"/>
  <c r="AH338" i="2"/>
  <c r="R338" i="2"/>
  <c r="Q338" i="2"/>
  <c r="P338" i="2"/>
  <c r="M338" i="2"/>
  <c r="H338" i="2"/>
  <c r="G338" i="2"/>
  <c r="F338" i="2"/>
  <c r="D105" i="8" s="1"/>
  <c r="D338" i="2"/>
  <c r="B105" i="8" s="1"/>
  <c r="AH337" i="2"/>
  <c r="R337" i="2"/>
  <c r="Q337" i="2"/>
  <c r="P337" i="2"/>
  <c r="M337" i="2"/>
  <c r="H337" i="2"/>
  <c r="G337" i="2"/>
  <c r="F337" i="2"/>
  <c r="D337" i="2"/>
  <c r="AH336" i="2"/>
  <c r="R336" i="2"/>
  <c r="Q336" i="2"/>
  <c r="AD336" i="2" s="1"/>
  <c r="P336" i="2"/>
  <c r="V336" i="2" s="1"/>
  <c r="M336" i="2"/>
  <c r="H336" i="2"/>
  <c r="G336" i="2"/>
  <c r="F336" i="2"/>
  <c r="D336" i="2"/>
  <c r="AH335" i="2"/>
  <c r="R335" i="2"/>
  <c r="Q335" i="2"/>
  <c r="P335" i="2"/>
  <c r="M335" i="2"/>
  <c r="H335" i="2"/>
  <c r="G335" i="2"/>
  <c r="F335" i="2"/>
  <c r="D103" i="8" s="1"/>
  <c r="D335" i="2"/>
  <c r="B103" i="8" s="1"/>
  <c r="AH334" i="2"/>
  <c r="R334" i="2"/>
  <c r="Q334" i="2"/>
  <c r="P334" i="2"/>
  <c r="M334" i="2"/>
  <c r="H334" i="2"/>
  <c r="G334" i="2"/>
  <c r="F334" i="2"/>
  <c r="D104" i="8" s="1"/>
  <c r="D334" i="2"/>
  <c r="AH333" i="2"/>
  <c r="R333" i="2"/>
  <c r="Q333" i="2"/>
  <c r="AG333" i="2" s="1"/>
  <c r="P333" i="2"/>
  <c r="M333" i="2"/>
  <c r="H333" i="2"/>
  <c r="G333" i="2"/>
  <c r="F333" i="2"/>
  <c r="D333" i="2"/>
  <c r="AJ332" i="2"/>
  <c r="P332" i="2"/>
  <c r="M332" i="2"/>
  <c r="H332" i="2"/>
  <c r="G332" i="2"/>
  <c r="F332" i="2"/>
  <c r="D35" i="9" s="1"/>
  <c r="D332" i="2"/>
  <c r="B35" i="9" s="1"/>
  <c r="AH331" i="2"/>
  <c r="AG331" i="2"/>
  <c r="R331" i="2"/>
  <c r="Q331" i="2"/>
  <c r="Z331" i="2" s="1"/>
  <c r="P331" i="2"/>
  <c r="M331" i="2"/>
  <c r="H331" i="2"/>
  <c r="G331" i="2"/>
  <c r="F331" i="2"/>
  <c r="D331" i="2"/>
  <c r="AH330" i="2"/>
  <c r="R330" i="2"/>
  <c r="Q330" i="2"/>
  <c r="P330" i="2"/>
  <c r="M330" i="2"/>
  <c r="H330" i="2"/>
  <c r="G330" i="2"/>
  <c r="F330" i="2"/>
  <c r="D330" i="2"/>
  <c r="AH329" i="2"/>
  <c r="R329" i="2"/>
  <c r="Q329" i="2"/>
  <c r="P329" i="2"/>
  <c r="M329" i="2"/>
  <c r="H329" i="2"/>
  <c r="G329" i="2"/>
  <c r="F329" i="2"/>
  <c r="D329" i="2"/>
  <c r="AH328" i="2"/>
  <c r="R328" i="2"/>
  <c r="Q328" i="2"/>
  <c r="P328" i="2"/>
  <c r="M328" i="2"/>
  <c r="H328" i="2"/>
  <c r="G328" i="2"/>
  <c r="F328" i="2"/>
  <c r="D101" i="8" s="1"/>
  <c r="D328" i="2"/>
  <c r="B101" i="8" s="1"/>
  <c r="AH327" i="2"/>
  <c r="R327" i="2"/>
  <c r="Q327" i="2"/>
  <c r="P327" i="2"/>
  <c r="M327" i="2"/>
  <c r="H327" i="2"/>
  <c r="G327" i="2"/>
  <c r="F327" i="2"/>
  <c r="D327" i="2"/>
  <c r="AH326" i="2"/>
  <c r="R326" i="2"/>
  <c r="Q326" i="2"/>
  <c r="X326" i="2" s="1"/>
  <c r="P326" i="2"/>
  <c r="M326" i="2"/>
  <c r="H326" i="2"/>
  <c r="G326" i="2"/>
  <c r="F326" i="2"/>
  <c r="D326" i="2"/>
  <c r="AH325" i="2"/>
  <c r="R325" i="2"/>
  <c r="Q325" i="2"/>
  <c r="P325" i="2"/>
  <c r="M325" i="2"/>
  <c r="H325" i="2"/>
  <c r="G325" i="2"/>
  <c r="F325" i="2"/>
  <c r="D100" i="8" s="1"/>
  <c r="D325" i="2"/>
  <c r="AH324" i="2"/>
  <c r="AB324" i="2"/>
  <c r="AA324" i="2"/>
  <c r="R324" i="2"/>
  <c r="Q324" i="2"/>
  <c r="Y324" i="2" s="1"/>
  <c r="P324" i="2"/>
  <c r="M324" i="2"/>
  <c r="H324" i="2"/>
  <c r="G324" i="2"/>
  <c r="F324" i="2"/>
  <c r="D102" i="8" s="1"/>
  <c r="D324" i="2"/>
  <c r="B102" i="8" s="1"/>
  <c r="AH323" i="2"/>
  <c r="AD323" i="2"/>
  <c r="R323" i="2"/>
  <c r="Q323" i="2"/>
  <c r="AE323" i="2" s="1"/>
  <c r="P323" i="2"/>
  <c r="M323" i="2"/>
  <c r="H323" i="2"/>
  <c r="G323" i="2"/>
  <c r="F323" i="2"/>
  <c r="D98" i="8" s="1"/>
  <c r="D323" i="2"/>
  <c r="B98" i="8" s="1"/>
  <c r="AH322" i="2"/>
  <c r="R322" i="2"/>
  <c r="Q322" i="2"/>
  <c r="P322" i="2"/>
  <c r="M322" i="2"/>
  <c r="H322" i="2"/>
  <c r="G322" i="2"/>
  <c r="F322" i="2"/>
  <c r="D322" i="2"/>
  <c r="AH321" i="2"/>
  <c r="AG321" i="2"/>
  <c r="AD321" i="2"/>
  <c r="R321" i="2"/>
  <c r="Q321" i="2"/>
  <c r="Z321" i="2" s="1"/>
  <c r="P321" i="2"/>
  <c r="M321" i="2"/>
  <c r="H321" i="2"/>
  <c r="G321" i="2"/>
  <c r="F321" i="2"/>
  <c r="D321" i="2"/>
  <c r="AH320" i="2"/>
  <c r="AD320" i="2"/>
  <c r="R320" i="2"/>
  <c r="Q320" i="2"/>
  <c r="S320" i="2" s="1"/>
  <c r="P320" i="2"/>
  <c r="M320" i="2"/>
  <c r="H320" i="2"/>
  <c r="G320" i="2"/>
  <c r="F320" i="2"/>
  <c r="D99" i="8" s="1"/>
  <c r="D320" i="2"/>
  <c r="AH319" i="2"/>
  <c r="AF319" i="2"/>
  <c r="R319" i="2"/>
  <c r="Q319" i="2"/>
  <c r="AB319" i="2" s="1"/>
  <c r="P319" i="2"/>
  <c r="M319" i="2"/>
  <c r="H319" i="2"/>
  <c r="G319" i="2"/>
  <c r="F319" i="2"/>
  <c r="D319" i="2"/>
  <c r="AJ318" i="2"/>
  <c r="P318" i="2"/>
  <c r="M318" i="2"/>
  <c r="H318" i="2"/>
  <c r="G318" i="2"/>
  <c r="F318" i="2"/>
  <c r="D38" i="9" s="1"/>
  <c r="D318" i="2"/>
  <c r="AH317" i="2"/>
  <c r="R317" i="2"/>
  <c r="Q317" i="2"/>
  <c r="Z317" i="2" s="1"/>
  <c r="P317" i="2"/>
  <c r="S317" i="2" s="1"/>
  <c r="M317" i="2"/>
  <c r="H317" i="2"/>
  <c r="G317" i="2"/>
  <c r="F317" i="2"/>
  <c r="D96" i="8" s="1"/>
  <c r="D317" i="2"/>
  <c r="AH316" i="2"/>
  <c r="R316" i="2"/>
  <c r="Q316" i="2"/>
  <c r="AA316" i="2" s="1"/>
  <c r="P316" i="2"/>
  <c r="M316" i="2"/>
  <c r="H316" i="2"/>
  <c r="G316" i="2"/>
  <c r="F316" i="2"/>
  <c r="D97" i="8" s="1"/>
  <c r="D316" i="2"/>
  <c r="AH315" i="2"/>
  <c r="R315" i="2"/>
  <c r="Q315" i="2"/>
  <c r="P315" i="2"/>
  <c r="M315" i="2"/>
  <c r="H315" i="2"/>
  <c r="G315" i="2"/>
  <c r="F315" i="2"/>
  <c r="D95" i="8" s="1"/>
  <c r="D315" i="2"/>
  <c r="B95" i="8" s="1"/>
  <c r="AH314" i="2"/>
  <c r="R314" i="2"/>
  <c r="Q314" i="2"/>
  <c r="P314" i="2"/>
  <c r="M314" i="2"/>
  <c r="H314" i="2"/>
  <c r="G314" i="2"/>
  <c r="F314" i="2"/>
  <c r="D314" i="2"/>
  <c r="AN313" i="2"/>
  <c r="AJ313" i="2"/>
  <c r="AM313" i="2" s="1"/>
  <c r="P313" i="2"/>
  <c r="M313" i="2"/>
  <c r="H313" i="2"/>
  <c r="G313" i="2"/>
  <c r="F313" i="2"/>
  <c r="D37" i="9" s="1"/>
  <c r="D313" i="2"/>
  <c r="B37" i="9" s="1"/>
  <c r="AH312" i="2"/>
  <c r="R312" i="2"/>
  <c r="Q312" i="2"/>
  <c r="P312" i="2"/>
  <c r="M312" i="2"/>
  <c r="H312" i="2"/>
  <c r="G312" i="2"/>
  <c r="F312" i="2"/>
  <c r="D94" i="8" s="1"/>
  <c r="D312" i="2"/>
  <c r="B94" i="8" s="1"/>
  <c r="AH311" i="2"/>
  <c r="AD311" i="2"/>
  <c r="R311" i="2"/>
  <c r="Q311" i="2"/>
  <c r="AB311" i="2" s="1"/>
  <c r="P311" i="2"/>
  <c r="M311" i="2"/>
  <c r="H311" i="2"/>
  <c r="G311" i="2"/>
  <c r="F311" i="2"/>
  <c r="D311" i="2"/>
  <c r="AH310" i="2"/>
  <c r="R310" i="2"/>
  <c r="Q310" i="2"/>
  <c r="P310" i="2"/>
  <c r="M310" i="2"/>
  <c r="H310" i="2"/>
  <c r="G310" i="2"/>
  <c r="F310" i="2"/>
  <c r="D310" i="2"/>
  <c r="AH309" i="2"/>
  <c r="R309" i="2"/>
  <c r="Q309" i="2"/>
  <c r="P309" i="2"/>
  <c r="M309" i="2"/>
  <c r="H309" i="2"/>
  <c r="G309" i="2"/>
  <c r="F309" i="2"/>
  <c r="D93" i="8" s="1"/>
  <c r="D309" i="2"/>
  <c r="AH308" i="2"/>
  <c r="R308" i="2"/>
  <c r="Q308" i="2"/>
  <c r="AG308" i="2" s="1"/>
  <c r="P308" i="2"/>
  <c r="M308" i="2"/>
  <c r="H308" i="2"/>
  <c r="G308" i="2"/>
  <c r="F308" i="2"/>
  <c r="D308" i="2"/>
  <c r="AH307" i="2"/>
  <c r="R307" i="2"/>
  <c r="Q307" i="2"/>
  <c r="P307" i="2"/>
  <c r="AC307" i="2" s="1"/>
  <c r="M307" i="2"/>
  <c r="H307" i="2"/>
  <c r="G307" i="2"/>
  <c r="F307" i="2"/>
  <c r="D307" i="2"/>
  <c r="AJ306" i="2"/>
  <c r="AN306" i="2" s="1"/>
  <c r="P306" i="2"/>
  <c r="M306" i="2"/>
  <c r="H306" i="2"/>
  <c r="G306" i="2"/>
  <c r="F306" i="2"/>
  <c r="D36" i="9" s="1"/>
  <c r="D306" i="2"/>
  <c r="B36" i="9" s="1"/>
  <c r="AH305" i="2"/>
  <c r="R305" i="2"/>
  <c r="Q305" i="2"/>
  <c r="P305" i="2"/>
  <c r="M305" i="2"/>
  <c r="H305" i="2"/>
  <c r="G305" i="2"/>
  <c r="F305" i="2"/>
  <c r="D305" i="2"/>
  <c r="AH304" i="2"/>
  <c r="R304" i="2"/>
  <c r="Q304" i="2"/>
  <c r="Z304" i="2" s="1"/>
  <c r="P304" i="2"/>
  <c r="M304" i="2"/>
  <c r="H304" i="2"/>
  <c r="G304" i="2"/>
  <c r="F304" i="2"/>
  <c r="D304" i="2"/>
  <c r="AH303" i="2"/>
  <c r="R303" i="2"/>
  <c r="Q303" i="2"/>
  <c r="P303" i="2"/>
  <c r="M303" i="2"/>
  <c r="H303" i="2"/>
  <c r="G303" i="2"/>
  <c r="F303" i="2"/>
  <c r="D303" i="2"/>
  <c r="AH302" i="2"/>
  <c r="R302" i="2"/>
  <c r="Q302" i="2"/>
  <c r="AB302" i="2" s="1"/>
  <c r="P302" i="2"/>
  <c r="M302" i="2"/>
  <c r="H302" i="2"/>
  <c r="G302" i="2"/>
  <c r="F302" i="2"/>
  <c r="D302" i="2"/>
  <c r="AH301" i="2"/>
  <c r="R301" i="2"/>
  <c r="Q301" i="2"/>
  <c r="Z301" i="2" s="1"/>
  <c r="P301" i="2"/>
  <c r="M301" i="2"/>
  <c r="H301" i="2"/>
  <c r="G301" i="2"/>
  <c r="F301" i="2"/>
  <c r="D301" i="2"/>
  <c r="AH300" i="2"/>
  <c r="R300" i="2"/>
  <c r="Q300" i="2"/>
  <c r="Y300" i="2" s="1"/>
  <c r="P300" i="2"/>
  <c r="M300" i="2"/>
  <c r="H300" i="2"/>
  <c r="G300" i="2"/>
  <c r="F300" i="2"/>
  <c r="D91" i="8" s="1"/>
  <c r="D300" i="2"/>
  <c r="AH299" i="2"/>
  <c r="R299" i="2"/>
  <c r="Q299" i="2"/>
  <c r="Z299" i="2" s="1"/>
  <c r="P299" i="2"/>
  <c r="M299" i="2"/>
  <c r="H299" i="2"/>
  <c r="G299" i="2"/>
  <c r="F299" i="2"/>
  <c r="D299" i="2"/>
  <c r="AH298" i="2"/>
  <c r="R298" i="2"/>
  <c r="Q298" i="2"/>
  <c r="P298" i="2"/>
  <c r="M298" i="2"/>
  <c r="H298" i="2"/>
  <c r="G298" i="2"/>
  <c r="F298" i="2"/>
  <c r="D298" i="2"/>
  <c r="AH297" i="2"/>
  <c r="R297" i="2"/>
  <c r="Q297" i="2"/>
  <c r="P297" i="2"/>
  <c r="M297" i="2"/>
  <c r="H297" i="2"/>
  <c r="G297" i="2"/>
  <c r="F297" i="2"/>
  <c r="D90" i="8" s="1"/>
  <c r="D297" i="2"/>
  <c r="AH296" i="2"/>
  <c r="R296" i="2"/>
  <c r="Q296" i="2"/>
  <c r="P296" i="2"/>
  <c r="M296" i="2"/>
  <c r="H296" i="2"/>
  <c r="G296" i="2"/>
  <c r="F296" i="2"/>
  <c r="D296" i="2"/>
  <c r="AH295" i="2"/>
  <c r="R295" i="2"/>
  <c r="Q295" i="2"/>
  <c r="P295" i="2"/>
  <c r="M295" i="2"/>
  <c r="H295" i="2"/>
  <c r="G295" i="2"/>
  <c r="F295" i="2"/>
  <c r="D92" i="8" s="1"/>
  <c r="D295" i="2"/>
  <c r="B92" i="8" s="1"/>
  <c r="AH294" i="2"/>
  <c r="R294" i="2"/>
  <c r="Q294" i="2"/>
  <c r="Z294" i="2" s="1"/>
  <c r="P294" i="2"/>
  <c r="M294" i="2"/>
  <c r="H294" i="2"/>
  <c r="G294" i="2"/>
  <c r="F294" i="2"/>
  <c r="D89" i="8" s="1"/>
  <c r="D294" i="2"/>
  <c r="B89" i="8" s="1"/>
  <c r="AH293" i="2"/>
  <c r="AF293" i="2"/>
  <c r="Y293" i="2"/>
  <c r="R293" i="2"/>
  <c r="Q293" i="2"/>
  <c r="AA293" i="2" s="1"/>
  <c r="P293" i="2"/>
  <c r="S293" i="2" s="1"/>
  <c r="M293" i="2"/>
  <c r="H293" i="2"/>
  <c r="G293" i="2"/>
  <c r="F293" i="2"/>
  <c r="D86" i="8" s="1"/>
  <c r="D293" i="2"/>
  <c r="B86" i="8" s="1"/>
  <c r="AH292" i="2"/>
  <c r="R292" i="2"/>
  <c r="Q292" i="2"/>
  <c r="P292" i="2"/>
  <c r="M292" i="2"/>
  <c r="H292" i="2"/>
  <c r="G292" i="2"/>
  <c r="F292" i="2"/>
  <c r="D85" i="8" s="1"/>
  <c r="D292" i="2"/>
  <c r="AH291" i="2"/>
  <c r="R291" i="2"/>
  <c r="Q291" i="2"/>
  <c r="X291" i="2" s="1"/>
  <c r="P291" i="2"/>
  <c r="M291" i="2"/>
  <c r="H291" i="2"/>
  <c r="G291" i="2"/>
  <c r="F291" i="2"/>
  <c r="D291" i="2"/>
  <c r="AH290" i="2"/>
  <c r="R290" i="2"/>
  <c r="Q290" i="2"/>
  <c r="AA290" i="2" s="1"/>
  <c r="P290" i="2"/>
  <c r="M290" i="2"/>
  <c r="H290" i="2"/>
  <c r="G290" i="2"/>
  <c r="F290" i="2"/>
  <c r="D84" i="8" s="1"/>
  <c r="D290" i="2"/>
  <c r="AH289" i="2"/>
  <c r="R289" i="2"/>
  <c r="Q289" i="2"/>
  <c r="AB289" i="2" s="1"/>
  <c r="P289" i="2"/>
  <c r="M289" i="2"/>
  <c r="H289" i="2"/>
  <c r="G289" i="2"/>
  <c r="F289" i="2"/>
  <c r="D289" i="2"/>
  <c r="AH288" i="2"/>
  <c r="R288" i="2"/>
  <c r="Q288" i="2"/>
  <c r="Z288" i="2" s="1"/>
  <c r="P288" i="2"/>
  <c r="M288" i="2"/>
  <c r="H288" i="2"/>
  <c r="G288" i="2"/>
  <c r="F288" i="2"/>
  <c r="D288" i="2"/>
  <c r="AH287" i="2"/>
  <c r="R287" i="2"/>
  <c r="Q287" i="2"/>
  <c r="Y287" i="2" s="1"/>
  <c r="P287" i="2"/>
  <c r="M287" i="2"/>
  <c r="H287" i="2"/>
  <c r="G287" i="2"/>
  <c r="F287" i="2"/>
  <c r="D287" i="2"/>
  <c r="AH286" i="2"/>
  <c r="R286" i="2"/>
  <c r="Q286" i="2"/>
  <c r="P286" i="2"/>
  <c r="M286" i="2"/>
  <c r="H286" i="2"/>
  <c r="G286" i="2"/>
  <c r="F286" i="2"/>
  <c r="D286" i="2"/>
  <c r="AH285" i="2"/>
  <c r="R285" i="2"/>
  <c r="Q285" i="2"/>
  <c r="P285" i="2"/>
  <c r="M285" i="2"/>
  <c r="H285" i="2"/>
  <c r="G285" i="2"/>
  <c r="F285" i="2"/>
  <c r="D87" i="8" s="1"/>
  <c r="D285" i="2"/>
  <c r="B87" i="8" s="1"/>
  <c r="AH284" i="2"/>
  <c r="R284" i="2"/>
  <c r="Q284" i="2"/>
  <c r="P284" i="2"/>
  <c r="M284" i="2"/>
  <c r="H284" i="2"/>
  <c r="G284" i="2"/>
  <c r="F284" i="2"/>
  <c r="D284" i="2"/>
  <c r="AH283" i="2"/>
  <c r="R283" i="2"/>
  <c r="Q283" i="2"/>
  <c r="AA283" i="2" s="1"/>
  <c r="P283" i="2"/>
  <c r="M283" i="2"/>
  <c r="H283" i="2"/>
  <c r="G283" i="2"/>
  <c r="F283" i="2"/>
  <c r="D283" i="2"/>
  <c r="AH282" i="2"/>
  <c r="R282" i="2"/>
  <c r="Q282" i="2"/>
  <c r="AB282" i="2" s="1"/>
  <c r="P282" i="2"/>
  <c r="M282" i="2"/>
  <c r="H282" i="2"/>
  <c r="G282" i="2"/>
  <c r="F282" i="2"/>
  <c r="D282" i="2"/>
  <c r="AH281" i="2"/>
  <c r="R281" i="2"/>
  <c r="Q281" i="2"/>
  <c r="P281" i="2"/>
  <c r="M281" i="2"/>
  <c r="H281" i="2"/>
  <c r="G281" i="2"/>
  <c r="F281" i="2"/>
  <c r="D88" i="8" s="1"/>
  <c r="D281" i="2"/>
  <c r="B88" i="8" s="1"/>
  <c r="AH280" i="2"/>
  <c r="R280" i="2"/>
  <c r="Q280" i="2"/>
  <c r="AB280" i="2" s="1"/>
  <c r="P280" i="2"/>
  <c r="M280" i="2"/>
  <c r="H280" i="2"/>
  <c r="G280" i="2"/>
  <c r="F280" i="2"/>
  <c r="D280" i="2"/>
  <c r="AH279" i="2"/>
  <c r="R279" i="2"/>
  <c r="Q279" i="2"/>
  <c r="P279" i="2"/>
  <c r="M279" i="2"/>
  <c r="H279" i="2"/>
  <c r="G279" i="2"/>
  <c r="F279" i="2"/>
  <c r="D279" i="2"/>
  <c r="AH278" i="2"/>
  <c r="R278" i="2"/>
  <c r="Q278" i="2"/>
  <c r="Z278" i="2" s="1"/>
  <c r="P278" i="2"/>
  <c r="M278" i="2"/>
  <c r="H278" i="2"/>
  <c r="G278" i="2"/>
  <c r="F278" i="2"/>
  <c r="D83" i="8" s="1"/>
  <c r="D278" i="2"/>
  <c r="AH277" i="2"/>
  <c r="R277" i="2"/>
  <c r="Q277" i="2"/>
  <c r="AB277" i="2" s="1"/>
  <c r="P277" i="2"/>
  <c r="M277" i="2"/>
  <c r="H277" i="2"/>
  <c r="G277" i="2"/>
  <c r="F277" i="2"/>
  <c r="D277" i="2"/>
  <c r="AH276" i="2"/>
  <c r="R276" i="2"/>
  <c r="Q276" i="2"/>
  <c r="P276" i="2"/>
  <c r="M276" i="2"/>
  <c r="H276" i="2"/>
  <c r="G276" i="2"/>
  <c r="F276" i="2"/>
  <c r="D82" i="8" s="1"/>
  <c r="D276" i="2"/>
  <c r="AH275" i="2"/>
  <c r="R275" i="2"/>
  <c r="Q275" i="2"/>
  <c r="P275" i="2"/>
  <c r="M275" i="2"/>
  <c r="H275" i="2"/>
  <c r="G275" i="2"/>
  <c r="F275" i="2"/>
  <c r="D275" i="2"/>
  <c r="AH274" i="2"/>
  <c r="R274" i="2"/>
  <c r="Q274" i="2"/>
  <c r="P274" i="2"/>
  <c r="M274" i="2"/>
  <c r="H274" i="2"/>
  <c r="G274" i="2"/>
  <c r="F274" i="2"/>
  <c r="D274" i="2"/>
  <c r="AH273" i="2"/>
  <c r="R273" i="2"/>
  <c r="Q273" i="2"/>
  <c r="P273" i="2"/>
  <c r="M273" i="2"/>
  <c r="H273" i="2"/>
  <c r="G273" i="2"/>
  <c r="F273" i="2"/>
  <c r="D81" i="8" s="1"/>
  <c r="D273" i="2"/>
  <c r="B81" i="8" s="1"/>
  <c r="AH272" i="2"/>
  <c r="AD272" i="2"/>
  <c r="R272" i="2"/>
  <c r="Q272" i="2"/>
  <c r="AB272" i="2" s="1"/>
  <c r="P272" i="2"/>
  <c r="M272" i="2"/>
  <c r="H272" i="2"/>
  <c r="G272" i="2"/>
  <c r="F272" i="2"/>
  <c r="D272" i="2"/>
  <c r="AH271" i="2"/>
  <c r="R271" i="2"/>
  <c r="Q271" i="2"/>
  <c r="AF271" i="2" s="1"/>
  <c r="P271" i="2"/>
  <c r="M271" i="2"/>
  <c r="H271" i="2"/>
  <c r="G271" i="2"/>
  <c r="F271" i="2"/>
  <c r="D271" i="2"/>
  <c r="AH270" i="2"/>
  <c r="R270" i="2"/>
  <c r="Q270" i="2"/>
  <c r="AA270" i="2" s="1"/>
  <c r="P270" i="2"/>
  <c r="M270" i="2"/>
  <c r="H270" i="2"/>
  <c r="G270" i="2"/>
  <c r="F270" i="2"/>
  <c r="D270" i="2"/>
  <c r="AJ269" i="2"/>
  <c r="AM269" i="2" s="1"/>
  <c r="P269" i="2"/>
  <c r="M269" i="2"/>
  <c r="H269" i="2"/>
  <c r="G269" i="2"/>
  <c r="F269" i="2"/>
  <c r="D34" i="9" s="1"/>
  <c r="D269" i="2"/>
  <c r="B34" i="9" s="1"/>
  <c r="AH268" i="2"/>
  <c r="R268" i="2"/>
  <c r="Q268" i="2"/>
  <c r="AA268" i="2" s="1"/>
  <c r="P268" i="2"/>
  <c r="M268" i="2"/>
  <c r="H268" i="2"/>
  <c r="G268" i="2"/>
  <c r="F268" i="2"/>
  <c r="D268" i="2"/>
  <c r="AH267" i="2"/>
  <c r="R267" i="2"/>
  <c r="Q267" i="2"/>
  <c r="P267" i="2"/>
  <c r="M267" i="2"/>
  <c r="H267" i="2"/>
  <c r="G267" i="2"/>
  <c r="F267" i="2"/>
  <c r="D79" i="8" s="1"/>
  <c r="D267" i="2"/>
  <c r="B79" i="8" s="1"/>
  <c r="AH266" i="2"/>
  <c r="R266" i="2"/>
  <c r="Q266" i="2"/>
  <c r="P266" i="2"/>
  <c r="M266" i="2"/>
  <c r="H266" i="2"/>
  <c r="G266" i="2"/>
  <c r="F266" i="2"/>
  <c r="D266" i="2"/>
  <c r="AH265" i="2"/>
  <c r="R265" i="2"/>
  <c r="Q265" i="2"/>
  <c r="AD265" i="2" s="1"/>
  <c r="P265" i="2"/>
  <c r="M265" i="2"/>
  <c r="H265" i="2"/>
  <c r="G265" i="2"/>
  <c r="F265" i="2"/>
  <c r="D265" i="2"/>
  <c r="AH264" i="2"/>
  <c r="Y264" i="2"/>
  <c r="V264" i="2"/>
  <c r="T264" i="2"/>
  <c r="S264" i="2"/>
  <c r="R264" i="2"/>
  <c r="Q264" i="2"/>
  <c r="AA264" i="2" s="1"/>
  <c r="P264" i="2"/>
  <c r="M264" i="2"/>
  <c r="H264" i="2"/>
  <c r="G264" i="2"/>
  <c r="F264" i="2"/>
  <c r="D77" i="8" s="1"/>
  <c r="D264" i="2"/>
  <c r="B77" i="8" s="1"/>
  <c r="AH263" i="2"/>
  <c r="AG263" i="2"/>
  <c r="R263" i="2"/>
  <c r="Q263" i="2"/>
  <c r="AB263" i="2" s="1"/>
  <c r="P263" i="2"/>
  <c r="M263" i="2"/>
  <c r="H263" i="2"/>
  <c r="G263" i="2"/>
  <c r="F263" i="2"/>
  <c r="D80" i="8" s="1"/>
  <c r="D263" i="2"/>
  <c r="B80" i="8" s="1"/>
  <c r="AH262" i="2"/>
  <c r="R262" i="2"/>
  <c r="Q262" i="2"/>
  <c r="AB262" i="2" s="1"/>
  <c r="P262" i="2"/>
  <c r="M262" i="2"/>
  <c r="H262" i="2"/>
  <c r="G262" i="2"/>
  <c r="F262" i="2"/>
  <c r="D78" i="8" s="1"/>
  <c r="D262" i="2"/>
  <c r="B78" i="8" s="1"/>
  <c r="AH261" i="2"/>
  <c r="R261" i="2"/>
  <c r="Q261" i="2"/>
  <c r="P261" i="2"/>
  <c r="M261" i="2"/>
  <c r="H261" i="2"/>
  <c r="G261" i="2"/>
  <c r="F261" i="2"/>
  <c r="D261" i="2"/>
  <c r="AH260" i="2"/>
  <c r="R260" i="2"/>
  <c r="Q260" i="2"/>
  <c r="Y260" i="2" s="1"/>
  <c r="P260" i="2"/>
  <c r="M260" i="2"/>
  <c r="H260" i="2"/>
  <c r="G260" i="2"/>
  <c r="F260" i="2"/>
  <c r="D260" i="2"/>
  <c r="AH259" i="2"/>
  <c r="R259" i="2"/>
  <c r="Q259" i="2"/>
  <c r="P259" i="2"/>
  <c r="M259" i="2"/>
  <c r="H259" i="2"/>
  <c r="G259" i="2"/>
  <c r="F259" i="2"/>
  <c r="D259" i="2"/>
  <c r="AH258" i="2"/>
  <c r="R258" i="2"/>
  <c r="Q258" i="2"/>
  <c r="AD258" i="2" s="1"/>
  <c r="P258" i="2"/>
  <c r="M258" i="2"/>
  <c r="H258" i="2"/>
  <c r="G258" i="2"/>
  <c r="F258" i="2"/>
  <c r="D258" i="2"/>
  <c r="AH257" i="2"/>
  <c r="R257" i="2"/>
  <c r="Q257" i="2"/>
  <c r="P257" i="2"/>
  <c r="M257" i="2"/>
  <c r="H257" i="2"/>
  <c r="G257" i="2"/>
  <c r="F257" i="2"/>
  <c r="D257" i="2"/>
  <c r="AH256" i="2"/>
  <c r="R256" i="2"/>
  <c r="Q256" i="2"/>
  <c r="Y256" i="2" s="1"/>
  <c r="P256" i="2"/>
  <c r="M256" i="2"/>
  <c r="H256" i="2"/>
  <c r="G256" i="2"/>
  <c r="F256" i="2"/>
  <c r="D76" i="8" s="1"/>
  <c r="D256" i="2"/>
  <c r="B76" i="8" s="1"/>
  <c r="AH255" i="2"/>
  <c r="R255" i="2"/>
  <c r="Q255" i="2"/>
  <c r="P255" i="2"/>
  <c r="M255" i="2"/>
  <c r="H255" i="2"/>
  <c r="G255" i="2"/>
  <c r="F255" i="2"/>
  <c r="D74" i="8" s="1"/>
  <c r="D255" i="2"/>
  <c r="B74" i="8" s="1"/>
  <c r="AH254" i="2"/>
  <c r="R254" i="2"/>
  <c r="Q254" i="2"/>
  <c r="AD254" i="2" s="1"/>
  <c r="P254" i="2"/>
  <c r="M254" i="2"/>
  <c r="H254" i="2"/>
  <c r="G254" i="2"/>
  <c r="F254" i="2"/>
  <c r="D73" i="8" s="1"/>
  <c r="D254" i="2"/>
  <c r="B73" i="8" s="1"/>
  <c r="AH253" i="2"/>
  <c r="R253" i="2"/>
  <c r="Q253" i="2"/>
  <c r="Z253" i="2" s="1"/>
  <c r="P253" i="2"/>
  <c r="M253" i="2"/>
  <c r="H253" i="2"/>
  <c r="G253" i="2"/>
  <c r="F253" i="2"/>
  <c r="D72" i="8" s="1"/>
  <c r="D253" i="2"/>
  <c r="B72" i="8" s="1"/>
  <c r="AH252" i="2"/>
  <c r="R252" i="2"/>
  <c r="Q252" i="2"/>
  <c r="Y252" i="2" s="1"/>
  <c r="P252" i="2"/>
  <c r="M252" i="2"/>
  <c r="H252" i="2"/>
  <c r="G252" i="2"/>
  <c r="F252" i="2"/>
  <c r="D252" i="2"/>
  <c r="AH251" i="2"/>
  <c r="R251" i="2"/>
  <c r="Q251" i="2"/>
  <c r="AA251" i="2" s="1"/>
  <c r="P251" i="2"/>
  <c r="M251" i="2"/>
  <c r="H251" i="2"/>
  <c r="G251" i="2"/>
  <c r="F251" i="2"/>
  <c r="D251" i="2"/>
  <c r="AH250" i="2"/>
  <c r="R250" i="2"/>
  <c r="Q250" i="2"/>
  <c r="P250" i="2"/>
  <c r="M250" i="2"/>
  <c r="H250" i="2"/>
  <c r="G250" i="2"/>
  <c r="F250" i="2"/>
  <c r="D71" i="8" s="1"/>
  <c r="D250" i="2"/>
  <c r="AH249" i="2"/>
  <c r="R249" i="2"/>
  <c r="Q249" i="2"/>
  <c r="Y249" i="2" s="1"/>
  <c r="P249" i="2"/>
  <c r="M249" i="2"/>
  <c r="H249" i="2"/>
  <c r="G249" i="2"/>
  <c r="F249" i="2"/>
  <c r="D69" i="8" s="1"/>
  <c r="D249" i="2"/>
  <c r="B69" i="8" s="1"/>
  <c r="AH248" i="2"/>
  <c r="R248" i="2"/>
  <c r="Q248" i="2"/>
  <c r="AF248" i="2" s="1"/>
  <c r="P248" i="2"/>
  <c r="M248" i="2"/>
  <c r="H248" i="2"/>
  <c r="G248" i="2"/>
  <c r="F248" i="2"/>
  <c r="D248" i="2"/>
  <c r="AH247" i="2"/>
  <c r="R247" i="2"/>
  <c r="Q247" i="2"/>
  <c r="AB247" i="2" s="1"/>
  <c r="P247" i="2"/>
  <c r="M247" i="2"/>
  <c r="H247" i="2"/>
  <c r="G247" i="2"/>
  <c r="F247" i="2"/>
  <c r="D247" i="2"/>
  <c r="AH246" i="2"/>
  <c r="R246" i="2"/>
  <c r="Q246" i="2"/>
  <c r="P246" i="2"/>
  <c r="M246" i="2"/>
  <c r="H246" i="2"/>
  <c r="G246" i="2"/>
  <c r="F246" i="2"/>
  <c r="D70" i="8" s="1"/>
  <c r="D246" i="2"/>
  <c r="B70" i="8" s="1"/>
  <c r="AH245" i="2"/>
  <c r="R245" i="2"/>
  <c r="Q245" i="2"/>
  <c r="AA245" i="2" s="1"/>
  <c r="P245" i="2"/>
  <c r="M245" i="2"/>
  <c r="H245" i="2"/>
  <c r="G245" i="2"/>
  <c r="F245" i="2"/>
  <c r="D75" i="8" s="1"/>
  <c r="D245" i="2"/>
  <c r="AH244" i="2"/>
  <c r="R244" i="2"/>
  <c r="Q244" i="2"/>
  <c r="AA244" i="2" s="1"/>
  <c r="P244" i="2"/>
  <c r="M244" i="2"/>
  <c r="H244" i="2"/>
  <c r="G244" i="2"/>
  <c r="F244" i="2"/>
  <c r="D67" i="8" s="1"/>
  <c r="D244" i="2"/>
  <c r="AH243" i="2"/>
  <c r="AD243" i="2"/>
  <c r="Y243" i="2"/>
  <c r="R243" i="2"/>
  <c r="Q243" i="2"/>
  <c r="P243" i="2"/>
  <c r="M243" i="2"/>
  <c r="H243" i="2"/>
  <c r="G243" i="2"/>
  <c r="F243" i="2"/>
  <c r="D68" i="8" s="1"/>
  <c r="D243" i="2"/>
  <c r="AH242" i="2"/>
  <c r="Z242" i="2"/>
  <c r="R242" i="2"/>
  <c r="Q242" i="2"/>
  <c r="P242" i="2"/>
  <c r="M242" i="2"/>
  <c r="H242" i="2"/>
  <c r="G242" i="2"/>
  <c r="F242" i="2"/>
  <c r="D242" i="2"/>
  <c r="AH241" i="2"/>
  <c r="AC241" i="2"/>
  <c r="R241" i="2"/>
  <c r="Q241" i="2"/>
  <c r="AA241" i="2" s="1"/>
  <c r="P241" i="2"/>
  <c r="M241" i="2"/>
  <c r="H241" i="2"/>
  <c r="G241" i="2"/>
  <c r="F241" i="2"/>
  <c r="D241" i="2"/>
  <c r="AH240" i="2"/>
  <c r="R240" i="2"/>
  <c r="Q240" i="2"/>
  <c r="P240" i="2"/>
  <c r="M240" i="2"/>
  <c r="H240" i="2"/>
  <c r="G240" i="2"/>
  <c r="F240" i="2"/>
  <c r="D240" i="2"/>
  <c r="AH239" i="2"/>
  <c r="R239" i="2"/>
  <c r="Q239" i="2"/>
  <c r="P239" i="2"/>
  <c r="M239" i="2"/>
  <c r="H239" i="2"/>
  <c r="G239" i="2"/>
  <c r="F239" i="2"/>
  <c r="D65" i="8" s="1"/>
  <c r="D239" i="2"/>
  <c r="B65" i="8" s="1"/>
  <c r="AH238" i="2"/>
  <c r="R238" i="2"/>
  <c r="Q238" i="2"/>
  <c r="AA238" i="2" s="1"/>
  <c r="P238" i="2"/>
  <c r="M238" i="2"/>
  <c r="H238" i="2"/>
  <c r="G238" i="2"/>
  <c r="F238" i="2"/>
  <c r="D64" i="8" s="1"/>
  <c r="D238" i="2"/>
  <c r="AJ237" i="2"/>
  <c r="P237" i="2"/>
  <c r="M237" i="2"/>
  <c r="H237" i="2"/>
  <c r="G237" i="2"/>
  <c r="F237" i="2"/>
  <c r="D30" i="9" s="1"/>
  <c r="D237" i="2"/>
  <c r="B30" i="9" s="1"/>
  <c r="AH236" i="2"/>
  <c r="R236" i="2"/>
  <c r="Q236" i="2"/>
  <c r="P236" i="2"/>
  <c r="M236" i="2"/>
  <c r="H236" i="2"/>
  <c r="G236" i="2"/>
  <c r="F236" i="2"/>
  <c r="D236" i="2"/>
  <c r="AH235" i="2"/>
  <c r="R235" i="2"/>
  <c r="Q235" i="2"/>
  <c r="AG235" i="2" s="1"/>
  <c r="P235" i="2"/>
  <c r="M235" i="2"/>
  <c r="H235" i="2"/>
  <c r="G235" i="2"/>
  <c r="F235" i="2"/>
  <c r="D63" i="8" s="1"/>
  <c r="D235" i="2"/>
  <c r="AJ234" i="2"/>
  <c r="AN234" i="2" s="1"/>
  <c r="P234" i="2"/>
  <c r="M234" i="2"/>
  <c r="H234" i="2"/>
  <c r="G234" i="2"/>
  <c r="F234" i="2"/>
  <c r="D33" i="9" s="1"/>
  <c r="D234" i="2"/>
  <c r="AH233" i="2"/>
  <c r="R233" i="2"/>
  <c r="Q233" i="2"/>
  <c r="AA233" i="2" s="1"/>
  <c r="P233" i="2"/>
  <c r="M233" i="2"/>
  <c r="H233" i="2"/>
  <c r="G233" i="2"/>
  <c r="F233" i="2"/>
  <c r="D62" i="8" s="1"/>
  <c r="D233" i="2"/>
  <c r="B62" i="8" s="1"/>
  <c r="AH232" i="2"/>
  <c r="R232" i="2"/>
  <c r="Q232" i="2"/>
  <c r="P232" i="2"/>
  <c r="M232" i="2"/>
  <c r="H232" i="2"/>
  <c r="G232" i="2"/>
  <c r="F232" i="2"/>
  <c r="D232" i="2"/>
  <c r="AH231" i="2"/>
  <c r="R231" i="2"/>
  <c r="Q231" i="2"/>
  <c r="P231" i="2"/>
  <c r="M231" i="2"/>
  <c r="H231" i="2"/>
  <c r="G231" i="2"/>
  <c r="F231" i="2"/>
  <c r="D231" i="2"/>
  <c r="AJ230" i="2"/>
  <c r="P230" i="2"/>
  <c r="AP230" i="2" s="1"/>
  <c r="M230" i="2"/>
  <c r="H230" i="2"/>
  <c r="G230" i="2"/>
  <c r="F230" i="2"/>
  <c r="D32" i="9" s="1"/>
  <c r="D230" i="2"/>
  <c r="B32" i="9" s="1"/>
  <c r="AH229" i="2"/>
  <c r="R229" i="2"/>
  <c r="Q229" i="2"/>
  <c r="AF229" i="2" s="1"/>
  <c r="P229" i="2"/>
  <c r="M229" i="2"/>
  <c r="H229" i="2"/>
  <c r="G229" i="2"/>
  <c r="F229" i="2"/>
  <c r="D229" i="2"/>
  <c r="AH228" i="2"/>
  <c r="R228" i="2"/>
  <c r="Q228" i="2"/>
  <c r="P228" i="2"/>
  <c r="M228" i="2"/>
  <c r="H228" i="2"/>
  <c r="G228" i="2"/>
  <c r="F228" i="2"/>
  <c r="D66" i="8" s="1"/>
  <c r="D228" i="2"/>
  <c r="B66" i="8" s="1"/>
  <c r="AH227" i="2"/>
  <c r="AB227" i="2"/>
  <c r="R227" i="2"/>
  <c r="Q227" i="2"/>
  <c r="AG227" i="2" s="1"/>
  <c r="P227" i="2"/>
  <c r="AC227" i="2" s="1"/>
  <c r="M227" i="2"/>
  <c r="H227" i="2"/>
  <c r="G227" i="2"/>
  <c r="F227" i="2"/>
  <c r="D227" i="2"/>
  <c r="AH226" i="2"/>
  <c r="R226" i="2"/>
  <c r="Q226" i="2"/>
  <c r="P226" i="2"/>
  <c r="M226" i="2"/>
  <c r="H226" i="2"/>
  <c r="G226" i="2"/>
  <c r="F226" i="2"/>
  <c r="D61" i="8" s="1"/>
  <c r="D226" i="2"/>
  <c r="AH225" i="2"/>
  <c r="R225" i="2"/>
  <c r="Q225" i="2"/>
  <c r="P225" i="2"/>
  <c r="M225" i="2"/>
  <c r="H225" i="2"/>
  <c r="G225" i="2"/>
  <c r="F225" i="2"/>
  <c r="D60" i="8" s="1"/>
  <c r="D225" i="2"/>
  <c r="AH224" i="2"/>
  <c r="R224" i="2"/>
  <c r="Q224" i="2"/>
  <c r="P224" i="2"/>
  <c r="M224" i="2"/>
  <c r="H224" i="2"/>
  <c r="G224" i="2"/>
  <c r="F224" i="2"/>
  <c r="D224" i="2"/>
  <c r="AH223" i="2"/>
  <c r="R223" i="2"/>
  <c r="Q223" i="2"/>
  <c r="P223" i="2"/>
  <c r="M223" i="2"/>
  <c r="H223" i="2"/>
  <c r="G223" i="2"/>
  <c r="F223" i="2"/>
  <c r="D59" i="8" s="1"/>
  <c r="D223" i="2"/>
  <c r="B59" i="8" s="1"/>
  <c r="AH222" i="2"/>
  <c r="AG222" i="2"/>
  <c r="AD222" i="2"/>
  <c r="V222" i="2"/>
  <c r="R222" i="2"/>
  <c r="Q222" i="2"/>
  <c r="P222" i="2"/>
  <c r="M222" i="2"/>
  <c r="H222" i="2"/>
  <c r="G222" i="2"/>
  <c r="F222" i="2"/>
  <c r="D222" i="2"/>
  <c r="AH221" i="2"/>
  <c r="R221" i="2"/>
  <c r="Q221" i="2"/>
  <c r="P221" i="2"/>
  <c r="M221" i="2"/>
  <c r="H221" i="2"/>
  <c r="G221" i="2"/>
  <c r="F221" i="2"/>
  <c r="D58" i="8" s="1"/>
  <c r="D221" i="2"/>
  <c r="AH220" i="2"/>
  <c r="R220" i="2"/>
  <c r="Q220" i="2"/>
  <c r="AF220" i="2" s="1"/>
  <c r="P220" i="2"/>
  <c r="M220" i="2"/>
  <c r="H220" i="2"/>
  <c r="G220" i="2"/>
  <c r="F220" i="2"/>
  <c r="D220" i="2"/>
  <c r="AJ219" i="2"/>
  <c r="AN219" i="2" s="1"/>
  <c r="P219" i="2"/>
  <c r="M219" i="2"/>
  <c r="H219" i="2"/>
  <c r="G219" i="2"/>
  <c r="F219" i="2"/>
  <c r="D31" i="9" s="1"/>
  <c r="D219" i="2"/>
  <c r="B31" i="9" s="1"/>
  <c r="AH218" i="2"/>
  <c r="R218" i="2"/>
  <c r="Q218" i="2"/>
  <c r="P218" i="2"/>
  <c r="M218" i="2"/>
  <c r="H218" i="2"/>
  <c r="G218" i="2"/>
  <c r="F218" i="2"/>
  <c r="D218" i="2"/>
  <c r="AH217" i="2"/>
  <c r="R217" i="2"/>
  <c r="Q217" i="2"/>
  <c r="P217" i="2"/>
  <c r="M217" i="2"/>
  <c r="H217" i="2"/>
  <c r="G217" i="2"/>
  <c r="F217" i="2"/>
  <c r="D217" i="2"/>
  <c r="AH216" i="2"/>
  <c r="R216" i="2"/>
  <c r="Q216" i="2"/>
  <c r="AG216" i="2" s="1"/>
  <c r="P216" i="2"/>
  <c r="T216" i="2" s="1"/>
  <c r="M216" i="2"/>
  <c r="H216" i="2"/>
  <c r="G216" i="2"/>
  <c r="F216" i="2"/>
  <c r="D216" i="2"/>
  <c r="AH215" i="2"/>
  <c r="R215" i="2"/>
  <c r="Q215" i="2"/>
  <c r="P215" i="2"/>
  <c r="M215" i="2"/>
  <c r="H215" i="2"/>
  <c r="G215" i="2"/>
  <c r="F215" i="2"/>
  <c r="D215" i="2"/>
  <c r="AH214" i="2"/>
  <c r="R214" i="2"/>
  <c r="Q214" i="2"/>
  <c r="AA214" i="2" s="1"/>
  <c r="P214" i="2"/>
  <c r="M214" i="2"/>
  <c r="H214" i="2"/>
  <c r="G214" i="2"/>
  <c r="F214" i="2"/>
  <c r="D214" i="2"/>
  <c r="AH213" i="2"/>
  <c r="Y213" i="2"/>
  <c r="R213" i="2"/>
  <c r="Q213" i="2"/>
  <c r="Z213" i="2" s="1"/>
  <c r="P213" i="2"/>
  <c r="M213" i="2"/>
  <c r="H213" i="2"/>
  <c r="G213" i="2"/>
  <c r="F213" i="2"/>
  <c r="D213" i="2"/>
  <c r="AH212" i="2"/>
  <c r="R212" i="2"/>
  <c r="Q212" i="2"/>
  <c r="AA212" i="2" s="1"/>
  <c r="P212" i="2"/>
  <c r="M212" i="2"/>
  <c r="H212" i="2"/>
  <c r="G212" i="2"/>
  <c r="F212" i="2"/>
  <c r="D212" i="2"/>
  <c r="AH211" i="2"/>
  <c r="R211" i="2"/>
  <c r="Q211" i="2"/>
  <c r="P211" i="2"/>
  <c r="M211" i="2"/>
  <c r="H211" i="2"/>
  <c r="G211" i="2"/>
  <c r="F211" i="2"/>
  <c r="D211" i="2"/>
  <c r="AH210" i="2"/>
  <c r="R210" i="2"/>
  <c r="Q210" i="2"/>
  <c r="P210" i="2"/>
  <c r="M210" i="2"/>
  <c r="H210" i="2"/>
  <c r="G210" i="2"/>
  <c r="F210" i="2"/>
  <c r="D210" i="2"/>
  <c r="AH209" i="2"/>
  <c r="R209" i="2"/>
  <c r="Q209" i="2"/>
  <c r="AF209" i="2" s="1"/>
  <c r="P209" i="2"/>
  <c r="W209" i="2" s="1"/>
  <c r="M209" i="2"/>
  <c r="H209" i="2"/>
  <c r="G209" i="2"/>
  <c r="F209" i="2"/>
  <c r="D209" i="2"/>
  <c r="AH208" i="2"/>
  <c r="R208" i="2"/>
  <c r="Q208" i="2"/>
  <c r="P208" i="2"/>
  <c r="S208" i="2" s="1"/>
  <c r="M208" i="2"/>
  <c r="H208" i="2"/>
  <c r="G208" i="2"/>
  <c r="F208" i="2"/>
  <c r="D208" i="2"/>
  <c r="AH207" i="2"/>
  <c r="R207" i="2"/>
  <c r="Q207" i="2"/>
  <c r="AF207" i="2" s="1"/>
  <c r="P207" i="2"/>
  <c r="M207" i="2"/>
  <c r="H207" i="2"/>
  <c r="G207" i="2"/>
  <c r="F207" i="2"/>
  <c r="D207" i="2"/>
  <c r="AH206" i="2"/>
  <c r="R206" i="2"/>
  <c r="Q206" i="2"/>
  <c r="P206" i="2"/>
  <c r="T206" i="2" s="1"/>
  <c r="M206" i="2"/>
  <c r="H206" i="2"/>
  <c r="G206" i="2"/>
  <c r="F206" i="2"/>
  <c r="D206" i="2"/>
  <c r="AH205" i="2"/>
  <c r="R205" i="2"/>
  <c r="Q205" i="2"/>
  <c r="Z205" i="2" s="1"/>
  <c r="P205" i="2"/>
  <c r="M205" i="2"/>
  <c r="H205" i="2"/>
  <c r="G205" i="2"/>
  <c r="F205" i="2"/>
  <c r="D56" i="8" s="1"/>
  <c r="D205" i="2"/>
  <c r="B56" i="8" s="1"/>
  <c r="AH204" i="2"/>
  <c r="R204" i="2"/>
  <c r="Q204" i="2"/>
  <c r="P204" i="2"/>
  <c r="M204" i="2"/>
  <c r="H204" i="2"/>
  <c r="G204" i="2"/>
  <c r="F204" i="2"/>
  <c r="D57" i="8" s="1"/>
  <c r="D204" i="2"/>
  <c r="B57" i="8" s="1"/>
  <c r="AH203" i="2"/>
  <c r="R203" i="2"/>
  <c r="Q203" i="2"/>
  <c r="Z203" i="2" s="1"/>
  <c r="P203" i="2"/>
  <c r="M203" i="2"/>
  <c r="H203" i="2"/>
  <c r="G203" i="2"/>
  <c r="F203" i="2"/>
  <c r="D49" i="8" s="1"/>
  <c r="D203" i="2"/>
  <c r="B49" i="8" s="1"/>
  <c r="AH202" i="2"/>
  <c r="R202" i="2"/>
  <c r="Q202" i="2"/>
  <c r="P202" i="2"/>
  <c r="M202" i="2"/>
  <c r="H202" i="2"/>
  <c r="G202" i="2"/>
  <c r="F202" i="2"/>
  <c r="D54" i="8" s="1"/>
  <c r="D202" i="2"/>
  <c r="AH201" i="2"/>
  <c r="R201" i="2"/>
  <c r="Q201" i="2"/>
  <c r="AB201" i="2" s="1"/>
  <c r="P201" i="2"/>
  <c r="M201" i="2"/>
  <c r="H201" i="2"/>
  <c r="G201" i="2"/>
  <c r="F201" i="2"/>
  <c r="D55" i="8" s="1"/>
  <c r="D201" i="2"/>
  <c r="AH200" i="2"/>
  <c r="R200" i="2"/>
  <c r="Q200" i="2"/>
  <c r="P200" i="2"/>
  <c r="M200" i="2"/>
  <c r="H200" i="2"/>
  <c r="G200" i="2"/>
  <c r="F200" i="2"/>
  <c r="D200" i="2"/>
  <c r="AH199" i="2"/>
  <c r="R199" i="2"/>
  <c r="Q199" i="2"/>
  <c r="AF199" i="2" s="1"/>
  <c r="P199" i="2"/>
  <c r="M199" i="2"/>
  <c r="H199" i="2"/>
  <c r="G199" i="2"/>
  <c r="F199" i="2"/>
  <c r="D53" i="8" s="1"/>
  <c r="D199" i="2"/>
  <c r="B53" i="8" s="1"/>
  <c r="AH198" i="2"/>
  <c r="R198" i="2"/>
  <c r="Q198" i="2"/>
  <c r="P198" i="2"/>
  <c r="M198" i="2"/>
  <c r="H198" i="2"/>
  <c r="G198" i="2"/>
  <c r="F198" i="2"/>
  <c r="D198" i="2"/>
  <c r="AH197" i="2"/>
  <c r="R197" i="2"/>
  <c r="Q197" i="2"/>
  <c r="AF197" i="2" s="1"/>
  <c r="P197" i="2"/>
  <c r="M197" i="2"/>
  <c r="H197" i="2"/>
  <c r="G197" i="2"/>
  <c r="F197" i="2"/>
  <c r="D197" i="2"/>
  <c r="AH196" i="2"/>
  <c r="R196" i="2"/>
  <c r="Q196" i="2"/>
  <c r="P196" i="2"/>
  <c r="M196" i="2"/>
  <c r="H196" i="2"/>
  <c r="G196" i="2"/>
  <c r="F196" i="2"/>
  <c r="D50" i="8" s="1"/>
  <c r="D196" i="2"/>
  <c r="B50" i="8" s="1"/>
  <c r="AH195" i="2"/>
  <c r="R195" i="2"/>
  <c r="Q195" i="2"/>
  <c r="P195" i="2"/>
  <c r="M195" i="2"/>
  <c r="H195" i="2"/>
  <c r="G195" i="2"/>
  <c r="F195" i="2"/>
  <c r="D195" i="2"/>
  <c r="AH194" i="2"/>
  <c r="R194" i="2"/>
  <c r="Q194" i="2"/>
  <c r="P194" i="2"/>
  <c r="M194" i="2"/>
  <c r="H194" i="2"/>
  <c r="G194" i="2"/>
  <c r="F194" i="2"/>
  <c r="D51" i="8" s="1"/>
  <c r="D194" i="2"/>
  <c r="B51" i="8" s="1"/>
  <c r="AJ193" i="2"/>
  <c r="AP193" i="2" s="1"/>
  <c r="P193" i="2"/>
  <c r="M193" i="2"/>
  <c r="H193" i="2"/>
  <c r="G193" i="2"/>
  <c r="F193" i="2"/>
  <c r="D28" i="9" s="1"/>
  <c r="D193" i="2"/>
  <c r="AJ192" i="2"/>
  <c r="AN192" i="2" s="1"/>
  <c r="P192" i="2"/>
  <c r="M192" i="2"/>
  <c r="H192" i="2"/>
  <c r="G192" i="2"/>
  <c r="F192" i="2"/>
  <c r="D27" i="9" s="1"/>
  <c r="D192" i="2"/>
  <c r="B27" i="9" s="1"/>
  <c r="AH191" i="2"/>
  <c r="R191" i="2"/>
  <c r="Q191" i="2"/>
  <c r="AA191" i="2" s="1"/>
  <c r="P191" i="2"/>
  <c r="M191" i="2"/>
  <c r="H191" i="2"/>
  <c r="G191" i="2"/>
  <c r="F191" i="2"/>
  <c r="D48" i="8" s="1"/>
  <c r="D191" i="2"/>
  <c r="B48" i="8" s="1"/>
  <c r="AH190" i="2"/>
  <c r="R190" i="2"/>
  <c r="Q190" i="2"/>
  <c r="P190" i="2"/>
  <c r="M190" i="2"/>
  <c r="H190" i="2"/>
  <c r="G190" i="2"/>
  <c r="F190" i="2"/>
  <c r="D190" i="2"/>
  <c r="AH189" i="2"/>
  <c r="R189" i="2"/>
  <c r="Q189" i="2"/>
  <c r="P189" i="2"/>
  <c r="M189" i="2"/>
  <c r="H189" i="2"/>
  <c r="G189" i="2"/>
  <c r="F189" i="2"/>
  <c r="D189" i="2"/>
  <c r="AH188" i="2"/>
  <c r="R188" i="2"/>
  <c r="Q188" i="2"/>
  <c r="P188" i="2"/>
  <c r="AE188" i="2" s="1"/>
  <c r="M188" i="2"/>
  <c r="H188" i="2"/>
  <c r="G188" i="2"/>
  <c r="F188" i="2"/>
  <c r="D188" i="2"/>
  <c r="AH187" i="2"/>
  <c r="R187" i="2"/>
  <c r="Q187" i="2"/>
  <c r="P187" i="2"/>
  <c r="M187" i="2"/>
  <c r="H187" i="2"/>
  <c r="G187" i="2"/>
  <c r="F187" i="2"/>
  <c r="D187" i="2"/>
  <c r="AH186" i="2"/>
  <c r="R186" i="2"/>
  <c r="Q186" i="2"/>
  <c r="AF186" i="2" s="1"/>
  <c r="P186" i="2"/>
  <c r="M186" i="2"/>
  <c r="H186" i="2"/>
  <c r="G186" i="2"/>
  <c r="F186" i="2"/>
  <c r="D47" i="8" s="1"/>
  <c r="D186" i="2"/>
  <c r="B47" i="8" s="1"/>
  <c r="AH185" i="2"/>
  <c r="R185" i="2"/>
  <c r="Q185" i="2"/>
  <c r="P185" i="2"/>
  <c r="M185" i="2"/>
  <c r="H185" i="2"/>
  <c r="G185" i="2"/>
  <c r="F185" i="2"/>
  <c r="D52" i="8" s="1"/>
  <c r="D185" i="2"/>
  <c r="B52" i="8" s="1"/>
  <c r="AH184" i="2"/>
  <c r="AD184" i="2"/>
  <c r="X184" i="2"/>
  <c r="T184" i="2"/>
  <c r="R184" i="2"/>
  <c r="Q184" i="2"/>
  <c r="AA184" i="2" s="1"/>
  <c r="P184" i="2"/>
  <c r="M184" i="2"/>
  <c r="H184" i="2"/>
  <c r="G184" i="2"/>
  <c r="F184" i="2"/>
  <c r="D46" i="8" s="1"/>
  <c r="D184" i="2"/>
  <c r="B46" i="8" s="1"/>
  <c r="AJ183" i="2"/>
  <c r="AN183" i="2" s="1"/>
  <c r="P183" i="2"/>
  <c r="M183" i="2"/>
  <c r="H183" i="2"/>
  <c r="G183" i="2"/>
  <c r="F183" i="2"/>
  <c r="D26" i="9" s="1"/>
  <c r="D183" i="2"/>
  <c r="B26" i="9" s="1"/>
  <c r="AH182" i="2"/>
  <c r="R182" i="2"/>
  <c r="Q182" i="2"/>
  <c r="P182" i="2"/>
  <c r="M182" i="2"/>
  <c r="H182" i="2"/>
  <c r="G182" i="2"/>
  <c r="F182" i="2"/>
  <c r="D182" i="2"/>
  <c r="AH181" i="2"/>
  <c r="R181" i="2"/>
  <c r="Q181" i="2"/>
  <c r="P181" i="2"/>
  <c r="M181" i="2"/>
  <c r="H181" i="2"/>
  <c r="G181" i="2"/>
  <c r="F181" i="2"/>
  <c r="D181" i="2"/>
  <c r="AH180" i="2"/>
  <c r="R180" i="2"/>
  <c r="Q180" i="2"/>
  <c r="Y180" i="2" s="1"/>
  <c r="P180" i="2"/>
  <c r="M180" i="2"/>
  <c r="H180" i="2"/>
  <c r="G180" i="2"/>
  <c r="F180" i="2"/>
  <c r="D180" i="2"/>
  <c r="AH179" i="2"/>
  <c r="R179" i="2"/>
  <c r="Q179" i="2"/>
  <c r="P179" i="2"/>
  <c r="M179" i="2"/>
  <c r="H179" i="2"/>
  <c r="G179" i="2"/>
  <c r="F179" i="2"/>
  <c r="D179" i="2"/>
  <c r="AH178" i="2"/>
  <c r="R178" i="2"/>
  <c r="Q178" i="2"/>
  <c r="P178" i="2"/>
  <c r="M178" i="2"/>
  <c r="H178" i="2"/>
  <c r="G178" i="2"/>
  <c r="F178" i="2"/>
  <c r="D42" i="8" s="1"/>
  <c r="D178" i="2"/>
  <c r="B42" i="8" s="1"/>
  <c r="AJ177" i="2"/>
  <c r="P177" i="2"/>
  <c r="M177" i="2"/>
  <c r="H177" i="2"/>
  <c r="G177" i="2"/>
  <c r="F177" i="2"/>
  <c r="D29" i="9" s="1"/>
  <c r="D177" i="2"/>
  <c r="B29" i="9" s="1"/>
  <c r="AJ176" i="2"/>
  <c r="AP176" i="2" s="1"/>
  <c r="P176" i="2"/>
  <c r="M176" i="2"/>
  <c r="H176" i="2"/>
  <c r="G176" i="2"/>
  <c r="F176" i="2"/>
  <c r="D25" i="9" s="1"/>
  <c r="D176" i="2"/>
  <c r="B25" i="9" s="1"/>
  <c r="AH175" i="2"/>
  <c r="R175" i="2"/>
  <c r="Q175" i="2"/>
  <c r="AF175" i="2" s="1"/>
  <c r="P175" i="2"/>
  <c r="M175" i="2"/>
  <c r="H175" i="2"/>
  <c r="G175" i="2"/>
  <c r="F175" i="2"/>
  <c r="D175" i="2"/>
  <c r="AH174" i="2"/>
  <c r="R174" i="2"/>
  <c r="Q174" i="2"/>
  <c r="AB174" i="2" s="1"/>
  <c r="P174" i="2"/>
  <c r="M174" i="2"/>
  <c r="H174" i="2"/>
  <c r="G174" i="2"/>
  <c r="F174" i="2"/>
  <c r="D44" i="8" s="1"/>
  <c r="D174" i="2"/>
  <c r="AJ173" i="2"/>
  <c r="AM173" i="2" s="1"/>
  <c r="P173" i="2"/>
  <c r="M173" i="2"/>
  <c r="H173" i="2"/>
  <c r="G173" i="2"/>
  <c r="F173" i="2"/>
  <c r="D24" i="9" s="1"/>
  <c r="D173" i="2"/>
  <c r="AH172" i="2"/>
  <c r="R172" i="2"/>
  <c r="Q172" i="2"/>
  <c r="Z172" i="2" s="1"/>
  <c r="P172" i="2"/>
  <c r="M172" i="2"/>
  <c r="H172" i="2"/>
  <c r="G172" i="2"/>
  <c r="F172" i="2"/>
  <c r="D172" i="2"/>
  <c r="AH171" i="2"/>
  <c r="R171" i="2"/>
  <c r="Q171" i="2"/>
  <c r="P171" i="2"/>
  <c r="M171" i="2"/>
  <c r="H171" i="2"/>
  <c r="G171" i="2"/>
  <c r="F171" i="2"/>
  <c r="D45" i="8" s="1"/>
  <c r="D171" i="2"/>
  <c r="B45" i="8" s="1"/>
  <c r="AH170" i="2"/>
  <c r="R170" i="2"/>
  <c r="Q170" i="2"/>
  <c r="AB170" i="2" s="1"/>
  <c r="P170" i="2"/>
  <c r="AC170" i="2" s="1"/>
  <c r="M170" i="2"/>
  <c r="H170" i="2"/>
  <c r="G170" i="2"/>
  <c r="F170" i="2"/>
  <c r="D170" i="2"/>
  <c r="AH169" i="2"/>
  <c r="R169" i="2"/>
  <c r="Q169" i="2"/>
  <c r="AD169" i="2" s="1"/>
  <c r="P169" i="2"/>
  <c r="AC169" i="2" s="1"/>
  <c r="M169" i="2"/>
  <c r="H169" i="2"/>
  <c r="G169" i="2"/>
  <c r="F169" i="2"/>
  <c r="D169" i="2"/>
  <c r="AH168" i="2"/>
  <c r="AD168" i="2"/>
  <c r="R168" i="2"/>
  <c r="Q168" i="2"/>
  <c r="AA168" i="2" s="1"/>
  <c r="P168" i="2"/>
  <c r="M168" i="2"/>
  <c r="H168" i="2"/>
  <c r="G168" i="2"/>
  <c r="F168" i="2"/>
  <c r="D168" i="2"/>
  <c r="AH167" i="2"/>
  <c r="R167" i="2"/>
  <c r="Q167" i="2"/>
  <c r="AB167" i="2" s="1"/>
  <c r="P167" i="2"/>
  <c r="M167" i="2"/>
  <c r="H167" i="2"/>
  <c r="G167" i="2"/>
  <c r="F167" i="2"/>
  <c r="D167" i="2"/>
  <c r="AH166" i="2"/>
  <c r="R166" i="2"/>
  <c r="Q166" i="2"/>
  <c r="V166" i="2" s="1"/>
  <c r="P166" i="2"/>
  <c r="M166" i="2"/>
  <c r="H166" i="2"/>
  <c r="G166" i="2"/>
  <c r="F166" i="2"/>
  <c r="D40" i="8" s="1"/>
  <c r="D166" i="2"/>
  <c r="B40" i="8" s="1"/>
  <c r="AH165" i="2"/>
  <c r="R165" i="2"/>
  <c r="Q165" i="2"/>
  <c r="Z165" i="2" s="1"/>
  <c r="P165" i="2"/>
  <c r="M165" i="2"/>
  <c r="H165" i="2"/>
  <c r="G165" i="2"/>
  <c r="F165" i="2"/>
  <c r="D41" i="8" s="1"/>
  <c r="D165" i="2"/>
  <c r="AH164" i="2"/>
  <c r="R164" i="2"/>
  <c r="Q164" i="2"/>
  <c r="AG164" i="2" s="1"/>
  <c r="P164" i="2"/>
  <c r="M164" i="2"/>
  <c r="H164" i="2"/>
  <c r="G164" i="2"/>
  <c r="F164" i="2"/>
  <c r="D164" i="2"/>
  <c r="AH163" i="2"/>
  <c r="R163" i="2"/>
  <c r="Q163" i="2"/>
  <c r="AB163" i="2" s="1"/>
  <c r="P163" i="2"/>
  <c r="M163" i="2"/>
  <c r="H163" i="2"/>
  <c r="G163" i="2"/>
  <c r="F163" i="2"/>
  <c r="D43" i="8" s="1"/>
  <c r="D163" i="2"/>
  <c r="AJ162" i="2"/>
  <c r="P162" i="2"/>
  <c r="M162" i="2"/>
  <c r="H162" i="2"/>
  <c r="G162" i="2"/>
  <c r="F162" i="2"/>
  <c r="D22" i="9" s="1"/>
  <c r="D162" i="2"/>
  <c r="B22" i="9" s="1"/>
  <c r="AH161" i="2"/>
  <c r="R161" i="2"/>
  <c r="Q161" i="2"/>
  <c r="S161" i="2" s="1"/>
  <c r="P161" i="2"/>
  <c r="M161" i="2"/>
  <c r="H161" i="2"/>
  <c r="G161" i="2"/>
  <c r="F161" i="2"/>
  <c r="D161" i="2"/>
  <c r="AH160" i="2"/>
  <c r="AG160" i="2"/>
  <c r="AB160" i="2"/>
  <c r="R160" i="2"/>
  <c r="Q160" i="2"/>
  <c r="Z160" i="2" s="1"/>
  <c r="P160" i="2"/>
  <c r="M160" i="2"/>
  <c r="H160" i="2"/>
  <c r="G160" i="2"/>
  <c r="F160" i="2"/>
  <c r="D39" i="8" s="1"/>
  <c r="D160" i="2"/>
  <c r="B39" i="8" s="1"/>
  <c r="AH159" i="2"/>
  <c r="AF159" i="2"/>
  <c r="Z159" i="2"/>
  <c r="R159" i="2"/>
  <c r="Q159" i="2"/>
  <c r="AA159" i="2" s="1"/>
  <c r="P159" i="2"/>
  <c r="M159" i="2"/>
  <c r="H159" i="2"/>
  <c r="G159" i="2"/>
  <c r="F159" i="2"/>
  <c r="D159" i="2"/>
  <c r="AH158" i="2"/>
  <c r="R158" i="2"/>
  <c r="Q158" i="2"/>
  <c r="P158" i="2"/>
  <c r="M158" i="2"/>
  <c r="H158" i="2"/>
  <c r="G158" i="2"/>
  <c r="F158" i="2"/>
  <c r="D158" i="2"/>
  <c r="AH157" i="2"/>
  <c r="R157" i="2"/>
  <c r="Q157" i="2"/>
  <c r="AF157" i="2" s="1"/>
  <c r="P157" i="2"/>
  <c r="M157" i="2"/>
  <c r="H157" i="2"/>
  <c r="G157" i="2"/>
  <c r="F157" i="2"/>
  <c r="D38" i="8" s="1"/>
  <c r="D157" i="2"/>
  <c r="AH156" i="2"/>
  <c r="R156" i="2"/>
  <c r="Q156" i="2"/>
  <c r="P156" i="2"/>
  <c r="M156" i="2"/>
  <c r="H156" i="2"/>
  <c r="G156" i="2"/>
  <c r="F156" i="2"/>
  <c r="D156" i="2"/>
  <c r="AH155" i="2"/>
  <c r="R155" i="2"/>
  <c r="Q155" i="2"/>
  <c r="P155" i="2"/>
  <c r="M155" i="2"/>
  <c r="H155" i="2"/>
  <c r="G155" i="2"/>
  <c r="F155" i="2"/>
  <c r="D155" i="2"/>
  <c r="AH154" i="2"/>
  <c r="R154" i="2"/>
  <c r="Q154" i="2"/>
  <c r="P154" i="2"/>
  <c r="M154" i="2"/>
  <c r="H154" i="2"/>
  <c r="G154" i="2"/>
  <c r="F154" i="2"/>
  <c r="D154" i="2"/>
  <c r="AH153" i="2"/>
  <c r="R153" i="2"/>
  <c r="Q153" i="2"/>
  <c r="Y153" i="2" s="1"/>
  <c r="P153" i="2"/>
  <c r="M153" i="2"/>
  <c r="H153" i="2"/>
  <c r="G153" i="2"/>
  <c r="F153" i="2"/>
  <c r="D37" i="8" s="1"/>
  <c r="D153" i="2"/>
  <c r="B37" i="8" s="1"/>
  <c r="AH152" i="2"/>
  <c r="R152" i="2"/>
  <c r="Q152" i="2"/>
  <c r="P152" i="2"/>
  <c r="M152" i="2"/>
  <c r="H152" i="2"/>
  <c r="G152" i="2"/>
  <c r="F152" i="2"/>
  <c r="D152" i="2"/>
  <c r="AH151" i="2"/>
  <c r="R151" i="2"/>
  <c r="Q151" i="2"/>
  <c r="P151" i="2"/>
  <c r="M151" i="2"/>
  <c r="H151" i="2"/>
  <c r="G151" i="2"/>
  <c r="F151" i="2"/>
  <c r="D151" i="2"/>
  <c r="AH150" i="2"/>
  <c r="R150" i="2"/>
  <c r="Q150" i="2"/>
  <c r="P150" i="2"/>
  <c r="M150" i="2"/>
  <c r="H150" i="2"/>
  <c r="G150" i="2"/>
  <c r="F150" i="2"/>
  <c r="D150" i="2"/>
  <c r="AJ149" i="2"/>
  <c r="P149" i="2"/>
  <c r="M149" i="2"/>
  <c r="H149" i="2"/>
  <c r="G149" i="2"/>
  <c r="F149" i="2"/>
  <c r="D23" i="9" s="1"/>
  <c r="D149" i="2"/>
  <c r="B23" i="9" s="1"/>
  <c r="AH148" i="2"/>
  <c r="R148" i="2"/>
  <c r="Q148" i="2"/>
  <c r="P148" i="2"/>
  <c r="M148" i="2"/>
  <c r="H148" i="2"/>
  <c r="G148" i="2"/>
  <c r="F148" i="2"/>
  <c r="D148" i="2"/>
  <c r="AH147" i="2"/>
  <c r="AA147" i="2"/>
  <c r="R147" i="2"/>
  <c r="Q147" i="2"/>
  <c r="P147" i="2"/>
  <c r="M147" i="2"/>
  <c r="H147" i="2"/>
  <c r="G147" i="2"/>
  <c r="F147" i="2"/>
  <c r="D147" i="2"/>
  <c r="AH146" i="2"/>
  <c r="R146" i="2"/>
  <c r="Q146" i="2"/>
  <c r="Z146" i="2" s="1"/>
  <c r="P146" i="2"/>
  <c r="M146" i="2"/>
  <c r="H146" i="2"/>
  <c r="G146" i="2"/>
  <c r="F146" i="2"/>
  <c r="D36" i="8" s="1"/>
  <c r="D146" i="2"/>
  <c r="AH145" i="2"/>
  <c r="R145" i="2"/>
  <c r="Q145" i="2"/>
  <c r="P145" i="2"/>
  <c r="M145" i="2"/>
  <c r="H145" i="2"/>
  <c r="G145" i="2"/>
  <c r="F145" i="2"/>
  <c r="D145" i="2"/>
  <c r="AH144" i="2"/>
  <c r="R144" i="2"/>
  <c r="Q144" i="2"/>
  <c r="P144" i="2"/>
  <c r="M144" i="2"/>
  <c r="H144" i="2"/>
  <c r="G144" i="2"/>
  <c r="F144" i="2"/>
  <c r="D144" i="2"/>
  <c r="AH143" i="2"/>
  <c r="R143" i="2"/>
  <c r="Q143" i="2"/>
  <c r="AA143" i="2" s="1"/>
  <c r="P143" i="2"/>
  <c r="M143" i="2"/>
  <c r="H143" i="2"/>
  <c r="G143" i="2"/>
  <c r="F143" i="2"/>
  <c r="D143" i="2"/>
  <c r="AH142" i="2"/>
  <c r="R142" i="2"/>
  <c r="Q142" i="2"/>
  <c r="P142" i="2"/>
  <c r="M142" i="2"/>
  <c r="H142" i="2"/>
  <c r="G142" i="2"/>
  <c r="F142" i="2"/>
  <c r="D142" i="2"/>
  <c r="AH141" i="2"/>
  <c r="R141" i="2"/>
  <c r="Q141" i="2"/>
  <c r="AD141" i="2" s="1"/>
  <c r="P141" i="2"/>
  <c r="AC141" i="2" s="1"/>
  <c r="M141" i="2"/>
  <c r="H141" i="2"/>
  <c r="G141" i="2"/>
  <c r="F141" i="2"/>
  <c r="D141" i="2"/>
  <c r="AH140" i="2"/>
  <c r="R140" i="2"/>
  <c r="Q140" i="2"/>
  <c r="AA140" i="2" s="1"/>
  <c r="P140" i="2"/>
  <c r="S140" i="2" s="1"/>
  <c r="M140" i="2"/>
  <c r="H140" i="2"/>
  <c r="G140" i="2"/>
  <c r="F140" i="2"/>
  <c r="D140" i="2"/>
  <c r="AH139" i="2"/>
  <c r="R139" i="2"/>
  <c r="Q139" i="2"/>
  <c r="AB139" i="2" s="1"/>
  <c r="P139" i="2"/>
  <c r="M139" i="2"/>
  <c r="H139" i="2"/>
  <c r="G139" i="2"/>
  <c r="F139" i="2"/>
  <c r="D35" i="8" s="1"/>
  <c r="D139" i="2"/>
  <c r="B35" i="8" s="1"/>
  <c r="AH138" i="2"/>
  <c r="R138" i="2"/>
  <c r="Q138" i="2"/>
  <c r="P138" i="2"/>
  <c r="M138" i="2"/>
  <c r="H138" i="2"/>
  <c r="G138" i="2"/>
  <c r="F138" i="2"/>
  <c r="D32" i="8" s="1"/>
  <c r="D138" i="2"/>
  <c r="B32" i="8" s="1"/>
  <c r="AH137" i="2"/>
  <c r="R137" i="2"/>
  <c r="Q137" i="2"/>
  <c r="Y137" i="2" s="1"/>
  <c r="P137" i="2"/>
  <c r="M137" i="2"/>
  <c r="H137" i="2"/>
  <c r="G137" i="2"/>
  <c r="F137" i="2"/>
  <c r="D137" i="2"/>
  <c r="AH136" i="2"/>
  <c r="R136" i="2"/>
  <c r="Q136" i="2"/>
  <c r="P136" i="2"/>
  <c r="M136" i="2"/>
  <c r="H136" i="2"/>
  <c r="G136" i="2"/>
  <c r="F136" i="2"/>
  <c r="D34" i="8" s="1"/>
  <c r="D136" i="2"/>
  <c r="AH135" i="2"/>
  <c r="R135" i="2"/>
  <c r="Q135" i="2"/>
  <c r="P135" i="2"/>
  <c r="M135" i="2"/>
  <c r="H135" i="2"/>
  <c r="G135" i="2"/>
  <c r="F135" i="2"/>
  <c r="D135" i="2"/>
  <c r="AH134" i="2"/>
  <c r="R134" i="2"/>
  <c r="Q134" i="2"/>
  <c r="P134" i="2"/>
  <c r="M134" i="2"/>
  <c r="H134" i="2"/>
  <c r="G134" i="2"/>
  <c r="F134" i="2"/>
  <c r="D134" i="2"/>
  <c r="AH133" i="2"/>
  <c r="R133" i="2"/>
  <c r="Q133" i="2"/>
  <c r="P133" i="2"/>
  <c r="M133" i="2"/>
  <c r="H133" i="2"/>
  <c r="G133" i="2"/>
  <c r="F133" i="2"/>
  <c r="D133" i="2"/>
  <c r="AH132" i="2"/>
  <c r="R132" i="2"/>
  <c r="Q132" i="2"/>
  <c r="P132" i="2"/>
  <c r="M132" i="2"/>
  <c r="H132" i="2"/>
  <c r="G132" i="2"/>
  <c r="F132" i="2"/>
  <c r="D33" i="8" s="1"/>
  <c r="D132" i="2"/>
  <c r="B33" i="8" s="1"/>
  <c r="AH131" i="2"/>
  <c r="R131" i="2"/>
  <c r="Q131" i="2"/>
  <c r="AD131" i="2" s="1"/>
  <c r="P131" i="2"/>
  <c r="M131" i="2"/>
  <c r="H131" i="2"/>
  <c r="G131" i="2"/>
  <c r="F131" i="2"/>
  <c r="D131" i="2"/>
  <c r="AH130" i="2"/>
  <c r="R130" i="2"/>
  <c r="Q130" i="2"/>
  <c r="AA130" i="2" s="1"/>
  <c r="P130" i="2"/>
  <c r="M130" i="2"/>
  <c r="H130" i="2"/>
  <c r="G130" i="2"/>
  <c r="F130" i="2"/>
  <c r="D31" i="8" s="1"/>
  <c r="D130" i="2"/>
  <c r="B31" i="8" s="1"/>
  <c r="AH129" i="2"/>
  <c r="R129" i="2"/>
  <c r="Q129" i="2"/>
  <c r="P129" i="2"/>
  <c r="M129" i="2"/>
  <c r="H129" i="2"/>
  <c r="G129" i="2"/>
  <c r="F129" i="2"/>
  <c r="D27" i="8" s="1"/>
  <c r="D129" i="2"/>
  <c r="AH128" i="2"/>
  <c r="R128" i="2"/>
  <c r="Q128" i="2"/>
  <c r="P128" i="2"/>
  <c r="X128" i="2" s="1"/>
  <c r="M128" i="2"/>
  <c r="H128" i="2"/>
  <c r="G128" i="2"/>
  <c r="F128" i="2"/>
  <c r="D128" i="2"/>
  <c r="AH127" i="2"/>
  <c r="R127" i="2"/>
  <c r="Q127" i="2"/>
  <c r="AA127" i="2" s="1"/>
  <c r="P127" i="2"/>
  <c r="M127" i="2"/>
  <c r="H127" i="2"/>
  <c r="G127" i="2"/>
  <c r="F127" i="2"/>
  <c r="D127" i="2"/>
  <c r="AH126" i="2"/>
  <c r="R126" i="2"/>
  <c r="Q126" i="2"/>
  <c r="Y126" i="2" s="1"/>
  <c r="P126" i="2"/>
  <c r="M126" i="2"/>
  <c r="H126" i="2"/>
  <c r="G126" i="2"/>
  <c r="F126" i="2"/>
  <c r="D30" i="8" s="1"/>
  <c r="D126" i="2"/>
  <c r="AH125" i="2"/>
  <c r="R125" i="2"/>
  <c r="Q125" i="2"/>
  <c r="Y125" i="2" s="1"/>
  <c r="P125" i="2"/>
  <c r="AC125" i="2" s="1"/>
  <c r="M125" i="2"/>
  <c r="H125" i="2"/>
  <c r="G125" i="2"/>
  <c r="F125" i="2"/>
  <c r="D125" i="2"/>
  <c r="AH124" i="2"/>
  <c r="R124" i="2"/>
  <c r="Q124" i="2"/>
  <c r="Y124" i="2" s="1"/>
  <c r="P124" i="2"/>
  <c r="M124" i="2"/>
  <c r="H124" i="2"/>
  <c r="G124" i="2"/>
  <c r="F124" i="2"/>
  <c r="D124" i="2"/>
  <c r="AJ123" i="2"/>
  <c r="P123" i="2"/>
  <c r="M123" i="2"/>
  <c r="H123" i="2"/>
  <c r="G123" i="2"/>
  <c r="F123" i="2"/>
  <c r="D20" i="9" s="1"/>
  <c r="D123" i="2"/>
  <c r="B20" i="9" s="1"/>
  <c r="AH122" i="2"/>
  <c r="R122" i="2"/>
  <c r="Q122" i="2"/>
  <c r="Z122" i="2" s="1"/>
  <c r="P122" i="2"/>
  <c r="M122" i="2"/>
  <c r="H122" i="2"/>
  <c r="G122" i="2"/>
  <c r="F122" i="2"/>
  <c r="D122" i="2"/>
  <c r="AH121" i="2"/>
  <c r="AG121" i="2"/>
  <c r="AD121" i="2"/>
  <c r="R121" i="2"/>
  <c r="Q121" i="2"/>
  <c r="AB121" i="2" s="1"/>
  <c r="P121" i="2"/>
  <c r="M121" i="2"/>
  <c r="H121" i="2"/>
  <c r="G121" i="2"/>
  <c r="F121" i="2"/>
  <c r="D121" i="2"/>
  <c r="AH120" i="2"/>
  <c r="Y120" i="2"/>
  <c r="R120" i="2"/>
  <c r="Q120" i="2"/>
  <c r="AA120" i="2" s="1"/>
  <c r="P120" i="2"/>
  <c r="M120" i="2"/>
  <c r="H120" i="2"/>
  <c r="G120" i="2"/>
  <c r="F120" i="2"/>
  <c r="D120" i="2"/>
  <c r="AH119" i="2"/>
  <c r="R119" i="2"/>
  <c r="Q119" i="2"/>
  <c r="V119" i="2" s="1"/>
  <c r="P119" i="2"/>
  <c r="M119" i="2"/>
  <c r="H119" i="2"/>
  <c r="G119" i="2"/>
  <c r="F119" i="2"/>
  <c r="D25" i="8" s="1"/>
  <c r="D119" i="2"/>
  <c r="B25" i="8" s="1"/>
  <c r="AH118" i="2"/>
  <c r="R118" i="2"/>
  <c r="Q118" i="2"/>
  <c r="Z118" i="2" s="1"/>
  <c r="P118" i="2"/>
  <c r="M118" i="2"/>
  <c r="H118" i="2"/>
  <c r="G118" i="2"/>
  <c r="F118" i="2"/>
  <c r="D28" i="8" s="1"/>
  <c r="D118" i="2"/>
  <c r="AH117" i="2"/>
  <c r="R117" i="2"/>
  <c r="Q117" i="2"/>
  <c r="AB117" i="2" s="1"/>
  <c r="P117" i="2"/>
  <c r="M117" i="2"/>
  <c r="H117" i="2"/>
  <c r="G117" i="2"/>
  <c r="F117" i="2"/>
  <c r="D117" i="2"/>
  <c r="AJ116" i="2"/>
  <c r="AN116" i="2" s="1"/>
  <c r="P116" i="2"/>
  <c r="AK116" i="2" s="1"/>
  <c r="M116" i="2"/>
  <c r="H116" i="2"/>
  <c r="G116" i="2"/>
  <c r="F116" i="2"/>
  <c r="D19" i="9" s="1"/>
  <c r="D116" i="2"/>
  <c r="B19" i="9" s="1"/>
  <c r="AH115" i="2"/>
  <c r="R115" i="2"/>
  <c r="Q115" i="2"/>
  <c r="P115" i="2"/>
  <c r="M115" i="2"/>
  <c r="H115" i="2"/>
  <c r="G115" i="2"/>
  <c r="F115" i="2"/>
  <c r="D115" i="2"/>
  <c r="AH114" i="2"/>
  <c r="R114" i="2"/>
  <c r="Q114" i="2"/>
  <c r="P114" i="2"/>
  <c r="M114" i="2"/>
  <c r="H114" i="2"/>
  <c r="G114" i="2"/>
  <c r="F114" i="2"/>
  <c r="D114" i="2"/>
  <c r="AM113" i="2"/>
  <c r="AJ113" i="2"/>
  <c r="AN113" i="2" s="1"/>
  <c r="P113" i="2"/>
  <c r="M113" i="2"/>
  <c r="H113" i="2"/>
  <c r="G113" i="2"/>
  <c r="F113" i="2"/>
  <c r="D18" i="9" s="1"/>
  <c r="D113" i="2"/>
  <c r="B18" i="9" s="1"/>
  <c r="AH112" i="2"/>
  <c r="R112" i="2"/>
  <c r="Q112" i="2"/>
  <c r="P112" i="2"/>
  <c r="M112" i="2"/>
  <c r="H112" i="2"/>
  <c r="G112" i="2"/>
  <c r="F112" i="2"/>
  <c r="D112" i="2"/>
  <c r="AH111" i="2"/>
  <c r="R111" i="2"/>
  <c r="Q111" i="2"/>
  <c r="P111" i="2"/>
  <c r="M111" i="2"/>
  <c r="H111" i="2"/>
  <c r="G111" i="2"/>
  <c r="F111" i="2"/>
  <c r="D111" i="2"/>
  <c r="AH110" i="2"/>
  <c r="R110" i="2"/>
  <c r="Q110" i="2"/>
  <c r="P110" i="2"/>
  <c r="M110" i="2"/>
  <c r="H110" i="2"/>
  <c r="G110" i="2"/>
  <c r="F110" i="2"/>
  <c r="D110" i="2"/>
  <c r="AH109" i="2"/>
  <c r="R109" i="2"/>
  <c r="Q109" i="2"/>
  <c r="P109" i="2"/>
  <c r="M109" i="2"/>
  <c r="H109" i="2"/>
  <c r="G109" i="2"/>
  <c r="F109" i="2"/>
  <c r="D29" i="8" s="1"/>
  <c r="D109" i="2"/>
  <c r="AJ108" i="2"/>
  <c r="P108" i="2"/>
  <c r="M108" i="2"/>
  <c r="H108" i="2"/>
  <c r="G108" i="2"/>
  <c r="F108" i="2"/>
  <c r="D17" i="9" s="1"/>
  <c r="D108" i="2"/>
  <c r="AJ107" i="2"/>
  <c r="P107" i="2"/>
  <c r="M107" i="2"/>
  <c r="H107" i="2"/>
  <c r="G107" i="2"/>
  <c r="F107" i="2"/>
  <c r="D16" i="9" s="1"/>
  <c r="D107" i="2"/>
  <c r="B16" i="9" s="1"/>
  <c r="AH106" i="2"/>
  <c r="R106" i="2"/>
  <c r="Q106" i="2"/>
  <c r="P106" i="2"/>
  <c r="M106" i="2"/>
  <c r="H106" i="2"/>
  <c r="G106" i="2"/>
  <c r="F106" i="2"/>
  <c r="D106" i="2"/>
  <c r="AH105" i="2"/>
  <c r="R105" i="2"/>
  <c r="Q105" i="2"/>
  <c r="P105" i="2"/>
  <c r="M105" i="2"/>
  <c r="H105" i="2"/>
  <c r="G105" i="2"/>
  <c r="F105" i="2"/>
  <c r="D105" i="2"/>
  <c r="AH104" i="2"/>
  <c r="R104" i="2"/>
  <c r="Q104" i="2"/>
  <c r="P104" i="2"/>
  <c r="M104" i="2"/>
  <c r="H104" i="2"/>
  <c r="G104" i="2"/>
  <c r="F104" i="2"/>
  <c r="D104" i="2"/>
  <c r="AJ103" i="2"/>
  <c r="P103" i="2"/>
  <c r="M103" i="2"/>
  <c r="H103" i="2"/>
  <c r="G103" i="2"/>
  <c r="F103" i="2"/>
  <c r="D21" i="9" s="1"/>
  <c r="D103" i="2"/>
  <c r="AH102" i="2"/>
  <c r="R102" i="2"/>
  <c r="Q102" i="2"/>
  <c r="AA102" i="2" s="1"/>
  <c r="P102" i="2"/>
  <c r="M102" i="2"/>
  <c r="H102" i="2"/>
  <c r="G102" i="2"/>
  <c r="F102" i="2"/>
  <c r="D102" i="2"/>
  <c r="AH101" i="2"/>
  <c r="R101" i="2"/>
  <c r="Q101" i="2"/>
  <c r="Z101" i="2" s="1"/>
  <c r="P101" i="2"/>
  <c r="M101" i="2"/>
  <c r="H101" i="2"/>
  <c r="G101" i="2"/>
  <c r="F101" i="2"/>
  <c r="D101" i="2"/>
  <c r="AH100" i="2"/>
  <c r="R100" i="2"/>
  <c r="Q100" i="2"/>
  <c r="Z100" i="2" s="1"/>
  <c r="P100" i="2"/>
  <c r="M100" i="2"/>
  <c r="H100" i="2"/>
  <c r="G100" i="2"/>
  <c r="F100" i="2"/>
  <c r="D100" i="2"/>
  <c r="AJ99" i="2"/>
  <c r="P99" i="2"/>
  <c r="M99" i="2"/>
  <c r="H99" i="2"/>
  <c r="G99" i="2"/>
  <c r="F99" i="2"/>
  <c r="D14" i="9" s="1"/>
  <c r="D99" i="2"/>
  <c r="B14" i="9" s="1"/>
  <c r="AH98" i="2"/>
  <c r="R98" i="2"/>
  <c r="Q98" i="2"/>
  <c r="P98" i="2"/>
  <c r="M98" i="2"/>
  <c r="H98" i="2"/>
  <c r="G98" i="2"/>
  <c r="F98" i="2"/>
  <c r="D24" i="8" s="1"/>
  <c r="D98" i="2"/>
  <c r="B24" i="8" s="1"/>
  <c r="AH97" i="2"/>
  <c r="R97" i="2"/>
  <c r="Q97" i="2"/>
  <c r="AD97" i="2" s="1"/>
  <c r="P97" i="2"/>
  <c r="M97" i="2"/>
  <c r="H97" i="2"/>
  <c r="G97" i="2"/>
  <c r="F97" i="2"/>
  <c r="D97" i="2"/>
  <c r="AH96" i="2"/>
  <c r="R96" i="2"/>
  <c r="Q96" i="2"/>
  <c r="AD96" i="2" s="1"/>
  <c r="P96" i="2"/>
  <c r="M96" i="2"/>
  <c r="H96" i="2"/>
  <c r="G96" i="2"/>
  <c r="F96" i="2"/>
  <c r="D96" i="2"/>
  <c r="AH95" i="2"/>
  <c r="R95" i="2"/>
  <c r="Q95" i="2"/>
  <c r="AB95" i="2" s="1"/>
  <c r="P95" i="2"/>
  <c r="M95" i="2"/>
  <c r="H95" i="2"/>
  <c r="G95" i="2"/>
  <c r="F95" i="2"/>
  <c r="D20" i="8" s="1"/>
  <c r="D95" i="2"/>
  <c r="B20" i="8" s="1"/>
  <c r="AH94" i="2"/>
  <c r="R94" i="2"/>
  <c r="Q94" i="2"/>
  <c r="P94" i="2"/>
  <c r="M94" i="2"/>
  <c r="H94" i="2"/>
  <c r="G94" i="2"/>
  <c r="F94" i="2"/>
  <c r="D26" i="8" s="1"/>
  <c r="D94" i="2"/>
  <c r="AH93" i="2"/>
  <c r="R93" i="2"/>
  <c r="Q93" i="2"/>
  <c r="Z93" i="2" s="1"/>
  <c r="P93" i="2"/>
  <c r="M93" i="2"/>
  <c r="H93" i="2"/>
  <c r="G93" i="2"/>
  <c r="F93" i="2"/>
  <c r="D19" i="8" s="1"/>
  <c r="D93" i="2"/>
  <c r="AJ92" i="2"/>
  <c r="P92" i="2"/>
  <c r="M92" i="2"/>
  <c r="H92" i="2"/>
  <c r="G92" i="2"/>
  <c r="F92" i="2"/>
  <c r="D15" i="9" s="1"/>
  <c r="D92" i="2"/>
  <c r="B15" i="9" s="1"/>
  <c r="AH91" i="2"/>
  <c r="AB91" i="2"/>
  <c r="AA91" i="2"/>
  <c r="R91" i="2"/>
  <c r="Q91" i="2"/>
  <c r="P91" i="2"/>
  <c r="M91" i="2"/>
  <c r="H91" i="2"/>
  <c r="G91" i="2"/>
  <c r="F91" i="2"/>
  <c r="D91" i="2"/>
  <c r="AH90" i="2"/>
  <c r="R90" i="2"/>
  <c r="Q90" i="2"/>
  <c r="AD90" i="2" s="1"/>
  <c r="P90" i="2"/>
  <c r="M90" i="2"/>
  <c r="H90" i="2"/>
  <c r="G90" i="2"/>
  <c r="F90" i="2"/>
  <c r="D23" i="8" s="1"/>
  <c r="D90" i="2"/>
  <c r="B23" i="8" s="1"/>
  <c r="AM89" i="2"/>
  <c r="AJ89" i="2"/>
  <c r="AN89" i="2" s="1"/>
  <c r="P89" i="2"/>
  <c r="M89" i="2"/>
  <c r="H89" i="2"/>
  <c r="G89" i="2"/>
  <c r="F89" i="2"/>
  <c r="D13" i="9" s="1"/>
  <c r="D89" i="2"/>
  <c r="B13" i="9" s="1"/>
  <c r="AH88" i="2"/>
  <c r="Y88" i="2"/>
  <c r="R88" i="2"/>
  <c r="Q88" i="2"/>
  <c r="P88" i="2"/>
  <c r="M88" i="2"/>
  <c r="H88" i="2"/>
  <c r="G88" i="2"/>
  <c r="F88" i="2"/>
  <c r="D88" i="2"/>
  <c r="AH86" i="2"/>
  <c r="R86" i="2"/>
  <c r="Q86" i="2"/>
  <c r="P86" i="2"/>
  <c r="M86" i="2"/>
  <c r="H86" i="2"/>
  <c r="G86" i="2"/>
  <c r="F86" i="2"/>
  <c r="D86" i="2"/>
  <c r="AH87" i="2"/>
  <c r="R87" i="2"/>
  <c r="Q87" i="2"/>
  <c r="AF87" i="2" s="1"/>
  <c r="P87" i="2"/>
  <c r="M87" i="2"/>
  <c r="H87" i="2"/>
  <c r="G87" i="2"/>
  <c r="F87" i="2"/>
  <c r="D87" i="2"/>
  <c r="AH85" i="2"/>
  <c r="R85" i="2"/>
  <c r="Q85" i="2"/>
  <c r="AA85" i="2" s="1"/>
  <c r="P85" i="2"/>
  <c r="M85" i="2"/>
  <c r="H85" i="2"/>
  <c r="G85" i="2"/>
  <c r="F85" i="2"/>
  <c r="D18" i="8" s="1"/>
  <c r="D85" i="2"/>
  <c r="AH84" i="2"/>
  <c r="R84" i="2"/>
  <c r="Q84" i="2"/>
  <c r="AD84" i="2" s="1"/>
  <c r="P84" i="2"/>
  <c r="M84" i="2"/>
  <c r="H84" i="2"/>
  <c r="G84" i="2"/>
  <c r="F84" i="2"/>
  <c r="D22" i="8" s="1"/>
  <c r="D84" i="2"/>
  <c r="AH83" i="2"/>
  <c r="R83" i="2"/>
  <c r="Q83" i="2"/>
  <c r="AA83" i="2" s="1"/>
  <c r="P83" i="2"/>
  <c r="M83" i="2"/>
  <c r="H83" i="2"/>
  <c r="G83" i="2"/>
  <c r="F83" i="2"/>
  <c r="D83" i="2"/>
  <c r="AH82" i="2"/>
  <c r="R82" i="2"/>
  <c r="Q82" i="2"/>
  <c r="P82" i="2"/>
  <c r="M82" i="2"/>
  <c r="H82" i="2"/>
  <c r="G82" i="2"/>
  <c r="F82" i="2"/>
  <c r="D16" i="8" s="1"/>
  <c r="D82" i="2"/>
  <c r="B16" i="8" s="1"/>
  <c r="AH81" i="2"/>
  <c r="R81" i="2"/>
  <c r="Q81" i="2"/>
  <c r="AA81" i="2" s="1"/>
  <c r="P81" i="2"/>
  <c r="M81" i="2"/>
  <c r="H81" i="2"/>
  <c r="G81" i="2"/>
  <c r="F81" i="2"/>
  <c r="D21" i="8" s="1"/>
  <c r="D81" i="2"/>
  <c r="B21" i="8" s="1"/>
  <c r="AH80" i="2"/>
  <c r="R80" i="2"/>
  <c r="Q80" i="2"/>
  <c r="AF80" i="2" s="1"/>
  <c r="P80" i="2"/>
  <c r="M80" i="2"/>
  <c r="H80" i="2"/>
  <c r="G80" i="2"/>
  <c r="F80" i="2"/>
  <c r="D17" i="8" s="1"/>
  <c r="D80" i="2"/>
  <c r="B17" i="8" s="1"/>
  <c r="AH79" i="2"/>
  <c r="R79" i="2"/>
  <c r="Q79" i="2"/>
  <c r="AF79" i="2" s="1"/>
  <c r="P79" i="2"/>
  <c r="M79" i="2"/>
  <c r="H79" i="2"/>
  <c r="G79" i="2"/>
  <c r="F79" i="2"/>
  <c r="D79" i="2"/>
  <c r="AH78" i="2"/>
  <c r="R78" i="2"/>
  <c r="Q78" i="2"/>
  <c r="AG78" i="2" s="1"/>
  <c r="P78" i="2"/>
  <c r="S78" i="2" s="1"/>
  <c r="M78" i="2"/>
  <c r="H78" i="2"/>
  <c r="G78" i="2"/>
  <c r="F78" i="2"/>
  <c r="D78" i="2"/>
  <c r="AH77" i="2"/>
  <c r="R77" i="2"/>
  <c r="Q77" i="2"/>
  <c r="AA77" i="2" s="1"/>
  <c r="P77" i="2"/>
  <c r="M77" i="2"/>
  <c r="H77" i="2"/>
  <c r="G77" i="2"/>
  <c r="F77" i="2"/>
  <c r="D77" i="2"/>
  <c r="AH76" i="2"/>
  <c r="R76" i="2"/>
  <c r="Q76" i="2"/>
  <c r="Y76" i="2" s="1"/>
  <c r="P76" i="2"/>
  <c r="M76" i="2"/>
  <c r="H76" i="2"/>
  <c r="G76" i="2"/>
  <c r="F76" i="2"/>
  <c r="D76" i="2"/>
  <c r="AH75" i="2"/>
  <c r="R75" i="2"/>
  <c r="Q75" i="2"/>
  <c r="AB75" i="2" s="1"/>
  <c r="P75" i="2"/>
  <c r="M75" i="2"/>
  <c r="H75" i="2"/>
  <c r="G75" i="2"/>
  <c r="F75" i="2"/>
  <c r="D75" i="2"/>
  <c r="AH74" i="2"/>
  <c r="R74" i="2"/>
  <c r="Q74" i="2"/>
  <c r="AB74" i="2" s="1"/>
  <c r="P74" i="2"/>
  <c r="M74" i="2"/>
  <c r="H74" i="2"/>
  <c r="G74" i="2"/>
  <c r="F74" i="2"/>
  <c r="D74" i="2"/>
  <c r="AH73" i="2"/>
  <c r="R73" i="2"/>
  <c r="Q73" i="2"/>
  <c r="AF73" i="2" s="1"/>
  <c r="P73" i="2"/>
  <c r="M73" i="2"/>
  <c r="H73" i="2"/>
  <c r="G73" i="2"/>
  <c r="F73" i="2"/>
  <c r="D73" i="2"/>
  <c r="AH72" i="2"/>
  <c r="R72" i="2"/>
  <c r="Q72" i="2"/>
  <c r="P72" i="2"/>
  <c r="M72" i="2"/>
  <c r="H72" i="2"/>
  <c r="G72" i="2"/>
  <c r="F72" i="2"/>
  <c r="D72" i="2"/>
  <c r="AH71" i="2"/>
  <c r="R71" i="2"/>
  <c r="Q71" i="2"/>
  <c r="AF71" i="2" s="1"/>
  <c r="P71" i="2"/>
  <c r="M71" i="2"/>
  <c r="H71" i="2"/>
  <c r="G71" i="2"/>
  <c r="F71" i="2"/>
  <c r="D71" i="2"/>
  <c r="AH70" i="2"/>
  <c r="AA70" i="2"/>
  <c r="R70" i="2"/>
  <c r="Q70" i="2"/>
  <c r="AC70" i="2" s="1"/>
  <c r="P70" i="2"/>
  <c r="M70" i="2"/>
  <c r="H70" i="2"/>
  <c r="G70" i="2"/>
  <c r="F70" i="2"/>
  <c r="D70" i="2"/>
  <c r="AH69" i="2"/>
  <c r="R69" i="2"/>
  <c r="Q69" i="2"/>
  <c r="AA69" i="2" s="1"/>
  <c r="P69" i="2"/>
  <c r="M69" i="2"/>
  <c r="H69" i="2"/>
  <c r="G69" i="2"/>
  <c r="F69" i="2"/>
  <c r="D69" i="2"/>
  <c r="AH68" i="2"/>
  <c r="R68" i="2"/>
  <c r="Q68" i="2"/>
  <c r="AF68" i="2" s="1"/>
  <c r="P68" i="2"/>
  <c r="M68" i="2"/>
  <c r="H68" i="2"/>
  <c r="G68" i="2"/>
  <c r="F68" i="2"/>
  <c r="D68" i="2"/>
  <c r="AH67" i="2"/>
  <c r="R67" i="2"/>
  <c r="Q67" i="2"/>
  <c r="P67" i="2"/>
  <c r="M67" i="2"/>
  <c r="H67" i="2"/>
  <c r="G67" i="2"/>
  <c r="F67" i="2"/>
  <c r="D67" i="2"/>
  <c r="AH66" i="2"/>
  <c r="R66" i="2"/>
  <c r="Q66" i="2"/>
  <c r="AB66" i="2" s="1"/>
  <c r="P66" i="2"/>
  <c r="M66" i="2"/>
  <c r="H66" i="2"/>
  <c r="G66" i="2"/>
  <c r="F66" i="2"/>
  <c r="D12" i="8" s="1"/>
  <c r="D66" i="2"/>
  <c r="AH65" i="2"/>
  <c r="R65" i="2"/>
  <c r="Q65" i="2"/>
  <c r="AA65" i="2" s="1"/>
  <c r="P65" i="2"/>
  <c r="M65" i="2"/>
  <c r="H65" i="2"/>
  <c r="G65" i="2"/>
  <c r="F65" i="2"/>
  <c r="D65" i="2"/>
  <c r="AJ64" i="2"/>
  <c r="P64" i="2"/>
  <c r="M64" i="2"/>
  <c r="H64" i="2"/>
  <c r="G64" i="2"/>
  <c r="F64" i="2"/>
  <c r="D11" i="9" s="1"/>
  <c r="D64" i="2"/>
  <c r="AH63" i="2"/>
  <c r="R63" i="2"/>
  <c r="Q63" i="2"/>
  <c r="AB63" i="2" s="1"/>
  <c r="P63" i="2"/>
  <c r="M63" i="2"/>
  <c r="H63" i="2"/>
  <c r="G63" i="2"/>
  <c r="F63" i="2"/>
  <c r="D13" i="8" s="1"/>
  <c r="D63" i="2"/>
  <c r="AJ62" i="2"/>
  <c r="P62" i="2"/>
  <c r="M62" i="2"/>
  <c r="H62" i="2"/>
  <c r="G62" i="2"/>
  <c r="F62" i="2"/>
  <c r="D10" i="9" s="1"/>
  <c r="D62" i="2"/>
  <c r="AH61" i="2"/>
  <c r="R61" i="2"/>
  <c r="Q61" i="2"/>
  <c r="AF61" i="2" s="1"/>
  <c r="P61" i="2"/>
  <c r="M61" i="2"/>
  <c r="H61" i="2"/>
  <c r="G61" i="2"/>
  <c r="F61" i="2"/>
  <c r="D61" i="2"/>
  <c r="AH60" i="2"/>
  <c r="R60" i="2"/>
  <c r="Q60" i="2"/>
  <c r="P60" i="2"/>
  <c r="M60" i="2"/>
  <c r="H60" i="2"/>
  <c r="G60" i="2"/>
  <c r="F60" i="2"/>
  <c r="D60" i="2"/>
  <c r="AH59" i="2"/>
  <c r="R59" i="2"/>
  <c r="Q59" i="2"/>
  <c r="P59" i="2"/>
  <c r="M59" i="2"/>
  <c r="H59" i="2"/>
  <c r="G59" i="2"/>
  <c r="F59" i="2"/>
  <c r="D59" i="2"/>
  <c r="AH58" i="2"/>
  <c r="R58" i="2"/>
  <c r="Q58" i="2"/>
  <c r="AA58" i="2" s="1"/>
  <c r="P58" i="2"/>
  <c r="M58" i="2"/>
  <c r="H58" i="2"/>
  <c r="G58" i="2"/>
  <c r="F58" i="2"/>
  <c r="D58" i="2"/>
  <c r="AH57" i="2"/>
  <c r="R57" i="2"/>
  <c r="Q57" i="2"/>
  <c r="Y57" i="2" s="1"/>
  <c r="P57" i="2"/>
  <c r="M57" i="2"/>
  <c r="H57" i="2"/>
  <c r="G57" i="2"/>
  <c r="F57" i="2"/>
  <c r="D57" i="2"/>
  <c r="AH56" i="2"/>
  <c r="R56" i="2"/>
  <c r="Q56" i="2"/>
  <c r="V56" i="2" s="1"/>
  <c r="P56" i="2"/>
  <c r="M56" i="2"/>
  <c r="H56" i="2"/>
  <c r="G56" i="2"/>
  <c r="F56" i="2"/>
  <c r="D56" i="2"/>
  <c r="AH55" i="2"/>
  <c r="R55" i="2"/>
  <c r="Q55" i="2"/>
  <c r="P55" i="2"/>
  <c r="M55" i="2"/>
  <c r="H55" i="2"/>
  <c r="G55" i="2"/>
  <c r="F55" i="2"/>
  <c r="D55" i="2"/>
  <c r="AH54" i="2"/>
  <c r="R54" i="2"/>
  <c r="Q54" i="2"/>
  <c r="AG54" i="2" s="1"/>
  <c r="P54" i="2"/>
  <c r="M54" i="2"/>
  <c r="H54" i="2"/>
  <c r="G54" i="2"/>
  <c r="F54" i="2"/>
  <c r="D54" i="2"/>
  <c r="AH53" i="2"/>
  <c r="R53" i="2"/>
  <c r="Q53" i="2"/>
  <c r="AG53" i="2" s="1"/>
  <c r="P53" i="2"/>
  <c r="M53" i="2"/>
  <c r="H53" i="2"/>
  <c r="G53" i="2"/>
  <c r="F53" i="2"/>
  <c r="D15" i="8" s="1"/>
  <c r="D53" i="2"/>
  <c r="AH52" i="2"/>
  <c r="R52" i="2"/>
  <c r="Q52" i="2"/>
  <c r="Y52" i="2" s="1"/>
  <c r="P52" i="2"/>
  <c r="M52" i="2"/>
  <c r="H52" i="2"/>
  <c r="G52" i="2"/>
  <c r="F52" i="2"/>
  <c r="D52" i="2"/>
  <c r="AJ51" i="2"/>
  <c r="P51" i="2"/>
  <c r="M51" i="2"/>
  <c r="H51" i="2"/>
  <c r="G51" i="2"/>
  <c r="F51" i="2"/>
  <c r="D12" i="9" s="1"/>
  <c r="D51" i="2"/>
  <c r="AH50" i="2"/>
  <c r="R50" i="2"/>
  <c r="Q50" i="2"/>
  <c r="P50" i="2"/>
  <c r="M50" i="2"/>
  <c r="H50" i="2"/>
  <c r="G50" i="2"/>
  <c r="F50" i="2"/>
  <c r="D50" i="2"/>
  <c r="AH49" i="2"/>
  <c r="R49" i="2"/>
  <c r="Q49" i="2"/>
  <c r="AA49" i="2" s="1"/>
  <c r="P49" i="2"/>
  <c r="M49" i="2"/>
  <c r="H49" i="2"/>
  <c r="G49" i="2"/>
  <c r="F49" i="2"/>
  <c r="D49" i="2"/>
  <c r="AJ48" i="2"/>
  <c r="P48" i="2"/>
  <c r="M48" i="2"/>
  <c r="H48" i="2"/>
  <c r="G48" i="2"/>
  <c r="F48" i="2"/>
  <c r="D9" i="9" s="1"/>
  <c r="D48" i="2"/>
  <c r="B9" i="9" s="1"/>
  <c r="AH47" i="2"/>
  <c r="R47" i="2"/>
  <c r="Q47" i="2"/>
  <c r="AB47" i="2" s="1"/>
  <c r="P47" i="2"/>
  <c r="M47" i="2"/>
  <c r="H47" i="2"/>
  <c r="G47" i="2"/>
  <c r="F47" i="2"/>
  <c r="D11" i="8" s="1"/>
  <c r="D47" i="2"/>
  <c r="B11" i="8" s="1"/>
  <c r="AH46" i="2"/>
  <c r="R46" i="2"/>
  <c r="Q46" i="2"/>
  <c r="AG46" i="2" s="1"/>
  <c r="P46" i="2"/>
  <c r="X46" i="2" s="1"/>
  <c r="M46" i="2"/>
  <c r="H46" i="2"/>
  <c r="G46" i="2"/>
  <c r="F46" i="2"/>
  <c r="D46" i="2"/>
  <c r="AH45" i="2"/>
  <c r="R45" i="2"/>
  <c r="Q45" i="2"/>
  <c r="AG45" i="2" s="1"/>
  <c r="P45" i="2"/>
  <c r="W45" i="2" s="1"/>
  <c r="M45" i="2"/>
  <c r="H45" i="2"/>
  <c r="G45" i="2"/>
  <c r="F45" i="2"/>
  <c r="D45" i="2"/>
  <c r="AH44" i="2"/>
  <c r="AG44" i="2"/>
  <c r="R44" i="2"/>
  <c r="Q44" i="2"/>
  <c r="Y44" i="2" s="1"/>
  <c r="P44" i="2"/>
  <c r="M44" i="2"/>
  <c r="H44" i="2"/>
  <c r="G44" i="2"/>
  <c r="F44" i="2"/>
  <c r="D44" i="2"/>
  <c r="AH43" i="2"/>
  <c r="R43" i="2"/>
  <c r="Q43" i="2"/>
  <c r="AB43" i="2" s="1"/>
  <c r="P43" i="2"/>
  <c r="M43" i="2"/>
  <c r="H43" i="2"/>
  <c r="G43" i="2"/>
  <c r="F43" i="2"/>
  <c r="D43" i="2"/>
  <c r="AH42" i="2"/>
  <c r="R42" i="2"/>
  <c r="Q42" i="2"/>
  <c r="P42" i="2"/>
  <c r="M42" i="2"/>
  <c r="H42" i="2"/>
  <c r="G42" i="2"/>
  <c r="F42" i="2"/>
  <c r="D42" i="2"/>
  <c r="AH41" i="2"/>
  <c r="R41" i="2"/>
  <c r="Q41" i="2"/>
  <c r="AD41" i="2" s="1"/>
  <c r="P41" i="2"/>
  <c r="M41" i="2"/>
  <c r="H41" i="2"/>
  <c r="G41" i="2"/>
  <c r="F41" i="2"/>
  <c r="D41" i="2"/>
  <c r="AH40" i="2"/>
  <c r="R40" i="2"/>
  <c r="Q40" i="2"/>
  <c r="AD40" i="2" s="1"/>
  <c r="P40" i="2"/>
  <c r="M40" i="2"/>
  <c r="H40" i="2"/>
  <c r="G40" i="2"/>
  <c r="F40" i="2"/>
  <c r="D40" i="2"/>
  <c r="AH39" i="2"/>
  <c r="R39" i="2"/>
  <c r="Q39" i="2"/>
  <c r="Z39" i="2" s="1"/>
  <c r="P39" i="2"/>
  <c r="M39" i="2"/>
  <c r="H39" i="2"/>
  <c r="G39" i="2"/>
  <c r="F39" i="2"/>
  <c r="D39" i="2"/>
  <c r="AH38" i="2"/>
  <c r="R38" i="2"/>
  <c r="Q38" i="2"/>
  <c r="AA38" i="2" s="1"/>
  <c r="P38" i="2"/>
  <c r="M38" i="2"/>
  <c r="H38" i="2"/>
  <c r="G38" i="2"/>
  <c r="F38" i="2"/>
  <c r="D14" i="8" s="1"/>
  <c r="D38" i="2"/>
  <c r="B14" i="8" s="1"/>
  <c r="AH37" i="2"/>
  <c r="R37" i="2"/>
  <c r="Q37" i="2"/>
  <c r="AB37" i="2" s="1"/>
  <c r="P37" i="2"/>
  <c r="M37" i="2"/>
  <c r="H37" i="2"/>
  <c r="G37" i="2"/>
  <c r="F37" i="2"/>
  <c r="D37" i="2"/>
  <c r="AH36" i="2"/>
  <c r="R36" i="2"/>
  <c r="Q36" i="2"/>
  <c r="P36" i="2"/>
  <c r="M36" i="2"/>
  <c r="H36" i="2"/>
  <c r="G36" i="2"/>
  <c r="F36" i="2"/>
  <c r="D36" i="2"/>
  <c r="AH35" i="2"/>
  <c r="R35" i="2"/>
  <c r="Q35" i="2"/>
  <c r="AG35" i="2" s="1"/>
  <c r="P35" i="2"/>
  <c r="M35" i="2"/>
  <c r="H35" i="2"/>
  <c r="G35" i="2"/>
  <c r="F35" i="2"/>
  <c r="D35" i="2"/>
  <c r="AH34" i="2"/>
  <c r="R34" i="2"/>
  <c r="Q34" i="2"/>
  <c r="P34" i="2"/>
  <c r="M34" i="2"/>
  <c r="H34" i="2"/>
  <c r="G34" i="2"/>
  <c r="F34" i="2"/>
  <c r="D7" i="8" s="1"/>
  <c r="D34" i="2"/>
  <c r="AH33" i="2"/>
  <c r="R33" i="2"/>
  <c r="Q33" i="2"/>
  <c r="Z33" i="2" s="1"/>
  <c r="P33" i="2"/>
  <c r="M33" i="2"/>
  <c r="H33" i="2"/>
  <c r="G33" i="2"/>
  <c r="F33" i="2"/>
  <c r="D33" i="2"/>
  <c r="AH32" i="2"/>
  <c r="R32" i="2"/>
  <c r="Q32" i="2"/>
  <c r="P32" i="2"/>
  <c r="M32" i="2"/>
  <c r="H32" i="2"/>
  <c r="G32" i="2"/>
  <c r="F32" i="2"/>
  <c r="D32" i="2"/>
  <c r="AH31" i="2"/>
  <c r="R31" i="2"/>
  <c r="Q31" i="2"/>
  <c r="P31" i="2"/>
  <c r="M31" i="2"/>
  <c r="H31" i="2"/>
  <c r="G31" i="2"/>
  <c r="F31" i="2"/>
  <c r="D10" i="8" s="1"/>
  <c r="D31" i="2"/>
  <c r="B10" i="8" s="1"/>
  <c r="AJ30" i="2"/>
  <c r="P30" i="2"/>
  <c r="M30" i="2"/>
  <c r="H30" i="2"/>
  <c r="G30" i="2"/>
  <c r="F30" i="2"/>
  <c r="D6" i="9" s="1"/>
  <c r="D30" i="2"/>
  <c r="B6" i="9" s="1"/>
  <c r="AH29" i="2"/>
  <c r="R29" i="2"/>
  <c r="Q29" i="2"/>
  <c r="AA29" i="2" s="1"/>
  <c r="P29" i="2"/>
  <c r="M29" i="2"/>
  <c r="H29" i="2"/>
  <c r="G29" i="2"/>
  <c r="F29" i="2"/>
  <c r="D29" i="2"/>
  <c r="AH28" i="2"/>
  <c r="R28" i="2"/>
  <c r="Q28" i="2"/>
  <c r="AB28" i="2" s="1"/>
  <c r="P28" i="2"/>
  <c r="M28" i="2"/>
  <c r="H28" i="2"/>
  <c r="G28" i="2"/>
  <c r="F28" i="2"/>
  <c r="D28" i="2"/>
  <c r="AH27" i="2"/>
  <c r="R27" i="2"/>
  <c r="Q27" i="2"/>
  <c r="W27" i="2" s="1"/>
  <c r="P27" i="2"/>
  <c r="M27" i="2"/>
  <c r="H27" i="2"/>
  <c r="G27" i="2"/>
  <c r="F27" i="2"/>
  <c r="D27" i="2"/>
  <c r="AH26" i="2"/>
  <c r="R26" i="2"/>
  <c r="Q26" i="2"/>
  <c r="AG26" i="2" s="1"/>
  <c r="P26" i="2"/>
  <c r="V26" i="2" s="1"/>
  <c r="M26" i="2"/>
  <c r="H26" i="2"/>
  <c r="G26" i="2"/>
  <c r="F26" i="2"/>
  <c r="D5" i="8" s="1"/>
  <c r="D26" i="2"/>
  <c r="AH25" i="2"/>
  <c r="R25" i="2"/>
  <c r="Q25" i="2"/>
  <c r="AG25" i="2" s="1"/>
  <c r="P25" i="2"/>
  <c r="M25" i="2"/>
  <c r="H25" i="2"/>
  <c r="G25" i="2"/>
  <c r="F25" i="2"/>
  <c r="D8" i="8" s="1"/>
  <c r="D25" i="2"/>
  <c r="AJ24" i="2"/>
  <c r="P24" i="2"/>
  <c r="M24" i="2"/>
  <c r="H24" i="2"/>
  <c r="G24" i="2"/>
  <c r="F24" i="2"/>
  <c r="D7" i="9" s="1"/>
  <c r="D24" i="2"/>
  <c r="AH23" i="2"/>
  <c r="R23" i="2"/>
  <c r="Q23" i="2"/>
  <c r="AA23" i="2" s="1"/>
  <c r="P23" i="2"/>
  <c r="M23" i="2"/>
  <c r="H23" i="2"/>
  <c r="G23" i="2"/>
  <c r="F23" i="2"/>
  <c r="D6" i="8" s="1"/>
  <c r="D23" i="2"/>
  <c r="B6" i="8" s="1"/>
  <c r="AH22" i="2"/>
  <c r="R22" i="2"/>
  <c r="Q22" i="2"/>
  <c r="P22" i="2"/>
  <c r="M22" i="2"/>
  <c r="H22" i="2"/>
  <c r="G22" i="2"/>
  <c r="F22" i="2"/>
  <c r="D9" i="8" s="1"/>
  <c r="D22" i="2"/>
  <c r="B9" i="8" s="1"/>
  <c r="AH21" i="2"/>
  <c r="R21" i="2"/>
  <c r="Q21" i="2"/>
  <c r="Z21" i="2" s="1"/>
  <c r="P21" i="2"/>
  <c r="M21" i="2"/>
  <c r="H21" i="2"/>
  <c r="G21" i="2"/>
  <c r="F21" i="2"/>
  <c r="D21" i="2"/>
  <c r="AJ20" i="2"/>
  <c r="AM20" i="2" s="1"/>
  <c r="P20" i="2"/>
  <c r="M20" i="2"/>
  <c r="H20" i="2"/>
  <c r="G20" i="2"/>
  <c r="F20" i="2"/>
  <c r="D5" i="9" s="1"/>
  <c r="D20" i="2"/>
  <c r="B5" i="9" s="1"/>
  <c r="AJ19" i="2"/>
  <c r="P19" i="2"/>
  <c r="M19" i="2"/>
  <c r="H19" i="2"/>
  <c r="G19" i="2"/>
  <c r="F19" i="2"/>
  <c r="D8" i="9" s="1"/>
  <c r="D19" i="2"/>
  <c r="AJ18" i="2"/>
  <c r="P18" i="2"/>
  <c r="M18" i="2"/>
  <c r="H18" i="2"/>
  <c r="G18" i="2"/>
  <c r="F18" i="2"/>
  <c r="D4" i="9" s="1"/>
  <c r="D18" i="2"/>
  <c r="AH17" i="2"/>
  <c r="R17" i="2"/>
  <c r="Q17" i="2"/>
  <c r="Y17" i="2" s="1"/>
  <c r="P17" i="2"/>
  <c r="M17" i="2"/>
  <c r="H17" i="2"/>
  <c r="G17" i="2"/>
  <c r="F17" i="2"/>
  <c r="D17" i="2"/>
  <c r="AJ16" i="2"/>
  <c r="P16" i="2"/>
  <c r="M16" i="2"/>
  <c r="H16" i="2"/>
  <c r="G16" i="2"/>
  <c r="E25" i="3" s="1"/>
  <c r="F16" i="2"/>
  <c r="D16" i="2"/>
  <c r="AH15" i="2"/>
  <c r="R15" i="2"/>
  <c r="Q15" i="2"/>
  <c r="Z15" i="2" s="1"/>
  <c r="P15" i="2"/>
  <c r="M15" i="2"/>
  <c r="H15" i="2"/>
  <c r="G15" i="2"/>
  <c r="F15" i="2"/>
  <c r="D3" i="8" s="1"/>
  <c r="D15" i="2"/>
  <c r="B3" i="8" s="1"/>
  <c r="AH14" i="2"/>
  <c r="R14" i="2"/>
  <c r="Q14" i="2"/>
  <c r="AA14" i="2" s="1"/>
  <c r="P14" i="2"/>
  <c r="M14" i="2"/>
  <c r="H14" i="2"/>
  <c r="G14" i="2"/>
  <c r="F14" i="2"/>
  <c r="D14" i="2"/>
  <c r="AH13" i="2"/>
  <c r="R13" i="2"/>
  <c r="Q13" i="2"/>
  <c r="AB13" i="2" s="1"/>
  <c r="P13" i="2"/>
  <c r="M13" i="2"/>
  <c r="H13" i="2"/>
  <c r="G13" i="2"/>
  <c r="F13" i="2"/>
  <c r="D13" i="2"/>
  <c r="AH12" i="2"/>
  <c r="R12" i="2"/>
  <c r="Q12" i="2"/>
  <c r="P12" i="2"/>
  <c r="M12" i="2"/>
  <c r="H12" i="2"/>
  <c r="G12" i="2"/>
  <c r="E14" i="3" s="1"/>
  <c r="F12" i="2"/>
  <c r="D12" i="2"/>
  <c r="AH11" i="2"/>
  <c r="R11" i="2"/>
  <c r="Q11" i="2"/>
  <c r="Y11" i="2" s="1"/>
  <c r="P11" i="2"/>
  <c r="M11" i="2"/>
  <c r="H11" i="2"/>
  <c r="G11" i="2"/>
  <c r="F11" i="2"/>
  <c r="D11" i="2"/>
  <c r="AH10" i="2"/>
  <c r="R10" i="2"/>
  <c r="Q10" i="2"/>
  <c r="AB10" i="2" s="1"/>
  <c r="P10" i="2"/>
  <c r="AC10" i="2" s="1"/>
  <c r="M10" i="2"/>
  <c r="H10" i="2"/>
  <c r="G10" i="2"/>
  <c r="F10" i="2"/>
  <c r="D10" i="2"/>
  <c r="AH9" i="2"/>
  <c r="R9" i="2"/>
  <c r="Q9" i="2"/>
  <c r="AB9" i="2" s="1"/>
  <c r="P9" i="2"/>
  <c r="AC9" i="2" s="1"/>
  <c r="M9" i="2"/>
  <c r="H9" i="2"/>
  <c r="G9" i="2"/>
  <c r="F9" i="2"/>
  <c r="D9" i="2"/>
  <c r="AH8" i="2"/>
  <c r="R8" i="2"/>
  <c r="Q8" i="2"/>
  <c r="P8" i="2"/>
  <c r="M8" i="2"/>
  <c r="H8" i="2"/>
  <c r="G8" i="2"/>
  <c r="F8" i="2"/>
  <c r="D8" i="2"/>
  <c r="AH7" i="2"/>
  <c r="R7" i="2"/>
  <c r="Q7" i="2"/>
  <c r="AB7" i="2" s="1"/>
  <c r="P7" i="2"/>
  <c r="AE7" i="2" s="1"/>
  <c r="M7" i="2"/>
  <c r="H7" i="2"/>
  <c r="G7" i="2"/>
  <c r="E6" i="3" s="1"/>
  <c r="F7" i="2"/>
  <c r="D7" i="2"/>
  <c r="AH6" i="2"/>
  <c r="R6" i="2"/>
  <c r="Q6" i="2"/>
  <c r="P6" i="2"/>
  <c r="M6" i="2"/>
  <c r="H6" i="2"/>
  <c r="G6" i="2"/>
  <c r="F6" i="2"/>
  <c r="D6" i="2"/>
  <c r="AH5" i="2"/>
  <c r="R5" i="2"/>
  <c r="Q5" i="2"/>
  <c r="I10" i="3" s="1"/>
  <c r="P5" i="2"/>
  <c r="M5" i="2"/>
  <c r="H5" i="2"/>
  <c r="G5" i="2"/>
  <c r="E10" i="3" s="1"/>
  <c r="F5" i="2"/>
  <c r="D5" i="2"/>
  <c r="AH4" i="2"/>
  <c r="AB4" i="2"/>
  <c r="R4" i="2"/>
  <c r="Q4" i="2"/>
  <c r="AA4" i="2" s="1"/>
  <c r="P4" i="2"/>
  <c r="M4" i="2"/>
  <c r="H4" i="2"/>
  <c r="G4" i="2"/>
  <c r="F4" i="2"/>
  <c r="D4" i="2"/>
  <c r="AH3" i="2"/>
  <c r="R3" i="2"/>
  <c r="Q3" i="2"/>
  <c r="AB3" i="2" s="1"/>
  <c r="P3" i="2"/>
  <c r="M3" i="2"/>
  <c r="H3" i="2"/>
  <c r="G3" i="2"/>
  <c r="F3" i="2"/>
  <c r="D3" i="2"/>
  <c r="AH2" i="2"/>
  <c r="R2" i="2"/>
  <c r="Q2" i="2"/>
  <c r="AA2" i="2" s="1"/>
  <c r="P2" i="2"/>
  <c r="M2" i="2"/>
  <c r="H2" i="2"/>
  <c r="G2" i="2"/>
  <c r="E2" i="3" s="1"/>
  <c r="F2" i="2"/>
  <c r="D2" i="2"/>
  <c r="I6" i="1"/>
  <c r="F6" i="1"/>
  <c r="B2" i="9" s="1"/>
  <c r="I5" i="1"/>
  <c r="F5" i="1"/>
  <c r="B2" i="8" s="1"/>
  <c r="I4" i="1"/>
  <c r="F4" i="1"/>
  <c r="B2" i="7" s="1"/>
  <c r="I3" i="1"/>
  <c r="F3" i="1"/>
  <c r="B2" i="6" s="1"/>
  <c r="I2" i="1"/>
  <c r="F2" i="1"/>
  <c r="AE2" i="2" l="1"/>
  <c r="AO19" i="2"/>
  <c r="AE27" i="2"/>
  <c r="AD331" i="2"/>
  <c r="AE383" i="2"/>
  <c r="AC384" i="2"/>
  <c r="AF409" i="2"/>
  <c r="X411" i="2"/>
  <c r="V462" i="2"/>
  <c r="Z562" i="2"/>
  <c r="W625" i="2"/>
  <c r="X27" i="2"/>
  <c r="AC56" i="2"/>
  <c r="AC57" i="2"/>
  <c r="V97" i="2"/>
  <c r="AG174" i="2"/>
  <c r="Z175" i="2"/>
  <c r="V252" i="2"/>
  <c r="AA287" i="2"/>
  <c r="X288" i="2"/>
  <c r="AC298" i="2"/>
  <c r="AC316" i="2"/>
  <c r="T331" i="2"/>
  <c r="Y383" i="2"/>
  <c r="X430" i="2"/>
  <c r="AA463" i="2"/>
  <c r="AG468" i="2"/>
  <c r="AC566" i="2"/>
  <c r="AE571" i="2"/>
  <c r="AE593" i="2"/>
  <c r="AF625" i="2"/>
  <c r="V628" i="2"/>
  <c r="AA632" i="2"/>
  <c r="AC681" i="2"/>
  <c r="Y27" i="2"/>
  <c r="X78" i="2"/>
  <c r="X85" i="2"/>
  <c r="AD139" i="2"/>
  <c r="Y140" i="2"/>
  <c r="W282" i="2"/>
  <c r="T283" i="2"/>
  <c r="S339" i="2"/>
  <c r="T363" i="2"/>
  <c r="X429" i="2"/>
  <c r="AE487" i="2"/>
  <c r="Z605" i="2"/>
  <c r="T607" i="2"/>
  <c r="W628" i="2"/>
  <c r="AD693" i="2"/>
  <c r="AA694" i="2"/>
  <c r="Y696" i="2"/>
  <c r="V698" i="2"/>
  <c r="Z85" i="2"/>
  <c r="Z140" i="2"/>
  <c r="W218" i="2"/>
  <c r="AE283" i="2"/>
  <c r="X339" i="2"/>
  <c r="T574" i="2"/>
  <c r="AB605" i="2"/>
  <c r="Y607" i="2"/>
  <c r="AG622" i="2"/>
  <c r="Z628" i="2"/>
  <c r="Z679" i="2"/>
  <c r="Y681" i="2"/>
  <c r="AE690" i="2"/>
  <c r="Z696" i="2"/>
  <c r="X698" i="2"/>
  <c r="X722" i="2"/>
  <c r="AO176" i="2"/>
  <c r="Z27" i="2"/>
  <c r="AD140" i="2"/>
  <c r="AA165" i="2"/>
  <c r="Y251" i="2"/>
  <c r="AA252" i="2"/>
  <c r="W256" i="2"/>
  <c r="AA278" i="2"/>
  <c r="AF283" i="2"/>
  <c r="W331" i="2"/>
  <c r="AG336" i="2"/>
  <c r="Y339" i="2"/>
  <c r="AP369" i="2"/>
  <c r="AR369" i="2" s="1"/>
  <c r="AE393" i="2"/>
  <c r="AA395" i="2"/>
  <c r="AA396" i="2"/>
  <c r="Y448" i="2"/>
  <c r="AD450" i="2"/>
  <c r="AD566" i="2"/>
  <c r="AF572" i="2"/>
  <c r="AD605" i="2"/>
  <c r="AA628" i="2"/>
  <c r="W644" i="2"/>
  <c r="AC650" i="2"/>
  <c r="Y672" i="2"/>
  <c r="Y687" i="2"/>
  <c r="Y688" i="2"/>
  <c r="AF690" i="2"/>
  <c r="Y698" i="2"/>
  <c r="Z23" i="2"/>
  <c r="AF38" i="2"/>
  <c r="Y78" i="2"/>
  <c r="AB23" i="2"/>
  <c r="AF57" i="2"/>
  <c r="AK64" i="2"/>
  <c r="AE78" i="2"/>
  <c r="AB85" i="2"/>
  <c r="AF140" i="2"/>
  <c r="AF165" i="2"/>
  <c r="Y167" i="2"/>
  <c r="Y218" i="2"/>
  <c r="AD252" i="2"/>
  <c r="X256" i="2"/>
  <c r="Y270" i="2"/>
  <c r="AD278" i="2"/>
  <c r="X331" i="2"/>
  <c r="Z339" i="2"/>
  <c r="AB363" i="2"/>
  <c r="Y364" i="2"/>
  <c r="X365" i="2"/>
  <c r="AN377" i="2"/>
  <c r="AD396" i="2"/>
  <c r="Z448" i="2"/>
  <c r="S456" i="2"/>
  <c r="X555" i="2"/>
  <c r="Y568" i="2"/>
  <c r="S575" i="2"/>
  <c r="AF605" i="2"/>
  <c r="Z688" i="2"/>
  <c r="Z698" i="2"/>
  <c r="AE353" i="2"/>
  <c r="AF27" i="2"/>
  <c r="AA57" i="2"/>
  <c r="Z78" i="2"/>
  <c r="AG27" i="2"/>
  <c r="AC4" i="2"/>
  <c r="AC5" i="2"/>
  <c r="AD23" i="2"/>
  <c r="AC43" i="2"/>
  <c r="AF78" i="2"/>
  <c r="AG140" i="2"/>
  <c r="AF167" i="2"/>
  <c r="AD216" i="2"/>
  <c r="AF252" i="2"/>
  <c r="Z270" i="2"/>
  <c r="W291" i="2"/>
  <c r="AB331" i="2"/>
  <c r="Z365" i="2"/>
  <c r="S373" i="2"/>
  <c r="AF376" i="2"/>
  <c r="AP377" i="2"/>
  <c r="AR377" i="2" s="1"/>
  <c r="AG408" i="2"/>
  <c r="T409" i="2"/>
  <c r="AF561" i="2"/>
  <c r="S562" i="2"/>
  <c r="AA568" i="2"/>
  <c r="T575" i="2"/>
  <c r="AG644" i="2"/>
  <c r="S645" i="2"/>
  <c r="W646" i="2"/>
  <c r="V650" i="2"/>
  <c r="AB698" i="2"/>
  <c r="AF56" i="2"/>
  <c r="Z46" i="2"/>
  <c r="X69" i="2"/>
  <c r="X159" i="2"/>
  <c r="AG167" i="2"/>
  <c r="Z168" i="2"/>
  <c r="AE222" i="2"/>
  <c r="Z235" i="2"/>
  <c r="AG252" i="2"/>
  <c r="AF270" i="2"/>
  <c r="AC272" i="2"/>
  <c r="AC331" i="2"/>
  <c r="X355" i="2"/>
  <c r="AB365" i="2"/>
  <c r="AD409" i="2"/>
  <c r="T476" i="2"/>
  <c r="AB497" i="2"/>
  <c r="X515" i="2"/>
  <c r="Y562" i="2"/>
  <c r="T589" i="2"/>
  <c r="Z640" i="2"/>
  <c r="AN642" i="2"/>
  <c r="X650" i="2"/>
  <c r="AO657" i="2"/>
  <c r="V665" i="2"/>
  <c r="AC37" i="2"/>
  <c r="AB38" i="2"/>
  <c r="W130" i="2"/>
  <c r="AC144" i="2"/>
  <c r="V156" i="2"/>
  <c r="X212" i="2"/>
  <c r="AE363" i="2"/>
  <c r="AD392" i="2"/>
  <c r="AE400" i="2"/>
  <c r="V416" i="2"/>
  <c r="AE480" i="2"/>
  <c r="V504" i="2"/>
  <c r="X505" i="2"/>
  <c r="X647" i="2"/>
  <c r="AP677" i="2"/>
  <c r="AR677" i="2" s="1"/>
  <c r="AB681" i="2"/>
  <c r="AK689" i="2"/>
  <c r="AB690" i="2"/>
  <c r="AC693" i="2"/>
  <c r="AG709" i="2"/>
  <c r="AC710" i="2"/>
  <c r="AB711" i="2"/>
  <c r="AE36" i="2"/>
  <c r="AO16" i="2"/>
  <c r="AE105" i="2"/>
  <c r="T112" i="2"/>
  <c r="T117" i="2"/>
  <c r="S122" i="2"/>
  <c r="AF130" i="2"/>
  <c r="T153" i="2"/>
  <c r="V161" i="2"/>
  <c r="AA172" i="2"/>
  <c r="Y203" i="2"/>
  <c r="V212" i="2"/>
  <c r="T244" i="2"/>
  <c r="Z248" i="2"/>
  <c r="AA258" i="2"/>
  <c r="AC268" i="2"/>
  <c r="AO318" i="2"/>
  <c r="S326" i="2"/>
  <c r="AO332" i="2"/>
  <c r="Z333" i="2"/>
  <c r="AA341" i="2"/>
  <c r="AE343" i="2"/>
  <c r="X344" i="2"/>
  <c r="Z416" i="2"/>
  <c r="W434" i="2"/>
  <c r="Y444" i="2"/>
  <c r="W483" i="2"/>
  <c r="AF504" i="2"/>
  <c r="Y505" i="2"/>
  <c r="W513" i="2"/>
  <c r="V521" i="2"/>
  <c r="AA576" i="2"/>
  <c r="V106" i="2"/>
  <c r="AD13" i="2"/>
  <c r="AG37" i="2"/>
  <c r="S50" i="2"/>
  <c r="AC98" i="2"/>
  <c r="T104" i="2"/>
  <c r="T106" i="2"/>
  <c r="T122" i="2"/>
  <c r="AG130" i="2"/>
  <c r="T131" i="2"/>
  <c r="Z153" i="2"/>
  <c r="AF168" i="2"/>
  <c r="AB169" i="2"/>
  <c r="AE190" i="2"/>
  <c r="Z201" i="2"/>
  <c r="AB203" i="2"/>
  <c r="Y207" i="2"/>
  <c r="AB209" i="2"/>
  <c r="W212" i="2"/>
  <c r="S221" i="2"/>
  <c r="X244" i="2"/>
  <c r="AF256" i="2"/>
  <c r="AE258" i="2"/>
  <c r="AF264" i="2"/>
  <c r="AE265" i="2"/>
  <c r="AF272" i="2"/>
  <c r="W300" i="2"/>
  <c r="S315" i="2"/>
  <c r="AE324" i="2"/>
  <c r="AP332" i="2"/>
  <c r="AE339" i="2"/>
  <c r="AG341" i="2"/>
  <c r="S345" i="2"/>
  <c r="S392" i="2"/>
  <c r="AF396" i="2"/>
  <c r="AF398" i="2"/>
  <c r="AA416" i="2"/>
  <c r="V417" i="2"/>
  <c r="X434" i="2"/>
  <c r="S435" i="2"/>
  <c r="AB445" i="2"/>
  <c r="AB448" i="2"/>
  <c r="AB477" i="2"/>
  <c r="AF483" i="2"/>
  <c r="AA484" i="2"/>
  <c r="T486" i="2"/>
  <c r="Z505" i="2"/>
  <c r="AG509" i="2"/>
  <c r="Z510" i="2"/>
  <c r="X513" i="2"/>
  <c r="AG521" i="2"/>
  <c r="S522" i="2"/>
  <c r="T539" i="2"/>
  <c r="X545" i="2"/>
  <c r="AB557" i="2"/>
  <c r="AB558" i="2"/>
  <c r="AD562" i="2"/>
  <c r="AG576" i="2"/>
  <c r="Z600" i="2"/>
  <c r="AA662" i="2"/>
  <c r="AB665" i="2"/>
  <c r="AB669" i="2"/>
  <c r="AE171" i="2"/>
  <c r="AC15" i="2"/>
  <c r="V38" i="2"/>
  <c r="AF97" i="2"/>
  <c r="V112" i="2"/>
  <c r="W122" i="2"/>
  <c r="Z125" i="2"/>
  <c r="T139" i="2"/>
  <c r="AE153" i="2"/>
  <c r="AC203" i="2"/>
  <c r="AE205" i="2"/>
  <c r="AD207" i="2"/>
  <c r="Y212" i="2"/>
  <c r="Z220" i="2"/>
  <c r="S222" i="2"/>
  <c r="AB244" i="2"/>
  <c r="AF265" i="2"/>
  <c r="Z300" i="2"/>
  <c r="V304" i="2"/>
  <c r="AM306" i="2"/>
  <c r="AC314" i="2"/>
  <c r="AA317" i="2"/>
  <c r="AC345" i="2"/>
  <c r="V346" i="2"/>
  <c r="AF352" i="2"/>
  <c r="Y353" i="2"/>
  <c r="Y374" i="2"/>
  <c r="T392" i="2"/>
  <c r="AC409" i="2"/>
  <c r="W417" i="2"/>
  <c r="V435" i="2"/>
  <c r="AD438" i="2"/>
  <c r="AG445" i="2"/>
  <c r="AD448" i="2"/>
  <c r="W486" i="2"/>
  <c r="X491" i="2"/>
  <c r="Z492" i="2"/>
  <c r="T495" i="2"/>
  <c r="AD505" i="2"/>
  <c r="AC513" i="2"/>
  <c r="X522" i="2"/>
  <c r="T523" i="2"/>
  <c r="Y534" i="2"/>
  <c r="Y539" i="2"/>
  <c r="AB541" i="2"/>
  <c r="AF562" i="2"/>
  <c r="T591" i="2"/>
  <c r="Z594" i="2"/>
  <c r="S595" i="2"/>
  <c r="AC600" i="2"/>
  <c r="AC669" i="2"/>
  <c r="T672" i="2"/>
  <c r="AP107" i="2"/>
  <c r="AR107" i="2" s="1"/>
  <c r="AF11" i="2"/>
  <c r="AB49" i="2"/>
  <c r="AF69" i="2"/>
  <c r="AG97" i="2"/>
  <c r="X112" i="2"/>
  <c r="X122" i="2"/>
  <c r="AA125" i="2"/>
  <c r="X190" i="2"/>
  <c r="AF203" i="2"/>
  <c r="Z212" i="2"/>
  <c r="AG220" i="2"/>
  <c r="V221" i="2"/>
  <c r="AD244" i="2"/>
  <c r="T293" i="2"/>
  <c r="AC296" i="2"/>
  <c r="AA300" i="2"/>
  <c r="W302" i="2"/>
  <c r="W304" i="2"/>
  <c r="Y315" i="2"/>
  <c r="AB346" i="2"/>
  <c r="Z349" i="2"/>
  <c r="Z353" i="2"/>
  <c r="Y358" i="2"/>
  <c r="Y363" i="2"/>
  <c r="AB374" i="2"/>
  <c r="T383" i="2"/>
  <c r="V392" i="2"/>
  <c r="Y417" i="2"/>
  <c r="T429" i="2"/>
  <c r="X435" i="2"/>
  <c r="AG438" i="2"/>
  <c r="AG448" i="2"/>
  <c r="S449" i="2"/>
  <c r="Y486" i="2"/>
  <c r="AG492" i="2"/>
  <c r="Z495" i="2"/>
  <c r="AD513" i="2"/>
  <c r="AD515" i="2"/>
  <c r="AE523" i="2"/>
  <c r="Z534" i="2"/>
  <c r="AG539" i="2"/>
  <c r="AC541" i="2"/>
  <c r="X542" i="2"/>
  <c r="AG562" i="2"/>
  <c r="AA594" i="2"/>
  <c r="AG669" i="2"/>
  <c r="AG38" i="2"/>
  <c r="S38" i="2"/>
  <c r="AD15" i="2"/>
  <c r="AP19" i="2"/>
  <c r="AR19" i="2" s="1"/>
  <c r="AG69" i="2"/>
  <c r="W91" i="2"/>
  <c r="Y112" i="2"/>
  <c r="Y122" i="2"/>
  <c r="AO123" i="2"/>
  <c r="AB125" i="2"/>
  <c r="AC163" i="2"/>
  <c r="W167" i="2"/>
  <c r="Z197" i="2"/>
  <c r="AB212" i="2"/>
  <c r="W221" i="2"/>
  <c r="T222" i="2"/>
  <c r="Z227" i="2"/>
  <c r="V228" i="2"/>
  <c r="AE270" i="2"/>
  <c r="X293" i="2"/>
  <c r="AE294" i="2"/>
  <c r="AB300" i="2"/>
  <c r="AE304" i="2"/>
  <c r="W339" i="2"/>
  <c r="AF346" i="2"/>
  <c r="AB349" i="2"/>
  <c r="Y354" i="2"/>
  <c r="Z358" i="2"/>
  <c r="Z363" i="2"/>
  <c r="AF374" i="2"/>
  <c r="Z376" i="2"/>
  <c r="V383" i="2"/>
  <c r="AD386" i="2"/>
  <c r="X392" i="2"/>
  <c r="Y408" i="2"/>
  <c r="Z417" i="2"/>
  <c r="AB450" i="2"/>
  <c r="Z486" i="2"/>
  <c r="AE495" i="2"/>
  <c r="AA499" i="2"/>
  <c r="AF513" i="2"/>
  <c r="AA534" i="2"/>
  <c r="AF541" i="2"/>
  <c r="AC584" i="2"/>
  <c r="AB594" i="2"/>
  <c r="V624" i="2"/>
  <c r="AC639" i="2"/>
  <c r="AO652" i="2"/>
  <c r="AP673" i="2"/>
  <c r="AR673" i="2" s="1"/>
  <c r="AC682" i="2"/>
  <c r="S710" i="2"/>
  <c r="AK727" i="2"/>
  <c r="S131" i="2"/>
  <c r="AC202" i="2"/>
  <c r="Z44" i="2"/>
  <c r="AP48" i="2"/>
  <c r="AR48" i="2" s="1"/>
  <c r="W55" i="2"/>
  <c r="Y38" i="2"/>
  <c r="Z112" i="2"/>
  <c r="AD212" i="2"/>
  <c r="AG346" i="2"/>
  <c r="AG374" i="2"/>
  <c r="Z392" i="2"/>
  <c r="AG495" i="2"/>
  <c r="AG541" i="2"/>
  <c r="X267" i="2"/>
  <c r="AC544" i="2"/>
  <c r="AF13" i="2"/>
  <c r="T38" i="2"/>
  <c r="AG13" i="2"/>
  <c r="W4" i="2"/>
  <c r="W38" i="2"/>
  <c r="AG2" i="2"/>
  <c r="X4" i="2"/>
  <c r="X38" i="2"/>
  <c r="T42" i="2"/>
  <c r="Y4" i="2"/>
  <c r="T23" i="2"/>
  <c r="AA44" i="2"/>
  <c r="X56" i="2"/>
  <c r="AB93" i="2"/>
  <c r="AB122" i="2"/>
  <c r="Z4" i="2"/>
  <c r="AC22" i="2"/>
  <c r="Y26" i="2"/>
  <c r="Z38" i="2"/>
  <c r="AB44" i="2"/>
  <c r="Y46" i="2"/>
  <c r="Y56" i="2"/>
  <c r="AE77" i="2"/>
  <c r="W78" i="2"/>
  <c r="AC84" i="2"/>
  <c r="Z91" i="2"/>
  <c r="AA112" i="2"/>
  <c r="V121" i="2"/>
  <c r="AG122" i="2"/>
  <c r="AG139" i="2"/>
  <c r="T140" i="2"/>
  <c r="U140" i="2" s="1"/>
  <c r="AB165" i="2"/>
  <c r="AM176" i="2"/>
  <c r="V184" i="2"/>
  <c r="AG212" i="2"/>
  <c r="V213" i="2"/>
  <c r="AB222" i="2"/>
  <c r="AE235" i="2"/>
  <c r="X241" i="2"/>
  <c r="AC256" i="2"/>
  <c r="V279" i="2"/>
  <c r="V283" i="2"/>
  <c r="Z293" i="2"/>
  <c r="V331" i="2"/>
  <c r="W335" i="2"/>
  <c r="AD363" i="2"/>
  <c r="AC367" i="2"/>
  <c r="AO369" i="2"/>
  <c r="AG376" i="2"/>
  <c r="AO377" i="2"/>
  <c r="AG383" i="2"/>
  <c r="AC392" i="2"/>
  <c r="Z409" i="2"/>
  <c r="AG450" i="2"/>
  <c r="AD452" i="2"/>
  <c r="Y465" i="2"/>
  <c r="AD471" i="2"/>
  <c r="S472" i="2"/>
  <c r="Y476" i="2"/>
  <c r="V482" i="2"/>
  <c r="AF553" i="2"/>
  <c r="AA581" i="2"/>
  <c r="AD589" i="2"/>
  <c r="Y605" i="2"/>
  <c r="T614" i="2"/>
  <c r="AD625" i="2"/>
  <c r="AF635" i="2"/>
  <c r="W640" i="2"/>
  <c r="W656" i="2"/>
  <c r="V662" i="2"/>
  <c r="AA672" i="2"/>
  <c r="Z681" i="2"/>
  <c r="W5" i="2"/>
  <c r="AB11" i="2"/>
  <c r="AE21" i="2"/>
  <c r="W36" i="2"/>
  <c r="AD37" i="2"/>
  <c r="AA42" i="2"/>
  <c r="W56" i="2"/>
  <c r="Z57" i="2"/>
  <c r="X58" i="2"/>
  <c r="AG61" i="2"/>
  <c r="AC66" i="2"/>
  <c r="AD69" i="2"/>
  <c r="S71" i="2"/>
  <c r="AD77" i="2"/>
  <c r="AG81" i="2"/>
  <c r="Z83" i="2"/>
  <c r="AA88" i="2"/>
  <c r="Z88" i="2"/>
  <c r="AC90" i="2"/>
  <c r="AA93" i="2"/>
  <c r="AG117" i="2"/>
  <c r="W117" i="2"/>
  <c r="X125" i="2"/>
  <c r="AD240" i="2"/>
  <c r="AG240" i="2"/>
  <c r="AF240" i="2"/>
  <c r="Y240" i="2"/>
  <c r="V240" i="2"/>
  <c r="T240" i="2"/>
  <c r="AG274" i="2"/>
  <c r="AF274" i="2"/>
  <c r="AB274" i="2"/>
  <c r="W274" i="2"/>
  <c r="Z309" i="2"/>
  <c r="AF309" i="2"/>
  <c r="AB309" i="2"/>
  <c r="AA309" i="2"/>
  <c r="W309" i="2"/>
  <c r="V309" i="2"/>
  <c r="X444" i="2"/>
  <c r="S444" i="2"/>
  <c r="AG664" i="2"/>
  <c r="AB664" i="2"/>
  <c r="Z664" i="2"/>
  <c r="Y664" i="2"/>
  <c r="W664" i="2"/>
  <c r="V664" i="2"/>
  <c r="S664" i="2"/>
  <c r="AF664" i="2"/>
  <c r="AG663" i="2"/>
  <c r="T663" i="2"/>
  <c r="AB114" i="2"/>
  <c r="W114" i="2"/>
  <c r="AO20" i="2"/>
  <c r="AD21" i="2"/>
  <c r="AK24" i="2"/>
  <c r="AC28" i="2"/>
  <c r="AF36" i="2"/>
  <c r="W54" i="2"/>
  <c r="AB56" i="2"/>
  <c r="AG57" i="2"/>
  <c r="Y58" i="2"/>
  <c r="W61" i="2"/>
  <c r="AA66" i="2"/>
  <c r="S68" i="2"/>
  <c r="AD71" i="2"/>
  <c r="W72" i="2"/>
  <c r="AP113" i="2"/>
  <c r="AM116" i="2"/>
  <c r="AB118" i="2"/>
  <c r="W119" i="2"/>
  <c r="Z126" i="2"/>
  <c r="V128" i="2"/>
  <c r="AC143" i="2"/>
  <c r="Z143" i="2"/>
  <c r="AE168" i="2"/>
  <c r="S168" i="2"/>
  <c r="AA204" i="2"/>
  <c r="AG204" i="2"/>
  <c r="AF204" i="2"/>
  <c r="AB204" i="2"/>
  <c r="W204" i="2"/>
  <c r="Z298" i="2"/>
  <c r="AB298" i="2"/>
  <c r="S298" i="2"/>
  <c r="AA303" i="2"/>
  <c r="AD303" i="2"/>
  <c r="Z303" i="2"/>
  <c r="Y303" i="2"/>
  <c r="X303" i="2"/>
  <c r="T303" i="2"/>
  <c r="S303" i="2"/>
  <c r="AE303" i="2"/>
  <c r="AB525" i="2"/>
  <c r="AD525" i="2"/>
  <c r="Z525" i="2"/>
  <c r="Y525" i="2"/>
  <c r="Z618" i="2"/>
  <c r="AG618" i="2"/>
  <c r="AF618" i="2"/>
  <c r="AB618" i="2"/>
  <c r="AA618" i="2"/>
  <c r="AC160" i="2"/>
  <c r="AE160" i="2"/>
  <c r="X160" i="2"/>
  <c r="T160" i="2"/>
  <c r="Z340" i="2"/>
  <c r="AG340" i="2"/>
  <c r="V340" i="2"/>
  <c r="T340" i="2"/>
  <c r="AG399" i="2"/>
  <c r="AF399" i="2"/>
  <c r="AE399" i="2"/>
  <c r="AG36" i="2"/>
  <c r="T37" i="2"/>
  <c r="AA45" i="2"/>
  <c r="Z52" i="2"/>
  <c r="Z58" i="2"/>
  <c r="X61" i="2"/>
  <c r="T68" i="2"/>
  <c r="AE71" i="2"/>
  <c r="Y73" i="2"/>
  <c r="AG76" i="2"/>
  <c r="T77" i="2"/>
  <c r="V114" i="2"/>
  <c r="X119" i="2"/>
  <c r="AA126" i="2"/>
  <c r="AB127" i="2"/>
  <c r="AB129" i="2"/>
  <c r="AD129" i="2"/>
  <c r="Z129" i="2"/>
  <c r="AC155" i="2"/>
  <c r="AA155" i="2"/>
  <c r="Z155" i="2"/>
  <c r="V160" i="2"/>
  <c r="AG188" i="2"/>
  <c r="Z188" i="2"/>
  <c r="Y188" i="2"/>
  <c r="T188" i="2"/>
  <c r="AM230" i="2"/>
  <c r="AN230" i="2"/>
  <c r="AE514" i="2"/>
  <c r="Y596" i="2"/>
  <c r="AD596" i="2"/>
  <c r="AB596" i="2"/>
  <c r="Z596" i="2"/>
  <c r="X596" i="2"/>
  <c r="W596" i="2"/>
  <c r="V596" i="2"/>
  <c r="T257" i="2"/>
  <c r="AF257" i="2"/>
  <c r="AA257" i="2"/>
  <c r="Y257" i="2"/>
  <c r="W257" i="2"/>
  <c r="V257" i="2"/>
  <c r="AD273" i="2"/>
  <c r="X273" i="2"/>
  <c r="AP20" i="2"/>
  <c r="AR20" i="2" s="1"/>
  <c r="S31" i="2"/>
  <c r="V37" i="2"/>
  <c r="AC42" i="2"/>
  <c r="AF45" i="2"/>
  <c r="AC47" i="2"/>
  <c r="S49" i="2"/>
  <c r="AA52" i="2"/>
  <c r="AG56" i="2"/>
  <c r="S57" i="2"/>
  <c r="Z61" i="2"/>
  <c r="AC68" i="2"/>
  <c r="Z73" i="2"/>
  <c r="V77" i="2"/>
  <c r="AA114" i="2"/>
  <c r="Y119" i="2"/>
  <c r="W120" i="2"/>
  <c r="AA121" i="2"/>
  <c r="AF121" i="2"/>
  <c r="AF127" i="2"/>
  <c r="W128" i="2"/>
  <c r="AA154" i="2"/>
  <c r="AB154" i="2"/>
  <c r="W160" i="2"/>
  <c r="Z185" i="2"/>
  <c r="S185" i="2"/>
  <c r="AG185" i="2"/>
  <c r="AF185" i="2"/>
  <c r="AB185" i="2"/>
  <c r="T185" i="2"/>
  <c r="AF226" i="2"/>
  <c r="AC226" i="2"/>
  <c r="Z226" i="2"/>
  <c r="Y226" i="2"/>
  <c r="X226" i="2"/>
  <c r="T226" i="2"/>
  <c r="S226" i="2"/>
  <c r="AD226" i="2"/>
  <c r="AF303" i="2"/>
  <c r="AF305" i="2"/>
  <c r="AA305" i="2"/>
  <c r="W305" i="2"/>
  <c r="V305" i="2"/>
  <c r="Z350" i="2"/>
  <c r="AF350" i="2"/>
  <c r="X350" i="2"/>
  <c r="W350" i="2"/>
  <c r="V350" i="2"/>
  <c r="AB428" i="2"/>
  <c r="S428" i="2"/>
  <c r="AG428" i="2"/>
  <c r="Y428" i="2"/>
  <c r="W428" i="2"/>
  <c r="T428" i="2"/>
  <c r="V514" i="2"/>
  <c r="AG514" i="2"/>
  <c r="AD514" i="2"/>
  <c r="AC514" i="2"/>
  <c r="AA514" i="2"/>
  <c r="Z514" i="2"/>
  <c r="T514" i="2"/>
  <c r="S592" i="2"/>
  <c r="AF592" i="2"/>
  <c r="AD592" i="2"/>
  <c r="AB158" i="2"/>
  <c r="Y158" i="2"/>
  <c r="X158" i="2"/>
  <c r="W158" i="2"/>
  <c r="AB52" i="2"/>
  <c r="AE54" i="2"/>
  <c r="T57" i="2"/>
  <c r="AB61" i="2"/>
  <c r="AD68" i="2"/>
  <c r="AA73" i="2"/>
  <c r="W77" i="2"/>
  <c r="Z79" i="2"/>
  <c r="AA97" i="2"/>
  <c r="Y97" i="2"/>
  <c r="Y129" i="2"/>
  <c r="Y138" i="2"/>
  <c r="Z138" i="2"/>
  <c r="AC150" i="2"/>
  <c r="T168" i="2"/>
  <c r="AG181" i="2"/>
  <c r="AC181" i="2"/>
  <c r="AD188" i="2"/>
  <c r="V195" i="2"/>
  <c r="AF195" i="2"/>
  <c r="AE195" i="2"/>
  <c r="AA195" i="2"/>
  <c r="Z195" i="2"/>
  <c r="AE225" i="2"/>
  <c r="AD225" i="2"/>
  <c r="Y286" i="2"/>
  <c r="AB286" i="2"/>
  <c r="AA286" i="2"/>
  <c r="Z286" i="2"/>
  <c r="T286" i="2"/>
  <c r="Z407" i="2"/>
  <c r="AG407" i="2"/>
  <c r="AF407" i="2"/>
  <c r="AA407" i="2"/>
  <c r="X34" i="2"/>
  <c r="Z28" i="2"/>
  <c r="AO30" i="2"/>
  <c r="W44" i="2"/>
  <c r="AF46" i="2"/>
  <c r="AC49" i="2"/>
  <c r="AG52" i="2"/>
  <c r="AF54" i="2"/>
  <c r="S56" i="2"/>
  <c r="V57" i="2"/>
  <c r="AC61" i="2"/>
  <c r="Y69" i="2"/>
  <c r="X77" i="2"/>
  <c r="AB79" i="2"/>
  <c r="X81" i="2"/>
  <c r="AC106" i="2"/>
  <c r="Z120" i="2"/>
  <c r="X121" i="2"/>
  <c r="AM123" i="2"/>
  <c r="AG129" i="2"/>
  <c r="T130" i="2"/>
  <c r="AC135" i="2"/>
  <c r="AA135" i="2"/>
  <c r="W136" i="2"/>
  <c r="Y136" i="2"/>
  <c r="AC140" i="2"/>
  <c r="AE140" i="2"/>
  <c r="V185" i="2"/>
  <c r="V224" i="2"/>
  <c r="AF384" i="2"/>
  <c r="AA384" i="2"/>
  <c r="Z384" i="2"/>
  <c r="Y384" i="2"/>
  <c r="X384" i="2"/>
  <c r="V384" i="2"/>
  <c r="AB426" i="2"/>
  <c r="AA426" i="2"/>
  <c r="Z426" i="2"/>
  <c r="AN20" i="2"/>
  <c r="V5" i="2"/>
  <c r="X2" i="2"/>
  <c r="V7" i="2"/>
  <c r="Y29" i="2"/>
  <c r="X37" i="2"/>
  <c r="Y2" i="2"/>
  <c r="AB5" i="2"/>
  <c r="Z7" i="2"/>
  <c r="Z29" i="2"/>
  <c r="AP30" i="2"/>
  <c r="Y37" i="2"/>
  <c r="Y42" i="2"/>
  <c r="AD47" i="2"/>
  <c r="AD49" i="2"/>
  <c r="T56" i="2"/>
  <c r="W57" i="2"/>
  <c r="AD61" i="2"/>
  <c r="AK62" i="2"/>
  <c r="Z69" i="2"/>
  <c r="Y77" i="2"/>
  <c r="AE79" i="2"/>
  <c r="Z81" i="2"/>
  <c r="W82" i="2"/>
  <c r="V91" i="2"/>
  <c r="T91" i="2"/>
  <c r="Z97" i="2"/>
  <c r="Z102" i="2"/>
  <c r="AF106" i="2"/>
  <c r="W112" i="2"/>
  <c r="Y121" i="2"/>
  <c r="AN123" i="2"/>
  <c r="AA124" i="2"/>
  <c r="Z131" i="2"/>
  <c r="AF131" i="2"/>
  <c r="AE131" i="2"/>
  <c r="Y131" i="2"/>
  <c r="AC134" i="2"/>
  <c r="AA138" i="2"/>
  <c r="Y185" i="2"/>
  <c r="AG223" i="2"/>
  <c r="AB223" i="2"/>
  <c r="AA223" i="2"/>
  <c r="AA330" i="2"/>
  <c r="AG330" i="2"/>
  <c r="AF330" i="2"/>
  <c r="W330" i="2"/>
  <c r="V330" i="2"/>
  <c r="T330" i="2"/>
  <c r="AG473" i="2"/>
  <c r="AB473" i="2"/>
  <c r="T5" i="2"/>
  <c r="X11" i="2"/>
  <c r="W37" i="2"/>
  <c r="X5" i="2"/>
  <c r="AD28" i="2"/>
  <c r="S8" i="2"/>
  <c r="Z11" i="2"/>
  <c r="Z2" i="2"/>
  <c r="AG5" i="2"/>
  <c r="AA7" i="2"/>
  <c r="AA11" i="2"/>
  <c r="AE12" i="2"/>
  <c r="AC23" i="2"/>
  <c r="V27" i="2"/>
  <c r="AB29" i="2"/>
  <c r="Z37" i="2"/>
  <c r="AE38" i="2"/>
  <c r="Z42" i="2"/>
  <c r="X44" i="2"/>
  <c r="AB69" i="2"/>
  <c r="Z77" i="2"/>
  <c r="Y83" i="2"/>
  <c r="W85" i="2"/>
  <c r="AB97" i="2"/>
  <c r="AG106" i="2"/>
  <c r="Z121" i="2"/>
  <c r="AP123" i="2"/>
  <c r="AB124" i="2"/>
  <c r="T125" i="2"/>
  <c r="AB135" i="2"/>
  <c r="X136" i="2"/>
  <c r="X240" i="2"/>
  <c r="AB329" i="2"/>
  <c r="AD329" i="2"/>
  <c r="Z329" i="2"/>
  <c r="AB368" i="2"/>
  <c r="AD368" i="2"/>
  <c r="AG368" i="2"/>
  <c r="AF368" i="2"/>
  <c r="AE368" i="2"/>
  <c r="Z368" i="2"/>
  <c r="Y368" i="2"/>
  <c r="T368" i="2"/>
  <c r="AD202" i="2"/>
  <c r="T212" i="2"/>
  <c r="T213" i="2"/>
  <c r="T221" i="2"/>
  <c r="T225" i="2"/>
  <c r="S227" i="2"/>
  <c r="V256" i="2"/>
  <c r="AF260" i="2"/>
  <c r="AD263" i="2"/>
  <c r="X268" i="2"/>
  <c r="AG280" i="2"/>
  <c r="V282" i="2"/>
  <c r="AF290" i="2"/>
  <c r="AC321" i="2"/>
  <c r="Z343" i="2"/>
  <c r="X349" i="2"/>
  <c r="X368" i="2"/>
  <c r="S383" i="2"/>
  <c r="AA386" i="2"/>
  <c r="X415" i="2"/>
  <c r="AA415" i="2"/>
  <c r="AA439" i="2"/>
  <c r="AF439" i="2"/>
  <c r="Y446" i="2"/>
  <c r="Z449" i="2"/>
  <c r="AB449" i="2"/>
  <c r="W449" i="2"/>
  <c r="AB470" i="2"/>
  <c r="Z487" i="2"/>
  <c r="AB487" i="2"/>
  <c r="W487" i="2"/>
  <c r="AB498" i="2"/>
  <c r="AA498" i="2"/>
  <c r="AF508" i="2"/>
  <c r="V525" i="2"/>
  <c r="AB527" i="2"/>
  <c r="AD527" i="2"/>
  <c r="Y527" i="2"/>
  <c r="X527" i="2"/>
  <c r="AB602" i="2"/>
  <c r="AG602" i="2"/>
  <c r="AD602" i="2"/>
  <c r="W602" i="2"/>
  <c r="X664" i="2"/>
  <c r="AE700" i="2"/>
  <c r="AB700" i="2"/>
  <c r="AF700" i="2"/>
  <c r="AD700" i="2"/>
  <c r="AC700" i="2"/>
  <c r="V700" i="2"/>
  <c r="S700" i="2"/>
  <c r="AE138" i="2"/>
  <c r="W147" i="2"/>
  <c r="AA153" i="2"/>
  <c r="AE172" i="2"/>
  <c r="W184" i="2"/>
  <c r="AB213" i="2"/>
  <c r="X221" i="2"/>
  <c r="V235" i="2"/>
  <c r="AE277" i="2"/>
  <c r="AF300" i="2"/>
  <c r="X302" i="2"/>
  <c r="X311" i="2"/>
  <c r="Y326" i="2"/>
  <c r="AE333" i="2"/>
  <c r="W345" i="2"/>
  <c r="AD349" i="2"/>
  <c r="Z359" i="2"/>
  <c r="Z360" i="2"/>
  <c r="AG360" i="2"/>
  <c r="AF367" i="2"/>
  <c r="AF372" i="2"/>
  <c r="X372" i="2"/>
  <c r="AG398" i="2"/>
  <c r="T415" i="2"/>
  <c r="Z424" i="2"/>
  <c r="AD424" i="2"/>
  <c r="T439" i="2"/>
  <c r="AB441" i="2"/>
  <c r="AA441" i="2"/>
  <c r="AA550" i="2"/>
  <c r="AE550" i="2"/>
  <c r="X550" i="2"/>
  <c r="W550" i="2"/>
  <c r="AB591" i="2"/>
  <c r="Y591" i="2"/>
  <c r="Z667" i="2"/>
  <c r="AF667" i="2"/>
  <c r="AE667" i="2"/>
  <c r="AA667" i="2"/>
  <c r="T667" i="2"/>
  <c r="Z685" i="2"/>
  <c r="AD685" i="2"/>
  <c r="AB685" i="2"/>
  <c r="AF213" i="2"/>
  <c r="Y221" i="2"/>
  <c r="Y302" i="2"/>
  <c r="Z326" i="2"/>
  <c r="X345" i="2"/>
  <c r="AB359" i="2"/>
  <c r="Z393" i="2"/>
  <c r="AG393" i="2"/>
  <c r="W415" i="2"/>
  <c r="AA429" i="2"/>
  <c r="AG429" i="2"/>
  <c r="AE429" i="2"/>
  <c r="W439" i="2"/>
  <c r="Z440" i="2"/>
  <c r="AB440" i="2"/>
  <c r="W440" i="2"/>
  <c r="AG480" i="2"/>
  <c r="AD480" i="2"/>
  <c r="AB480" i="2"/>
  <c r="Z480" i="2"/>
  <c r="AA540" i="2"/>
  <c r="AG540" i="2"/>
  <c r="AF540" i="2"/>
  <c r="AD540" i="2"/>
  <c r="AB540" i="2"/>
  <c r="Z540" i="2"/>
  <c r="AC590" i="2"/>
  <c r="AK617" i="2"/>
  <c r="AE674" i="2"/>
  <c r="AA674" i="2"/>
  <c r="AF705" i="2"/>
  <c r="AG705" i="2"/>
  <c r="Z705" i="2"/>
  <c r="Z137" i="2"/>
  <c r="AB146" i="2"/>
  <c r="Y147" i="2"/>
  <c r="T159" i="2"/>
  <c r="Z184" i="2"/>
  <c r="AG186" i="2"/>
  <c r="AO193" i="2"/>
  <c r="AQ193" i="2" s="1"/>
  <c r="T197" i="2"/>
  <c r="AG213" i="2"/>
  <c r="AB214" i="2"/>
  <c r="Y216" i="2"/>
  <c r="AE218" i="2"/>
  <c r="AC221" i="2"/>
  <c r="AE244" i="2"/>
  <c r="AC247" i="2"/>
  <c r="S248" i="2"/>
  <c r="Z264" i="2"/>
  <c r="T277" i="2"/>
  <c r="AG283" i="2"/>
  <c r="S288" i="2"/>
  <c r="V294" i="2"/>
  <c r="Y299" i="2"/>
  <c r="AA326" i="2"/>
  <c r="T341" i="2"/>
  <c r="Z345" i="2"/>
  <c r="AG353" i="2"/>
  <c r="AD353" i="2"/>
  <c r="AG359" i="2"/>
  <c r="S360" i="2"/>
  <c r="Z362" i="2"/>
  <c r="AA362" i="2"/>
  <c r="Y372" i="2"/>
  <c r="S400" i="2"/>
  <c r="AB402" i="2"/>
  <c r="AA402" i="2"/>
  <c r="Y415" i="2"/>
  <c r="AB424" i="2"/>
  <c r="Y439" i="2"/>
  <c r="AD441" i="2"/>
  <c r="V451" i="2"/>
  <c r="AF462" i="2"/>
  <c r="AG462" i="2"/>
  <c r="X462" i="2"/>
  <c r="Y463" i="2"/>
  <c r="W463" i="2"/>
  <c r="V463" i="2"/>
  <c r="W478" i="2"/>
  <c r="AG478" i="2"/>
  <c r="W545" i="2"/>
  <c r="AD545" i="2"/>
  <c r="Z545" i="2"/>
  <c r="S550" i="2"/>
  <c r="AB610" i="2"/>
  <c r="AG610" i="2"/>
  <c r="AD610" i="2"/>
  <c r="AA610" i="2"/>
  <c r="Z610" i="2"/>
  <c r="X610" i="2"/>
  <c r="W610" i="2"/>
  <c r="AG704" i="2"/>
  <c r="Y704" i="2"/>
  <c r="AA137" i="2"/>
  <c r="Z147" i="2"/>
  <c r="W159" i="2"/>
  <c r="T161" i="2"/>
  <c r="AB171" i="2"/>
  <c r="Y172" i="2"/>
  <c r="AB184" i="2"/>
  <c r="AE185" i="2"/>
  <c r="W190" i="2"/>
  <c r="Y197" i="2"/>
  <c r="Y201" i="2"/>
  <c r="AA205" i="2"/>
  <c r="T207" i="2"/>
  <c r="AE213" i="2"/>
  <c r="AG214" i="2"/>
  <c r="Z216" i="2"/>
  <c r="AD221" i="2"/>
  <c r="S235" i="2"/>
  <c r="AG244" i="2"/>
  <c r="Y248" i="2"/>
  <c r="T260" i="2"/>
  <c r="AB264" i="2"/>
  <c r="Y277" i="2"/>
  <c r="Z287" i="2"/>
  <c r="W294" i="2"/>
  <c r="V300" i="2"/>
  <c r="Z311" i="2"/>
  <c r="V314" i="2"/>
  <c r="T315" i="2"/>
  <c r="Y319" i="2"/>
  <c r="AF331" i="2"/>
  <c r="Y333" i="2"/>
  <c r="W341" i="2"/>
  <c r="T343" i="2"/>
  <c r="AB345" i="2"/>
  <c r="AE349" i="2"/>
  <c r="AA352" i="2"/>
  <c r="W360" i="2"/>
  <c r="AA361" i="2"/>
  <c r="W361" i="2"/>
  <c r="AD372" i="2"/>
  <c r="AC386" i="2"/>
  <c r="X390" i="2"/>
  <c r="AG392" i="2"/>
  <c r="T393" i="2"/>
  <c r="AD400" i="2"/>
  <c r="T408" i="2"/>
  <c r="Z415" i="2"/>
  <c r="S429" i="2"/>
  <c r="U429" i="2" s="1"/>
  <c r="AE439" i="2"/>
  <c r="AA451" i="2"/>
  <c r="Y452" i="2"/>
  <c r="AG460" i="2"/>
  <c r="AB460" i="2"/>
  <c r="Y480" i="2"/>
  <c r="AA486" i="2"/>
  <c r="AF486" i="2"/>
  <c r="AD486" i="2"/>
  <c r="V502" i="2"/>
  <c r="Y540" i="2"/>
  <c r="V550" i="2"/>
  <c r="V556" i="2"/>
  <c r="AG615" i="2"/>
  <c r="AE615" i="2"/>
  <c r="AD615" i="2"/>
  <c r="X649" i="2"/>
  <c r="AF221" i="2"/>
  <c r="AA349" i="2"/>
  <c r="Y349" i="2"/>
  <c r="Z432" i="2"/>
  <c r="Y432" i="2"/>
  <c r="X502" i="2"/>
  <c r="AG502" i="2"/>
  <c r="AF502" i="2"/>
  <c r="AC502" i="2"/>
  <c r="AB502" i="2"/>
  <c r="W502" i="2"/>
  <c r="AA556" i="2"/>
  <c r="AG556" i="2"/>
  <c r="AF556" i="2"/>
  <c r="Y556" i="2"/>
  <c r="W556" i="2"/>
  <c r="T569" i="2"/>
  <c r="AE569" i="2"/>
  <c r="AD569" i="2"/>
  <c r="AA585" i="2"/>
  <c r="AE585" i="2"/>
  <c r="Z585" i="2"/>
  <c r="Y585" i="2"/>
  <c r="AF638" i="2"/>
  <c r="X638" i="2"/>
  <c r="AB649" i="2"/>
  <c r="Z649" i="2"/>
  <c r="Y649" i="2"/>
  <c r="V649" i="2"/>
  <c r="T649" i="2"/>
  <c r="S649" i="2"/>
  <c r="AD649" i="2"/>
  <c r="AP103" i="2"/>
  <c r="AR103" i="2" s="1"/>
  <c r="V130" i="2"/>
  <c r="V139" i="2"/>
  <c r="Y159" i="2"/>
  <c r="W161" i="2"/>
  <c r="AD167" i="2"/>
  <c r="AB172" i="2"/>
  <c r="AA175" i="2"/>
  <c r="AN176" i="2"/>
  <c r="AF184" i="2"/>
  <c r="Y190" i="2"/>
  <c r="AF191" i="2"/>
  <c r="AC197" i="2"/>
  <c r="AD201" i="2"/>
  <c r="Z207" i="2"/>
  <c r="V209" i="2"/>
  <c r="AF212" i="2"/>
  <c r="AE216" i="2"/>
  <c r="X218" i="2"/>
  <c r="AP219" i="2"/>
  <c r="AG221" i="2"/>
  <c r="AB235" i="2"/>
  <c r="W241" i="2"/>
  <c r="AD248" i="2"/>
  <c r="AF251" i="2"/>
  <c r="Z252" i="2"/>
  <c r="Z258" i="2"/>
  <c r="AE264" i="2"/>
  <c r="AG264" i="2"/>
  <c r="S270" i="2"/>
  <c r="AB278" i="2"/>
  <c r="Y288" i="2"/>
  <c r="X300" i="2"/>
  <c r="AC304" i="2"/>
  <c r="AF311" i="2"/>
  <c r="Z315" i="2"/>
  <c r="AB316" i="2"/>
  <c r="AG319" i="2"/>
  <c r="AC324" i="2"/>
  <c r="S331" i="2"/>
  <c r="AB333" i="2"/>
  <c r="AB336" i="2"/>
  <c r="AB341" i="2"/>
  <c r="AE355" i="2"/>
  <c r="AB360" i="2"/>
  <c r="AA393" i="2"/>
  <c r="V429" i="2"/>
  <c r="AA430" i="2"/>
  <c r="S430" i="2"/>
  <c r="AO447" i="2"/>
  <c r="V472" i="2"/>
  <c r="T475" i="2"/>
  <c r="AF509" i="2"/>
  <c r="AD509" i="2"/>
  <c r="AA509" i="2"/>
  <c r="Z509" i="2"/>
  <c r="AB529" i="2"/>
  <c r="X529" i="2"/>
  <c r="W529" i="2"/>
  <c r="AK543" i="2"/>
  <c r="AD631" i="2"/>
  <c r="W631" i="2"/>
  <c r="V631" i="2"/>
  <c r="T631" i="2"/>
  <c r="AG648" i="2"/>
  <c r="T648" i="2"/>
  <c r="AC152" i="2"/>
  <c r="AD172" i="2"/>
  <c r="AG184" i="2"/>
  <c r="AD197" i="2"/>
  <c r="AF201" i="2"/>
  <c r="AC207" i="2"/>
  <c r="S213" i="2"/>
  <c r="AD235" i="2"/>
  <c r="AD262" i="2"/>
  <c r="Y263" i="2"/>
  <c r="AG267" i="2"/>
  <c r="V268" i="2"/>
  <c r="V280" i="2"/>
  <c r="T282" i="2"/>
  <c r="AB290" i="2"/>
  <c r="AB321" i="2"/>
  <c r="AD333" i="2"/>
  <c r="AF336" i="2"/>
  <c r="Y343" i="2"/>
  <c r="AE347" i="2"/>
  <c r="T349" i="2"/>
  <c r="AB353" i="2"/>
  <c r="W385" i="2"/>
  <c r="Y386" i="2"/>
  <c r="AD393" i="2"/>
  <c r="AA394" i="2"/>
  <c r="V394" i="2"/>
  <c r="AA432" i="2"/>
  <c r="V446" i="2"/>
  <c r="Y470" i="2"/>
  <c r="AC472" i="2"/>
  <c r="AG472" i="2"/>
  <c r="AF472" i="2"/>
  <c r="AB475" i="2"/>
  <c r="AD475" i="2"/>
  <c r="Z475" i="2"/>
  <c r="Y475" i="2"/>
  <c r="Z502" i="2"/>
  <c r="T506" i="2"/>
  <c r="AE506" i="2"/>
  <c r="X507" i="2"/>
  <c r="V542" i="2"/>
  <c r="AB569" i="2"/>
  <c r="AF649" i="2"/>
  <c r="AB708" i="2"/>
  <c r="AF708" i="2"/>
  <c r="AE708" i="2"/>
  <c r="AD708" i="2"/>
  <c r="AC708" i="2"/>
  <c r="V708" i="2"/>
  <c r="T708" i="2"/>
  <c r="AA593" i="2"/>
  <c r="V610" i="2"/>
  <c r="AG639" i="2"/>
  <c r="W648" i="2"/>
  <c r="AD709" i="2"/>
  <c r="K283" i="3"/>
  <c r="U283" i="3"/>
  <c r="M283" i="3"/>
  <c r="W283" i="3"/>
  <c r="AO637" i="2"/>
  <c r="AK686" i="2"/>
  <c r="AP689" i="2"/>
  <c r="AC724" i="2"/>
  <c r="V575" i="2"/>
  <c r="AE589" i="2"/>
  <c r="W598" i="2"/>
  <c r="AD600" i="2"/>
  <c r="AA607" i="2"/>
  <c r="AK637" i="2"/>
  <c r="AA650" i="2"/>
  <c r="AM673" i="2"/>
  <c r="T718" i="2"/>
  <c r="Y571" i="2"/>
  <c r="Y575" i="2"/>
  <c r="S593" i="2"/>
  <c r="AE607" i="2"/>
  <c r="AC612" i="2"/>
  <c r="AP637" i="2"/>
  <c r="AR637" i="2" s="1"/>
  <c r="S639" i="2"/>
  <c r="AB650" i="2"/>
  <c r="AM659" i="2"/>
  <c r="AG665" i="2"/>
  <c r="Z675" i="2"/>
  <c r="AK677" i="2"/>
  <c r="W682" i="2"/>
  <c r="AP684" i="2"/>
  <c r="AG688" i="2"/>
  <c r="AG690" i="2"/>
  <c r="S692" i="2"/>
  <c r="AO699" i="2"/>
  <c r="X709" i="2"/>
  <c r="W724" i="2"/>
  <c r="V551" i="2"/>
  <c r="Z571" i="2"/>
  <c r="Z575" i="2"/>
  <c r="S581" i="2"/>
  <c r="V593" i="2"/>
  <c r="AC597" i="2"/>
  <c r="X622" i="2"/>
  <c r="T639" i="2"/>
  <c r="AD675" i="2"/>
  <c r="AB682" i="2"/>
  <c r="Y692" i="2"/>
  <c r="AP723" i="2"/>
  <c r="AD724" i="2"/>
  <c r="AE515" i="2"/>
  <c r="X551" i="2"/>
  <c r="AF571" i="2"/>
  <c r="AA575" i="2"/>
  <c r="T581" i="2"/>
  <c r="W593" i="2"/>
  <c r="AE598" i="2"/>
  <c r="Z619" i="2"/>
  <c r="Y622" i="2"/>
  <c r="T633" i="2"/>
  <c r="Y639" i="2"/>
  <c r="T656" i="2"/>
  <c r="S665" i="2"/>
  <c r="T669" i="2"/>
  <c r="AE675" i="2"/>
  <c r="AE682" i="2"/>
  <c r="Z692" i="2"/>
  <c r="AG715" i="2"/>
  <c r="AD717" i="2"/>
  <c r="AB718" i="2"/>
  <c r="AB719" i="2"/>
  <c r="Z720" i="2"/>
  <c r="Y721" i="2"/>
  <c r="AF724" i="2"/>
  <c r="AD725" i="2"/>
  <c r="T726" i="2"/>
  <c r="AC442" i="2"/>
  <c r="T444" i="2"/>
  <c r="AB490" i="2"/>
  <c r="AC494" i="2"/>
  <c r="AC520" i="2"/>
  <c r="V541" i="2"/>
  <c r="Z552" i="2"/>
  <c r="V557" i="2"/>
  <c r="S561" i="2"/>
  <c r="AG571" i="2"/>
  <c r="S572" i="2"/>
  <c r="X574" i="2"/>
  <c r="AD575" i="2"/>
  <c r="V581" i="2"/>
  <c r="Y593" i="2"/>
  <c r="AF598" i="2"/>
  <c r="T600" i="2"/>
  <c r="AA619" i="2"/>
  <c r="AA622" i="2"/>
  <c r="V625" i="2"/>
  <c r="AD633" i="2"/>
  <c r="T635" i="2"/>
  <c r="Z639" i="2"/>
  <c r="W669" i="2"/>
  <c r="AF682" i="2"/>
  <c r="AB692" i="2"/>
  <c r="Y709" i="2"/>
  <c r="Y713" i="2"/>
  <c r="Z721" i="2"/>
  <c r="Z726" i="2"/>
  <c r="W398" i="2"/>
  <c r="X417" i="2"/>
  <c r="AO423" i="2"/>
  <c r="W435" i="2"/>
  <c r="AE451" i="2"/>
  <c r="Y481" i="2"/>
  <c r="AE484" i="2"/>
  <c r="X486" i="2"/>
  <c r="AE490" i="2"/>
  <c r="S491" i="2"/>
  <c r="S513" i="2"/>
  <c r="T515" i="2"/>
  <c r="S521" i="2"/>
  <c r="Y541" i="2"/>
  <c r="AA552" i="2"/>
  <c r="AB553" i="2"/>
  <c r="AC558" i="2"/>
  <c r="AO559" i="2"/>
  <c r="AD561" i="2"/>
  <c r="X568" i="2"/>
  <c r="T572" i="2"/>
  <c r="AC575" i="2"/>
  <c r="AF575" i="2"/>
  <c r="Z576" i="2"/>
  <c r="Y581" i="2"/>
  <c r="Z593" i="2"/>
  <c r="V600" i="2"/>
  <c r="AB622" i="2"/>
  <c r="Y625" i="2"/>
  <c r="AE628" i="2"/>
  <c r="AD639" i="2"/>
  <c r="V646" i="2"/>
  <c r="AE661" i="2"/>
  <c r="AE679" i="2"/>
  <c r="W681" i="2"/>
  <c r="AE688" i="2"/>
  <c r="T690" i="2"/>
  <c r="AD692" i="2"/>
  <c r="T693" i="2"/>
  <c r="W698" i="2"/>
  <c r="AB709" i="2"/>
  <c r="AD713" i="2"/>
  <c r="AC726" i="2"/>
  <c r="M115" i="3"/>
  <c r="AF133" i="2"/>
  <c r="AB133" i="2"/>
  <c r="AA133" i="2"/>
  <c r="Z133" i="2"/>
  <c r="V133" i="2"/>
  <c r="T133" i="2"/>
  <c r="AA166" i="2"/>
  <c r="Z166" i="2"/>
  <c r="Y166" i="2"/>
  <c r="X166" i="2"/>
  <c r="W166" i="2"/>
  <c r="AB211" i="2"/>
  <c r="AG211" i="2"/>
  <c r="AF211" i="2"/>
  <c r="AD211" i="2"/>
  <c r="Z211" i="2"/>
  <c r="Y211" i="2"/>
  <c r="AD249" i="2"/>
  <c r="T249" i="2"/>
  <c r="AG249" i="2"/>
  <c r="AE249" i="2"/>
  <c r="AA249" i="2"/>
  <c r="Z249" i="2"/>
  <c r="AE250" i="2"/>
  <c r="AC250" i="2"/>
  <c r="X250" i="2"/>
  <c r="W250" i="2"/>
  <c r="AC263" i="2"/>
  <c r="X263" i="2"/>
  <c r="W263" i="2"/>
  <c r="V263" i="2"/>
  <c r="T263" i="2"/>
  <c r="S263" i="2"/>
  <c r="AA275" i="2"/>
  <c r="AD275" i="2"/>
  <c r="AB275" i="2"/>
  <c r="Z275" i="2"/>
  <c r="W275" i="2"/>
  <c r="AE275" i="2"/>
  <c r="S275" i="2"/>
  <c r="AP177" i="2"/>
  <c r="AR177" i="2" s="1"/>
  <c r="AO177" i="2"/>
  <c r="AN177" i="2"/>
  <c r="AA210" i="2"/>
  <c r="AF210" i="2"/>
  <c r="AE210" i="2"/>
  <c r="Z231" i="2"/>
  <c r="AF231" i="2"/>
  <c r="S231" i="2"/>
  <c r="AE231" i="2"/>
  <c r="AC231" i="2"/>
  <c r="AB231" i="2"/>
  <c r="Y231" i="2"/>
  <c r="X231" i="2"/>
  <c r="W231" i="2"/>
  <c r="V231" i="2"/>
  <c r="T231" i="2"/>
  <c r="Z236" i="2"/>
  <c r="AF236" i="2"/>
  <c r="AE236" i="2"/>
  <c r="AA236" i="2"/>
  <c r="Y236" i="2"/>
  <c r="T236" i="2"/>
  <c r="AO313" i="2"/>
  <c r="AK313" i="2"/>
  <c r="AG196" i="2"/>
  <c r="AE196" i="2"/>
  <c r="AD196" i="2"/>
  <c r="Z196" i="2"/>
  <c r="Y196" i="2"/>
  <c r="Y266" i="2"/>
  <c r="AG266" i="2"/>
  <c r="AE266" i="2"/>
  <c r="AA266" i="2"/>
  <c r="Z266" i="2"/>
  <c r="T266" i="2"/>
  <c r="AA310" i="2"/>
  <c r="Z310" i="2"/>
  <c r="Y310" i="2"/>
  <c r="W310" i="2"/>
  <c r="V310" i="2"/>
  <c r="AC14" i="2"/>
  <c r="AB94" i="2"/>
  <c r="Z94" i="2"/>
  <c r="Y94" i="2"/>
  <c r="X94" i="2"/>
  <c r="W94" i="2"/>
  <c r="AK48" i="2"/>
  <c r="Z70" i="2"/>
  <c r="Y70" i="2"/>
  <c r="AF189" i="2"/>
  <c r="AD189" i="2"/>
  <c r="AC189" i="2"/>
  <c r="Z189" i="2"/>
  <c r="Y189" i="2"/>
  <c r="X189" i="2"/>
  <c r="T189" i="2"/>
  <c r="S189" i="2"/>
  <c r="AE8" i="2"/>
  <c r="U12" i="12"/>
  <c r="T14" i="2"/>
  <c r="AF14" i="2"/>
  <c r="AF15" i="2"/>
  <c r="AK16" i="2"/>
  <c r="S21" i="2"/>
  <c r="AG21" i="2"/>
  <c r="V22" i="2"/>
  <c r="AL24" i="2"/>
  <c r="AA25" i="2"/>
  <c r="AF28" i="2"/>
  <c r="AC29" i="2"/>
  <c r="T39" i="2"/>
  <c r="V40" i="2"/>
  <c r="AB42" i="2"/>
  <c r="AG47" i="2"/>
  <c r="W53" i="2"/>
  <c r="AC54" i="2"/>
  <c r="V55" i="2"/>
  <c r="AB68" i="2"/>
  <c r="AE68" i="2"/>
  <c r="AG68" i="2"/>
  <c r="S69" i="2"/>
  <c r="AE70" i="2"/>
  <c r="Y71" i="2"/>
  <c r="Z71" i="2"/>
  <c r="AG71" i="2"/>
  <c r="V72" i="2"/>
  <c r="AD75" i="2"/>
  <c r="S76" i="2"/>
  <c r="AA94" i="2"/>
  <c r="AB100" i="2"/>
  <c r="AA100" i="2"/>
  <c r="AE101" i="2"/>
  <c r="AD101" i="2"/>
  <c r="Y101" i="2"/>
  <c r="X101" i="2"/>
  <c r="T101" i="2"/>
  <c r="S101" i="2"/>
  <c r="U101" i="2" s="1"/>
  <c r="X102" i="2"/>
  <c r="Y102" i="2"/>
  <c r="Z141" i="2"/>
  <c r="AB141" i="2"/>
  <c r="Y141" i="2"/>
  <c r="X141" i="2"/>
  <c r="W141" i="2"/>
  <c r="V141" i="2"/>
  <c r="AG141" i="2"/>
  <c r="T141" i="2"/>
  <c r="AF141" i="2"/>
  <c r="S141" i="2"/>
  <c r="AM177" i="2"/>
  <c r="AR193" i="2"/>
  <c r="AD228" i="2"/>
  <c r="AG228" i="2"/>
  <c r="AF228" i="2"/>
  <c r="AB228" i="2"/>
  <c r="W228" i="2"/>
  <c r="AD231" i="2"/>
  <c r="AB414" i="2"/>
  <c r="AA414" i="2"/>
  <c r="Z414" i="2"/>
  <c r="T414" i="2"/>
  <c r="E7" i="12"/>
  <c r="AA132" i="2"/>
  <c r="AC132" i="2"/>
  <c r="AB132" i="2"/>
  <c r="S14" i="2"/>
  <c r="AE15" i="2"/>
  <c r="AO92" i="2"/>
  <c r="Z115" i="2"/>
  <c r="AA115" i="2"/>
  <c r="Y10" i="2"/>
  <c r="T13" i="2"/>
  <c r="V14" i="2"/>
  <c r="AG14" i="2"/>
  <c r="S15" i="2"/>
  <c r="AG15" i="2"/>
  <c r="AN16" i="2"/>
  <c r="M25" i="3" s="1"/>
  <c r="M28" i="3" s="1"/>
  <c r="AD17" i="2"/>
  <c r="T21" i="2"/>
  <c r="U21" i="2" s="1"/>
  <c r="AA22" i="2"/>
  <c r="AM24" i="2"/>
  <c r="AB25" i="2"/>
  <c r="AG28" i="2"/>
  <c r="S29" i="2"/>
  <c r="AD29" i="2"/>
  <c r="X35" i="2"/>
  <c r="V39" i="2"/>
  <c r="AA40" i="2"/>
  <c r="AD42" i="2"/>
  <c r="S43" i="2"/>
  <c r="T47" i="2"/>
  <c r="AM48" i="2"/>
  <c r="X53" i="2"/>
  <c r="T69" i="2"/>
  <c r="S70" i="2"/>
  <c r="AF70" i="2"/>
  <c r="V76" i="2"/>
  <c r="AA79" i="2"/>
  <c r="AD79" i="2"/>
  <c r="W79" i="2"/>
  <c r="AG79" i="2"/>
  <c r="V80" i="2"/>
  <c r="AG94" i="2"/>
  <c r="Z95" i="2"/>
  <c r="S98" i="2"/>
  <c r="AG104" i="2"/>
  <c r="AF104" i="2"/>
  <c r="Y104" i="2"/>
  <c r="X104" i="2"/>
  <c r="W104" i="2"/>
  <c r="V104" i="2"/>
  <c r="AB115" i="2"/>
  <c r="Z150" i="2"/>
  <c r="AB150" i="2"/>
  <c r="Y150" i="2"/>
  <c r="X150" i="2"/>
  <c r="W150" i="2"/>
  <c r="V150" i="2"/>
  <c r="AG150" i="2"/>
  <c r="T150" i="2"/>
  <c r="AF150" i="2"/>
  <c r="S150" i="2"/>
  <c r="T196" i="2"/>
  <c r="AG231" i="2"/>
  <c r="AF266" i="2"/>
  <c r="AD366" i="2"/>
  <c r="AG366" i="2"/>
  <c r="AF366" i="2"/>
  <c r="AB366" i="2"/>
  <c r="Y366" i="2"/>
  <c r="W366" i="2"/>
  <c r="V366" i="2"/>
  <c r="AB406" i="2"/>
  <c r="X406" i="2"/>
  <c r="W406" i="2"/>
  <c r="AE39" i="2"/>
  <c r="AB55" i="2"/>
  <c r="Z55" i="2"/>
  <c r="AE47" i="2"/>
  <c r="AE72" i="2"/>
  <c r="AF72" i="2"/>
  <c r="S39" i="2"/>
  <c r="AE97" i="2"/>
  <c r="AD3" i="2"/>
  <c r="T15" i="2"/>
  <c r="T29" i="2"/>
  <c r="W39" i="2"/>
  <c r="AB40" i="2"/>
  <c r="X43" i="2"/>
  <c r="V45" i="2"/>
  <c r="V47" i="2"/>
  <c r="AN48" i="2"/>
  <c r="Y53" i="2"/>
  <c r="V54" i="2"/>
  <c r="X55" i="2"/>
  <c r="V69" i="2"/>
  <c r="T70" i="2"/>
  <c r="AG70" i="2"/>
  <c r="T71" i="2"/>
  <c r="Y72" i="2"/>
  <c r="W76" i="2"/>
  <c r="W80" i="2"/>
  <c r="AA95" i="2"/>
  <c r="S97" i="2"/>
  <c r="X98" i="2"/>
  <c r="AA105" i="2"/>
  <c r="AG105" i="2"/>
  <c r="T105" i="2"/>
  <c r="AF105" i="2"/>
  <c r="AD105" i="2"/>
  <c r="AB105" i="2"/>
  <c r="Z105" i="2"/>
  <c r="Y105" i="2"/>
  <c r="AO116" i="2"/>
  <c r="X126" i="2"/>
  <c r="W126" i="2"/>
  <c r="S126" i="2"/>
  <c r="AE142" i="2"/>
  <c r="AA142" i="2"/>
  <c r="W142" i="2"/>
  <c r="V142" i="2"/>
  <c r="T142" i="2"/>
  <c r="S142" i="2"/>
  <c r="AO149" i="2"/>
  <c r="AB152" i="2"/>
  <c r="AA152" i="2"/>
  <c r="Z152" i="2"/>
  <c r="V152" i="2"/>
  <c r="AB292" i="2"/>
  <c r="AG292" i="2"/>
  <c r="AF292" i="2"/>
  <c r="AD292" i="2"/>
  <c r="Z292" i="2"/>
  <c r="AF337" i="2"/>
  <c r="X337" i="2"/>
  <c r="AB338" i="2"/>
  <c r="AG338" i="2"/>
  <c r="AF338" i="2"/>
  <c r="AD338" i="2"/>
  <c r="Z338" i="2"/>
  <c r="Y338" i="2"/>
  <c r="AG55" i="2"/>
  <c r="AF21" i="2"/>
  <c r="AE28" i="2"/>
  <c r="AG39" i="2"/>
  <c r="AF47" i="2"/>
  <c r="AE69" i="2"/>
  <c r="AK177" i="2"/>
  <c r="V21" i="2"/>
  <c r="X14" i="2"/>
  <c r="AF29" i="2"/>
  <c r="X39" i="2"/>
  <c r="AC40" i="2"/>
  <c r="Y43" i="2"/>
  <c r="W47" i="2"/>
  <c r="AO48" i="2"/>
  <c r="Y55" i="2"/>
  <c r="Y63" i="2"/>
  <c r="W69" i="2"/>
  <c r="V71" i="2"/>
  <c r="Z72" i="2"/>
  <c r="X76" i="2"/>
  <c r="T79" i="2"/>
  <c r="Y80" i="2"/>
  <c r="V86" i="2"/>
  <c r="AB86" i="2"/>
  <c r="AA86" i="2"/>
  <c r="Z86" i="2"/>
  <c r="Y86" i="2"/>
  <c r="T97" i="2"/>
  <c r="AO99" i="2"/>
  <c r="AP99" i="2"/>
  <c r="AR99" i="2" s="1"/>
  <c r="AK103" i="2"/>
  <c r="AB110" i="2"/>
  <c r="Z110" i="2"/>
  <c r="Y110" i="2"/>
  <c r="X110" i="2"/>
  <c r="AP149" i="2"/>
  <c r="AR149" i="2" s="1"/>
  <c r="AN149" i="2"/>
  <c r="AE198" i="2"/>
  <c r="AG198" i="2"/>
  <c r="AC198" i="2"/>
  <c r="AB198" i="2"/>
  <c r="Z198" i="2"/>
  <c r="Y198" i="2"/>
  <c r="X198" i="2"/>
  <c r="W198" i="2"/>
  <c r="AG206" i="2"/>
  <c r="AE206" i="2"/>
  <c r="AD206" i="2"/>
  <c r="Z206" i="2"/>
  <c r="Y206" i="2"/>
  <c r="X239" i="2"/>
  <c r="W239" i="2"/>
  <c r="AE239" i="2"/>
  <c r="AD239" i="2"/>
  <c r="AC239" i="2"/>
  <c r="Z239" i="2"/>
  <c r="Y239" i="2"/>
  <c r="T239" i="2"/>
  <c r="S239" i="2"/>
  <c r="AE322" i="2"/>
  <c r="W322" i="2"/>
  <c r="V322" i="2"/>
  <c r="AD14" i="2"/>
  <c r="AF39" i="2"/>
  <c r="S40" i="2"/>
  <c r="T55" i="2"/>
  <c r="V94" i="2"/>
  <c r="Z98" i="2"/>
  <c r="AB98" i="2"/>
  <c r="Y98" i="2"/>
  <c r="W98" i="2"/>
  <c r="V98" i="2"/>
  <c r="AG98" i="2"/>
  <c r="AF98" i="2"/>
  <c r="T98" i="2"/>
  <c r="V13" i="2"/>
  <c r="AE29" i="2"/>
  <c r="AA10" i="2"/>
  <c r="W13" i="2"/>
  <c r="V15" i="2"/>
  <c r="W21" i="2"/>
  <c r="S4" i="2"/>
  <c r="AD22" i="2"/>
  <c r="AM30" i="2"/>
  <c r="T41" i="2"/>
  <c r="Z43" i="2"/>
  <c r="X45" i="2"/>
  <c r="X47" i="2"/>
  <c r="T49" i="2"/>
  <c r="X54" i="2"/>
  <c r="AD55" i="2"/>
  <c r="V68" i="2"/>
  <c r="V70" i="2"/>
  <c r="W71" i="2"/>
  <c r="AA72" i="2"/>
  <c r="AC76" i="2"/>
  <c r="AB78" i="2"/>
  <c r="AD78" i="2"/>
  <c r="V78" i="2"/>
  <c r="V79" i="2"/>
  <c r="AA80" i="2"/>
  <c r="Y81" i="2"/>
  <c r="W81" i="2"/>
  <c r="AD98" i="2"/>
  <c r="AB102" i="2"/>
  <c r="AO103" i="2"/>
  <c r="AE104" i="2"/>
  <c r="V105" i="2"/>
  <c r="AE141" i="2"/>
  <c r="AF142" i="2"/>
  <c r="AE144" i="2"/>
  <c r="AB144" i="2"/>
  <c r="AA144" i="2"/>
  <c r="Z144" i="2"/>
  <c r="Y144" i="2"/>
  <c r="T144" i="2"/>
  <c r="S144" i="2"/>
  <c r="U144" i="2" s="1"/>
  <c r="AM149" i="2"/>
  <c r="AD150" i="2"/>
  <c r="AA202" i="2"/>
  <c r="Z202" i="2"/>
  <c r="Y202" i="2"/>
  <c r="X202" i="2"/>
  <c r="W202" i="2"/>
  <c r="AG202" i="2"/>
  <c r="V202" i="2"/>
  <c r="AF202" i="2"/>
  <c r="T202" i="2"/>
  <c r="AE202" i="2"/>
  <c r="S202" i="2"/>
  <c r="AF217" i="2"/>
  <c r="AC217" i="2"/>
  <c r="AD217" i="2"/>
  <c r="Z217" i="2"/>
  <c r="Y217" i="2"/>
  <c r="X217" i="2"/>
  <c r="T217" i="2"/>
  <c r="S217" i="2"/>
  <c r="Y292" i="2"/>
  <c r="V337" i="2"/>
  <c r="V12" i="2"/>
  <c r="N14" i="3" s="1"/>
  <c r="AD70" i="2"/>
  <c r="X97" i="2"/>
  <c r="W97" i="2"/>
  <c r="Y3" i="2"/>
  <c r="Z3" i="2"/>
  <c r="W14" i="2"/>
  <c r="AD4" i="2"/>
  <c r="AK30" i="2"/>
  <c r="AG3" i="2"/>
  <c r="AE4" i="2"/>
  <c r="V11" i="2"/>
  <c r="X21" i="2"/>
  <c r="AA26" i="2"/>
  <c r="W28" i="2"/>
  <c r="AG29" i="2"/>
  <c r="T32" i="2"/>
  <c r="Y36" i="2"/>
  <c r="T4" i="2"/>
  <c r="AF4" i="2"/>
  <c r="AE5" i="2"/>
  <c r="W11" i="2"/>
  <c r="Y13" i="2"/>
  <c r="Z14" i="2"/>
  <c r="X15" i="2"/>
  <c r="AB21" i="2"/>
  <c r="AF22" i="2"/>
  <c r="S23" i="2"/>
  <c r="AF26" i="2"/>
  <c r="X28" i="2"/>
  <c r="W29" i="2"/>
  <c r="AN30" i="2"/>
  <c r="Z36" i="2"/>
  <c r="AE37" i="2"/>
  <c r="AC38" i="2"/>
  <c r="AC39" i="2"/>
  <c r="Z41" i="2"/>
  <c r="S42" i="2"/>
  <c r="AA43" i="2"/>
  <c r="Y45" i="2"/>
  <c r="Y47" i="2"/>
  <c r="V49" i="2"/>
  <c r="Y54" i="2"/>
  <c r="AE55" i="2"/>
  <c r="AA56" i="2"/>
  <c r="Z56" i="2"/>
  <c r="AD56" i="2"/>
  <c r="W68" i="2"/>
  <c r="W70" i="2"/>
  <c r="X71" i="2"/>
  <c r="AG72" i="2"/>
  <c r="V73" i="2"/>
  <c r="AE76" i="2"/>
  <c r="AF77" i="2"/>
  <c r="X79" i="2"/>
  <c r="W86" i="2"/>
  <c r="AE98" i="2"/>
  <c r="W105" i="2"/>
  <c r="Z106" i="2"/>
  <c r="AE106" i="2"/>
  <c r="S106" i="2"/>
  <c r="U106" i="2" s="1"/>
  <c r="AD106" i="2"/>
  <c r="AB106" i="2"/>
  <c r="Y106" i="2"/>
  <c r="X106" i="2"/>
  <c r="W106" i="2"/>
  <c r="AA110" i="2"/>
  <c r="AG142" i="2"/>
  <c r="AE150" i="2"/>
  <c r="AF156" i="2"/>
  <c r="AB156" i="2"/>
  <c r="AA156" i="2"/>
  <c r="Z156" i="2"/>
  <c r="Y156" i="2"/>
  <c r="X156" i="2"/>
  <c r="W156" i="2"/>
  <c r="AA163" i="2"/>
  <c r="Z163" i="2"/>
  <c r="Y163" i="2"/>
  <c r="X163" i="2"/>
  <c r="T163" i="2"/>
  <c r="S163" i="2"/>
  <c r="U163" i="2" s="1"/>
  <c r="Z169" i="2"/>
  <c r="Y169" i="2"/>
  <c r="X169" i="2"/>
  <c r="W169" i="2"/>
  <c r="V169" i="2"/>
  <c r="AG169" i="2"/>
  <c r="AF169" i="2"/>
  <c r="T169" i="2"/>
  <c r="AE169" i="2"/>
  <c r="S169" i="2"/>
  <c r="AF180" i="2"/>
  <c r="AD180" i="2"/>
  <c r="Z180" i="2"/>
  <c r="AE181" i="2"/>
  <c r="AB181" i="2"/>
  <c r="Z181" i="2"/>
  <c r="Y181" i="2"/>
  <c r="X181" i="2"/>
  <c r="W181" i="2"/>
  <c r="S181" i="2"/>
  <c r="S198" i="2"/>
  <c r="X203" i="2"/>
  <c r="V203" i="2"/>
  <c r="S203" i="2"/>
  <c r="AE203" i="2"/>
  <c r="AG239" i="2"/>
  <c r="S325" i="2"/>
  <c r="AB325" i="2"/>
  <c r="AA325" i="2"/>
  <c r="Z325" i="2"/>
  <c r="Y325" i="2"/>
  <c r="X325" i="2"/>
  <c r="T325" i="2"/>
  <c r="AG82" i="2"/>
  <c r="AA82" i="2"/>
  <c r="Z82" i="2"/>
  <c r="Y82" i="2"/>
  <c r="AE14" i="2"/>
  <c r="Z80" i="2"/>
  <c r="X80" i="2"/>
  <c r="AA9" i="2"/>
  <c r="Z10" i="2"/>
  <c r="AB22" i="2"/>
  <c r="T28" i="2"/>
  <c r="AF3" i="2"/>
  <c r="Z26" i="2"/>
  <c r="V28" i="2"/>
  <c r="X36" i="2"/>
  <c r="AD5" i="2"/>
  <c r="V10" i="3" s="1"/>
  <c r="X13" i="2"/>
  <c r="Y14" i="2"/>
  <c r="W15" i="2"/>
  <c r="V29" i="2"/>
  <c r="AB39" i="2"/>
  <c r="W2" i="2"/>
  <c r="O2" i="3" s="1"/>
  <c r="V4" i="2"/>
  <c r="AG4" i="2"/>
  <c r="S5" i="2"/>
  <c r="AF5" i="2"/>
  <c r="X10" i="3" s="1"/>
  <c r="Z13" i="2"/>
  <c r="AB14" i="2"/>
  <c r="AB15" i="2"/>
  <c r="AC21" i="2"/>
  <c r="Y28" i="2"/>
  <c r="X29" i="2"/>
  <c r="AF37" i="2"/>
  <c r="AD38" i="2"/>
  <c r="AD39" i="2"/>
  <c r="Z45" i="2"/>
  <c r="Z47" i="2"/>
  <c r="Z54" i="2"/>
  <c r="AC55" i="2"/>
  <c r="AF55" i="2"/>
  <c r="AE56" i="2"/>
  <c r="X57" i="2"/>
  <c r="AD57" i="2"/>
  <c r="AF58" i="2"/>
  <c r="AG58" i="2"/>
  <c r="AA61" i="2"/>
  <c r="Y61" i="2"/>
  <c r="X68" i="2"/>
  <c r="X70" i="2"/>
  <c r="AA71" i="2"/>
  <c r="X73" i="2"/>
  <c r="AF76" i="2"/>
  <c r="AG77" i="2"/>
  <c r="T78" i="2"/>
  <c r="Y79" i="2"/>
  <c r="AG80" i="2"/>
  <c r="V81" i="2"/>
  <c r="X86" i="2"/>
  <c r="S94" i="2"/>
  <c r="X105" i="2"/>
  <c r="AK113" i="2"/>
  <c r="AO113" i="2"/>
  <c r="AQ113" i="2" s="1"/>
  <c r="AC133" i="2"/>
  <c r="X137" i="2"/>
  <c r="W137" i="2"/>
  <c r="AB202" i="2"/>
  <c r="AE208" i="2"/>
  <c r="AG208" i="2"/>
  <c r="AC208" i="2"/>
  <c r="AB208" i="2"/>
  <c r="Z208" i="2"/>
  <c r="Y208" i="2"/>
  <c r="X208" i="2"/>
  <c r="W208" i="2"/>
  <c r="X583" i="2"/>
  <c r="AG583" i="2"/>
  <c r="AF583" i="2"/>
  <c r="AE583" i="2"/>
  <c r="AC583" i="2"/>
  <c r="V583" i="2"/>
  <c r="T583" i="2"/>
  <c r="AA312" i="2"/>
  <c r="Z312" i="2"/>
  <c r="Y312" i="2"/>
  <c r="X312" i="2"/>
  <c r="W312" i="2"/>
  <c r="AG312" i="2"/>
  <c r="V312" i="2"/>
  <c r="AF312" i="2"/>
  <c r="T312" i="2"/>
  <c r="AE312" i="2"/>
  <c r="S312" i="2"/>
  <c r="X319" i="2"/>
  <c r="W319" i="2"/>
  <c r="V319" i="2"/>
  <c r="AC375" i="2"/>
  <c r="AF375" i="2"/>
  <c r="AE375" i="2"/>
  <c r="V375" i="2"/>
  <c r="AG500" i="2"/>
  <c r="AD500" i="2"/>
  <c r="AB500" i="2"/>
  <c r="Z500" i="2"/>
  <c r="AB401" i="2"/>
  <c r="AG401" i="2"/>
  <c r="V401" i="2"/>
  <c r="AF91" i="2"/>
  <c r="AE112" i="2"/>
  <c r="X117" i="2"/>
  <c r="Z119" i="2"/>
  <c r="AC122" i="2"/>
  <c r="Y128" i="2"/>
  <c r="X130" i="2"/>
  <c r="AG131" i="2"/>
  <c r="Z136" i="2"/>
  <c r="W139" i="2"/>
  <c r="V140" i="2"/>
  <c r="AB143" i="2"/>
  <c r="AB147" i="2"/>
  <c r="AB155" i="2"/>
  <c r="Z158" i="2"/>
  <c r="AB159" i="2"/>
  <c r="Y160" i="2"/>
  <c r="AA161" i="2"/>
  <c r="V168" i="2"/>
  <c r="AG168" i="2"/>
  <c r="Y184" i="2"/>
  <c r="W185" i="2"/>
  <c r="Z190" i="2"/>
  <c r="AK193" i="2"/>
  <c r="AG201" i="2"/>
  <c r="AD203" i="2"/>
  <c r="AF205" i="2"/>
  <c r="AG209" i="2"/>
  <c r="W213" i="2"/>
  <c r="Z218" i="2"/>
  <c r="W222" i="2"/>
  <c r="AC229" i="2"/>
  <c r="AE229" i="2"/>
  <c r="V229" i="2"/>
  <c r="AF235" i="2"/>
  <c r="Y271" i="2"/>
  <c r="AG271" i="2"/>
  <c r="AD271" i="2"/>
  <c r="AA271" i="2"/>
  <c r="Z271" i="2"/>
  <c r="AB284" i="2"/>
  <c r="AE284" i="2"/>
  <c r="AD284" i="2"/>
  <c r="AA284" i="2"/>
  <c r="X284" i="2"/>
  <c r="W284" i="2"/>
  <c r="AB312" i="2"/>
  <c r="AP313" i="2"/>
  <c r="AR313" i="2" s="1"/>
  <c r="AB348" i="2"/>
  <c r="AG348" i="2"/>
  <c r="AF348" i="2"/>
  <c r="AD348" i="2"/>
  <c r="Z348" i="2"/>
  <c r="AA390" i="2"/>
  <c r="W390" i="2"/>
  <c r="AC390" i="2"/>
  <c r="AB390" i="2"/>
  <c r="Z390" i="2"/>
  <c r="Y390" i="2"/>
  <c r="V390" i="2"/>
  <c r="T390" i="2"/>
  <c r="AG390" i="2"/>
  <c r="S390" i="2"/>
  <c r="Y500" i="2"/>
  <c r="AE91" i="2"/>
  <c r="AG91" i="2"/>
  <c r="AF112" i="2"/>
  <c r="Y117" i="2"/>
  <c r="AA119" i="2"/>
  <c r="AD122" i="2"/>
  <c r="Z128" i="2"/>
  <c r="Y130" i="2"/>
  <c r="V131" i="2"/>
  <c r="AA136" i="2"/>
  <c r="X139" i="2"/>
  <c r="W140" i="2"/>
  <c r="AF147" i="2"/>
  <c r="AD158" i="2"/>
  <c r="AC159" i="2"/>
  <c r="AB161" i="2"/>
  <c r="W168" i="2"/>
  <c r="X185" i="2"/>
  <c r="AB190" i="2"/>
  <c r="X213" i="2"/>
  <c r="AB218" i="2"/>
  <c r="AB220" i="2"/>
  <c r="AD220" i="2"/>
  <c r="W242" i="2"/>
  <c r="AE242" i="2"/>
  <c r="AD242" i="2"/>
  <c r="Y242" i="2"/>
  <c r="T242" i="2"/>
  <c r="Z245" i="2"/>
  <c r="AF245" i="2"/>
  <c r="Y245" i="2"/>
  <c r="AC248" i="2"/>
  <c r="X248" i="2"/>
  <c r="AA259" i="2"/>
  <c r="AC259" i="2"/>
  <c r="X259" i="2"/>
  <c r="W259" i="2"/>
  <c r="AC287" i="2"/>
  <c r="S287" i="2"/>
  <c r="AC312" i="2"/>
  <c r="AE328" i="2"/>
  <c r="X328" i="2"/>
  <c r="W328" i="2"/>
  <c r="AA379" i="2"/>
  <c r="Z379" i="2"/>
  <c r="V425" i="2"/>
  <c r="AG425" i="2"/>
  <c r="AB425" i="2"/>
  <c r="AA425" i="2"/>
  <c r="Y425" i="2"/>
  <c r="Z425" i="2"/>
  <c r="W425" i="2"/>
  <c r="X481" i="2"/>
  <c r="T481" i="2"/>
  <c r="S481" i="2"/>
  <c r="AG112" i="2"/>
  <c r="Z117" i="2"/>
  <c r="AB119" i="2"/>
  <c r="AE122" i="2"/>
  <c r="AC124" i="2"/>
  <c r="AA128" i="2"/>
  <c r="Z130" i="2"/>
  <c r="W131" i="2"/>
  <c r="AB136" i="2"/>
  <c r="V137" i="2"/>
  <c r="Y139" i="2"/>
  <c r="X140" i="2"/>
  <c r="AC146" i="2"/>
  <c r="AF158" i="2"/>
  <c r="AD159" i="2"/>
  <c r="AC161" i="2"/>
  <c r="X168" i="2"/>
  <c r="AC190" i="2"/>
  <c r="AM193" i="2"/>
  <c r="AC218" i="2"/>
  <c r="AK219" i="2"/>
  <c r="AC222" i="2"/>
  <c r="AE227" i="2"/>
  <c r="X227" i="2"/>
  <c r="W227" i="2"/>
  <c r="AA235" i="2"/>
  <c r="Y235" i="2"/>
  <c r="X235" i="2"/>
  <c r="AA254" i="2"/>
  <c r="AG254" i="2"/>
  <c r="AF254" i="2"/>
  <c r="AB254" i="2"/>
  <c r="Z254" i="2"/>
  <c r="Y254" i="2"/>
  <c r="AA273" i="2"/>
  <c r="Z273" i="2"/>
  <c r="Y273" i="2"/>
  <c r="W273" i="2"/>
  <c r="AG273" i="2"/>
  <c r="V273" i="2"/>
  <c r="AF273" i="2"/>
  <c r="T273" i="2"/>
  <c r="AE273" i="2"/>
  <c r="S273" i="2"/>
  <c r="AG279" i="2"/>
  <c r="AA279" i="2"/>
  <c r="Z279" i="2"/>
  <c r="Y279" i="2"/>
  <c r="W279" i="2"/>
  <c r="S284" i="2"/>
  <c r="AD312" i="2"/>
  <c r="AE319" i="2"/>
  <c r="AA320" i="2"/>
  <c r="Z320" i="2"/>
  <c r="Y320" i="2"/>
  <c r="X320" i="2"/>
  <c r="W320" i="2"/>
  <c r="AG320" i="2"/>
  <c r="V320" i="2"/>
  <c r="AF320" i="2"/>
  <c r="AE320" i="2"/>
  <c r="T320" i="2"/>
  <c r="U320" i="2" s="1"/>
  <c r="AA327" i="2"/>
  <c r="AF327" i="2"/>
  <c r="AB327" i="2"/>
  <c r="AF347" i="2"/>
  <c r="Y348" i="2"/>
  <c r="X354" i="2"/>
  <c r="T354" i="2"/>
  <c r="AA378" i="2"/>
  <c r="AB378" i="2"/>
  <c r="Y387" i="2"/>
  <c r="AG387" i="2"/>
  <c r="AF387" i="2"/>
  <c r="AA387" i="2"/>
  <c r="AD390" i="2"/>
  <c r="Z391" i="2"/>
  <c r="V391" i="2"/>
  <c r="AE391" i="2"/>
  <c r="AD391" i="2"/>
  <c r="AC391" i="2"/>
  <c r="X391" i="2"/>
  <c r="W391" i="2"/>
  <c r="T391" i="2"/>
  <c r="S391" i="2"/>
  <c r="AC397" i="2"/>
  <c r="AB397" i="2"/>
  <c r="V492" i="2"/>
  <c r="W492" i="2"/>
  <c r="S492" i="2"/>
  <c r="AC492" i="2"/>
  <c r="AC105" i="2"/>
  <c r="AA117" i="2"/>
  <c r="AF119" i="2"/>
  <c r="AF122" i="2"/>
  <c r="AB130" i="2"/>
  <c r="X131" i="2"/>
  <c r="Z139" i="2"/>
  <c r="S153" i="2"/>
  <c r="AE158" i="2"/>
  <c r="AG158" i="2"/>
  <c r="S159" i="2"/>
  <c r="AE159" i="2"/>
  <c r="AD160" i="2"/>
  <c r="AF161" i="2"/>
  <c r="Y168" i="2"/>
  <c r="AD170" i="2"/>
  <c r="AA171" i="2"/>
  <c r="AC184" i="2"/>
  <c r="AG190" i="2"/>
  <c r="AB191" i="2"/>
  <c r="AN193" i="2"/>
  <c r="S197" i="2"/>
  <c r="T203" i="2"/>
  <c r="AG203" i="2"/>
  <c r="V204" i="2"/>
  <c r="S207" i="2"/>
  <c r="AC212" i="2"/>
  <c r="AG218" i="2"/>
  <c r="AO219" i="2"/>
  <c r="Y220" i="2"/>
  <c r="AO234" i="2"/>
  <c r="X242" i="2"/>
  <c r="AB243" i="2"/>
  <c r="S243" i="2"/>
  <c r="AE243" i="2"/>
  <c r="Z243" i="2"/>
  <c r="T245" i="2"/>
  <c r="AB246" i="2"/>
  <c r="AA246" i="2"/>
  <c r="Z265" i="2"/>
  <c r="AC265" i="2"/>
  <c r="AA265" i="2"/>
  <c r="X265" i="2"/>
  <c r="W265" i="2"/>
  <c r="V265" i="2"/>
  <c r="AG265" i="2"/>
  <c r="T265" i="2"/>
  <c r="AA307" i="2"/>
  <c r="Z307" i="2"/>
  <c r="Y307" i="2"/>
  <c r="X307" i="2"/>
  <c r="T307" i="2"/>
  <c r="S307" i="2"/>
  <c r="AE390" i="2"/>
  <c r="AE398" i="2"/>
  <c r="AB399" i="2"/>
  <c r="AC399" i="2"/>
  <c r="AD399" i="2"/>
  <c r="Z399" i="2"/>
  <c r="Y399" i="2"/>
  <c r="X399" i="2"/>
  <c r="W399" i="2"/>
  <c r="V399" i="2"/>
  <c r="T399" i="2"/>
  <c r="AE464" i="2"/>
  <c r="AA464" i="2"/>
  <c r="Z464" i="2"/>
  <c r="X464" i="2"/>
  <c r="AG119" i="2"/>
  <c r="AC130" i="2"/>
  <c r="AG161" i="2"/>
  <c r="AC185" i="2"/>
  <c r="AC213" i="2"/>
  <c r="X264" i="2"/>
  <c r="W264" i="2"/>
  <c r="V274" i="2"/>
  <c r="T274" i="2"/>
  <c r="V321" i="2"/>
  <c r="T321" i="2"/>
  <c r="S321" i="2"/>
  <c r="V359" i="2"/>
  <c r="AE359" i="2"/>
  <c r="S359" i="2"/>
  <c r="AF390" i="2"/>
  <c r="AA410" i="2"/>
  <c r="Y410" i="2"/>
  <c r="AG410" i="2"/>
  <c r="V410" i="2"/>
  <c r="AE410" i="2"/>
  <c r="T410" i="2"/>
  <c r="AD410" i="2"/>
  <c r="S410" i="2"/>
  <c r="AC410" i="2"/>
  <c r="AB410" i="2"/>
  <c r="Z410" i="2"/>
  <c r="X410" i="2"/>
  <c r="W410" i="2"/>
  <c r="AE66" i="2"/>
  <c r="AC69" i="2"/>
  <c r="AC79" i="2"/>
  <c r="Y85" i="2"/>
  <c r="AC97" i="2"/>
  <c r="X114" i="2"/>
  <c r="S117" i="2"/>
  <c r="U117" i="2" s="1"/>
  <c r="AA118" i="2"/>
  <c r="X120" i="2"/>
  <c r="V122" i="2"/>
  <c r="Z124" i="2"/>
  <c r="AE128" i="2"/>
  <c r="AF129" i="2"/>
  <c r="AD130" i="2"/>
  <c r="AB131" i="2"/>
  <c r="AC136" i="2"/>
  <c r="AE139" i="2"/>
  <c r="AB140" i="2"/>
  <c r="AA146" i="2"/>
  <c r="AC154" i="2"/>
  <c r="V159" i="2"/>
  <c r="AG159" i="2"/>
  <c r="S160" i="2"/>
  <c r="AF160" i="2"/>
  <c r="Z167" i="2"/>
  <c r="AB168" i="2"/>
  <c r="S184" i="2"/>
  <c r="AE184" i="2"/>
  <c r="AD185" i="2"/>
  <c r="AG191" i="2"/>
  <c r="X197" i="2"/>
  <c r="T201" i="2"/>
  <c r="W203" i="2"/>
  <c r="X207" i="2"/>
  <c r="S212" i="2"/>
  <c r="AE212" i="2"/>
  <c r="AD213" i="2"/>
  <c r="AE220" i="2"/>
  <c r="AA221" i="2"/>
  <c r="AB221" i="2"/>
  <c r="Z221" i="2"/>
  <c r="AE221" i="2"/>
  <c r="Z222" i="2"/>
  <c r="Y222" i="2"/>
  <c r="X222" i="2"/>
  <c r="AF222" i="2"/>
  <c r="AG225" i="2"/>
  <c r="Z225" i="2"/>
  <c r="Y225" i="2"/>
  <c r="Y227" i="2"/>
  <c r="T235" i="2"/>
  <c r="AA242" i="2"/>
  <c r="T243" i="2"/>
  <c r="V244" i="2"/>
  <c r="S244" i="2"/>
  <c r="AE245" i="2"/>
  <c r="T248" i="2"/>
  <c r="U248" i="2" s="1"/>
  <c r="S265" i="2"/>
  <c r="AB273" i="2"/>
  <c r="AB279" i="2"/>
  <c r="AA289" i="2"/>
  <c r="Z289" i="2"/>
  <c r="Y289" i="2"/>
  <c r="X289" i="2"/>
  <c r="W289" i="2"/>
  <c r="S289" i="2"/>
  <c r="AB307" i="2"/>
  <c r="AB320" i="2"/>
  <c r="AE335" i="2"/>
  <c r="AG335" i="2"/>
  <c r="AC335" i="2"/>
  <c r="AB335" i="2"/>
  <c r="Z335" i="2"/>
  <c r="AD356" i="2"/>
  <c r="AG356" i="2"/>
  <c r="AF356" i="2"/>
  <c r="AB356" i="2"/>
  <c r="Y356" i="2"/>
  <c r="W356" i="2"/>
  <c r="V356" i="2"/>
  <c r="AE373" i="2"/>
  <c r="AG373" i="2"/>
  <c r="AC373" i="2"/>
  <c r="AB373" i="2"/>
  <c r="Z373" i="2"/>
  <c r="X373" i="2"/>
  <c r="W373" i="2"/>
  <c r="AG391" i="2"/>
  <c r="S399" i="2"/>
  <c r="U399" i="2" s="1"/>
  <c r="V464" i="2"/>
  <c r="S130" i="2"/>
  <c r="AE130" i="2"/>
  <c r="AC131" i="2"/>
  <c r="Z135" i="2"/>
  <c r="AF139" i="2"/>
  <c r="X147" i="2"/>
  <c r="V158" i="2"/>
  <c r="AE166" i="2"/>
  <c r="AC168" i="2"/>
  <c r="AF174" i="2"/>
  <c r="S190" i="2"/>
  <c r="AG199" i="2"/>
  <c r="S218" i="2"/>
  <c r="W223" i="2"/>
  <c r="X243" i="2"/>
  <c r="V248" i="2"/>
  <c r="Y265" i="2"/>
  <c r="X266" i="2"/>
  <c r="AC273" i="2"/>
  <c r="AE310" i="2"/>
  <c r="AC320" i="2"/>
  <c r="AD334" i="2"/>
  <c r="Y334" i="2"/>
  <c r="X334" i="2"/>
  <c r="X364" i="2"/>
  <c r="T364" i="2"/>
  <c r="X376" i="2"/>
  <c r="T376" i="2"/>
  <c r="AA400" i="2"/>
  <c r="Z400" i="2"/>
  <c r="AC400" i="2"/>
  <c r="AB400" i="2"/>
  <c r="Y400" i="2"/>
  <c r="X400" i="2"/>
  <c r="W400" i="2"/>
  <c r="V400" i="2"/>
  <c r="AG400" i="2"/>
  <c r="T400" i="2"/>
  <c r="AF410" i="2"/>
  <c r="AB419" i="2"/>
  <c r="AD419" i="2"/>
  <c r="Z419" i="2"/>
  <c r="X419" i="2"/>
  <c r="W419" i="2"/>
  <c r="S419" i="2"/>
  <c r="AF419" i="2"/>
  <c r="AG419" i="2"/>
  <c r="AE419" i="2"/>
  <c r="AA420" i="2"/>
  <c r="Z420" i="2"/>
  <c r="Y420" i="2"/>
  <c r="W420" i="2"/>
  <c r="AG420" i="2"/>
  <c r="V420" i="2"/>
  <c r="AF420" i="2"/>
  <c r="AE420" i="2"/>
  <c r="T420" i="2"/>
  <c r="AC420" i="2"/>
  <c r="AD420" i="2"/>
  <c r="AB420" i="2"/>
  <c r="X420" i="2"/>
  <c r="S420" i="2"/>
  <c r="AF641" i="2"/>
  <c r="AG641" i="2"/>
  <c r="S641" i="2"/>
  <c r="AF244" i="2"/>
  <c r="Z256" i="2"/>
  <c r="Z257" i="2"/>
  <c r="AF258" i="2"/>
  <c r="AE260" i="2"/>
  <c r="AG272" i="2"/>
  <c r="AE274" i="2"/>
  <c r="X277" i="2"/>
  <c r="X282" i="2"/>
  <c r="W283" i="2"/>
  <c r="AD286" i="2"/>
  <c r="AA288" i="2"/>
  <c r="AB293" i="2"/>
  <c r="X294" i="2"/>
  <c r="Z302" i="2"/>
  <c r="AB303" i="2"/>
  <c r="X304" i="2"/>
  <c r="AB305" i="2"/>
  <c r="AG311" i="2"/>
  <c r="AA315" i="2"/>
  <c r="AC317" i="2"/>
  <c r="AE321" i="2"/>
  <c r="AC322" i="2"/>
  <c r="AB326" i="2"/>
  <c r="X330" i="2"/>
  <c r="W340" i="2"/>
  <c r="AB350" i="2"/>
  <c r="AC355" i="2"/>
  <c r="AE358" i="2"/>
  <c r="AC359" i="2"/>
  <c r="AC360" i="2"/>
  <c r="AC365" i="2"/>
  <c r="AA380" i="2"/>
  <c r="AF380" i="2"/>
  <c r="W383" i="2"/>
  <c r="AC432" i="2"/>
  <c r="V432" i="2"/>
  <c r="T432" i="2"/>
  <c r="S432" i="2"/>
  <c r="AE432" i="2"/>
  <c r="AA466" i="2"/>
  <c r="AB466" i="2"/>
  <c r="Z466" i="2"/>
  <c r="Y466" i="2"/>
  <c r="X466" i="2"/>
  <c r="W466" i="2"/>
  <c r="AG466" i="2"/>
  <c r="V466" i="2"/>
  <c r="AF466" i="2"/>
  <c r="T466" i="2"/>
  <c r="AD466" i="2"/>
  <c r="Z629" i="2"/>
  <c r="AF629" i="2"/>
  <c r="AD629" i="2"/>
  <c r="AA629" i="2"/>
  <c r="T629" i="2"/>
  <c r="AA651" i="2"/>
  <c r="AD651" i="2"/>
  <c r="AG651" i="2"/>
  <c r="AF651" i="2"/>
  <c r="AB651" i="2"/>
  <c r="T651" i="2"/>
  <c r="Y282" i="2"/>
  <c r="X283" i="2"/>
  <c r="AE286" i="2"/>
  <c r="AB288" i="2"/>
  <c r="AC293" i="2"/>
  <c r="AB294" i="2"/>
  <c r="AD302" i="2"/>
  <c r="AC303" i="2"/>
  <c r="AB304" i="2"/>
  <c r="AC305" i="2"/>
  <c r="AB315" i="2"/>
  <c r="AF321" i="2"/>
  <c r="Y330" i="2"/>
  <c r="AB339" i="2"/>
  <c r="X340" i="2"/>
  <c r="AC349" i="2"/>
  <c r="AC350" i="2"/>
  <c r="AG355" i="2"/>
  <c r="AF358" i="2"/>
  <c r="AD359" i="2"/>
  <c r="AD360" i="2"/>
  <c r="AE408" i="2"/>
  <c r="X408" i="2"/>
  <c r="W408" i="2"/>
  <c r="AG422" i="2"/>
  <c r="AF422" i="2"/>
  <c r="AA422" i="2"/>
  <c r="Z422" i="2"/>
  <c r="T422" i="2"/>
  <c r="W441" i="2"/>
  <c r="T441" i="2"/>
  <c r="AC471" i="2"/>
  <c r="X471" i="2"/>
  <c r="T471" i="2"/>
  <c r="S471" i="2"/>
  <c r="AD493" i="2"/>
  <c r="AG493" i="2"/>
  <c r="AF493" i="2"/>
  <c r="AB493" i="2"/>
  <c r="W493" i="2"/>
  <c r="AD256" i="2"/>
  <c r="AC257" i="2"/>
  <c r="AD257" i="2"/>
  <c r="X258" i="2"/>
  <c r="S260" i="2"/>
  <c r="Z282" i="2"/>
  <c r="Y283" i="2"/>
  <c r="AC285" i="2"/>
  <c r="AF286" i="2"/>
  <c r="AD293" i="2"/>
  <c r="AC294" i="2"/>
  <c r="AF302" i="2"/>
  <c r="AG305" i="2"/>
  <c r="AE315" i="2"/>
  <c r="Y329" i="2"/>
  <c r="Z330" i="2"/>
  <c r="AC339" i="2"/>
  <c r="AB340" i="2"/>
  <c r="Z342" i="2"/>
  <c r="AD350" i="2"/>
  <c r="AG358" i="2"/>
  <c r="AE360" i="2"/>
  <c r="AC383" i="2"/>
  <c r="T398" i="2"/>
  <c r="X404" i="2"/>
  <c r="AC431" i="2"/>
  <c r="AB431" i="2"/>
  <c r="W450" i="2"/>
  <c r="V450" i="2"/>
  <c r="AA456" i="2"/>
  <c r="AB456" i="2"/>
  <c r="Z456" i="2"/>
  <c r="Y456" i="2"/>
  <c r="X456" i="2"/>
  <c r="W456" i="2"/>
  <c r="AG456" i="2"/>
  <c r="V456" i="2"/>
  <c r="AF456" i="2"/>
  <c r="T456" i="2"/>
  <c r="AD456" i="2"/>
  <c r="S466" i="2"/>
  <c r="Z467" i="2"/>
  <c r="AE467" i="2"/>
  <c r="AC467" i="2"/>
  <c r="AB467" i="2"/>
  <c r="X467" i="2"/>
  <c r="W467" i="2"/>
  <c r="S467" i="2"/>
  <c r="AB485" i="2"/>
  <c r="AG485" i="2"/>
  <c r="AF485" i="2"/>
  <c r="AE485" i="2"/>
  <c r="AD485" i="2"/>
  <c r="Z485" i="2"/>
  <c r="Y485" i="2"/>
  <c r="X249" i="2"/>
  <c r="S251" i="2"/>
  <c r="AE256" i="2"/>
  <c r="AE257" i="2"/>
  <c r="AC282" i="2"/>
  <c r="AD282" i="2"/>
  <c r="Z283" i="2"/>
  <c r="S286" i="2"/>
  <c r="AC288" i="2"/>
  <c r="AE293" i="2"/>
  <c r="AD294" i="2"/>
  <c r="AG302" i="2"/>
  <c r="AD304" i="2"/>
  <c r="AP318" i="2"/>
  <c r="AR318" i="2" s="1"/>
  <c r="AB330" i="2"/>
  <c r="AD339" i="2"/>
  <c r="AC340" i="2"/>
  <c r="AA342" i="2"/>
  <c r="S349" i="2"/>
  <c r="AE350" i="2"/>
  <c r="T359" i="2"/>
  <c r="U359" i="2" s="1"/>
  <c r="AF359" i="2"/>
  <c r="AF360" i="2"/>
  <c r="AE365" i="2"/>
  <c r="AK369" i="2"/>
  <c r="Y376" i="2"/>
  <c r="Z380" i="2"/>
  <c r="AE384" i="2"/>
  <c r="AD384" i="2"/>
  <c r="Z395" i="2"/>
  <c r="AD395" i="2"/>
  <c r="V398" i="2"/>
  <c r="AB422" i="2"/>
  <c r="AG433" i="2"/>
  <c r="AD433" i="2"/>
  <c r="AB433" i="2"/>
  <c r="Z433" i="2"/>
  <c r="Y433" i="2"/>
  <c r="AC466" i="2"/>
  <c r="V493" i="2"/>
  <c r="AE282" i="2"/>
  <c r="AB283" i="2"/>
  <c r="AC330" i="2"/>
  <c r="AD340" i="2"/>
  <c r="AG443" i="2"/>
  <c r="AD443" i="2"/>
  <c r="AB443" i="2"/>
  <c r="Z443" i="2"/>
  <c r="Y443" i="2"/>
  <c r="T443" i="2"/>
  <c r="Z457" i="2"/>
  <c r="AE457" i="2"/>
  <c r="AC457" i="2"/>
  <c r="AB457" i="2"/>
  <c r="X457" i="2"/>
  <c r="W457" i="2"/>
  <c r="S457" i="2"/>
  <c r="AE477" i="2"/>
  <c r="AC477" i="2"/>
  <c r="X477" i="2"/>
  <c r="W477" i="2"/>
  <c r="S477" i="2"/>
  <c r="AA496" i="2"/>
  <c r="AB496" i="2"/>
  <c r="Y496" i="2"/>
  <c r="X496" i="2"/>
  <c r="W496" i="2"/>
  <c r="V496" i="2"/>
  <c r="AG496" i="2"/>
  <c r="T496" i="2"/>
  <c r="AF496" i="2"/>
  <c r="S496" i="2"/>
  <c r="AE496" i="2"/>
  <c r="AC496" i="2"/>
  <c r="W497" i="2"/>
  <c r="S497" i="2"/>
  <c r="AA511" i="2"/>
  <c r="AD511" i="2"/>
  <c r="AB511" i="2"/>
  <c r="AG511" i="2"/>
  <c r="AF511" i="2"/>
  <c r="Z511" i="2"/>
  <c r="AA599" i="2"/>
  <c r="Y599" i="2"/>
  <c r="AE599" i="2"/>
  <c r="AD599" i="2"/>
  <c r="Z599" i="2"/>
  <c r="W599" i="2"/>
  <c r="V599" i="2"/>
  <c r="T599" i="2"/>
  <c r="AG599" i="2"/>
  <c r="AF599" i="2"/>
  <c r="S599" i="2"/>
  <c r="Z240" i="2"/>
  <c r="Y244" i="2"/>
  <c r="AE248" i="2"/>
  <c r="Z251" i="2"/>
  <c r="S256" i="2"/>
  <c r="AG256" i="2"/>
  <c r="S257" i="2"/>
  <c r="AG257" i="2"/>
  <c r="T258" i="2"/>
  <c r="Z260" i="2"/>
  <c r="AE263" i="2"/>
  <c r="AC264" i="2"/>
  <c r="V267" i="2"/>
  <c r="Y272" i="2"/>
  <c r="X274" i="2"/>
  <c r="Z277" i="2"/>
  <c r="Z280" i="2"/>
  <c r="AF282" i="2"/>
  <c r="AC283" i="2"/>
  <c r="V286" i="2"/>
  <c r="AB287" i="2"/>
  <c r="V293" i="2"/>
  <c r="AG293" i="2"/>
  <c r="S294" i="2"/>
  <c r="AF294" i="2"/>
  <c r="V296" i="2"/>
  <c r="T298" i="2"/>
  <c r="AC299" i="2"/>
  <c r="AA301" i="2"/>
  <c r="T302" i="2"/>
  <c r="V303" i="2"/>
  <c r="AG303" i="2"/>
  <c r="S304" i="2"/>
  <c r="AF304" i="2"/>
  <c r="T311" i="2"/>
  <c r="Z314" i="2"/>
  <c r="Z319" i="2"/>
  <c r="W321" i="2"/>
  <c r="S324" i="2"/>
  <c r="W326" i="2"/>
  <c r="AF329" i="2"/>
  <c r="AD330" i="2"/>
  <c r="W336" i="2"/>
  <c r="T339" i="2"/>
  <c r="U339" i="2" s="1"/>
  <c r="AF339" i="2"/>
  <c r="AE340" i="2"/>
  <c r="AB343" i="2"/>
  <c r="W346" i="2"/>
  <c r="V349" i="2"/>
  <c r="AG349" i="2"/>
  <c r="S350" i="2"/>
  <c r="AG350" i="2"/>
  <c r="W351" i="2"/>
  <c r="V352" i="2"/>
  <c r="AD354" i="2"/>
  <c r="S355" i="2"/>
  <c r="W359" i="2"/>
  <c r="T360" i="2"/>
  <c r="V362" i="2"/>
  <c r="AD364" i="2"/>
  <c r="S365" i="2"/>
  <c r="AM369" i="2"/>
  <c r="V374" i="2"/>
  <c r="AD376" i="2"/>
  <c r="AD380" i="2"/>
  <c r="S384" i="2"/>
  <c r="AG385" i="2"/>
  <c r="S386" i="2"/>
  <c r="AF394" i="2"/>
  <c r="S395" i="2"/>
  <c r="X398" i="2"/>
  <c r="V408" i="2"/>
  <c r="T433" i="2"/>
  <c r="V445" i="2"/>
  <c r="AC445" i="2"/>
  <c r="X445" i="2"/>
  <c r="W448" i="2"/>
  <c r="V448" i="2"/>
  <c r="T448" i="2"/>
  <c r="AE448" i="2"/>
  <c r="S448" i="2"/>
  <c r="AC456" i="2"/>
  <c r="AA516" i="2"/>
  <c r="AC516" i="2"/>
  <c r="X516" i="2"/>
  <c r="AE517" i="2"/>
  <c r="AF517" i="2"/>
  <c r="AD517" i="2"/>
  <c r="Z517" i="2"/>
  <c r="Y517" i="2"/>
  <c r="T517" i="2"/>
  <c r="S517" i="2"/>
  <c r="AG533" i="2"/>
  <c r="AF533" i="2"/>
  <c r="AA533" i="2"/>
  <c r="T533" i="2"/>
  <c r="AB533" i="2"/>
  <c r="AA240" i="2"/>
  <c r="Z244" i="2"/>
  <c r="AE251" i="2"/>
  <c r="T256" i="2"/>
  <c r="Y258" i="2"/>
  <c r="AD260" i="2"/>
  <c r="AF263" i="2"/>
  <c r="AD264" i="2"/>
  <c r="AF267" i="2"/>
  <c r="Z272" i="2"/>
  <c r="AA274" i="2"/>
  <c r="AA277" i="2"/>
  <c r="X279" i="2"/>
  <c r="AA280" i="2"/>
  <c r="S282" i="2"/>
  <c r="U282" i="2" s="1"/>
  <c r="AG282" i="2"/>
  <c r="S283" i="2"/>
  <c r="U283" i="2" s="1"/>
  <c r="AD283" i="2"/>
  <c r="AE287" i="2"/>
  <c r="T288" i="2"/>
  <c r="AE291" i="2"/>
  <c r="W293" i="2"/>
  <c r="T294" i="2"/>
  <c r="AG294" i="2"/>
  <c r="AA298" i="2"/>
  <c r="V302" i="2"/>
  <c r="W303" i="2"/>
  <c r="T304" i="2"/>
  <c r="AG304" i="2"/>
  <c r="T305" i="2"/>
  <c r="Y311" i="2"/>
  <c r="AE314" i="2"/>
  <c r="AD319" i="2"/>
  <c r="X321" i="2"/>
  <c r="Z324" i="2"/>
  <c r="AC325" i="2"/>
  <c r="AG329" i="2"/>
  <c r="S330" i="2"/>
  <c r="AE330" i="2"/>
  <c r="AE331" i="2"/>
  <c r="Y336" i="2"/>
  <c r="V339" i="2"/>
  <c r="AG339" i="2"/>
  <c r="S340" i="2"/>
  <c r="U340" i="2" s="1"/>
  <c r="AF340" i="2"/>
  <c r="AD343" i="2"/>
  <c r="AE345" i="2"/>
  <c r="Y346" i="2"/>
  <c r="W349" i="2"/>
  <c r="T350" i="2"/>
  <c r="W355" i="2"/>
  <c r="V357" i="2"/>
  <c r="T358" i="2"/>
  <c r="X359" i="2"/>
  <c r="V360" i="2"/>
  <c r="W365" i="2"/>
  <c r="V367" i="2"/>
  <c r="T372" i="2"/>
  <c r="W374" i="2"/>
  <c r="AE376" i="2"/>
  <c r="AK377" i="2"/>
  <c r="AL377" i="2" s="1"/>
  <c r="AG380" i="2"/>
  <c r="AB381" i="2"/>
  <c r="T384" i="2"/>
  <c r="X386" i="2"/>
  <c r="Y392" i="2"/>
  <c r="W392" i="2"/>
  <c r="AE392" i="2"/>
  <c r="X395" i="2"/>
  <c r="Y396" i="2"/>
  <c r="Z396" i="2"/>
  <c r="Y398" i="2"/>
  <c r="T413" i="2"/>
  <c r="AF413" i="2"/>
  <c r="AB413" i="2"/>
  <c r="AE456" i="2"/>
  <c r="AG457" i="2"/>
  <c r="Z496" i="2"/>
  <c r="T501" i="2"/>
  <c r="S501" i="2"/>
  <c r="AE508" i="2"/>
  <c r="S508" i="2"/>
  <c r="Y511" i="2"/>
  <c r="T419" i="2"/>
  <c r="W422" i="2"/>
  <c r="X428" i="2"/>
  <c r="W429" i="2"/>
  <c r="W430" i="2"/>
  <c r="Z435" i="2"/>
  <c r="X439" i="2"/>
  <c r="X440" i="2"/>
  <c r="V442" i="2"/>
  <c r="W446" i="2"/>
  <c r="AC449" i="2"/>
  <c r="Z451" i="2"/>
  <c r="AD460" i="2"/>
  <c r="W462" i="2"/>
  <c r="AB463" i="2"/>
  <c r="AF465" i="2"/>
  <c r="Z470" i="2"/>
  <c r="Z472" i="2"/>
  <c r="AG475" i="2"/>
  <c r="S476" i="2"/>
  <c r="AE476" i="2"/>
  <c r="AB478" i="2"/>
  <c r="W482" i="2"/>
  <c r="AG483" i="2"/>
  <c r="V484" i="2"/>
  <c r="V486" i="2"/>
  <c r="AG486" i="2"/>
  <c r="S487" i="2"/>
  <c r="T491" i="2"/>
  <c r="AD495" i="2"/>
  <c r="T505" i="2"/>
  <c r="AG506" i="2"/>
  <c r="W507" i="2"/>
  <c r="AA508" i="2"/>
  <c r="Z508" i="2"/>
  <c r="T521" i="2"/>
  <c r="T522" i="2"/>
  <c r="S525" i="2"/>
  <c r="AD532" i="2"/>
  <c r="AC532" i="2"/>
  <c r="S534" i="2"/>
  <c r="AD534" i="2"/>
  <c r="AB534" i="2"/>
  <c r="X538" i="2"/>
  <c r="W538" i="2"/>
  <c r="T551" i="2"/>
  <c r="AE551" i="2"/>
  <c r="AD551" i="2"/>
  <c r="AB551" i="2"/>
  <c r="AB570" i="2"/>
  <c r="AG570" i="2"/>
  <c r="AE570" i="2"/>
  <c r="AD570" i="2"/>
  <c r="Z570" i="2"/>
  <c r="AN606" i="2"/>
  <c r="AP606" i="2"/>
  <c r="AO606" i="2"/>
  <c r="AK606" i="2"/>
  <c r="AA608" i="2"/>
  <c r="AG608" i="2"/>
  <c r="AF608" i="2"/>
  <c r="AD608" i="2"/>
  <c r="AB608" i="2"/>
  <c r="Z608" i="2"/>
  <c r="Y608" i="2"/>
  <c r="AO613" i="2"/>
  <c r="AA616" i="2"/>
  <c r="Z616" i="2"/>
  <c r="AG616" i="2"/>
  <c r="AF616" i="2"/>
  <c r="AD616" i="2"/>
  <c r="AB616" i="2"/>
  <c r="X629" i="2"/>
  <c r="Z647" i="2"/>
  <c r="AF647" i="2"/>
  <c r="AD647" i="2"/>
  <c r="AA647" i="2"/>
  <c r="T647" i="2"/>
  <c r="W651" i="2"/>
  <c r="AA666" i="2"/>
  <c r="Z666" i="2"/>
  <c r="AD666" i="2"/>
  <c r="AB666" i="2"/>
  <c r="AG409" i="2"/>
  <c r="AB415" i="2"/>
  <c r="AG417" i="2"/>
  <c r="V418" i="2"/>
  <c r="Z428" i="2"/>
  <c r="Y429" i="2"/>
  <c r="AB430" i="2"/>
  <c r="AC435" i="2"/>
  <c r="Y438" i="2"/>
  <c r="Z439" i="2"/>
  <c r="AC440" i="2"/>
  <c r="AA442" i="2"/>
  <c r="AC444" i="2"/>
  <c r="S445" i="2"/>
  <c r="AA446" i="2"/>
  <c r="AC448" i="2"/>
  <c r="AG449" i="2"/>
  <c r="T450" i="2"/>
  <c r="T452" i="2"/>
  <c r="Z462" i="2"/>
  <c r="AD470" i="2"/>
  <c r="V476" i="2"/>
  <c r="Z482" i="2"/>
  <c r="X487" i="2"/>
  <c r="Y491" i="2"/>
  <c r="AE492" i="2"/>
  <c r="AF495" i="2"/>
  <c r="Z497" i="2"/>
  <c r="AE497" i="2"/>
  <c r="AF501" i="2"/>
  <c r="AC501" i="2"/>
  <c r="X506" i="2"/>
  <c r="W521" i="2"/>
  <c r="Y522" i="2"/>
  <c r="AB536" i="2"/>
  <c r="AD536" i="2"/>
  <c r="X536" i="2"/>
  <c r="AE547" i="2"/>
  <c r="W560" i="2"/>
  <c r="W588" i="2"/>
  <c r="AD621" i="2"/>
  <c r="AG621" i="2"/>
  <c r="AF621" i="2"/>
  <c r="AB621" i="2"/>
  <c r="Z621" i="2"/>
  <c r="Y621" i="2"/>
  <c r="T621" i="2"/>
  <c r="S621" i="2"/>
  <c r="AR689" i="2"/>
  <c r="AB691" i="2"/>
  <c r="AE691" i="2"/>
  <c r="AD691" i="2"/>
  <c r="AC691" i="2"/>
  <c r="V691" i="2"/>
  <c r="T691" i="2"/>
  <c r="S691" i="2"/>
  <c r="AP706" i="2"/>
  <c r="AO706" i="2"/>
  <c r="AK706" i="2"/>
  <c r="AL706" i="2" s="1"/>
  <c r="AD415" i="2"/>
  <c r="W418" i="2"/>
  <c r="AC428" i="2"/>
  <c r="AD428" i="2"/>
  <c r="Z429" i="2"/>
  <c r="AE430" i="2"/>
  <c r="AF435" i="2"/>
  <c r="Z438" i="2"/>
  <c r="AB439" i="2"/>
  <c r="AE440" i="2"/>
  <c r="W445" i="2"/>
  <c r="AB446" i="2"/>
  <c r="AB462" i="2"/>
  <c r="W476" i="2"/>
  <c r="AB482" i="2"/>
  <c r="AC491" i="2"/>
  <c r="AD503" i="2"/>
  <c r="AB503" i="2"/>
  <c r="AB520" i="2"/>
  <c r="S520" i="2"/>
  <c r="Z521" i="2"/>
  <c r="AA522" i="2"/>
  <c r="AA530" i="2"/>
  <c r="AG530" i="2"/>
  <c r="Z530" i="2"/>
  <c r="AN531" i="2"/>
  <c r="AM531" i="2"/>
  <c r="AD547" i="2"/>
  <c r="AF547" i="2"/>
  <c r="AB547" i="2"/>
  <c r="Y547" i="2"/>
  <c r="X547" i="2"/>
  <c r="W547" i="2"/>
  <c r="AA549" i="2"/>
  <c r="V549" i="2"/>
  <c r="AF549" i="2"/>
  <c r="AD549" i="2"/>
  <c r="AC549" i="2"/>
  <c r="AB549" i="2"/>
  <c r="Y560" i="2"/>
  <c r="AF560" i="2"/>
  <c r="AE560" i="2"/>
  <c r="AD560" i="2"/>
  <c r="AA560" i="2"/>
  <c r="Z560" i="2"/>
  <c r="AA580" i="2"/>
  <c r="AF580" i="2"/>
  <c r="AD580" i="2"/>
  <c r="AC580" i="2"/>
  <c r="AB580" i="2"/>
  <c r="Z580" i="2"/>
  <c r="Y580" i="2"/>
  <c r="X580" i="2"/>
  <c r="Y588" i="2"/>
  <c r="AF588" i="2"/>
  <c r="AE588" i="2"/>
  <c r="AD588" i="2"/>
  <c r="AA588" i="2"/>
  <c r="Z588" i="2"/>
  <c r="T588" i="2"/>
  <c r="V666" i="2"/>
  <c r="V715" i="2"/>
  <c r="AE715" i="2"/>
  <c r="AE428" i="2"/>
  <c r="AB429" i="2"/>
  <c r="AG435" i="2"/>
  <c r="AC439" i="2"/>
  <c r="AG440" i="2"/>
  <c r="AF446" i="2"/>
  <c r="AC462" i="2"/>
  <c r="AC482" i="2"/>
  <c r="AC487" i="2"/>
  <c r="AD491" i="2"/>
  <c r="AE505" i="2"/>
  <c r="AB521" i="2"/>
  <c r="AD522" i="2"/>
  <c r="AE525" i="2"/>
  <c r="AC587" i="2"/>
  <c r="AB587" i="2"/>
  <c r="AA590" i="2"/>
  <c r="Z590" i="2"/>
  <c r="Y590" i="2"/>
  <c r="X590" i="2"/>
  <c r="V590" i="2"/>
  <c r="AG590" i="2"/>
  <c r="AF590" i="2"/>
  <c r="T590" i="2"/>
  <c r="AE590" i="2"/>
  <c r="S590" i="2"/>
  <c r="Y624" i="2"/>
  <c r="S624" i="2"/>
  <c r="Z624" i="2"/>
  <c r="AF624" i="2"/>
  <c r="AE624" i="2"/>
  <c r="AD624" i="2"/>
  <c r="AA624" i="2"/>
  <c r="T624" i="2"/>
  <c r="V413" i="2"/>
  <c r="AA424" i="2"/>
  <c r="X425" i="2"/>
  <c r="AF428" i="2"/>
  <c r="AC429" i="2"/>
  <c r="AF438" i="2"/>
  <c r="AD439" i="2"/>
  <c r="V441" i="2"/>
  <c r="Z445" i="2"/>
  <c r="AF448" i="2"/>
  <c r="AA450" i="2"/>
  <c r="AB452" i="2"/>
  <c r="T465" i="2"/>
  <c r="AE472" i="2"/>
  <c r="AF473" i="2"/>
  <c r="AF482" i="2"/>
  <c r="Y490" i="2"/>
  <c r="V494" i="2"/>
  <c r="V503" i="2"/>
  <c r="Y506" i="2"/>
  <c r="AA515" i="2"/>
  <c r="Z515" i="2"/>
  <c r="W520" i="2"/>
  <c r="AC521" i="2"/>
  <c r="AE522" i="2"/>
  <c r="Y523" i="2"/>
  <c r="AA523" i="2"/>
  <c r="Z523" i="2"/>
  <c r="AG523" i="2"/>
  <c r="Y530" i="2"/>
  <c r="Z547" i="2"/>
  <c r="W549" i="2"/>
  <c r="AA566" i="2"/>
  <c r="Z566" i="2"/>
  <c r="Y566" i="2"/>
  <c r="X566" i="2"/>
  <c r="W566" i="2"/>
  <c r="T566" i="2"/>
  <c r="S566" i="2"/>
  <c r="S580" i="2"/>
  <c r="Y595" i="2"/>
  <c r="AG595" i="2"/>
  <c r="AE595" i="2"/>
  <c r="AD595" i="2"/>
  <c r="AA595" i="2"/>
  <c r="Z595" i="2"/>
  <c r="T595" i="2"/>
  <c r="AC634" i="2"/>
  <c r="AA634" i="2"/>
  <c r="Z634" i="2"/>
  <c r="Y634" i="2"/>
  <c r="T634" i="2"/>
  <c r="AQ657" i="2"/>
  <c r="AR657" i="2"/>
  <c r="AB676" i="2"/>
  <c r="AD676" i="2"/>
  <c r="AC676" i="2"/>
  <c r="AF676" i="2"/>
  <c r="Z676" i="2"/>
  <c r="Y676" i="2"/>
  <c r="T676" i="2"/>
  <c r="S676" i="2"/>
  <c r="V483" i="2"/>
  <c r="AC486" i="2"/>
  <c r="AG488" i="2"/>
  <c r="Z490" i="2"/>
  <c r="X492" i="2"/>
  <c r="AE494" i="2"/>
  <c r="X497" i="2"/>
  <c r="X501" i="2"/>
  <c r="AE502" i="2"/>
  <c r="W503" i="2"/>
  <c r="Z506" i="2"/>
  <c r="Y514" i="2"/>
  <c r="W514" i="2"/>
  <c r="AF514" i="2"/>
  <c r="AB518" i="2"/>
  <c r="X520" i="2"/>
  <c r="T541" i="2"/>
  <c r="S541" i="2"/>
  <c r="AG547" i="2"/>
  <c r="Y549" i="2"/>
  <c r="Y573" i="2"/>
  <c r="AG573" i="2"/>
  <c r="AF573" i="2"/>
  <c r="AE573" i="2"/>
  <c r="AC573" i="2"/>
  <c r="V573" i="2"/>
  <c r="T573" i="2"/>
  <c r="AP578" i="2"/>
  <c r="AG580" i="2"/>
  <c r="AB590" i="2"/>
  <c r="AE462" i="2"/>
  <c r="AE482" i="2"/>
  <c r="AA521" i="2"/>
  <c r="Y521" i="2"/>
  <c r="X521" i="2"/>
  <c r="AE521" i="2"/>
  <c r="Z522" i="2"/>
  <c r="W522" i="2"/>
  <c r="V522" i="2"/>
  <c r="AC522" i="2"/>
  <c r="AG522" i="2"/>
  <c r="AG567" i="2"/>
  <c r="AA567" i="2"/>
  <c r="Z567" i="2"/>
  <c r="AC577" i="2"/>
  <c r="AB577" i="2"/>
  <c r="AO578" i="2"/>
  <c r="AN578" i="2"/>
  <c r="AK578" i="2"/>
  <c r="W618" i="2"/>
  <c r="AE618" i="2"/>
  <c r="S618" i="2"/>
  <c r="AA643" i="2"/>
  <c r="AG643" i="2"/>
  <c r="AF643" i="2"/>
  <c r="AD643" i="2"/>
  <c r="AB643" i="2"/>
  <c r="Z643" i="2"/>
  <c r="Y643" i="2"/>
  <c r="AB671" i="2"/>
  <c r="AA671" i="2"/>
  <c r="AF671" i="2"/>
  <c r="AE671" i="2"/>
  <c r="Z671" i="2"/>
  <c r="Y671" i="2"/>
  <c r="X383" i="2"/>
  <c r="AF383" i="2"/>
  <c r="AF402" i="2"/>
  <c r="AB407" i="2"/>
  <c r="Y409" i="2"/>
  <c r="AF411" i="2"/>
  <c r="AG424" i="2"/>
  <c r="V428" i="2"/>
  <c r="AF429" i="2"/>
  <c r="X433" i="2"/>
  <c r="V439" i="2"/>
  <c r="AG439" i="2"/>
  <c r="S440" i="2"/>
  <c r="X448" i="2"/>
  <c r="X449" i="2"/>
  <c r="Z460" i="2"/>
  <c r="Z465" i="2"/>
  <c r="T470" i="2"/>
  <c r="W472" i="2"/>
  <c r="AE475" i="2"/>
  <c r="AC476" i="2"/>
  <c r="AG477" i="2"/>
  <c r="AC481" i="2"/>
  <c r="AB483" i="2"/>
  <c r="S486" i="2"/>
  <c r="AE486" i="2"/>
  <c r="AD490" i="2"/>
  <c r="AB492" i="2"/>
  <c r="Y495" i="2"/>
  <c r="AC497" i="2"/>
  <c r="AD501" i="2"/>
  <c r="S502" i="2"/>
  <c r="AG503" i="2"/>
  <c r="AB505" i="2"/>
  <c r="AG505" i="2"/>
  <c r="AD506" i="2"/>
  <c r="AE507" i="2"/>
  <c r="S514" i="2"/>
  <c r="Y515" i="2"/>
  <c r="AD520" i="2"/>
  <c r="AF521" i="2"/>
  <c r="AD523" i="2"/>
  <c r="X524" i="2"/>
  <c r="AF524" i="2"/>
  <c r="V524" i="2"/>
  <c r="W533" i="2"/>
  <c r="AG549" i="2"/>
  <c r="AE566" i="2"/>
  <c r="AD590" i="2"/>
  <c r="AB614" i="2"/>
  <c r="AF614" i="2"/>
  <c r="AG614" i="2"/>
  <c r="V614" i="2"/>
  <c r="AF615" i="2"/>
  <c r="T615" i="2"/>
  <c r="AA615" i="2"/>
  <c r="Z615" i="2"/>
  <c r="Y615" i="2"/>
  <c r="W615" i="2"/>
  <c r="V615" i="2"/>
  <c r="S615" i="2"/>
  <c r="AG653" i="2"/>
  <c r="S653" i="2"/>
  <c r="AA661" i="2"/>
  <c r="Y661" i="2"/>
  <c r="V661" i="2"/>
  <c r="AG661" i="2"/>
  <c r="AB661" i="2"/>
  <c r="AD541" i="2"/>
  <c r="AA545" i="2"/>
  <c r="Y550" i="2"/>
  <c r="W574" i="2"/>
  <c r="X575" i="2"/>
  <c r="AF582" i="2"/>
  <c r="Y584" i="2"/>
  <c r="AG585" i="2"/>
  <c r="AF589" i="2"/>
  <c r="AE619" i="2"/>
  <c r="W630" i="2"/>
  <c r="X631" i="2"/>
  <c r="X635" i="2"/>
  <c r="V638" i="2"/>
  <c r="W649" i="2"/>
  <c r="Z656" i="2"/>
  <c r="AF680" i="2"/>
  <c r="AG680" i="2"/>
  <c r="AD680" i="2"/>
  <c r="AF683" i="2"/>
  <c r="AE683" i="2"/>
  <c r="AA683" i="2"/>
  <c r="V683" i="2"/>
  <c r="AP714" i="2"/>
  <c r="AO714" i="2"/>
  <c r="X523" i="2"/>
  <c r="AE541" i="2"/>
  <c r="AC542" i="2"/>
  <c r="AB545" i="2"/>
  <c r="AB550" i="2"/>
  <c r="AE561" i="2"/>
  <c r="Y574" i="2"/>
  <c r="Z584" i="2"/>
  <c r="Z607" i="2"/>
  <c r="AD607" i="2"/>
  <c r="AG607" i="2"/>
  <c r="AE622" i="2"/>
  <c r="AC625" i="2"/>
  <c r="AF630" i="2"/>
  <c r="T630" i="2"/>
  <c r="Y630" i="2"/>
  <c r="Z631" i="2"/>
  <c r="AA635" i="2"/>
  <c r="AB635" i="2"/>
  <c r="AE635" i="2"/>
  <c r="Y638" i="2"/>
  <c r="AA638" i="2"/>
  <c r="AE640" i="2"/>
  <c r="AF640" i="2"/>
  <c r="S640" i="2"/>
  <c r="V640" i="2"/>
  <c r="AG640" i="2"/>
  <c r="AD656" i="2"/>
  <c r="AF663" i="2"/>
  <c r="AE663" i="2"/>
  <c r="AD663" i="2"/>
  <c r="AA668" i="2"/>
  <c r="AD668" i="2"/>
  <c r="AB668" i="2"/>
  <c r="AG668" i="2"/>
  <c r="AB716" i="2"/>
  <c r="AF716" i="2"/>
  <c r="AE716" i="2"/>
  <c r="AD716" i="2"/>
  <c r="V716" i="2"/>
  <c r="V725" i="2"/>
  <c r="T725" i="2"/>
  <c r="AC550" i="2"/>
  <c r="Z574" i="2"/>
  <c r="AC581" i="2"/>
  <c r="AC631" i="2"/>
  <c r="AE639" i="2"/>
  <c r="AF648" i="2"/>
  <c r="X648" i="2"/>
  <c r="Z648" i="2"/>
  <c r="AE656" i="2"/>
  <c r="AK657" i="2"/>
  <c r="AK660" i="2"/>
  <c r="T680" i="2"/>
  <c r="AK714" i="2"/>
  <c r="AL714" i="2" s="1"/>
  <c r="V534" i="2"/>
  <c r="AE549" i="2"/>
  <c r="AD550" i="2"/>
  <c r="AO563" i="2"/>
  <c r="AC574" i="2"/>
  <c r="AD584" i="2"/>
  <c r="X591" i="2"/>
  <c r="AE596" i="2"/>
  <c r="AC596" i="2"/>
  <c r="Z598" i="2"/>
  <c r="T598" i="2"/>
  <c r="S607" i="2"/>
  <c r="S609" i="2"/>
  <c r="AE609" i="2"/>
  <c r="AA625" i="2"/>
  <c r="X625" i="2"/>
  <c r="Z625" i="2"/>
  <c r="AE625" i="2"/>
  <c r="AB626" i="2"/>
  <c r="Y626" i="2"/>
  <c r="AG626" i="2"/>
  <c r="X630" i="2"/>
  <c r="AC632" i="2"/>
  <c r="S635" i="2"/>
  <c r="T638" i="2"/>
  <c r="T640" i="2"/>
  <c r="AC656" i="2"/>
  <c r="AM657" i="2"/>
  <c r="T658" i="2"/>
  <c r="AG658" i="2"/>
  <c r="S663" i="2"/>
  <c r="T668" i="2"/>
  <c r="X680" i="2"/>
  <c r="AE681" i="2"/>
  <c r="V681" i="2"/>
  <c r="AG681" i="2"/>
  <c r="T681" i="2"/>
  <c r="AF681" i="2"/>
  <c r="S681" i="2"/>
  <c r="AD681" i="2"/>
  <c r="X681" i="2"/>
  <c r="T716" i="2"/>
  <c r="AF722" i="2"/>
  <c r="AG722" i="2"/>
  <c r="AD722" i="2"/>
  <c r="Z722" i="2"/>
  <c r="Y722" i="2"/>
  <c r="AD574" i="2"/>
  <c r="AB619" i="2"/>
  <c r="V619" i="2"/>
  <c r="Y619" i="2"/>
  <c r="AE631" i="2"/>
  <c r="Y631" i="2"/>
  <c r="AB631" i="2"/>
  <c r="AF631" i="2"/>
  <c r="AC644" i="2"/>
  <c r="X644" i="2"/>
  <c r="AF656" i="2"/>
  <c r="X656" i="2"/>
  <c r="AG674" i="2"/>
  <c r="AF674" i="2"/>
  <c r="AF697" i="2"/>
  <c r="AG697" i="2"/>
  <c r="AD697" i="2"/>
  <c r="Z697" i="2"/>
  <c r="Y697" i="2"/>
  <c r="X697" i="2"/>
  <c r="AC504" i="2"/>
  <c r="AA525" i="2"/>
  <c r="Z539" i="2"/>
  <c r="W541" i="2"/>
  <c r="AE542" i="2"/>
  <c r="Z544" i="2"/>
  <c r="T545" i="2"/>
  <c r="T550" i="2"/>
  <c r="AF550" i="2"/>
  <c r="Y553" i="2"/>
  <c r="Z556" i="2"/>
  <c r="Z561" i="2"/>
  <c r="AB568" i="2"/>
  <c r="AB571" i="2"/>
  <c r="AE574" i="2"/>
  <c r="AG581" i="2"/>
  <c r="S582" i="2"/>
  <c r="S584" i="2"/>
  <c r="AF584" i="2"/>
  <c r="T585" i="2"/>
  <c r="AA591" i="2"/>
  <c r="AF593" i="2"/>
  <c r="S596" i="2"/>
  <c r="AF596" i="2"/>
  <c r="AA598" i="2"/>
  <c r="W600" i="2"/>
  <c r="T602" i="2"/>
  <c r="S605" i="2"/>
  <c r="V607" i="2"/>
  <c r="AD609" i="2"/>
  <c r="T610" i="2"/>
  <c r="V622" i="2"/>
  <c r="S625" i="2"/>
  <c r="AG625" i="2"/>
  <c r="T626" i="2"/>
  <c r="S627" i="2"/>
  <c r="AD630" i="2"/>
  <c r="AG631" i="2"/>
  <c r="V632" i="2"/>
  <c r="W633" i="2"/>
  <c r="Y635" i="2"/>
  <c r="Z638" i="2"/>
  <c r="X640" i="2"/>
  <c r="Y648" i="2"/>
  <c r="AF658" i="2"/>
  <c r="Y663" i="2"/>
  <c r="Z668" i="2"/>
  <c r="Z680" i="2"/>
  <c r="AC707" i="2"/>
  <c r="AE707" i="2"/>
  <c r="AD707" i="2"/>
  <c r="AB707" i="2"/>
  <c r="W707" i="2"/>
  <c r="V707" i="2"/>
  <c r="T707" i="2"/>
  <c r="AG707" i="2"/>
  <c r="AF539" i="2"/>
  <c r="X541" i="2"/>
  <c r="AG550" i="2"/>
  <c r="Z553" i="2"/>
  <c r="AD571" i="2"/>
  <c r="S574" i="2"/>
  <c r="U574" i="2" s="1"/>
  <c r="AF574" i="2"/>
  <c r="W580" i="2"/>
  <c r="T582" i="2"/>
  <c r="T584" i="2"/>
  <c r="X585" i="2"/>
  <c r="S589" i="2"/>
  <c r="AG591" i="2"/>
  <c r="AG593" i="2"/>
  <c r="W595" i="2"/>
  <c r="T596" i="2"/>
  <c r="AG596" i="2"/>
  <c r="AB598" i="2"/>
  <c r="AA600" i="2"/>
  <c r="AB600" i="2"/>
  <c r="AG600" i="2"/>
  <c r="V602" i="2"/>
  <c r="T605" i="2"/>
  <c r="W607" i="2"/>
  <c r="T619" i="2"/>
  <c r="T625" i="2"/>
  <c r="X626" i="2"/>
  <c r="AG630" i="2"/>
  <c r="S631" i="2"/>
  <c r="X632" i="2"/>
  <c r="AA633" i="2"/>
  <c r="AB633" i="2"/>
  <c r="AF633" i="2"/>
  <c r="Z635" i="2"/>
  <c r="AD638" i="2"/>
  <c r="Y640" i="2"/>
  <c r="T644" i="2"/>
  <c r="AD648" i="2"/>
  <c r="S656" i="2"/>
  <c r="U656" i="2" s="1"/>
  <c r="Z663" i="2"/>
  <c r="AF668" i="2"/>
  <c r="W674" i="2"/>
  <c r="V675" i="2"/>
  <c r="AA675" i="2"/>
  <c r="AC605" i="2"/>
  <c r="S610" i="2"/>
  <c r="AC621" i="2"/>
  <c r="S622" i="2"/>
  <c r="AC636" i="2"/>
  <c r="AE649" i="2"/>
  <c r="AC649" i="2"/>
  <c r="AC663" i="2"/>
  <c r="T664" i="2"/>
  <c r="S667" i="2"/>
  <c r="V676" i="2"/>
  <c r="AN677" i="2"/>
  <c r="AD679" i="2"/>
  <c r="X682" i="2"/>
  <c r="AC685" i="2"/>
  <c r="Z687" i="2"/>
  <c r="X688" i="2"/>
  <c r="T692" i="2"/>
  <c r="AB693" i="2"/>
  <c r="AE697" i="2"/>
  <c r="AP699" i="2"/>
  <c r="T700" i="2"/>
  <c r="AD705" i="2"/>
  <c r="S708" i="2"/>
  <c r="U708" i="2" s="1"/>
  <c r="Z709" i="2"/>
  <c r="AD710" i="2"/>
  <c r="Z713" i="2"/>
  <c r="AC717" i="2"/>
  <c r="AB724" i="2"/>
  <c r="Y726" i="2"/>
  <c r="G115" i="3"/>
  <c r="E167" i="3"/>
  <c r="P167" i="3"/>
  <c r="L167" i="3"/>
  <c r="V167" i="3"/>
  <c r="E173" i="3"/>
  <c r="AP701" i="2"/>
  <c r="AC709" i="2"/>
  <c r="AG713" i="2"/>
  <c r="AC715" i="2"/>
  <c r="X717" i="2"/>
  <c r="AE717" i="2"/>
  <c r="AE724" i="2"/>
  <c r="AB726" i="2"/>
  <c r="AF717" i="2"/>
  <c r="F231" i="3"/>
  <c r="O289" i="3"/>
  <c r="AM689" i="2"/>
  <c r="AL689" i="2" s="1"/>
  <c r="AC690" i="2"/>
  <c r="AC692" i="2"/>
  <c r="AK701" i="2"/>
  <c r="AE709" i="2"/>
  <c r="T715" i="2"/>
  <c r="AG717" i="2"/>
  <c r="S718" i="2"/>
  <c r="AK723" i="2"/>
  <c r="AG724" i="2"/>
  <c r="AD726" i="2"/>
  <c r="AG682" i="2"/>
  <c r="AO684" i="2"/>
  <c r="AO689" i="2"/>
  <c r="AQ689" i="2" s="1"/>
  <c r="AE698" i="2"/>
  <c r="AC698" i="2"/>
  <c r="AM701" i="2"/>
  <c r="AA702" i="2"/>
  <c r="AF709" i="2"/>
  <c r="AE713" i="2"/>
  <c r="S717" i="2"/>
  <c r="AM723" i="2"/>
  <c r="X726" i="2"/>
  <c r="AE726" i="2"/>
  <c r="AE692" i="2"/>
  <c r="W715" i="2"/>
  <c r="T717" i="2"/>
  <c r="AO723" i="2"/>
  <c r="AF726" i="2"/>
  <c r="AE664" i="2"/>
  <c r="AC664" i="2"/>
  <c r="T679" i="2"/>
  <c r="S682" i="2"/>
  <c r="AM684" i="2"/>
  <c r="S685" i="2"/>
  <c r="V690" i="2"/>
  <c r="AF692" i="2"/>
  <c r="S698" i="2"/>
  <c r="AF698" i="2"/>
  <c r="AK699" i="2"/>
  <c r="Z704" i="2"/>
  <c r="X705" i="2"/>
  <c r="S709" i="2"/>
  <c r="T710" i="2"/>
  <c r="AB715" i="2"/>
  <c r="Y717" i="2"/>
  <c r="AC718" i="2"/>
  <c r="T724" i="2"/>
  <c r="AE725" i="2"/>
  <c r="AG726" i="2"/>
  <c r="AF610" i="2"/>
  <c r="AO642" i="2"/>
  <c r="AC643" i="2"/>
  <c r="AE646" i="2"/>
  <c r="AD664" i="2"/>
  <c r="AE672" i="2"/>
  <c r="Y679" i="2"/>
  <c r="AE680" i="2"/>
  <c r="V682" i="2"/>
  <c r="AN684" i="2"/>
  <c r="T685" i="2"/>
  <c r="W690" i="2"/>
  <c r="AG692" i="2"/>
  <c r="S693" i="2"/>
  <c r="T698" i="2"/>
  <c r="AG698" i="2"/>
  <c r="Y705" i="2"/>
  <c r="T709" i="2"/>
  <c r="AB710" i="2"/>
  <c r="X713" i="2"/>
  <c r="AD715" i="2"/>
  <c r="Z717" i="2"/>
  <c r="AD718" i="2"/>
  <c r="AE722" i="2"/>
  <c r="V724" i="2"/>
  <c r="AF725" i="2"/>
  <c r="S726" i="2"/>
  <c r="G405" i="3"/>
  <c r="I173" i="3"/>
  <c r="J405" i="3"/>
  <c r="O202" i="3"/>
  <c r="M347" i="3"/>
  <c r="F376" i="3"/>
  <c r="K376" i="3"/>
  <c r="N318" i="3"/>
  <c r="O434" i="3"/>
  <c r="I144" i="3"/>
  <c r="M167" i="3"/>
  <c r="W167" i="3"/>
  <c r="I167" i="3"/>
  <c r="S167" i="3"/>
  <c r="M173" i="3"/>
  <c r="F173" i="3"/>
  <c r="F202" i="3"/>
  <c r="O341" i="3"/>
  <c r="Y341" i="3"/>
  <c r="L51" i="3"/>
  <c r="G57" i="3"/>
  <c r="L86" i="3"/>
  <c r="J115" i="3"/>
  <c r="J144" i="3"/>
  <c r="G173" i="3"/>
  <c r="G202" i="3"/>
  <c r="J376" i="3"/>
  <c r="L57" i="3"/>
  <c r="E86" i="3"/>
  <c r="F260" i="3"/>
  <c r="M57" i="3"/>
  <c r="F86" i="3"/>
  <c r="N138" i="3"/>
  <c r="K115" i="3"/>
  <c r="N260" i="3"/>
  <c r="E28" i="3"/>
  <c r="N202" i="3"/>
  <c r="O196" i="3"/>
  <c r="Y196" i="3"/>
  <c r="K196" i="3"/>
  <c r="U196" i="3"/>
  <c r="L254" i="3"/>
  <c r="V254" i="3"/>
  <c r="N254" i="3"/>
  <c r="X254" i="3"/>
  <c r="L260" i="3"/>
  <c r="F370" i="3"/>
  <c r="Q370" i="3"/>
  <c r="K370" i="3"/>
  <c r="U370" i="3"/>
  <c r="K399" i="3"/>
  <c r="U399" i="3"/>
  <c r="K86" i="3"/>
  <c r="L144" i="3"/>
  <c r="L173" i="3"/>
  <c r="J202" i="3"/>
  <c r="J231" i="3"/>
  <c r="M86" i="3"/>
  <c r="F109" i="3"/>
  <c r="Q109" i="3"/>
  <c r="K138" i="3"/>
  <c r="U138" i="3"/>
  <c r="E260" i="3"/>
  <c r="O260" i="3"/>
  <c r="J289" i="3"/>
  <c r="K289" i="3"/>
  <c r="G341" i="3"/>
  <c r="R341" i="3"/>
  <c r="L341" i="3"/>
  <c r="V341" i="3"/>
  <c r="M318" i="3"/>
  <c r="G434" i="3"/>
  <c r="G347" i="3"/>
  <c r="L376" i="3"/>
  <c r="I428" i="3"/>
  <c r="S428" i="3"/>
  <c r="I434" i="3"/>
  <c r="M457" i="3"/>
  <c r="W457" i="3"/>
  <c r="X138" i="3"/>
  <c r="J138" i="3"/>
  <c r="T138" i="3"/>
  <c r="N144" i="3"/>
  <c r="G144" i="3"/>
  <c r="E202" i="3"/>
  <c r="E231" i="3"/>
  <c r="I260" i="3"/>
  <c r="E312" i="3"/>
  <c r="P312" i="3"/>
  <c r="O318" i="3"/>
  <c r="O463" i="3"/>
  <c r="N289" i="3"/>
  <c r="G399" i="3"/>
  <c r="R399" i="3"/>
  <c r="N399" i="3"/>
  <c r="X399" i="3"/>
  <c r="E457" i="3"/>
  <c r="P457" i="3"/>
  <c r="L457" i="3"/>
  <c r="V457" i="3"/>
  <c r="R457" i="3"/>
  <c r="L347" i="3"/>
  <c r="E376" i="3"/>
  <c r="I405" i="3"/>
  <c r="G457" i="3"/>
  <c r="K405" i="3"/>
  <c r="I463" i="3"/>
  <c r="G51" i="3"/>
  <c r="J51" i="3"/>
  <c r="T51" i="3"/>
  <c r="E51" i="3"/>
  <c r="P51" i="3"/>
  <c r="N115" i="3"/>
  <c r="E138" i="3"/>
  <c r="P138" i="3"/>
  <c r="G138" i="3"/>
  <c r="R138" i="3"/>
  <c r="E144" i="3"/>
  <c r="J196" i="3"/>
  <c r="T196" i="3"/>
  <c r="I202" i="3"/>
  <c r="L225" i="3"/>
  <c r="V225" i="3"/>
  <c r="E225" i="3"/>
  <c r="P225" i="3"/>
  <c r="L231" i="3"/>
  <c r="G260" i="3"/>
  <c r="E283" i="3"/>
  <c r="P283" i="3"/>
  <c r="G312" i="3"/>
  <c r="R312" i="3"/>
  <c r="N312" i="3"/>
  <c r="X312" i="3"/>
  <c r="G318" i="3"/>
  <c r="L318" i="3"/>
  <c r="J341" i="3"/>
  <c r="T341" i="3"/>
  <c r="E341" i="3"/>
  <c r="P341" i="3"/>
  <c r="J347" i="3"/>
  <c r="L370" i="3"/>
  <c r="V370" i="3"/>
  <c r="M399" i="3"/>
  <c r="W399" i="3"/>
  <c r="F405" i="3"/>
  <c r="N428" i="3"/>
  <c r="X428" i="3"/>
  <c r="J428" i="3"/>
  <c r="N434" i="3"/>
  <c r="M434" i="3"/>
  <c r="O115" i="3"/>
  <c r="I115" i="3"/>
  <c r="F138" i="3"/>
  <c r="Q138" i="3"/>
  <c r="M138" i="3"/>
  <c r="W138" i="3"/>
  <c r="F144" i="3"/>
  <c r="K202" i="3"/>
  <c r="M225" i="3"/>
  <c r="W225" i="3"/>
  <c r="O225" i="3"/>
  <c r="Y225" i="3"/>
  <c r="M231" i="3"/>
  <c r="F283" i="3"/>
  <c r="Q283" i="3"/>
  <c r="E289" i="3"/>
  <c r="I312" i="3"/>
  <c r="S312" i="3"/>
  <c r="M312" i="3"/>
  <c r="W312" i="3"/>
  <c r="I318" i="3"/>
  <c r="O347" i="3"/>
  <c r="M370" i="3"/>
  <c r="W370" i="3"/>
  <c r="M376" i="3"/>
  <c r="N405" i="3"/>
  <c r="M405" i="3"/>
  <c r="O428" i="3"/>
  <c r="Y428" i="3"/>
  <c r="K428" i="3"/>
  <c r="U428" i="3"/>
  <c r="W428" i="3"/>
  <c r="I457" i="3"/>
  <c r="S457" i="3"/>
  <c r="Y399" i="3"/>
  <c r="O405" i="3"/>
  <c r="E428" i="3"/>
  <c r="P428" i="3"/>
  <c r="V428" i="3"/>
  <c r="E434" i="3"/>
  <c r="E109" i="3"/>
  <c r="J109" i="3"/>
  <c r="R196" i="3"/>
  <c r="J312" i="3"/>
  <c r="O86" i="3"/>
  <c r="I109" i="3"/>
  <c r="S109" i="3"/>
  <c r="F115" i="3"/>
  <c r="K167" i="3"/>
  <c r="U167" i="3"/>
  <c r="J173" i="3"/>
  <c r="M196" i="3"/>
  <c r="W196" i="3"/>
  <c r="F196" i="3"/>
  <c r="Q196" i="3"/>
  <c r="M202" i="3"/>
  <c r="I231" i="3"/>
  <c r="F254" i="3"/>
  <c r="Q254" i="3"/>
  <c r="I283" i="3"/>
  <c r="S283" i="3"/>
  <c r="O283" i="3"/>
  <c r="Y283" i="3"/>
  <c r="I289" i="3"/>
  <c r="M289" i="3"/>
  <c r="K312" i="3"/>
  <c r="U312" i="3"/>
  <c r="F312" i="3"/>
  <c r="Q312" i="3"/>
  <c r="K318" i="3"/>
  <c r="O376" i="3"/>
  <c r="N376" i="3"/>
  <c r="E399" i="3"/>
  <c r="P399" i="3"/>
  <c r="J399" i="3"/>
  <c r="T399" i="3"/>
  <c r="E405" i="3"/>
  <c r="M428" i="3"/>
  <c r="K434" i="3"/>
  <c r="K457" i="3"/>
  <c r="U457" i="3"/>
  <c r="J463" i="3"/>
  <c r="T109" i="3"/>
  <c r="G196" i="3"/>
  <c r="X225" i="3"/>
  <c r="G289" i="3"/>
  <c r="J318" i="3"/>
  <c r="J86" i="3"/>
  <c r="N196" i="3"/>
  <c r="X196" i="3"/>
  <c r="E196" i="3"/>
  <c r="P196" i="3"/>
  <c r="G254" i="3"/>
  <c r="R254" i="3"/>
  <c r="J283" i="3"/>
  <c r="T283" i="3"/>
  <c r="N283" i="3"/>
  <c r="X283" i="3"/>
  <c r="E318" i="3"/>
  <c r="N341" i="3"/>
  <c r="X341" i="3"/>
  <c r="E370" i="3"/>
  <c r="P370" i="3"/>
  <c r="F399" i="3"/>
  <c r="Q399" i="3"/>
  <c r="I399" i="3"/>
  <c r="S399" i="3"/>
  <c r="G428" i="3"/>
  <c r="R428" i="3"/>
  <c r="L434" i="3"/>
  <c r="V196" i="3"/>
  <c r="L202" i="3"/>
  <c r="T225" i="3"/>
  <c r="O399" i="3"/>
  <c r="N57" i="3"/>
  <c r="F80" i="3"/>
  <c r="Q80" i="3"/>
  <c r="K80" i="3"/>
  <c r="U80" i="3"/>
  <c r="N347" i="3"/>
  <c r="K463" i="3"/>
  <c r="P109" i="3"/>
  <c r="J167" i="3"/>
  <c r="N225" i="3"/>
  <c r="N231" i="3"/>
  <c r="V312" i="3"/>
  <c r="X370" i="3"/>
  <c r="E57" i="3"/>
  <c r="G80" i="3"/>
  <c r="R80" i="3"/>
  <c r="J80" i="3"/>
  <c r="T80" i="3"/>
  <c r="L138" i="3"/>
  <c r="V138" i="3"/>
  <c r="K144" i="3"/>
  <c r="N167" i="3"/>
  <c r="X167" i="3"/>
  <c r="G167" i="3"/>
  <c r="X170" i="3" s="1"/>
  <c r="R167" i="3"/>
  <c r="N173" i="3"/>
  <c r="G225" i="3"/>
  <c r="R225" i="3"/>
  <c r="J254" i="3"/>
  <c r="T254" i="3"/>
  <c r="E254" i="3"/>
  <c r="P254" i="3"/>
  <c r="J260" i="3"/>
  <c r="L283" i="3"/>
  <c r="V283" i="3"/>
  <c r="G283" i="3"/>
  <c r="R283" i="3"/>
  <c r="L289" i="3"/>
  <c r="E347" i="3"/>
  <c r="G370" i="3"/>
  <c r="R370" i="3"/>
  <c r="J370" i="3"/>
  <c r="T370" i="3"/>
  <c r="G376" i="3"/>
  <c r="T428" i="3"/>
  <c r="J434" i="3"/>
  <c r="N457" i="3"/>
  <c r="X457" i="3"/>
  <c r="J457" i="3"/>
  <c r="T457" i="3"/>
  <c r="E115" i="3"/>
  <c r="T167" i="3"/>
  <c r="L196" i="3"/>
  <c r="J225" i="3"/>
  <c r="T312" i="3"/>
  <c r="L312" i="3"/>
  <c r="N370" i="3"/>
  <c r="F57" i="3"/>
  <c r="K57" i="3"/>
  <c r="I80" i="3"/>
  <c r="S80" i="3"/>
  <c r="O80" i="3"/>
  <c r="Y80" i="3"/>
  <c r="M144" i="3"/>
  <c r="O167" i="3"/>
  <c r="Y167" i="3"/>
  <c r="F167" i="3"/>
  <c r="Q167" i="3"/>
  <c r="O173" i="3"/>
  <c r="I225" i="3"/>
  <c r="S225" i="3"/>
  <c r="G231" i="3"/>
  <c r="K254" i="3"/>
  <c r="U254" i="3"/>
  <c r="O254" i="3"/>
  <c r="Y254" i="3"/>
  <c r="K260" i="3"/>
  <c r="F289" i="3"/>
  <c r="O312" i="3"/>
  <c r="Y312" i="3"/>
  <c r="F341" i="3"/>
  <c r="Q341" i="3"/>
  <c r="M341" i="3"/>
  <c r="W341" i="3"/>
  <c r="F347" i="3"/>
  <c r="K347" i="3"/>
  <c r="I370" i="3"/>
  <c r="S370" i="3"/>
  <c r="O370" i="3"/>
  <c r="Y370" i="3"/>
  <c r="I376" i="3"/>
  <c r="N463" i="3"/>
  <c r="M463" i="3"/>
  <c r="L428" i="3"/>
  <c r="R51" i="3"/>
  <c r="V51" i="3"/>
  <c r="I51" i="3"/>
  <c r="S51" i="3"/>
  <c r="K51" i="3"/>
  <c r="U51" i="3"/>
  <c r="L115" i="3"/>
  <c r="O138" i="3"/>
  <c r="Y138" i="3"/>
  <c r="I138" i="3"/>
  <c r="S138" i="3"/>
  <c r="O144" i="3"/>
  <c r="K173" i="3"/>
  <c r="I196" i="3"/>
  <c r="S196" i="3"/>
  <c r="K225" i="3"/>
  <c r="U225" i="3"/>
  <c r="F225" i="3"/>
  <c r="Q225" i="3"/>
  <c r="K231" i="3"/>
  <c r="O231" i="3"/>
  <c r="M254" i="3"/>
  <c r="W254" i="3"/>
  <c r="I254" i="3"/>
  <c r="S254" i="3"/>
  <c r="M260" i="3"/>
  <c r="F318" i="3"/>
  <c r="I341" i="3"/>
  <c r="S341" i="3"/>
  <c r="K341" i="3"/>
  <c r="U341" i="3"/>
  <c r="I347" i="3"/>
  <c r="L399" i="3"/>
  <c r="V399" i="3"/>
  <c r="L405" i="3"/>
  <c r="W2" i="3"/>
  <c r="AQ19" i="2"/>
  <c r="W6" i="3"/>
  <c r="AC3" i="2"/>
  <c r="S3" i="2"/>
  <c r="Y6" i="2"/>
  <c r="X6" i="2"/>
  <c r="Z6" i="2"/>
  <c r="E40" i="12"/>
  <c r="AB60" i="2"/>
  <c r="AF60" i="2"/>
  <c r="AE60" i="2"/>
  <c r="T60" i="2"/>
  <c r="AD60" i="2"/>
  <c r="S60" i="2"/>
  <c r="AG60" i="2"/>
  <c r="V60" i="2"/>
  <c r="U136" i="12"/>
  <c r="D5" i="7"/>
  <c r="D10" i="4"/>
  <c r="E50" i="12"/>
  <c r="B4" i="5"/>
  <c r="B4" i="4"/>
  <c r="U13" i="12"/>
  <c r="Z10" i="3"/>
  <c r="AC6" i="2"/>
  <c r="B5" i="7"/>
  <c r="B10" i="4"/>
  <c r="AG8" i="2"/>
  <c r="W8" i="2"/>
  <c r="AF8" i="2"/>
  <c r="V8" i="2"/>
  <c r="X8" i="2"/>
  <c r="AD8" i="2"/>
  <c r="D4" i="6"/>
  <c r="D11" i="4"/>
  <c r="AA12" i="2"/>
  <c r="U9" i="12"/>
  <c r="AC17" i="2"/>
  <c r="B7" i="9"/>
  <c r="AR30" i="2"/>
  <c r="AQ30" i="2"/>
  <c r="X31" i="2"/>
  <c r="AG31" i="2"/>
  <c r="W31" i="2"/>
  <c r="AF31" i="2"/>
  <c r="V31" i="2"/>
  <c r="Y31" i="2"/>
  <c r="AE31" i="2"/>
  <c r="AD32" i="2"/>
  <c r="U14" i="12"/>
  <c r="U50" i="12"/>
  <c r="AF35" i="2"/>
  <c r="U142" i="12"/>
  <c r="D13" i="6"/>
  <c r="D33" i="4"/>
  <c r="U42" i="2"/>
  <c r="B11" i="5"/>
  <c r="B19" i="4"/>
  <c r="AE46" i="2"/>
  <c r="D13" i="7"/>
  <c r="D50" i="4"/>
  <c r="X50" i="2"/>
  <c r="AG50" i="2"/>
  <c r="W50" i="2"/>
  <c r="AF50" i="2"/>
  <c r="V50" i="2"/>
  <c r="Y50" i="2"/>
  <c r="AE50" i="2"/>
  <c r="U39" i="12"/>
  <c r="U30" i="12"/>
  <c r="W689" i="12"/>
  <c r="AO62" i="2"/>
  <c r="AN62" i="2"/>
  <c r="AM62" i="2"/>
  <c r="AP62" i="2"/>
  <c r="B12" i="8"/>
  <c r="E138" i="12"/>
  <c r="B22" i="6"/>
  <c r="B68" i="4"/>
  <c r="B28" i="5"/>
  <c r="B56" i="4"/>
  <c r="U141" i="12"/>
  <c r="AB96" i="2"/>
  <c r="AC96" i="2"/>
  <c r="S96" i="2"/>
  <c r="Z96" i="2"/>
  <c r="Y96" i="2"/>
  <c r="X96" i="2"/>
  <c r="W96" i="2"/>
  <c r="V96" i="2"/>
  <c r="AG96" i="2"/>
  <c r="AF96" i="2"/>
  <c r="T96" i="2"/>
  <c r="AA96" i="2"/>
  <c r="D36" i="5"/>
  <c r="D69" i="4"/>
  <c r="U142" i="2"/>
  <c r="B38" i="8"/>
  <c r="E87" i="12"/>
  <c r="X178" i="2"/>
  <c r="AG178" i="2"/>
  <c r="W178" i="2"/>
  <c r="AD178" i="2"/>
  <c r="T178" i="2"/>
  <c r="AC178" i="2"/>
  <c r="S178" i="2"/>
  <c r="Y178" i="2"/>
  <c r="AE178" i="2"/>
  <c r="AB178" i="2"/>
  <c r="AA178" i="2"/>
  <c r="Z178" i="2"/>
  <c r="V178" i="2"/>
  <c r="AF178" i="2"/>
  <c r="AD182" i="2"/>
  <c r="T182" i="2"/>
  <c r="AC182" i="2"/>
  <c r="S182" i="2"/>
  <c r="Z182" i="2"/>
  <c r="Y182" i="2"/>
  <c r="AE182" i="2"/>
  <c r="AG182" i="2"/>
  <c r="AF182" i="2"/>
  <c r="AB182" i="2"/>
  <c r="AA182" i="2"/>
  <c r="X182" i="2"/>
  <c r="W182" i="2"/>
  <c r="V182" i="2"/>
  <c r="W702" i="12"/>
  <c r="AK183" i="2"/>
  <c r="AM183" i="2"/>
  <c r="AP183" i="2"/>
  <c r="AO183" i="2"/>
  <c r="U204" i="12"/>
  <c r="E96" i="12"/>
  <c r="D10" i="7"/>
  <c r="D35" i="4"/>
  <c r="AR113" i="2"/>
  <c r="D82" i="4"/>
  <c r="D43" i="5"/>
  <c r="E234" i="12"/>
  <c r="U115" i="12"/>
  <c r="E125" i="12"/>
  <c r="B34" i="7"/>
  <c r="B136" i="4"/>
  <c r="AC200" i="2"/>
  <c r="S200" i="2"/>
  <c r="AB200" i="2"/>
  <c r="Y200" i="2"/>
  <c r="X200" i="2"/>
  <c r="AG200" i="2"/>
  <c r="W200" i="2"/>
  <c r="AD200" i="2"/>
  <c r="T200" i="2"/>
  <c r="AF200" i="2"/>
  <c r="AE200" i="2"/>
  <c r="AA200" i="2"/>
  <c r="Z200" i="2"/>
  <c r="V200" i="2"/>
  <c r="E204" i="12"/>
  <c r="X215" i="2"/>
  <c r="AG215" i="2"/>
  <c r="W215" i="2"/>
  <c r="AE215" i="2"/>
  <c r="AD215" i="2"/>
  <c r="T215" i="2"/>
  <c r="AC215" i="2"/>
  <c r="S215" i="2"/>
  <c r="AB215" i="2"/>
  <c r="Y215" i="2"/>
  <c r="AF215" i="2"/>
  <c r="AA215" i="2"/>
  <c r="Z215" i="2"/>
  <c r="V215" i="2"/>
  <c r="U221" i="12"/>
  <c r="U92" i="12"/>
  <c r="X211" i="2"/>
  <c r="W211" i="2"/>
  <c r="V211" i="2"/>
  <c r="T211" i="2"/>
  <c r="AE211" i="2"/>
  <c r="N6" i="3"/>
  <c r="B14" i="7"/>
  <c r="B57" i="4"/>
  <c r="U23" i="12"/>
  <c r="AC46" i="2"/>
  <c r="U49" i="2"/>
  <c r="AK51" i="2"/>
  <c r="AC67" i="2"/>
  <c r="S67" i="2"/>
  <c r="Z67" i="2"/>
  <c r="Y67" i="2"/>
  <c r="X67" i="2"/>
  <c r="W67" i="2"/>
  <c r="AG67" i="2"/>
  <c r="V67" i="2"/>
  <c r="AA67" i="2"/>
  <c r="S6" i="3"/>
  <c r="D4" i="8"/>
  <c r="D14" i="3"/>
  <c r="AG12" i="2"/>
  <c r="B6" i="7"/>
  <c r="B15" i="4"/>
  <c r="E49" i="12"/>
  <c r="E28" i="12"/>
  <c r="AK18" i="2"/>
  <c r="E16" i="12"/>
  <c r="U99" i="12"/>
  <c r="U27" i="12"/>
  <c r="T31" i="2"/>
  <c r="U31" i="2" s="1"/>
  <c r="S32" i="2"/>
  <c r="B9" i="6"/>
  <c r="B23" i="4"/>
  <c r="S33" i="2"/>
  <c r="W34" i="2"/>
  <c r="AA41" i="2"/>
  <c r="U19" i="12"/>
  <c r="D11" i="7"/>
  <c r="D44" i="4"/>
  <c r="T50" i="2"/>
  <c r="Z53" i="2"/>
  <c r="B12" i="5"/>
  <c r="B20" i="4"/>
  <c r="V58" i="2"/>
  <c r="W60" i="2"/>
  <c r="B10" i="9"/>
  <c r="B11" i="9"/>
  <c r="AE65" i="2"/>
  <c r="W65" i="2"/>
  <c r="AG65" i="2"/>
  <c r="V65" i="2"/>
  <c r="AF65" i="2"/>
  <c r="T65" i="2"/>
  <c r="AD65" i="2"/>
  <c r="S65" i="2"/>
  <c r="AC65" i="2"/>
  <c r="X65" i="2"/>
  <c r="E45" i="12"/>
  <c r="U80" i="12"/>
  <c r="AF74" i="2"/>
  <c r="V74" i="2"/>
  <c r="W74" i="2"/>
  <c r="AG74" i="2"/>
  <c r="AE74" i="2"/>
  <c r="T74" i="2"/>
  <c r="AD74" i="2"/>
  <c r="S74" i="2"/>
  <c r="AC74" i="2"/>
  <c r="AA74" i="2"/>
  <c r="X74" i="2"/>
  <c r="AE96" i="2"/>
  <c r="E64" i="12"/>
  <c r="AC111" i="2"/>
  <c r="S111" i="2"/>
  <c r="AD111" i="2"/>
  <c r="T111" i="2"/>
  <c r="Z111" i="2"/>
  <c r="Y111" i="2"/>
  <c r="X111" i="2"/>
  <c r="W111" i="2"/>
  <c r="V111" i="2"/>
  <c r="AG111" i="2"/>
  <c r="AF111" i="2"/>
  <c r="AA111" i="2"/>
  <c r="D26" i="7"/>
  <c r="D104" i="4"/>
  <c r="AQ149" i="2"/>
  <c r="Y151" i="2"/>
  <c r="X151" i="2"/>
  <c r="Z151" i="2"/>
  <c r="AB151" i="2"/>
  <c r="AA151" i="2"/>
  <c r="W151" i="2"/>
  <c r="V151" i="2"/>
  <c r="AG151" i="2"/>
  <c r="T151" i="2"/>
  <c r="AF151" i="2"/>
  <c r="S151" i="2"/>
  <c r="AC151" i="2"/>
  <c r="B47" i="5"/>
  <c r="B93" i="4"/>
  <c r="B30" i="7"/>
  <c r="B123" i="4"/>
  <c r="B33" i="7"/>
  <c r="B135" i="4"/>
  <c r="E92" i="12"/>
  <c r="E266" i="12"/>
  <c r="U121" i="12"/>
  <c r="P2" i="3"/>
  <c r="N10" i="3"/>
  <c r="D14" i="5"/>
  <c r="D26" i="4"/>
  <c r="E56" i="12"/>
  <c r="D4" i="7"/>
  <c r="D9" i="4"/>
  <c r="AF12" i="2"/>
  <c r="B7" i="8"/>
  <c r="AC59" i="2"/>
  <c r="S59" i="2"/>
  <c r="AF59" i="2"/>
  <c r="AE59" i="2"/>
  <c r="T59" i="2"/>
  <c r="AD59" i="2"/>
  <c r="AG59" i="2"/>
  <c r="V59" i="2"/>
  <c r="AF9" i="2"/>
  <c r="V9" i="2"/>
  <c r="AE9" i="2"/>
  <c r="AG9" i="2"/>
  <c r="W9" i="2"/>
  <c r="T6" i="3"/>
  <c r="D7" i="7"/>
  <c r="D18" i="4"/>
  <c r="S17" i="2"/>
  <c r="B4" i="9"/>
  <c r="AE25" i="2"/>
  <c r="T25" i="2"/>
  <c r="AD25" i="2"/>
  <c r="AC25" i="2"/>
  <c r="S25" i="2"/>
  <c r="AF25" i="2"/>
  <c r="V25" i="2"/>
  <c r="D8" i="7"/>
  <c r="D27" i="4"/>
  <c r="X33" i="2"/>
  <c r="D9" i="5"/>
  <c r="D16" i="4"/>
  <c r="V35" i="2"/>
  <c r="B13" i="5"/>
  <c r="B24" i="4"/>
  <c r="AB41" i="2"/>
  <c r="AM51" i="2"/>
  <c r="AA53" i="2"/>
  <c r="W58" i="2"/>
  <c r="D18" i="5"/>
  <c r="D34" i="4"/>
  <c r="W59" i="2"/>
  <c r="D23" i="5"/>
  <c r="D45" i="4"/>
  <c r="X60" i="2"/>
  <c r="X63" i="2"/>
  <c r="AF63" i="2"/>
  <c r="AE63" i="2"/>
  <c r="T63" i="2"/>
  <c r="AD63" i="2"/>
  <c r="S63" i="2"/>
  <c r="AC63" i="2"/>
  <c r="AG63" i="2"/>
  <c r="V63" i="2"/>
  <c r="T67" i="2"/>
  <c r="D18" i="7"/>
  <c r="D71" i="4"/>
  <c r="U195" i="12"/>
  <c r="U97" i="2"/>
  <c r="B30" i="8"/>
  <c r="U130" i="2"/>
  <c r="D32" i="6"/>
  <c r="D95" i="4"/>
  <c r="E126" i="12"/>
  <c r="U173" i="12"/>
  <c r="U317" i="12"/>
  <c r="X187" i="2"/>
  <c r="AG187" i="2"/>
  <c r="W187" i="2"/>
  <c r="AD187" i="2"/>
  <c r="T187" i="2"/>
  <c r="AC187" i="2"/>
  <c r="S187" i="2"/>
  <c r="AB187" i="2"/>
  <c r="Y187" i="2"/>
  <c r="AF187" i="2"/>
  <c r="AE187" i="2"/>
  <c r="AA187" i="2"/>
  <c r="Z187" i="2"/>
  <c r="V187" i="2"/>
  <c r="B55" i="8"/>
  <c r="B33" i="9"/>
  <c r="W14" i="3"/>
  <c r="AG32" i="2"/>
  <c r="W32" i="2"/>
  <c r="AF32" i="2"/>
  <c r="V32" i="2"/>
  <c r="AE32" i="2"/>
  <c r="X32" i="2"/>
  <c r="AE34" i="2"/>
  <c r="AD34" i="2"/>
  <c r="T34" i="2"/>
  <c r="AC34" i="2"/>
  <c r="S34" i="2"/>
  <c r="AF34" i="2"/>
  <c r="V34" i="2"/>
  <c r="D14" i="6"/>
  <c r="D37" i="4"/>
  <c r="B10" i="6"/>
  <c r="B25" i="4"/>
  <c r="U48" i="12"/>
  <c r="U62" i="12"/>
  <c r="O10" i="3"/>
  <c r="E14" i="12"/>
  <c r="D11" i="5"/>
  <c r="D19" i="4"/>
  <c r="E196" i="12"/>
  <c r="U87" i="12"/>
  <c r="P10" i="3"/>
  <c r="S6" i="2"/>
  <c r="T8" i="2"/>
  <c r="U8" i="2" s="1"/>
  <c r="AD9" i="2"/>
  <c r="U4" i="12"/>
  <c r="E8" i="12"/>
  <c r="U3" i="12"/>
  <c r="AC7" i="2"/>
  <c r="Y8" i="2"/>
  <c r="S9" i="2"/>
  <c r="AE10" i="2"/>
  <c r="AD10" i="2"/>
  <c r="T10" i="2"/>
  <c r="AF10" i="2"/>
  <c r="V10" i="2"/>
  <c r="AG10" i="2"/>
  <c r="T17" i="2"/>
  <c r="B8" i="8"/>
  <c r="E99" i="12"/>
  <c r="B5" i="8"/>
  <c r="AD26" i="2"/>
  <c r="T26" i="2"/>
  <c r="AB26" i="2"/>
  <c r="AC26" i="2"/>
  <c r="S26" i="2"/>
  <c r="AE26" i="2"/>
  <c r="U61" i="12"/>
  <c r="U36" i="12"/>
  <c r="Z31" i="2"/>
  <c r="Y32" i="2"/>
  <c r="D9" i="6"/>
  <c r="D23" i="4"/>
  <c r="Y33" i="2"/>
  <c r="Y34" i="2"/>
  <c r="W35" i="2"/>
  <c r="AC36" i="2"/>
  <c r="U39" i="2"/>
  <c r="Y40" i="2"/>
  <c r="AG40" i="2"/>
  <c r="X40" i="2"/>
  <c r="W40" i="2"/>
  <c r="Z40" i="2"/>
  <c r="AE40" i="2"/>
  <c r="AC41" i="2"/>
  <c r="V46" i="2"/>
  <c r="Z50" i="2"/>
  <c r="U37" i="12"/>
  <c r="AF53" i="2"/>
  <c r="U52" i="12"/>
  <c r="X59" i="2"/>
  <c r="Y60" i="2"/>
  <c r="B13" i="8"/>
  <c r="B16" i="6"/>
  <c r="B40" i="4"/>
  <c r="Y65" i="2"/>
  <c r="U69" i="2"/>
  <c r="U71" i="2"/>
  <c r="U72" i="12"/>
  <c r="Y74" i="2"/>
  <c r="U78" i="2"/>
  <c r="D30" i="5"/>
  <c r="D59" i="4"/>
  <c r="AB111" i="2"/>
  <c r="B39" i="5"/>
  <c r="B73" i="4"/>
  <c r="AG134" i="2"/>
  <c r="W134" i="2"/>
  <c r="AF134" i="2"/>
  <c r="V134" i="2"/>
  <c r="X134" i="2"/>
  <c r="AA134" i="2"/>
  <c r="Z134" i="2"/>
  <c r="Y134" i="2"/>
  <c r="T134" i="2"/>
  <c r="S134" i="2"/>
  <c r="AE134" i="2"/>
  <c r="AB134" i="2"/>
  <c r="E77" i="12"/>
  <c r="AD151" i="2"/>
  <c r="D40" i="7"/>
  <c r="D164" i="4"/>
  <c r="AD6" i="2"/>
  <c r="B17" i="9"/>
  <c r="R6" i="3"/>
  <c r="I14" i="3"/>
  <c r="AC12" i="2"/>
  <c r="S12" i="2"/>
  <c r="AB12" i="2"/>
  <c r="AD12" i="2"/>
  <c r="T12" i="2"/>
  <c r="B7" i="7"/>
  <c r="B18" i="4"/>
  <c r="B9" i="5"/>
  <c r="B16" i="4"/>
  <c r="U15" i="12"/>
  <c r="B23" i="5"/>
  <c r="B45" i="4"/>
  <c r="U77" i="12"/>
  <c r="AF6" i="2"/>
  <c r="B2" i="5"/>
  <c r="B2" i="4"/>
  <c r="B6" i="5"/>
  <c r="B7" i="4"/>
  <c r="I2" i="3"/>
  <c r="AC2" i="2"/>
  <c r="S2" i="2"/>
  <c r="AB2" i="2"/>
  <c r="AD2" i="2"/>
  <c r="T2" i="2"/>
  <c r="AF2" i="2"/>
  <c r="V3" i="2"/>
  <c r="V6" i="2"/>
  <c r="I6" i="3"/>
  <c r="X7" i="2"/>
  <c r="AG7" i="2"/>
  <c r="W7" i="2"/>
  <c r="Y7" i="2"/>
  <c r="AD7" i="2"/>
  <c r="Z8" i="2"/>
  <c r="D6" i="5"/>
  <c r="D7" i="4"/>
  <c r="T9" i="2"/>
  <c r="B5" i="6"/>
  <c r="B7" i="5"/>
  <c r="B12" i="4"/>
  <c r="E11" i="12"/>
  <c r="U11" i="12"/>
  <c r="W12" i="2"/>
  <c r="B6" i="6"/>
  <c r="B13" i="4"/>
  <c r="U49" i="12"/>
  <c r="W716" i="12"/>
  <c r="I25" i="3"/>
  <c r="I28" i="3" s="1"/>
  <c r="AP16" i="2"/>
  <c r="Y22" i="2"/>
  <c r="X22" i="2"/>
  <c r="AG22" i="2"/>
  <c r="W22" i="2"/>
  <c r="Z22" i="2"/>
  <c r="AE22" i="2"/>
  <c r="W25" i="2"/>
  <c r="AA31" i="2"/>
  <c r="Z32" i="2"/>
  <c r="Z34" i="2"/>
  <c r="U17" i="12"/>
  <c r="E57" i="12"/>
  <c r="AF40" i="2"/>
  <c r="W46" i="2"/>
  <c r="AA50" i="2"/>
  <c r="AE52" i="2"/>
  <c r="AD52" i="2"/>
  <c r="T52" i="2"/>
  <c r="AC52" i="2"/>
  <c r="S52" i="2"/>
  <c r="AF52" i="2"/>
  <c r="V52" i="2"/>
  <c r="Y59" i="2"/>
  <c r="Z60" i="2"/>
  <c r="W63" i="2"/>
  <c r="Z65" i="2"/>
  <c r="D18" i="6"/>
  <c r="D48" i="4"/>
  <c r="AB67" i="2"/>
  <c r="Z74" i="2"/>
  <c r="AE75" i="2"/>
  <c r="Y75" i="2"/>
  <c r="X75" i="2"/>
  <c r="W75" i="2"/>
  <c r="AG75" i="2"/>
  <c r="V75" i="2"/>
  <c r="AF75" i="2"/>
  <c r="T75" i="2"/>
  <c r="AC75" i="2"/>
  <c r="Z75" i="2"/>
  <c r="AE109" i="2"/>
  <c r="AF109" i="2"/>
  <c r="V109" i="2"/>
  <c r="AA109" i="2"/>
  <c r="Z109" i="2"/>
  <c r="Y109" i="2"/>
  <c r="X109" i="2"/>
  <c r="W109" i="2"/>
  <c r="T109" i="2"/>
  <c r="AG109" i="2"/>
  <c r="S109" i="2"/>
  <c r="AB109" i="2"/>
  <c r="B26" i="6"/>
  <c r="B80" i="4"/>
  <c r="AE111" i="2"/>
  <c r="U73" i="12"/>
  <c r="AL116" i="2"/>
  <c r="U95" i="12"/>
  <c r="X129" i="2"/>
  <c r="W129" i="2"/>
  <c r="V129" i="2"/>
  <c r="T129" i="2"/>
  <c r="AE129" i="2"/>
  <c r="AF145" i="2"/>
  <c r="V145" i="2"/>
  <c r="AE145" i="2"/>
  <c r="AG145" i="2"/>
  <c r="W145" i="2"/>
  <c r="AA145" i="2"/>
  <c r="Z145" i="2"/>
  <c r="Y145" i="2"/>
  <c r="X145" i="2"/>
  <c r="T145" i="2"/>
  <c r="S145" i="2"/>
  <c r="AB145" i="2"/>
  <c r="AC148" i="2"/>
  <c r="S148" i="2"/>
  <c r="AB148" i="2"/>
  <c r="AD148" i="2"/>
  <c r="T148" i="2"/>
  <c r="AA148" i="2"/>
  <c r="Z148" i="2"/>
  <c r="Y148" i="2"/>
  <c r="X148" i="2"/>
  <c r="W148" i="2"/>
  <c r="V148" i="2"/>
  <c r="AE148" i="2"/>
  <c r="AE151" i="2"/>
  <c r="U168" i="2"/>
  <c r="Y194" i="2"/>
  <c r="X194" i="2"/>
  <c r="AE194" i="2"/>
  <c r="AD194" i="2"/>
  <c r="T194" i="2"/>
  <c r="AC194" i="2"/>
  <c r="S194" i="2"/>
  <c r="Z194" i="2"/>
  <c r="AG194" i="2"/>
  <c r="AF194" i="2"/>
  <c r="AB194" i="2"/>
  <c r="AA194" i="2"/>
  <c r="W194" i="2"/>
  <c r="V194" i="2"/>
  <c r="B60" i="8"/>
  <c r="AF33" i="2"/>
  <c r="V33" i="2"/>
  <c r="AE33" i="2"/>
  <c r="AD33" i="2"/>
  <c r="T33" i="2"/>
  <c r="AG33" i="2"/>
  <c r="W33" i="2"/>
  <c r="E71" i="12"/>
  <c r="B8" i="7"/>
  <c r="B27" i="4"/>
  <c r="AD35" i="2"/>
  <c r="T35" i="2"/>
  <c r="AC35" i="2"/>
  <c r="S35" i="2"/>
  <c r="AB35" i="2"/>
  <c r="AE35" i="2"/>
  <c r="B18" i="5"/>
  <c r="B34" i="4"/>
  <c r="B22" i="8"/>
  <c r="AQ99" i="2"/>
  <c r="U153" i="2"/>
  <c r="U8" i="12"/>
  <c r="U10" i="3"/>
  <c r="B5" i="5"/>
  <c r="B5" i="4"/>
  <c r="E6" i="12"/>
  <c r="J6" i="3"/>
  <c r="X9" i="2"/>
  <c r="S10" i="2"/>
  <c r="AC13" i="2"/>
  <c r="S13" i="2"/>
  <c r="D11" i="6"/>
  <c r="D29" i="4"/>
  <c r="X41" i="2"/>
  <c r="V41" i="2"/>
  <c r="AG41" i="2"/>
  <c r="W41" i="2"/>
  <c r="AF41" i="2"/>
  <c r="Y41" i="2"/>
  <c r="U18" i="12"/>
  <c r="U26" i="12"/>
  <c r="AB50" i="2"/>
  <c r="B15" i="6"/>
  <c r="B38" i="4"/>
  <c r="E37" i="12"/>
  <c r="B15" i="8"/>
  <c r="AD53" i="2"/>
  <c r="T53" i="2"/>
  <c r="AC53" i="2"/>
  <c r="S53" i="2"/>
  <c r="AB53" i="2"/>
  <c r="AE53" i="2"/>
  <c r="U154" i="12"/>
  <c r="U20" i="12"/>
  <c r="U57" i="2"/>
  <c r="Z59" i="2"/>
  <c r="AA60" i="2"/>
  <c r="D16" i="6"/>
  <c r="D40" i="4"/>
  <c r="AD66" i="2"/>
  <c r="T66" i="2"/>
  <c r="Y66" i="2"/>
  <c r="X66" i="2"/>
  <c r="W66" i="2"/>
  <c r="AG66" i="2"/>
  <c r="V66" i="2"/>
  <c r="AF66" i="2"/>
  <c r="Z66" i="2"/>
  <c r="AD67" i="2"/>
  <c r="AD87" i="2"/>
  <c r="T87" i="2"/>
  <c r="AE87" i="2"/>
  <c r="AA87" i="2"/>
  <c r="Z87" i="2"/>
  <c r="Y87" i="2"/>
  <c r="X87" i="2"/>
  <c r="W87" i="2"/>
  <c r="V87" i="2"/>
  <c r="AG87" i="2"/>
  <c r="S87" i="2"/>
  <c r="AB87" i="2"/>
  <c r="D31" i="5"/>
  <c r="D61" i="4"/>
  <c r="E134" i="12"/>
  <c r="AC157" i="2"/>
  <c r="S157" i="2"/>
  <c r="AB157" i="2"/>
  <c r="AD157" i="2"/>
  <c r="T157" i="2"/>
  <c r="Z157" i="2"/>
  <c r="Y157" i="2"/>
  <c r="X157" i="2"/>
  <c r="W157" i="2"/>
  <c r="V157" i="2"/>
  <c r="AG157" i="2"/>
  <c r="AA157" i="2"/>
  <c r="B32" i="7"/>
  <c r="B132" i="4"/>
  <c r="B8" i="6"/>
  <c r="B22" i="4"/>
  <c r="U56" i="12"/>
  <c r="AE3" i="2"/>
  <c r="E5" i="12"/>
  <c r="AG17" i="2"/>
  <c r="W17" i="2"/>
  <c r="AF17" i="2"/>
  <c r="V17" i="2"/>
  <c r="X17" i="2"/>
  <c r="AE17" i="2"/>
  <c r="E29" i="12"/>
  <c r="B12" i="9"/>
  <c r="S2" i="3"/>
  <c r="T3" i="2"/>
  <c r="T6" i="2"/>
  <c r="AG6" i="2"/>
  <c r="D3" i="5"/>
  <c r="D3" i="4"/>
  <c r="D2" i="3"/>
  <c r="E13" i="12"/>
  <c r="J10" i="3"/>
  <c r="X12" i="2"/>
  <c r="E43" i="12"/>
  <c r="X25" i="2"/>
  <c r="B7" i="6"/>
  <c r="B21" i="4"/>
  <c r="AB31" i="2"/>
  <c r="AA32" i="2"/>
  <c r="AA33" i="2"/>
  <c r="AA34" i="2"/>
  <c r="Y35" i="2"/>
  <c r="AE41" i="2"/>
  <c r="U2" i="12"/>
  <c r="Z2" i="3"/>
  <c r="X3" i="2"/>
  <c r="K10" i="3"/>
  <c r="AA6" i="2"/>
  <c r="D3" i="6"/>
  <c r="D6" i="3"/>
  <c r="D6" i="4"/>
  <c r="S7" i="2"/>
  <c r="AF7" i="2"/>
  <c r="AB8" i="2"/>
  <c r="Y9" i="2"/>
  <c r="D5" i="6"/>
  <c r="D7" i="5"/>
  <c r="D12" i="4"/>
  <c r="W10" i="2"/>
  <c r="B4" i="6"/>
  <c r="B11" i="4"/>
  <c r="AD11" i="2"/>
  <c r="T11" i="2"/>
  <c r="AC11" i="2"/>
  <c r="S11" i="2"/>
  <c r="AE11" i="2"/>
  <c r="AG11" i="2"/>
  <c r="Y12" i="2"/>
  <c r="AE13" i="2"/>
  <c r="U14" i="2"/>
  <c r="D3" i="9"/>
  <c r="D25" i="3"/>
  <c r="AA17" i="2"/>
  <c r="B8" i="9"/>
  <c r="W700" i="12"/>
  <c r="AM19" i="2"/>
  <c r="AK19" i="2"/>
  <c r="AN19" i="2"/>
  <c r="S22" i="2"/>
  <c r="X23" i="2"/>
  <c r="AF23" i="2"/>
  <c r="V23" i="2"/>
  <c r="AG23" i="2"/>
  <c r="W23" i="2"/>
  <c r="Y23" i="2"/>
  <c r="AE23" i="2"/>
  <c r="Y25" i="2"/>
  <c r="W26" i="2"/>
  <c r="AC27" i="2"/>
  <c r="AC31" i="2"/>
  <c r="AB32" i="2"/>
  <c r="AB33" i="2"/>
  <c r="AB34" i="2"/>
  <c r="Z35" i="2"/>
  <c r="V36" i="2"/>
  <c r="B10" i="5"/>
  <c r="B17" i="4"/>
  <c r="U38" i="2"/>
  <c r="T40" i="2"/>
  <c r="E34" i="12"/>
  <c r="AG42" i="2"/>
  <c r="W42" i="2"/>
  <c r="AE42" i="2"/>
  <c r="AF42" i="2"/>
  <c r="V42" i="2"/>
  <c r="X42" i="2"/>
  <c r="AF43" i="2"/>
  <c r="V43" i="2"/>
  <c r="AD43" i="2"/>
  <c r="T43" i="2"/>
  <c r="U43" i="2" s="1"/>
  <c r="AE43" i="2"/>
  <c r="AG43" i="2"/>
  <c r="W43" i="2"/>
  <c r="AE44" i="2"/>
  <c r="AD44" i="2"/>
  <c r="T44" i="2"/>
  <c r="AC44" i="2"/>
  <c r="S44" i="2"/>
  <c r="AF44" i="2"/>
  <c r="V44" i="2"/>
  <c r="AQ48" i="2"/>
  <c r="Y49" i="2"/>
  <c r="X49" i="2"/>
  <c r="AG49" i="2"/>
  <c r="W49" i="2"/>
  <c r="Z49" i="2"/>
  <c r="AE49" i="2"/>
  <c r="AC50" i="2"/>
  <c r="W52" i="2"/>
  <c r="AA59" i="2"/>
  <c r="AC60" i="2"/>
  <c r="Z63" i="2"/>
  <c r="AB65" i="2"/>
  <c r="E118" i="12"/>
  <c r="AE67" i="2"/>
  <c r="S75" i="2"/>
  <c r="E42" i="12"/>
  <c r="AK89" i="2"/>
  <c r="AP89" i="2"/>
  <c r="AO89" i="2"/>
  <c r="Y90" i="2"/>
  <c r="Z90" i="2"/>
  <c r="AA90" i="2"/>
  <c r="X90" i="2"/>
  <c r="W90" i="2"/>
  <c r="V90" i="2"/>
  <c r="AG90" i="2"/>
  <c r="AF90" i="2"/>
  <c r="T90" i="2"/>
  <c r="AE90" i="2"/>
  <c r="S90" i="2"/>
  <c r="AB90" i="2"/>
  <c r="AC109" i="2"/>
  <c r="U157" i="12"/>
  <c r="AD134" i="2"/>
  <c r="AC145" i="2"/>
  <c r="AF148" i="2"/>
  <c r="D33" i="6"/>
  <c r="D98" i="4"/>
  <c r="AC180" i="2"/>
  <c r="X180" i="2"/>
  <c r="T180" i="2"/>
  <c r="S180" i="2"/>
  <c r="E200" i="12"/>
  <c r="B4" i="8"/>
  <c r="B14" i="3"/>
  <c r="N25" i="3"/>
  <c r="N28" i="3" s="1"/>
  <c r="W721" i="12"/>
  <c r="AP51" i="2"/>
  <c r="AO51" i="2"/>
  <c r="AN51" i="2"/>
  <c r="B20" i="5"/>
  <c r="B39" i="4"/>
  <c r="W707" i="12"/>
  <c r="AP64" i="2"/>
  <c r="AO64" i="2"/>
  <c r="AN64" i="2"/>
  <c r="AM64" i="2"/>
  <c r="AL64" i="2" s="1"/>
  <c r="Q2" i="3"/>
  <c r="U4" i="2"/>
  <c r="AE6" i="2"/>
  <c r="W698" i="12"/>
  <c r="AO18" i="2"/>
  <c r="AN18" i="2"/>
  <c r="AM18" i="2"/>
  <c r="AP18" i="2"/>
  <c r="U23" i="2"/>
  <c r="E67" i="12"/>
  <c r="E47" i="12"/>
  <c r="R2" i="3"/>
  <c r="T10" i="3"/>
  <c r="U22" i="12"/>
  <c r="Z14" i="3"/>
  <c r="B3" i="5"/>
  <c r="B2" i="3"/>
  <c r="B3" i="4"/>
  <c r="Y2" i="3"/>
  <c r="W3" i="2"/>
  <c r="W10" i="3"/>
  <c r="W6" i="2"/>
  <c r="AA8" i="2"/>
  <c r="J25" i="3"/>
  <c r="J28" i="3" s="1"/>
  <c r="Z17" i="2"/>
  <c r="V2" i="2"/>
  <c r="L10" i="3"/>
  <c r="Y10" i="3"/>
  <c r="AB6" i="2"/>
  <c r="T7" i="2"/>
  <c r="AC8" i="2"/>
  <c r="Z9" i="2"/>
  <c r="X10" i="2"/>
  <c r="E10" i="12"/>
  <c r="U10" i="12"/>
  <c r="Z12" i="2"/>
  <c r="AM16" i="2"/>
  <c r="AL16" i="2" s="1"/>
  <c r="AB17" i="2"/>
  <c r="T22" i="2"/>
  <c r="E84" i="12"/>
  <c r="W725" i="12"/>
  <c r="AP24" i="2"/>
  <c r="AN24" i="2"/>
  <c r="AO24" i="2"/>
  <c r="Z25" i="2"/>
  <c r="X26" i="2"/>
  <c r="U25" i="12"/>
  <c r="AD31" i="2"/>
  <c r="AC32" i="2"/>
  <c r="AC33" i="2"/>
  <c r="AG34" i="2"/>
  <c r="AA35" i="2"/>
  <c r="U40" i="2"/>
  <c r="S41" i="2"/>
  <c r="B14" i="6"/>
  <c r="B37" i="4"/>
  <c r="E53" i="12"/>
  <c r="E18" i="12"/>
  <c r="B10" i="7"/>
  <c r="B35" i="4"/>
  <c r="E26" i="12"/>
  <c r="B14" i="5"/>
  <c r="B26" i="4"/>
  <c r="AD45" i="2"/>
  <c r="T45" i="2"/>
  <c r="AB45" i="2"/>
  <c r="AC45" i="2"/>
  <c r="S45" i="2"/>
  <c r="AE45" i="2"/>
  <c r="U24" i="12"/>
  <c r="U101" i="12"/>
  <c r="E60" i="12"/>
  <c r="AF49" i="2"/>
  <c r="AD50" i="2"/>
  <c r="D15" i="6"/>
  <c r="D38" i="4"/>
  <c r="X52" i="2"/>
  <c r="V53" i="2"/>
  <c r="B17" i="6"/>
  <c r="B41" i="4"/>
  <c r="U81" i="12"/>
  <c r="AB59" i="2"/>
  <c r="U54" i="12"/>
  <c r="AE61" i="2"/>
  <c r="T61" i="2"/>
  <c r="S61" i="2"/>
  <c r="V61" i="2"/>
  <c r="AA63" i="2"/>
  <c r="S66" i="2"/>
  <c r="AF67" i="2"/>
  <c r="B17" i="5"/>
  <c r="B32" i="4"/>
  <c r="AA75" i="2"/>
  <c r="AF84" i="2"/>
  <c r="V84" i="2"/>
  <c r="AG84" i="2"/>
  <c r="W84" i="2"/>
  <c r="AA84" i="2"/>
  <c r="Z84" i="2"/>
  <c r="Y84" i="2"/>
  <c r="X84" i="2"/>
  <c r="T84" i="2"/>
  <c r="AE84" i="2"/>
  <c r="S84" i="2"/>
  <c r="AB84" i="2"/>
  <c r="AC87" i="2"/>
  <c r="E194" i="12"/>
  <c r="B29" i="8"/>
  <c r="AD109" i="2"/>
  <c r="U196" i="12"/>
  <c r="B27" i="8"/>
  <c r="B30" i="6"/>
  <c r="B92" i="4"/>
  <c r="D41" i="5"/>
  <c r="D77" i="4"/>
  <c r="U103" i="12"/>
  <c r="E143" i="12"/>
  <c r="AD145" i="2"/>
  <c r="AG148" i="2"/>
  <c r="AE157" i="2"/>
  <c r="U161" i="2"/>
  <c r="AE164" i="2"/>
  <c r="AD164" i="2"/>
  <c r="T164" i="2"/>
  <c r="AF164" i="2"/>
  <c r="V164" i="2"/>
  <c r="AB164" i="2"/>
  <c r="AA164" i="2"/>
  <c r="Z164" i="2"/>
  <c r="Y164" i="2"/>
  <c r="X164" i="2"/>
  <c r="W164" i="2"/>
  <c r="S164" i="2"/>
  <c r="AC164" i="2"/>
  <c r="AG179" i="2"/>
  <c r="W179" i="2"/>
  <c r="AF179" i="2"/>
  <c r="V179" i="2"/>
  <c r="AC179" i="2"/>
  <c r="S179" i="2"/>
  <c r="AB179" i="2"/>
  <c r="X179" i="2"/>
  <c r="AD179" i="2"/>
  <c r="AA179" i="2"/>
  <c r="Z179" i="2"/>
  <c r="Y179" i="2"/>
  <c r="T179" i="2"/>
  <c r="AE179" i="2"/>
  <c r="U189" i="2"/>
  <c r="E4" i="12"/>
  <c r="D3" i="7"/>
  <c r="D8" i="4"/>
  <c r="D10" i="3"/>
  <c r="AA5" i="2"/>
  <c r="B3" i="6"/>
  <c r="B6" i="4"/>
  <c r="B6" i="3"/>
  <c r="U7" i="12"/>
  <c r="E9" i="12"/>
  <c r="AA15" i="2"/>
  <c r="U28" i="12"/>
  <c r="D8" i="5"/>
  <c r="D14" i="4"/>
  <c r="AA21" i="2"/>
  <c r="T27" i="2"/>
  <c r="AD27" i="2"/>
  <c r="S28" i="2"/>
  <c r="E27" i="12"/>
  <c r="W696" i="12"/>
  <c r="U67" i="12"/>
  <c r="T36" i="2"/>
  <c r="AD36" i="2"/>
  <c r="S37" i="2"/>
  <c r="E142" i="12"/>
  <c r="D9" i="7"/>
  <c r="D15" i="5"/>
  <c r="D28" i="4"/>
  <c r="AA39" i="2"/>
  <c r="B13" i="6"/>
  <c r="B33" i="4"/>
  <c r="U53" i="12"/>
  <c r="T46" i="2"/>
  <c r="AD46" i="2"/>
  <c r="S47" i="2"/>
  <c r="B11" i="7"/>
  <c r="B44" i="4"/>
  <c r="T54" i="2"/>
  <c r="AD54" i="2"/>
  <c r="S55" i="2"/>
  <c r="E52" i="12"/>
  <c r="D12" i="7"/>
  <c r="D47" i="4"/>
  <c r="E81" i="12"/>
  <c r="D19" i="5"/>
  <c r="D36" i="4"/>
  <c r="AA68" i="2"/>
  <c r="E93" i="12"/>
  <c r="T72" i="2"/>
  <c r="AD76" i="2"/>
  <c r="T76" i="2"/>
  <c r="AB76" i="2"/>
  <c r="E32" i="12"/>
  <c r="S79" i="2"/>
  <c r="T80" i="2"/>
  <c r="AE80" i="2"/>
  <c r="AF81" i="2"/>
  <c r="V82" i="2"/>
  <c r="X83" i="2"/>
  <c r="U89" i="12"/>
  <c r="X88" i="2"/>
  <c r="S91" i="2"/>
  <c r="Y95" i="2"/>
  <c r="Y100" i="2"/>
  <c r="B31" i="5"/>
  <c r="B61" i="4"/>
  <c r="AF101" i="2"/>
  <c r="V101" i="2"/>
  <c r="AG101" i="2"/>
  <c r="W101" i="2"/>
  <c r="AC101" i="2"/>
  <c r="B21" i="9"/>
  <c r="W723" i="12"/>
  <c r="AM103" i="2"/>
  <c r="AN103" i="2"/>
  <c r="D24" i="6"/>
  <c r="D76" i="4"/>
  <c r="AB104" i="2"/>
  <c r="AC104" i="2"/>
  <c r="S104" i="2"/>
  <c r="AD104" i="2"/>
  <c r="S105" i="2"/>
  <c r="W110" i="2"/>
  <c r="AG114" i="2"/>
  <c r="W718" i="12"/>
  <c r="AP116" i="2"/>
  <c r="D21" i="7"/>
  <c r="D90" i="4"/>
  <c r="E157" i="12"/>
  <c r="V120" i="2"/>
  <c r="U116" i="12"/>
  <c r="W121" i="2"/>
  <c r="U65" i="12"/>
  <c r="S125" i="2"/>
  <c r="AE126" i="2"/>
  <c r="AD126" i="2"/>
  <c r="T126" i="2"/>
  <c r="AF126" i="2"/>
  <c r="V126" i="2"/>
  <c r="AG126" i="2"/>
  <c r="D40" i="5"/>
  <c r="D75" i="4"/>
  <c r="S133" i="2"/>
  <c r="Y135" i="2"/>
  <c r="B41" i="5"/>
  <c r="B77" i="4"/>
  <c r="AD137" i="2"/>
  <c r="T137" i="2"/>
  <c r="AC137" i="2"/>
  <c r="S137" i="2"/>
  <c r="AE137" i="2"/>
  <c r="AG137" i="2"/>
  <c r="Y142" i="2"/>
  <c r="X142" i="2"/>
  <c r="Z142" i="2"/>
  <c r="AD142" i="2"/>
  <c r="V143" i="2"/>
  <c r="E113" i="12"/>
  <c r="B43" i="5"/>
  <c r="B82" i="4"/>
  <c r="U91" i="12"/>
  <c r="AG153" i="2"/>
  <c r="W153" i="2"/>
  <c r="AF153" i="2"/>
  <c r="V153" i="2"/>
  <c r="X153" i="2"/>
  <c r="AD153" i="2"/>
  <c r="Y155" i="2"/>
  <c r="D37" i="6"/>
  <c r="D105" i="4"/>
  <c r="T158" i="2"/>
  <c r="U110" i="12"/>
  <c r="B43" i="8"/>
  <c r="E239" i="12"/>
  <c r="U239" i="12"/>
  <c r="U230" i="12"/>
  <c r="X167" i="2"/>
  <c r="Z171" i="2"/>
  <c r="X175" i="2"/>
  <c r="U125" i="12"/>
  <c r="X195" i="2"/>
  <c r="AG195" i="2"/>
  <c r="W195" i="2"/>
  <c r="AD195" i="2"/>
  <c r="T195" i="2"/>
  <c r="AC195" i="2"/>
  <c r="S195" i="2"/>
  <c r="AB195" i="2"/>
  <c r="Y195" i="2"/>
  <c r="X201" i="2"/>
  <c r="W201" i="2"/>
  <c r="V201" i="2"/>
  <c r="AD209" i="2"/>
  <c r="T209" i="2"/>
  <c r="AC209" i="2"/>
  <c r="S209" i="2"/>
  <c r="AA209" i="2"/>
  <c r="Z209" i="2"/>
  <c r="Y209" i="2"/>
  <c r="X209" i="2"/>
  <c r="AE209" i="2"/>
  <c r="E297" i="12"/>
  <c r="D64" i="5"/>
  <c r="D130" i="4"/>
  <c r="X247" i="2"/>
  <c r="Z247" i="2"/>
  <c r="Y247" i="2"/>
  <c r="W247" i="2"/>
  <c r="AG247" i="2"/>
  <c r="V247" i="2"/>
  <c r="AF247" i="2"/>
  <c r="AE247" i="2"/>
  <c r="T247" i="2"/>
  <c r="AD247" i="2"/>
  <c r="S247" i="2"/>
  <c r="AA247" i="2"/>
  <c r="U167" i="12"/>
  <c r="U286" i="2"/>
  <c r="E455" i="12"/>
  <c r="U271" i="12"/>
  <c r="AF405" i="2"/>
  <c r="V405" i="2"/>
  <c r="AE405" i="2"/>
  <c r="Z405" i="2"/>
  <c r="Y405" i="2"/>
  <c r="X405" i="2"/>
  <c r="W405" i="2"/>
  <c r="T405" i="2"/>
  <c r="AG405" i="2"/>
  <c r="S405" i="2"/>
  <c r="AD405" i="2"/>
  <c r="AA405" i="2"/>
  <c r="AC405" i="2"/>
  <c r="AB405" i="2"/>
  <c r="E191" i="12"/>
  <c r="B62" i="5"/>
  <c r="B128" i="4"/>
  <c r="Z255" i="2"/>
  <c r="Y255" i="2"/>
  <c r="X255" i="2"/>
  <c r="W255" i="2"/>
  <c r="AG255" i="2"/>
  <c r="V255" i="2"/>
  <c r="AF255" i="2"/>
  <c r="AE255" i="2"/>
  <c r="T255" i="2"/>
  <c r="AD255" i="2"/>
  <c r="S255" i="2"/>
  <c r="AA255" i="2"/>
  <c r="U217" i="12"/>
  <c r="B72" i="5"/>
  <c r="B146" i="4"/>
  <c r="AC292" i="2"/>
  <c r="S292" i="2"/>
  <c r="X292" i="2"/>
  <c r="W292" i="2"/>
  <c r="V292" i="2"/>
  <c r="T292" i="2"/>
  <c r="AE292" i="2"/>
  <c r="W301" i="2"/>
  <c r="V301" i="2"/>
  <c r="D196" i="4"/>
  <c r="D61" i="6"/>
  <c r="E412" i="12"/>
  <c r="B97" i="5"/>
  <c r="B199" i="4"/>
  <c r="E132" i="12"/>
  <c r="E385" i="12"/>
  <c r="AD261" i="2"/>
  <c r="T261" i="2"/>
  <c r="Y261" i="2"/>
  <c r="X261" i="2"/>
  <c r="W261" i="2"/>
  <c r="AG261" i="2"/>
  <c r="V261" i="2"/>
  <c r="AF261" i="2"/>
  <c r="AE261" i="2"/>
  <c r="S261" i="2"/>
  <c r="AC261" i="2"/>
  <c r="Z261" i="2"/>
  <c r="V271" i="2"/>
  <c r="AE271" i="2"/>
  <c r="T271" i="2"/>
  <c r="X276" i="2"/>
  <c r="AG276" i="2"/>
  <c r="W276" i="2"/>
  <c r="Z276" i="2"/>
  <c r="Y276" i="2"/>
  <c r="V276" i="2"/>
  <c r="AF276" i="2"/>
  <c r="T276" i="2"/>
  <c r="AE276" i="2"/>
  <c r="S276" i="2"/>
  <c r="AD276" i="2"/>
  <c r="AA276" i="2"/>
  <c r="AC281" i="2"/>
  <c r="S281" i="2"/>
  <c r="AB281" i="2"/>
  <c r="Z281" i="2"/>
  <c r="Y281" i="2"/>
  <c r="X281" i="2"/>
  <c r="W281" i="2"/>
  <c r="V281" i="2"/>
  <c r="AG281" i="2"/>
  <c r="AF281" i="2"/>
  <c r="T281" i="2"/>
  <c r="AA281" i="2"/>
  <c r="U288" i="2"/>
  <c r="Y295" i="2"/>
  <c r="X295" i="2"/>
  <c r="Z295" i="2"/>
  <c r="AA295" i="2"/>
  <c r="W295" i="2"/>
  <c r="V295" i="2"/>
  <c r="AG295" i="2"/>
  <c r="T295" i="2"/>
  <c r="AF295" i="2"/>
  <c r="S295" i="2"/>
  <c r="AE295" i="2"/>
  <c r="AB295" i="2"/>
  <c r="U315" i="2"/>
  <c r="E271" i="12"/>
  <c r="B113" i="8"/>
  <c r="E220" i="12"/>
  <c r="W674" i="12"/>
  <c r="AP371" i="2"/>
  <c r="AO371" i="2"/>
  <c r="AN371" i="2"/>
  <c r="AM371" i="2"/>
  <c r="AK371" i="2"/>
  <c r="B21" i="6"/>
  <c r="B53" i="4"/>
  <c r="D17" i="5"/>
  <c r="D32" i="4"/>
  <c r="E35" i="12"/>
  <c r="U165" i="12"/>
  <c r="B20" i="7"/>
  <c r="B85" i="4"/>
  <c r="D22" i="6"/>
  <c r="D68" i="4"/>
  <c r="B19" i="8"/>
  <c r="AE93" i="2"/>
  <c r="AF93" i="2"/>
  <c r="V93" i="2"/>
  <c r="AC93" i="2"/>
  <c r="U177" i="12"/>
  <c r="B33" i="5"/>
  <c r="B65" i="4"/>
  <c r="U64" i="12"/>
  <c r="W670" i="12"/>
  <c r="AP108" i="2"/>
  <c r="D26" i="6"/>
  <c r="D80" i="4"/>
  <c r="E69" i="12"/>
  <c r="U83" i="12"/>
  <c r="X115" i="2"/>
  <c r="Y115" i="2"/>
  <c r="AC115" i="2"/>
  <c r="B28" i="8"/>
  <c r="AD118" i="2"/>
  <c r="T118" i="2"/>
  <c r="AE118" i="2"/>
  <c r="AC118" i="2"/>
  <c r="E79" i="12"/>
  <c r="B31" i="6"/>
  <c r="B94" i="4"/>
  <c r="AD127" i="2"/>
  <c r="T127" i="2"/>
  <c r="AC127" i="2"/>
  <c r="S127" i="2"/>
  <c r="AE127" i="2"/>
  <c r="AG127" i="2"/>
  <c r="Y132" i="2"/>
  <c r="X132" i="2"/>
  <c r="Z132" i="2"/>
  <c r="AD132" i="2"/>
  <c r="E98" i="12"/>
  <c r="U199" i="12"/>
  <c r="B29" i="6"/>
  <c r="B88" i="4"/>
  <c r="E70" i="12"/>
  <c r="U70" i="12"/>
  <c r="U31" i="12"/>
  <c r="AF154" i="2"/>
  <c r="V154" i="2"/>
  <c r="AE154" i="2"/>
  <c r="AG154" i="2"/>
  <c r="W154" i="2"/>
  <c r="AD154" i="2"/>
  <c r="B27" i="7"/>
  <c r="B111" i="4"/>
  <c r="E233" i="12"/>
  <c r="W704" i="12"/>
  <c r="AP162" i="2"/>
  <c r="U158" i="12"/>
  <c r="Y170" i="2"/>
  <c r="X170" i="2"/>
  <c r="AE170" i="2"/>
  <c r="Z170" i="2"/>
  <c r="AF170" i="2"/>
  <c r="AC171" i="2"/>
  <c r="AD174" i="2"/>
  <c r="T174" i="2"/>
  <c r="AC174" i="2"/>
  <c r="S174" i="2"/>
  <c r="Z174" i="2"/>
  <c r="AE174" i="2"/>
  <c r="U240" i="12"/>
  <c r="AE175" i="2"/>
  <c r="AQ176" i="2"/>
  <c r="E269" i="12"/>
  <c r="B40" i="6"/>
  <c r="B121" i="4"/>
  <c r="B50" i="5"/>
  <c r="B107" i="4"/>
  <c r="U185" i="2"/>
  <c r="E296" i="12"/>
  <c r="D41" i="6"/>
  <c r="D125" i="4"/>
  <c r="B54" i="8"/>
  <c r="U202" i="2"/>
  <c r="D42" i="6"/>
  <c r="D133" i="4"/>
  <c r="U174" i="12"/>
  <c r="B63" i="8"/>
  <c r="AB255" i="2"/>
  <c r="E397" i="12"/>
  <c r="AC262" i="2"/>
  <c r="S262" i="2"/>
  <c r="Z262" i="2"/>
  <c r="Y262" i="2"/>
  <c r="X262" i="2"/>
  <c r="W262" i="2"/>
  <c r="AG262" i="2"/>
  <c r="V262" i="2"/>
  <c r="AF262" i="2"/>
  <c r="AE262" i="2"/>
  <c r="T262" i="2"/>
  <c r="AA262" i="2"/>
  <c r="D54" i="6"/>
  <c r="D179" i="4"/>
  <c r="AE308" i="2"/>
  <c r="AD308" i="2"/>
  <c r="T308" i="2"/>
  <c r="AF308" i="2"/>
  <c r="V308" i="2"/>
  <c r="AB308" i="2"/>
  <c r="AA308" i="2"/>
  <c r="Z308" i="2"/>
  <c r="Y308" i="2"/>
  <c r="X308" i="2"/>
  <c r="W308" i="2"/>
  <c r="S308" i="2"/>
  <c r="AC308" i="2"/>
  <c r="X329" i="2"/>
  <c r="V329" i="2"/>
  <c r="AC329" i="2"/>
  <c r="S329" i="2"/>
  <c r="W329" i="2"/>
  <c r="T329" i="2"/>
  <c r="AE329" i="2"/>
  <c r="U331" i="2"/>
  <c r="D87" i="5"/>
  <c r="D175" i="4"/>
  <c r="U503" i="12"/>
  <c r="U32" i="12"/>
  <c r="U59" i="12"/>
  <c r="U66" i="12"/>
  <c r="AG83" i="2"/>
  <c r="W83" i="2"/>
  <c r="AB83" i="2"/>
  <c r="U138" i="12"/>
  <c r="U42" i="12"/>
  <c r="D28" i="5"/>
  <c r="D56" i="4"/>
  <c r="AB88" i="2"/>
  <c r="AC88" i="2"/>
  <c r="S88" i="2"/>
  <c r="AD88" i="2"/>
  <c r="E130" i="12"/>
  <c r="AD93" i="2"/>
  <c r="AC95" i="2"/>
  <c r="S95" i="2"/>
  <c r="AD95" i="2"/>
  <c r="T95" i="2"/>
  <c r="AE95" i="2"/>
  <c r="AG100" i="2"/>
  <c r="W100" i="2"/>
  <c r="X100" i="2"/>
  <c r="AC100" i="2"/>
  <c r="U85" i="12"/>
  <c r="U33" i="12"/>
  <c r="W684" i="12"/>
  <c r="AK108" i="2"/>
  <c r="U134" i="12"/>
  <c r="D28" i="6"/>
  <c r="D86" i="4"/>
  <c r="E86" i="12"/>
  <c r="AD115" i="2"/>
  <c r="E97" i="12"/>
  <c r="AF118" i="2"/>
  <c r="B22" i="7"/>
  <c r="B91" i="4"/>
  <c r="AR123" i="2"/>
  <c r="AQ123" i="2"/>
  <c r="E114" i="12"/>
  <c r="U114" i="12"/>
  <c r="E155" i="12"/>
  <c r="AE132" i="2"/>
  <c r="D30" i="6"/>
  <c r="D92" i="4"/>
  <c r="AC138" i="2"/>
  <c r="S138" i="2"/>
  <c r="AB138" i="2"/>
  <c r="AD138" i="2"/>
  <c r="T138" i="2"/>
  <c r="AF138" i="2"/>
  <c r="AE146" i="2"/>
  <c r="AD146" i="2"/>
  <c r="T146" i="2"/>
  <c r="AF146" i="2"/>
  <c r="V146" i="2"/>
  <c r="AG146" i="2"/>
  <c r="B36" i="6"/>
  <c r="B103" i="4"/>
  <c r="E140" i="12"/>
  <c r="U140" i="12"/>
  <c r="U212" i="12"/>
  <c r="AK162" i="2"/>
  <c r="D47" i="5"/>
  <c r="D93" i="4"/>
  <c r="B41" i="8"/>
  <c r="AD165" i="2"/>
  <c r="T165" i="2"/>
  <c r="AC165" i="2"/>
  <c r="S165" i="2"/>
  <c r="AE165" i="2"/>
  <c r="AG165" i="2"/>
  <c r="AE167" i="2"/>
  <c r="E150" i="12"/>
  <c r="AG170" i="2"/>
  <c r="B44" i="8"/>
  <c r="E240" i="12"/>
  <c r="AR176" i="2"/>
  <c r="D33" i="7"/>
  <c r="D135" i="4"/>
  <c r="D49" i="5"/>
  <c r="D106" i="4"/>
  <c r="Y186" i="2"/>
  <c r="X186" i="2"/>
  <c r="AE186" i="2"/>
  <c r="AD186" i="2"/>
  <c r="T186" i="2"/>
  <c r="AC186" i="2"/>
  <c r="S186" i="2"/>
  <c r="Z186" i="2"/>
  <c r="W679" i="12"/>
  <c r="AK192" i="2"/>
  <c r="AP192" i="2"/>
  <c r="AM192" i="2"/>
  <c r="AD199" i="2"/>
  <c r="T199" i="2"/>
  <c r="AC199" i="2"/>
  <c r="S199" i="2"/>
  <c r="Z199" i="2"/>
  <c r="Y199" i="2"/>
  <c r="X199" i="2"/>
  <c r="AE199" i="2"/>
  <c r="B57" i="5"/>
  <c r="B118" i="4"/>
  <c r="U212" i="2"/>
  <c r="U144" i="12"/>
  <c r="X220" i="2"/>
  <c r="W220" i="2"/>
  <c r="V220" i="2"/>
  <c r="X224" i="2"/>
  <c r="AG224" i="2"/>
  <c r="W224" i="2"/>
  <c r="AE224" i="2"/>
  <c r="AD224" i="2"/>
  <c r="T224" i="2"/>
  <c r="AC224" i="2"/>
  <c r="S224" i="2"/>
  <c r="AB224" i="2"/>
  <c r="Y224" i="2"/>
  <c r="AR230" i="2"/>
  <c r="B49" i="6"/>
  <c r="B155" i="4"/>
  <c r="AG238" i="2"/>
  <c r="W238" i="2"/>
  <c r="Y238" i="2"/>
  <c r="X238" i="2"/>
  <c r="V238" i="2"/>
  <c r="AF238" i="2"/>
  <c r="AE238" i="2"/>
  <c r="T238" i="2"/>
  <c r="AD238" i="2"/>
  <c r="S238" i="2"/>
  <c r="AC238" i="2"/>
  <c r="Z238" i="2"/>
  <c r="U359" i="12"/>
  <c r="AB253" i="2"/>
  <c r="X253" i="2"/>
  <c r="W253" i="2"/>
  <c r="AG253" i="2"/>
  <c r="V253" i="2"/>
  <c r="AF253" i="2"/>
  <c r="AE253" i="2"/>
  <c r="T253" i="2"/>
  <c r="AD253" i="2"/>
  <c r="S253" i="2"/>
  <c r="AC253" i="2"/>
  <c r="Y253" i="2"/>
  <c r="AC255" i="2"/>
  <c r="U256" i="2"/>
  <c r="AA261" i="2"/>
  <c r="E375" i="12"/>
  <c r="E415" i="12"/>
  <c r="AB276" i="2"/>
  <c r="AD281" i="2"/>
  <c r="B85" i="8"/>
  <c r="AC295" i="2"/>
  <c r="E151" i="12"/>
  <c r="B99" i="8"/>
  <c r="B50" i="7"/>
  <c r="B228" i="4"/>
  <c r="X338" i="2"/>
  <c r="V338" i="2"/>
  <c r="AC338" i="2"/>
  <c r="S338" i="2"/>
  <c r="W338" i="2"/>
  <c r="T338" i="2"/>
  <c r="AE338" i="2"/>
  <c r="E219" i="12"/>
  <c r="E21" i="12"/>
  <c r="U93" i="12"/>
  <c r="B20" i="6"/>
  <c r="B52" i="4"/>
  <c r="B27" i="5"/>
  <c r="B55" i="4"/>
  <c r="D21" i="6"/>
  <c r="D53" i="4"/>
  <c r="E41" i="12"/>
  <c r="U71" i="12"/>
  <c r="X82" i="2"/>
  <c r="AB82" i="2"/>
  <c r="D20" i="7"/>
  <c r="D85" i="4"/>
  <c r="E88" i="12"/>
  <c r="AC83" i="2"/>
  <c r="AE88" i="2"/>
  <c r="W656" i="12"/>
  <c r="AP92" i="2"/>
  <c r="S93" i="2"/>
  <c r="AG93" i="2"/>
  <c r="E164" i="12"/>
  <c r="AF95" i="2"/>
  <c r="U55" i="12"/>
  <c r="U111" i="12"/>
  <c r="W714" i="12"/>
  <c r="D33" i="5"/>
  <c r="D65" i="4"/>
  <c r="E100" i="12"/>
  <c r="AD100" i="2"/>
  <c r="B25" i="5"/>
  <c r="B49" i="4"/>
  <c r="AE102" i="2"/>
  <c r="AF102" i="2"/>
  <c r="V102" i="2"/>
  <c r="AC102" i="2"/>
  <c r="AQ103" i="2"/>
  <c r="AK107" i="2"/>
  <c r="U69" i="12"/>
  <c r="S115" i="2"/>
  <c r="AE115" i="2"/>
  <c r="S118" i="2"/>
  <c r="AG118" i="2"/>
  <c r="AC121" i="2"/>
  <c r="B35" i="5"/>
  <c r="B67" i="4"/>
  <c r="AG124" i="2"/>
  <c r="W124" i="2"/>
  <c r="AF124" i="2"/>
  <c r="V124" i="2"/>
  <c r="X124" i="2"/>
  <c r="AD124" i="2"/>
  <c r="D31" i="6"/>
  <c r="D94" i="4"/>
  <c r="V127" i="2"/>
  <c r="U184" i="12"/>
  <c r="S132" i="2"/>
  <c r="AF132" i="2"/>
  <c r="AF135" i="2"/>
  <c r="V135" i="2"/>
  <c r="AE135" i="2"/>
  <c r="AG135" i="2"/>
  <c r="W135" i="2"/>
  <c r="AD135" i="2"/>
  <c r="AG138" i="2"/>
  <c r="B38" i="5"/>
  <c r="B72" i="4"/>
  <c r="E112" i="12"/>
  <c r="X143" i="2"/>
  <c r="AG143" i="2"/>
  <c r="W143" i="2"/>
  <c r="Y143" i="2"/>
  <c r="AD143" i="2"/>
  <c r="D29" i="6"/>
  <c r="D88" i="4"/>
  <c r="B36" i="8"/>
  <c r="E182" i="12"/>
  <c r="U182" i="12"/>
  <c r="S154" i="2"/>
  <c r="AE155" i="2"/>
  <c r="AD155" i="2"/>
  <c r="T155" i="2"/>
  <c r="AF155" i="2"/>
  <c r="V155" i="2"/>
  <c r="AG155" i="2"/>
  <c r="E279" i="12"/>
  <c r="U279" i="12"/>
  <c r="D39" i="6"/>
  <c r="D117" i="4"/>
  <c r="S170" i="2"/>
  <c r="X171" i="2"/>
  <c r="AG171" i="2"/>
  <c r="W171" i="2"/>
  <c r="AD171" i="2"/>
  <c r="T171" i="2"/>
  <c r="Y171" i="2"/>
  <c r="AF171" i="2"/>
  <c r="V174" i="2"/>
  <c r="AC175" i="2"/>
  <c r="S175" i="2"/>
  <c r="AB175" i="2"/>
  <c r="Y175" i="2"/>
  <c r="AD175" i="2"/>
  <c r="T175" i="2"/>
  <c r="AG175" i="2"/>
  <c r="U266" i="12"/>
  <c r="E284" i="12"/>
  <c r="D51" i="5"/>
  <c r="D108" i="4"/>
  <c r="U108" i="12"/>
  <c r="E222" i="12"/>
  <c r="D53" i="5"/>
  <c r="D110" i="4"/>
  <c r="B38" i="7"/>
  <c r="B157" i="4"/>
  <c r="B55" i="5"/>
  <c r="B113" i="4"/>
  <c r="U207" i="2"/>
  <c r="AR219" i="2"/>
  <c r="AQ219" i="2"/>
  <c r="U153" i="12"/>
  <c r="E109" i="12"/>
  <c r="Y232" i="2"/>
  <c r="X232" i="2"/>
  <c r="AG232" i="2"/>
  <c r="W232" i="2"/>
  <c r="AF232" i="2"/>
  <c r="V232" i="2"/>
  <c r="AE232" i="2"/>
  <c r="AD232" i="2"/>
  <c r="T232" i="2"/>
  <c r="AC232" i="2"/>
  <c r="S232" i="2"/>
  <c r="Z232" i="2"/>
  <c r="D44" i="7"/>
  <c r="D178" i="4"/>
  <c r="X254" i="2"/>
  <c r="W254" i="2"/>
  <c r="V254" i="2"/>
  <c r="AE254" i="2"/>
  <c r="T254" i="2"/>
  <c r="S254" i="2"/>
  <c r="AC254" i="2"/>
  <c r="U257" i="2"/>
  <c r="B51" i="6"/>
  <c r="B167" i="4"/>
  <c r="AB261" i="2"/>
  <c r="E276" i="12"/>
  <c r="B73" i="5"/>
  <c r="B147" i="4"/>
  <c r="U273" i="2"/>
  <c r="B82" i="8"/>
  <c r="AC276" i="2"/>
  <c r="AE281" i="2"/>
  <c r="X290" i="2"/>
  <c r="W290" i="2"/>
  <c r="U439" i="12"/>
  <c r="AD295" i="2"/>
  <c r="B77" i="5"/>
  <c r="B159" i="4"/>
  <c r="AE301" i="2"/>
  <c r="AL313" i="2"/>
  <c r="E251" i="12"/>
  <c r="U325" i="2"/>
  <c r="U432" i="2"/>
  <c r="E127" i="12"/>
  <c r="U45" i="12"/>
  <c r="U38" i="12"/>
  <c r="U47" i="12"/>
  <c r="AG73" i="2"/>
  <c r="W73" i="2"/>
  <c r="AB73" i="2"/>
  <c r="B23" i="6"/>
  <c r="B74" i="4"/>
  <c r="B15" i="7"/>
  <c r="B60" i="4"/>
  <c r="AB81" i="2"/>
  <c r="E107" i="12"/>
  <c r="AC82" i="2"/>
  <c r="S83" i="2"/>
  <c r="AD83" i="2"/>
  <c r="B18" i="8"/>
  <c r="AE85" i="2"/>
  <c r="AF85" i="2"/>
  <c r="V85" i="2"/>
  <c r="AC85" i="2"/>
  <c r="B19" i="7"/>
  <c r="B78" i="4"/>
  <c r="T88" i="2"/>
  <c r="AF88" i="2"/>
  <c r="U194" i="12"/>
  <c r="AK92" i="2"/>
  <c r="T93" i="2"/>
  <c r="U130" i="12"/>
  <c r="AG95" i="2"/>
  <c r="AK99" i="2"/>
  <c r="S100" i="2"/>
  <c r="AE100" i="2"/>
  <c r="E63" i="12"/>
  <c r="AD102" i="2"/>
  <c r="B21" i="5"/>
  <c r="B42" i="4"/>
  <c r="B34" i="5"/>
  <c r="B66" i="4"/>
  <c r="AM108" i="2"/>
  <c r="B24" i="5"/>
  <c r="B46" i="4"/>
  <c r="AD110" i="2"/>
  <c r="T110" i="2"/>
  <c r="AE110" i="2"/>
  <c r="AC110" i="2"/>
  <c r="Y114" i="2"/>
  <c r="Z114" i="2"/>
  <c r="AC114" i="2"/>
  <c r="T115" i="2"/>
  <c r="AF115" i="2"/>
  <c r="V118" i="2"/>
  <c r="U97" i="12"/>
  <c r="D22" i="7"/>
  <c r="D91" i="4"/>
  <c r="AB120" i="2"/>
  <c r="AC120" i="2"/>
  <c r="S120" i="2"/>
  <c r="AD120" i="2"/>
  <c r="S121" i="2"/>
  <c r="U122" i="2"/>
  <c r="E82" i="12"/>
  <c r="AE124" i="2"/>
  <c r="W127" i="2"/>
  <c r="B25" i="7"/>
  <c r="B100" i="4"/>
  <c r="U146" i="12"/>
  <c r="T132" i="2"/>
  <c r="AG132" i="2"/>
  <c r="B44" i="5"/>
  <c r="B84" i="4"/>
  <c r="E74" i="12"/>
  <c r="U74" i="12"/>
  <c r="U169" i="12"/>
  <c r="E124" i="12"/>
  <c r="AE143" i="2"/>
  <c r="S146" i="2"/>
  <c r="E91" i="12"/>
  <c r="X152" i="2"/>
  <c r="AG152" i="2"/>
  <c r="W152" i="2"/>
  <c r="Y152" i="2"/>
  <c r="AD152" i="2"/>
  <c r="D36" i="6"/>
  <c r="D103" i="4"/>
  <c r="T154" i="2"/>
  <c r="B45" i="5"/>
  <c r="B87" i="4"/>
  <c r="E44" i="12"/>
  <c r="U44" i="12"/>
  <c r="B46" i="5"/>
  <c r="B89" i="4"/>
  <c r="U160" i="2"/>
  <c r="AM162" i="2"/>
  <c r="V165" i="2"/>
  <c r="T167" i="2"/>
  <c r="U122" i="12"/>
  <c r="T170" i="2"/>
  <c r="E256" i="12"/>
  <c r="W174" i="2"/>
  <c r="U133" i="12"/>
  <c r="V186" i="2"/>
  <c r="AD191" i="2"/>
  <c r="T191" i="2"/>
  <c r="AC191" i="2"/>
  <c r="S191" i="2"/>
  <c r="Z191" i="2"/>
  <c r="Y191" i="2"/>
  <c r="X191" i="2"/>
  <c r="AE191" i="2"/>
  <c r="AO192" i="2"/>
  <c r="U181" i="12"/>
  <c r="E108" i="12"/>
  <c r="V199" i="2"/>
  <c r="U318" i="12"/>
  <c r="E247" i="12"/>
  <c r="X205" i="2"/>
  <c r="AG205" i="2"/>
  <c r="W205" i="2"/>
  <c r="AD205" i="2"/>
  <c r="T205" i="2"/>
  <c r="AC205" i="2"/>
  <c r="S205" i="2"/>
  <c r="AB205" i="2"/>
  <c r="Y205" i="2"/>
  <c r="AC210" i="2"/>
  <c r="S210" i="2"/>
  <c r="AB210" i="2"/>
  <c r="Z210" i="2"/>
  <c r="Y210" i="2"/>
  <c r="X210" i="2"/>
  <c r="AG210" i="2"/>
  <c r="W210" i="2"/>
  <c r="AD210" i="2"/>
  <c r="T210" i="2"/>
  <c r="E206" i="12"/>
  <c r="D43" i="6"/>
  <c r="D138" i="4"/>
  <c r="B58" i="8"/>
  <c r="U221" i="2"/>
  <c r="U319" i="12"/>
  <c r="U231" i="2"/>
  <c r="E168" i="12"/>
  <c r="W712" i="12"/>
  <c r="AP237" i="2"/>
  <c r="AO237" i="2"/>
  <c r="AN237" i="2"/>
  <c r="AM237" i="2"/>
  <c r="AK237" i="2"/>
  <c r="E340" i="12"/>
  <c r="B67" i="8"/>
  <c r="D126" i="4"/>
  <c r="D60" i="5"/>
  <c r="U263" i="2"/>
  <c r="U264" i="2"/>
  <c r="AG297" i="2"/>
  <c r="W297" i="2"/>
  <c r="AF297" i="2"/>
  <c r="V297" i="2"/>
  <c r="X297" i="2"/>
  <c r="AB297" i="2"/>
  <c r="AA297" i="2"/>
  <c r="Z297" i="2"/>
  <c r="Y297" i="2"/>
  <c r="T297" i="2"/>
  <c r="S297" i="2"/>
  <c r="AC297" i="2"/>
  <c r="U205" i="12"/>
  <c r="U151" i="12"/>
  <c r="X316" i="2"/>
  <c r="T316" i="2"/>
  <c r="U314" i="12"/>
  <c r="E161" i="12"/>
  <c r="D13" i="5"/>
  <c r="D24" i="4"/>
  <c r="AA36" i="2"/>
  <c r="E24" i="12"/>
  <c r="AD58" i="2"/>
  <c r="T58" i="2"/>
  <c r="AB58" i="2"/>
  <c r="E30" i="12"/>
  <c r="U118" i="12"/>
  <c r="D20" i="6"/>
  <c r="D52" i="4"/>
  <c r="X72" i="2"/>
  <c r="AB72" i="2"/>
  <c r="D27" i="5"/>
  <c r="D55" i="4"/>
  <c r="E80" i="12"/>
  <c r="AC73" i="2"/>
  <c r="U35" i="12"/>
  <c r="B22" i="5"/>
  <c r="B43" i="4"/>
  <c r="AB80" i="2"/>
  <c r="E195" i="12"/>
  <c r="AC81" i="2"/>
  <c r="S82" i="2"/>
  <c r="AD82" i="2"/>
  <c r="T83" i="2"/>
  <c r="AE83" i="2"/>
  <c r="E117" i="12"/>
  <c r="AD85" i="2"/>
  <c r="AC86" i="2"/>
  <c r="S86" i="2"/>
  <c r="AD86" i="2"/>
  <c r="T86" i="2"/>
  <c r="AE86" i="2"/>
  <c r="AG88" i="2"/>
  <c r="W93" i="2"/>
  <c r="V95" i="2"/>
  <c r="U164" i="12"/>
  <c r="B25" i="6"/>
  <c r="B79" i="4"/>
  <c r="T100" i="2"/>
  <c r="AF100" i="2"/>
  <c r="D25" i="5"/>
  <c r="D49" i="4"/>
  <c r="S102" i="2"/>
  <c r="AG102" i="2"/>
  <c r="AM107" i="2"/>
  <c r="AN108" i="2"/>
  <c r="E68" i="12"/>
  <c r="AF110" i="2"/>
  <c r="B27" i="6"/>
  <c r="B83" i="4"/>
  <c r="D29" i="5"/>
  <c r="D58" i="4"/>
  <c r="E73" i="12"/>
  <c r="AD114" i="2"/>
  <c r="AG115" i="2"/>
  <c r="W118" i="2"/>
  <c r="AE120" i="2"/>
  <c r="T121" i="2"/>
  <c r="AE121" i="2"/>
  <c r="U79" i="12"/>
  <c r="D67" i="4"/>
  <c r="D35" i="5"/>
  <c r="S124" i="2"/>
  <c r="X127" i="2"/>
  <c r="AC128" i="2"/>
  <c r="S128" i="2"/>
  <c r="AB128" i="2"/>
  <c r="AD128" i="2"/>
  <c r="T128" i="2"/>
  <c r="AF128" i="2"/>
  <c r="S135" i="2"/>
  <c r="AE136" i="2"/>
  <c r="AD136" i="2"/>
  <c r="T136" i="2"/>
  <c r="AF136" i="2"/>
  <c r="V136" i="2"/>
  <c r="AG136" i="2"/>
  <c r="V138" i="2"/>
  <c r="D23" i="7"/>
  <c r="D96" i="4"/>
  <c r="S143" i="2"/>
  <c r="AF143" i="2"/>
  <c r="W146" i="2"/>
  <c r="B34" i="6"/>
  <c r="B99" i="4"/>
  <c r="AD147" i="2"/>
  <c r="T147" i="2"/>
  <c r="AC147" i="2"/>
  <c r="S147" i="2"/>
  <c r="AE147" i="2"/>
  <c r="AG147" i="2"/>
  <c r="E76" i="12"/>
  <c r="AE152" i="2"/>
  <c r="X154" i="2"/>
  <c r="S155" i="2"/>
  <c r="U233" i="12"/>
  <c r="AN162" i="2"/>
  <c r="W165" i="2"/>
  <c r="U176" i="12"/>
  <c r="V170" i="2"/>
  <c r="S171" i="2"/>
  <c r="B101" i="4"/>
  <c r="B48" i="5"/>
  <c r="AG172" i="2"/>
  <c r="W172" i="2"/>
  <c r="AF172" i="2"/>
  <c r="V172" i="2"/>
  <c r="AC172" i="2"/>
  <c r="S172" i="2"/>
  <c r="X172" i="2"/>
  <c r="X174" i="2"/>
  <c r="D58" i="5"/>
  <c r="D119" i="4"/>
  <c r="AL177" i="2"/>
  <c r="W186" i="2"/>
  <c r="U120" i="12"/>
  <c r="E259" i="12"/>
  <c r="AL193" i="2"/>
  <c r="W199" i="2"/>
  <c r="U203" i="2"/>
  <c r="U213" i="2"/>
  <c r="Y214" i="2"/>
  <c r="X214" i="2"/>
  <c r="AF214" i="2"/>
  <c r="V214" i="2"/>
  <c r="AE214" i="2"/>
  <c r="AD214" i="2"/>
  <c r="T214" i="2"/>
  <c r="AC214" i="2"/>
  <c r="S214" i="2"/>
  <c r="Z214" i="2"/>
  <c r="B45" i="6"/>
  <c r="B141" i="4"/>
  <c r="T220" i="2"/>
  <c r="Z224" i="2"/>
  <c r="AA232" i="2"/>
  <c r="X233" i="2"/>
  <c r="AG233" i="2"/>
  <c r="W233" i="2"/>
  <c r="AF233" i="2"/>
  <c r="V233" i="2"/>
  <c r="AE233" i="2"/>
  <c r="AD233" i="2"/>
  <c r="T233" i="2"/>
  <c r="AC233" i="2"/>
  <c r="S233" i="2"/>
  <c r="AB233" i="2"/>
  <c r="Y233" i="2"/>
  <c r="B64" i="8"/>
  <c r="AB238" i="2"/>
  <c r="U239" i="2"/>
  <c r="B75" i="8"/>
  <c r="AA253" i="2"/>
  <c r="U187" i="12"/>
  <c r="U171" i="12"/>
  <c r="X272" i="2"/>
  <c r="W272" i="2"/>
  <c r="V272" i="2"/>
  <c r="T272" i="2"/>
  <c r="AE272" i="2"/>
  <c r="S272" i="2"/>
  <c r="Y285" i="2"/>
  <c r="X285" i="2"/>
  <c r="Z285" i="2"/>
  <c r="W285" i="2"/>
  <c r="V285" i="2"/>
  <c r="AG285" i="2"/>
  <c r="AF285" i="2"/>
  <c r="T285" i="2"/>
  <c r="AE285" i="2"/>
  <c r="S285" i="2"/>
  <c r="AD285" i="2"/>
  <c r="AA285" i="2"/>
  <c r="D57" i="6"/>
  <c r="D186" i="4"/>
  <c r="U160" i="12"/>
  <c r="E405" i="12"/>
  <c r="B79" i="5"/>
  <c r="B161" i="4"/>
  <c r="B68" i="6"/>
  <c r="B211" i="4"/>
  <c r="E491" i="12"/>
  <c r="U384" i="2"/>
  <c r="D7" i="6"/>
  <c r="D21" i="4"/>
  <c r="B12" i="6"/>
  <c r="B31" i="4"/>
  <c r="U29" i="12"/>
  <c r="D10" i="6"/>
  <c r="D25" i="4"/>
  <c r="AA54" i="2"/>
  <c r="E22" i="3"/>
  <c r="AA3" i="2"/>
  <c r="B3" i="7"/>
  <c r="B8" i="4"/>
  <c r="B10" i="3"/>
  <c r="Y5" i="2"/>
  <c r="E22" i="12"/>
  <c r="J14" i="3"/>
  <c r="D6" i="6"/>
  <c r="D13" i="4"/>
  <c r="Y15" i="2"/>
  <c r="W677" i="12"/>
  <c r="U43" i="12"/>
  <c r="E25" i="12"/>
  <c r="AB27" i="2"/>
  <c r="D8" i="6"/>
  <c r="D22" i="4"/>
  <c r="AA28" i="2"/>
  <c r="E17" i="12"/>
  <c r="AB36" i="2"/>
  <c r="D17" i="4"/>
  <c r="D10" i="5"/>
  <c r="AA37" i="2"/>
  <c r="B9" i="7"/>
  <c r="B15" i="5"/>
  <c r="B28" i="4"/>
  <c r="Y39" i="2"/>
  <c r="U57" i="12"/>
  <c r="E19" i="12"/>
  <c r="AB46" i="2"/>
  <c r="AA47" i="2"/>
  <c r="U60" i="12"/>
  <c r="E48" i="12"/>
  <c r="AB54" i="2"/>
  <c r="D12" i="5"/>
  <c r="D20" i="4"/>
  <c r="AA55" i="2"/>
  <c r="B12" i="7"/>
  <c r="B47" i="4"/>
  <c r="D20" i="5"/>
  <c r="D39" i="4"/>
  <c r="E39" i="12"/>
  <c r="AC58" i="2"/>
  <c r="B19" i="5"/>
  <c r="B36" i="4"/>
  <c r="Y68" i="2"/>
  <c r="B16" i="7"/>
  <c r="B62" i="4"/>
  <c r="B17" i="7"/>
  <c r="B64" i="4"/>
  <c r="AB71" i="2"/>
  <c r="E51" i="12"/>
  <c r="AC72" i="2"/>
  <c r="S73" i="2"/>
  <c r="AD73" i="2"/>
  <c r="Z76" i="2"/>
  <c r="D23" i="6"/>
  <c r="D74" i="4"/>
  <c r="AA78" i="2"/>
  <c r="E165" i="12"/>
  <c r="AC80" i="2"/>
  <c r="S81" i="2"/>
  <c r="AD81" i="2"/>
  <c r="T82" i="2"/>
  <c r="AE82" i="2"/>
  <c r="AF83" i="2"/>
  <c r="S85" i="2"/>
  <c r="AG85" i="2"/>
  <c r="D19" i="7"/>
  <c r="D78" i="4"/>
  <c r="E89" i="12"/>
  <c r="AF86" i="2"/>
  <c r="V88" i="2"/>
  <c r="U78" i="12"/>
  <c r="X91" i="2"/>
  <c r="Y91" i="2"/>
  <c r="AC91" i="2"/>
  <c r="AM92" i="2"/>
  <c r="X93" i="2"/>
  <c r="B26" i="8"/>
  <c r="AD94" i="2"/>
  <c r="T94" i="2"/>
  <c r="AE94" i="2"/>
  <c r="AC94" i="2"/>
  <c r="W95" i="2"/>
  <c r="AM99" i="2"/>
  <c r="AA101" i="2"/>
  <c r="T102" i="2"/>
  <c r="U63" i="12"/>
  <c r="B24" i="6"/>
  <c r="B76" i="4"/>
  <c r="Z104" i="2"/>
  <c r="E62" i="12"/>
  <c r="AN107" i="2"/>
  <c r="AO108" i="2"/>
  <c r="D24" i="5"/>
  <c r="D46" i="4"/>
  <c r="S110" i="2"/>
  <c r="AG110" i="2"/>
  <c r="AL113" i="2"/>
  <c r="S114" i="2"/>
  <c r="AE114" i="2"/>
  <c r="V115" i="2"/>
  <c r="B21" i="7"/>
  <c r="B90" i="4"/>
  <c r="AE117" i="2"/>
  <c r="AF117" i="2"/>
  <c r="V117" i="2"/>
  <c r="AC117" i="2"/>
  <c r="X118" i="2"/>
  <c r="T120" i="2"/>
  <c r="AF120" i="2"/>
  <c r="W660" i="12"/>
  <c r="T124" i="2"/>
  <c r="AF125" i="2"/>
  <c r="V125" i="2"/>
  <c r="AE125" i="2"/>
  <c r="AG125" i="2"/>
  <c r="W125" i="2"/>
  <c r="AD125" i="2"/>
  <c r="AB126" i="2"/>
  <c r="Y127" i="2"/>
  <c r="D25" i="7"/>
  <c r="D100" i="4"/>
  <c r="AG128" i="2"/>
  <c r="E136" i="12"/>
  <c r="V132" i="2"/>
  <c r="X133" i="2"/>
  <c r="AG133" i="2"/>
  <c r="W133" i="2"/>
  <c r="Y133" i="2"/>
  <c r="AD133" i="2"/>
  <c r="D44" i="5"/>
  <c r="D84" i="4"/>
  <c r="T135" i="2"/>
  <c r="B34" i="8"/>
  <c r="E186" i="12"/>
  <c r="U186" i="12"/>
  <c r="AB137" i="2"/>
  <c r="W138" i="2"/>
  <c r="U141" i="2"/>
  <c r="AB142" i="2"/>
  <c r="T143" i="2"/>
  <c r="X146" i="2"/>
  <c r="E123" i="12"/>
  <c r="U123" i="12"/>
  <c r="D37" i="5"/>
  <c r="D70" i="4"/>
  <c r="S152" i="2"/>
  <c r="AF152" i="2"/>
  <c r="AB153" i="2"/>
  <c r="Y154" i="2"/>
  <c r="D45" i="5"/>
  <c r="D87" i="4"/>
  <c r="W155" i="2"/>
  <c r="B37" i="6"/>
  <c r="B105" i="4"/>
  <c r="AD156" i="2"/>
  <c r="T156" i="2"/>
  <c r="AC156" i="2"/>
  <c r="S156" i="2"/>
  <c r="AE156" i="2"/>
  <c r="AG156" i="2"/>
  <c r="U159" i="2"/>
  <c r="Y161" i="2"/>
  <c r="X161" i="2"/>
  <c r="Z161" i="2"/>
  <c r="AD161" i="2"/>
  <c r="AO162" i="2"/>
  <c r="X165" i="2"/>
  <c r="AC166" i="2"/>
  <c r="S166" i="2"/>
  <c r="AB166" i="2"/>
  <c r="AD166" i="2"/>
  <c r="T166" i="2"/>
  <c r="AF166" i="2"/>
  <c r="V167" i="2"/>
  <c r="W170" i="2"/>
  <c r="E129" i="12"/>
  <c r="W662" i="12"/>
  <c r="AO173" i="2"/>
  <c r="AN173" i="2"/>
  <c r="AK173" i="2"/>
  <c r="AL173" i="2" s="1"/>
  <c r="AP173" i="2"/>
  <c r="Y174" i="2"/>
  <c r="V175" i="2"/>
  <c r="AA186" i="2"/>
  <c r="U166" i="12"/>
  <c r="E120" i="12"/>
  <c r="V191" i="2"/>
  <c r="B28" i="9"/>
  <c r="AA199" i="2"/>
  <c r="AE201" i="2"/>
  <c r="Y204" i="2"/>
  <c r="X204" i="2"/>
  <c r="AE204" i="2"/>
  <c r="AD204" i="2"/>
  <c r="T204" i="2"/>
  <c r="AC204" i="2"/>
  <c r="S204" i="2"/>
  <c r="Z204" i="2"/>
  <c r="E192" i="12"/>
  <c r="E221" i="12"/>
  <c r="D63" i="5"/>
  <c r="D129" i="4"/>
  <c r="AA224" i="2"/>
  <c r="AB232" i="2"/>
  <c r="U149" i="12"/>
  <c r="B68" i="8"/>
  <c r="AD297" i="2"/>
  <c r="U307" i="2"/>
  <c r="B48" i="7"/>
  <c r="B218" i="4"/>
  <c r="X327" i="2"/>
  <c r="W327" i="2"/>
  <c r="U327" i="12"/>
  <c r="U16" i="12"/>
  <c r="E61" i="12"/>
  <c r="AA27" i="2"/>
  <c r="E23" i="12"/>
  <c r="AA46" i="2"/>
  <c r="E154" i="12"/>
  <c r="D17" i="6"/>
  <c r="D41" i="4"/>
  <c r="B16" i="5"/>
  <c r="B30" i="4"/>
  <c r="E2" i="12"/>
  <c r="J2" i="3"/>
  <c r="D4" i="5"/>
  <c r="D4" i="4"/>
  <c r="U5" i="12"/>
  <c r="AA13" i="2"/>
  <c r="B8" i="5"/>
  <c r="B14" i="4"/>
  <c r="Y21" i="2"/>
  <c r="E3" i="12"/>
  <c r="D5" i="5"/>
  <c r="D5" i="4"/>
  <c r="Z5" i="2"/>
  <c r="B4" i="7"/>
  <c r="B9" i="4"/>
  <c r="U6" i="12"/>
  <c r="Z6" i="3"/>
  <c r="E12" i="12"/>
  <c r="D6" i="7"/>
  <c r="D15" i="4"/>
  <c r="B3" i="9"/>
  <c r="B25" i="3"/>
  <c r="AK20" i="2"/>
  <c r="U84" i="12"/>
  <c r="S27" i="2"/>
  <c r="E36" i="12"/>
  <c r="D12" i="6"/>
  <c r="D31" i="4"/>
  <c r="U96" i="12"/>
  <c r="S36" i="2"/>
  <c r="E15" i="12"/>
  <c r="B11" i="6"/>
  <c r="B29" i="4"/>
  <c r="U34" i="12"/>
  <c r="S46" i="2"/>
  <c r="E101" i="12"/>
  <c r="W675" i="12"/>
  <c r="B13" i="7"/>
  <c r="B50" i="4"/>
  <c r="U40" i="12"/>
  <c r="S54" i="2"/>
  <c r="E20" i="12"/>
  <c r="D16" i="5"/>
  <c r="D30" i="4"/>
  <c r="AE57" i="2"/>
  <c r="AB57" i="2"/>
  <c r="S58" i="2"/>
  <c r="AE58" i="2"/>
  <c r="U21" i="12"/>
  <c r="B18" i="6"/>
  <c r="B48" i="4"/>
  <c r="Z68" i="2"/>
  <c r="D17" i="7"/>
  <c r="D64" i="4"/>
  <c r="AB70" i="2"/>
  <c r="D19" i="6"/>
  <c r="D51" i="4"/>
  <c r="E72" i="12"/>
  <c r="AC71" i="2"/>
  <c r="S72" i="2"/>
  <c r="AD72" i="2"/>
  <c r="T73" i="2"/>
  <c r="AE73" i="2"/>
  <c r="U41" i="12"/>
  <c r="B18" i="7"/>
  <c r="B71" i="4"/>
  <c r="AA76" i="2"/>
  <c r="D22" i="5"/>
  <c r="D43" i="4"/>
  <c r="AC77" i="2"/>
  <c r="S77" i="2"/>
  <c r="AB77" i="2"/>
  <c r="AC78" i="2"/>
  <c r="E66" i="12"/>
  <c r="S80" i="2"/>
  <c r="AD80" i="2"/>
  <c r="T81" i="2"/>
  <c r="AE81" i="2"/>
  <c r="AF82" i="2"/>
  <c r="V83" i="2"/>
  <c r="T85" i="2"/>
  <c r="U117" i="12"/>
  <c r="AG86" i="2"/>
  <c r="W88" i="2"/>
  <c r="D26" i="5"/>
  <c r="D54" i="4"/>
  <c r="E46" i="12"/>
  <c r="AD91" i="2"/>
  <c r="AN92" i="2"/>
  <c r="Y93" i="2"/>
  <c r="E141" i="12"/>
  <c r="AF94" i="2"/>
  <c r="X95" i="2"/>
  <c r="B30" i="5"/>
  <c r="B59" i="4"/>
  <c r="E177" i="12"/>
  <c r="AN99" i="2"/>
  <c r="V100" i="2"/>
  <c r="AB101" i="2"/>
  <c r="W102" i="2"/>
  <c r="AA104" i="2"/>
  <c r="AO107" i="2"/>
  <c r="V110" i="2"/>
  <c r="U68" i="12"/>
  <c r="D27" i="6"/>
  <c r="D83" i="4"/>
  <c r="AB112" i="2"/>
  <c r="AC112" i="2"/>
  <c r="S112" i="2"/>
  <c r="AD112" i="2"/>
  <c r="T114" i="2"/>
  <c r="AF114" i="2"/>
  <c r="W115" i="2"/>
  <c r="E95" i="12"/>
  <c r="AD117" i="2"/>
  <c r="Y118" i="2"/>
  <c r="AC119" i="2"/>
  <c r="S119" i="2"/>
  <c r="AD119" i="2"/>
  <c r="T119" i="2"/>
  <c r="AE119" i="2"/>
  <c r="AG120" i="2"/>
  <c r="AK123" i="2"/>
  <c r="B36" i="5"/>
  <c r="B69" i="4"/>
  <c r="E75" i="12"/>
  <c r="U75" i="12"/>
  <c r="AC126" i="2"/>
  <c r="Z127" i="2"/>
  <c r="U58" i="12"/>
  <c r="W132" i="2"/>
  <c r="E102" i="12"/>
  <c r="AE133" i="2"/>
  <c r="X135" i="2"/>
  <c r="S136" i="2"/>
  <c r="AF137" i="2"/>
  <c r="X138" i="2"/>
  <c r="U112" i="12"/>
  <c r="AC142" i="2"/>
  <c r="B32" i="6"/>
  <c r="B95" i="4"/>
  <c r="AG144" i="2"/>
  <c r="W144" i="2"/>
  <c r="AF144" i="2"/>
  <c r="V144" i="2"/>
  <c r="X144" i="2"/>
  <c r="AD144" i="2"/>
  <c r="Y146" i="2"/>
  <c r="D34" i="6"/>
  <c r="D99" i="4"/>
  <c r="V147" i="2"/>
  <c r="U150" i="2"/>
  <c r="T152" i="2"/>
  <c r="AC153" i="2"/>
  <c r="Z154" i="2"/>
  <c r="X155" i="2"/>
  <c r="E90" i="12"/>
  <c r="U90" i="12"/>
  <c r="D28" i="7"/>
  <c r="D115" i="4"/>
  <c r="E135" i="12"/>
  <c r="AE161" i="2"/>
  <c r="AF163" i="2"/>
  <c r="V163" i="2"/>
  <c r="AE163" i="2"/>
  <c r="AG163" i="2"/>
  <c r="W163" i="2"/>
  <c r="AD163" i="2"/>
  <c r="Y165" i="2"/>
  <c r="AG166" i="2"/>
  <c r="B38" i="6"/>
  <c r="B114" i="4"/>
  <c r="E158" i="12"/>
  <c r="AA170" i="2"/>
  <c r="V171" i="2"/>
  <c r="D48" i="5"/>
  <c r="D101" i="4"/>
  <c r="T172" i="2"/>
  <c r="B24" i="9"/>
  <c r="AA174" i="2"/>
  <c r="W175" i="2"/>
  <c r="U184" i="2"/>
  <c r="AB186" i="2"/>
  <c r="W191" i="2"/>
  <c r="B35" i="7"/>
  <c r="B137" i="4"/>
  <c r="U197" i="2"/>
  <c r="AB199" i="2"/>
  <c r="U247" i="12"/>
  <c r="E323" i="12"/>
  <c r="V205" i="2"/>
  <c r="D37" i="7"/>
  <c r="D151" i="4"/>
  <c r="V210" i="2"/>
  <c r="U206" i="12"/>
  <c r="W214" i="2"/>
  <c r="B44" i="6"/>
  <c r="B139" i="4"/>
  <c r="U222" i="2"/>
  <c r="Y223" i="2"/>
  <c r="X223" i="2"/>
  <c r="AF223" i="2"/>
  <c r="V223" i="2"/>
  <c r="AE223" i="2"/>
  <c r="AD223" i="2"/>
  <c r="T223" i="2"/>
  <c r="AC223" i="2"/>
  <c r="S223" i="2"/>
  <c r="Z223" i="2"/>
  <c r="AF224" i="2"/>
  <c r="B61" i="8"/>
  <c r="Z233" i="2"/>
  <c r="Y246" i="2"/>
  <c r="X246" i="2"/>
  <c r="W246" i="2"/>
  <c r="AG246" i="2"/>
  <c r="V246" i="2"/>
  <c r="AF246" i="2"/>
  <c r="AE246" i="2"/>
  <c r="T246" i="2"/>
  <c r="AD246" i="2"/>
  <c r="S246" i="2"/>
  <c r="AC246" i="2"/>
  <c r="Z246" i="2"/>
  <c r="U265" i="2"/>
  <c r="W278" i="2"/>
  <c r="T278" i="2"/>
  <c r="AB285" i="2"/>
  <c r="E160" i="12"/>
  <c r="U293" i="2"/>
  <c r="B90" i="8"/>
  <c r="AE297" i="2"/>
  <c r="U209" i="12"/>
  <c r="X323" i="2"/>
  <c r="AG323" i="2"/>
  <c r="W323" i="2"/>
  <c r="Y323" i="2"/>
  <c r="AB323" i="2"/>
  <c r="AA323" i="2"/>
  <c r="Z323" i="2"/>
  <c r="V323" i="2"/>
  <c r="T323" i="2"/>
  <c r="AF323" i="2"/>
  <c r="S323" i="2"/>
  <c r="AC323" i="2"/>
  <c r="X348" i="2"/>
  <c r="W348" i="2"/>
  <c r="V348" i="2"/>
  <c r="AC348" i="2"/>
  <c r="S348" i="2"/>
  <c r="AE348" i="2"/>
  <c r="T348" i="2"/>
  <c r="W380" i="2"/>
  <c r="V380" i="2"/>
  <c r="AE380" i="2"/>
  <c r="T380" i="2"/>
  <c r="S380" i="2"/>
  <c r="AC380" i="2"/>
  <c r="X380" i="2"/>
  <c r="B123" i="8"/>
  <c r="U88" i="12"/>
  <c r="B54" i="4"/>
  <c r="B26" i="5"/>
  <c r="E111" i="12"/>
  <c r="AA98" i="2"/>
  <c r="U100" i="12"/>
  <c r="E33" i="12"/>
  <c r="D34" i="5"/>
  <c r="D66" i="4"/>
  <c r="AA106" i="2"/>
  <c r="B28" i="6"/>
  <c r="B86" i="4"/>
  <c r="E65" i="12"/>
  <c r="D32" i="5"/>
  <c r="D63" i="4"/>
  <c r="AA122" i="2"/>
  <c r="U82" i="12"/>
  <c r="S129" i="2"/>
  <c r="AC129" i="2"/>
  <c r="E184" i="12"/>
  <c r="D24" i="7"/>
  <c r="D97" i="4"/>
  <c r="AA131" i="2"/>
  <c r="B40" i="5"/>
  <c r="B75" i="4"/>
  <c r="U98" i="12"/>
  <c r="S139" i="2"/>
  <c r="AC139" i="2"/>
  <c r="E103" i="12"/>
  <c r="D35" i="6"/>
  <c r="D102" i="4"/>
  <c r="AA141" i="2"/>
  <c r="B23" i="7"/>
  <c r="B96" i="4"/>
  <c r="U113" i="12"/>
  <c r="D42" i="5"/>
  <c r="D81" i="4"/>
  <c r="AA150" i="2"/>
  <c r="B70" i="4"/>
  <c r="B37" i="5"/>
  <c r="U234" i="12"/>
  <c r="S158" i="2"/>
  <c r="AC158" i="2"/>
  <c r="E110" i="12"/>
  <c r="AA160" i="2"/>
  <c r="S167" i="2"/>
  <c r="AC167" i="2"/>
  <c r="E122" i="12"/>
  <c r="D29" i="7"/>
  <c r="D122" i="4"/>
  <c r="AA169" i="2"/>
  <c r="U129" i="12"/>
  <c r="W709" i="12"/>
  <c r="U162" i="12"/>
  <c r="W180" i="2"/>
  <c r="AG180" i="2"/>
  <c r="V181" i="2"/>
  <c r="AF181" i="2"/>
  <c r="E317" i="12"/>
  <c r="AA185" i="2"/>
  <c r="B51" i="5"/>
  <c r="B108" i="4"/>
  <c r="X188" i="2"/>
  <c r="U202" i="12"/>
  <c r="W189" i="2"/>
  <c r="AG189" i="2"/>
  <c r="V190" i="2"/>
  <c r="AF190" i="2"/>
  <c r="B41" i="6"/>
  <c r="B125" i="4"/>
  <c r="X196" i="2"/>
  <c r="U263" i="12"/>
  <c r="W197" i="2"/>
  <c r="AG197" i="2"/>
  <c r="V198" i="2"/>
  <c r="AF198" i="2"/>
  <c r="S201" i="2"/>
  <c r="AC201" i="2"/>
  <c r="E318" i="12"/>
  <c r="AA203" i="2"/>
  <c r="X206" i="2"/>
  <c r="U148" i="12"/>
  <c r="W207" i="2"/>
  <c r="AG207" i="2"/>
  <c r="V208" i="2"/>
  <c r="AF208" i="2"/>
  <c r="S211" i="2"/>
  <c r="AC211" i="2"/>
  <c r="E106" i="12"/>
  <c r="D39" i="7"/>
  <c r="D158" i="4"/>
  <c r="AA213" i="2"/>
  <c r="B43" i="6"/>
  <c r="B138" i="4"/>
  <c r="X216" i="2"/>
  <c r="U137" i="12"/>
  <c r="W217" i="2"/>
  <c r="AG217" i="2"/>
  <c r="V218" i="2"/>
  <c r="AF218" i="2"/>
  <c r="S220" i="2"/>
  <c r="AC220" i="2"/>
  <c r="E301" i="12"/>
  <c r="D47" i="6"/>
  <c r="D150" i="4"/>
  <c r="AA222" i="2"/>
  <c r="B63" i="5"/>
  <c r="B129" i="4"/>
  <c r="X225" i="2"/>
  <c r="U316" i="12"/>
  <c r="W226" i="2"/>
  <c r="AG226" i="2"/>
  <c r="V227" i="2"/>
  <c r="AF227" i="2"/>
  <c r="AE228" i="2"/>
  <c r="T229" i="2"/>
  <c r="AD229" i="2"/>
  <c r="D54" i="5"/>
  <c r="D112" i="4"/>
  <c r="AA231" i="2"/>
  <c r="W235" i="2"/>
  <c r="U344" i="12"/>
  <c r="X236" i="2"/>
  <c r="AF239" i="2"/>
  <c r="V239" i="2"/>
  <c r="AB239" i="2"/>
  <c r="S240" i="2"/>
  <c r="V241" i="2"/>
  <c r="AG241" i="2"/>
  <c r="U172" i="12"/>
  <c r="W243" i="2"/>
  <c r="U356" i="12"/>
  <c r="W244" i="2"/>
  <c r="U374" i="12"/>
  <c r="X245" i="2"/>
  <c r="AG248" i="2"/>
  <c r="W248" i="2"/>
  <c r="AB248" i="2"/>
  <c r="S249" i="2"/>
  <c r="V250" i="2"/>
  <c r="AG250" i="2"/>
  <c r="X251" i="2"/>
  <c r="AB256" i="2"/>
  <c r="E179" i="12"/>
  <c r="S258" i="2"/>
  <c r="AG259" i="2"/>
  <c r="X260" i="2"/>
  <c r="AA263" i="2"/>
  <c r="E275" i="12"/>
  <c r="S266" i="2"/>
  <c r="AD266" i="2"/>
  <c r="T267" i="2"/>
  <c r="AE267" i="2"/>
  <c r="AF268" i="2"/>
  <c r="X270" i="2"/>
  <c r="B54" i="6"/>
  <c r="B179" i="4"/>
  <c r="S274" i="2"/>
  <c r="V275" i="2"/>
  <c r="D53" i="6"/>
  <c r="D176" i="4"/>
  <c r="S277" i="2"/>
  <c r="D71" i="5"/>
  <c r="D145" i="4"/>
  <c r="S279" i="2"/>
  <c r="Y280" i="2"/>
  <c r="V284" i="2"/>
  <c r="U250" i="12"/>
  <c r="D76" i="5"/>
  <c r="D156" i="4"/>
  <c r="E183" i="12"/>
  <c r="AE289" i="2"/>
  <c r="AD289" i="2"/>
  <c r="T289" i="2"/>
  <c r="AF289" i="2"/>
  <c r="V289" i="2"/>
  <c r="AG289" i="2"/>
  <c r="V291" i="2"/>
  <c r="T296" i="2"/>
  <c r="X299" i="2"/>
  <c r="E413" i="12"/>
  <c r="U413" i="12"/>
  <c r="S305" i="2"/>
  <c r="B61" i="6"/>
  <c r="B196" i="4"/>
  <c r="E235" i="12"/>
  <c r="U235" i="12"/>
  <c r="U226" i="12"/>
  <c r="AG315" i="2"/>
  <c r="W315" i="2"/>
  <c r="AF315" i="2"/>
  <c r="V315" i="2"/>
  <c r="X315" i="2"/>
  <c r="AD315" i="2"/>
  <c r="Y317" i="2"/>
  <c r="U281" i="12"/>
  <c r="AE326" i="2"/>
  <c r="AD326" i="2"/>
  <c r="T326" i="2"/>
  <c r="U326" i="2" s="1"/>
  <c r="AF326" i="2"/>
  <c r="V326" i="2"/>
  <c r="AG326" i="2"/>
  <c r="V328" i="2"/>
  <c r="E214" i="12"/>
  <c r="T333" i="2"/>
  <c r="T334" i="2"/>
  <c r="X335" i="2"/>
  <c r="Y341" i="2"/>
  <c r="X341" i="2"/>
  <c r="AF341" i="2"/>
  <c r="V341" i="2"/>
  <c r="AE341" i="2"/>
  <c r="AC341" i="2"/>
  <c r="S341" i="2"/>
  <c r="Z341" i="2"/>
  <c r="V342" i="2"/>
  <c r="U460" i="12"/>
  <c r="X352" i="2"/>
  <c r="AG352" i="2"/>
  <c r="W352" i="2"/>
  <c r="AE352" i="2"/>
  <c r="AD352" i="2"/>
  <c r="T352" i="2"/>
  <c r="AC352" i="2"/>
  <c r="S352" i="2"/>
  <c r="AB352" i="2"/>
  <c r="Y352" i="2"/>
  <c r="U278" i="12"/>
  <c r="X358" i="2"/>
  <c r="W358" i="2"/>
  <c r="V358" i="2"/>
  <c r="AC358" i="2"/>
  <c r="S358" i="2"/>
  <c r="Y370" i="2"/>
  <c r="X370" i="2"/>
  <c r="AG370" i="2"/>
  <c r="W370" i="2"/>
  <c r="AF370" i="2"/>
  <c r="V370" i="2"/>
  <c r="AE370" i="2"/>
  <c r="AD370" i="2"/>
  <c r="T370" i="2"/>
  <c r="AC370" i="2"/>
  <c r="S370" i="2"/>
  <c r="Z370" i="2"/>
  <c r="X379" i="2"/>
  <c r="AG379" i="2"/>
  <c r="W379" i="2"/>
  <c r="AF379" i="2"/>
  <c r="V379" i="2"/>
  <c r="AE379" i="2"/>
  <c r="AD379" i="2"/>
  <c r="T379" i="2"/>
  <c r="AC379" i="2"/>
  <c r="S379" i="2"/>
  <c r="AB379" i="2"/>
  <c r="Y379" i="2"/>
  <c r="Y382" i="2"/>
  <c r="Z382" i="2"/>
  <c r="X382" i="2"/>
  <c r="W382" i="2"/>
  <c r="AG382" i="2"/>
  <c r="V382" i="2"/>
  <c r="AF382" i="2"/>
  <c r="AE382" i="2"/>
  <c r="T382" i="2"/>
  <c r="AD382" i="2"/>
  <c r="S382" i="2"/>
  <c r="AA382" i="2"/>
  <c r="V387" i="2"/>
  <c r="AE387" i="2"/>
  <c r="S387" i="2"/>
  <c r="AC387" i="2"/>
  <c r="D57" i="7"/>
  <c r="D249" i="4"/>
  <c r="U391" i="2"/>
  <c r="U579" i="12"/>
  <c r="W424" i="2"/>
  <c r="T424" i="2"/>
  <c r="S424" i="2"/>
  <c r="AD454" i="2"/>
  <c r="T454" i="2"/>
  <c r="AC454" i="2"/>
  <c r="S454" i="2"/>
  <c r="Z454" i="2"/>
  <c r="X454" i="2"/>
  <c r="AE454" i="2"/>
  <c r="AF454" i="2"/>
  <c r="AB454" i="2"/>
  <c r="AA454" i="2"/>
  <c r="Y454" i="2"/>
  <c r="W454" i="2"/>
  <c r="V454" i="2"/>
  <c r="AG454" i="2"/>
  <c r="W690" i="12"/>
  <c r="AK455" i="2"/>
  <c r="AP455" i="2"/>
  <c r="AM455" i="2"/>
  <c r="AO455" i="2"/>
  <c r="AN455" i="2"/>
  <c r="B63" i="7"/>
  <c r="B286" i="4"/>
  <c r="AF461" i="2"/>
  <c r="V461" i="2"/>
  <c r="AE461" i="2"/>
  <c r="AB461" i="2"/>
  <c r="Z461" i="2"/>
  <c r="AG461" i="2"/>
  <c r="W461" i="2"/>
  <c r="AD461" i="2"/>
  <c r="AC461" i="2"/>
  <c r="AA461" i="2"/>
  <c r="Y461" i="2"/>
  <c r="X461" i="2"/>
  <c r="T461" i="2"/>
  <c r="S461" i="2"/>
  <c r="U419" i="12"/>
  <c r="X438" i="2"/>
  <c r="V438" i="2"/>
  <c r="AC438" i="2"/>
  <c r="S438" i="2"/>
  <c r="W438" i="2"/>
  <c r="T438" i="2"/>
  <c r="B160" i="8"/>
  <c r="U363" i="12"/>
  <c r="E218" i="12"/>
  <c r="B172" i="8"/>
  <c r="U471" i="2"/>
  <c r="U476" i="2"/>
  <c r="B149" i="8"/>
  <c r="Z421" i="2"/>
  <c r="Y421" i="2"/>
  <c r="AA421" i="2"/>
  <c r="X421" i="2"/>
  <c r="W421" i="2"/>
  <c r="V421" i="2"/>
  <c r="AG421" i="2"/>
  <c r="AF421" i="2"/>
  <c r="T421" i="2"/>
  <c r="AE421" i="2"/>
  <c r="S421" i="2"/>
  <c r="AB421" i="2"/>
  <c r="AD436" i="2"/>
  <c r="T436" i="2"/>
  <c r="AC436" i="2"/>
  <c r="S436" i="2"/>
  <c r="Z436" i="2"/>
  <c r="X436" i="2"/>
  <c r="AE436" i="2"/>
  <c r="AF436" i="2"/>
  <c r="AB436" i="2"/>
  <c r="AA436" i="2"/>
  <c r="Y436" i="2"/>
  <c r="W436" i="2"/>
  <c r="V436" i="2"/>
  <c r="AG436" i="2"/>
  <c r="AC437" i="2"/>
  <c r="S437" i="2"/>
  <c r="AB437" i="2"/>
  <c r="Y437" i="2"/>
  <c r="AG437" i="2"/>
  <c r="W437" i="2"/>
  <c r="AD437" i="2"/>
  <c r="T437" i="2"/>
  <c r="AE437" i="2"/>
  <c r="AA437" i="2"/>
  <c r="Z437" i="2"/>
  <c r="X437" i="2"/>
  <c r="V437" i="2"/>
  <c r="AF437" i="2"/>
  <c r="E453" i="12"/>
  <c r="E119" i="12"/>
  <c r="D32" i="7"/>
  <c r="D132" i="4"/>
  <c r="AA188" i="2"/>
  <c r="B31" i="7"/>
  <c r="B124" i="4"/>
  <c r="U259" i="12"/>
  <c r="E128" i="12"/>
  <c r="AA196" i="2"/>
  <c r="B52" i="5"/>
  <c r="B109" i="4"/>
  <c r="U222" i="12"/>
  <c r="E294" i="12"/>
  <c r="D38" i="7"/>
  <c r="D157" i="4"/>
  <c r="AA206" i="2"/>
  <c r="B59" i="5"/>
  <c r="B120" i="4"/>
  <c r="U200" i="12"/>
  <c r="E105" i="12"/>
  <c r="D44" i="6"/>
  <c r="D139" i="4"/>
  <c r="AA216" i="2"/>
  <c r="B56" i="6"/>
  <c r="B185" i="4"/>
  <c r="E131" i="12"/>
  <c r="AA225" i="2"/>
  <c r="B36" i="7"/>
  <c r="B149" i="4"/>
  <c r="X228" i="2"/>
  <c r="U322" i="12"/>
  <c r="W229" i="2"/>
  <c r="AG229" i="2"/>
  <c r="AO230" i="2"/>
  <c r="E328" i="12"/>
  <c r="W661" i="12"/>
  <c r="D49" i="6"/>
  <c r="D155" i="4"/>
  <c r="AB236" i="2"/>
  <c r="E298" i="12"/>
  <c r="W240" i="2"/>
  <c r="U215" i="12"/>
  <c r="Y241" i="2"/>
  <c r="B61" i="5"/>
  <c r="B127" i="4"/>
  <c r="AB245" i="2"/>
  <c r="E310" i="12"/>
  <c r="W249" i="2"/>
  <c r="U408" i="12"/>
  <c r="Y250" i="2"/>
  <c r="B43" i="7"/>
  <c r="B177" i="4"/>
  <c r="D62" i="5"/>
  <c r="D128" i="4"/>
  <c r="AC252" i="2"/>
  <c r="S252" i="2"/>
  <c r="AB252" i="2"/>
  <c r="E324" i="12"/>
  <c r="V258" i="2"/>
  <c r="U193" i="12"/>
  <c r="Y259" i="2"/>
  <c r="B69" i="5"/>
  <c r="B143" i="4"/>
  <c r="AA260" i="2"/>
  <c r="D51" i="6"/>
  <c r="D167" i="4"/>
  <c r="E252" i="12"/>
  <c r="V266" i="2"/>
  <c r="W267" i="2"/>
  <c r="Y268" i="2"/>
  <c r="B45" i="7"/>
  <c r="B190" i="4"/>
  <c r="D73" i="5"/>
  <c r="D147" i="4"/>
  <c r="AC271" i="2"/>
  <c r="S271" i="2"/>
  <c r="AB271" i="2"/>
  <c r="U178" i="12"/>
  <c r="E394" i="12"/>
  <c r="B83" i="8"/>
  <c r="AF278" i="2"/>
  <c r="V278" i="2"/>
  <c r="AE278" i="2"/>
  <c r="AC278" i="2"/>
  <c r="B80" i="5"/>
  <c r="B162" i="4"/>
  <c r="U249" i="12"/>
  <c r="E383" i="12"/>
  <c r="D72" i="5"/>
  <c r="D146" i="4"/>
  <c r="B84" i="8"/>
  <c r="AD290" i="2"/>
  <c r="T290" i="2"/>
  <c r="AC290" i="2"/>
  <c r="S290" i="2"/>
  <c r="AE290" i="2"/>
  <c r="AG290" i="2"/>
  <c r="Y291" i="2"/>
  <c r="E468" i="12"/>
  <c r="Z296" i="2"/>
  <c r="AA299" i="2"/>
  <c r="AC301" i="2"/>
  <c r="S301" i="2"/>
  <c r="AB301" i="2"/>
  <c r="AD301" i="2"/>
  <c r="T301" i="2"/>
  <c r="AF301" i="2"/>
  <c r="W703" i="12"/>
  <c r="AP306" i="2"/>
  <c r="X310" i="2"/>
  <c r="AC311" i="2"/>
  <c r="S311" i="2"/>
  <c r="AA314" i="2"/>
  <c r="AF316" i="2"/>
  <c r="V316" i="2"/>
  <c r="AE316" i="2"/>
  <c r="AG316" i="2"/>
  <c r="W316" i="2"/>
  <c r="AD316" i="2"/>
  <c r="AB317" i="2"/>
  <c r="AA322" i="2"/>
  <c r="D50" i="7"/>
  <c r="D228" i="4"/>
  <c r="B83" i="5"/>
  <c r="B169" i="4"/>
  <c r="AD327" i="2"/>
  <c r="T327" i="2"/>
  <c r="AC327" i="2"/>
  <c r="S327" i="2"/>
  <c r="AE327" i="2"/>
  <c r="AG327" i="2"/>
  <c r="Y328" i="2"/>
  <c r="U214" i="12"/>
  <c r="W673" i="12"/>
  <c r="AN332" i="2"/>
  <c r="AA334" i="2"/>
  <c r="AC337" i="2"/>
  <c r="S337" i="2"/>
  <c r="AB337" i="2"/>
  <c r="Z337" i="2"/>
  <c r="Y337" i="2"/>
  <c r="AG337" i="2"/>
  <c r="W337" i="2"/>
  <c r="AD337" i="2"/>
  <c r="T337" i="2"/>
  <c r="D89" i="5"/>
  <c r="D181" i="4"/>
  <c r="AC342" i="2"/>
  <c r="AF344" i="2"/>
  <c r="V344" i="2"/>
  <c r="AE344" i="2"/>
  <c r="AC344" i="2"/>
  <c r="S344" i="2"/>
  <c r="AB344" i="2"/>
  <c r="Z344" i="2"/>
  <c r="AG344" i="2"/>
  <c r="W344" i="2"/>
  <c r="B109" i="8"/>
  <c r="U349" i="2"/>
  <c r="D90" i="5"/>
  <c r="D182" i="4"/>
  <c r="U383" i="2"/>
  <c r="E537" i="12"/>
  <c r="U288" i="12"/>
  <c r="E253" i="12"/>
  <c r="E363" i="12"/>
  <c r="B113" i="5"/>
  <c r="B232" i="4"/>
  <c r="B66" i="7"/>
  <c r="B291" i="4"/>
  <c r="E162" i="12"/>
  <c r="D40" i="6"/>
  <c r="D121" i="4"/>
  <c r="AA180" i="2"/>
  <c r="B49" i="5"/>
  <c r="B106" i="4"/>
  <c r="E202" i="12"/>
  <c r="AB188" i="2"/>
  <c r="D34" i="7"/>
  <c r="D136" i="4"/>
  <c r="AA189" i="2"/>
  <c r="E263" i="12"/>
  <c r="AB196" i="2"/>
  <c r="D35" i="7"/>
  <c r="D137" i="4"/>
  <c r="AA197" i="2"/>
  <c r="U104" i="12"/>
  <c r="E148" i="12"/>
  <c r="AB206" i="2"/>
  <c r="D55" i="5"/>
  <c r="D113" i="4"/>
  <c r="AA207" i="2"/>
  <c r="B42" i="6"/>
  <c r="B133" i="4"/>
  <c r="U237" i="12"/>
  <c r="E137" i="12"/>
  <c r="AB216" i="2"/>
  <c r="D45" i="6"/>
  <c r="D141" i="4"/>
  <c r="AA217" i="2"/>
  <c r="E316" i="12"/>
  <c r="AB225" i="2"/>
  <c r="AA226" i="2"/>
  <c r="Y228" i="2"/>
  <c r="X229" i="2"/>
  <c r="U198" i="12"/>
  <c r="AK234" i="2"/>
  <c r="E170" i="12"/>
  <c r="AC236" i="2"/>
  <c r="Z241" i="2"/>
  <c r="AA243" i="2"/>
  <c r="E274" i="12"/>
  <c r="AC245" i="2"/>
  <c r="Z250" i="2"/>
  <c r="AD251" i="2"/>
  <c r="T251" i="2"/>
  <c r="AB251" i="2"/>
  <c r="E147" i="12"/>
  <c r="Z259" i="2"/>
  <c r="AB260" i="2"/>
  <c r="W266" i="2"/>
  <c r="U139" i="12"/>
  <c r="Y267" i="2"/>
  <c r="Z268" i="2"/>
  <c r="W695" i="12"/>
  <c r="AO269" i="2"/>
  <c r="AD270" i="2"/>
  <c r="T270" i="2"/>
  <c r="AB270" i="2"/>
  <c r="E156" i="12"/>
  <c r="E382" i="12"/>
  <c r="AD280" i="2"/>
  <c r="T280" i="2"/>
  <c r="AC280" i="2"/>
  <c r="S280" i="2"/>
  <c r="AE280" i="2"/>
  <c r="U231" i="12"/>
  <c r="E458" i="12"/>
  <c r="U458" i="12"/>
  <c r="Z291" i="2"/>
  <c r="AA296" i="2"/>
  <c r="AF298" i="2"/>
  <c r="V298" i="2"/>
  <c r="AE298" i="2"/>
  <c r="AG298" i="2"/>
  <c r="W298" i="2"/>
  <c r="AD298" i="2"/>
  <c r="AB299" i="2"/>
  <c r="D77" i="5"/>
  <c r="D159" i="4"/>
  <c r="AG301" i="2"/>
  <c r="B81" i="5"/>
  <c r="B163" i="4"/>
  <c r="E238" i="12"/>
  <c r="AK306" i="2"/>
  <c r="AL306" i="2" s="1"/>
  <c r="D79" i="5"/>
  <c r="D161" i="4"/>
  <c r="B93" i="8"/>
  <c r="AD309" i="2"/>
  <c r="T309" i="2"/>
  <c r="AC309" i="2"/>
  <c r="S309" i="2"/>
  <c r="AE309" i="2"/>
  <c r="AG309" i="2"/>
  <c r="AE311" i="2"/>
  <c r="AB314" i="2"/>
  <c r="B97" i="8"/>
  <c r="E463" i="12"/>
  <c r="U463" i="12"/>
  <c r="AB322" i="2"/>
  <c r="E208" i="12"/>
  <c r="U208" i="12"/>
  <c r="Z328" i="2"/>
  <c r="AK332" i="2"/>
  <c r="AC334" i="2"/>
  <c r="B72" i="6"/>
  <c r="B221" i="4"/>
  <c r="D88" i="5"/>
  <c r="D180" i="4"/>
  <c r="AC357" i="2"/>
  <c r="S357" i="2"/>
  <c r="AB357" i="2"/>
  <c r="Z357" i="2"/>
  <c r="Y357" i="2"/>
  <c r="X357" i="2"/>
  <c r="AG357" i="2"/>
  <c r="W357" i="2"/>
  <c r="AD357" i="2"/>
  <c r="T357" i="2"/>
  <c r="E507" i="12"/>
  <c r="Y361" i="2"/>
  <c r="X361" i="2"/>
  <c r="AF361" i="2"/>
  <c r="V361" i="2"/>
  <c r="AE361" i="2"/>
  <c r="AD361" i="2"/>
  <c r="T361" i="2"/>
  <c r="AC361" i="2"/>
  <c r="S361" i="2"/>
  <c r="Z361" i="2"/>
  <c r="B56" i="7"/>
  <c r="B245" i="4"/>
  <c r="B76" i="6"/>
  <c r="B234" i="4"/>
  <c r="AD397" i="2"/>
  <c r="T397" i="2"/>
  <c r="Z397" i="2"/>
  <c r="Y397" i="2"/>
  <c r="X397" i="2"/>
  <c r="W397" i="2"/>
  <c r="AG397" i="2"/>
  <c r="V397" i="2"/>
  <c r="AF397" i="2"/>
  <c r="AE397" i="2"/>
  <c r="S397" i="2"/>
  <c r="AA397" i="2"/>
  <c r="Y412" i="2"/>
  <c r="X412" i="2"/>
  <c r="AA412" i="2"/>
  <c r="Z412" i="2"/>
  <c r="W412" i="2"/>
  <c r="V412" i="2"/>
  <c r="AG412" i="2"/>
  <c r="AF412" i="2"/>
  <c r="T412" i="2"/>
  <c r="AE412" i="2"/>
  <c r="S412" i="2"/>
  <c r="AB412" i="2"/>
  <c r="AC421" i="2"/>
  <c r="AC427" i="2"/>
  <c r="S427" i="2"/>
  <c r="AB427" i="2"/>
  <c r="Z427" i="2"/>
  <c r="Y427" i="2"/>
  <c r="X427" i="2"/>
  <c r="W427" i="2"/>
  <c r="V427" i="2"/>
  <c r="AG427" i="2"/>
  <c r="AF427" i="2"/>
  <c r="T427" i="2"/>
  <c r="AA427" i="2"/>
  <c r="U501" i="12"/>
  <c r="U365" i="12"/>
  <c r="X469" i="2"/>
  <c r="AG469" i="2"/>
  <c r="W469" i="2"/>
  <c r="AD469" i="2"/>
  <c r="T469" i="2"/>
  <c r="AC469" i="2"/>
  <c r="S469" i="2"/>
  <c r="AB469" i="2"/>
  <c r="Y469" i="2"/>
  <c r="AF469" i="2"/>
  <c r="AE469" i="2"/>
  <c r="AA469" i="2"/>
  <c r="Z469" i="2"/>
  <c r="V469" i="2"/>
  <c r="B58" i="5"/>
  <c r="B119" i="4"/>
  <c r="E173" i="12"/>
  <c r="AB180" i="2"/>
  <c r="D50" i="5"/>
  <c r="D107" i="4"/>
  <c r="AA181" i="2"/>
  <c r="S188" i="2"/>
  <c r="AC188" i="2"/>
  <c r="E166" i="12"/>
  <c r="AB189" i="2"/>
  <c r="D31" i="7"/>
  <c r="D124" i="4"/>
  <c r="AA190" i="2"/>
  <c r="S196" i="2"/>
  <c r="AC196" i="2"/>
  <c r="E181" i="12"/>
  <c r="AB197" i="2"/>
  <c r="D52" i="5"/>
  <c r="D109" i="4"/>
  <c r="AA198" i="2"/>
  <c r="B53" i="5"/>
  <c r="B110" i="4"/>
  <c r="U357" i="12"/>
  <c r="S206" i="2"/>
  <c r="AC206" i="2"/>
  <c r="E121" i="12"/>
  <c r="AB207" i="2"/>
  <c r="D59" i="5"/>
  <c r="D120" i="4"/>
  <c r="AA208" i="2"/>
  <c r="B37" i="7"/>
  <c r="B151" i="4"/>
  <c r="U152" i="12"/>
  <c r="S216" i="2"/>
  <c r="AC216" i="2"/>
  <c r="E144" i="12"/>
  <c r="AB217" i="2"/>
  <c r="D56" i="6"/>
  <c r="D185" i="4"/>
  <c r="AA218" i="2"/>
  <c r="U180" i="12"/>
  <c r="S225" i="2"/>
  <c r="AC225" i="2"/>
  <c r="E319" i="12"/>
  <c r="AB226" i="2"/>
  <c r="D36" i="7"/>
  <c r="D149" i="4"/>
  <c r="AA227" i="2"/>
  <c r="Z228" i="2"/>
  <c r="B41" i="7"/>
  <c r="B165" i="4"/>
  <c r="Y229" i="2"/>
  <c r="AM234" i="2"/>
  <c r="E344" i="12"/>
  <c r="AC235" i="2"/>
  <c r="S236" i="2"/>
  <c r="AD236" i="2"/>
  <c r="U340" i="12"/>
  <c r="B48" i="6"/>
  <c r="B154" i="4"/>
  <c r="D61" i="5"/>
  <c r="D127" i="4"/>
  <c r="AC242" i="2"/>
  <c r="S242" i="2"/>
  <c r="AB242" i="2"/>
  <c r="AC243" i="2"/>
  <c r="E374" i="12"/>
  <c r="AC244" i="2"/>
  <c r="S245" i="2"/>
  <c r="AD245" i="2"/>
  <c r="U132" i="12"/>
  <c r="B71" i="8"/>
  <c r="AA250" i="2"/>
  <c r="D43" i="7"/>
  <c r="D177" i="4"/>
  <c r="E190" i="12"/>
  <c r="AC251" i="2"/>
  <c r="T252" i="2"/>
  <c r="AE252" i="2"/>
  <c r="B68" i="5"/>
  <c r="B142" i="4"/>
  <c r="D69" i="5"/>
  <c r="D143" i="4"/>
  <c r="E185" i="12"/>
  <c r="AC260" i="2"/>
  <c r="U275" i="12"/>
  <c r="Z267" i="2"/>
  <c r="B66" i="5"/>
  <c r="B134" i="4"/>
  <c r="AK269" i="2"/>
  <c r="D45" i="7"/>
  <c r="D190" i="4"/>
  <c r="E261" i="12"/>
  <c r="AC270" i="2"/>
  <c r="Y275" i="2"/>
  <c r="X275" i="2"/>
  <c r="AC275" i="2"/>
  <c r="S278" i="2"/>
  <c r="AG278" i="2"/>
  <c r="D80" i="5"/>
  <c r="D162" i="4"/>
  <c r="E159" i="12"/>
  <c r="AF280" i="2"/>
  <c r="U457" i="12"/>
  <c r="Z284" i="2"/>
  <c r="Y284" i="2"/>
  <c r="AC284" i="2"/>
  <c r="B75" i="5"/>
  <c r="B153" i="4"/>
  <c r="AG287" i="2"/>
  <c r="W287" i="2"/>
  <c r="AF287" i="2"/>
  <c r="V287" i="2"/>
  <c r="X287" i="2"/>
  <c r="AD287" i="2"/>
  <c r="V290" i="2"/>
  <c r="AA291" i="2"/>
  <c r="U402" i="12"/>
  <c r="AB296" i="2"/>
  <c r="B82" i="5"/>
  <c r="B168" i="4"/>
  <c r="E224" i="12"/>
  <c r="U224" i="12"/>
  <c r="U272" i="12"/>
  <c r="E511" i="12"/>
  <c r="U511" i="12"/>
  <c r="AQ313" i="2"/>
  <c r="S316" i="2"/>
  <c r="AE317" i="2"/>
  <c r="AD317" i="2"/>
  <c r="T317" i="2"/>
  <c r="AF317" i="2"/>
  <c r="V317" i="2"/>
  <c r="AG317" i="2"/>
  <c r="B64" i="6"/>
  <c r="B204" i="4"/>
  <c r="U321" i="2"/>
  <c r="U251" i="12"/>
  <c r="AG324" i="2"/>
  <c r="W324" i="2"/>
  <c r="AF324" i="2"/>
  <c r="V324" i="2"/>
  <c r="X324" i="2"/>
  <c r="AD324" i="2"/>
  <c r="D83" i="5"/>
  <c r="D169" i="4"/>
  <c r="V327" i="2"/>
  <c r="AA328" i="2"/>
  <c r="B66" i="6"/>
  <c r="B209" i="4"/>
  <c r="AM332" i="2"/>
  <c r="U464" i="12"/>
  <c r="B107" i="8"/>
  <c r="T344" i="2"/>
  <c r="AC347" i="2"/>
  <c r="S347" i="2"/>
  <c r="AB347" i="2"/>
  <c r="Z347" i="2"/>
  <c r="Y347" i="2"/>
  <c r="X347" i="2"/>
  <c r="AG347" i="2"/>
  <c r="W347" i="2"/>
  <c r="AD347" i="2"/>
  <c r="T347" i="2"/>
  <c r="E308" i="12"/>
  <c r="Y351" i="2"/>
  <c r="X351" i="2"/>
  <c r="AF351" i="2"/>
  <c r="V351" i="2"/>
  <c r="AE351" i="2"/>
  <c r="AD351" i="2"/>
  <c r="T351" i="2"/>
  <c r="AC351" i="2"/>
  <c r="S351" i="2"/>
  <c r="Z351" i="2"/>
  <c r="T353" i="2"/>
  <c r="AC353" i="2"/>
  <c r="S353" i="2"/>
  <c r="U360" i="2"/>
  <c r="E502" i="12"/>
  <c r="B121" i="8"/>
  <c r="D92" i="5"/>
  <c r="D187" i="4"/>
  <c r="U289" i="12"/>
  <c r="D94" i="5"/>
  <c r="D189" i="4"/>
  <c r="B120" i="8"/>
  <c r="D95" i="5"/>
  <c r="D191" i="4"/>
  <c r="AC388" i="2"/>
  <c r="S388" i="2"/>
  <c r="Y388" i="2"/>
  <c r="X388" i="2"/>
  <c r="W388" i="2"/>
  <c r="AG388" i="2"/>
  <c r="V388" i="2"/>
  <c r="AF388" i="2"/>
  <c r="AE388" i="2"/>
  <c r="T388" i="2"/>
  <c r="AD388" i="2"/>
  <c r="Z388" i="2"/>
  <c r="U530" i="12"/>
  <c r="E578" i="12"/>
  <c r="U306" i="12"/>
  <c r="B98" i="5"/>
  <c r="B200" i="4"/>
  <c r="W407" i="2"/>
  <c r="V407" i="2"/>
  <c r="E561" i="12"/>
  <c r="AD421" i="2"/>
  <c r="B107" i="5"/>
  <c r="B216" i="4"/>
  <c r="U444" i="2"/>
  <c r="AC460" i="2"/>
  <c r="S460" i="2"/>
  <c r="X460" i="2"/>
  <c r="T460" i="2"/>
  <c r="AE460" i="2"/>
  <c r="B56" i="5"/>
  <c r="B116" i="4"/>
  <c r="U106" i="12"/>
  <c r="E174" i="12"/>
  <c r="W658" i="12"/>
  <c r="B46" i="6"/>
  <c r="B148" i="4"/>
  <c r="U301" i="12"/>
  <c r="E153" i="12"/>
  <c r="AA228" i="2"/>
  <c r="Z229" i="2"/>
  <c r="AD241" i="2"/>
  <c r="T241" i="2"/>
  <c r="AB241" i="2"/>
  <c r="E172" i="12"/>
  <c r="AB250" i="2"/>
  <c r="U397" i="12"/>
  <c r="AF259" i="2"/>
  <c r="V259" i="2"/>
  <c r="AB259" i="2"/>
  <c r="U260" i="2"/>
  <c r="U375" i="12"/>
  <c r="U241" i="12"/>
  <c r="U276" i="12"/>
  <c r="AA267" i="2"/>
  <c r="AG268" i="2"/>
  <c r="W268" i="2"/>
  <c r="AB268" i="2"/>
  <c r="U415" i="12"/>
  <c r="D67" i="5"/>
  <c r="D140" i="4"/>
  <c r="E94" i="12"/>
  <c r="U382" i="12"/>
  <c r="B55" i="6"/>
  <c r="B183" i="4"/>
  <c r="D206" i="4"/>
  <c r="D47" i="7"/>
  <c r="E250" i="12"/>
  <c r="E189" i="12"/>
  <c r="B74" i="5"/>
  <c r="B152" i="4"/>
  <c r="U312" i="12"/>
  <c r="U298" i="2"/>
  <c r="AE299" i="2"/>
  <c r="AD299" i="2"/>
  <c r="T299" i="2"/>
  <c r="AF299" i="2"/>
  <c r="V299" i="2"/>
  <c r="AG299" i="2"/>
  <c r="U332" i="12"/>
  <c r="X314" i="2"/>
  <c r="AG314" i="2"/>
  <c r="W314" i="2"/>
  <c r="Y314" i="2"/>
  <c r="AD314" i="2"/>
  <c r="B96" i="8"/>
  <c r="E309" i="12"/>
  <c r="U309" i="12"/>
  <c r="AC319" i="2"/>
  <c r="S319" i="2"/>
  <c r="Y322" i="2"/>
  <c r="X322" i="2"/>
  <c r="Z322" i="2"/>
  <c r="AD322" i="2"/>
  <c r="E403" i="12"/>
  <c r="U330" i="2"/>
  <c r="U441" i="12"/>
  <c r="B85" i="5"/>
  <c r="B173" i="4"/>
  <c r="E201" i="12"/>
  <c r="D51" i="7"/>
  <c r="D233" i="4"/>
  <c r="B71" i="6"/>
  <c r="B220" i="4"/>
  <c r="E273" i="12"/>
  <c r="U350" i="2"/>
  <c r="E211" i="12"/>
  <c r="B73" i="6"/>
  <c r="B222" i="4"/>
  <c r="U507" i="12"/>
  <c r="AB389" i="2"/>
  <c r="Y389" i="2"/>
  <c r="X389" i="2"/>
  <c r="W389" i="2"/>
  <c r="AG389" i="2"/>
  <c r="V389" i="2"/>
  <c r="AF389" i="2"/>
  <c r="AE389" i="2"/>
  <c r="T389" i="2"/>
  <c r="AD389" i="2"/>
  <c r="S389" i="2"/>
  <c r="Z389" i="2"/>
  <c r="E442" i="12"/>
  <c r="B80" i="6"/>
  <c r="B253" i="4"/>
  <c r="E322" i="12"/>
  <c r="D41" i="7"/>
  <c r="D165" i="4"/>
  <c r="AA229" i="2"/>
  <c r="U109" i="12"/>
  <c r="U298" i="12"/>
  <c r="B42" i="7"/>
  <c r="B171" i="4"/>
  <c r="D48" i="6"/>
  <c r="D154" i="4"/>
  <c r="E149" i="12"/>
  <c r="E359" i="12"/>
  <c r="U385" i="12"/>
  <c r="B131" i="4"/>
  <c r="B65" i="5"/>
  <c r="B50" i="6"/>
  <c r="B166" i="4"/>
  <c r="D68" i="5"/>
  <c r="D142" i="4"/>
  <c r="E187" i="12"/>
  <c r="U252" i="12"/>
  <c r="AB267" i="2"/>
  <c r="D66" i="5"/>
  <c r="D134" i="4"/>
  <c r="E171" i="12"/>
  <c r="U210" i="12"/>
  <c r="U159" i="12"/>
  <c r="B59" i="6"/>
  <c r="B194" i="4"/>
  <c r="D75" i="5"/>
  <c r="D153" i="4"/>
  <c r="AC291" i="2"/>
  <c r="S291" i="2"/>
  <c r="AB291" i="2"/>
  <c r="AD291" i="2"/>
  <c r="T291" i="2"/>
  <c r="AF291" i="2"/>
  <c r="X296" i="2"/>
  <c r="AG296" i="2"/>
  <c r="W296" i="2"/>
  <c r="Y296" i="2"/>
  <c r="AD296" i="2"/>
  <c r="D82" i="5"/>
  <c r="D168" i="4"/>
  <c r="B60" i="6"/>
  <c r="B195" i="4"/>
  <c r="E268" i="12"/>
  <c r="U268" i="12"/>
  <c r="B62" i="6"/>
  <c r="B197" i="4"/>
  <c r="U238" i="12"/>
  <c r="B63" i="6"/>
  <c r="B202" i="4"/>
  <c r="U283" i="12"/>
  <c r="E188" i="12"/>
  <c r="U317" i="2"/>
  <c r="D102" i="5"/>
  <c r="D208" i="4"/>
  <c r="E207" i="12"/>
  <c r="AC328" i="2"/>
  <c r="S328" i="2"/>
  <c r="AB328" i="2"/>
  <c r="AD328" i="2"/>
  <c r="T328" i="2"/>
  <c r="AF328" i="2"/>
  <c r="AR332" i="2"/>
  <c r="AQ332" i="2"/>
  <c r="AC333" i="2"/>
  <c r="S333" i="2"/>
  <c r="AF334" i="2"/>
  <c r="V334" i="2"/>
  <c r="AE334" i="2"/>
  <c r="AB334" i="2"/>
  <c r="Z334" i="2"/>
  <c r="AG334" i="2"/>
  <c r="W334" i="2"/>
  <c r="E464" i="12"/>
  <c r="D173" i="4"/>
  <c r="D85" i="5"/>
  <c r="X342" i="2"/>
  <c r="AG342" i="2"/>
  <c r="W342" i="2"/>
  <c r="AE342" i="2"/>
  <c r="AD342" i="2"/>
  <c r="T342" i="2"/>
  <c r="AB342" i="2"/>
  <c r="Y342" i="2"/>
  <c r="U308" i="12"/>
  <c r="D74" i="6"/>
  <c r="D226" i="4"/>
  <c r="U510" i="12"/>
  <c r="U341" i="12"/>
  <c r="U522" i="12"/>
  <c r="AA388" i="2"/>
  <c r="X403" i="2"/>
  <c r="AG403" i="2"/>
  <c r="W403" i="2"/>
  <c r="AA403" i="2"/>
  <c r="Z403" i="2"/>
  <c r="Y403" i="2"/>
  <c r="V403" i="2"/>
  <c r="AF403" i="2"/>
  <c r="T403" i="2"/>
  <c r="AE403" i="2"/>
  <c r="S403" i="2"/>
  <c r="AB403" i="2"/>
  <c r="AD412" i="2"/>
  <c r="U415" i="2"/>
  <c r="U494" i="12"/>
  <c r="AE427" i="2"/>
  <c r="D80" i="6"/>
  <c r="D253" i="4"/>
  <c r="AE438" i="2"/>
  <c r="B161" i="8"/>
  <c r="X459" i="2"/>
  <c r="AG459" i="2"/>
  <c r="W459" i="2"/>
  <c r="AD459" i="2"/>
  <c r="T459" i="2"/>
  <c r="AB459" i="2"/>
  <c r="Y459" i="2"/>
  <c r="AE459" i="2"/>
  <c r="AC459" i="2"/>
  <c r="AA459" i="2"/>
  <c r="Z459" i="2"/>
  <c r="V459" i="2"/>
  <c r="S459" i="2"/>
  <c r="AF459" i="2"/>
  <c r="B174" i="8"/>
  <c r="B32" i="5"/>
  <c r="B63" i="4"/>
  <c r="E58" i="12"/>
  <c r="AA129" i="2"/>
  <c r="B24" i="7"/>
  <c r="B97" i="4"/>
  <c r="U155" i="12"/>
  <c r="E169" i="12"/>
  <c r="AA139" i="2"/>
  <c r="B35" i="6"/>
  <c r="B102" i="4"/>
  <c r="U143" i="12"/>
  <c r="E31" i="12"/>
  <c r="W668" i="12"/>
  <c r="B42" i="5"/>
  <c r="B81" i="4"/>
  <c r="U126" i="12"/>
  <c r="E212" i="12"/>
  <c r="D46" i="5"/>
  <c r="D89" i="4"/>
  <c r="AA158" i="2"/>
  <c r="U135" i="12"/>
  <c r="E230" i="12"/>
  <c r="D30" i="7"/>
  <c r="D123" i="4"/>
  <c r="AA167" i="2"/>
  <c r="B29" i="7"/>
  <c r="B122" i="4"/>
  <c r="U150" i="12"/>
  <c r="E133" i="12"/>
  <c r="W694" i="12"/>
  <c r="AE180" i="2"/>
  <c r="T181" i="2"/>
  <c r="AD181" i="2"/>
  <c r="U284" i="12"/>
  <c r="V188" i="2"/>
  <c r="AF188" i="2"/>
  <c r="AE189" i="2"/>
  <c r="T190" i="2"/>
  <c r="AD190" i="2"/>
  <c r="U296" i="12"/>
  <c r="V196" i="2"/>
  <c r="AF196" i="2"/>
  <c r="AE197" i="2"/>
  <c r="T198" i="2"/>
  <c r="AD198" i="2"/>
  <c r="E104" i="12"/>
  <c r="AA201" i="2"/>
  <c r="U323" i="12"/>
  <c r="V206" i="2"/>
  <c r="AF206" i="2"/>
  <c r="AE207" i="2"/>
  <c r="T208" i="2"/>
  <c r="AD208" i="2"/>
  <c r="E237" i="12"/>
  <c r="D56" i="5"/>
  <c r="D116" i="4"/>
  <c r="AA211" i="2"/>
  <c r="B39" i="7"/>
  <c r="B158" i="4"/>
  <c r="U192" i="12"/>
  <c r="V216" i="2"/>
  <c r="AF216" i="2"/>
  <c r="U217" i="2"/>
  <c r="AE217" i="2"/>
  <c r="T218" i="2"/>
  <c r="AD218" i="2"/>
  <c r="D46" i="6"/>
  <c r="D148" i="4"/>
  <c r="AA220" i="2"/>
  <c r="B47" i="6"/>
  <c r="B150" i="4"/>
  <c r="U297" i="12"/>
  <c r="V225" i="2"/>
  <c r="AF225" i="2"/>
  <c r="U226" i="2"/>
  <c r="AE226" i="2"/>
  <c r="T227" i="2"/>
  <c r="AD227" i="2"/>
  <c r="S228" i="2"/>
  <c r="AC228" i="2"/>
  <c r="E198" i="12"/>
  <c r="AB229" i="2"/>
  <c r="W687" i="12"/>
  <c r="B54" i="5"/>
  <c r="B112" i="4"/>
  <c r="U168" i="12"/>
  <c r="AP234" i="2"/>
  <c r="U235" i="2"/>
  <c r="V236" i="2"/>
  <c r="AG236" i="2"/>
  <c r="AE240" i="2"/>
  <c r="AB240" i="2"/>
  <c r="S241" i="2"/>
  <c r="AE241" i="2"/>
  <c r="AF242" i="2"/>
  <c r="U243" i="2"/>
  <c r="AF243" i="2"/>
  <c r="U244" i="2"/>
  <c r="V245" i="2"/>
  <c r="AG245" i="2"/>
  <c r="U310" i="12"/>
  <c r="AF249" i="2"/>
  <c r="V249" i="2"/>
  <c r="AB249" i="2"/>
  <c r="S250" i="2"/>
  <c r="AD250" i="2"/>
  <c r="V251" i="2"/>
  <c r="AG251" i="2"/>
  <c r="W252" i="2"/>
  <c r="U147" i="12"/>
  <c r="U315" i="12"/>
  <c r="U324" i="12"/>
  <c r="AG258" i="2"/>
  <c r="W258" i="2"/>
  <c r="AB258" i="2"/>
  <c r="S259" i="2"/>
  <c r="AD259" i="2"/>
  <c r="V260" i="2"/>
  <c r="AG260" i="2"/>
  <c r="B46" i="7"/>
  <c r="B192" i="4"/>
  <c r="AB266" i="2"/>
  <c r="E326" i="12"/>
  <c r="AC267" i="2"/>
  <c r="S268" i="2"/>
  <c r="AD268" i="2"/>
  <c r="AN269" i="2"/>
  <c r="V270" i="2"/>
  <c r="AG270" i="2"/>
  <c r="W271" i="2"/>
  <c r="U156" i="12"/>
  <c r="Z274" i="2"/>
  <c r="Y274" i="2"/>
  <c r="AC274" i="2"/>
  <c r="T275" i="2"/>
  <c r="U275" i="2" s="1"/>
  <c r="AF275" i="2"/>
  <c r="B53" i="6"/>
  <c r="B176" i="4"/>
  <c r="AG277" i="2"/>
  <c r="W277" i="2"/>
  <c r="AF277" i="2"/>
  <c r="V277" i="2"/>
  <c r="AC277" i="2"/>
  <c r="X278" i="2"/>
  <c r="B71" i="5"/>
  <c r="B145" i="4"/>
  <c r="AE279" i="2"/>
  <c r="AD279" i="2"/>
  <c r="T279" i="2"/>
  <c r="AC279" i="2"/>
  <c r="W280" i="2"/>
  <c r="E249" i="12"/>
  <c r="T284" i="2"/>
  <c r="U284" i="2" s="1"/>
  <c r="AF284" i="2"/>
  <c r="B76" i="5"/>
  <c r="B156" i="4"/>
  <c r="T287" i="2"/>
  <c r="U287" i="2" s="1"/>
  <c r="AF288" i="2"/>
  <c r="V288" i="2"/>
  <c r="AE288" i="2"/>
  <c r="AG288" i="2"/>
  <c r="W288" i="2"/>
  <c r="AD288" i="2"/>
  <c r="Y290" i="2"/>
  <c r="D74" i="5"/>
  <c r="D152" i="4"/>
  <c r="AG291" i="2"/>
  <c r="E439" i="12"/>
  <c r="E264" i="12"/>
  <c r="AE296" i="2"/>
  <c r="X298" i="2"/>
  <c r="S299" i="2"/>
  <c r="X301" i="2"/>
  <c r="AC302" i="2"/>
  <c r="S302" i="2"/>
  <c r="Y305" i="2"/>
  <c r="X305" i="2"/>
  <c r="Z305" i="2"/>
  <c r="AD305" i="2"/>
  <c r="AO306" i="2"/>
  <c r="X309" i="2"/>
  <c r="AC310" i="2"/>
  <c r="S310" i="2"/>
  <c r="AB310" i="2"/>
  <c r="AD310" i="2"/>
  <c r="T310" i="2"/>
  <c r="AF310" i="2"/>
  <c r="V311" i="2"/>
  <c r="D84" i="5"/>
  <c r="D172" i="4"/>
  <c r="S314" i="2"/>
  <c r="AF314" i="2"/>
  <c r="Y316" i="2"/>
  <c r="W317" i="2"/>
  <c r="B38" i="9"/>
  <c r="W659" i="12"/>
  <c r="AM318" i="2"/>
  <c r="AN318" i="2"/>
  <c r="S322" i="2"/>
  <c r="AF322" i="2"/>
  <c r="T324" i="2"/>
  <c r="AF325" i="2"/>
  <c r="V325" i="2"/>
  <c r="AE325" i="2"/>
  <c r="AG325" i="2"/>
  <c r="W325" i="2"/>
  <c r="AD325" i="2"/>
  <c r="Y327" i="2"/>
  <c r="AG328" i="2"/>
  <c r="B67" i="6"/>
  <c r="B210" i="4"/>
  <c r="S335" i="2"/>
  <c r="AA337" i="2"/>
  <c r="E314" i="12"/>
  <c r="AA344" i="2"/>
  <c r="D69" i="6"/>
  <c r="D217" i="4"/>
  <c r="V347" i="2"/>
  <c r="AA351" i="2"/>
  <c r="U445" i="12"/>
  <c r="E541" i="12"/>
  <c r="AA357" i="2"/>
  <c r="AB361" i="2"/>
  <c r="Y378" i="2"/>
  <c r="X378" i="2"/>
  <c r="AG378" i="2"/>
  <c r="W378" i="2"/>
  <c r="AF378" i="2"/>
  <c r="V378" i="2"/>
  <c r="AE378" i="2"/>
  <c r="AD378" i="2"/>
  <c r="T378" i="2"/>
  <c r="AC378" i="2"/>
  <c r="S378" i="2"/>
  <c r="Z378" i="2"/>
  <c r="Z381" i="2"/>
  <c r="X381" i="2"/>
  <c r="W381" i="2"/>
  <c r="AG381" i="2"/>
  <c r="V381" i="2"/>
  <c r="AF381" i="2"/>
  <c r="AE381" i="2"/>
  <c r="T381" i="2"/>
  <c r="AD381" i="2"/>
  <c r="S381" i="2"/>
  <c r="AC381" i="2"/>
  <c r="Y381" i="2"/>
  <c r="AB388" i="2"/>
  <c r="AA389" i="2"/>
  <c r="E473" i="12"/>
  <c r="V396" i="2"/>
  <c r="T396" i="2"/>
  <c r="S396" i="2"/>
  <c r="AC396" i="2"/>
  <c r="U400" i="2"/>
  <c r="E478" i="12"/>
  <c r="E556" i="12"/>
  <c r="U428" i="2"/>
  <c r="Y431" i="2"/>
  <c r="X431" i="2"/>
  <c r="Z431" i="2"/>
  <c r="W431" i="2"/>
  <c r="V431" i="2"/>
  <c r="AG431" i="2"/>
  <c r="AF431" i="2"/>
  <c r="T431" i="2"/>
  <c r="AE431" i="2"/>
  <c r="S431" i="2"/>
  <c r="AD431" i="2"/>
  <c r="AA431" i="2"/>
  <c r="E586" i="12"/>
  <c r="Y458" i="2"/>
  <c r="X458" i="2"/>
  <c r="AE458" i="2"/>
  <c r="AC458" i="2"/>
  <c r="S458" i="2"/>
  <c r="Z458" i="2"/>
  <c r="AF458" i="2"/>
  <c r="AD458" i="2"/>
  <c r="AB458" i="2"/>
  <c r="AA458" i="2"/>
  <c r="W458" i="2"/>
  <c r="V458" i="2"/>
  <c r="T458" i="2"/>
  <c r="AG458" i="2"/>
  <c r="E545" i="12"/>
  <c r="E54" i="12"/>
  <c r="D14" i="7"/>
  <c r="D57" i="4"/>
  <c r="U127" i="12"/>
  <c r="E38" i="12"/>
  <c r="D16" i="7"/>
  <c r="D62" i="4"/>
  <c r="B19" i="6"/>
  <c r="B51" i="4"/>
  <c r="U51" i="12"/>
  <c r="E59" i="12"/>
  <c r="D15" i="7"/>
  <c r="D60" i="4"/>
  <c r="U107" i="12"/>
  <c r="E78" i="12"/>
  <c r="W727" i="12"/>
  <c r="U46" i="12"/>
  <c r="E55" i="12"/>
  <c r="D25" i="6"/>
  <c r="D79" i="4"/>
  <c r="E85" i="12"/>
  <c r="D21" i="5"/>
  <c r="D42" i="4"/>
  <c r="E83" i="12"/>
  <c r="W682" i="12"/>
  <c r="B29" i="5"/>
  <c r="B58" i="4"/>
  <c r="U86" i="12"/>
  <c r="E116" i="12"/>
  <c r="D39" i="5"/>
  <c r="D73" i="4"/>
  <c r="E146" i="12"/>
  <c r="U102" i="12"/>
  <c r="E199" i="12"/>
  <c r="D38" i="5"/>
  <c r="D72" i="4"/>
  <c r="B26" i="7"/>
  <c r="B104" i="4"/>
  <c r="U124" i="12"/>
  <c r="AK149" i="2"/>
  <c r="B33" i="6"/>
  <c r="B98" i="4"/>
  <c r="U76" i="12"/>
  <c r="E115" i="12"/>
  <c r="D27" i="7"/>
  <c r="D111" i="4"/>
  <c r="B28" i="7"/>
  <c r="B115" i="4"/>
  <c r="E176" i="12"/>
  <c r="D38" i="6"/>
  <c r="D114" i="4"/>
  <c r="B39" i="6"/>
  <c r="B117" i="4"/>
  <c r="U256" i="12"/>
  <c r="AK176" i="2"/>
  <c r="AL176" i="2" s="1"/>
  <c r="U269" i="12"/>
  <c r="V180" i="2"/>
  <c r="U119" i="12"/>
  <c r="W188" i="2"/>
  <c r="V189" i="2"/>
  <c r="W665" i="12"/>
  <c r="U128" i="12"/>
  <c r="W196" i="2"/>
  <c r="V197" i="2"/>
  <c r="E357" i="12"/>
  <c r="U294" i="12"/>
  <c r="W206" i="2"/>
  <c r="V207" i="2"/>
  <c r="E152" i="12"/>
  <c r="D118" i="4"/>
  <c r="D57" i="5"/>
  <c r="B40" i="7"/>
  <c r="B164" i="4"/>
  <c r="U105" i="12"/>
  <c r="W216" i="2"/>
  <c r="V217" i="2"/>
  <c r="AM219" i="2"/>
  <c r="E180" i="12"/>
  <c r="U131" i="12"/>
  <c r="W225" i="2"/>
  <c r="V226" i="2"/>
  <c r="T228" i="2"/>
  <c r="S229" i="2"/>
  <c r="AK230" i="2"/>
  <c r="B64" i="5"/>
  <c r="B130" i="4"/>
  <c r="U328" i="12"/>
  <c r="W236" i="2"/>
  <c r="U170" i="12"/>
  <c r="AA239" i="2"/>
  <c r="D42" i="7"/>
  <c r="D171" i="4"/>
  <c r="E215" i="12"/>
  <c r="AC240" i="2"/>
  <c r="AF241" i="2"/>
  <c r="V242" i="2"/>
  <c r="AG242" i="2"/>
  <c r="V243" i="2"/>
  <c r="AG243" i="2"/>
  <c r="W245" i="2"/>
  <c r="U274" i="12"/>
  <c r="B44" i="7"/>
  <c r="B178" i="4"/>
  <c r="B60" i="5"/>
  <c r="B126" i="4"/>
  <c r="AA248" i="2"/>
  <c r="E408" i="12"/>
  <c r="AC249" i="2"/>
  <c r="T250" i="2"/>
  <c r="AF250" i="2"/>
  <c r="W251" i="2"/>
  <c r="U190" i="12"/>
  <c r="X252" i="2"/>
  <c r="AA256" i="2"/>
  <c r="D65" i="5"/>
  <c r="D131" i="4"/>
  <c r="X257" i="2"/>
  <c r="AB257" i="2"/>
  <c r="D50" i="6"/>
  <c r="D166" i="4"/>
  <c r="E193" i="12"/>
  <c r="AC258" i="2"/>
  <c r="T259" i="2"/>
  <c r="AE259" i="2"/>
  <c r="W260" i="2"/>
  <c r="U185" i="12"/>
  <c r="Z263" i="2"/>
  <c r="D46" i="7"/>
  <c r="D192" i="4"/>
  <c r="AB265" i="2"/>
  <c r="D52" i="6"/>
  <c r="D170" i="4"/>
  <c r="E139" i="12"/>
  <c r="AC266" i="2"/>
  <c r="S267" i="2"/>
  <c r="AD267" i="2"/>
  <c r="T268" i="2"/>
  <c r="AE268" i="2"/>
  <c r="AP269" i="2"/>
  <c r="W270" i="2"/>
  <c r="U261" i="12"/>
  <c r="X271" i="2"/>
  <c r="D70" i="5"/>
  <c r="D144" i="4"/>
  <c r="E178" i="12"/>
  <c r="AD274" i="2"/>
  <c r="AG275" i="2"/>
  <c r="E217" i="12"/>
  <c r="AD277" i="2"/>
  <c r="Y278" i="2"/>
  <c r="E167" i="12"/>
  <c r="AF279" i="2"/>
  <c r="X280" i="2"/>
  <c r="AG284" i="2"/>
  <c r="X286" i="2"/>
  <c r="AG286" i="2"/>
  <c r="W286" i="2"/>
  <c r="AC286" i="2"/>
  <c r="B57" i="6"/>
  <c r="B186" i="4"/>
  <c r="E236" i="12"/>
  <c r="U236" i="12"/>
  <c r="AC289" i="2"/>
  <c r="Z290" i="2"/>
  <c r="U197" i="12"/>
  <c r="D58" i="6"/>
  <c r="D193" i="4"/>
  <c r="S296" i="2"/>
  <c r="AF296" i="2"/>
  <c r="Y298" i="2"/>
  <c r="D60" i="6"/>
  <c r="D195" i="4"/>
  <c r="W299" i="2"/>
  <c r="B91" i="8"/>
  <c r="AD300" i="2"/>
  <c r="T300" i="2"/>
  <c r="AC300" i="2"/>
  <c r="S300" i="2"/>
  <c r="AE300" i="2"/>
  <c r="AG300" i="2"/>
  <c r="Y301" i="2"/>
  <c r="AE302" i="2"/>
  <c r="U303" i="2"/>
  <c r="D78" i="5"/>
  <c r="D160" i="4"/>
  <c r="E213" i="12"/>
  <c r="AE305" i="2"/>
  <c r="AF307" i="2"/>
  <c r="V307" i="2"/>
  <c r="AE307" i="2"/>
  <c r="AG307" i="2"/>
  <c r="W307" i="2"/>
  <c r="AD307" i="2"/>
  <c r="Y309" i="2"/>
  <c r="D63" i="6"/>
  <c r="D202" i="4"/>
  <c r="AG310" i="2"/>
  <c r="W311" i="2"/>
  <c r="T314" i="2"/>
  <c r="AC315" i="2"/>
  <c r="Z316" i="2"/>
  <c r="X317" i="2"/>
  <c r="AK318" i="2"/>
  <c r="T319" i="2"/>
  <c r="U389" i="12"/>
  <c r="T322" i="2"/>
  <c r="AG322" i="2"/>
  <c r="B100" i="8"/>
  <c r="E349" i="12"/>
  <c r="U349" i="12"/>
  <c r="AC326" i="2"/>
  <c r="Z327" i="2"/>
  <c r="U409" i="12"/>
  <c r="U267" i="12"/>
  <c r="E145" i="12"/>
  <c r="B104" i="8"/>
  <c r="S334" i="2"/>
  <c r="AE337" i="2"/>
  <c r="S342" i="2"/>
  <c r="AD344" i="2"/>
  <c r="U368" i="12"/>
  <c r="E304" i="12"/>
  <c r="AA347" i="2"/>
  <c r="D91" i="5"/>
  <c r="D184" i="4"/>
  <c r="AB351" i="2"/>
  <c r="AE357" i="2"/>
  <c r="AG361" i="2"/>
  <c r="X362" i="2"/>
  <c r="AG362" i="2"/>
  <c r="W362" i="2"/>
  <c r="AE362" i="2"/>
  <c r="AD362" i="2"/>
  <c r="T362" i="2"/>
  <c r="AC362" i="2"/>
  <c r="S362" i="2"/>
  <c r="AB362" i="2"/>
  <c r="Y362" i="2"/>
  <c r="U481" i="12"/>
  <c r="E571" i="12"/>
  <c r="AC389" i="2"/>
  <c r="E299" i="12"/>
  <c r="U392" i="2"/>
  <c r="AC403" i="2"/>
  <c r="B140" i="8"/>
  <c r="D103" i="5"/>
  <c r="D212" i="4"/>
  <c r="E529" i="12"/>
  <c r="E270" i="12"/>
  <c r="U189" i="12"/>
  <c r="E402" i="12"/>
  <c r="AA294" i="2"/>
  <c r="B58" i="6"/>
  <c r="B193" i="4"/>
  <c r="U405" i="12"/>
  <c r="E209" i="12"/>
  <c r="D49" i="7"/>
  <c r="D225" i="4"/>
  <c r="AA304" i="2"/>
  <c r="E332" i="12"/>
  <c r="W724" i="12"/>
  <c r="B84" i="5"/>
  <c r="B172" i="4"/>
  <c r="U412" i="12"/>
  <c r="E389" i="12"/>
  <c r="D65" i="6"/>
  <c r="D205" i="4"/>
  <c r="AA321" i="2"/>
  <c r="U403" i="12"/>
  <c r="E267" i="12"/>
  <c r="D86" i="5"/>
  <c r="D174" i="4"/>
  <c r="AA331" i="2"/>
  <c r="X333" i="2"/>
  <c r="U145" i="12"/>
  <c r="V335" i="2"/>
  <c r="AF335" i="2"/>
  <c r="AE336" i="2"/>
  <c r="E290" i="12"/>
  <c r="D78" i="6"/>
  <c r="D247" i="4"/>
  <c r="AA340" i="2"/>
  <c r="B175" i="4"/>
  <c r="B87" i="5"/>
  <c r="X343" i="2"/>
  <c r="U273" i="12"/>
  <c r="V345" i="2"/>
  <c r="AF345" i="2"/>
  <c r="AE346" i="2"/>
  <c r="E531" i="12"/>
  <c r="D70" i="6"/>
  <c r="D219" i="4"/>
  <c r="AA350" i="2"/>
  <c r="B88" i="5"/>
  <c r="B180" i="4"/>
  <c r="X353" i="2"/>
  <c r="U418" i="12"/>
  <c r="W354" i="2"/>
  <c r="AG354" i="2"/>
  <c r="V355" i="2"/>
  <c r="AF355" i="2"/>
  <c r="AE356" i="2"/>
  <c r="E488" i="12"/>
  <c r="AA360" i="2"/>
  <c r="B90" i="5"/>
  <c r="B182" i="4"/>
  <c r="X363" i="2"/>
  <c r="U461" i="12"/>
  <c r="W364" i="2"/>
  <c r="AG364" i="2"/>
  <c r="V365" i="2"/>
  <c r="AF365" i="2"/>
  <c r="AE366" i="2"/>
  <c r="T367" i="2"/>
  <c r="AD367" i="2"/>
  <c r="S368" i="2"/>
  <c r="AC368" i="2"/>
  <c r="W372" i="2"/>
  <c r="AG372" i="2"/>
  <c r="V373" i="2"/>
  <c r="AF373" i="2"/>
  <c r="AE374" i="2"/>
  <c r="T375" i="2"/>
  <c r="AD375" i="2"/>
  <c r="S376" i="2"/>
  <c r="AC376" i="2"/>
  <c r="B94" i="5"/>
  <c r="B189" i="4"/>
  <c r="AB383" i="2"/>
  <c r="E486" i="12"/>
  <c r="T385" i="2"/>
  <c r="AE385" i="2"/>
  <c r="W386" i="2"/>
  <c r="U479" i="12"/>
  <c r="B57" i="7"/>
  <c r="B249" i="4"/>
  <c r="D58" i="7"/>
  <c r="D252" i="4"/>
  <c r="AB391" i="2"/>
  <c r="E562" i="12"/>
  <c r="S393" i="2"/>
  <c r="T394" i="2"/>
  <c r="AE394" i="2"/>
  <c r="W395" i="2"/>
  <c r="U524" i="12"/>
  <c r="AC398" i="2"/>
  <c r="S398" i="2"/>
  <c r="AB398" i="2"/>
  <c r="E499" i="12"/>
  <c r="T401" i="2"/>
  <c r="AF401" i="2"/>
  <c r="W402" i="2"/>
  <c r="T404" i="2"/>
  <c r="U380" i="12"/>
  <c r="V406" i="2"/>
  <c r="U203" i="12"/>
  <c r="D59" i="7"/>
  <c r="D257" i="4"/>
  <c r="AC408" i="2"/>
  <c r="S408" i="2"/>
  <c r="AB408" i="2"/>
  <c r="AD408" i="2"/>
  <c r="S409" i="2"/>
  <c r="AE409" i="2"/>
  <c r="W411" i="2"/>
  <c r="S413" i="2"/>
  <c r="AE413" i="2"/>
  <c r="Y414" i="2"/>
  <c r="E494" i="12"/>
  <c r="Y416" i="2"/>
  <c r="AD417" i="2"/>
  <c r="T417" i="2"/>
  <c r="AC417" i="2"/>
  <c r="S417" i="2"/>
  <c r="AE417" i="2"/>
  <c r="AG418" i="2"/>
  <c r="V419" i="2"/>
  <c r="U565" i="12"/>
  <c r="S422" i="2"/>
  <c r="AE422" i="2"/>
  <c r="D79" i="6"/>
  <c r="D248" i="4"/>
  <c r="S425" i="2"/>
  <c r="Y426" i="2"/>
  <c r="V430" i="2"/>
  <c r="U513" i="12"/>
  <c r="D215" i="4"/>
  <c r="D106" i="5"/>
  <c r="E254" i="12"/>
  <c r="T434" i="2"/>
  <c r="E246" i="12"/>
  <c r="U246" i="12"/>
  <c r="U287" i="12"/>
  <c r="U453" i="12"/>
  <c r="Y441" i="2"/>
  <c r="X441" i="2"/>
  <c r="AE441" i="2"/>
  <c r="AC441" i="2"/>
  <c r="S441" i="2"/>
  <c r="Z441" i="2"/>
  <c r="X442" i="2"/>
  <c r="AG442" i="2"/>
  <c r="W442" i="2"/>
  <c r="AD442" i="2"/>
  <c r="T442" i="2"/>
  <c r="U442" i="2" s="1"/>
  <c r="AB442" i="2"/>
  <c r="Y442" i="2"/>
  <c r="AC443" i="2"/>
  <c r="S443" i="2"/>
  <c r="X443" i="2"/>
  <c r="AF444" i="2"/>
  <c r="V444" i="2"/>
  <c r="AE444" i="2"/>
  <c r="AB444" i="2"/>
  <c r="Z444" i="2"/>
  <c r="AG444" i="2"/>
  <c r="W444" i="2"/>
  <c r="E329" i="12"/>
  <c r="B162" i="8"/>
  <c r="E580" i="12"/>
  <c r="S451" i="2"/>
  <c r="E265" i="12"/>
  <c r="B44" i="9"/>
  <c r="U358" i="12"/>
  <c r="U218" i="12"/>
  <c r="AD463" i="2"/>
  <c r="T463" i="2"/>
  <c r="AC463" i="2"/>
  <c r="S463" i="2"/>
  <c r="Z463" i="2"/>
  <c r="X463" i="2"/>
  <c r="AE463" i="2"/>
  <c r="AC464" i="2"/>
  <c r="S464" i="2"/>
  <c r="AB464" i="2"/>
  <c r="Y464" i="2"/>
  <c r="AG464" i="2"/>
  <c r="W464" i="2"/>
  <c r="AD464" i="2"/>
  <c r="T464" i="2"/>
  <c r="X465" i="2"/>
  <c r="V465" i="2"/>
  <c r="AC465" i="2"/>
  <c r="S465" i="2"/>
  <c r="AC470" i="2"/>
  <c r="S470" i="2"/>
  <c r="X470" i="2"/>
  <c r="AA473" i="2"/>
  <c r="E321" i="12"/>
  <c r="B178" i="8"/>
  <c r="AC484" i="2"/>
  <c r="S484" i="2"/>
  <c r="AB484" i="2"/>
  <c r="Z484" i="2"/>
  <c r="Y484" i="2"/>
  <c r="X484" i="2"/>
  <c r="AG484" i="2"/>
  <c r="W484" i="2"/>
  <c r="AD484" i="2"/>
  <c r="T484" i="2"/>
  <c r="E621" i="12"/>
  <c r="X499" i="2"/>
  <c r="AG499" i="2"/>
  <c r="W499" i="2"/>
  <c r="AF499" i="2"/>
  <c r="V499" i="2"/>
  <c r="AE499" i="2"/>
  <c r="AD499" i="2"/>
  <c r="T499" i="2"/>
  <c r="AC499" i="2"/>
  <c r="S499" i="2"/>
  <c r="AB499" i="2"/>
  <c r="Y499" i="2"/>
  <c r="D91" i="6"/>
  <c r="D293" i="4"/>
  <c r="B79" i="7"/>
  <c r="B333" i="4"/>
  <c r="E517" i="12"/>
  <c r="B81" i="7"/>
  <c r="B341" i="4"/>
  <c r="D125" i="5"/>
  <c r="D260" i="4"/>
  <c r="E573" i="12"/>
  <c r="B115" i="5"/>
  <c r="B236" i="4"/>
  <c r="X489" i="2"/>
  <c r="AG489" i="2"/>
  <c r="W489" i="2"/>
  <c r="AE489" i="2"/>
  <c r="AD489" i="2"/>
  <c r="T489" i="2"/>
  <c r="AC489" i="2"/>
  <c r="S489" i="2"/>
  <c r="AB489" i="2"/>
  <c r="Y489" i="2"/>
  <c r="B185" i="8"/>
  <c r="D92" i="6"/>
  <c r="D294" i="4"/>
  <c r="E627" i="12"/>
  <c r="AE528" i="2"/>
  <c r="AD528" i="2"/>
  <c r="T528" i="2"/>
  <c r="AA528" i="2"/>
  <c r="Z528" i="2"/>
  <c r="Y528" i="2"/>
  <c r="X528" i="2"/>
  <c r="W528" i="2"/>
  <c r="V528" i="2"/>
  <c r="AG528" i="2"/>
  <c r="S528" i="2"/>
  <c r="AB528" i="2"/>
  <c r="AE537" i="2"/>
  <c r="AD537" i="2"/>
  <c r="T537" i="2"/>
  <c r="AA537" i="2"/>
  <c r="Z537" i="2"/>
  <c r="Y537" i="2"/>
  <c r="X537" i="2"/>
  <c r="W537" i="2"/>
  <c r="V537" i="2"/>
  <c r="AG537" i="2"/>
  <c r="S537" i="2"/>
  <c r="AB537" i="2"/>
  <c r="X540" i="2"/>
  <c r="W540" i="2"/>
  <c r="V540" i="2"/>
  <c r="AE540" i="2"/>
  <c r="T540" i="2"/>
  <c r="S540" i="2"/>
  <c r="AC540" i="2"/>
  <c r="U591" i="12"/>
  <c r="E576" i="12"/>
  <c r="U496" i="2"/>
  <c r="AE500" i="2"/>
  <c r="T500" i="2"/>
  <c r="X500" i="2"/>
  <c r="U521" i="2"/>
  <c r="E626" i="12"/>
  <c r="E334" i="12"/>
  <c r="AC548" i="2"/>
  <c r="S548" i="2"/>
  <c r="AB548" i="2"/>
  <c r="Z548" i="2"/>
  <c r="Y548" i="2"/>
  <c r="X548" i="2"/>
  <c r="W548" i="2"/>
  <c r="V548" i="2"/>
  <c r="AG548" i="2"/>
  <c r="T548" i="2"/>
  <c r="AF548" i="2"/>
  <c r="AA548" i="2"/>
  <c r="D67" i="6"/>
  <c r="D210" i="4"/>
  <c r="AA333" i="2"/>
  <c r="Y335" i="2"/>
  <c r="X336" i="2"/>
  <c r="U201" i="12"/>
  <c r="E257" i="12"/>
  <c r="D71" i="6"/>
  <c r="D220" i="4"/>
  <c r="AA343" i="2"/>
  <c r="Y345" i="2"/>
  <c r="X346" i="2"/>
  <c r="U304" i="12"/>
  <c r="E216" i="12"/>
  <c r="AA353" i="2"/>
  <c r="Z354" i="2"/>
  <c r="Y355" i="2"/>
  <c r="X356" i="2"/>
  <c r="U541" i="12"/>
  <c r="E243" i="12"/>
  <c r="AA363" i="2"/>
  <c r="Z364" i="2"/>
  <c r="Y365" i="2"/>
  <c r="X366" i="2"/>
  <c r="U493" i="12"/>
  <c r="W367" i="2"/>
  <c r="AG367" i="2"/>
  <c r="V368" i="2"/>
  <c r="Z372" i="2"/>
  <c r="B55" i="7"/>
  <c r="B244" i="4"/>
  <c r="Y373" i="2"/>
  <c r="X374" i="2"/>
  <c r="U509" i="12"/>
  <c r="W375" i="2"/>
  <c r="AG375" i="2"/>
  <c r="V376" i="2"/>
  <c r="E227" i="12"/>
  <c r="E490" i="12"/>
  <c r="X385" i="2"/>
  <c r="AD387" i="2"/>
  <c r="T387" i="2"/>
  <c r="AB387" i="2"/>
  <c r="E338" i="12"/>
  <c r="V393" i="2"/>
  <c r="X394" i="2"/>
  <c r="AE396" i="2"/>
  <c r="AB396" i="2"/>
  <c r="W401" i="2"/>
  <c r="Y404" i="2"/>
  <c r="E244" i="12"/>
  <c r="Y406" i="2"/>
  <c r="AD407" i="2"/>
  <c r="T407" i="2"/>
  <c r="AC407" i="2"/>
  <c r="S407" i="2"/>
  <c r="AE407" i="2"/>
  <c r="V409" i="2"/>
  <c r="U570" i="12"/>
  <c r="U556" i="12"/>
  <c r="X418" i="2"/>
  <c r="V422" i="2"/>
  <c r="B152" i="8"/>
  <c r="AF424" i="2"/>
  <c r="V424" i="2"/>
  <c r="AE424" i="2"/>
  <c r="AC424" i="2"/>
  <c r="B60" i="7"/>
  <c r="B271" i="4"/>
  <c r="U485" i="12"/>
  <c r="D108" i="5"/>
  <c r="D223" i="4"/>
  <c r="E277" i="12"/>
  <c r="AC433" i="2"/>
  <c r="Y434" i="2"/>
  <c r="B167" i="8"/>
  <c r="E519" i="12"/>
  <c r="D109" i="5"/>
  <c r="D224" i="4"/>
  <c r="E342" i="12"/>
  <c r="B64" i="7"/>
  <c r="B287" i="4"/>
  <c r="AC474" i="2"/>
  <c r="S474" i="2"/>
  <c r="AB474" i="2"/>
  <c r="Z474" i="2"/>
  <c r="Y474" i="2"/>
  <c r="X474" i="2"/>
  <c r="AG474" i="2"/>
  <c r="W474" i="2"/>
  <c r="AD474" i="2"/>
  <c r="T474" i="2"/>
  <c r="E419" i="12"/>
  <c r="D114" i="5"/>
  <c r="D235" i="4"/>
  <c r="D312" i="4"/>
  <c r="D72" i="7"/>
  <c r="V489" i="2"/>
  <c r="U335" i="12"/>
  <c r="E392" i="12"/>
  <c r="D73" i="7"/>
  <c r="D314" i="4"/>
  <c r="D120" i="5"/>
  <c r="D250" i="4"/>
  <c r="AD518" i="2"/>
  <c r="T518" i="2"/>
  <c r="Y518" i="2"/>
  <c r="X518" i="2"/>
  <c r="W518" i="2"/>
  <c r="AG518" i="2"/>
  <c r="V518" i="2"/>
  <c r="AF518" i="2"/>
  <c r="AE518" i="2"/>
  <c r="S518" i="2"/>
  <c r="AC518" i="2"/>
  <c r="Z518" i="2"/>
  <c r="AC528" i="2"/>
  <c r="AC537" i="2"/>
  <c r="AE546" i="2"/>
  <c r="AD546" i="2"/>
  <c r="T546" i="2"/>
  <c r="AB546" i="2"/>
  <c r="Z546" i="2"/>
  <c r="Y546" i="2"/>
  <c r="X546" i="2"/>
  <c r="W546" i="2"/>
  <c r="V546" i="2"/>
  <c r="S546" i="2"/>
  <c r="AG546" i="2"/>
  <c r="AA546" i="2"/>
  <c r="X571" i="2"/>
  <c r="W571" i="2"/>
  <c r="V571" i="2"/>
  <c r="T571" i="2"/>
  <c r="S571" i="2"/>
  <c r="AC571" i="2"/>
  <c r="B52" i="7"/>
  <c r="B237" i="4"/>
  <c r="U248" i="12"/>
  <c r="E418" i="12"/>
  <c r="D73" i="6"/>
  <c r="D222" i="4"/>
  <c r="AA354" i="2"/>
  <c r="U223" i="12"/>
  <c r="E461" i="12"/>
  <c r="AA364" i="2"/>
  <c r="X367" i="2"/>
  <c r="U292" i="12"/>
  <c r="W368" i="2"/>
  <c r="D56" i="7"/>
  <c r="D245" i="4"/>
  <c r="AA372" i="2"/>
  <c r="X375" i="2"/>
  <c r="U175" i="12"/>
  <c r="W376" i="2"/>
  <c r="E543" i="12"/>
  <c r="U486" i="12"/>
  <c r="Y385" i="2"/>
  <c r="B130" i="8"/>
  <c r="D76" i="6"/>
  <c r="D234" i="4"/>
  <c r="E255" i="12"/>
  <c r="Y394" i="2"/>
  <c r="D97" i="5"/>
  <c r="D199" i="4"/>
  <c r="E228" i="12"/>
  <c r="X401" i="2"/>
  <c r="Y402" i="2"/>
  <c r="X402" i="2"/>
  <c r="AC402" i="2"/>
  <c r="Z404" i="2"/>
  <c r="D98" i="5"/>
  <c r="D200" i="4"/>
  <c r="Z406" i="2"/>
  <c r="E449" i="12"/>
  <c r="U337" i="12"/>
  <c r="W409" i="2"/>
  <c r="Z411" i="2"/>
  <c r="Y411" i="2"/>
  <c r="AC411" i="2"/>
  <c r="AG414" i="2"/>
  <c r="W414" i="2"/>
  <c r="AF414" i="2"/>
  <c r="V414" i="2"/>
  <c r="AC414" i="2"/>
  <c r="B101" i="5"/>
  <c r="B207" i="4"/>
  <c r="AE416" i="2"/>
  <c r="AD416" i="2"/>
  <c r="T416" i="2"/>
  <c r="AC416" i="2"/>
  <c r="Y418" i="2"/>
  <c r="E428" i="12"/>
  <c r="E560" i="12"/>
  <c r="AD426" i="2"/>
  <c r="T426" i="2"/>
  <c r="AC426" i="2"/>
  <c r="S426" i="2"/>
  <c r="AE426" i="2"/>
  <c r="U245" i="12"/>
  <c r="AA434" i="2"/>
  <c r="B164" i="8"/>
  <c r="D64" i="7"/>
  <c r="D287" i="4"/>
  <c r="B85" i="6"/>
  <c r="B265" i="4"/>
  <c r="U466" i="2"/>
  <c r="Y468" i="2"/>
  <c r="X468" i="2"/>
  <c r="AE468" i="2"/>
  <c r="AD468" i="2"/>
  <c r="T468" i="2"/>
  <c r="AC468" i="2"/>
  <c r="S468" i="2"/>
  <c r="Z468" i="2"/>
  <c r="X479" i="2"/>
  <c r="AG479" i="2"/>
  <c r="W479" i="2"/>
  <c r="AE479" i="2"/>
  <c r="AD479" i="2"/>
  <c r="T479" i="2"/>
  <c r="AC479" i="2"/>
  <c r="S479" i="2"/>
  <c r="AB479" i="2"/>
  <c r="Y479" i="2"/>
  <c r="Z489" i="2"/>
  <c r="B189" i="8"/>
  <c r="U514" i="2"/>
  <c r="AC519" i="2"/>
  <c r="S519" i="2"/>
  <c r="Z519" i="2"/>
  <c r="Y519" i="2"/>
  <c r="X519" i="2"/>
  <c r="W519" i="2"/>
  <c r="AG519" i="2"/>
  <c r="V519" i="2"/>
  <c r="AF519" i="2"/>
  <c r="AE519" i="2"/>
  <c r="T519" i="2"/>
  <c r="AA519" i="2"/>
  <c r="B200" i="8"/>
  <c r="AF528" i="2"/>
  <c r="B96" i="6"/>
  <c r="B305" i="4"/>
  <c r="AF537" i="2"/>
  <c r="AD548" i="2"/>
  <c r="V553" i="2"/>
  <c r="AC553" i="2"/>
  <c r="T553" i="2"/>
  <c r="S553" i="2"/>
  <c r="B214" i="8"/>
  <c r="AB579" i="2"/>
  <c r="Z579" i="2"/>
  <c r="Y579" i="2"/>
  <c r="X579" i="2"/>
  <c r="W579" i="2"/>
  <c r="AG579" i="2"/>
  <c r="V579" i="2"/>
  <c r="AF579" i="2"/>
  <c r="AE579" i="2"/>
  <c r="T579" i="2"/>
  <c r="AD579" i="2"/>
  <c r="AC579" i="2"/>
  <c r="AA579" i="2"/>
  <c r="S579" i="2"/>
  <c r="U295" i="12"/>
  <c r="E441" i="12"/>
  <c r="AA335" i="2"/>
  <c r="Z336" i="2"/>
  <c r="B51" i="7"/>
  <c r="B233" i="4"/>
  <c r="U476" i="12"/>
  <c r="S343" i="2"/>
  <c r="AC343" i="2"/>
  <c r="E460" i="12"/>
  <c r="AA345" i="2"/>
  <c r="Z346" i="2"/>
  <c r="B69" i="6"/>
  <c r="B217" i="4"/>
  <c r="U242" i="12"/>
  <c r="E278" i="12"/>
  <c r="AB354" i="2"/>
  <c r="AA355" i="2"/>
  <c r="Z356" i="2"/>
  <c r="B74" i="6"/>
  <c r="B226" i="4"/>
  <c r="U291" i="12"/>
  <c r="S363" i="2"/>
  <c r="AC363" i="2"/>
  <c r="E481" i="12"/>
  <c r="AB364" i="2"/>
  <c r="AA365" i="2"/>
  <c r="Z366" i="2"/>
  <c r="B75" i="6"/>
  <c r="B230" i="4"/>
  <c r="Y367" i="2"/>
  <c r="U484" i="12"/>
  <c r="E341" i="12"/>
  <c r="AB372" i="2"/>
  <c r="D55" i="7"/>
  <c r="D244" i="4"/>
  <c r="AA373" i="2"/>
  <c r="Z374" i="2"/>
  <c r="B93" i="5"/>
  <c r="B188" i="4"/>
  <c r="Y375" i="2"/>
  <c r="U440" i="12"/>
  <c r="Z385" i="2"/>
  <c r="AE386" i="2"/>
  <c r="AB386" i="2"/>
  <c r="U390" i="2"/>
  <c r="U562" i="12"/>
  <c r="Z394" i="2"/>
  <c r="AF395" i="2"/>
  <c r="V395" i="2"/>
  <c r="AB395" i="2"/>
  <c r="U442" i="12"/>
  <c r="U480" i="12"/>
  <c r="U499" i="12"/>
  <c r="AA401" i="2"/>
  <c r="E504" i="12"/>
  <c r="AD402" i="2"/>
  <c r="AA404" i="2"/>
  <c r="U244" i="12"/>
  <c r="AA406" i="2"/>
  <c r="X409" i="2"/>
  <c r="E514" i="12"/>
  <c r="AD411" i="2"/>
  <c r="E515" i="12"/>
  <c r="AD414" i="2"/>
  <c r="E232" i="12"/>
  <c r="AF416" i="2"/>
  <c r="Z418" i="2"/>
  <c r="AC419" i="2"/>
  <c r="W692" i="12"/>
  <c r="AP423" i="2"/>
  <c r="D60" i="7"/>
  <c r="D271" i="4"/>
  <c r="E366" i="12"/>
  <c r="AF426" i="2"/>
  <c r="U262" i="12"/>
  <c r="Z430" i="2"/>
  <c r="Y430" i="2"/>
  <c r="AC430" i="2"/>
  <c r="E505" i="12"/>
  <c r="AE433" i="2"/>
  <c r="AC434" i="2"/>
  <c r="U448" i="2"/>
  <c r="AC451" i="2"/>
  <c r="U396" i="12"/>
  <c r="E163" i="12"/>
  <c r="D86" i="6"/>
  <c r="D267" i="4"/>
  <c r="U313" i="12"/>
  <c r="E577" i="12"/>
  <c r="D117" i="5"/>
  <c r="D241" i="4"/>
  <c r="AA489" i="2"/>
  <c r="D119" i="5"/>
  <c r="D246" i="4"/>
  <c r="B190" i="8"/>
  <c r="U387" i="12"/>
  <c r="Z512" i="2"/>
  <c r="Y512" i="2"/>
  <c r="X512" i="2"/>
  <c r="W512" i="2"/>
  <c r="AG512" i="2"/>
  <c r="V512" i="2"/>
  <c r="AF512" i="2"/>
  <c r="AE512" i="2"/>
  <c r="T512" i="2"/>
  <c r="AD512" i="2"/>
  <c r="S512" i="2"/>
  <c r="AA512" i="2"/>
  <c r="E347" i="12"/>
  <c r="U522" i="2"/>
  <c r="AG526" i="2"/>
  <c r="W526" i="2"/>
  <c r="AF526" i="2"/>
  <c r="V526" i="2"/>
  <c r="AA526" i="2"/>
  <c r="Z526" i="2"/>
  <c r="Y526" i="2"/>
  <c r="X526" i="2"/>
  <c r="T526" i="2"/>
  <c r="AE526" i="2"/>
  <c r="S526" i="2"/>
  <c r="AB526" i="2"/>
  <c r="AG535" i="2"/>
  <c r="W535" i="2"/>
  <c r="AF535" i="2"/>
  <c r="V535" i="2"/>
  <c r="AA535" i="2"/>
  <c r="Z535" i="2"/>
  <c r="Y535" i="2"/>
  <c r="X535" i="2"/>
  <c r="T535" i="2"/>
  <c r="AE535" i="2"/>
  <c r="S535" i="2"/>
  <c r="AB535" i="2"/>
  <c r="AC546" i="2"/>
  <c r="AE548" i="2"/>
  <c r="U600" i="12"/>
  <c r="AA336" i="2"/>
  <c r="U290" i="12"/>
  <c r="E368" i="12"/>
  <c r="D52" i="7"/>
  <c r="D237" i="4"/>
  <c r="AA346" i="2"/>
  <c r="B54" i="7"/>
  <c r="B242" i="4"/>
  <c r="U531" i="12"/>
  <c r="S354" i="2"/>
  <c r="AC354" i="2"/>
  <c r="E445" i="12"/>
  <c r="AA356" i="2"/>
  <c r="B53" i="7"/>
  <c r="B240" i="4"/>
  <c r="U488" i="12"/>
  <c r="S364" i="2"/>
  <c r="AC364" i="2"/>
  <c r="E510" i="12"/>
  <c r="AA366" i="2"/>
  <c r="Z367" i="2"/>
  <c r="AQ369" i="2"/>
  <c r="S372" i="2"/>
  <c r="AC372" i="2"/>
  <c r="E289" i="12"/>
  <c r="AA374" i="2"/>
  <c r="Z375" i="2"/>
  <c r="AQ377" i="2"/>
  <c r="E479" i="12"/>
  <c r="U299" i="12"/>
  <c r="B203" i="4"/>
  <c r="B100" i="5"/>
  <c r="E524" i="12"/>
  <c r="AC395" i="2"/>
  <c r="U578" i="12"/>
  <c r="S402" i="2"/>
  <c r="AE402" i="2"/>
  <c r="U449" i="12"/>
  <c r="S411" i="2"/>
  <c r="AE411" i="2"/>
  <c r="S414" i="2"/>
  <c r="AE414" i="2"/>
  <c r="D101" i="5"/>
  <c r="D207" i="4"/>
  <c r="S416" i="2"/>
  <c r="AG416" i="2"/>
  <c r="U537" i="12"/>
  <c r="AK423" i="2"/>
  <c r="U560" i="12"/>
  <c r="AG426" i="2"/>
  <c r="E513" i="12"/>
  <c r="AD430" i="2"/>
  <c r="S433" i="2"/>
  <c r="U505" i="12"/>
  <c r="B82" i="6"/>
  <c r="B256" i="4"/>
  <c r="V468" i="2"/>
  <c r="AD473" i="2"/>
  <c r="T473" i="2"/>
  <c r="AC473" i="2"/>
  <c r="S473" i="2"/>
  <c r="Z473" i="2"/>
  <c r="Y473" i="2"/>
  <c r="X473" i="2"/>
  <c r="AE473" i="2"/>
  <c r="V474" i="2"/>
  <c r="V479" i="2"/>
  <c r="U535" i="12"/>
  <c r="X485" i="2"/>
  <c r="W485" i="2"/>
  <c r="V485" i="2"/>
  <c r="AC485" i="2"/>
  <c r="S485" i="2"/>
  <c r="Y488" i="2"/>
  <c r="X488" i="2"/>
  <c r="AF488" i="2"/>
  <c r="V488" i="2"/>
  <c r="AE488" i="2"/>
  <c r="AD488" i="2"/>
  <c r="T488" i="2"/>
  <c r="AC488" i="2"/>
  <c r="S488" i="2"/>
  <c r="Z488" i="2"/>
  <c r="AF489" i="2"/>
  <c r="T490" i="2"/>
  <c r="X490" i="2"/>
  <c r="U525" i="12"/>
  <c r="E331" i="12"/>
  <c r="B194" i="8"/>
  <c r="AB519" i="2"/>
  <c r="E597" i="12"/>
  <c r="E466" i="12"/>
  <c r="AF546" i="2"/>
  <c r="B127" i="5"/>
  <c r="B264" i="4"/>
  <c r="B208" i="8"/>
  <c r="X567" i="2"/>
  <c r="AC567" i="2"/>
  <c r="W567" i="2"/>
  <c r="V567" i="2"/>
  <c r="E493" i="12"/>
  <c r="D75" i="6"/>
  <c r="D230" i="4"/>
  <c r="AA367" i="2"/>
  <c r="E509" i="12"/>
  <c r="D93" i="5"/>
  <c r="D188" i="4"/>
  <c r="AA375" i="2"/>
  <c r="U161" i="12"/>
  <c r="AF385" i="2"/>
  <c r="V385" i="2"/>
  <c r="AB385" i="2"/>
  <c r="U338" i="12"/>
  <c r="U496" i="12"/>
  <c r="U473" i="12"/>
  <c r="AG394" i="2"/>
  <c r="W394" i="2"/>
  <c r="AB394" i="2"/>
  <c r="Z401" i="2"/>
  <c r="Y401" i="2"/>
  <c r="AC401" i="2"/>
  <c r="B77" i="6"/>
  <c r="B238" i="4"/>
  <c r="AG404" i="2"/>
  <c r="W404" i="2"/>
  <c r="AF404" i="2"/>
  <c r="V404" i="2"/>
  <c r="AC404" i="2"/>
  <c r="B96" i="5"/>
  <c r="B198" i="4"/>
  <c r="AE406" i="2"/>
  <c r="AD406" i="2"/>
  <c r="T406" i="2"/>
  <c r="AC406" i="2"/>
  <c r="E503" i="12"/>
  <c r="U515" i="12"/>
  <c r="U232" i="12"/>
  <c r="AC418" i="2"/>
  <c r="S418" i="2"/>
  <c r="AB418" i="2"/>
  <c r="AD418" i="2"/>
  <c r="U366" i="12"/>
  <c r="B104" i="5"/>
  <c r="B213" i="4"/>
  <c r="AF434" i="2"/>
  <c r="V434" i="2"/>
  <c r="AE434" i="2"/>
  <c r="AB434" i="2"/>
  <c r="Z434" i="2"/>
  <c r="AG434" i="2"/>
  <c r="U439" i="2"/>
  <c r="B84" i="6"/>
  <c r="B262" i="4"/>
  <c r="U362" i="12"/>
  <c r="E396" i="12"/>
  <c r="D111" i="5"/>
  <c r="D229" i="4"/>
  <c r="W468" i="2"/>
  <c r="U435" i="12"/>
  <c r="E589" i="12"/>
  <c r="AA474" i="2"/>
  <c r="Z479" i="2"/>
  <c r="E592" i="12"/>
  <c r="B88" i="6"/>
  <c r="B284" i="4"/>
  <c r="U395" i="12"/>
  <c r="AB512" i="2"/>
  <c r="E426" i="12"/>
  <c r="AD519" i="2"/>
  <c r="AC526" i="2"/>
  <c r="AC535" i="2"/>
  <c r="B83" i="7"/>
  <c r="B348" i="4"/>
  <c r="D127" i="5"/>
  <c r="D264" i="4"/>
  <c r="B138" i="5"/>
  <c r="B281" i="4"/>
  <c r="AA272" i="2"/>
  <c r="B70" i="5"/>
  <c r="B144" i="4"/>
  <c r="U94" i="12"/>
  <c r="E457" i="12"/>
  <c r="D59" i="6"/>
  <c r="D194" i="4"/>
  <c r="AA282" i="2"/>
  <c r="B47" i="7"/>
  <c r="B206" i="4"/>
  <c r="U383" i="12"/>
  <c r="E197" i="12"/>
  <c r="AA292" i="2"/>
  <c r="Y294" i="2"/>
  <c r="U468" i="12"/>
  <c r="E272" i="12"/>
  <c r="D62" i="6"/>
  <c r="D197" i="4"/>
  <c r="AA302" i="2"/>
  <c r="B49" i="7"/>
  <c r="B225" i="4"/>
  <c r="Y304" i="2"/>
  <c r="U213" i="12"/>
  <c r="E226" i="12"/>
  <c r="D48" i="7"/>
  <c r="D218" i="4"/>
  <c r="AA311" i="2"/>
  <c r="D64" i="6"/>
  <c r="D204" i="4"/>
  <c r="AA319" i="2"/>
  <c r="B65" i="6"/>
  <c r="B205" i="4"/>
  <c r="Y321" i="2"/>
  <c r="U207" i="12"/>
  <c r="E409" i="12"/>
  <c r="D211" i="4"/>
  <c r="D68" i="6"/>
  <c r="AA329" i="2"/>
  <c r="B86" i="5"/>
  <c r="B174" i="4"/>
  <c r="Y331" i="2"/>
  <c r="V333" i="2"/>
  <c r="AF333" i="2"/>
  <c r="T335" i="2"/>
  <c r="AD335" i="2"/>
  <c r="S336" i="2"/>
  <c r="AC336" i="2"/>
  <c r="E327" i="12"/>
  <c r="AA338" i="2"/>
  <c r="B78" i="6"/>
  <c r="B247" i="4"/>
  <c r="Y340" i="2"/>
  <c r="U219" i="12"/>
  <c r="V343" i="2"/>
  <c r="AF343" i="2"/>
  <c r="T345" i="2"/>
  <c r="AD345" i="2"/>
  <c r="S346" i="2"/>
  <c r="AC346" i="2"/>
  <c r="E248" i="12"/>
  <c r="D54" i="7"/>
  <c r="D242" i="4"/>
  <c r="AA348" i="2"/>
  <c r="B70" i="6"/>
  <c r="B219" i="4"/>
  <c r="Y350" i="2"/>
  <c r="U211" i="12"/>
  <c r="V353" i="2"/>
  <c r="AF353" i="2"/>
  <c r="AE354" i="2"/>
  <c r="T355" i="2"/>
  <c r="AD355" i="2"/>
  <c r="S356" i="2"/>
  <c r="AC356" i="2"/>
  <c r="E223" i="12"/>
  <c r="D53" i="7"/>
  <c r="D240" i="4"/>
  <c r="AA358" i="2"/>
  <c r="Y360" i="2"/>
  <c r="U502" i="12"/>
  <c r="V363" i="2"/>
  <c r="AF363" i="2"/>
  <c r="AE364" i="2"/>
  <c r="T365" i="2"/>
  <c r="U365" i="2" s="1"/>
  <c r="AD365" i="2"/>
  <c r="S366" i="2"/>
  <c r="AC366" i="2"/>
  <c r="E292" i="12"/>
  <c r="AB367" i="2"/>
  <c r="AA368" i="2"/>
  <c r="U220" i="12"/>
  <c r="AE372" i="2"/>
  <c r="T373" i="2"/>
  <c r="U373" i="2" s="1"/>
  <c r="AD373" i="2"/>
  <c r="S374" i="2"/>
  <c r="AC374" i="2"/>
  <c r="E175" i="12"/>
  <c r="AB375" i="2"/>
  <c r="AA376" i="2"/>
  <c r="U571" i="12"/>
  <c r="U490" i="12"/>
  <c r="Z383" i="2"/>
  <c r="E522" i="12"/>
  <c r="AC385" i="2"/>
  <c r="T386" i="2"/>
  <c r="AF386" i="2"/>
  <c r="W387" i="2"/>
  <c r="U255" i="12"/>
  <c r="Y391" i="2"/>
  <c r="D100" i="5"/>
  <c r="D203" i="4"/>
  <c r="X393" i="2"/>
  <c r="AB393" i="2"/>
  <c r="E530" i="12"/>
  <c r="AC394" i="2"/>
  <c r="T395" i="2"/>
  <c r="AE395" i="2"/>
  <c r="W396" i="2"/>
  <c r="U228" i="12"/>
  <c r="Z398" i="2"/>
  <c r="D99" i="5"/>
  <c r="D201" i="4"/>
  <c r="E306" i="12"/>
  <c r="AD401" i="2"/>
  <c r="AG402" i="2"/>
  <c r="E380" i="12"/>
  <c r="AD404" i="2"/>
  <c r="E203" i="12"/>
  <c r="AF406" i="2"/>
  <c r="X407" i="2"/>
  <c r="B59" i="7"/>
  <c r="B257" i="4"/>
  <c r="Z408" i="2"/>
  <c r="AG411" i="2"/>
  <c r="X413" i="2"/>
  <c r="AG413" i="2"/>
  <c r="W413" i="2"/>
  <c r="AC413" i="2"/>
  <c r="W416" i="2"/>
  <c r="AA417" i="2"/>
  <c r="AE418" i="2"/>
  <c r="Y422" i="2"/>
  <c r="X422" i="2"/>
  <c r="AC422" i="2"/>
  <c r="AM423" i="2"/>
  <c r="X424" i="2"/>
  <c r="B79" i="6"/>
  <c r="B248" i="4"/>
  <c r="AE425" i="2"/>
  <c r="AD425" i="2"/>
  <c r="T425" i="2"/>
  <c r="AC425" i="2"/>
  <c r="W426" i="2"/>
  <c r="E485" i="12"/>
  <c r="T430" i="2"/>
  <c r="U430" i="2" s="1"/>
  <c r="AF430" i="2"/>
  <c r="B106" i="5"/>
  <c r="B215" i="4"/>
  <c r="B81" i="6"/>
  <c r="B254" i="4"/>
  <c r="U336" i="12"/>
  <c r="AF441" i="2"/>
  <c r="AE442" i="2"/>
  <c r="AD444" i="2"/>
  <c r="U619" i="12"/>
  <c r="U420" i="12"/>
  <c r="Y450" i="2"/>
  <c r="X450" i="2"/>
  <c r="AE450" i="2"/>
  <c r="AC450" i="2"/>
  <c r="S450" i="2"/>
  <c r="Z450" i="2"/>
  <c r="X451" i="2"/>
  <c r="AG451" i="2"/>
  <c r="W451" i="2"/>
  <c r="AD451" i="2"/>
  <c r="T451" i="2"/>
  <c r="AB451" i="2"/>
  <c r="Y451" i="2"/>
  <c r="AC452" i="2"/>
  <c r="S452" i="2"/>
  <c r="X452" i="2"/>
  <c r="W713" i="12"/>
  <c r="AO453" i="2"/>
  <c r="AN453" i="2"/>
  <c r="AK453" i="2"/>
  <c r="AP453" i="2"/>
  <c r="U456" i="2"/>
  <c r="AG463" i="2"/>
  <c r="AF464" i="2"/>
  <c r="AA468" i="2"/>
  <c r="U286" i="12"/>
  <c r="E435" i="12"/>
  <c r="V473" i="2"/>
  <c r="AE474" i="2"/>
  <c r="AA479" i="2"/>
  <c r="B71" i="7"/>
  <c r="B306" i="4"/>
  <c r="U486" i="2"/>
  <c r="U621" i="12"/>
  <c r="W488" i="2"/>
  <c r="B69" i="7"/>
  <c r="B301" i="4"/>
  <c r="Y498" i="2"/>
  <c r="X498" i="2"/>
  <c r="AG498" i="2"/>
  <c r="W498" i="2"/>
  <c r="AF498" i="2"/>
  <c r="V498" i="2"/>
  <c r="AE498" i="2"/>
  <c r="AD498" i="2"/>
  <c r="T498" i="2"/>
  <c r="AC498" i="2"/>
  <c r="S498" i="2"/>
  <c r="Z498" i="2"/>
  <c r="AB510" i="2"/>
  <c r="X510" i="2"/>
  <c r="W510" i="2"/>
  <c r="AG510" i="2"/>
  <c r="V510" i="2"/>
  <c r="AF510" i="2"/>
  <c r="AE510" i="2"/>
  <c r="T510" i="2"/>
  <c r="AD510" i="2"/>
  <c r="S510" i="2"/>
  <c r="AC510" i="2"/>
  <c r="Y510" i="2"/>
  <c r="AC512" i="2"/>
  <c r="U492" i="12"/>
  <c r="B199" i="8"/>
  <c r="AD526" i="2"/>
  <c r="B80" i="7"/>
  <c r="B336" i="4"/>
  <c r="AD535" i="2"/>
  <c r="E647" i="12"/>
  <c r="AG565" i="2"/>
  <c r="W565" i="2"/>
  <c r="AD565" i="2"/>
  <c r="S565" i="2"/>
  <c r="AA565" i="2"/>
  <c r="Z565" i="2"/>
  <c r="Y565" i="2"/>
  <c r="X565" i="2"/>
  <c r="AF565" i="2"/>
  <c r="AE565" i="2"/>
  <c r="AC565" i="2"/>
  <c r="AB565" i="2"/>
  <c r="V565" i="2"/>
  <c r="T565" i="2"/>
  <c r="V570" i="2"/>
  <c r="AC570" i="2"/>
  <c r="T570" i="2"/>
  <c r="S570" i="2"/>
  <c r="E356" i="12"/>
  <c r="U191" i="12"/>
  <c r="E315" i="12"/>
  <c r="U179" i="12"/>
  <c r="E241" i="12"/>
  <c r="B52" i="6"/>
  <c r="B170" i="4"/>
  <c r="U326" i="12"/>
  <c r="E210" i="12"/>
  <c r="B67" i="5"/>
  <c r="B140" i="4"/>
  <c r="U394" i="12"/>
  <c r="E231" i="12"/>
  <c r="D55" i="6"/>
  <c r="D183" i="4"/>
  <c r="U183" i="12"/>
  <c r="E312" i="12"/>
  <c r="U264" i="12"/>
  <c r="E205" i="12"/>
  <c r="D81" i="5"/>
  <c r="D163" i="4"/>
  <c r="B78" i="5"/>
  <c r="B160" i="4"/>
  <c r="E283" i="12"/>
  <c r="U188" i="12"/>
  <c r="E281" i="12"/>
  <c r="B102" i="5"/>
  <c r="B208" i="4"/>
  <c r="U455" i="12"/>
  <c r="E295" i="12"/>
  <c r="D66" i="6"/>
  <c r="D209" i="4"/>
  <c r="W333" i="2"/>
  <c r="T336" i="2"/>
  <c r="E476" i="12"/>
  <c r="D72" i="6"/>
  <c r="D221" i="4"/>
  <c r="B89" i="5"/>
  <c r="B181" i="4"/>
  <c r="U257" i="12"/>
  <c r="W343" i="2"/>
  <c r="T346" i="2"/>
  <c r="E242" i="12"/>
  <c r="B91" i="5"/>
  <c r="B184" i="4"/>
  <c r="U216" i="12"/>
  <c r="W353" i="2"/>
  <c r="V354" i="2"/>
  <c r="T356" i="2"/>
  <c r="E291" i="12"/>
  <c r="U243" i="12"/>
  <c r="W363" i="2"/>
  <c r="V364" i="2"/>
  <c r="T366" i="2"/>
  <c r="S367" i="2"/>
  <c r="E484" i="12"/>
  <c r="W683" i="12"/>
  <c r="B92" i="5"/>
  <c r="B187" i="4"/>
  <c r="V372" i="2"/>
  <c r="T374" i="2"/>
  <c r="S375" i="2"/>
  <c r="E440" i="12"/>
  <c r="W691" i="12"/>
  <c r="U227" i="12"/>
  <c r="U543" i="12"/>
  <c r="AA383" i="2"/>
  <c r="AG384" i="2"/>
  <c r="W384" i="2"/>
  <c r="AB384" i="2"/>
  <c r="S385" i="2"/>
  <c r="AD385" i="2"/>
  <c r="V386" i="2"/>
  <c r="AG386" i="2"/>
  <c r="X387" i="2"/>
  <c r="B58" i="7"/>
  <c r="B252" i="4"/>
  <c r="AA391" i="2"/>
  <c r="AB392" i="2"/>
  <c r="E260" i="12"/>
  <c r="AC393" i="2"/>
  <c r="S394" i="2"/>
  <c r="AD394" i="2"/>
  <c r="AG395" i="2"/>
  <c r="X396" i="2"/>
  <c r="AA398" i="2"/>
  <c r="AA399" i="2"/>
  <c r="S401" i="2"/>
  <c r="AE401" i="2"/>
  <c r="V402" i="2"/>
  <c r="D77" i="6"/>
  <c r="D238" i="4"/>
  <c r="S404" i="2"/>
  <c r="AE404" i="2"/>
  <c r="D96" i="5"/>
  <c r="D198" i="4"/>
  <c r="S406" i="2"/>
  <c r="AG406" i="2"/>
  <c r="Y407" i="2"/>
  <c r="AA408" i="2"/>
  <c r="V411" i="2"/>
  <c r="U514" i="12"/>
  <c r="E590" i="12"/>
  <c r="AD413" i="2"/>
  <c r="X414" i="2"/>
  <c r="B148" i="8"/>
  <c r="AF415" i="2"/>
  <c r="V415" i="2"/>
  <c r="AE415" i="2"/>
  <c r="AC415" i="2"/>
  <c r="X416" i="2"/>
  <c r="AB417" i="2"/>
  <c r="T418" i="2"/>
  <c r="AF418" i="2"/>
  <c r="U419" i="2"/>
  <c r="U428" i="12"/>
  <c r="E436" i="12"/>
  <c r="AD422" i="2"/>
  <c r="AN423" i="2"/>
  <c r="Y424" i="2"/>
  <c r="E288" i="12"/>
  <c r="AF425" i="2"/>
  <c r="X426" i="2"/>
  <c r="B103" i="5"/>
  <c r="B212" i="4"/>
  <c r="AG430" i="2"/>
  <c r="X432" i="2"/>
  <c r="AG432" i="2"/>
  <c r="W432" i="2"/>
  <c r="AB432" i="2"/>
  <c r="AD432" i="2"/>
  <c r="D81" i="6"/>
  <c r="D254" i="4"/>
  <c r="S434" i="2"/>
  <c r="AE435" i="2"/>
  <c r="AG441" i="2"/>
  <c r="AF442" i="2"/>
  <c r="AE443" i="2"/>
  <c r="U559" i="12"/>
  <c r="AE445" i="2"/>
  <c r="U329" i="12"/>
  <c r="AD446" i="2"/>
  <c r="T446" i="2"/>
  <c r="AC446" i="2"/>
  <c r="S446" i="2"/>
  <c r="Z446" i="2"/>
  <c r="X446" i="2"/>
  <c r="AE446" i="2"/>
  <c r="W688" i="12"/>
  <c r="AK447" i="2"/>
  <c r="AP447" i="2"/>
  <c r="AM447" i="2"/>
  <c r="E420" i="12"/>
  <c r="E533" i="12"/>
  <c r="B112" i="5"/>
  <c r="B231" i="4"/>
  <c r="U574" i="12"/>
  <c r="AE465" i="2"/>
  <c r="AB468" i="2"/>
  <c r="AE470" i="2"/>
  <c r="W473" i="2"/>
  <c r="AF474" i="2"/>
  <c r="X475" i="2"/>
  <c r="W475" i="2"/>
  <c r="V475" i="2"/>
  <c r="AC475" i="2"/>
  <c r="S475" i="2"/>
  <c r="Y478" i="2"/>
  <c r="X478" i="2"/>
  <c r="AF478" i="2"/>
  <c r="V478" i="2"/>
  <c r="AE478" i="2"/>
  <c r="AD478" i="2"/>
  <c r="T478" i="2"/>
  <c r="AC478" i="2"/>
  <c r="S478" i="2"/>
  <c r="Z478" i="2"/>
  <c r="AF479" i="2"/>
  <c r="T480" i="2"/>
  <c r="X480" i="2"/>
  <c r="T485" i="2"/>
  <c r="AA488" i="2"/>
  <c r="E351" i="12"/>
  <c r="X511" i="2"/>
  <c r="W511" i="2"/>
  <c r="V511" i="2"/>
  <c r="AE511" i="2"/>
  <c r="T511" i="2"/>
  <c r="S511" i="2"/>
  <c r="AC511" i="2"/>
  <c r="D76" i="7"/>
  <c r="D327" i="4"/>
  <c r="AK531" i="2"/>
  <c r="AP531" i="2"/>
  <c r="AO531" i="2"/>
  <c r="Z532" i="2"/>
  <c r="Y532" i="2"/>
  <c r="AA532" i="2"/>
  <c r="X532" i="2"/>
  <c r="W532" i="2"/>
  <c r="V532" i="2"/>
  <c r="AG532" i="2"/>
  <c r="AF532" i="2"/>
  <c r="T532" i="2"/>
  <c r="AE532" i="2"/>
  <c r="S532" i="2"/>
  <c r="AB532" i="2"/>
  <c r="U541" i="2"/>
  <c r="Z554" i="2"/>
  <c r="AG554" i="2"/>
  <c r="W554" i="2"/>
  <c r="AF554" i="2"/>
  <c r="V554" i="2"/>
  <c r="AE554" i="2"/>
  <c r="AD554" i="2"/>
  <c r="T554" i="2"/>
  <c r="AC554" i="2"/>
  <c r="AB554" i="2"/>
  <c r="AA554" i="2"/>
  <c r="Y554" i="2"/>
  <c r="X554" i="2"/>
  <c r="S554" i="2"/>
  <c r="X564" i="2"/>
  <c r="AC564" i="2"/>
  <c r="Z564" i="2"/>
  <c r="Y564" i="2"/>
  <c r="W564" i="2"/>
  <c r="AG564" i="2"/>
  <c r="V564" i="2"/>
  <c r="AE564" i="2"/>
  <c r="AD564" i="2"/>
  <c r="AB564" i="2"/>
  <c r="AA564" i="2"/>
  <c r="T564" i="2"/>
  <c r="S564" i="2"/>
  <c r="AF564" i="2"/>
  <c r="E470" i="12"/>
  <c r="U566" i="2"/>
  <c r="U652" i="12"/>
  <c r="E287" i="12"/>
  <c r="D61" i="7"/>
  <c r="D276" i="4"/>
  <c r="AA440" i="2"/>
  <c r="U529" i="12"/>
  <c r="E619" i="12"/>
  <c r="AA449" i="2"/>
  <c r="U265" i="12"/>
  <c r="E365" i="12"/>
  <c r="D83" i="6"/>
  <c r="D261" i="4"/>
  <c r="AA457" i="2"/>
  <c r="U342" i="12"/>
  <c r="E362" i="12"/>
  <c r="AA467" i="2"/>
  <c r="B86" i="6"/>
  <c r="B267" i="4"/>
  <c r="U528" i="12"/>
  <c r="W471" i="2"/>
  <c r="AG471" i="2"/>
  <c r="E407" i="12"/>
  <c r="D68" i="7"/>
  <c r="D300" i="4"/>
  <c r="AA477" i="2"/>
  <c r="U311" i="12"/>
  <c r="W481" i="2"/>
  <c r="AG481" i="2"/>
  <c r="AE483" i="2"/>
  <c r="E377" i="12"/>
  <c r="AA487" i="2"/>
  <c r="B117" i="5"/>
  <c r="B241" i="4"/>
  <c r="U225" i="12"/>
  <c r="W491" i="2"/>
  <c r="AG491" i="2"/>
  <c r="AE493" i="2"/>
  <c r="T494" i="2"/>
  <c r="AD494" i="2"/>
  <c r="S495" i="2"/>
  <c r="AC495" i="2"/>
  <c r="E348" i="12"/>
  <c r="D93" i="6"/>
  <c r="D297" i="4"/>
  <c r="AA497" i="2"/>
  <c r="B119" i="5"/>
  <c r="B246" i="4"/>
  <c r="U616" i="12"/>
  <c r="W501" i="2"/>
  <c r="AG501" i="2"/>
  <c r="AE503" i="2"/>
  <c r="T504" i="2"/>
  <c r="AD504" i="2"/>
  <c r="S505" i="2"/>
  <c r="AC505" i="2"/>
  <c r="S506" i="2"/>
  <c r="V507" i="2"/>
  <c r="AG507" i="2"/>
  <c r="X508" i="2"/>
  <c r="B250" i="4"/>
  <c r="B120" i="5"/>
  <c r="B91" i="6"/>
  <c r="B293" i="4"/>
  <c r="AB513" i="2"/>
  <c r="E622" i="12"/>
  <c r="S515" i="2"/>
  <c r="AG516" i="2"/>
  <c r="X517" i="2"/>
  <c r="AA520" i="2"/>
  <c r="E601" i="12"/>
  <c r="S523" i="2"/>
  <c r="T524" i="2"/>
  <c r="AE524" i="2"/>
  <c r="W527" i="2"/>
  <c r="V529" i="2"/>
  <c r="U615" i="12"/>
  <c r="X530" i="2"/>
  <c r="S533" i="2"/>
  <c r="AE533" i="2"/>
  <c r="W536" i="2"/>
  <c r="V538" i="2"/>
  <c r="U343" i="12"/>
  <c r="X539" i="2"/>
  <c r="B82" i="7"/>
  <c r="B344" i="4"/>
  <c r="W669" i="12"/>
  <c r="AO543" i="2"/>
  <c r="X544" i="2"/>
  <c r="E320" i="12"/>
  <c r="U320" i="12"/>
  <c r="V547" i="2"/>
  <c r="T549" i="2"/>
  <c r="AB552" i="2"/>
  <c r="Y552" i="2"/>
  <c r="X552" i="2"/>
  <c r="AF552" i="2"/>
  <c r="V552" i="2"/>
  <c r="AE552" i="2"/>
  <c r="E587" i="12"/>
  <c r="D84" i="7"/>
  <c r="D351" i="4"/>
  <c r="Z558" i="2"/>
  <c r="U470" i="12"/>
  <c r="U333" i="12"/>
  <c r="E610" i="12"/>
  <c r="E398" i="12"/>
  <c r="AR578" i="2"/>
  <c r="AQ578" i="2"/>
  <c r="AE586" i="2"/>
  <c r="Y586" i="2"/>
  <c r="X586" i="2"/>
  <c r="W586" i="2"/>
  <c r="AG586" i="2"/>
  <c r="V586" i="2"/>
  <c r="AF586" i="2"/>
  <c r="T586" i="2"/>
  <c r="AD586" i="2"/>
  <c r="S586" i="2"/>
  <c r="AC586" i="2"/>
  <c r="B226" i="8"/>
  <c r="U532" i="12"/>
  <c r="W722" i="12"/>
  <c r="AO660" i="2"/>
  <c r="AN660" i="2"/>
  <c r="AP660" i="2"/>
  <c r="AM660" i="2"/>
  <c r="AL660" i="2" s="1"/>
  <c r="D170" i="5"/>
  <c r="D355" i="4"/>
  <c r="U669" i="2"/>
  <c r="E498" i="12"/>
  <c r="B88" i="7"/>
  <c r="B375" i="4"/>
  <c r="B107" i="6"/>
  <c r="B354" i="4"/>
  <c r="E474" i="12"/>
  <c r="E467" i="12"/>
  <c r="X695" i="2"/>
  <c r="AG695" i="2"/>
  <c r="W695" i="2"/>
  <c r="AF695" i="2"/>
  <c r="V695" i="2"/>
  <c r="AE695" i="2"/>
  <c r="AD695" i="2"/>
  <c r="T695" i="2"/>
  <c r="AC695" i="2"/>
  <c r="S695" i="2"/>
  <c r="AB695" i="2"/>
  <c r="Y695" i="2"/>
  <c r="AA695" i="2"/>
  <c r="Z695" i="2"/>
  <c r="U303" i="12"/>
  <c r="B222" i="8"/>
  <c r="D107" i="6"/>
  <c r="D354" i="4"/>
  <c r="AF604" i="2"/>
  <c r="V604" i="2"/>
  <c r="AB604" i="2"/>
  <c r="Y604" i="2"/>
  <c r="X604" i="2"/>
  <c r="W604" i="2"/>
  <c r="AG604" i="2"/>
  <c r="T604" i="2"/>
  <c r="AE604" i="2"/>
  <c r="S604" i="2"/>
  <c r="AD604" i="2"/>
  <c r="Z604" i="2"/>
  <c r="W616" i="2"/>
  <c r="X616" i="2"/>
  <c r="V616" i="2"/>
  <c r="T616" i="2"/>
  <c r="AE616" i="2"/>
  <c r="S616" i="2"/>
  <c r="AC616" i="2"/>
  <c r="AC623" i="2"/>
  <c r="S623" i="2"/>
  <c r="Y623" i="2"/>
  <c r="Z623" i="2"/>
  <c r="X623" i="2"/>
  <c r="W623" i="2"/>
  <c r="V623" i="2"/>
  <c r="AG623" i="2"/>
  <c r="AF623" i="2"/>
  <c r="T623" i="2"/>
  <c r="AE623" i="2"/>
  <c r="AA623" i="2"/>
  <c r="AG655" i="2"/>
  <c r="W655" i="2"/>
  <c r="AC655" i="2"/>
  <c r="S655" i="2"/>
  <c r="AB655" i="2"/>
  <c r="AA655" i="2"/>
  <c r="Z655" i="2"/>
  <c r="Y655" i="2"/>
  <c r="X655" i="2"/>
  <c r="V655" i="2"/>
  <c r="T655" i="2"/>
  <c r="AD655" i="2"/>
  <c r="D172" i="5"/>
  <c r="D358" i="4"/>
  <c r="AA433" i="2"/>
  <c r="B105" i="5"/>
  <c r="B214" i="4"/>
  <c r="Y435" i="2"/>
  <c r="U253" i="12"/>
  <c r="T440" i="2"/>
  <c r="AD440" i="2"/>
  <c r="E604" i="12"/>
  <c r="AA443" i="2"/>
  <c r="B62" i="7"/>
  <c r="B279" i="4"/>
  <c r="Y445" i="2"/>
  <c r="U580" i="12"/>
  <c r="T449" i="2"/>
  <c r="AD449" i="2"/>
  <c r="E575" i="12"/>
  <c r="D112" i="5"/>
  <c r="D231" i="4"/>
  <c r="AA452" i="2"/>
  <c r="U519" i="12"/>
  <c r="T457" i="2"/>
  <c r="AD457" i="2"/>
  <c r="E631" i="12"/>
  <c r="D63" i="7"/>
  <c r="D286" i="4"/>
  <c r="AA460" i="2"/>
  <c r="B110" i="5"/>
  <c r="B227" i="4"/>
  <c r="Y462" i="2"/>
  <c r="U545" i="12"/>
  <c r="T467" i="2"/>
  <c r="AD467" i="2"/>
  <c r="E280" i="12"/>
  <c r="AA470" i="2"/>
  <c r="Z471" i="2"/>
  <c r="B67" i="7"/>
  <c r="B295" i="4"/>
  <c r="Y472" i="2"/>
  <c r="U589" i="12"/>
  <c r="T477" i="2"/>
  <c r="AD477" i="2"/>
  <c r="E582" i="12"/>
  <c r="D236" i="4"/>
  <c r="D115" i="5"/>
  <c r="AA480" i="2"/>
  <c r="Z481" i="2"/>
  <c r="B116" i="5"/>
  <c r="B239" i="4"/>
  <c r="Y482" i="2"/>
  <c r="X483" i="2"/>
  <c r="U577" i="12"/>
  <c r="T487" i="2"/>
  <c r="AD487" i="2"/>
  <c r="E293" i="12"/>
  <c r="D69" i="7"/>
  <c r="D301" i="4"/>
  <c r="AA490" i="2"/>
  <c r="Z491" i="2"/>
  <c r="Y492" i="2"/>
  <c r="X493" i="2"/>
  <c r="U576" i="12"/>
  <c r="W494" i="2"/>
  <c r="AG494" i="2"/>
  <c r="V495" i="2"/>
  <c r="T497" i="2"/>
  <c r="AD497" i="2"/>
  <c r="E285" i="12"/>
  <c r="AA500" i="2"/>
  <c r="Z501" i="2"/>
  <c r="Y502" i="2"/>
  <c r="X503" i="2"/>
  <c r="U620" i="12"/>
  <c r="W504" i="2"/>
  <c r="AG504" i="2"/>
  <c r="V505" i="2"/>
  <c r="W506" i="2"/>
  <c r="U330" i="12"/>
  <c r="Y507" i="2"/>
  <c r="B74" i="7"/>
  <c r="B317" i="4"/>
  <c r="AC509" i="2"/>
  <c r="S509" i="2"/>
  <c r="AB509" i="2"/>
  <c r="E614" i="12"/>
  <c r="T513" i="2"/>
  <c r="AE513" i="2"/>
  <c r="V515" i="2"/>
  <c r="U585" i="12"/>
  <c r="Y516" i="2"/>
  <c r="B94" i="6"/>
  <c r="B298" i="4"/>
  <c r="AA517" i="2"/>
  <c r="E639" i="12"/>
  <c r="T520" i="2"/>
  <c r="AE520" i="2"/>
  <c r="V523" i="2"/>
  <c r="W524" i="2"/>
  <c r="Z527" i="2"/>
  <c r="Y529" i="2"/>
  <c r="V533" i="2"/>
  <c r="D80" i="7"/>
  <c r="D336" i="4"/>
  <c r="Z536" i="2"/>
  <c r="D96" i="6"/>
  <c r="D305" i="4"/>
  <c r="Y538" i="2"/>
  <c r="AA542" i="2"/>
  <c r="AM543" i="2"/>
  <c r="AA544" i="2"/>
  <c r="X549" i="2"/>
  <c r="E651" i="12"/>
  <c r="T552" i="2"/>
  <c r="B131" i="5"/>
  <c r="B270" i="4"/>
  <c r="E404" i="12"/>
  <c r="W708" i="12"/>
  <c r="AN559" i="2"/>
  <c r="AK559" i="2"/>
  <c r="AP559" i="2"/>
  <c r="B277" i="4"/>
  <c r="B135" i="5"/>
  <c r="E618" i="12"/>
  <c r="AA586" i="2"/>
  <c r="AD587" i="2"/>
  <c r="T587" i="2"/>
  <c r="AA587" i="2"/>
  <c r="Z587" i="2"/>
  <c r="Y587" i="2"/>
  <c r="X587" i="2"/>
  <c r="W587" i="2"/>
  <c r="AG587" i="2"/>
  <c r="V587" i="2"/>
  <c r="AF587" i="2"/>
  <c r="X594" i="2"/>
  <c r="V594" i="2"/>
  <c r="AE594" i="2"/>
  <c r="AP603" i="2"/>
  <c r="AO603" i="2"/>
  <c r="AK603" i="2"/>
  <c r="E417" i="12"/>
  <c r="U424" i="12"/>
  <c r="AF620" i="2"/>
  <c r="V620" i="2"/>
  <c r="AB620" i="2"/>
  <c r="Y620" i="2"/>
  <c r="X620" i="2"/>
  <c r="W620" i="2"/>
  <c r="AG620" i="2"/>
  <c r="T620" i="2"/>
  <c r="AE620" i="2"/>
  <c r="S620" i="2"/>
  <c r="AD620" i="2"/>
  <c r="Z620" i="2"/>
  <c r="U376" i="12"/>
  <c r="U635" i="2"/>
  <c r="AP654" i="2"/>
  <c r="AK654" i="2"/>
  <c r="D96" i="7"/>
  <c r="D419" i="4"/>
  <c r="AR684" i="2"/>
  <c r="AQ684" i="2"/>
  <c r="E472" i="12"/>
  <c r="E528" i="12"/>
  <c r="D113" i="5"/>
  <c r="D232" i="4"/>
  <c r="AA471" i="2"/>
  <c r="U568" i="12"/>
  <c r="E311" i="12"/>
  <c r="AA481" i="2"/>
  <c r="Y483" i="2"/>
  <c r="U390" i="12"/>
  <c r="E225" i="12"/>
  <c r="D88" i="6"/>
  <c r="D284" i="4"/>
  <c r="AA491" i="2"/>
  <c r="Y493" i="2"/>
  <c r="X494" i="2"/>
  <c r="U520" i="12"/>
  <c r="W495" i="2"/>
  <c r="E616" i="12"/>
  <c r="AA501" i="2"/>
  <c r="Y503" i="2"/>
  <c r="X504" i="2"/>
  <c r="U305" i="12"/>
  <c r="W505" i="2"/>
  <c r="Z507" i="2"/>
  <c r="AD508" i="2"/>
  <c r="T508" i="2"/>
  <c r="AB508" i="2"/>
  <c r="E527" i="12"/>
  <c r="Z516" i="2"/>
  <c r="AB517" i="2"/>
  <c r="W523" i="2"/>
  <c r="U379" i="12"/>
  <c r="Y524" i="2"/>
  <c r="U597" i="12"/>
  <c r="AA527" i="2"/>
  <c r="U626" i="12"/>
  <c r="Z529" i="2"/>
  <c r="D79" i="7"/>
  <c r="D333" i="4"/>
  <c r="AC530" i="2"/>
  <c r="S530" i="2"/>
  <c r="AB530" i="2"/>
  <c r="AD530" i="2"/>
  <c r="U466" i="12"/>
  <c r="AA536" i="2"/>
  <c r="U334" i="12"/>
  <c r="Z538" i="2"/>
  <c r="D341" i="4"/>
  <c r="D81" i="7"/>
  <c r="AC539" i="2"/>
  <c r="S539" i="2"/>
  <c r="AB539" i="2"/>
  <c r="AD539" i="2"/>
  <c r="AB542" i="2"/>
  <c r="AB544" i="2"/>
  <c r="D83" i="7"/>
  <c r="D348" i="4"/>
  <c r="U489" i="12"/>
  <c r="B210" i="8"/>
  <c r="AC562" i="2"/>
  <c r="X562" i="2"/>
  <c r="W562" i="2"/>
  <c r="V562" i="2"/>
  <c r="AE562" i="2"/>
  <c r="D134" i="5"/>
  <c r="D274" i="4"/>
  <c r="D86" i="7"/>
  <c r="D356" i="4"/>
  <c r="B98" i="6"/>
  <c r="B320" i="4"/>
  <c r="B132" i="5"/>
  <c r="B272" i="4"/>
  <c r="E302" i="12"/>
  <c r="Z572" i="2"/>
  <c r="AC572" i="2"/>
  <c r="AA572" i="2"/>
  <c r="Y572" i="2"/>
  <c r="X572" i="2"/>
  <c r="W572" i="2"/>
  <c r="AG572" i="2"/>
  <c r="V572" i="2"/>
  <c r="X576" i="2"/>
  <c r="W576" i="2"/>
  <c r="AC576" i="2"/>
  <c r="D138" i="5"/>
  <c r="D281" i="4"/>
  <c r="E482" i="12"/>
  <c r="AB586" i="2"/>
  <c r="E422" i="12"/>
  <c r="AA604" i="2"/>
  <c r="AF612" i="2"/>
  <c r="V612" i="2"/>
  <c r="AB612" i="2"/>
  <c r="Z612" i="2"/>
  <c r="Y612" i="2"/>
  <c r="X612" i="2"/>
  <c r="W612" i="2"/>
  <c r="AG612" i="2"/>
  <c r="T612" i="2"/>
  <c r="AE612" i="2"/>
  <c r="S612" i="2"/>
  <c r="AA612" i="2"/>
  <c r="AB623" i="2"/>
  <c r="U474" i="12"/>
  <c r="U639" i="2"/>
  <c r="W643" i="2"/>
  <c r="V643" i="2"/>
  <c r="X643" i="2"/>
  <c r="T643" i="2"/>
  <c r="S643" i="2"/>
  <c r="AE643" i="2"/>
  <c r="E633" i="12"/>
  <c r="AE655" i="2"/>
  <c r="B62" i="9"/>
  <c r="Y670" i="2"/>
  <c r="X670" i="2"/>
  <c r="AE670" i="2"/>
  <c r="AD670" i="2"/>
  <c r="T670" i="2"/>
  <c r="AB670" i="2"/>
  <c r="AA670" i="2"/>
  <c r="Z670" i="2"/>
  <c r="W670" i="2"/>
  <c r="V670" i="2"/>
  <c r="S670" i="2"/>
  <c r="AC670" i="2"/>
  <c r="U691" i="2"/>
  <c r="E336" i="12"/>
  <c r="D105" i="5"/>
  <c r="D214" i="4"/>
  <c r="AA435" i="2"/>
  <c r="U229" i="12"/>
  <c r="V440" i="2"/>
  <c r="AF440" i="2"/>
  <c r="E559" i="12"/>
  <c r="D62" i="7"/>
  <c r="D279" i="4"/>
  <c r="AA445" i="2"/>
  <c r="V449" i="2"/>
  <c r="AF449" i="2"/>
  <c r="V457" i="2"/>
  <c r="AF457" i="2"/>
  <c r="E358" i="12"/>
  <c r="D110" i="5"/>
  <c r="D227" i="4"/>
  <c r="AA462" i="2"/>
  <c r="U567" i="12"/>
  <c r="V467" i="2"/>
  <c r="AF467" i="2"/>
  <c r="E286" i="12"/>
  <c r="AB471" i="2"/>
  <c r="D67" i="7"/>
  <c r="D295" i="4"/>
  <c r="AA472" i="2"/>
  <c r="U456" i="12"/>
  <c r="V477" i="2"/>
  <c r="AF477" i="2"/>
  <c r="S480" i="2"/>
  <c r="AC480" i="2"/>
  <c r="E535" i="12"/>
  <c r="AB481" i="2"/>
  <c r="D116" i="5"/>
  <c r="D239" i="4"/>
  <c r="AA482" i="2"/>
  <c r="Z483" i="2"/>
  <c r="B72" i="7"/>
  <c r="B312" i="4"/>
  <c r="U353" i="12"/>
  <c r="V487" i="2"/>
  <c r="AF487" i="2"/>
  <c r="S490" i="2"/>
  <c r="AC490" i="2"/>
  <c r="E335" i="12"/>
  <c r="AB491" i="2"/>
  <c r="AA492" i="2"/>
  <c r="Z493" i="2"/>
  <c r="Y494" i="2"/>
  <c r="U282" i="12"/>
  <c r="V497" i="2"/>
  <c r="AF497" i="2"/>
  <c r="S500" i="2"/>
  <c r="AC500" i="2"/>
  <c r="E525" i="12"/>
  <c r="AB501" i="2"/>
  <c r="AA502" i="2"/>
  <c r="Z503" i="2"/>
  <c r="B255" i="4"/>
  <c r="B122" i="5"/>
  <c r="Y504" i="2"/>
  <c r="U609" i="12"/>
  <c r="B121" i="5"/>
  <c r="B251" i="4"/>
  <c r="AA507" i="2"/>
  <c r="D74" i="7"/>
  <c r="D317" i="4"/>
  <c r="E411" i="12"/>
  <c r="AC508" i="2"/>
  <c r="T509" i="2"/>
  <c r="AE509" i="2"/>
  <c r="V513" i="2"/>
  <c r="AG513" i="2"/>
  <c r="B75" i="7"/>
  <c r="B325" i="4"/>
  <c r="D94" i="6"/>
  <c r="D298" i="4"/>
  <c r="E339" i="12"/>
  <c r="AC517" i="2"/>
  <c r="V520" i="2"/>
  <c r="AG520" i="2"/>
  <c r="U601" i="12"/>
  <c r="Z524" i="2"/>
  <c r="X525" i="2"/>
  <c r="AG525" i="2"/>
  <c r="W525" i="2"/>
  <c r="AC525" i="2"/>
  <c r="AA529" i="2"/>
  <c r="AE530" i="2"/>
  <c r="X534" i="2"/>
  <c r="AG534" i="2"/>
  <c r="W534" i="2"/>
  <c r="AC534" i="2"/>
  <c r="AA538" i="2"/>
  <c r="AE539" i="2"/>
  <c r="AP543" i="2"/>
  <c r="U371" i="12"/>
  <c r="W552" i="2"/>
  <c r="B48" i="9"/>
  <c r="AM559" i="2"/>
  <c r="AB561" i="2"/>
  <c r="AC561" i="2"/>
  <c r="Y561" i="2"/>
  <c r="X561" i="2"/>
  <c r="W561" i="2"/>
  <c r="AG561" i="2"/>
  <c r="V561" i="2"/>
  <c r="AC569" i="2"/>
  <c r="S569" i="2"/>
  <c r="AA569" i="2"/>
  <c r="X569" i="2"/>
  <c r="W569" i="2"/>
  <c r="AG569" i="2"/>
  <c r="V569" i="2"/>
  <c r="AF569" i="2"/>
  <c r="E432" i="12"/>
  <c r="U581" i="2"/>
  <c r="S587" i="2"/>
  <c r="D103" i="6"/>
  <c r="D346" i="4"/>
  <c r="B144" i="5"/>
  <c r="B299" i="4"/>
  <c r="AC604" i="2"/>
  <c r="U605" i="2"/>
  <c r="AL613" i="2"/>
  <c r="AA620" i="2"/>
  <c r="AD623" i="2"/>
  <c r="D152" i="5"/>
  <c r="D313" i="4"/>
  <c r="D164" i="5"/>
  <c r="D338" i="4"/>
  <c r="U649" i="2"/>
  <c r="AF655" i="2"/>
  <c r="AL657" i="2"/>
  <c r="U434" i="12"/>
  <c r="B290" i="4"/>
  <c r="B65" i="7"/>
  <c r="U407" i="12"/>
  <c r="E313" i="12"/>
  <c r="AA483" i="2"/>
  <c r="B87" i="6"/>
  <c r="B275" i="4"/>
  <c r="U377" i="12"/>
  <c r="E591" i="12"/>
  <c r="AA493" i="2"/>
  <c r="Z494" i="2"/>
  <c r="B118" i="5"/>
  <c r="B243" i="4"/>
  <c r="U348" i="12"/>
  <c r="E387" i="12"/>
  <c r="AA503" i="2"/>
  <c r="Z504" i="2"/>
  <c r="AB507" i="2"/>
  <c r="U426" i="12"/>
  <c r="AF516" i="2"/>
  <c r="V516" i="2"/>
  <c r="AB516" i="2"/>
  <c r="U517" i="2"/>
  <c r="U347" i="12"/>
  <c r="U550" i="12"/>
  <c r="U627" i="12"/>
  <c r="AA524" i="2"/>
  <c r="E635" i="12"/>
  <c r="B78" i="7"/>
  <c r="B331" i="4"/>
  <c r="AF527" i="2"/>
  <c r="V527" i="2"/>
  <c r="AE527" i="2"/>
  <c r="AC527" i="2"/>
  <c r="T530" i="2"/>
  <c r="AF530" i="2"/>
  <c r="U517" i="12"/>
  <c r="E650" i="12"/>
  <c r="B268" i="4"/>
  <c r="B129" i="5"/>
  <c r="AF536" i="2"/>
  <c r="V536" i="2"/>
  <c r="AE536" i="2"/>
  <c r="AC536" i="2"/>
  <c r="B123" i="5"/>
  <c r="B258" i="4"/>
  <c r="Z542" i="2"/>
  <c r="Y542" i="2"/>
  <c r="AG542" i="2"/>
  <c r="W542" i="2"/>
  <c r="AD542" i="2"/>
  <c r="AG544" i="2"/>
  <c r="W544" i="2"/>
  <c r="AF544" i="2"/>
  <c r="V544" i="2"/>
  <c r="AD544" i="2"/>
  <c r="T544" i="2"/>
  <c r="AE544" i="2"/>
  <c r="B126" i="5"/>
  <c r="B263" i="4"/>
  <c r="U443" i="12"/>
  <c r="AF558" i="2"/>
  <c r="V558" i="2"/>
  <c r="AA558" i="2"/>
  <c r="X558" i="2"/>
  <c r="W558" i="2"/>
  <c r="AG558" i="2"/>
  <c r="AE558" i="2"/>
  <c r="T558" i="2"/>
  <c r="E654" i="12"/>
  <c r="U354" i="12"/>
  <c r="D87" i="7"/>
  <c r="D367" i="4"/>
  <c r="U495" i="12"/>
  <c r="W608" i="2"/>
  <c r="X608" i="2"/>
  <c r="V608" i="2"/>
  <c r="T608" i="2"/>
  <c r="AE608" i="2"/>
  <c r="S608" i="2"/>
  <c r="AC608" i="2"/>
  <c r="W657" i="12"/>
  <c r="AM611" i="2"/>
  <c r="AP611" i="2"/>
  <c r="AO611" i="2"/>
  <c r="AN611" i="2"/>
  <c r="AK611" i="2"/>
  <c r="B112" i="6"/>
  <c r="B368" i="4"/>
  <c r="B307" i="4"/>
  <c r="B147" i="5"/>
  <c r="AC620" i="2"/>
  <c r="U621" i="2"/>
  <c r="U624" i="2"/>
  <c r="U593" i="12"/>
  <c r="U630" i="12"/>
  <c r="AF670" i="2"/>
  <c r="AA494" i="2"/>
  <c r="B89" i="6"/>
  <c r="B288" i="4"/>
  <c r="U392" i="12"/>
  <c r="E620" i="12"/>
  <c r="D122" i="5"/>
  <c r="D255" i="4"/>
  <c r="AA504" i="2"/>
  <c r="B90" i="6"/>
  <c r="B292" i="4"/>
  <c r="D121" i="5"/>
  <c r="D251" i="4"/>
  <c r="E395" i="12"/>
  <c r="U331" i="12"/>
  <c r="D75" i="7"/>
  <c r="D325" i="4"/>
  <c r="E492" i="12"/>
  <c r="U639" i="12"/>
  <c r="AB524" i="2"/>
  <c r="E414" i="12"/>
  <c r="AD529" i="2"/>
  <c r="T529" i="2"/>
  <c r="AC529" i="2"/>
  <c r="S529" i="2"/>
  <c r="AE529" i="2"/>
  <c r="E370" i="12"/>
  <c r="AD538" i="2"/>
  <c r="T538" i="2"/>
  <c r="AC538" i="2"/>
  <c r="S538" i="2"/>
  <c r="AE538" i="2"/>
  <c r="E364" i="12"/>
  <c r="B259" i="4"/>
  <c r="B124" i="5"/>
  <c r="E258" i="12"/>
  <c r="U258" i="12"/>
  <c r="U587" i="12"/>
  <c r="E645" i="12"/>
  <c r="B85" i="7"/>
  <c r="B353" i="4"/>
  <c r="E459" i="12"/>
  <c r="W676" i="12"/>
  <c r="AP563" i="2"/>
  <c r="U386" i="12"/>
  <c r="B105" i="6"/>
  <c r="B350" i="4"/>
  <c r="AD597" i="2"/>
  <c r="T597" i="2"/>
  <c r="Z597" i="2"/>
  <c r="Y597" i="2"/>
  <c r="X597" i="2"/>
  <c r="W597" i="2"/>
  <c r="V597" i="2"/>
  <c r="AG597" i="2"/>
  <c r="AF597" i="2"/>
  <c r="S597" i="2"/>
  <c r="AE597" i="2"/>
  <c r="AA597" i="2"/>
  <c r="Z601" i="2"/>
  <c r="AF601" i="2"/>
  <c r="V601" i="2"/>
  <c r="AA601" i="2"/>
  <c r="Y601" i="2"/>
  <c r="X601" i="2"/>
  <c r="W601" i="2"/>
  <c r="AG601" i="2"/>
  <c r="T601" i="2"/>
  <c r="AE601" i="2"/>
  <c r="S601" i="2"/>
  <c r="AB601" i="2"/>
  <c r="B51" i="9"/>
  <c r="D360" i="4"/>
  <c r="D108" i="6"/>
  <c r="U583" i="12"/>
  <c r="E532" i="12"/>
  <c r="B118" i="6"/>
  <c r="B391" i="4"/>
  <c r="U633" i="12"/>
  <c r="D169" i="5"/>
  <c r="D349" i="4"/>
  <c r="AG670" i="2"/>
  <c r="B99" i="5"/>
  <c r="B201" i="4"/>
  <c r="U504" i="12"/>
  <c r="E337" i="12"/>
  <c r="AA409" i="2"/>
  <c r="U561" i="12"/>
  <c r="E579" i="12"/>
  <c r="AA419" i="2"/>
  <c r="U436" i="12"/>
  <c r="E262" i="12"/>
  <c r="D104" i="5"/>
  <c r="D213" i="4"/>
  <c r="AA428" i="2"/>
  <c r="U277" i="12"/>
  <c r="V433" i="2"/>
  <c r="AF433" i="2"/>
  <c r="T435" i="2"/>
  <c r="AD435" i="2"/>
  <c r="E501" i="12"/>
  <c r="D216" i="4"/>
  <c r="D107" i="5"/>
  <c r="AA438" i="2"/>
  <c r="B61" i="7"/>
  <c r="B276" i="4"/>
  <c r="Y440" i="2"/>
  <c r="U586" i="12"/>
  <c r="V443" i="2"/>
  <c r="AF443" i="2"/>
  <c r="T445" i="2"/>
  <c r="AD445" i="2"/>
  <c r="Y449" i="2"/>
  <c r="U533" i="12"/>
  <c r="V452" i="2"/>
  <c r="AF452" i="2"/>
  <c r="B83" i="6"/>
  <c r="B261" i="4"/>
  <c r="Y457" i="2"/>
  <c r="U270" i="12"/>
  <c r="V460" i="2"/>
  <c r="AF460" i="2"/>
  <c r="T462" i="2"/>
  <c r="AD462" i="2"/>
  <c r="E574" i="12"/>
  <c r="AA465" i="2"/>
  <c r="Y467" i="2"/>
  <c r="U163" i="12"/>
  <c r="V470" i="2"/>
  <c r="AF470" i="2"/>
  <c r="AE471" i="2"/>
  <c r="T472" i="2"/>
  <c r="U472" i="2" s="1"/>
  <c r="AD472" i="2"/>
  <c r="E568" i="12"/>
  <c r="D65" i="7"/>
  <c r="D290" i="4"/>
  <c r="AA475" i="2"/>
  <c r="B68" i="7"/>
  <c r="B300" i="4"/>
  <c r="Y477" i="2"/>
  <c r="U321" i="12"/>
  <c r="V480" i="2"/>
  <c r="AF480" i="2"/>
  <c r="U481" i="2"/>
  <c r="AE481" i="2"/>
  <c r="T482" i="2"/>
  <c r="AD482" i="2"/>
  <c r="S483" i="2"/>
  <c r="AC483" i="2"/>
  <c r="E390" i="12"/>
  <c r="D87" i="6"/>
  <c r="D275" i="4"/>
  <c r="AA485" i="2"/>
  <c r="Y487" i="2"/>
  <c r="U592" i="12"/>
  <c r="V490" i="2"/>
  <c r="AF490" i="2"/>
  <c r="U491" i="2"/>
  <c r="AE491" i="2"/>
  <c r="T492" i="2"/>
  <c r="AD492" i="2"/>
  <c r="S493" i="2"/>
  <c r="AC493" i="2"/>
  <c r="E520" i="12"/>
  <c r="AB494" i="2"/>
  <c r="D118" i="5"/>
  <c r="D243" i="4"/>
  <c r="AA495" i="2"/>
  <c r="B93" i="6"/>
  <c r="B297" i="4"/>
  <c r="Y497" i="2"/>
  <c r="U351" i="12"/>
  <c r="V500" i="2"/>
  <c r="AF500" i="2"/>
  <c r="U501" i="2"/>
  <c r="AE501" i="2"/>
  <c r="T502" i="2"/>
  <c r="U502" i="2" s="1"/>
  <c r="AD502" i="2"/>
  <c r="S503" i="2"/>
  <c r="AC503" i="2"/>
  <c r="E305" i="12"/>
  <c r="AB504" i="2"/>
  <c r="AA505" i="2"/>
  <c r="AF506" i="2"/>
  <c r="V506" i="2"/>
  <c r="AB506" i="2"/>
  <c r="S507" i="2"/>
  <c r="AD507" i="2"/>
  <c r="V508" i="2"/>
  <c r="AG508" i="2"/>
  <c r="W509" i="2"/>
  <c r="U527" i="12"/>
  <c r="U300" i="12"/>
  <c r="U614" i="12"/>
  <c r="Z513" i="2"/>
  <c r="AG515" i="2"/>
  <c r="W515" i="2"/>
  <c r="AB515" i="2"/>
  <c r="S516" i="2"/>
  <c r="AD516" i="2"/>
  <c r="V517" i="2"/>
  <c r="AG517" i="2"/>
  <c r="Y520" i="2"/>
  <c r="AB523" i="2"/>
  <c r="E629" i="12"/>
  <c r="AC524" i="2"/>
  <c r="T525" i="2"/>
  <c r="U525" i="2" s="1"/>
  <c r="AF525" i="2"/>
  <c r="D78" i="7"/>
  <c r="D331" i="4"/>
  <c r="S527" i="2"/>
  <c r="AG527" i="2"/>
  <c r="E615" i="12"/>
  <c r="AF529" i="2"/>
  <c r="V530" i="2"/>
  <c r="U346" i="12"/>
  <c r="Y533" i="2"/>
  <c r="X533" i="2"/>
  <c r="AC533" i="2"/>
  <c r="T534" i="2"/>
  <c r="AF534" i="2"/>
  <c r="D129" i="5"/>
  <c r="D268" i="4"/>
  <c r="S536" i="2"/>
  <c r="AG536" i="2"/>
  <c r="D123" i="5"/>
  <c r="D258" i="4"/>
  <c r="E343" i="12"/>
  <c r="AF538" i="2"/>
  <c r="V539" i="2"/>
  <c r="U462" i="12"/>
  <c r="U454" i="12"/>
  <c r="D266" i="4"/>
  <c r="D128" i="5"/>
  <c r="S542" i="2"/>
  <c r="AF542" i="2"/>
  <c r="S544" i="2"/>
  <c r="E352" i="12"/>
  <c r="AC551" i="2"/>
  <c r="S551" i="2"/>
  <c r="Z551" i="2"/>
  <c r="Y551" i="2"/>
  <c r="AG551" i="2"/>
  <c r="W551" i="2"/>
  <c r="AF551" i="2"/>
  <c r="AC552" i="2"/>
  <c r="B84" i="7"/>
  <c r="B351" i="4"/>
  <c r="X556" i="2"/>
  <c r="AE556" i="2"/>
  <c r="AD556" i="2"/>
  <c r="T556" i="2"/>
  <c r="AC556" i="2"/>
  <c r="S556" i="2"/>
  <c r="AB556" i="2"/>
  <c r="S558" i="2"/>
  <c r="T560" i="2"/>
  <c r="D130" i="5"/>
  <c r="D269" i="4"/>
  <c r="T561" i="2"/>
  <c r="T562" i="2"/>
  <c r="U562" i="2" s="1"/>
  <c r="AK563" i="2"/>
  <c r="B218" i="8"/>
  <c r="Y569" i="2"/>
  <c r="U572" i="2"/>
  <c r="B219" i="8"/>
  <c r="D140" i="5"/>
  <c r="D283" i="4"/>
  <c r="AE587" i="2"/>
  <c r="E350" i="12"/>
  <c r="E451" i="12"/>
  <c r="AQ637" i="2"/>
  <c r="D118" i="6"/>
  <c r="D391" i="4"/>
  <c r="B60" i="9"/>
  <c r="E551" i="12"/>
  <c r="B95" i="5"/>
  <c r="B191" i="4"/>
  <c r="U491" i="12"/>
  <c r="E496" i="12"/>
  <c r="U260" i="12"/>
  <c r="E480" i="12"/>
  <c r="U478" i="12"/>
  <c r="E570" i="12"/>
  <c r="U590" i="12"/>
  <c r="E565" i="12"/>
  <c r="E245" i="12"/>
  <c r="B108" i="5"/>
  <c r="B223" i="4"/>
  <c r="U254" i="12"/>
  <c r="W433" i="2"/>
  <c r="E229" i="12"/>
  <c r="D82" i="6"/>
  <c r="D256" i="4"/>
  <c r="U604" i="12"/>
  <c r="W443" i="2"/>
  <c r="U575" i="12"/>
  <c r="W452" i="2"/>
  <c r="D84" i="6"/>
  <c r="D262" i="4"/>
  <c r="B109" i="5"/>
  <c r="B224" i="4"/>
  <c r="U631" i="12"/>
  <c r="W460" i="2"/>
  <c r="E567" i="12"/>
  <c r="D85" i="6"/>
  <c r="D265" i="4"/>
  <c r="B111" i="5"/>
  <c r="B229" i="4"/>
  <c r="U280" i="12"/>
  <c r="W470" i="2"/>
  <c r="V471" i="2"/>
  <c r="E456" i="12"/>
  <c r="D66" i="7"/>
  <c r="D291" i="4"/>
  <c r="B114" i="5"/>
  <c r="B235" i="4"/>
  <c r="U582" i="12"/>
  <c r="W480" i="2"/>
  <c r="V481" i="2"/>
  <c r="T483" i="2"/>
  <c r="E353" i="12"/>
  <c r="D71" i="7"/>
  <c r="D306" i="4"/>
  <c r="U293" i="12"/>
  <c r="W490" i="2"/>
  <c r="V491" i="2"/>
  <c r="T493" i="2"/>
  <c r="S494" i="2"/>
  <c r="E282" i="12"/>
  <c r="D89" i="6"/>
  <c r="D288" i="4"/>
  <c r="B73" i="7"/>
  <c r="B314" i="4"/>
  <c r="U285" i="12"/>
  <c r="W500" i="2"/>
  <c r="V501" i="2"/>
  <c r="T503" i="2"/>
  <c r="S504" i="2"/>
  <c r="E609" i="12"/>
  <c r="D90" i="6"/>
  <c r="D292" i="4"/>
  <c r="E330" i="12"/>
  <c r="AC506" i="2"/>
  <c r="T507" i="2"/>
  <c r="AF507" i="2"/>
  <c r="W508" i="2"/>
  <c r="U411" i="12"/>
  <c r="X509" i="2"/>
  <c r="AA513" i="2"/>
  <c r="X514" i="2"/>
  <c r="AB514" i="2"/>
  <c r="E585" i="12"/>
  <c r="AC515" i="2"/>
  <c r="T516" i="2"/>
  <c r="AE516" i="2"/>
  <c r="W517" i="2"/>
  <c r="U339" i="12"/>
  <c r="B76" i="7"/>
  <c r="B327" i="4"/>
  <c r="Z520" i="2"/>
  <c r="AB522" i="2"/>
  <c r="D77" i="7"/>
  <c r="D329" i="4"/>
  <c r="E379" i="12"/>
  <c r="AC523" i="2"/>
  <c r="S524" i="2"/>
  <c r="AD524" i="2"/>
  <c r="T527" i="2"/>
  <c r="U414" i="12"/>
  <c r="AG529" i="2"/>
  <c r="W530" i="2"/>
  <c r="D70" i="7"/>
  <c r="D95" i="6"/>
  <c r="D302" i="4"/>
  <c r="E345" i="12"/>
  <c r="AD533" i="2"/>
  <c r="U534" i="2"/>
  <c r="T536" i="2"/>
  <c r="U370" i="12"/>
  <c r="AG538" i="2"/>
  <c r="W539" i="2"/>
  <c r="T542" i="2"/>
  <c r="U364" i="12"/>
  <c r="D124" i="5"/>
  <c r="D259" i="4"/>
  <c r="B260" i="4"/>
  <c r="B125" i="5"/>
  <c r="AF545" i="2"/>
  <c r="V545" i="2"/>
  <c r="AE545" i="2"/>
  <c r="AC545" i="2"/>
  <c r="S545" i="2"/>
  <c r="AG545" i="2"/>
  <c r="U352" i="12"/>
  <c r="S549" i="2"/>
  <c r="E608" i="12"/>
  <c r="U608" i="12"/>
  <c r="AD552" i="2"/>
  <c r="U573" i="12"/>
  <c r="Y555" i="2"/>
  <c r="AF555" i="2"/>
  <c r="V555" i="2"/>
  <c r="AE555" i="2"/>
  <c r="AD555" i="2"/>
  <c r="T555" i="2"/>
  <c r="AC555" i="2"/>
  <c r="S555" i="2"/>
  <c r="B97" i="6"/>
  <c r="B315" i="4"/>
  <c r="AG557" i="2"/>
  <c r="W557" i="2"/>
  <c r="Y557" i="2"/>
  <c r="AF557" i="2"/>
  <c r="AE557" i="2"/>
  <c r="T557" i="2"/>
  <c r="AD557" i="2"/>
  <c r="S557" i="2"/>
  <c r="AC557" i="2"/>
  <c r="Y558" i="2"/>
  <c r="AM563" i="2"/>
  <c r="AD568" i="2"/>
  <c r="T568" i="2"/>
  <c r="Z568" i="2"/>
  <c r="W568" i="2"/>
  <c r="AG568" i="2"/>
  <c r="V568" i="2"/>
  <c r="AF568" i="2"/>
  <c r="AE568" i="2"/>
  <c r="S568" i="2"/>
  <c r="Z569" i="2"/>
  <c r="AB572" i="2"/>
  <c r="AE577" i="2"/>
  <c r="Z577" i="2"/>
  <c r="Y577" i="2"/>
  <c r="X577" i="2"/>
  <c r="W577" i="2"/>
  <c r="AG577" i="2"/>
  <c r="V577" i="2"/>
  <c r="AF577" i="2"/>
  <c r="T577" i="2"/>
  <c r="AD577" i="2"/>
  <c r="S577" i="2"/>
  <c r="U589" i="2"/>
  <c r="U595" i="2"/>
  <c r="AB597" i="2"/>
  <c r="AC601" i="2"/>
  <c r="B53" i="9"/>
  <c r="D364" i="4"/>
  <c r="D111" i="6"/>
  <c r="U631" i="2"/>
  <c r="B166" i="5"/>
  <c r="B340" i="4"/>
  <c r="U611" i="12"/>
  <c r="U663" i="2"/>
  <c r="U667" i="2"/>
  <c r="W717" i="12"/>
  <c r="AN678" i="2"/>
  <c r="AM678" i="2"/>
  <c r="AP678" i="2"/>
  <c r="AO678" i="2"/>
  <c r="AK678" i="2"/>
  <c r="B180" i="5"/>
  <c r="B377" i="4"/>
  <c r="Y592" i="2"/>
  <c r="AE592" i="2"/>
  <c r="AC592" i="2"/>
  <c r="U599" i="12"/>
  <c r="D142" i="5"/>
  <c r="D289" i="4"/>
  <c r="E433" i="12"/>
  <c r="E384" i="12"/>
  <c r="B108" i="6"/>
  <c r="B360" i="4"/>
  <c r="Z609" i="2"/>
  <c r="AF609" i="2"/>
  <c r="V609" i="2"/>
  <c r="AC609" i="2"/>
  <c r="U401" i="12"/>
  <c r="B364" i="4"/>
  <c r="B111" i="6"/>
  <c r="W666" i="12"/>
  <c r="AO617" i="2"/>
  <c r="D114" i="6"/>
  <c r="D372" i="4"/>
  <c r="E500" i="12"/>
  <c r="E448" i="12"/>
  <c r="Y627" i="2"/>
  <c r="AE627" i="2"/>
  <c r="AD627" i="2"/>
  <c r="T627" i="2"/>
  <c r="AF627" i="2"/>
  <c r="D160" i="5"/>
  <c r="D328" i="4"/>
  <c r="E521" i="12"/>
  <c r="D155" i="5"/>
  <c r="D319" i="4"/>
  <c r="E446" i="12"/>
  <c r="E483" i="12"/>
  <c r="AD641" i="2"/>
  <c r="T641" i="2"/>
  <c r="U641" i="2" s="1"/>
  <c r="Z641" i="2"/>
  <c r="Y641" i="2"/>
  <c r="AE641" i="2"/>
  <c r="AR642" i="2"/>
  <c r="AQ642" i="2"/>
  <c r="Y645" i="2"/>
  <c r="AE645" i="2"/>
  <c r="AD645" i="2"/>
  <c r="T645" i="2"/>
  <c r="U645" i="2" s="1"/>
  <c r="AF645" i="2"/>
  <c r="D93" i="7"/>
  <c r="D410" i="4"/>
  <c r="E450" i="12"/>
  <c r="D167" i="5"/>
  <c r="D342" i="4"/>
  <c r="E391" i="12"/>
  <c r="Z653" i="2"/>
  <c r="AF653" i="2"/>
  <c r="V653" i="2"/>
  <c r="AE653" i="2"/>
  <c r="AD653" i="2"/>
  <c r="B169" i="5"/>
  <c r="B349" i="4"/>
  <c r="AC658" i="2"/>
  <c r="S658" i="2"/>
  <c r="Y658" i="2"/>
  <c r="X658" i="2"/>
  <c r="AE658" i="2"/>
  <c r="D393" i="4"/>
  <c r="D120" i="6"/>
  <c r="E427" i="12"/>
  <c r="E434" i="12"/>
  <c r="D122" i="6"/>
  <c r="D397" i="4"/>
  <c r="B419" i="4"/>
  <c r="B96" i="7"/>
  <c r="E630" i="12"/>
  <c r="E516" i="12"/>
  <c r="B189" i="5"/>
  <c r="B388" i="4"/>
  <c r="AR699" i="2"/>
  <c r="AQ699" i="2"/>
  <c r="X703" i="2"/>
  <c r="AG703" i="2"/>
  <c r="W703" i="2"/>
  <c r="AF703" i="2"/>
  <c r="V703" i="2"/>
  <c r="AE703" i="2"/>
  <c r="AD703" i="2"/>
  <c r="T703" i="2"/>
  <c r="AC703" i="2"/>
  <c r="S703" i="2"/>
  <c r="AB703" i="2"/>
  <c r="Y703" i="2"/>
  <c r="O109" i="3"/>
  <c r="Y109" i="3"/>
  <c r="K109" i="3"/>
  <c r="U109" i="3"/>
  <c r="Q144" i="3"/>
  <c r="P144" i="3"/>
  <c r="Q231" i="3"/>
  <c r="P231" i="3"/>
  <c r="B200" i="5"/>
  <c r="B411" i="4"/>
  <c r="X315" i="3"/>
  <c r="D199" i="5"/>
  <c r="D406" i="4"/>
  <c r="D203" i="5"/>
  <c r="D417" i="4"/>
  <c r="U628" i="12"/>
  <c r="AL727" i="2"/>
  <c r="Q115" i="3"/>
  <c r="P115" i="3"/>
  <c r="Q347" i="3"/>
  <c r="P347" i="3"/>
  <c r="U647" i="12"/>
  <c r="E489" i="12"/>
  <c r="D126" i="5"/>
  <c r="D263" i="4"/>
  <c r="AA547" i="2"/>
  <c r="U651" i="12"/>
  <c r="AE553" i="2"/>
  <c r="E416" i="12"/>
  <c r="D97" i="6"/>
  <c r="D315" i="4"/>
  <c r="E443" i="12"/>
  <c r="V560" i="2"/>
  <c r="AG560" i="2"/>
  <c r="AE567" i="2"/>
  <c r="AB567" i="2"/>
  <c r="AF570" i="2"/>
  <c r="W573" i="2"/>
  <c r="U618" i="12"/>
  <c r="AF576" i="2"/>
  <c r="V576" i="2"/>
  <c r="AB576" i="2"/>
  <c r="T580" i="2"/>
  <c r="AE580" i="2"/>
  <c r="AF581" i="2"/>
  <c r="V582" i="2"/>
  <c r="AG582" i="2"/>
  <c r="W583" i="2"/>
  <c r="E637" i="12"/>
  <c r="V588" i="2"/>
  <c r="AG588" i="2"/>
  <c r="V589" i="2"/>
  <c r="AG589" i="2"/>
  <c r="T592" i="2"/>
  <c r="U592" i="2" s="1"/>
  <c r="AG592" i="2"/>
  <c r="AG594" i="2"/>
  <c r="W594" i="2"/>
  <c r="AC594" i="2"/>
  <c r="S594" i="2"/>
  <c r="AD594" i="2"/>
  <c r="U653" i="12"/>
  <c r="D88" i="7"/>
  <c r="D375" i="4"/>
  <c r="E549" i="12"/>
  <c r="V598" i="2"/>
  <c r="U433" i="12"/>
  <c r="B143" i="5"/>
  <c r="B296" i="4"/>
  <c r="X602" i="2"/>
  <c r="W701" i="12"/>
  <c r="AM603" i="2"/>
  <c r="D144" i="5"/>
  <c r="D299" i="4"/>
  <c r="V605" i="2"/>
  <c r="U384" i="12"/>
  <c r="B110" i="6"/>
  <c r="B362" i="4"/>
  <c r="T609" i="2"/>
  <c r="U609" i="2" s="1"/>
  <c r="AG609" i="2"/>
  <c r="AP613" i="2"/>
  <c r="W614" i="2"/>
  <c r="B146" i="5"/>
  <c r="B304" i="4"/>
  <c r="AM617" i="2"/>
  <c r="V618" i="2"/>
  <c r="D147" i="5"/>
  <c r="D307" i="4"/>
  <c r="V621" i="2"/>
  <c r="U448" i="12"/>
  <c r="D150" i="5"/>
  <c r="D310" i="4"/>
  <c r="E372" i="12"/>
  <c r="AG624" i="2"/>
  <c r="V627" i="2"/>
  <c r="B154" i="5"/>
  <c r="B318" i="4"/>
  <c r="V629" i="2"/>
  <c r="B374" i="4"/>
  <c r="B115" i="6"/>
  <c r="AC630" i="2"/>
  <c r="U521" i="12"/>
  <c r="V633" i="2"/>
  <c r="B158" i="5"/>
  <c r="B323" i="4"/>
  <c r="U483" i="12"/>
  <c r="U438" i="12"/>
  <c r="U467" i="12"/>
  <c r="E421" i="12"/>
  <c r="Y644" i="2"/>
  <c r="D117" i="6"/>
  <c r="D387" i="4"/>
  <c r="V645" i="2"/>
  <c r="B339" i="4"/>
  <c r="B165" i="5"/>
  <c r="V647" i="2"/>
  <c r="B163" i="5"/>
  <c r="B337" i="4"/>
  <c r="AC648" i="2"/>
  <c r="U450" i="12"/>
  <c r="V651" i="2"/>
  <c r="T653" i="2"/>
  <c r="U653" i="2" s="1"/>
  <c r="W678" i="12"/>
  <c r="AN654" i="2"/>
  <c r="AM654" i="2"/>
  <c r="U425" i="12"/>
  <c r="W661" i="2"/>
  <c r="B174" i="5"/>
  <c r="B363" i="4"/>
  <c r="W668" i="2"/>
  <c r="V668" i="2"/>
  <c r="AC668" i="2"/>
  <c r="E355" i="12"/>
  <c r="AD674" i="2"/>
  <c r="T674" i="2"/>
  <c r="AC674" i="2"/>
  <c r="S674" i="2"/>
  <c r="Z674" i="2"/>
  <c r="Y674" i="2"/>
  <c r="X674" i="2"/>
  <c r="U555" i="12"/>
  <c r="U685" i="2"/>
  <c r="U700" i="2"/>
  <c r="D192" i="5"/>
  <c r="D396" i="4"/>
  <c r="AA703" i="2"/>
  <c r="U557" i="12"/>
  <c r="U726" i="2"/>
  <c r="X54" i="3"/>
  <c r="G109" i="3"/>
  <c r="X112" i="3" s="1"/>
  <c r="R109" i="3"/>
  <c r="N109" i="3"/>
  <c r="X109" i="3"/>
  <c r="Z109" i="3" s="1"/>
  <c r="Z225" i="3"/>
  <c r="Q405" i="3"/>
  <c r="P405" i="3"/>
  <c r="Q434" i="3"/>
  <c r="P434" i="3"/>
  <c r="U459" i="12"/>
  <c r="U378" i="12"/>
  <c r="U643" i="12"/>
  <c r="D135" i="5"/>
  <c r="D277" i="4"/>
  <c r="E333" i="12"/>
  <c r="U563" i="12"/>
  <c r="X573" i="2"/>
  <c r="B99" i="6"/>
  <c r="B326" i="4"/>
  <c r="B133" i="5"/>
  <c r="B273" i="4"/>
  <c r="E603" i="12"/>
  <c r="W582" i="2"/>
  <c r="U487" i="12"/>
  <c r="Y583" i="2"/>
  <c r="AF585" i="2"/>
  <c r="V585" i="2"/>
  <c r="AB585" i="2"/>
  <c r="U350" i="12"/>
  <c r="W589" i="2"/>
  <c r="U641" i="12"/>
  <c r="B347" i="4"/>
  <c r="B104" i="6"/>
  <c r="Z591" i="2"/>
  <c r="AF591" i="2"/>
  <c r="V591" i="2"/>
  <c r="AC591" i="2"/>
  <c r="V592" i="2"/>
  <c r="U498" i="12"/>
  <c r="D350" i="4"/>
  <c r="D105" i="6"/>
  <c r="E523" i="12"/>
  <c r="B106" i="6"/>
  <c r="B352" i="4"/>
  <c r="Z602" i="2"/>
  <c r="W605" i="2"/>
  <c r="E644" i="12"/>
  <c r="U417" i="12"/>
  <c r="X614" i="2"/>
  <c r="E373" i="12"/>
  <c r="AN617" i="2"/>
  <c r="W621" i="2"/>
  <c r="B153" i="5"/>
  <c r="B316" i="4"/>
  <c r="Z626" i="2"/>
  <c r="AF626" i="2"/>
  <c r="V626" i="2"/>
  <c r="AC626" i="2"/>
  <c r="W627" i="2"/>
  <c r="X628" i="2"/>
  <c r="AD628" i="2"/>
  <c r="T628" i="2"/>
  <c r="AC628" i="2"/>
  <c r="S628" i="2"/>
  <c r="AF628" i="2"/>
  <c r="AD632" i="2"/>
  <c r="T632" i="2"/>
  <c r="Z632" i="2"/>
  <c r="Y632" i="2"/>
  <c r="AE632" i="2"/>
  <c r="AB634" i="2"/>
  <c r="X634" i="2"/>
  <c r="AG634" i="2"/>
  <c r="W634" i="2"/>
  <c r="AD634" i="2"/>
  <c r="Z636" i="2"/>
  <c r="AF636" i="2"/>
  <c r="V636" i="2"/>
  <c r="AE636" i="2"/>
  <c r="AD636" i="2"/>
  <c r="B330" i="4"/>
  <c r="B161" i="5"/>
  <c r="V641" i="2"/>
  <c r="AA644" i="2"/>
  <c r="W645" i="2"/>
  <c r="X646" i="2"/>
  <c r="AD646" i="2"/>
  <c r="T646" i="2"/>
  <c r="AC646" i="2"/>
  <c r="S646" i="2"/>
  <c r="AF646" i="2"/>
  <c r="AD650" i="2"/>
  <c r="T650" i="2"/>
  <c r="Z650" i="2"/>
  <c r="Y650" i="2"/>
  <c r="AE650" i="2"/>
  <c r="W715" i="12"/>
  <c r="AK652" i="2"/>
  <c r="AP652" i="2"/>
  <c r="W653" i="2"/>
  <c r="V658" i="2"/>
  <c r="AG662" i="2"/>
  <c r="W662" i="2"/>
  <c r="AC662" i="2"/>
  <c r="S662" i="2"/>
  <c r="AB662" i="2"/>
  <c r="AE662" i="2"/>
  <c r="W663" i="2"/>
  <c r="B394" i="4"/>
  <c r="B121" i="6"/>
  <c r="AC666" i="2"/>
  <c r="S666" i="2"/>
  <c r="Y666" i="2"/>
  <c r="X666" i="2"/>
  <c r="AE666" i="2"/>
  <c r="V667" i="2"/>
  <c r="B173" i="5"/>
  <c r="B359" i="4"/>
  <c r="X669" i="2"/>
  <c r="B175" i="5"/>
  <c r="B365" i="4"/>
  <c r="X671" i="2"/>
  <c r="AG671" i="2"/>
  <c r="W671" i="2"/>
  <c r="AD671" i="2"/>
  <c r="T671" i="2"/>
  <c r="AC671" i="2"/>
  <c r="S671" i="2"/>
  <c r="E642" i="12"/>
  <c r="AC675" i="2"/>
  <c r="S675" i="2"/>
  <c r="AB675" i="2"/>
  <c r="Y675" i="2"/>
  <c r="X675" i="2"/>
  <c r="AG675" i="2"/>
  <c r="W675" i="2"/>
  <c r="AE676" i="2"/>
  <c r="U681" i="2"/>
  <c r="D185" i="5"/>
  <c r="D383" i="4"/>
  <c r="U430" i="12"/>
  <c r="E475" i="12"/>
  <c r="E602" i="12"/>
  <c r="D425" i="4"/>
  <c r="D208" i="5"/>
  <c r="B206" i="5"/>
  <c r="B423" i="4"/>
  <c r="I57" i="3"/>
  <c r="U315" i="3"/>
  <c r="Q376" i="3"/>
  <c r="P376" i="3"/>
  <c r="E300" i="12"/>
  <c r="B92" i="6"/>
  <c r="B294" i="4"/>
  <c r="U622" i="12"/>
  <c r="E550" i="12"/>
  <c r="B77" i="7"/>
  <c r="B329" i="4"/>
  <c r="U629" i="12"/>
  <c r="E346" i="12"/>
  <c r="W719" i="12"/>
  <c r="U345" i="12"/>
  <c r="E462" i="12"/>
  <c r="D82" i="7"/>
  <c r="D344" i="4"/>
  <c r="Z541" i="2"/>
  <c r="B128" i="5"/>
  <c r="B266" i="4"/>
  <c r="S547" i="2"/>
  <c r="AC547" i="2"/>
  <c r="E371" i="12"/>
  <c r="Z550" i="2"/>
  <c r="U613" i="12"/>
  <c r="W553" i="2"/>
  <c r="AG553" i="2"/>
  <c r="U645" i="12"/>
  <c r="X560" i="2"/>
  <c r="AF566" i="2"/>
  <c r="V566" i="2"/>
  <c r="AB566" i="2"/>
  <c r="S567" i="2"/>
  <c r="AD567" i="2"/>
  <c r="U654" i="12"/>
  <c r="W570" i="2"/>
  <c r="U361" i="12"/>
  <c r="U302" i="12"/>
  <c r="Z573" i="2"/>
  <c r="AA574" i="2"/>
  <c r="AG575" i="2"/>
  <c r="W575" i="2"/>
  <c r="AB575" i="2"/>
  <c r="S576" i="2"/>
  <c r="AD576" i="2"/>
  <c r="V580" i="2"/>
  <c r="W581" i="2"/>
  <c r="U482" i="12"/>
  <c r="X582" i="2"/>
  <c r="B137" i="5"/>
  <c r="B280" i="4"/>
  <c r="Z583" i="2"/>
  <c r="B136" i="5"/>
  <c r="B278" i="4"/>
  <c r="E625" i="12"/>
  <c r="AC585" i="2"/>
  <c r="U422" i="12"/>
  <c r="X588" i="2"/>
  <c r="X589" i="2"/>
  <c r="D104" i="6"/>
  <c r="D347" i="4"/>
  <c r="E542" i="12"/>
  <c r="AD591" i="2"/>
  <c r="W592" i="2"/>
  <c r="T594" i="2"/>
  <c r="AF594" i="2"/>
  <c r="X595" i="2"/>
  <c r="B224" i="8"/>
  <c r="X598" i="2"/>
  <c r="E393" i="12"/>
  <c r="U451" i="12"/>
  <c r="AA602" i="2"/>
  <c r="X605" i="2"/>
  <c r="W705" i="12"/>
  <c r="AM606" i="2"/>
  <c r="D110" i="6"/>
  <c r="D362" i="4"/>
  <c r="AB607" i="2"/>
  <c r="X607" i="2"/>
  <c r="AC607" i="2"/>
  <c r="W609" i="2"/>
  <c r="U471" i="12"/>
  <c r="Z614" i="2"/>
  <c r="D146" i="5"/>
  <c r="D304" i="4"/>
  <c r="AB615" i="2"/>
  <c r="X615" i="2"/>
  <c r="AC615" i="2"/>
  <c r="AP617" i="2"/>
  <c r="Y618" i="2"/>
  <c r="B113" i="6"/>
  <c r="B370" i="4"/>
  <c r="X621" i="2"/>
  <c r="B149" i="5"/>
  <c r="B309" i="4"/>
  <c r="AD622" i="2"/>
  <c r="T622" i="2"/>
  <c r="Z622" i="2"/>
  <c r="AC622" i="2"/>
  <c r="W624" i="2"/>
  <c r="D153" i="5"/>
  <c r="D316" i="4"/>
  <c r="E399" i="12"/>
  <c r="AD626" i="2"/>
  <c r="X627" i="2"/>
  <c r="D154" i="5"/>
  <c r="D318" i="4"/>
  <c r="E431" i="12"/>
  <c r="AG628" i="2"/>
  <c r="Y629" i="2"/>
  <c r="AE630" i="2"/>
  <c r="E410" i="12"/>
  <c r="AF632" i="2"/>
  <c r="Z633" i="2"/>
  <c r="D323" i="4"/>
  <c r="D158" i="5"/>
  <c r="AE634" i="2"/>
  <c r="B156" i="5"/>
  <c r="B321" i="4"/>
  <c r="E406" i="12"/>
  <c r="AG636" i="2"/>
  <c r="AG638" i="2"/>
  <c r="W638" i="2"/>
  <c r="AC638" i="2"/>
  <c r="S638" i="2"/>
  <c r="AB638" i="2"/>
  <c r="AE638" i="2"/>
  <c r="W639" i="2"/>
  <c r="B92" i="7"/>
  <c r="B408" i="4"/>
  <c r="W641" i="2"/>
  <c r="W663" i="12"/>
  <c r="AB644" i="2"/>
  <c r="X645" i="2"/>
  <c r="D165" i="5"/>
  <c r="D339" i="4"/>
  <c r="E388" i="12"/>
  <c r="AG646" i="2"/>
  <c r="Y647" i="2"/>
  <c r="AE648" i="2"/>
  <c r="E547" i="12"/>
  <c r="AF650" i="2"/>
  <c r="Z651" i="2"/>
  <c r="X653" i="2"/>
  <c r="B119" i="6"/>
  <c r="B392" i="4"/>
  <c r="W658" i="2"/>
  <c r="W710" i="12"/>
  <c r="AK659" i="2"/>
  <c r="AP659" i="2"/>
  <c r="Z661" i="2"/>
  <c r="D174" i="5"/>
  <c r="D363" i="4"/>
  <c r="AF662" i="2"/>
  <c r="X663" i="2"/>
  <c r="E552" i="12"/>
  <c r="X665" i="2"/>
  <c r="D400" i="4"/>
  <c r="D123" i="6"/>
  <c r="E605" i="12"/>
  <c r="AF666" i="2"/>
  <c r="Y667" i="2"/>
  <c r="E447" i="12"/>
  <c r="AE668" i="2"/>
  <c r="Y669" i="2"/>
  <c r="D171" i="5"/>
  <c r="D357" i="4"/>
  <c r="E546" i="12"/>
  <c r="D124" i="6"/>
  <c r="D407" i="4"/>
  <c r="B125" i="6"/>
  <c r="B409" i="4"/>
  <c r="AC683" i="2"/>
  <c r="S683" i="2"/>
  <c r="AB683" i="2"/>
  <c r="Z683" i="2"/>
  <c r="Y683" i="2"/>
  <c r="X683" i="2"/>
  <c r="AG683" i="2"/>
  <c r="W683" i="2"/>
  <c r="AD683" i="2"/>
  <c r="T683" i="2"/>
  <c r="W686" i="12"/>
  <c r="AP686" i="2"/>
  <c r="AO686" i="2"/>
  <c r="AN686" i="2"/>
  <c r="AM686" i="2"/>
  <c r="U594" i="12"/>
  <c r="D193" i="5"/>
  <c r="D398" i="4"/>
  <c r="B191" i="5"/>
  <c r="B395" i="4"/>
  <c r="U710" i="2"/>
  <c r="U444" i="12"/>
  <c r="U718" i="2"/>
  <c r="N51" i="3"/>
  <c r="X51" i="3"/>
  <c r="J57" i="3"/>
  <c r="G86" i="3"/>
  <c r="X83" i="3" s="1"/>
  <c r="Z196" i="3"/>
  <c r="Z283" i="3"/>
  <c r="Q289" i="3"/>
  <c r="Z341" i="3"/>
  <c r="U402" i="3"/>
  <c r="U635" i="12"/>
  <c r="B70" i="7"/>
  <c r="B302" i="4"/>
  <c r="B95" i="6"/>
  <c r="U650" i="12"/>
  <c r="E454" i="12"/>
  <c r="T547" i="2"/>
  <c r="E600" i="12"/>
  <c r="X553" i="2"/>
  <c r="U404" i="12"/>
  <c r="B130" i="5"/>
  <c r="B269" i="4"/>
  <c r="B274" i="4"/>
  <c r="B134" i="5"/>
  <c r="B86" i="7"/>
  <c r="B356" i="4"/>
  <c r="E652" i="12"/>
  <c r="T567" i="2"/>
  <c r="AF567" i="2"/>
  <c r="U610" i="12"/>
  <c r="X570" i="2"/>
  <c r="AA573" i="2"/>
  <c r="D99" i="6"/>
  <c r="D326" i="4"/>
  <c r="AB574" i="2"/>
  <c r="D133" i="5"/>
  <c r="D273" i="4"/>
  <c r="E354" i="12"/>
  <c r="T576" i="2"/>
  <c r="AE576" i="2"/>
  <c r="U398" i="12"/>
  <c r="U497" i="12"/>
  <c r="U432" i="12"/>
  <c r="X581" i="2"/>
  <c r="Z582" i="2"/>
  <c r="AA583" i="2"/>
  <c r="AG584" i="2"/>
  <c r="W584" i="2"/>
  <c r="AB584" i="2"/>
  <c r="S585" i="2"/>
  <c r="AD585" i="2"/>
  <c r="Y589" i="2"/>
  <c r="B141" i="5"/>
  <c r="B285" i="4"/>
  <c r="S591" i="2"/>
  <c r="AE591" i="2"/>
  <c r="X592" i="2"/>
  <c r="X593" i="2"/>
  <c r="AD593" i="2"/>
  <c r="T593" i="2"/>
  <c r="U593" i="2" s="1"/>
  <c r="AC593" i="2"/>
  <c r="U523" i="12"/>
  <c r="U549" i="12"/>
  <c r="D106" i="6"/>
  <c r="D352" i="4"/>
  <c r="AB599" i="2"/>
  <c r="X599" i="2"/>
  <c r="AC599" i="2"/>
  <c r="S600" i="2"/>
  <c r="AE600" i="2"/>
  <c r="AN603" i="2"/>
  <c r="U423" i="12"/>
  <c r="X609" i="2"/>
  <c r="Y610" i="2"/>
  <c r="AE610" i="2"/>
  <c r="AC610" i="2"/>
  <c r="AA614" i="2"/>
  <c r="AG619" i="2"/>
  <c r="W619" i="2"/>
  <c r="AC619" i="2"/>
  <c r="S619" i="2"/>
  <c r="AD619" i="2"/>
  <c r="U429" i="12"/>
  <c r="D149" i="5"/>
  <c r="D309" i="4"/>
  <c r="E307" i="12"/>
  <c r="U372" i="12"/>
  <c r="B390" i="4"/>
  <c r="B90" i="7"/>
  <c r="S626" i="2"/>
  <c r="AE626" i="2"/>
  <c r="Z627" i="2"/>
  <c r="S630" i="2"/>
  <c r="D157" i="5"/>
  <c r="D322" i="4"/>
  <c r="S632" i="2"/>
  <c r="AG632" i="2"/>
  <c r="S634" i="2"/>
  <c r="AF634" i="2"/>
  <c r="D156" i="5"/>
  <c r="D321" i="4"/>
  <c r="S636" i="2"/>
  <c r="U406" i="12"/>
  <c r="D161" i="5"/>
  <c r="D330" i="4"/>
  <c r="X639" i="2"/>
  <c r="E595" i="12"/>
  <c r="X641" i="2"/>
  <c r="AK642" i="2"/>
  <c r="AL642" i="2" s="1"/>
  <c r="U421" i="12"/>
  <c r="Z645" i="2"/>
  <c r="S648" i="2"/>
  <c r="D345" i="4"/>
  <c r="D168" i="5"/>
  <c r="S650" i="2"/>
  <c r="AG650" i="2"/>
  <c r="AM652" i="2"/>
  <c r="Y653" i="2"/>
  <c r="AO654" i="2"/>
  <c r="Z658" i="2"/>
  <c r="T662" i="2"/>
  <c r="U477" i="12"/>
  <c r="U664" i="2"/>
  <c r="T666" i="2"/>
  <c r="AG666" i="2"/>
  <c r="S668" i="2"/>
  <c r="D175" i="5"/>
  <c r="D365" i="4"/>
  <c r="B176" i="5"/>
  <c r="B366" i="4"/>
  <c r="AG672" i="2"/>
  <c r="W672" i="2"/>
  <c r="AF672" i="2"/>
  <c r="V672" i="2"/>
  <c r="AC672" i="2"/>
  <c r="S672" i="2"/>
  <c r="AB672" i="2"/>
  <c r="U369" i="12"/>
  <c r="V674" i="2"/>
  <c r="D177" i="5"/>
  <c r="D369" i="4"/>
  <c r="T675" i="2"/>
  <c r="U634" i="12"/>
  <c r="E640" i="12"/>
  <c r="E554" i="12"/>
  <c r="D385" i="4"/>
  <c r="D187" i="5"/>
  <c r="B384" i="4"/>
  <c r="B186" i="5"/>
  <c r="AR701" i="2"/>
  <c r="U709" i="2"/>
  <c r="U717" i="2"/>
  <c r="O51" i="3"/>
  <c r="Y51" i="3"/>
  <c r="O57" i="3"/>
  <c r="M80" i="3"/>
  <c r="W80" i="3"/>
  <c r="I86" i="3"/>
  <c r="Q86" i="3" s="1"/>
  <c r="Q202" i="3"/>
  <c r="P202" i="3"/>
  <c r="Z399" i="3"/>
  <c r="X402" i="3"/>
  <c r="AB573" i="2"/>
  <c r="E452" i="12"/>
  <c r="AA582" i="2"/>
  <c r="D137" i="5"/>
  <c r="D280" i="4"/>
  <c r="AB583" i="2"/>
  <c r="D136" i="5"/>
  <c r="D278" i="4"/>
  <c r="E303" i="12"/>
  <c r="U637" i="12"/>
  <c r="B139" i="5"/>
  <c r="B282" i="4"/>
  <c r="Z589" i="2"/>
  <c r="Z592" i="2"/>
  <c r="E526" i="12"/>
  <c r="E599" i="12"/>
  <c r="Y602" i="2"/>
  <c r="AE602" i="2"/>
  <c r="AC602" i="2"/>
  <c r="Y609" i="2"/>
  <c r="E401" i="12"/>
  <c r="B55" i="9"/>
  <c r="D370" i="4"/>
  <c r="D113" i="6"/>
  <c r="E381" i="12"/>
  <c r="AA627" i="2"/>
  <c r="U548" i="12"/>
  <c r="U410" i="12"/>
  <c r="W699" i="12"/>
  <c r="AN637" i="2"/>
  <c r="AM637" i="2"/>
  <c r="U367" i="12"/>
  <c r="U640" i="2"/>
  <c r="AA641" i="2"/>
  <c r="Z644" i="2"/>
  <c r="AF644" i="2"/>
  <c r="V644" i="2"/>
  <c r="AE644" i="2"/>
  <c r="AD644" i="2"/>
  <c r="AA645" i="2"/>
  <c r="U360" i="12"/>
  <c r="U547" i="12"/>
  <c r="AA653" i="2"/>
  <c r="AA658" i="2"/>
  <c r="B179" i="5"/>
  <c r="B373" i="4"/>
  <c r="B178" i="5"/>
  <c r="B371" i="4"/>
  <c r="B181" i="5"/>
  <c r="B378" i="4"/>
  <c r="U693" i="2"/>
  <c r="U623" i="12"/>
  <c r="Y711" i="2"/>
  <c r="X711" i="2"/>
  <c r="AG711" i="2"/>
  <c r="W711" i="2"/>
  <c r="AF711" i="2"/>
  <c r="V711" i="2"/>
  <c r="AE711" i="2"/>
  <c r="AD711" i="2"/>
  <c r="T711" i="2"/>
  <c r="AC711" i="2"/>
  <c r="S711" i="2"/>
  <c r="Z711" i="2"/>
  <c r="Y719" i="2"/>
  <c r="X719" i="2"/>
  <c r="AG719" i="2"/>
  <c r="W719" i="2"/>
  <c r="AF719" i="2"/>
  <c r="V719" i="2"/>
  <c r="AE719" i="2"/>
  <c r="AD719" i="2"/>
  <c r="T719" i="2"/>
  <c r="AC719" i="2"/>
  <c r="S719" i="2"/>
  <c r="Z719" i="2"/>
  <c r="N80" i="3"/>
  <c r="X80" i="3"/>
  <c r="Z80" i="3" s="1"/>
  <c r="N86" i="3"/>
  <c r="P86" i="3" s="1"/>
  <c r="L109" i="3"/>
  <c r="V109" i="3"/>
  <c r="Q260" i="3"/>
  <c r="X373" i="3"/>
  <c r="U603" i="12"/>
  <c r="B87" i="7"/>
  <c r="B367" i="4"/>
  <c r="B101" i="6"/>
  <c r="B335" i="4"/>
  <c r="B100" i="6"/>
  <c r="B334" i="4"/>
  <c r="AB582" i="2"/>
  <c r="E400" i="12"/>
  <c r="AA589" i="2"/>
  <c r="E386" i="12"/>
  <c r="U542" i="12"/>
  <c r="AA592" i="2"/>
  <c r="U596" i="2"/>
  <c r="E495" i="12"/>
  <c r="B145" i="5"/>
  <c r="B303" i="4"/>
  <c r="U644" i="12"/>
  <c r="AA609" i="2"/>
  <c r="D148" i="5"/>
  <c r="D308" i="4"/>
  <c r="U610" i="2"/>
  <c r="AC614" i="2"/>
  <c r="S614" i="2"/>
  <c r="Y614" i="2"/>
  <c r="AD614" i="2"/>
  <c r="U373" i="12"/>
  <c r="B114" i="6"/>
  <c r="B372" i="4"/>
  <c r="B151" i="5"/>
  <c r="B311" i="4"/>
  <c r="E583" i="12"/>
  <c r="U399" i="12"/>
  <c r="AB627" i="2"/>
  <c r="B160" i="5"/>
  <c r="B328" i="4"/>
  <c r="W635" i="2"/>
  <c r="V635" i="2"/>
  <c r="AC635" i="2"/>
  <c r="AB641" i="2"/>
  <c r="B91" i="7"/>
  <c r="B405" i="4"/>
  <c r="E569" i="12"/>
  <c r="AB645" i="2"/>
  <c r="B93" i="7"/>
  <c r="B410" i="4"/>
  <c r="AB653" i="2"/>
  <c r="AB658" i="2"/>
  <c r="B393" i="4"/>
  <c r="B120" i="6"/>
  <c r="B95" i="7"/>
  <c r="B414" i="4"/>
  <c r="U552" i="12"/>
  <c r="B122" i="6"/>
  <c r="B397" i="4"/>
  <c r="U447" i="12"/>
  <c r="D176" i="5"/>
  <c r="D366" i="4"/>
  <c r="B63" i="9"/>
  <c r="B64" i="9"/>
  <c r="AL677" i="2"/>
  <c r="D184" i="5"/>
  <c r="D381" i="4"/>
  <c r="U692" i="2"/>
  <c r="Y702" i="2"/>
  <c r="X702" i="2"/>
  <c r="AG702" i="2"/>
  <c r="W702" i="2"/>
  <c r="AF702" i="2"/>
  <c r="V702" i="2"/>
  <c r="AE702" i="2"/>
  <c r="AD702" i="2"/>
  <c r="T702" i="2"/>
  <c r="AC702" i="2"/>
  <c r="S702" i="2"/>
  <c r="Z702" i="2"/>
  <c r="E588" i="12"/>
  <c r="E572" i="12"/>
  <c r="B207" i="5"/>
  <c r="B424" i="4"/>
  <c r="F51" i="3"/>
  <c r="U54" i="3" s="1"/>
  <c r="Q51" i="3"/>
  <c r="M51" i="3"/>
  <c r="W51" i="3"/>
  <c r="M109" i="3"/>
  <c r="W109" i="3"/>
  <c r="U170" i="3"/>
  <c r="P173" i="3"/>
  <c r="Q173" i="3"/>
  <c r="X228" i="3"/>
  <c r="E613" i="12"/>
  <c r="D131" i="5"/>
  <c r="D270" i="4"/>
  <c r="D85" i="7"/>
  <c r="D353" i="4"/>
  <c r="AC560" i="2"/>
  <c r="S560" i="2"/>
  <c r="AB560" i="2"/>
  <c r="E643" i="12"/>
  <c r="E325" i="12"/>
  <c r="D98" i="6"/>
  <c r="D320" i="4"/>
  <c r="AA570" i="2"/>
  <c r="E563" i="12"/>
  <c r="S573" i="2"/>
  <c r="AD573" i="2"/>
  <c r="U575" i="2"/>
  <c r="W728" i="12"/>
  <c r="AM578" i="2"/>
  <c r="D100" i="6"/>
  <c r="D334" i="4"/>
  <c r="AB581" i="2"/>
  <c r="D343" i="4"/>
  <c r="D102" i="6"/>
  <c r="E487" i="12"/>
  <c r="AC582" i="2"/>
  <c r="S583" i="2"/>
  <c r="AD583" i="2"/>
  <c r="W585" i="2"/>
  <c r="U625" i="12"/>
  <c r="B140" i="5"/>
  <c r="B283" i="4"/>
  <c r="D139" i="5"/>
  <c r="D282" i="4"/>
  <c r="AC588" i="2"/>
  <c r="S588" i="2"/>
  <c r="AB588" i="2"/>
  <c r="AC589" i="2"/>
  <c r="W591" i="2"/>
  <c r="AB592" i="2"/>
  <c r="AF595" i="2"/>
  <c r="V595" i="2"/>
  <c r="AB595" i="2"/>
  <c r="AC595" i="2"/>
  <c r="AC598" i="2"/>
  <c r="S598" i="2"/>
  <c r="Y598" i="2"/>
  <c r="AD598" i="2"/>
  <c r="U393" i="12"/>
  <c r="D109" i="6"/>
  <c r="D361" i="4"/>
  <c r="S602" i="2"/>
  <c r="AF602" i="2"/>
  <c r="AE605" i="2"/>
  <c r="U607" i="2"/>
  <c r="AB609" i="2"/>
  <c r="D89" i="7"/>
  <c r="D382" i="4"/>
  <c r="E424" i="12"/>
  <c r="AE614" i="2"/>
  <c r="U615" i="2"/>
  <c r="X618" i="2"/>
  <c r="AD618" i="2"/>
  <c r="T618" i="2"/>
  <c r="AC618" i="2"/>
  <c r="U381" i="12"/>
  <c r="AE621" i="2"/>
  <c r="U307" i="12"/>
  <c r="AB624" i="2"/>
  <c r="X624" i="2"/>
  <c r="AC624" i="2"/>
  <c r="W626" i="2"/>
  <c r="AC627" i="2"/>
  <c r="Y628" i="2"/>
  <c r="AG629" i="2"/>
  <c r="W629" i="2"/>
  <c r="AC629" i="2"/>
  <c r="S629" i="2"/>
  <c r="AB629" i="2"/>
  <c r="AE629" i="2"/>
  <c r="B116" i="6"/>
  <c r="B376" i="4"/>
  <c r="W632" i="2"/>
  <c r="AC633" i="2"/>
  <c r="S633" i="2"/>
  <c r="Y633" i="2"/>
  <c r="X633" i="2"/>
  <c r="AE633" i="2"/>
  <c r="V634" i="2"/>
  <c r="B159" i="5"/>
  <c r="B324" i="4"/>
  <c r="X636" i="2"/>
  <c r="B162" i="5"/>
  <c r="B332" i="4"/>
  <c r="U595" i="12"/>
  <c r="AC641" i="2"/>
  <c r="D405" i="4"/>
  <c r="D91" i="7"/>
  <c r="S644" i="2"/>
  <c r="U569" i="12"/>
  <c r="AC645" i="2"/>
  <c r="Y646" i="2"/>
  <c r="AG647" i="2"/>
  <c r="W647" i="2"/>
  <c r="AC647" i="2"/>
  <c r="S647" i="2"/>
  <c r="AB647" i="2"/>
  <c r="AE647" i="2"/>
  <c r="B94" i="7"/>
  <c r="B412" i="4"/>
  <c r="W650" i="2"/>
  <c r="AC651" i="2"/>
  <c r="S651" i="2"/>
  <c r="Y651" i="2"/>
  <c r="X651" i="2"/>
  <c r="AE651" i="2"/>
  <c r="AC653" i="2"/>
  <c r="U540" i="12"/>
  <c r="AD658" i="2"/>
  <c r="X661" i="2"/>
  <c r="AD661" i="2"/>
  <c r="T661" i="2"/>
  <c r="AC661" i="2"/>
  <c r="S661" i="2"/>
  <c r="AF661" i="2"/>
  <c r="X662" i="2"/>
  <c r="AD665" i="2"/>
  <c r="T665" i="2"/>
  <c r="Z665" i="2"/>
  <c r="Y665" i="2"/>
  <c r="AE665" i="2"/>
  <c r="W666" i="2"/>
  <c r="AB667" i="2"/>
  <c r="X667" i="2"/>
  <c r="AG667" i="2"/>
  <c r="W667" i="2"/>
  <c r="AD667" i="2"/>
  <c r="X668" i="2"/>
  <c r="Z669" i="2"/>
  <c r="AF669" i="2"/>
  <c r="V669" i="2"/>
  <c r="AE669" i="2"/>
  <c r="AD669" i="2"/>
  <c r="AB674" i="2"/>
  <c r="U676" i="2"/>
  <c r="Y694" i="2"/>
  <c r="X694" i="2"/>
  <c r="AG694" i="2"/>
  <c r="W694" i="2"/>
  <c r="AF694" i="2"/>
  <c r="V694" i="2"/>
  <c r="AE694" i="2"/>
  <c r="AD694" i="2"/>
  <c r="T694" i="2"/>
  <c r="AC694" i="2"/>
  <c r="S694" i="2"/>
  <c r="Z694" i="2"/>
  <c r="AL701" i="2"/>
  <c r="E465" i="12"/>
  <c r="B194" i="5"/>
  <c r="B399" i="4"/>
  <c r="W693" i="12"/>
  <c r="AP712" i="2"/>
  <c r="AO712" i="2"/>
  <c r="AN712" i="2"/>
  <c r="AM712" i="2"/>
  <c r="AK712" i="2"/>
  <c r="X720" i="2"/>
  <c r="AG720" i="2"/>
  <c r="W720" i="2"/>
  <c r="AF720" i="2"/>
  <c r="V720" i="2"/>
  <c r="AE720" i="2"/>
  <c r="AD720" i="2"/>
  <c r="T720" i="2"/>
  <c r="AC720" i="2"/>
  <c r="S720" i="2"/>
  <c r="AB720" i="2"/>
  <c r="Y720" i="2"/>
  <c r="E80" i="3"/>
  <c r="P80" i="3"/>
  <c r="L80" i="3"/>
  <c r="V80" i="3"/>
  <c r="Z138" i="3"/>
  <c r="X141" i="3"/>
  <c r="Q318" i="3"/>
  <c r="P318" i="3"/>
  <c r="X344" i="3"/>
  <c r="Q463" i="3"/>
  <c r="P463" i="3"/>
  <c r="X679" i="2"/>
  <c r="U596" i="12"/>
  <c r="W680" i="2"/>
  <c r="D379" i="4"/>
  <c r="D182" i="5"/>
  <c r="AA685" i="2"/>
  <c r="X687" i="2"/>
  <c r="U538" i="12"/>
  <c r="W688" i="2"/>
  <c r="E638" i="12"/>
  <c r="D129" i="6"/>
  <c r="D422" i="4"/>
  <c r="AA693" i="2"/>
  <c r="B187" i="5"/>
  <c r="B385" i="4"/>
  <c r="X696" i="2"/>
  <c r="U512" i="12"/>
  <c r="W697" i="2"/>
  <c r="B193" i="5"/>
  <c r="B398" i="4"/>
  <c r="X704" i="2"/>
  <c r="U584" i="12"/>
  <c r="W705" i="2"/>
  <c r="E508" i="12"/>
  <c r="D198" i="5"/>
  <c r="D404" i="4"/>
  <c r="AA710" i="2"/>
  <c r="W713" i="2"/>
  <c r="S716" i="2"/>
  <c r="AC716" i="2"/>
  <c r="E534" i="12"/>
  <c r="D204" i="5"/>
  <c r="D418" i="4"/>
  <c r="AA718" i="2"/>
  <c r="B208" i="5"/>
  <c r="B425" i="4"/>
  <c r="X721" i="2"/>
  <c r="U607" i="12"/>
  <c r="W722" i="2"/>
  <c r="S725" i="2"/>
  <c r="AC725" i="2"/>
  <c r="E617" i="12"/>
  <c r="W706" i="12"/>
  <c r="P260" i="3"/>
  <c r="U642" i="12"/>
  <c r="D179" i="5"/>
  <c r="D373" i="4"/>
  <c r="AA679" i="2"/>
  <c r="B126" i="6"/>
  <c r="B416" i="4"/>
  <c r="U640" i="12"/>
  <c r="D181" i="5"/>
  <c r="D378" i="4"/>
  <c r="AA687" i="2"/>
  <c r="E553" i="12"/>
  <c r="D186" i="5"/>
  <c r="D384" i="4"/>
  <c r="AA696" i="2"/>
  <c r="B188" i="5"/>
  <c r="B386" i="4"/>
  <c r="E632" i="12"/>
  <c r="D191" i="5"/>
  <c r="D395" i="4"/>
  <c r="AA704" i="2"/>
  <c r="E612" i="12"/>
  <c r="D206" i="5"/>
  <c r="D423" i="4"/>
  <c r="AA721" i="2"/>
  <c r="P289" i="3"/>
  <c r="F428" i="3"/>
  <c r="Q428" i="3"/>
  <c r="E463" i="3"/>
  <c r="E376" i="12"/>
  <c r="D115" i="6"/>
  <c r="D374" i="4"/>
  <c r="AA630" i="2"/>
  <c r="B157" i="5"/>
  <c r="B322" i="4"/>
  <c r="U446" i="12"/>
  <c r="E367" i="12"/>
  <c r="D332" i="4"/>
  <c r="D162" i="5"/>
  <c r="AA639" i="2"/>
  <c r="B164" i="5"/>
  <c r="B338" i="4"/>
  <c r="E611" i="12"/>
  <c r="D163" i="5"/>
  <c r="D337" i="4"/>
  <c r="AA648" i="2"/>
  <c r="B168" i="5"/>
  <c r="B345" i="4"/>
  <c r="U391" i="12"/>
  <c r="E425" i="12"/>
  <c r="D119" i="6"/>
  <c r="D392" i="4"/>
  <c r="AA656" i="2"/>
  <c r="U551" i="12"/>
  <c r="E477" i="12"/>
  <c r="D95" i="7"/>
  <c r="D414" i="4"/>
  <c r="AA663" i="2"/>
  <c r="B170" i="5"/>
  <c r="B355" i="4"/>
  <c r="U605" i="12"/>
  <c r="E369" i="12"/>
  <c r="W726" i="12"/>
  <c r="B124" i="6"/>
  <c r="B407" i="4"/>
  <c r="U558" i="12"/>
  <c r="W676" i="2"/>
  <c r="AG676" i="2"/>
  <c r="AO677" i="2"/>
  <c r="E596" i="12"/>
  <c r="AB679" i="2"/>
  <c r="D178" i="5"/>
  <c r="D371" i="4"/>
  <c r="AA680" i="2"/>
  <c r="B97" i="7"/>
  <c r="B428" i="4"/>
  <c r="Y682" i="2"/>
  <c r="U539" i="12"/>
  <c r="AE685" i="2"/>
  <c r="E538" i="12"/>
  <c r="AB687" i="2"/>
  <c r="D180" i="5"/>
  <c r="D377" i="4"/>
  <c r="AA688" i="2"/>
  <c r="X690" i="2"/>
  <c r="U544" i="12"/>
  <c r="W691" i="2"/>
  <c r="AG691" i="2"/>
  <c r="V692" i="2"/>
  <c r="AE693" i="2"/>
  <c r="E512" i="12"/>
  <c r="AB696" i="2"/>
  <c r="D189" i="5"/>
  <c r="D388" i="4"/>
  <c r="AA697" i="2"/>
  <c r="W700" i="2"/>
  <c r="AG700" i="2"/>
  <c r="AO701" i="2"/>
  <c r="E584" i="12"/>
  <c r="AB704" i="2"/>
  <c r="D194" i="5"/>
  <c r="D399" i="4"/>
  <c r="AA705" i="2"/>
  <c r="X707" i="2"/>
  <c r="U536" i="12"/>
  <c r="W708" i="2"/>
  <c r="AG708" i="2"/>
  <c r="V709" i="2"/>
  <c r="AE710" i="2"/>
  <c r="D200" i="5"/>
  <c r="D411" i="4"/>
  <c r="AA713" i="2"/>
  <c r="X715" i="2"/>
  <c r="U581" i="12"/>
  <c r="W716" i="2"/>
  <c r="AG716" i="2"/>
  <c r="V717" i="2"/>
  <c r="AE718" i="2"/>
  <c r="E607" i="12"/>
  <c r="AB721" i="2"/>
  <c r="D207" i="5"/>
  <c r="D424" i="4"/>
  <c r="AA722" i="2"/>
  <c r="X724" i="2"/>
  <c r="U646" i="12"/>
  <c r="W725" i="2"/>
  <c r="AG725" i="2"/>
  <c r="V726" i="2"/>
  <c r="AN727" i="2"/>
  <c r="O457" i="3"/>
  <c r="Y457" i="3"/>
  <c r="Z457" i="3" s="1"/>
  <c r="F463" i="3"/>
  <c r="E653" i="12"/>
  <c r="AA596" i="2"/>
  <c r="B142" i="5"/>
  <c r="B289" i="4"/>
  <c r="U506" i="12"/>
  <c r="E423" i="12"/>
  <c r="D145" i="5"/>
  <c r="D303" i="4"/>
  <c r="AA605" i="2"/>
  <c r="U564" i="12"/>
  <c r="E471" i="12"/>
  <c r="W667" i="12"/>
  <c r="B89" i="7"/>
  <c r="B382" i="4"/>
  <c r="U469" i="12"/>
  <c r="E429" i="12"/>
  <c r="D311" i="4"/>
  <c r="D151" i="5"/>
  <c r="AA621" i="2"/>
  <c r="B150" i="5"/>
  <c r="B310" i="4"/>
  <c r="U649" i="12"/>
  <c r="E548" i="12"/>
  <c r="AB630" i="2"/>
  <c r="D116" i="6"/>
  <c r="D376" i="4"/>
  <c r="AA631" i="2"/>
  <c r="B155" i="5"/>
  <c r="B319" i="4"/>
  <c r="U437" i="12"/>
  <c r="E438" i="12"/>
  <c r="AB639" i="2"/>
  <c r="D92" i="7"/>
  <c r="D408" i="4"/>
  <c r="AA640" i="2"/>
  <c r="E360" i="12"/>
  <c r="AB648" i="2"/>
  <c r="D94" i="7"/>
  <c r="D412" i="4"/>
  <c r="AA649" i="2"/>
  <c r="B167" i="5"/>
  <c r="B342" i="4"/>
  <c r="E540" i="12"/>
  <c r="AB656" i="2"/>
  <c r="W680" i="12"/>
  <c r="B172" i="5"/>
  <c r="B358" i="4"/>
  <c r="E593" i="12"/>
  <c r="AB663" i="2"/>
  <c r="D121" i="6"/>
  <c r="D394" i="4"/>
  <c r="AA664" i="2"/>
  <c r="B123" i="6"/>
  <c r="B400" i="4"/>
  <c r="U606" i="12"/>
  <c r="AK673" i="2"/>
  <c r="B369" i="4"/>
  <c r="B177" i="5"/>
  <c r="X676" i="2"/>
  <c r="U566" i="12"/>
  <c r="S679" i="2"/>
  <c r="AC679" i="2"/>
  <c r="E555" i="12"/>
  <c r="AB680" i="2"/>
  <c r="D126" i="6"/>
  <c r="D416" i="4"/>
  <c r="AA681" i="2"/>
  <c r="Z682" i="2"/>
  <c r="B184" i="5"/>
  <c r="B381" i="4"/>
  <c r="V685" i="2"/>
  <c r="AF685" i="2"/>
  <c r="S687" i="2"/>
  <c r="AC687" i="2"/>
  <c r="E594" i="12"/>
  <c r="AB688" i="2"/>
  <c r="W671" i="12"/>
  <c r="B183" i="5"/>
  <c r="B380" i="4"/>
  <c r="Y690" i="2"/>
  <c r="X691" i="2"/>
  <c r="U598" i="12"/>
  <c r="W692" i="2"/>
  <c r="V693" i="2"/>
  <c r="AF693" i="2"/>
  <c r="S696" i="2"/>
  <c r="AC696" i="2"/>
  <c r="E430" i="12"/>
  <c r="AB697" i="2"/>
  <c r="D188" i="5"/>
  <c r="D386" i="4"/>
  <c r="AA698" i="2"/>
  <c r="X700" i="2"/>
  <c r="U518" i="12"/>
  <c r="S704" i="2"/>
  <c r="AC704" i="2"/>
  <c r="E557" i="12"/>
  <c r="AB705" i="2"/>
  <c r="W697" i="12"/>
  <c r="B195" i="5"/>
  <c r="B401" i="4"/>
  <c r="Y707" i="2"/>
  <c r="X708" i="2"/>
  <c r="U648" i="12"/>
  <c r="W709" i="2"/>
  <c r="V710" i="2"/>
  <c r="AF710" i="2"/>
  <c r="E444" i="12"/>
  <c r="AB713" i="2"/>
  <c r="W672" i="12"/>
  <c r="B413" i="4"/>
  <c r="B201" i="5"/>
  <c r="Y715" i="2"/>
  <c r="X716" i="2"/>
  <c r="U636" i="12"/>
  <c r="W717" i="2"/>
  <c r="V718" i="2"/>
  <c r="AF718" i="2"/>
  <c r="S721" i="2"/>
  <c r="AC721" i="2"/>
  <c r="E628" i="12"/>
  <c r="AB722" i="2"/>
  <c r="W720" i="12"/>
  <c r="B209" i="5"/>
  <c r="B426" i="4"/>
  <c r="Y724" i="2"/>
  <c r="X725" i="2"/>
  <c r="U624" i="12"/>
  <c r="W726" i="2"/>
  <c r="AO727" i="2"/>
  <c r="G463" i="3"/>
  <c r="X460" i="3" s="1"/>
  <c r="S680" i="2"/>
  <c r="AC680" i="2"/>
  <c r="E634" i="12"/>
  <c r="D428" i="4"/>
  <c r="D97" i="7"/>
  <c r="AA682" i="2"/>
  <c r="W685" i="2"/>
  <c r="AG685" i="2"/>
  <c r="T687" i="2"/>
  <c r="AD687" i="2"/>
  <c r="S688" i="2"/>
  <c r="AC688" i="2"/>
  <c r="Z690" i="2"/>
  <c r="B127" i="6"/>
  <c r="B420" i="4"/>
  <c r="Y691" i="2"/>
  <c r="U638" i="12"/>
  <c r="W693" i="2"/>
  <c r="AG693" i="2"/>
  <c r="T696" i="2"/>
  <c r="AD696" i="2"/>
  <c r="S697" i="2"/>
  <c r="AC697" i="2"/>
  <c r="E623" i="12"/>
  <c r="W664" i="12"/>
  <c r="B389" i="4"/>
  <c r="B190" i="5"/>
  <c r="Y700" i="2"/>
  <c r="T704" i="2"/>
  <c r="AD704" i="2"/>
  <c r="S705" i="2"/>
  <c r="AC705" i="2"/>
  <c r="Z707" i="2"/>
  <c r="B196" i="5"/>
  <c r="B402" i="4"/>
  <c r="Y708" i="2"/>
  <c r="U508" i="12"/>
  <c r="W710" i="2"/>
  <c r="AG710" i="2"/>
  <c r="S713" i="2"/>
  <c r="AC713" i="2"/>
  <c r="Z715" i="2"/>
  <c r="B130" i="6"/>
  <c r="B430" i="4"/>
  <c r="Y716" i="2"/>
  <c r="U534" i="12"/>
  <c r="W718" i="2"/>
  <c r="AG718" i="2"/>
  <c r="T721" i="2"/>
  <c r="AD721" i="2"/>
  <c r="S722" i="2"/>
  <c r="AC722" i="2"/>
  <c r="Z724" i="2"/>
  <c r="B210" i="5"/>
  <c r="B427" i="4"/>
  <c r="Y725" i="2"/>
  <c r="U617" i="12"/>
  <c r="AP727" i="2"/>
  <c r="F457" i="3"/>
  <c r="Q457" i="3"/>
  <c r="L463" i="3"/>
  <c r="X685" i="2"/>
  <c r="U472" i="12"/>
  <c r="AE687" i="2"/>
  <c r="T688" i="2"/>
  <c r="D380" i="4"/>
  <c r="D183" i="5"/>
  <c r="AA690" i="2"/>
  <c r="Z691" i="2"/>
  <c r="B205" i="5"/>
  <c r="B128" i="6"/>
  <c r="B421" i="4"/>
  <c r="X693" i="2"/>
  <c r="U554" i="12"/>
  <c r="AE696" i="2"/>
  <c r="T697" i="2"/>
  <c r="Z700" i="2"/>
  <c r="AE704" i="2"/>
  <c r="T705" i="2"/>
  <c r="D195" i="5"/>
  <c r="D401" i="4"/>
  <c r="AA707" i="2"/>
  <c r="Z708" i="2"/>
  <c r="B197" i="5"/>
  <c r="B403" i="4"/>
  <c r="X710" i="2"/>
  <c r="U475" i="12"/>
  <c r="T713" i="2"/>
  <c r="D201" i="5"/>
  <c r="D413" i="4"/>
  <c r="AA715" i="2"/>
  <c r="Z716" i="2"/>
  <c r="B202" i="5"/>
  <c r="B415" i="4"/>
  <c r="X718" i="2"/>
  <c r="U602" i="12"/>
  <c r="AE721" i="2"/>
  <c r="T722" i="2"/>
  <c r="D209" i="5"/>
  <c r="D426" i="4"/>
  <c r="AA724" i="2"/>
  <c r="Z725" i="2"/>
  <c r="B429" i="4"/>
  <c r="B211" i="5"/>
  <c r="U355" i="12"/>
  <c r="AN673" i="2"/>
  <c r="E558" i="12"/>
  <c r="D125" i="6"/>
  <c r="D409" i="4"/>
  <c r="AA676" i="2"/>
  <c r="V679" i="2"/>
  <c r="AF679" i="2"/>
  <c r="E539" i="12"/>
  <c r="W685" i="12"/>
  <c r="B182" i="5"/>
  <c r="B379" i="4"/>
  <c r="Y685" i="2"/>
  <c r="V687" i="2"/>
  <c r="AF687" i="2"/>
  <c r="E544" i="12"/>
  <c r="D420" i="4"/>
  <c r="D127" i="6"/>
  <c r="AA691" i="2"/>
  <c r="B422" i="4"/>
  <c r="B129" i="6"/>
  <c r="Y693" i="2"/>
  <c r="U516" i="12"/>
  <c r="V696" i="2"/>
  <c r="AF696" i="2"/>
  <c r="D190" i="5"/>
  <c r="D389" i="4"/>
  <c r="AA700" i="2"/>
  <c r="U465" i="12"/>
  <c r="V704" i="2"/>
  <c r="AF704" i="2"/>
  <c r="E536" i="12"/>
  <c r="D196" i="5"/>
  <c r="D402" i="4"/>
  <c r="AA708" i="2"/>
  <c r="B198" i="5"/>
  <c r="B404" i="4"/>
  <c r="Y710" i="2"/>
  <c r="U588" i="12"/>
  <c r="E581" i="12"/>
  <c r="D430" i="4"/>
  <c r="D130" i="6"/>
  <c r="AA716" i="2"/>
  <c r="B204" i="5"/>
  <c r="B418" i="4"/>
  <c r="Y718" i="2"/>
  <c r="U572" i="12"/>
  <c r="V721" i="2"/>
  <c r="AF721" i="2"/>
  <c r="E646" i="12"/>
  <c r="D210" i="5"/>
  <c r="D427" i="4"/>
  <c r="AA725" i="2"/>
  <c r="U416" i="12"/>
  <c r="E378" i="12"/>
  <c r="U325" i="12"/>
  <c r="E361" i="12"/>
  <c r="D132" i="5"/>
  <c r="D272" i="4"/>
  <c r="U452" i="12"/>
  <c r="E497" i="12"/>
  <c r="D335" i="4"/>
  <c r="D101" i="6"/>
  <c r="B343" i="4"/>
  <c r="B102" i="6"/>
  <c r="U400" i="12"/>
  <c r="E641" i="12"/>
  <c r="D141" i="5"/>
  <c r="D285" i="4"/>
  <c r="B103" i="6"/>
  <c r="B346" i="4"/>
  <c r="U526" i="12"/>
  <c r="E506" i="12"/>
  <c r="D143" i="5"/>
  <c r="D296" i="4"/>
  <c r="B109" i="6"/>
  <c r="B361" i="4"/>
  <c r="E564" i="12"/>
  <c r="B148" i="5"/>
  <c r="B308" i="4"/>
  <c r="AN613" i="2"/>
  <c r="E469" i="12"/>
  <c r="D112" i="6"/>
  <c r="D368" i="4"/>
  <c r="U500" i="12"/>
  <c r="E649" i="12"/>
  <c r="D90" i="7"/>
  <c r="D390" i="4"/>
  <c r="B152" i="5"/>
  <c r="B313" i="4"/>
  <c r="U431" i="12"/>
  <c r="V630" i="2"/>
  <c r="E437" i="12"/>
  <c r="D159" i="5"/>
  <c r="D324" i="4"/>
  <c r="V639" i="2"/>
  <c r="D166" i="5"/>
  <c r="D340" i="4"/>
  <c r="B117" i="6"/>
  <c r="B387" i="4"/>
  <c r="U388" i="12"/>
  <c r="V648" i="2"/>
  <c r="V656" i="2"/>
  <c r="AN657" i="2"/>
  <c r="U427" i="12"/>
  <c r="V663" i="2"/>
  <c r="E606" i="12"/>
  <c r="D173" i="5"/>
  <c r="D359" i="4"/>
  <c r="B171" i="5"/>
  <c r="B357" i="4"/>
  <c r="U546" i="12"/>
  <c r="AO673" i="2"/>
  <c r="E566" i="12"/>
  <c r="W681" i="12"/>
  <c r="W679" i="2"/>
  <c r="V680" i="2"/>
  <c r="T682" i="2"/>
  <c r="AK684" i="2"/>
  <c r="W687" i="2"/>
  <c r="V688" i="2"/>
  <c r="AN689" i="2"/>
  <c r="S690" i="2"/>
  <c r="E598" i="12"/>
  <c r="D205" i="5"/>
  <c r="D128" i="6"/>
  <c r="D421" i="4"/>
  <c r="B185" i="5"/>
  <c r="B383" i="4"/>
  <c r="U553" i="12"/>
  <c r="W696" i="2"/>
  <c r="V697" i="2"/>
  <c r="U698" i="2"/>
  <c r="AM699" i="2"/>
  <c r="E518" i="12"/>
  <c r="W711" i="12"/>
  <c r="B192" i="5"/>
  <c r="B396" i="4"/>
  <c r="U632" i="12"/>
  <c r="W704" i="2"/>
  <c r="V705" i="2"/>
  <c r="AN706" i="2"/>
  <c r="S707" i="2"/>
  <c r="E648" i="12"/>
  <c r="D197" i="5"/>
  <c r="D403" i="4"/>
  <c r="B199" i="5"/>
  <c r="B406" i="4"/>
  <c r="V713" i="2"/>
  <c r="AN714" i="2"/>
  <c r="S715" i="2"/>
  <c r="E636" i="12"/>
  <c r="D202" i="5"/>
  <c r="D415" i="4"/>
  <c r="B203" i="5"/>
  <c r="B417" i="4"/>
  <c r="U612" i="12"/>
  <c r="W721" i="2"/>
  <c r="V722" i="2"/>
  <c r="AN723" i="2"/>
  <c r="S724" i="2"/>
  <c r="E624" i="12"/>
  <c r="D211" i="5"/>
  <c r="D429" i="4"/>
  <c r="F434" i="3"/>
  <c r="U312" i="2" l="1"/>
  <c r="U550" i="2"/>
  <c r="AQ20" i="2"/>
  <c r="U131" i="2"/>
  <c r="AL654" i="2"/>
  <c r="AQ177" i="2"/>
  <c r="AL107" i="2"/>
  <c r="U304" i="2"/>
  <c r="AL603" i="2"/>
  <c r="AQ723" i="2"/>
  <c r="U56" i="2"/>
  <c r="AL30" i="2"/>
  <c r="AL48" i="2"/>
  <c r="AB671" i="12"/>
  <c r="U599" i="2"/>
  <c r="U410" i="2"/>
  <c r="AA681" i="12"/>
  <c r="G628" i="12"/>
  <c r="AR723" i="2"/>
  <c r="AL19" i="2"/>
  <c r="AQ318" i="2"/>
  <c r="U70" i="2"/>
  <c r="U68" i="2"/>
  <c r="AB672" i="12"/>
  <c r="X431" i="3"/>
  <c r="U257" i="3"/>
  <c r="U625" i="2"/>
  <c r="U5" i="2"/>
  <c r="M10" i="3" s="1"/>
  <c r="Z672" i="12"/>
  <c r="X697" i="12"/>
  <c r="Q538" i="12"/>
  <c r="K581" i="12"/>
  <c r="P640" i="12"/>
  <c r="O544" i="12"/>
  <c r="R617" i="12"/>
  <c r="AL108" i="2"/>
  <c r="AL712" i="2"/>
  <c r="AL723" i="2"/>
  <c r="Q649" i="12"/>
  <c r="O623" i="12"/>
  <c r="L526" i="12"/>
  <c r="S313" i="12"/>
  <c r="I430" i="12"/>
  <c r="AA671" i="12"/>
  <c r="G607" i="12"/>
  <c r="O438" i="12"/>
  <c r="K536" i="12"/>
  <c r="R630" i="12"/>
  <c r="K625" i="12"/>
  <c r="Z706" i="12"/>
  <c r="F652" i="12"/>
  <c r="N373" i="12"/>
  <c r="N622" i="12"/>
  <c r="P535" i="12"/>
  <c r="I601" i="12"/>
  <c r="L271" i="12"/>
  <c r="R563" i="12"/>
  <c r="G356" i="12"/>
  <c r="AR714" i="2"/>
  <c r="AQ714" i="2"/>
  <c r="AR706" i="2"/>
  <c r="AQ706" i="2"/>
  <c r="U98" i="2"/>
  <c r="U15" i="2"/>
  <c r="L544" i="12"/>
  <c r="T416" i="12"/>
  <c r="J544" i="12"/>
  <c r="M595" i="12"/>
  <c r="X706" i="12"/>
  <c r="F643" i="12"/>
  <c r="K525" i="12"/>
  <c r="AL371" i="2"/>
  <c r="AL51" i="2"/>
  <c r="AL183" i="2"/>
  <c r="U169" i="2"/>
  <c r="U29" i="2"/>
  <c r="I307" i="12"/>
  <c r="S548" i="12"/>
  <c r="I651" i="12"/>
  <c r="R555" i="12"/>
  <c r="M575" i="12"/>
  <c r="R508" i="12"/>
  <c r="Z663" i="12"/>
  <c r="O387" i="12"/>
  <c r="Q596" i="12"/>
  <c r="P581" i="12"/>
  <c r="K547" i="12"/>
  <c r="AA683" i="12"/>
  <c r="P569" i="12"/>
  <c r="T418" i="12"/>
  <c r="N235" i="12"/>
  <c r="U228" i="3"/>
  <c r="U83" i="3"/>
  <c r="U420" i="2"/>
  <c r="N431" i="12"/>
  <c r="M274" i="12"/>
  <c r="T554" i="12"/>
  <c r="Q377" i="12"/>
  <c r="O304" i="12"/>
  <c r="J607" i="12"/>
  <c r="O599" i="12"/>
  <c r="Z699" i="12"/>
  <c r="I401" i="12"/>
  <c r="T361" i="12"/>
  <c r="G483" i="12"/>
  <c r="M376" i="12"/>
  <c r="AB724" i="12"/>
  <c r="AL18" i="2"/>
  <c r="AR606" i="2"/>
  <c r="AQ606" i="2"/>
  <c r="F640" i="12"/>
  <c r="L291" i="12"/>
  <c r="G430" i="12"/>
  <c r="G636" i="12"/>
  <c r="J391" i="12"/>
  <c r="T640" i="12"/>
  <c r="Q414" i="12"/>
  <c r="N320" i="12"/>
  <c r="N343" i="12"/>
  <c r="M295" i="12"/>
  <c r="F428" i="12"/>
  <c r="N485" i="12"/>
  <c r="T147" i="12"/>
  <c r="X199" i="3"/>
  <c r="U199" i="3"/>
  <c r="M536" i="12"/>
  <c r="M348" i="12"/>
  <c r="G525" i="12"/>
  <c r="O461" i="12"/>
  <c r="R641" i="12"/>
  <c r="J619" i="12"/>
  <c r="M411" i="12"/>
  <c r="J442" i="12"/>
  <c r="U584" i="2"/>
  <c r="U294" i="2"/>
  <c r="M432" i="12"/>
  <c r="I444" i="12"/>
  <c r="X681" i="12"/>
  <c r="AA680" i="12"/>
  <c r="S512" i="12"/>
  <c r="X672" i="12"/>
  <c r="P410" i="12"/>
  <c r="T643" i="12"/>
  <c r="F387" i="12"/>
  <c r="Q650" i="12"/>
  <c r="S651" i="12"/>
  <c r="T629" i="12"/>
  <c r="F432" i="12"/>
  <c r="G391" i="12"/>
  <c r="L535" i="12"/>
  <c r="K401" i="12"/>
  <c r="P299" i="12"/>
  <c r="I267" i="12"/>
  <c r="S260" i="12"/>
  <c r="R245" i="12"/>
  <c r="U582" i="2"/>
  <c r="U590" i="2"/>
  <c r="R241" i="12"/>
  <c r="P555" i="12"/>
  <c r="S432" i="12"/>
  <c r="AB678" i="12"/>
  <c r="K594" i="12"/>
  <c r="R593" i="12"/>
  <c r="AB699" i="12"/>
  <c r="P554" i="12"/>
  <c r="T374" i="12"/>
  <c r="G440" i="12"/>
  <c r="J205" i="12"/>
  <c r="M170" i="12"/>
  <c r="AL369" i="2"/>
  <c r="U112" i="3"/>
  <c r="U373" i="3"/>
  <c r="U141" i="3"/>
  <c r="Z312" i="3"/>
  <c r="Z254" i="3"/>
  <c r="U460" i="3"/>
  <c r="Z370" i="3"/>
  <c r="Z428" i="3"/>
  <c r="U286" i="3"/>
  <c r="Z167" i="3"/>
  <c r="X286" i="3"/>
  <c r="X257" i="3"/>
  <c r="U344" i="3"/>
  <c r="J566" i="12"/>
  <c r="N596" i="12"/>
  <c r="K612" i="12"/>
  <c r="J605" i="12"/>
  <c r="T526" i="12"/>
  <c r="J623" i="12"/>
  <c r="L424" i="12"/>
  <c r="S581" i="12"/>
  <c r="AB680" i="12"/>
  <c r="M400" i="12"/>
  <c r="T546" i="12"/>
  <c r="G431" i="12"/>
  <c r="T302" i="12"/>
  <c r="I376" i="12"/>
  <c r="S603" i="12"/>
  <c r="L550" i="12"/>
  <c r="I265" i="12"/>
  <c r="L469" i="12"/>
  <c r="F378" i="12"/>
  <c r="P387" i="12"/>
  <c r="T364" i="12"/>
  <c r="I628" i="12"/>
  <c r="I557" i="12"/>
  <c r="F544" i="12"/>
  <c r="U690" i="2"/>
  <c r="I607" i="12"/>
  <c r="O536" i="12"/>
  <c r="G623" i="12"/>
  <c r="Q628" i="12"/>
  <c r="N536" i="12"/>
  <c r="Q430" i="12"/>
  <c r="N544" i="12"/>
  <c r="Q607" i="12"/>
  <c r="M581" i="12"/>
  <c r="F594" i="12"/>
  <c r="U688" i="2"/>
  <c r="T534" i="12"/>
  <c r="S475" i="12"/>
  <c r="O557" i="12"/>
  <c r="O430" i="12"/>
  <c r="K598" i="12"/>
  <c r="I472" i="12"/>
  <c r="F596" i="12"/>
  <c r="U679" i="2"/>
  <c r="N552" i="12"/>
  <c r="O548" i="12"/>
  <c r="T373" i="12"/>
  <c r="N628" i="12"/>
  <c r="M623" i="12"/>
  <c r="J598" i="12"/>
  <c r="L640" i="12"/>
  <c r="T566" i="12"/>
  <c r="G475" i="12"/>
  <c r="N538" i="12"/>
  <c r="M555" i="12"/>
  <c r="G581" i="12"/>
  <c r="F648" i="12"/>
  <c r="X711" i="12"/>
  <c r="G544" i="12"/>
  <c r="S634" i="12"/>
  <c r="L612" i="12"/>
  <c r="T612" i="12"/>
  <c r="AQ712" i="2"/>
  <c r="AR712" i="2"/>
  <c r="R516" i="12"/>
  <c r="Q630" i="12"/>
  <c r="O606" i="12"/>
  <c r="K477" i="12"/>
  <c r="G540" i="12"/>
  <c r="R450" i="12"/>
  <c r="T611" i="12"/>
  <c r="I595" i="12"/>
  <c r="R521" i="12"/>
  <c r="T376" i="12"/>
  <c r="R424" i="12"/>
  <c r="R384" i="12"/>
  <c r="Q433" i="12"/>
  <c r="L523" i="12"/>
  <c r="F350" i="12"/>
  <c r="U588" i="2"/>
  <c r="Q400" i="12"/>
  <c r="Q618" i="12"/>
  <c r="Q651" i="12"/>
  <c r="P602" i="12"/>
  <c r="F465" i="12"/>
  <c r="U702" i="2"/>
  <c r="L465" i="12"/>
  <c r="N642" i="12"/>
  <c r="AA710" i="12"/>
  <c r="O450" i="12"/>
  <c r="J406" i="12"/>
  <c r="J431" i="12"/>
  <c r="Q424" i="12"/>
  <c r="R506" i="12"/>
  <c r="P400" i="12"/>
  <c r="Q572" i="12"/>
  <c r="G534" i="12"/>
  <c r="S588" i="12"/>
  <c r="G552" i="12"/>
  <c r="S569" i="12"/>
  <c r="S307" i="12"/>
  <c r="L495" i="12"/>
  <c r="O618" i="12"/>
  <c r="Q518" i="12"/>
  <c r="I369" i="12"/>
  <c r="G605" i="12"/>
  <c r="F360" i="12"/>
  <c r="U648" i="2"/>
  <c r="AA701" i="12"/>
  <c r="R599" i="12"/>
  <c r="J386" i="12"/>
  <c r="N400" i="12"/>
  <c r="G333" i="12"/>
  <c r="Z51" i="3"/>
  <c r="Z686" i="12"/>
  <c r="J539" i="12"/>
  <c r="T634" i="12"/>
  <c r="Q552" i="12"/>
  <c r="J551" i="12"/>
  <c r="O569" i="12"/>
  <c r="R367" i="12"/>
  <c r="K521" i="12"/>
  <c r="F603" i="12"/>
  <c r="U576" i="2"/>
  <c r="G617" i="12"/>
  <c r="O558" i="12"/>
  <c r="J546" i="12"/>
  <c r="L427" i="12"/>
  <c r="M547" i="12"/>
  <c r="Q388" i="12"/>
  <c r="R406" i="12"/>
  <c r="R410" i="12"/>
  <c r="P431" i="12"/>
  <c r="K424" i="12"/>
  <c r="N393" i="12"/>
  <c r="J641" i="12"/>
  <c r="I482" i="12"/>
  <c r="S404" i="12"/>
  <c r="M475" i="12"/>
  <c r="P638" i="12"/>
  <c r="S558" i="12"/>
  <c r="I532" i="12"/>
  <c r="M564" i="12"/>
  <c r="J523" i="12"/>
  <c r="I603" i="12"/>
  <c r="M652" i="12"/>
  <c r="K651" i="12"/>
  <c r="Q534" i="12"/>
  <c r="O465" i="12"/>
  <c r="Q624" i="12"/>
  <c r="F632" i="12"/>
  <c r="U703" i="2"/>
  <c r="N465" i="12"/>
  <c r="N546" i="12"/>
  <c r="Q532" i="12"/>
  <c r="G467" i="12"/>
  <c r="L437" i="12"/>
  <c r="G583" i="12"/>
  <c r="Q384" i="12"/>
  <c r="S386" i="12"/>
  <c r="AA717" i="12"/>
  <c r="N477" i="12"/>
  <c r="T446" i="12"/>
  <c r="S398" i="12"/>
  <c r="S618" i="12"/>
  <c r="M610" i="12"/>
  <c r="P443" i="12"/>
  <c r="Q613" i="12"/>
  <c r="I320" i="12"/>
  <c r="J462" i="12"/>
  <c r="P379" i="12"/>
  <c r="G620" i="12"/>
  <c r="J529" i="12"/>
  <c r="N427" i="12"/>
  <c r="T400" i="12"/>
  <c r="M302" i="12"/>
  <c r="G378" i="12"/>
  <c r="R416" i="12"/>
  <c r="T608" i="12"/>
  <c r="Q320" i="12"/>
  <c r="S343" i="12"/>
  <c r="G650" i="12"/>
  <c r="F414" i="12"/>
  <c r="U527" i="2"/>
  <c r="L627" i="12"/>
  <c r="Q395" i="12"/>
  <c r="Q387" i="12"/>
  <c r="G591" i="12"/>
  <c r="S311" i="12"/>
  <c r="S265" i="12"/>
  <c r="L453" i="12"/>
  <c r="S505" i="12"/>
  <c r="N565" i="12"/>
  <c r="P634" i="12"/>
  <c r="O373" i="12"/>
  <c r="F451" i="12"/>
  <c r="U601" i="2"/>
  <c r="M451" i="12"/>
  <c r="L549" i="12"/>
  <c r="F641" i="12"/>
  <c r="G563" i="12"/>
  <c r="M404" i="12"/>
  <c r="P343" i="12"/>
  <c r="F615" i="12"/>
  <c r="U529" i="2"/>
  <c r="N379" i="12"/>
  <c r="M282" i="12"/>
  <c r="P593" i="12"/>
  <c r="J500" i="12"/>
  <c r="AA657" i="12"/>
  <c r="R644" i="12"/>
  <c r="J653" i="12"/>
  <c r="L459" i="12"/>
  <c r="J364" i="12"/>
  <c r="P370" i="12"/>
  <c r="Q635" i="12"/>
  <c r="J426" i="12"/>
  <c r="N620" i="12"/>
  <c r="L282" i="12"/>
  <c r="T621" i="12"/>
  <c r="S539" i="12"/>
  <c r="S425" i="12"/>
  <c r="Q372" i="12"/>
  <c r="S350" i="12"/>
  <c r="L652" i="12"/>
  <c r="O378" i="12"/>
  <c r="O608" i="12"/>
  <c r="R462" i="12"/>
  <c r="P635" i="12"/>
  <c r="I550" i="12"/>
  <c r="I426" i="12"/>
  <c r="O525" i="12"/>
  <c r="L520" i="12"/>
  <c r="T377" i="12"/>
  <c r="N246" i="12"/>
  <c r="F355" i="12"/>
  <c r="U670" i="2"/>
  <c r="L355" i="12"/>
  <c r="O388" i="12"/>
  <c r="F438" i="12"/>
  <c r="F471" i="12"/>
  <c r="U612" i="2"/>
  <c r="I471" i="12"/>
  <c r="L563" i="12"/>
  <c r="K643" i="12"/>
  <c r="R651" i="12"/>
  <c r="Q527" i="12"/>
  <c r="L620" i="12"/>
  <c r="S377" i="12"/>
  <c r="S407" i="12"/>
  <c r="R396" i="12"/>
  <c r="R546" i="12"/>
  <c r="S467" i="12"/>
  <c r="M429" i="12"/>
  <c r="O429" i="12"/>
  <c r="L393" i="12"/>
  <c r="K422" i="12"/>
  <c r="P354" i="12"/>
  <c r="R459" i="12"/>
  <c r="Z669" i="12"/>
  <c r="AL543" i="2"/>
  <c r="N650" i="12"/>
  <c r="G627" i="12"/>
  <c r="L492" i="12"/>
  <c r="F527" i="12"/>
  <c r="U509" i="2"/>
  <c r="J305" i="12"/>
  <c r="S282" i="12"/>
  <c r="L435" i="12"/>
  <c r="R365" i="12"/>
  <c r="L329" i="12"/>
  <c r="M425" i="12"/>
  <c r="G372" i="12"/>
  <c r="S448" i="12"/>
  <c r="J423" i="12"/>
  <c r="O553" i="12"/>
  <c r="K553" i="12"/>
  <c r="O644" i="12"/>
  <c r="L637" i="12"/>
  <c r="S613" i="12"/>
  <c r="AB669" i="12"/>
  <c r="R345" i="12"/>
  <c r="O426" i="12"/>
  <c r="Q330" i="12"/>
  <c r="N621" i="12"/>
  <c r="O362" i="12"/>
  <c r="S329" i="12"/>
  <c r="K573" i="12"/>
  <c r="J573" i="12"/>
  <c r="S517" i="12"/>
  <c r="X719" i="12"/>
  <c r="AL531" i="2"/>
  <c r="K614" i="12"/>
  <c r="S582" i="12"/>
  <c r="L321" i="12"/>
  <c r="O163" i="12"/>
  <c r="N442" i="12"/>
  <c r="I278" i="12"/>
  <c r="Z692" i="12"/>
  <c r="N462" i="12"/>
  <c r="L480" i="12"/>
  <c r="O522" i="12"/>
  <c r="J353" i="12"/>
  <c r="G622" i="12"/>
  <c r="K331" i="12"/>
  <c r="M574" i="12"/>
  <c r="Q428" i="12"/>
  <c r="O278" i="12"/>
  <c r="P163" i="12"/>
  <c r="F366" i="12"/>
  <c r="U426" i="2"/>
  <c r="M380" i="12"/>
  <c r="G473" i="12"/>
  <c r="N481" i="12"/>
  <c r="F489" i="12"/>
  <c r="U546" i="2"/>
  <c r="K364" i="12"/>
  <c r="T260" i="12"/>
  <c r="S440" i="12"/>
  <c r="N273" i="12"/>
  <c r="N378" i="12"/>
  <c r="F626" i="12"/>
  <c r="U528" i="2"/>
  <c r="R626" i="12"/>
  <c r="R285" i="12"/>
  <c r="T311" i="12"/>
  <c r="T278" i="12"/>
  <c r="R304" i="12"/>
  <c r="O290" i="12"/>
  <c r="O267" i="12"/>
  <c r="F243" i="12"/>
  <c r="U362" i="2"/>
  <c r="I541" i="12"/>
  <c r="F441" i="12"/>
  <c r="U334" i="2"/>
  <c r="O205" i="12"/>
  <c r="S359" i="12"/>
  <c r="S286" i="12"/>
  <c r="S299" i="12"/>
  <c r="S335" i="12"/>
  <c r="S619" i="12"/>
  <c r="S525" i="12"/>
  <c r="S577" i="12"/>
  <c r="S209" i="12"/>
  <c r="S295" i="12"/>
  <c r="S476" i="12"/>
  <c r="S305" i="12"/>
  <c r="S246" i="12"/>
  <c r="S629" i="12"/>
  <c r="S242" i="12"/>
  <c r="S291" i="12"/>
  <c r="S442" i="12"/>
  <c r="S379" i="12"/>
  <c r="S531" i="12"/>
  <c r="S214" i="12"/>
  <c r="S314" i="12"/>
  <c r="S543" i="12"/>
  <c r="S565" i="12"/>
  <c r="S535" i="12"/>
  <c r="S365" i="12"/>
  <c r="S503" i="12"/>
  <c r="S545" i="12"/>
  <c r="S480" i="12"/>
  <c r="S488" i="12"/>
  <c r="S449" i="12"/>
  <c r="S533" i="12"/>
  <c r="S504" i="12"/>
  <c r="S514" i="12"/>
  <c r="S575" i="12"/>
  <c r="S287" i="12"/>
  <c r="S218" i="12"/>
  <c r="S591" i="12"/>
  <c r="S484" i="12"/>
  <c r="S308" i="12"/>
  <c r="S255" i="12"/>
  <c r="S486" i="12"/>
  <c r="S562" i="12"/>
  <c r="S499" i="12"/>
  <c r="S585" i="12"/>
  <c r="S228" i="12"/>
  <c r="S390" i="12"/>
  <c r="S563" i="12"/>
  <c r="S345" i="12"/>
  <c r="S541" i="12"/>
  <c r="S278" i="12"/>
  <c r="S590" i="12"/>
  <c r="S520" i="12"/>
  <c r="S428" i="12"/>
  <c r="S384" i="12"/>
  <c r="J274" i="12"/>
  <c r="G490" i="12"/>
  <c r="P571" i="12"/>
  <c r="G403" i="12"/>
  <c r="U324" i="2"/>
  <c r="P226" i="12"/>
  <c r="I274" i="12"/>
  <c r="L206" i="12"/>
  <c r="R190" i="12"/>
  <c r="N502" i="12"/>
  <c r="O478" i="12"/>
  <c r="T478" i="12"/>
  <c r="M543" i="12"/>
  <c r="P281" i="12"/>
  <c r="F172" i="12"/>
  <c r="U242" i="2"/>
  <c r="S266" i="12"/>
  <c r="G223" i="12"/>
  <c r="T541" i="12"/>
  <c r="K238" i="12"/>
  <c r="T324" i="12"/>
  <c r="R301" i="12"/>
  <c r="F276" i="12"/>
  <c r="I177" i="12"/>
  <c r="J635" i="12"/>
  <c r="P339" i="12"/>
  <c r="M576" i="12"/>
  <c r="J377" i="12"/>
  <c r="P311" i="12"/>
  <c r="N329" i="12"/>
  <c r="I355" i="12"/>
  <c r="T434" i="12"/>
  <c r="R421" i="12"/>
  <c r="R471" i="12"/>
  <c r="S471" i="12"/>
  <c r="P603" i="12"/>
  <c r="N563" i="12"/>
  <c r="O610" i="12"/>
  <c r="P643" i="12"/>
  <c r="F651" i="12"/>
  <c r="T647" i="12"/>
  <c r="N370" i="12"/>
  <c r="M615" i="12"/>
  <c r="S627" i="12"/>
  <c r="M387" i="12"/>
  <c r="K520" i="12"/>
  <c r="I377" i="12"/>
  <c r="I407" i="12"/>
  <c r="S362" i="12"/>
  <c r="Q429" i="12"/>
  <c r="I429" i="12"/>
  <c r="R523" i="12"/>
  <c r="L422" i="12"/>
  <c r="S452" i="12"/>
  <c r="AR559" i="2"/>
  <c r="AQ559" i="2"/>
  <c r="N364" i="12"/>
  <c r="I345" i="12"/>
  <c r="R550" i="12"/>
  <c r="P527" i="12"/>
  <c r="I282" i="12"/>
  <c r="M535" i="12"/>
  <c r="L218" i="12"/>
  <c r="N425" i="12"/>
  <c r="S372" i="12"/>
  <c r="P373" i="12"/>
  <c r="T384" i="12"/>
  <c r="K423" i="12"/>
  <c r="F498" i="12"/>
  <c r="G630" i="12"/>
  <c r="L564" i="12"/>
  <c r="S303" i="12"/>
  <c r="O547" i="12"/>
  <c r="I424" i="12"/>
  <c r="P637" i="12"/>
  <c r="R637" i="12"/>
  <c r="L426" i="12"/>
  <c r="O377" i="12"/>
  <c r="O407" i="12"/>
  <c r="R325" i="12"/>
  <c r="L573" i="12"/>
  <c r="T573" i="12"/>
  <c r="S620" i="12"/>
  <c r="F456" i="12"/>
  <c r="U475" i="2"/>
  <c r="L362" i="12"/>
  <c r="T254" i="12"/>
  <c r="L560" i="12"/>
  <c r="K228" i="12"/>
  <c r="Q567" i="12"/>
  <c r="S586" i="12"/>
  <c r="P436" i="12"/>
  <c r="R524" i="12"/>
  <c r="J255" i="12"/>
  <c r="M209" i="12"/>
  <c r="P559" i="12"/>
  <c r="N494" i="12"/>
  <c r="L442" i="12"/>
  <c r="I522" i="12"/>
  <c r="K353" i="12"/>
  <c r="F514" i="12"/>
  <c r="U411" i="2"/>
  <c r="N331" i="12"/>
  <c r="L331" i="12"/>
  <c r="N545" i="12"/>
  <c r="Q228" i="12"/>
  <c r="J395" i="12"/>
  <c r="G163" i="12"/>
  <c r="P504" i="12"/>
  <c r="I489" i="12"/>
  <c r="P334" i="12"/>
  <c r="I260" i="12"/>
  <c r="K443" i="12"/>
  <c r="K616" i="12"/>
  <c r="G293" i="12"/>
  <c r="I285" i="12"/>
  <c r="T604" i="12"/>
  <c r="Q229" i="12"/>
  <c r="T288" i="12"/>
  <c r="J278" i="12"/>
  <c r="J260" i="12"/>
  <c r="P243" i="12"/>
  <c r="G359" i="12"/>
  <c r="Q270" i="12"/>
  <c r="R490" i="12"/>
  <c r="G571" i="12"/>
  <c r="Q304" i="12"/>
  <c r="K511" i="12"/>
  <c r="S94" i="12"/>
  <c r="T190" i="12"/>
  <c r="Q205" i="12"/>
  <c r="N115" i="12"/>
  <c r="N321" i="12"/>
  <c r="N287" i="12"/>
  <c r="N639" i="12"/>
  <c r="N590" i="12"/>
  <c r="N260" i="12"/>
  <c r="N562" i="12"/>
  <c r="N543" i="12"/>
  <c r="N390" i="12"/>
  <c r="N254" i="12"/>
  <c r="N449" i="12"/>
  <c r="N351" i="12"/>
  <c r="N574" i="12"/>
  <c r="N377" i="12"/>
  <c r="N486" i="12"/>
  <c r="N479" i="12"/>
  <c r="N580" i="12"/>
  <c r="N586" i="12"/>
  <c r="N346" i="12"/>
  <c r="N651" i="12"/>
  <c r="N619" i="12"/>
  <c r="N285" i="12"/>
  <c r="N524" i="12"/>
  <c r="N404" i="12"/>
  <c r="N604" i="12"/>
  <c r="N411" i="12"/>
  <c r="N407" i="12"/>
  <c r="N179" i="12"/>
  <c r="N436" i="12"/>
  <c r="N527" i="12"/>
  <c r="N647" i="12"/>
  <c r="N232" i="12"/>
  <c r="N300" i="12"/>
  <c r="N428" i="12"/>
  <c r="N459" i="12"/>
  <c r="N503" i="12"/>
  <c r="N559" i="12"/>
  <c r="N365" i="12"/>
  <c r="N172" i="12"/>
  <c r="N255" i="12"/>
  <c r="N349" i="12"/>
  <c r="N362" i="12"/>
  <c r="N348" i="12"/>
  <c r="N614" i="12"/>
  <c r="N454" i="12"/>
  <c r="N575" i="12"/>
  <c r="L112" i="12"/>
  <c r="F478" i="12"/>
  <c r="U403" i="2"/>
  <c r="K478" i="12"/>
  <c r="M242" i="12"/>
  <c r="S190" i="12"/>
  <c r="Q262" i="12"/>
  <c r="G496" i="12"/>
  <c r="Z703" i="12"/>
  <c r="Q149" i="12"/>
  <c r="Q249" i="12"/>
  <c r="Q494" i="12"/>
  <c r="Q245" i="12"/>
  <c r="Q577" i="12"/>
  <c r="Q535" i="12"/>
  <c r="Q418" i="12"/>
  <c r="Q503" i="12"/>
  <c r="Q529" i="12"/>
  <c r="Q242" i="12"/>
  <c r="Q295" i="12"/>
  <c r="Q476" i="12"/>
  <c r="Q550" i="12"/>
  <c r="Q601" i="12"/>
  <c r="Q287" i="12"/>
  <c r="Q459" i="12"/>
  <c r="Q481" i="12"/>
  <c r="Q479" i="12"/>
  <c r="Q426" i="12"/>
  <c r="Q353" i="12"/>
  <c r="Q645" i="12"/>
  <c r="Q560" i="12"/>
  <c r="Q533" i="12"/>
  <c r="Q341" i="12"/>
  <c r="Q286" i="12"/>
  <c r="Q654" i="12"/>
  <c r="Q609" i="12"/>
  <c r="Q622" i="12"/>
  <c r="Q473" i="12"/>
  <c r="Q451" i="12"/>
  <c r="Q260" i="12"/>
  <c r="Q407" i="12"/>
  <c r="Q627" i="12"/>
  <c r="Q335" i="12"/>
  <c r="Q517" i="12"/>
  <c r="Q214" i="12"/>
  <c r="Q314" i="12"/>
  <c r="Q378" i="12"/>
  <c r="Q461" i="12"/>
  <c r="Q586" i="12"/>
  <c r="Q528" i="12"/>
  <c r="Q278" i="12"/>
  <c r="Q308" i="12"/>
  <c r="Q507" i="12"/>
  <c r="Q505" i="12"/>
  <c r="Q620" i="12"/>
  <c r="Q265" i="12"/>
  <c r="Q524" i="12"/>
  <c r="Q576" i="12"/>
  <c r="Q563" i="12"/>
  <c r="Q362" i="12"/>
  <c r="Q619" i="12"/>
  <c r="Q273" i="12"/>
  <c r="Q282" i="12"/>
  <c r="Q570" i="12"/>
  <c r="Q485" i="12"/>
  <c r="Q382" i="12"/>
  <c r="Q247" i="12"/>
  <c r="Q491" i="12"/>
  <c r="Q348" i="12"/>
  <c r="Q543" i="12"/>
  <c r="Q565" i="12"/>
  <c r="Q456" i="12"/>
  <c r="Q365" i="12"/>
  <c r="T206" i="12"/>
  <c r="T338" i="12"/>
  <c r="R309" i="12"/>
  <c r="P245" i="12"/>
  <c r="F137" i="12"/>
  <c r="U216" i="2"/>
  <c r="I224" i="12"/>
  <c r="K198" i="12"/>
  <c r="K330" i="12"/>
  <c r="K562" i="12"/>
  <c r="K499" i="12"/>
  <c r="K245" i="12"/>
  <c r="K362" i="12"/>
  <c r="K387" i="12"/>
  <c r="K428" i="12"/>
  <c r="K535" i="12"/>
  <c r="K485" i="12"/>
  <c r="K559" i="12"/>
  <c r="K286" i="12"/>
  <c r="K419" i="12"/>
  <c r="K370" i="12"/>
  <c r="K329" i="12"/>
  <c r="K486" i="12"/>
  <c r="K453" i="12"/>
  <c r="K290" i="12"/>
  <c r="K615" i="12"/>
  <c r="K218" i="12"/>
  <c r="K556" i="12"/>
  <c r="K414" i="12"/>
  <c r="K621" i="12"/>
  <c r="K395" i="12"/>
  <c r="K337" i="12"/>
  <c r="K611" i="12"/>
  <c r="K585" i="12"/>
  <c r="K610" i="12"/>
  <c r="K574" i="12"/>
  <c r="K531" i="12"/>
  <c r="K335" i="12"/>
  <c r="K352" i="12"/>
  <c r="K540" i="12"/>
  <c r="K491" i="12"/>
  <c r="K396" i="12"/>
  <c r="K587" i="12"/>
  <c r="K420" i="12"/>
  <c r="K343" i="12"/>
  <c r="K160" i="12"/>
  <c r="K314" i="12"/>
  <c r="K503" i="12"/>
  <c r="K488" i="12"/>
  <c r="K480" i="12"/>
  <c r="K492" i="12"/>
  <c r="K313" i="12"/>
  <c r="L290" i="12"/>
  <c r="I572" i="12"/>
  <c r="J532" i="12"/>
  <c r="I599" i="12"/>
  <c r="M566" i="12"/>
  <c r="S643" i="12"/>
  <c r="Z708" i="12"/>
  <c r="M600" i="12"/>
  <c r="P650" i="12"/>
  <c r="T635" i="12"/>
  <c r="R527" i="12"/>
  <c r="P616" i="12"/>
  <c r="N591" i="12"/>
  <c r="F311" i="12"/>
  <c r="U480" i="2"/>
  <c r="O286" i="12"/>
  <c r="J355" i="12"/>
  <c r="Q477" i="12"/>
  <c r="F421" i="12"/>
  <c r="U643" i="2"/>
  <c r="G471" i="12"/>
  <c r="O637" i="12"/>
  <c r="J603" i="12"/>
  <c r="P563" i="12"/>
  <c r="K652" i="12"/>
  <c r="S378" i="12"/>
  <c r="M352" i="12"/>
  <c r="Q454" i="12"/>
  <c r="S550" i="12"/>
  <c r="O411" i="12"/>
  <c r="N525" i="12"/>
  <c r="L576" i="12"/>
  <c r="T353" i="12"/>
  <c r="T456" i="12"/>
  <c r="I362" i="12"/>
  <c r="F483" i="12"/>
  <c r="F429" i="12"/>
  <c r="U620" i="2"/>
  <c r="S429" i="12"/>
  <c r="I523" i="12"/>
  <c r="M422" i="12"/>
  <c r="F452" i="12"/>
  <c r="X708" i="12"/>
  <c r="AL559" i="2"/>
  <c r="G613" i="12"/>
  <c r="U552" i="2"/>
  <c r="S647" i="12"/>
  <c r="L615" i="12"/>
  <c r="G550" i="12"/>
  <c r="I585" i="12"/>
  <c r="K620" i="12"/>
  <c r="T520" i="12"/>
  <c r="Q621" i="12"/>
  <c r="N311" i="12"/>
  <c r="N265" i="12"/>
  <c r="N505" i="12"/>
  <c r="O425" i="12"/>
  <c r="F467" i="12"/>
  <c r="T372" i="12"/>
  <c r="F373" i="12"/>
  <c r="U616" i="2"/>
  <c r="P384" i="12"/>
  <c r="L423" i="12"/>
  <c r="S641" i="12"/>
  <c r="P438" i="12"/>
  <c r="Q482" i="12"/>
  <c r="M644" i="12"/>
  <c r="M378" i="12"/>
  <c r="L613" i="12"/>
  <c r="P647" i="12"/>
  <c r="O627" i="12"/>
  <c r="G520" i="12"/>
  <c r="N453" i="12"/>
  <c r="I325" i="12"/>
  <c r="N573" i="12"/>
  <c r="M573" i="12"/>
  <c r="F580" i="12"/>
  <c r="U446" i="2"/>
  <c r="T453" i="12"/>
  <c r="F380" i="12"/>
  <c r="U404" i="2"/>
  <c r="F292" i="12"/>
  <c r="U367" i="2"/>
  <c r="S574" i="12"/>
  <c r="T504" i="12"/>
  <c r="G524" i="12"/>
  <c r="U395" i="2"/>
  <c r="N295" i="12"/>
  <c r="X728" i="12"/>
  <c r="S576" i="12"/>
  <c r="R592" i="12"/>
  <c r="O246" i="12"/>
  <c r="O503" i="12"/>
  <c r="K609" i="12"/>
  <c r="O533" i="12"/>
  <c r="I436" i="12"/>
  <c r="K334" i="12"/>
  <c r="Q293" i="12"/>
  <c r="P364" i="12"/>
  <c r="M300" i="12"/>
  <c r="T390" i="12"/>
  <c r="S559" i="12"/>
  <c r="K604" i="12"/>
  <c r="F288" i="12"/>
  <c r="U425" i="2"/>
  <c r="K461" i="12"/>
  <c r="X724" i="12"/>
  <c r="I235" i="12"/>
  <c r="R171" i="12"/>
  <c r="I166" i="12"/>
  <c r="I580" i="12"/>
  <c r="I364" i="12"/>
  <c r="I480" i="12"/>
  <c r="I604" i="12"/>
  <c r="I491" i="12"/>
  <c r="I635" i="12"/>
  <c r="I365" i="12"/>
  <c r="I390" i="12"/>
  <c r="I416" i="12"/>
  <c r="I531" i="12"/>
  <c r="I562" i="12"/>
  <c r="I214" i="12"/>
  <c r="I314" i="12"/>
  <c r="I619" i="12"/>
  <c r="I556" i="12"/>
  <c r="I499" i="12"/>
  <c r="I620" i="12"/>
  <c r="I366" i="12"/>
  <c r="I329" i="12"/>
  <c r="I287" i="12"/>
  <c r="I488" i="12"/>
  <c r="I254" i="12"/>
  <c r="I387" i="12"/>
  <c r="I428" i="12"/>
  <c r="I591" i="12"/>
  <c r="I443" i="12"/>
  <c r="I574" i="12"/>
  <c r="I308" i="12"/>
  <c r="I650" i="12"/>
  <c r="I527" i="12"/>
  <c r="I337" i="12"/>
  <c r="I577" i="12"/>
  <c r="I506" i="12"/>
  <c r="I507" i="12"/>
  <c r="I473" i="12"/>
  <c r="I600" i="12"/>
  <c r="I205" i="12"/>
  <c r="I266" i="12"/>
  <c r="I545" i="12"/>
  <c r="I586" i="12"/>
  <c r="I245" i="12"/>
  <c r="I232" i="12"/>
  <c r="I629" i="12"/>
  <c r="X668" i="12"/>
  <c r="AL149" i="2"/>
  <c r="X683" i="12"/>
  <c r="X691" i="12"/>
  <c r="X689" i="12"/>
  <c r="K435" i="12"/>
  <c r="S270" i="12"/>
  <c r="AB709" i="12"/>
  <c r="I190" i="12"/>
  <c r="G442" i="12"/>
  <c r="R229" i="12"/>
  <c r="N338" i="12"/>
  <c r="Q209" i="12"/>
  <c r="T570" i="12"/>
  <c r="R496" i="12"/>
  <c r="M198" i="12"/>
  <c r="T189" i="12"/>
  <c r="J318" i="12"/>
  <c r="F263" i="12"/>
  <c r="U196" i="2"/>
  <c r="F621" i="12"/>
  <c r="F365" i="12"/>
  <c r="F267" i="12"/>
  <c r="F480" i="12"/>
  <c r="F94" i="12"/>
  <c r="F245" i="12"/>
  <c r="F348" i="12"/>
  <c r="F392" i="12"/>
  <c r="F287" i="12"/>
  <c r="F396" i="12"/>
  <c r="F224" i="12"/>
  <c r="F246" i="12"/>
  <c r="F250" i="12"/>
  <c r="F309" i="12"/>
  <c r="F314" i="12"/>
  <c r="F473" i="12"/>
  <c r="F622" i="12"/>
  <c r="F613" i="12"/>
  <c r="F510" i="12"/>
  <c r="F319" i="12"/>
  <c r="F356" i="12"/>
  <c r="F190" i="12"/>
  <c r="F403" i="12"/>
  <c r="F420" i="12"/>
  <c r="F419" i="12"/>
  <c r="F601" i="12"/>
  <c r="F289" i="12"/>
  <c r="F313" i="12"/>
  <c r="F308" i="12"/>
  <c r="F562" i="12"/>
  <c r="F524" i="12"/>
  <c r="F494" i="12"/>
  <c r="F363" i="12"/>
  <c r="F485" i="12"/>
  <c r="F435" i="12"/>
  <c r="F565" i="12"/>
  <c r="F550" i="12"/>
  <c r="F221" i="12"/>
  <c r="F275" i="12"/>
  <c r="F218" i="12"/>
  <c r="F389" i="12"/>
  <c r="F559" i="12"/>
  <c r="F249" i="12"/>
  <c r="F362" i="12"/>
  <c r="F619" i="12"/>
  <c r="F479" i="12"/>
  <c r="F513" i="12"/>
  <c r="F503" i="12"/>
  <c r="F377" i="12"/>
  <c r="S163" i="12"/>
  <c r="G502" i="12"/>
  <c r="Q159" i="12"/>
  <c r="L179" i="12"/>
  <c r="G291" i="12"/>
  <c r="L327" i="12"/>
  <c r="N75" i="12"/>
  <c r="AA658" i="12"/>
  <c r="N430" i="12"/>
  <c r="Q602" i="12"/>
  <c r="P518" i="12"/>
  <c r="O518" i="12"/>
  <c r="L388" i="12"/>
  <c r="L433" i="12"/>
  <c r="S555" i="12"/>
  <c r="O354" i="12"/>
  <c r="I606" i="12"/>
  <c r="L583" i="12"/>
  <c r="N307" i="12"/>
  <c r="I581" i="12"/>
  <c r="O563" i="12"/>
  <c r="F443" i="12"/>
  <c r="U557" i="2"/>
  <c r="F587" i="12"/>
  <c r="U555" i="2"/>
  <c r="J339" i="12"/>
  <c r="F532" i="12"/>
  <c r="M426" i="12"/>
  <c r="Q435" i="12"/>
  <c r="M549" i="12"/>
  <c r="L601" i="12"/>
  <c r="S654" i="12"/>
  <c r="J512" i="12"/>
  <c r="M617" i="12"/>
  <c r="R512" i="12"/>
  <c r="N450" i="12"/>
  <c r="K544" i="12"/>
  <c r="N602" i="12"/>
  <c r="N588" i="12"/>
  <c r="P434" i="12"/>
  <c r="O433" i="12"/>
  <c r="M512" i="12"/>
  <c r="M498" i="12"/>
  <c r="L633" i="12"/>
  <c r="O452" i="12"/>
  <c r="O566" i="12"/>
  <c r="L376" i="12"/>
  <c r="Z705" i="12"/>
  <c r="AL606" i="2"/>
  <c r="R636" i="12"/>
  <c r="Q547" i="12"/>
  <c r="P542" i="12"/>
  <c r="Q648" i="12"/>
  <c r="O393" i="12"/>
  <c r="R624" i="12"/>
  <c r="R539" i="12"/>
  <c r="J595" i="12"/>
  <c r="Q558" i="12"/>
  <c r="Q443" i="12"/>
  <c r="R492" i="12"/>
  <c r="S364" i="12"/>
  <c r="G218" i="12"/>
  <c r="U462" i="2"/>
  <c r="N549" i="12"/>
  <c r="G615" i="12"/>
  <c r="I644" i="12"/>
  <c r="L364" i="12"/>
  <c r="I654" i="12"/>
  <c r="I360" i="12"/>
  <c r="L475" i="12"/>
  <c r="G444" i="12"/>
  <c r="L624" i="12"/>
  <c r="F444" i="12"/>
  <c r="U713" i="2"/>
  <c r="P557" i="12"/>
  <c r="O628" i="12"/>
  <c r="K636" i="12"/>
  <c r="J508" i="12"/>
  <c r="F584" i="12"/>
  <c r="U704" i="2"/>
  <c r="F512" i="12"/>
  <c r="U696" i="2"/>
  <c r="M640" i="12"/>
  <c r="O593" i="12"/>
  <c r="T483" i="12"/>
  <c r="O607" i="12"/>
  <c r="N594" i="12"/>
  <c r="M634" i="12"/>
  <c r="N438" i="12"/>
  <c r="I624" i="12"/>
  <c r="R534" i="12"/>
  <c r="I648" i="12"/>
  <c r="I518" i="12"/>
  <c r="G554" i="12"/>
  <c r="Q472" i="12"/>
  <c r="Q646" i="12"/>
  <c r="J444" i="12"/>
  <c r="AB697" i="12"/>
  <c r="AA664" i="12"/>
  <c r="J594" i="12"/>
  <c r="J555" i="12"/>
  <c r="P612" i="12"/>
  <c r="G648" i="12"/>
  <c r="K623" i="12"/>
  <c r="J516" i="12"/>
  <c r="L555" i="12"/>
  <c r="S630" i="12"/>
  <c r="L434" i="12"/>
  <c r="F427" i="12"/>
  <c r="U661" i="2"/>
  <c r="R391" i="12"/>
  <c r="R446" i="12"/>
  <c r="J399" i="12"/>
  <c r="P433" i="12"/>
  <c r="O498" i="12"/>
  <c r="O302" i="12"/>
  <c r="F459" i="12"/>
  <c r="U560" i="2"/>
  <c r="Q465" i="12"/>
  <c r="F638" i="12"/>
  <c r="K634" i="12"/>
  <c r="G369" i="12"/>
  <c r="AA663" i="12"/>
  <c r="J483" i="12"/>
  <c r="G381" i="12"/>
  <c r="P424" i="12"/>
  <c r="AA705" i="12"/>
  <c r="S599" i="12"/>
  <c r="L487" i="12"/>
  <c r="R354" i="12"/>
  <c r="S572" i="12"/>
  <c r="M588" i="12"/>
  <c r="K588" i="12"/>
  <c r="G555" i="12"/>
  <c r="I546" i="12"/>
  <c r="Z710" i="12"/>
  <c r="G360" i="12"/>
  <c r="N467" i="12"/>
  <c r="I431" i="12"/>
  <c r="R381" i="12"/>
  <c r="Q506" i="12"/>
  <c r="T542" i="12"/>
  <c r="G625" i="12"/>
  <c r="L482" i="12"/>
  <c r="P536" i="12"/>
  <c r="L512" i="12"/>
  <c r="R544" i="12"/>
  <c r="T369" i="12"/>
  <c r="F552" i="12"/>
  <c r="Z715" i="12"/>
  <c r="X663" i="12"/>
  <c r="T548" i="12"/>
  <c r="P381" i="12"/>
  <c r="L401" i="12"/>
  <c r="P506" i="12"/>
  <c r="G526" i="12"/>
  <c r="L641" i="12"/>
  <c r="K482" i="12"/>
  <c r="K452" i="12"/>
  <c r="P646" i="12"/>
  <c r="F475" i="12"/>
  <c r="M554" i="12"/>
  <c r="AR686" i="2"/>
  <c r="AQ686" i="2"/>
  <c r="L539" i="12"/>
  <c r="S477" i="12"/>
  <c r="L611" i="12"/>
  <c r="J467" i="12"/>
  <c r="P367" i="12"/>
  <c r="R437" i="12"/>
  <c r="T431" i="12"/>
  <c r="M583" i="12"/>
  <c r="M386" i="12"/>
  <c r="T354" i="12"/>
  <c r="O652" i="12"/>
  <c r="L607" i="12"/>
  <c r="T512" i="12"/>
  <c r="R596" i="12"/>
  <c r="K605" i="12"/>
  <c r="J593" i="12"/>
  <c r="M540" i="12"/>
  <c r="J450" i="12"/>
  <c r="N569" i="12"/>
  <c r="M406" i="12"/>
  <c r="G410" i="12"/>
  <c r="K431" i="12"/>
  <c r="J448" i="12"/>
  <c r="I542" i="12"/>
  <c r="I625" i="12"/>
  <c r="N354" i="12"/>
  <c r="R646" i="12"/>
  <c r="F472" i="12"/>
  <c r="M642" i="12"/>
  <c r="P447" i="12"/>
  <c r="L569" i="12"/>
  <c r="I446" i="12"/>
  <c r="I448" i="12"/>
  <c r="J393" i="12"/>
  <c r="T498" i="12"/>
  <c r="T487" i="12"/>
  <c r="L452" i="12"/>
  <c r="I459" i="12"/>
  <c r="M612" i="12"/>
  <c r="K444" i="12"/>
  <c r="Q632" i="12"/>
  <c r="R551" i="12"/>
  <c r="I633" i="12"/>
  <c r="K360" i="12"/>
  <c r="G569" i="12"/>
  <c r="Q438" i="12"/>
  <c r="S474" i="12"/>
  <c r="J307" i="12"/>
  <c r="I417" i="12"/>
  <c r="G495" i="12"/>
  <c r="Q653" i="12"/>
  <c r="M369" i="12"/>
  <c r="N547" i="12"/>
  <c r="G350" i="12"/>
  <c r="J398" i="12"/>
  <c r="M654" i="12"/>
  <c r="T333" i="12"/>
  <c r="G443" i="12"/>
  <c r="G587" i="12"/>
  <c r="S600" i="12"/>
  <c r="G370" i="12"/>
  <c r="T615" i="12"/>
  <c r="G492" i="12"/>
  <c r="G395" i="12"/>
  <c r="G576" i="12"/>
  <c r="I535" i="12"/>
  <c r="J528" i="12"/>
  <c r="L594" i="12"/>
  <c r="P437" i="12"/>
  <c r="J526" i="12"/>
  <c r="M603" i="12"/>
  <c r="G459" i="12"/>
  <c r="F608" i="12"/>
  <c r="U551" i="2"/>
  <c r="F364" i="12"/>
  <c r="U542" i="2"/>
  <c r="L345" i="12"/>
  <c r="S635" i="12"/>
  <c r="I339" i="12"/>
  <c r="I330" i="12"/>
  <c r="R525" i="12"/>
  <c r="P577" i="12"/>
  <c r="L419" i="12"/>
  <c r="R286" i="12"/>
  <c r="S342" i="12"/>
  <c r="L420" i="12"/>
  <c r="M287" i="12"/>
  <c r="M485" i="12"/>
  <c r="M503" i="12"/>
  <c r="T355" i="12"/>
  <c r="Q471" i="12"/>
  <c r="T451" i="12"/>
  <c r="R549" i="12"/>
  <c r="Q549" i="12"/>
  <c r="M625" i="12"/>
  <c r="G654" i="12"/>
  <c r="Q370" i="12"/>
  <c r="Q615" i="12"/>
  <c r="K550" i="12"/>
  <c r="K426" i="12"/>
  <c r="Q525" i="12"/>
  <c r="O640" i="12"/>
  <c r="G450" i="12"/>
  <c r="F649" i="12"/>
  <c r="K644" i="12"/>
  <c r="O422" i="12"/>
  <c r="T645" i="12"/>
  <c r="M613" i="12"/>
  <c r="G258" i="12"/>
  <c r="M364" i="12"/>
  <c r="S370" i="12"/>
  <c r="P414" i="12"/>
  <c r="M379" i="12"/>
  <c r="F339" i="12"/>
  <c r="R411" i="12"/>
  <c r="P525" i="12"/>
  <c r="M520" i="12"/>
  <c r="K377" i="12"/>
  <c r="T419" i="12"/>
  <c r="T642" i="12"/>
  <c r="T391" i="12"/>
  <c r="I367" i="12"/>
  <c r="T500" i="12"/>
  <c r="K303" i="12"/>
  <c r="T654" i="12"/>
  <c r="N643" i="12"/>
  <c r="J650" i="12"/>
  <c r="K635" i="12"/>
  <c r="G527" i="12"/>
  <c r="L330" i="12"/>
  <c r="F616" i="12"/>
  <c r="U500" i="2"/>
  <c r="O335" i="12"/>
  <c r="S363" i="12"/>
  <c r="M355" i="12"/>
  <c r="G421" i="12"/>
  <c r="G446" i="12"/>
  <c r="T471" i="12"/>
  <c r="F417" i="12"/>
  <c r="I303" i="12"/>
  <c r="K603" i="12"/>
  <c r="M563" i="12"/>
  <c r="S459" i="12"/>
  <c r="Q462" i="12"/>
  <c r="O650" i="12"/>
  <c r="N414" i="12"/>
  <c r="O339" i="12"/>
  <c r="G411" i="12"/>
  <c r="U508" i="2"/>
  <c r="O616" i="12"/>
  <c r="M591" i="12"/>
  <c r="O516" i="12"/>
  <c r="S606" i="12"/>
  <c r="N437" i="12"/>
  <c r="R429" i="12"/>
  <c r="K523" i="12"/>
  <c r="N422" i="12"/>
  <c r="AA708" i="12"/>
  <c r="K608" i="12"/>
  <c r="G647" i="12"/>
  <c r="M414" i="12"/>
  <c r="L387" i="12"/>
  <c r="J520" i="12"/>
  <c r="G621" i="12"/>
  <c r="U487" i="2"/>
  <c r="M286" i="12"/>
  <c r="N529" i="12"/>
  <c r="N516" i="12"/>
  <c r="F425" i="12"/>
  <c r="U655" i="2"/>
  <c r="M437" i="12"/>
  <c r="I372" i="12"/>
  <c r="R373" i="12"/>
  <c r="M423" i="12"/>
  <c r="O423" i="12"/>
  <c r="G553" i="12"/>
  <c r="M367" i="12"/>
  <c r="Z722" i="12"/>
  <c r="M645" i="12"/>
  <c r="O613" i="12"/>
  <c r="N627" i="12"/>
  <c r="F609" i="12"/>
  <c r="U505" i="2"/>
  <c r="S435" i="12"/>
  <c r="T325" i="12"/>
  <c r="J517" i="12"/>
  <c r="R282" i="12"/>
  <c r="P321" i="12"/>
  <c r="I456" i="12"/>
  <c r="K619" i="12"/>
  <c r="M229" i="12"/>
  <c r="R494" i="12"/>
  <c r="G503" i="12"/>
  <c r="G493" i="12"/>
  <c r="F351" i="12"/>
  <c r="U498" i="2"/>
  <c r="L351" i="12"/>
  <c r="P288" i="12"/>
  <c r="O570" i="12"/>
  <c r="P201" i="12"/>
  <c r="G379" i="12"/>
  <c r="T336" i="12"/>
  <c r="J380" i="12"/>
  <c r="O398" i="12"/>
  <c r="K591" i="12"/>
  <c r="I592" i="12"/>
  <c r="I435" i="12"/>
  <c r="L556" i="12"/>
  <c r="J299" i="12"/>
  <c r="S366" i="12"/>
  <c r="N380" i="12"/>
  <c r="F404" i="12"/>
  <c r="U553" i="2"/>
  <c r="U492" i="2"/>
  <c r="O420" i="12"/>
  <c r="L503" i="12"/>
  <c r="J485" i="12"/>
  <c r="O428" i="12"/>
  <c r="R454" i="12"/>
  <c r="L334" i="12"/>
  <c r="K390" i="12"/>
  <c r="J574" i="12"/>
  <c r="P545" i="12"/>
  <c r="K529" i="12"/>
  <c r="J524" i="12"/>
  <c r="J283" i="12"/>
  <c r="S235" i="12"/>
  <c r="G171" i="12"/>
  <c r="J202" i="12"/>
  <c r="J562" i="12"/>
  <c r="J480" i="12"/>
  <c r="J245" i="12"/>
  <c r="J343" i="12"/>
  <c r="J428" i="12"/>
  <c r="J288" i="12"/>
  <c r="J533" i="12"/>
  <c r="J435" i="12"/>
  <c r="J345" i="12"/>
  <c r="J494" i="12"/>
  <c r="J591" i="12"/>
  <c r="J507" i="12"/>
  <c r="J387" i="12"/>
  <c r="J238" i="12"/>
  <c r="J218" i="12"/>
  <c r="J531" i="12"/>
  <c r="J499" i="12"/>
  <c r="J337" i="12"/>
  <c r="J491" i="12"/>
  <c r="J396" i="12"/>
  <c r="J415" i="12"/>
  <c r="J332" i="12"/>
  <c r="J493" i="12"/>
  <c r="J587" i="12"/>
  <c r="J545" i="12"/>
  <c r="J313" i="12"/>
  <c r="J511" i="12"/>
  <c r="J488" i="12"/>
  <c r="J314" i="12"/>
  <c r="J564" i="12"/>
  <c r="J509" i="12"/>
  <c r="J201" i="12"/>
  <c r="J289" i="12"/>
  <c r="J580" i="12"/>
  <c r="J363" i="12"/>
  <c r="J473" i="12"/>
  <c r="J577" i="12"/>
  <c r="J320" i="12"/>
  <c r="J540" i="12"/>
  <c r="J502" i="12"/>
  <c r="J321" i="12"/>
  <c r="J246" i="12"/>
  <c r="J556" i="12"/>
  <c r="J600" i="12"/>
  <c r="J352" i="12"/>
  <c r="J249" i="12"/>
  <c r="J368" i="12"/>
  <c r="J214" i="12"/>
  <c r="J203" i="12"/>
  <c r="J206" i="12"/>
  <c r="J397" i="12"/>
  <c r="J211" i="12"/>
  <c r="J586" i="12"/>
  <c r="J576" i="12"/>
  <c r="J267" i="12"/>
  <c r="J290" i="12"/>
  <c r="J567" i="12"/>
  <c r="J492" i="12"/>
  <c r="J416" i="12"/>
  <c r="J620" i="12"/>
  <c r="N223" i="12"/>
  <c r="R319" i="12"/>
  <c r="J441" i="12"/>
  <c r="J251" i="12"/>
  <c r="F209" i="12"/>
  <c r="T156" i="12"/>
  <c r="K481" i="12"/>
  <c r="R403" i="12"/>
  <c r="I268" i="12"/>
  <c r="O171" i="12"/>
  <c r="Q389" i="12"/>
  <c r="I221" i="12"/>
  <c r="L280" i="12"/>
  <c r="N219" i="12"/>
  <c r="N173" i="12"/>
  <c r="M272" i="12"/>
  <c r="T318" i="12"/>
  <c r="AA726" i="12"/>
  <c r="O612" i="12"/>
  <c r="P633" i="12"/>
  <c r="S495" i="12"/>
  <c r="F400" i="12"/>
  <c r="U583" i="2"/>
  <c r="O551" i="12"/>
  <c r="S564" i="12"/>
  <c r="S430" i="12"/>
  <c r="M569" i="12"/>
  <c r="L618" i="12"/>
  <c r="R393" i="12"/>
  <c r="AA686" i="12"/>
  <c r="J427" i="12"/>
  <c r="L303" i="12"/>
  <c r="AB710" i="12"/>
  <c r="S320" i="12"/>
  <c r="J411" i="12"/>
  <c r="M361" i="12"/>
  <c r="G387" i="12"/>
  <c r="I505" i="12"/>
  <c r="J433" i="12"/>
  <c r="G343" i="12"/>
  <c r="G645" i="12"/>
  <c r="S346" i="12"/>
  <c r="J621" i="12"/>
  <c r="P512" i="12"/>
  <c r="N557" i="12"/>
  <c r="S518" i="12"/>
  <c r="F518" i="12"/>
  <c r="AB664" i="12"/>
  <c r="P532" i="12"/>
  <c r="O427" i="12"/>
  <c r="O600" i="12"/>
  <c r="K593" i="12"/>
  <c r="L483" i="12"/>
  <c r="J404" i="12"/>
  <c r="P558" i="12"/>
  <c r="M410" i="12"/>
  <c r="F617" i="12"/>
  <c r="I450" i="12"/>
  <c r="N352" i="12"/>
  <c r="T630" i="12"/>
  <c r="P417" i="12"/>
  <c r="I286" i="12"/>
  <c r="M608" i="12"/>
  <c r="P422" i="12"/>
  <c r="M622" i="12"/>
  <c r="J350" i="12"/>
  <c r="I370" i="12"/>
  <c r="I594" i="12"/>
  <c r="G634" i="12"/>
  <c r="K554" i="12"/>
  <c r="G594" i="12"/>
  <c r="T602" i="12"/>
  <c r="F557" i="12"/>
  <c r="U705" i="2"/>
  <c r="L598" i="12"/>
  <c r="T472" i="12"/>
  <c r="AB706" i="12"/>
  <c r="L581" i="12"/>
  <c r="N634" i="12"/>
  <c r="S617" i="12"/>
  <c r="O512" i="12"/>
  <c r="N555" i="12"/>
  <c r="M450" i="12"/>
  <c r="T646" i="12"/>
  <c r="S636" i="12"/>
  <c r="T536" i="12"/>
  <c r="L623" i="12"/>
  <c r="R638" i="12"/>
  <c r="G472" i="12"/>
  <c r="G646" i="12"/>
  <c r="N475" i="12"/>
  <c r="T557" i="12"/>
  <c r="S623" i="12"/>
  <c r="G612" i="12"/>
  <c r="X693" i="12"/>
  <c r="L557" i="12"/>
  <c r="K430" i="12"/>
  <c r="T516" i="12"/>
  <c r="G596" i="12"/>
  <c r="M630" i="12"/>
  <c r="M434" i="12"/>
  <c r="P427" i="12"/>
  <c r="K391" i="12"/>
  <c r="F569" i="12"/>
  <c r="U644" i="2"/>
  <c r="AL637" i="2"/>
  <c r="K446" i="12"/>
  <c r="P500" i="12"/>
  <c r="T401" i="12"/>
  <c r="T599" i="12"/>
  <c r="J542" i="12"/>
  <c r="S354" i="12"/>
  <c r="N302" i="12"/>
  <c r="P459" i="12"/>
  <c r="L628" i="12"/>
  <c r="S444" i="12"/>
  <c r="R465" i="12"/>
  <c r="O598" i="12"/>
  <c r="K555" i="12"/>
  <c r="I552" i="12"/>
  <c r="T540" i="12"/>
  <c r="J388" i="12"/>
  <c r="O467" i="12"/>
  <c r="Q446" i="12"/>
  <c r="Q583" i="12"/>
  <c r="O500" i="12"/>
  <c r="S401" i="12"/>
  <c r="O384" i="12"/>
  <c r="N641" i="12"/>
  <c r="N482" i="12"/>
  <c r="G354" i="12"/>
  <c r="G624" i="12"/>
  <c r="J572" i="12"/>
  <c r="F588" i="12"/>
  <c r="U711" i="2"/>
  <c r="L588" i="12"/>
  <c r="O630" i="12"/>
  <c r="N551" i="12"/>
  <c r="N611" i="12"/>
  <c r="S595" i="12"/>
  <c r="G406" i="12"/>
  <c r="N474" i="12"/>
  <c r="L417" i="12"/>
  <c r="N433" i="12"/>
  <c r="G542" i="12"/>
  <c r="P303" i="12"/>
  <c r="K432" i="12"/>
  <c r="L593" i="12"/>
  <c r="T547" i="12"/>
  <c r="K467" i="12"/>
  <c r="F548" i="12"/>
  <c r="U630" i="2"/>
  <c r="R307" i="12"/>
  <c r="J381" i="12"/>
  <c r="K417" i="12"/>
  <c r="K506" i="12"/>
  <c r="Q526" i="12"/>
  <c r="G352" i="12"/>
  <c r="S536" i="12"/>
  <c r="K638" i="12"/>
  <c r="M539" i="12"/>
  <c r="L606" i="12"/>
  <c r="T388" i="12"/>
  <c r="P595" i="12"/>
  <c r="J367" i="12"/>
  <c r="J649" i="12"/>
  <c r="L500" i="12"/>
  <c r="J417" i="12"/>
  <c r="K384" i="12"/>
  <c r="K641" i="12"/>
  <c r="K487" i="12"/>
  <c r="N452" i="12"/>
  <c r="I652" i="12"/>
  <c r="M651" i="12"/>
  <c r="R566" i="12"/>
  <c r="L605" i="12"/>
  <c r="R477" i="12"/>
  <c r="J633" i="12"/>
  <c r="Q360" i="12"/>
  <c r="I467" i="12"/>
  <c r="Q410" i="12"/>
  <c r="J474" i="12"/>
  <c r="N381" i="12"/>
  <c r="Q644" i="12"/>
  <c r="M599" i="12"/>
  <c r="S542" i="12"/>
  <c r="S625" i="12"/>
  <c r="T584" i="12"/>
  <c r="Z685" i="12"/>
  <c r="F642" i="12"/>
  <c r="U674" i="2"/>
  <c r="I447" i="12"/>
  <c r="P360" i="12"/>
  <c r="I474" i="12"/>
  <c r="J424" i="12"/>
  <c r="I384" i="12"/>
  <c r="L599" i="12"/>
  <c r="G498" i="12"/>
  <c r="I487" i="12"/>
  <c r="P534" i="12"/>
  <c r="O588" i="12"/>
  <c r="R632" i="12"/>
  <c r="L430" i="12"/>
  <c r="K551" i="12"/>
  <c r="S633" i="12"/>
  <c r="S611" i="12"/>
  <c r="O421" i="12"/>
  <c r="S438" i="12"/>
  <c r="G474" i="12"/>
  <c r="Q448" i="12"/>
  <c r="L373" i="12"/>
  <c r="S417" i="12"/>
  <c r="K393" i="12"/>
  <c r="M523" i="12"/>
  <c r="X717" i="12"/>
  <c r="F521" i="12"/>
  <c r="O495" i="12"/>
  <c r="N303" i="12"/>
  <c r="K398" i="12"/>
  <c r="F610" i="12"/>
  <c r="U568" i="2"/>
  <c r="R652" i="12"/>
  <c r="R443" i="12"/>
  <c r="Q587" i="12"/>
  <c r="F600" i="12"/>
  <c r="U549" i="2"/>
  <c r="O601" i="12"/>
  <c r="P585" i="12"/>
  <c r="P330" i="12"/>
  <c r="I525" i="12"/>
  <c r="J311" i="12"/>
  <c r="Q555" i="12"/>
  <c r="G376" i="12"/>
  <c r="F645" i="12"/>
  <c r="U558" i="2"/>
  <c r="P608" i="12"/>
  <c r="G635" i="12"/>
  <c r="S330" i="12"/>
  <c r="S225" i="12"/>
  <c r="F577" i="12"/>
  <c r="U483" i="2"/>
  <c r="S528" i="12"/>
  <c r="I342" i="12"/>
  <c r="M619" i="12"/>
  <c r="N229" i="12"/>
  <c r="N245" i="12"/>
  <c r="N570" i="12"/>
  <c r="O447" i="12"/>
  <c r="J451" i="12"/>
  <c r="F549" i="12"/>
  <c r="U597" i="2"/>
  <c r="L653" i="12"/>
  <c r="S400" i="12"/>
  <c r="P600" i="12"/>
  <c r="R364" i="12"/>
  <c r="P566" i="12"/>
  <c r="Z657" i="12"/>
  <c r="J644" i="12"/>
  <c r="L625" i="12"/>
  <c r="I452" i="12"/>
  <c r="J645" i="12"/>
  <c r="Q608" i="12"/>
  <c r="Q258" i="12"/>
  <c r="J647" i="12"/>
  <c r="R414" i="12"/>
  <c r="O492" i="12"/>
  <c r="F411" i="12"/>
  <c r="F525" i="12"/>
  <c r="N576" i="12"/>
  <c r="L353" i="12"/>
  <c r="J419" i="12"/>
  <c r="P547" i="12"/>
  <c r="N406" i="12"/>
  <c r="S433" i="12"/>
  <c r="G487" i="12"/>
  <c r="J654" i="12"/>
  <c r="I378" i="12"/>
  <c r="T650" i="12"/>
  <c r="M629" i="12"/>
  <c r="P411" i="12"/>
  <c r="S419" i="12"/>
  <c r="S396" i="12"/>
  <c r="I363" i="12"/>
  <c r="N355" i="12"/>
  <c r="K421" i="12"/>
  <c r="O410" i="12"/>
  <c r="N423" i="12"/>
  <c r="I400" i="12"/>
  <c r="T452" i="12"/>
  <c r="N443" i="12"/>
  <c r="O462" i="12"/>
  <c r="Z719" i="12"/>
  <c r="R339" i="12"/>
  <c r="Q411" i="12"/>
  <c r="N335" i="12"/>
  <c r="L577" i="12"/>
  <c r="M435" i="12"/>
  <c r="X678" i="12"/>
  <c r="N410" i="12"/>
  <c r="G429" i="12"/>
  <c r="Q498" i="12"/>
  <c r="G422" i="12"/>
  <c r="N610" i="12"/>
  <c r="L343" i="12"/>
  <c r="N635" i="12"/>
  <c r="S622" i="12"/>
  <c r="L395" i="12"/>
  <c r="M525" i="12"/>
  <c r="R377" i="12"/>
  <c r="N528" i="12"/>
  <c r="N342" i="12"/>
  <c r="M472" i="12"/>
  <c r="Q425" i="12"/>
  <c r="P425" i="12"/>
  <c r="N446" i="12"/>
  <c r="N625" i="12"/>
  <c r="Q553" i="12"/>
  <c r="L552" i="12"/>
  <c r="J446" i="12"/>
  <c r="L596" i="12"/>
  <c r="AR660" i="2"/>
  <c r="AQ660" i="2"/>
  <c r="L367" i="12"/>
  <c r="G637" i="12"/>
  <c r="G608" i="12"/>
  <c r="I615" i="12"/>
  <c r="L614" i="12"/>
  <c r="Q305" i="12"/>
  <c r="N392" i="12"/>
  <c r="R576" i="12"/>
  <c r="T286" i="12"/>
  <c r="F647" i="12"/>
  <c r="P591" i="12"/>
  <c r="T218" i="12"/>
  <c r="Z688" i="12"/>
  <c r="G580" i="12"/>
  <c r="I479" i="12"/>
  <c r="P351" i="12"/>
  <c r="P392" i="12"/>
  <c r="M337" i="12"/>
  <c r="F201" i="12"/>
  <c r="U336" i="2"/>
  <c r="T613" i="12"/>
  <c r="U520" i="2"/>
  <c r="M336" i="12"/>
  <c r="P203" i="12"/>
  <c r="T380" i="12"/>
  <c r="J615" i="12"/>
  <c r="I568" i="12"/>
  <c r="P286" i="12"/>
  <c r="T232" i="12"/>
  <c r="T473" i="12"/>
  <c r="O466" i="12"/>
  <c r="J466" i="12"/>
  <c r="I597" i="12"/>
  <c r="L616" i="12"/>
  <c r="O580" i="12"/>
  <c r="Q504" i="12"/>
  <c r="L175" i="12"/>
  <c r="L292" i="12"/>
  <c r="S507" i="12"/>
  <c r="F591" i="12"/>
  <c r="K494" i="12"/>
  <c r="J570" i="12"/>
  <c r="N341" i="12"/>
  <c r="N278" i="12"/>
  <c r="P639" i="12"/>
  <c r="Q639" i="12"/>
  <c r="I576" i="12"/>
  <c r="G286" i="12"/>
  <c r="N533" i="12"/>
  <c r="T245" i="12"/>
  <c r="M278" i="12"/>
  <c r="I454" i="12"/>
  <c r="T574" i="12"/>
  <c r="G545" i="12"/>
  <c r="Q292" i="12"/>
  <c r="O231" i="12"/>
  <c r="Q178" i="12"/>
  <c r="T368" i="12"/>
  <c r="Z695" i="12"/>
  <c r="I121" i="12"/>
  <c r="N496" i="12"/>
  <c r="P249" i="12"/>
  <c r="O193" i="12"/>
  <c r="S275" i="12"/>
  <c r="O631" i="12"/>
  <c r="S389" i="12"/>
  <c r="N193" i="12"/>
  <c r="R172" i="12"/>
  <c r="Q219" i="12"/>
  <c r="S268" i="12"/>
  <c r="J171" i="12"/>
  <c r="M366" i="12"/>
  <c r="T312" i="12"/>
  <c r="I397" i="12"/>
  <c r="S578" i="12"/>
  <c r="S241" i="12"/>
  <c r="I485" i="12"/>
  <c r="S460" i="12"/>
  <c r="N389" i="12"/>
  <c r="G458" i="12"/>
  <c r="J71" i="12"/>
  <c r="Q176" i="12"/>
  <c r="F261" i="12"/>
  <c r="K171" i="12"/>
  <c r="N97" i="12"/>
  <c r="M521" i="12"/>
  <c r="AA711" i="12"/>
  <c r="I437" i="12"/>
  <c r="P350" i="12"/>
  <c r="F618" i="12"/>
  <c r="U573" i="2"/>
  <c r="I605" i="12"/>
  <c r="J588" i="12"/>
  <c r="M487" i="12"/>
  <c r="L630" i="12"/>
  <c r="K448" i="12"/>
  <c r="F634" i="12"/>
  <c r="I406" i="12"/>
  <c r="N401" i="12"/>
  <c r="K642" i="12"/>
  <c r="M469" i="12"/>
  <c r="Z711" i="12"/>
  <c r="Q467" i="12"/>
  <c r="K416" i="12"/>
  <c r="L350" i="12"/>
  <c r="N585" i="12"/>
  <c r="M373" i="12"/>
  <c r="F555" i="12"/>
  <c r="U680" i="2"/>
  <c r="K566" i="12"/>
  <c r="T393" i="12"/>
  <c r="G602" i="12"/>
  <c r="N554" i="12"/>
  <c r="S427" i="12"/>
  <c r="P487" i="12"/>
  <c r="S381" i="12"/>
  <c r="F424" i="12"/>
  <c r="U614" i="2"/>
  <c r="T588" i="12"/>
  <c r="M448" i="12"/>
  <c r="F393" i="12"/>
  <c r="U600" i="2"/>
  <c r="AB686" i="12"/>
  <c r="R360" i="12"/>
  <c r="F367" i="12"/>
  <c r="U638" i="2"/>
  <c r="J354" i="12"/>
  <c r="K546" i="12"/>
  <c r="O307" i="12"/>
  <c r="J400" i="12"/>
  <c r="S434" i="12"/>
  <c r="M431" i="12"/>
  <c r="T398" i="12"/>
  <c r="P587" i="12"/>
  <c r="G451" i="12"/>
  <c r="Q343" i="12"/>
  <c r="I544" i="12"/>
  <c r="L404" i="12"/>
  <c r="S527" i="12"/>
  <c r="Q311" i="12"/>
  <c r="I548" i="12"/>
  <c r="S584" i="12"/>
  <c r="Q634" i="12"/>
  <c r="Q557" i="12"/>
  <c r="J538" i="12"/>
  <c r="S538" i="12"/>
  <c r="G557" i="12"/>
  <c r="X685" i="12"/>
  <c r="AL684" i="2"/>
  <c r="S596" i="12"/>
  <c r="R538" i="12"/>
  <c r="P430" i="12"/>
  <c r="T617" i="12"/>
  <c r="P607" i="12"/>
  <c r="K648" i="12"/>
  <c r="S554" i="12"/>
  <c r="O594" i="12"/>
  <c r="X726" i="12"/>
  <c r="AL673" i="2"/>
  <c r="O360" i="12"/>
  <c r="I617" i="12"/>
  <c r="R602" i="12"/>
  <c r="R475" i="12"/>
  <c r="O584" i="12"/>
  <c r="N360" i="12"/>
  <c r="J646" i="12"/>
  <c r="I636" i="12"/>
  <c r="J536" i="12"/>
  <c r="S598" i="12"/>
  <c r="S566" i="12"/>
  <c r="AB720" i="12"/>
  <c r="O534" i="12"/>
  <c r="J557" i="12"/>
  <c r="I623" i="12"/>
  <c r="O638" i="12"/>
  <c r="K538" i="12"/>
  <c r="K596" i="12"/>
  <c r="Q612" i="12"/>
  <c r="M516" i="12"/>
  <c r="K516" i="12"/>
  <c r="Z681" i="12"/>
  <c r="K447" i="12"/>
  <c r="G434" i="12"/>
  <c r="G427" i="12"/>
  <c r="L391" i="12"/>
  <c r="R611" i="12"/>
  <c r="K406" i="12"/>
  <c r="L446" i="12"/>
  <c r="R376" i="12"/>
  <c r="R583" i="12"/>
  <c r="G500" i="12"/>
  <c r="U618" i="2"/>
  <c r="G401" i="12"/>
  <c r="G599" i="12"/>
  <c r="N361" i="12"/>
  <c r="I465" i="12"/>
  <c r="P544" i="12"/>
  <c r="F540" i="12"/>
  <c r="O532" i="12"/>
  <c r="I410" i="12"/>
  <c r="F599" i="12"/>
  <c r="O641" i="12"/>
  <c r="Q452" i="12"/>
  <c r="K628" i="12"/>
  <c r="T572" i="12"/>
  <c r="P588" i="12"/>
  <c r="O475" i="12"/>
  <c r="F554" i="12"/>
  <c r="G447" i="12"/>
  <c r="I388" i="12"/>
  <c r="O483" i="12"/>
  <c r="T399" i="12"/>
  <c r="R564" i="12"/>
  <c r="P386" i="12"/>
  <c r="T603" i="12"/>
  <c r="F534" i="12"/>
  <c r="S557" i="12"/>
  <c r="I642" i="12"/>
  <c r="F547" i="12"/>
  <c r="U650" i="2"/>
  <c r="Q595" i="12"/>
  <c r="M483" i="12"/>
  <c r="M474" i="12"/>
  <c r="T381" i="12"/>
  <c r="S644" i="12"/>
  <c r="O506" i="12"/>
  <c r="K526" i="12"/>
  <c r="Q625" i="12"/>
  <c r="O454" i="12"/>
  <c r="S628" i="12"/>
  <c r="R557" i="12"/>
  <c r="Q598" i="12"/>
  <c r="O472" i="12"/>
  <c r="O539" i="12"/>
  <c r="S605" i="12"/>
  <c r="K633" i="12"/>
  <c r="R595" i="12"/>
  <c r="T367" i="12"/>
  <c r="P307" i="12"/>
  <c r="AR617" i="2"/>
  <c r="AQ617" i="2"/>
  <c r="K653" i="12"/>
  <c r="K350" i="12"/>
  <c r="M618" i="12"/>
  <c r="S652" i="12"/>
  <c r="N508" i="12"/>
  <c r="I566" i="12"/>
  <c r="Q369" i="12"/>
  <c r="K630" i="12"/>
  <c r="F605" i="12"/>
  <c r="U666" i="2"/>
  <c r="O477" i="12"/>
  <c r="AQ652" i="2"/>
  <c r="AR652" i="2"/>
  <c r="S360" i="12"/>
  <c r="O595" i="12"/>
  <c r="Q437" i="12"/>
  <c r="J521" i="12"/>
  <c r="P399" i="12"/>
  <c r="AA666" i="12"/>
  <c r="M542" i="12"/>
  <c r="M303" i="12"/>
  <c r="N632" i="12"/>
  <c r="P642" i="12"/>
  <c r="J447" i="12"/>
  <c r="Z678" i="12"/>
  <c r="K583" i="12"/>
  <c r="AR613" i="2"/>
  <c r="AQ613" i="2"/>
  <c r="K386" i="12"/>
  <c r="S482" i="12"/>
  <c r="J618" i="12"/>
  <c r="Q508" i="12"/>
  <c r="L444" i="12"/>
  <c r="I632" i="12"/>
  <c r="L566" i="12"/>
  <c r="K552" i="12"/>
  <c r="L551" i="12"/>
  <c r="M633" i="12"/>
  <c r="K367" i="12"/>
  <c r="K410" i="12"/>
  <c r="Q474" i="12"/>
  <c r="I469" i="12"/>
  <c r="M417" i="12"/>
  <c r="T506" i="12"/>
  <c r="I526" i="12"/>
  <c r="AB717" i="12"/>
  <c r="T532" i="12"/>
  <c r="L399" i="12"/>
  <c r="P451" i="12"/>
  <c r="S487" i="12"/>
  <c r="L398" i="12"/>
  <c r="R610" i="12"/>
  <c r="S443" i="12"/>
  <c r="R587" i="12"/>
  <c r="G414" i="12"/>
  <c r="M601" i="12"/>
  <c r="J616" i="12"/>
  <c r="I335" i="12"/>
  <c r="L369" i="12"/>
  <c r="O431" i="12"/>
  <c r="G641" i="12"/>
  <c r="N333" i="12"/>
  <c r="O416" i="12"/>
  <c r="O404" i="12"/>
  <c r="J651" i="12"/>
  <c r="T370" i="12"/>
  <c r="I346" i="12"/>
  <c r="P629" i="12"/>
  <c r="Q492" i="12"/>
  <c r="N609" i="12"/>
  <c r="S616" i="12"/>
  <c r="O520" i="12"/>
  <c r="I225" i="12"/>
  <c r="Q313" i="12"/>
  <c r="I528" i="12"/>
  <c r="Q329" i="12"/>
  <c r="M606" i="12"/>
  <c r="I583" i="12"/>
  <c r="K451" i="12"/>
  <c r="S549" i="12"/>
  <c r="Q487" i="12"/>
  <c r="M333" i="12"/>
  <c r="N600" i="12"/>
  <c r="R650" i="12"/>
  <c r="S339" i="12"/>
  <c r="T614" i="12"/>
  <c r="M609" i="12"/>
  <c r="S355" i="12"/>
  <c r="K569" i="12"/>
  <c r="F448" i="12"/>
  <c r="J469" i="12"/>
  <c r="R400" i="12"/>
  <c r="I618" i="12"/>
  <c r="K645" i="12"/>
  <c r="I258" i="12"/>
  <c r="S454" i="12"/>
  <c r="I414" i="12"/>
  <c r="K601" i="12"/>
  <c r="I492" i="12"/>
  <c r="O395" i="12"/>
  <c r="Q616" i="12"/>
  <c r="O591" i="12"/>
  <c r="N434" i="12"/>
  <c r="S450" i="12"/>
  <c r="X667" i="12"/>
  <c r="T653" i="12"/>
  <c r="K654" i="12"/>
  <c r="T378" i="12"/>
  <c r="O443" i="12"/>
  <c r="O352" i="12"/>
  <c r="K650" i="12"/>
  <c r="L305" i="12"/>
  <c r="S392" i="12"/>
  <c r="P225" i="12"/>
  <c r="M577" i="12"/>
  <c r="I419" i="12"/>
  <c r="I396" i="12"/>
  <c r="T365" i="12"/>
  <c r="S453" i="12"/>
  <c r="O355" i="12"/>
  <c r="P540" i="12"/>
  <c r="I421" i="12"/>
  <c r="J471" i="12"/>
  <c r="M393" i="12"/>
  <c r="F487" i="12"/>
  <c r="G618" i="12"/>
  <c r="N416" i="12"/>
  <c r="F462" i="12"/>
  <c r="U539" i="2"/>
  <c r="Q346" i="12"/>
  <c r="O635" i="12"/>
  <c r="M492" i="12"/>
  <c r="M395" i="12"/>
  <c r="R392" i="12"/>
  <c r="M313" i="12"/>
  <c r="N286" i="12"/>
  <c r="G598" i="12"/>
  <c r="AR654" i="2"/>
  <c r="AQ654" i="2"/>
  <c r="T429" i="12"/>
  <c r="Q350" i="12"/>
  <c r="Q422" i="12"/>
  <c r="M443" i="12"/>
  <c r="J629" i="12"/>
  <c r="N616" i="12"/>
  <c r="K576" i="12"/>
  <c r="S353" i="12"/>
  <c r="Q453" i="12"/>
  <c r="AB685" i="12"/>
  <c r="U627" i="2"/>
  <c r="K372" i="12"/>
  <c r="I373" i="12"/>
  <c r="F423" i="12"/>
  <c r="U604" i="2"/>
  <c r="S423" i="12"/>
  <c r="R553" i="12"/>
  <c r="J548" i="12"/>
  <c r="P406" i="12"/>
  <c r="G433" i="12"/>
  <c r="S637" i="12"/>
  <c r="G600" i="12"/>
  <c r="K462" i="12"/>
  <c r="J414" i="12"/>
  <c r="K339" i="12"/>
  <c r="G305" i="12"/>
  <c r="T335" i="12"/>
  <c r="T535" i="12"/>
  <c r="J286" i="12"/>
  <c r="O287" i="12"/>
  <c r="G573" i="12"/>
  <c r="T345" i="12"/>
  <c r="N517" i="12"/>
  <c r="F614" i="12"/>
  <c r="U511" i="2"/>
  <c r="Q321" i="12"/>
  <c r="I218" i="12"/>
  <c r="F336" i="12"/>
  <c r="U434" i="2"/>
  <c r="P260" i="12"/>
  <c r="F175" i="12"/>
  <c r="U375" i="2"/>
  <c r="I589" i="12"/>
  <c r="G575" i="12"/>
  <c r="L533" i="12"/>
  <c r="F541" i="12"/>
  <c r="U356" i="2"/>
  <c r="M531" i="12"/>
  <c r="S273" i="12"/>
  <c r="R565" i="12"/>
  <c r="G203" i="12"/>
  <c r="R589" i="12"/>
  <c r="O510" i="12"/>
  <c r="O368" i="12"/>
  <c r="F466" i="12"/>
  <c r="U535" i="2"/>
  <c r="T466" i="12"/>
  <c r="S597" i="12"/>
  <c r="L286" i="12"/>
  <c r="O329" i="12"/>
  <c r="M304" i="12"/>
  <c r="I497" i="12"/>
  <c r="K379" i="12"/>
  <c r="L347" i="12"/>
  <c r="J582" i="12"/>
  <c r="J453" i="12"/>
  <c r="P515" i="12"/>
  <c r="I442" i="12"/>
  <c r="F639" i="12"/>
  <c r="U518" i="2"/>
  <c r="N492" i="12"/>
  <c r="Q568" i="12"/>
  <c r="G528" i="12"/>
  <c r="T229" i="12"/>
  <c r="L380" i="12"/>
  <c r="Q255" i="12"/>
  <c r="N418" i="12"/>
  <c r="K282" i="12"/>
  <c r="F528" i="12"/>
  <c r="U470" i="2"/>
  <c r="Q337" i="12"/>
  <c r="J504" i="12"/>
  <c r="G292" i="12"/>
  <c r="J389" i="12"/>
  <c r="K159" i="12"/>
  <c r="J148" i="12"/>
  <c r="I183" i="12"/>
  <c r="M476" i="12"/>
  <c r="Z659" i="12"/>
  <c r="Z683" i="12"/>
  <c r="Z713" i="12"/>
  <c r="T236" i="12"/>
  <c r="J193" i="12"/>
  <c r="T567" i="12"/>
  <c r="N160" i="12"/>
  <c r="P314" i="12"/>
  <c r="P362" i="12"/>
  <c r="M322" i="12"/>
  <c r="M408" i="12"/>
  <c r="M193" i="12"/>
  <c r="M271" i="12"/>
  <c r="M515" i="12"/>
  <c r="M301" i="12"/>
  <c r="M132" i="12"/>
  <c r="M635" i="12"/>
  <c r="M265" i="12"/>
  <c r="M616" i="12"/>
  <c r="M440" i="12"/>
  <c r="M570" i="12"/>
  <c r="M402" i="12"/>
  <c r="M389" i="12"/>
  <c r="M245" i="12"/>
  <c r="M412" i="12"/>
  <c r="M65" i="12"/>
  <c r="M461" i="12"/>
  <c r="M556" i="12"/>
  <c r="M342" i="12"/>
  <c r="M290" i="12"/>
  <c r="M479" i="12"/>
  <c r="M183" i="12"/>
  <c r="M318" i="12"/>
  <c r="M614" i="12"/>
  <c r="M329" i="12"/>
  <c r="M480" i="12"/>
  <c r="M167" i="12"/>
  <c r="M504" i="12"/>
  <c r="M225" i="12"/>
  <c r="M353" i="12"/>
  <c r="M392" i="12"/>
  <c r="M288" i="12"/>
  <c r="M260" i="12"/>
  <c r="M494" i="12"/>
  <c r="M139" i="12"/>
  <c r="M291" i="12"/>
  <c r="M179" i="12"/>
  <c r="M103" i="12"/>
  <c r="M106" i="12"/>
  <c r="M397" i="12"/>
  <c r="M214" i="12"/>
  <c r="M273" i="12"/>
  <c r="M462" i="12"/>
  <c r="M285" i="12"/>
  <c r="M604" i="12"/>
  <c r="M254" i="12"/>
  <c r="M396" i="12"/>
  <c r="M249" i="12"/>
  <c r="M488" i="12"/>
  <c r="M449" i="12"/>
  <c r="M314" i="12"/>
  <c r="M339" i="12"/>
  <c r="M650" i="12"/>
  <c r="M368" i="12"/>
  <c r="M527" i="12"/>
  <c r="M529" i="12"/>
  <c r="M486" i="12"/>
  <c r="M567" i="12"/>
  <c r="M596" i="12"/>
  <c r="M637" i="12"/>
  <c r="M160" i="12"/>
  <c r="M205" i="12"/>
  <c r="M122" i="12"/>
  <c r="M317" i="12"/>
  <c r="M340" i="12"/>
  <c r="M231" i="12"/>
  <c r="M232" i="12"/>
  <c r="M276" i="12"/>
  <c r="M473" i="12"/>
  <c r="M311" i="12"/>
  <c r="M590" i="12"/>
  <c r="M218" i="12"/>
  <c r="M528" i="12"/>
  <c r="M415" i="12"/>
  <c r="M332" i="12"/>
  <c r="M420" i="12"/>
  <c r="M172" i="12"/>
  <c r="M524" i="12"/>
  <c r="M204" i="12"/>
  <c r="M235" i="12"/>
  <c r="M215" i="12"/>
  <c r="M110" i="12"/>
  <c r="M275" i="12"/>
  <c r="M299" i="12"/>
  <c r="M453" i="12"/>
  <c r="M419" i="12"/>
  <c r="M445" i="12"/>
  <c r="M510" i="12"/>
  <c r="M289" i="12"/>
  <c r="M436" i="12"/>
  <c r="M246" i="12"/>
  <c r="M456" i="12"/>
  <c r="M454" i="12"/>
  <c r="M484" i="12"/>
  <c r="M562" i="12"/>
  <c r="M258" i="12"/>
  <c r="M267" i="12"/>
  <c r="M459" i="12"/>
  <c r="O356" i="12"/>
  <c r="S180" i="12"/>
  <c r="M92" i="12"/>
  <c r="P81" i="12"/>
  <c r="J534" i="12"/>
  <c r="O636" i="12"/>
  <c r="F566" i="12"/>
  <c r="G548" i="12"/>
  <c r="T623" i="12"/>
  <c r="M532" i="12"/>
  <c r="K404" i="12"/>
  <c r="O367" i="12"/>
  <c r="T404" i="12"/>
  <c r="G547" i="12"/>
  <c r="N617" i="12"/>
  <c r="Q633" i="12"/>
  <c r="I398" i="12"/>
  <c r="T343" i="12"/>
  <c r="G577" i="12"/>
  <c r="L608" i="12"/>
  <c r="T633" i="12"/>
  <c r="Q339" i="12"/>
  <c r="R607" i="12"/>
  <c r="G538" i="12"/>
  <c r="S648" i="12"/>
  <c r="T594" i="12"/>
  <c r="J640" i="12"/>
  <c r="R448" i="12"/>
  <c r="F433" i="12"/>
  <c r="U598" i="2"/>
  <c r="G465" i="12"/>
  <c r="G564" i="12"/>
  <c r="R444" i="12"/>
  <c r="AA699" i="12"/>
  <c r="N487" i="12"/>
  <c r="R598" i="12"/>
  <c r="L521" i="12"/>
  <c r="O624" i="12"/>
  <c r="F333" i="12"/>
  <c r="U567" i="2"/>
  <c r="S406" i="12"/>
  <c r="O625" i="12"/>
  <c r="L540" i="12"/>
  <c r="T495" i="12"/>
  <c r="K345" i="12"/>
  <c r="G549" i="12"/>
  <c r="K627" i="12"/>
  <c r="R645" i="12"/>
  <c r="N629" i="12"/>
  <c r="F633" i="12"/>
  <c r="N624" i="12"/>
  <c r="Z671" i="12"/>
  <c r="I584" i="12"/>
  <c r="L534" i="12"/>
  <c r="T475" i="12"/>
  <c r="N636" i="12"/>
  <c r="N640" i="12"/>
  <c r="K518" i="12"/>
  <c r="I554" i="12"/>
  <c r="N448" i="12"/>
  <c r="T624" i="12"/>
  <c r="T581" i="12"/>
  <c r="M557" i="12"/>
  <c r="K640" i="12"/>
  <c r="T628" i="12"/>
  <c r="T430" i="12"/>
  <c r="N472" i="12"/>
  <c r="R612" i="12"/>
  <c r="F516" i="12"/>
  <c r="U694" i="2"/>
  <c r="L516" i="12"/>
  <c r="Q606" i="12"/>
  <c r="Q434" i="12"/>
  <c r="Q427" i="12"/>
  <c r="F391" i="12"/>
  <c r="U651" i="2"/>
  <c r="O611" i="12"/>
  <c r="F446" i="12"/>
  <c r="U633" i="2"/>
  <c r="O376" i="12"/>
  <c r="F583" i="12"/>
  <c r="Q500" i="12"/>
  <c r="O417" i="12"/>
  <c r="I393" i="12"/>
  <c r="P653" i="12"/>
  <c r="R386" i="12"/>
  <c r="O482" i="12"/>
  <c r="O361" i="12"/>
  <c r="S465" i="12"/>
  <c r="L546" i="12"/>
  <c r="O633" i="12"/>
  <c r="T595" i="12"/>
  <c r="O521" i="12"/>
  <c r="N649" i="12"/>
  <c r="F401" i="12"/>
  <c r="N653" i="12"/>
  <c r="N350" i="12"/>
  <c r="M572" i="12"/>
  <c r="K572" i="12"/>
  <c r="G588" i="12"/>
  <c r="S544" i="12"/>
  <c r="N606" i="12"/>
  <c r="R540" i="12"/>
  <c r="N532" i="12"/>
  <c r="F595" i="12"/>
  <c r="G437" i="12"/>
  <c r="G399" i="12"/>
  <c r="F564" i="12"/>
  <c r="Q599" i="12"/>
  <c r="N386" i="12"/>
  <c r="Q354" i="12"/>
  <c r="R581" i="12"/>
  <c r="M584" i="12"/>
  <c r="G477" i="12"/>
  <c r="S437" i="12"/>
  <c r="R399" i="12"/>
  <c r="S373" i="12"/>
  <c r="Q564" i="12"/>
  <c r="K498" i="12"/>
  <c r="F625" i="12"/>
  <c r="U585" i="2"/>
  <c r="N618" i="12"/>
  <c r="L643" i="12"/>
  <c r="M607" i="12"/>
  <c r="L584" i="12"/>
  <c r="F539" i="12"/>
  <c r="U683" i="2"/>
  <c r="M427" i="12"/>
  <c r="AL652" i="2"/>
  <c r="M446" i="12"/>
  <c r="M307" i="12"/>
  <c r="P564" i="12"/>
  <c r="N495" i="12"/>
  <c r="S523" i="12"/>
  <c r="J482" i="12"/>
  <c r="K459" i="12"/>
  <c r="P352" i="12"/>
  <c r="R648" i="12"/>
  <c r="Q638" i="12"/>
  <c r="J558" i="12"/>
  <c r="F546" i="12"/>
  <c r="U671" i="2"/>
  <c r="P605" i="12"/>
  <c r="F477" i="12"/>
  <c r="U662" i="2"/>
  <c r="X715" i="12"/>
  <c r="S388" i="12"/>
  <c r="Q367" i="12"/>
  <c r="J437" i="12"/>
  <c r="Q548" i="12"/>
  <c r="I399" i="12"/>
  <c r="N564" i="12"/>
  <c r="L400" i="12"/>
  <c r="M452" i="12"/>
  <c r="N652" i="12"/>
  <c r="G642" i="12"/>
  <c r="Q605" i="12"/>
  <c r="AA678" i="12"/>
  <c r="I521" i="12"/>
  <c r="T649" i="12"/>
  <c r="M401" i="12"/>
  <c r="L506" i="12"/>
  <c r="T641" i="12"/>
  <c r="R432" i="12"/>
  <c r="S302" i="12"/>
  <c r="T607" i="12"/>
  <c r="M632" i="12"/>
  <c r="I536" i="12"/>
  <c r="S632" i="12"/>
  <c r="N558" i="12"/>
  <c r="F551" i="12"/>
  <c r="U658" i="2"/>
  <c r="S391" i="12"/>
  <c r="Q521" i="12"/>
  <c r="R474" i="12"/>
  <c r="I381" i="12"/>
  <c r="S424" i="12"/>
  <c r="P498" i="12"/>
  <c r="AR678" i="2"/>
  <c r="AQ678" i="2"/>
  <c r="F606" i="12"/>
  <c r="K381" i="12"/>
  <c r="O549" i="12"/>
  <c r="M398" i="12"/>
  <c r="S610" i="12"/>
  <c r="Z676" i="12"/>
  <c r="L443" i="12"/>
  <c r="I587" i="12"/>
  <c r="T320" i="12"/>
  <c r="Q345" i="12"/>
  <c r="M627" i="12"/>
  <c r="O622" i="12"/>
  <c r="J225" i="12"/>
  <c r="J505" i="12"/>
  <c r="N630" i="12"/>
  <c r="I354" i="12"/>
  <c r="Q652" i="12"/>
  <c r="F416" i="12"/>
  <c r="U556" i="2"/>
  <c r="Q600" i="12"/>
  <c r="L647" i="12"/>
  <c r="F370" i="12"/>
  <c r="U536" i="2"/>
  <c r="S615" i="12"/>
  <c r="F492" i="12"/>
  <c r="U516" i="2"/>
  <c r="J527" i="12"/>
  <c r="O305" i="12"/>
  <c r="I616" i="12"/>
  <c r="G313" i="12"/>
  <c r="U482" i="2"/>
  <c r="M407" i="12"/>
  <c r="L363" i="12"/>
  <c r="G329" i="12"/>
  <c r="U445" i="2"/>
  <c r="N605" i="12"/>
  <c r="J360" i="12"/>
  <c r="G649" i="12"/>
  <c r="L451" i="12"/>
  <c r="T549" i="12"/>
  <c r="S352" i="12"/>
  <c r="T454" i="12"/>
  <c r="F650" i="12"/>
  <c r="R635" i="12"/>
  <c r="G339" i="12"/>
  <c r="T527" i="12"/>
  <c r="N305" i="12"/>
  <c r="K392" i="12"/>
  <c r="L595" i="12"/>
  <c r="P429" i="12"/>
  <c r="O424" i="12"/>
  <c r="O401" i="12"/>
  <c r="G384" i="12"/>
  <c r="F563" i="12"/>
  <c r="N645" i="12"/>
  <c r="T651" i="12"/>
  <c r="S258" i="12"/>
  <c r="S462" i="12"/>
  <c r="S414" i="12"/>
  <c r="S492" i="12"/>
  <c r="R395" i="12"/>
  <c r="T392" i="12"/>
  <c r="K407" i="12"/>
  <c r="T593" i="12"/>
  <c r="K376" i="12"/>
  <c r="Q417" i="12"/>
  <c r="F482" i="12"/>
  <c r="N654" i="12"/>
  <c r="J378" i="12"/>
  <c r="S416" i="12"/>
  <c r="M320" i="12"/>
  <c r="M345" i="12"/>
  <c r="J601" i="12"/>
  <c r="I392" i="12"/>
  <c r="F225" i="12"/>
  <c r="U490" i="2"/>
  <c r="N313" i="12"/>
  <c r="T407" i="12"/>
  <c r="T362" i="12"/>
  <c r="J365" i="12"/>
  <c r="I453" i="12"/>
  <c r="G355" i="12"/>
  <c r="R425" i="12"/>
  <c r="J421" i="12"/>
  <c r="L649" i="12"/>
  <c r="K471" i="12"/>
  <c r="R653" i="12"/>
  <c r="I563" i="12"/>
  <c r="N587" i="12"/>
  <c r="L320" i="12"/>
  <c r="P462" i="12"/>
  <c r="O346" i="12"/>
  <c r="L629" i="12"/>
  <c r="T622" i="12"/>
  <c r="T609" i="12"/>
  <c r="S348" i="12"/>
  <c r="N535" i="12"/>
  <c r="T474" i="12"/>
  <c r="X701" i="12"/>
  <c r="S422" i="12"/>
  <c r="N637" i="12"/>
  <c r="M416" i="12"/>
  <c r="K600" i="12"/>
  <c r="T379" i="12"/>
  <c r="N339" i="12"/>
  <c r="R426" i="12"/>
  <c r="J330" i="12"/>
  <c r="L591" i="12"/>
  <c r="Q419" i="12"/>
  <c r="Q396" i="12"/>
  <c r="Q420" i="12"/>
  <c r="G453" i="12"/>
  <c r="U440" i="2"/>
  <c r="T425" i="12"/>
  <c r="F474" i="12"/>
  <c r="M372" i="12"/>
  <c r="K373" i="12"/>
  <c r="R423" i="12"/>
  <c r="I495" i="12"/>
  <c r="G400" i="12"/>
  <c r="I553" i="12"/>
  <c r="I427" i="12"/>
  <c r="R558" i="12"/>
  <c r="K483" i="12"/>
  <c r="J599" i="12"/>
  <c r="I637" i="12"/>
  <c r="T618" i="12"/>
  <c r="I352" i="12"/>
  <c r="T492" i="12"/>
  <c r="J335" i="12"/>
  <c r="J535" i="12"/>
  <c r="G325" i="12"/>
  <c r="M325" i="12"/>
  <c r="G614" i="12"/>
  <c r="M621" i="12"/>
  <c r="S568" i="12"/>
  <c r="Q342" i="12"/>
  <c r="F522" i="12"/>
  <c r="U385" i="2"/>
  <c r="G509" i="12"/>
  <c r="G304" i="12"/>
  <c r="S300" i="12"/>
  <c r="X713" i="12"/>
  <c r="AL453" i="2"/>
  <c r="Q575" i="12"/>
  <c r="J232" i="12"/>
  <c r="S461" i="12"/>
  <c r="Q445" i="12"/>
  <c r="K299" i="12"/>
  <c r="K363" i="12"/>
  <c r="K442" i="12"/>
  <c r="P336" i="12"/>
  <c r="Q515" i="12"/>
  <c r="N368" i="12"/>
  <c r="T497" i="12"/>
  <c r="R601" i="12"/>
  <c r="M347" i="12"/>
  <c r="I313" i="12"/>
  <c r="T582" i="12"/>
  <c r="K246" i="12"/>
  <c r="M565" i="12"/>
  <c r="J302" i="12"/>
  <c r="J568" i="12"/>
  <c r="O229" i="12"/>
  <c r="J306" i="12"/>
  <c r="K522" i="12"/>
  <c r="L464" i="12"/>
  <c r="I371" i="12"/>
  <c r="R520" i="12"/>
  <c r="M346" i="12"/>
  <c r="I520" i="12"/>
  <c r="P528" i="12"/>
  <c r="O337" i="12"/>
  <c r="S306" i="12"/>
  <c r="S413" i="12"/>
  <c r="I144" i="12"/>
  <c r="R236" i="12"/>
  <c r="G108" i="12"/>
  <c r="U198" i="2"/>
  <c r="G565" i="12"/>
  <c r="G499" i="12"/>
  <c r="G529" i="12"/>
  <c r="G282" i="12"/>
  <c r="G362" i="12"/>
  <c r="G609" i="12"/>
  <c r="G320" i="12"/>
  <c r="G245" i="12"/>
  <c r="G485" i="12"/>
  <c r="G559" i="12"/>
  <c r="G428" i="12"/>
  <c r="G341" i="12"/>
  <c r="G586" i="12"/>
  <c r="G652" i="12"/>
  <c r="G505" i="12"/>
  <c r="G377" i="12"/>
  <c r="G214" i="12"/>
  <c r="G314" i="12"/>
  <c r="G330" i="12"/>
  <c r="G504" i="12"/>
  <c r="G514" i="12"/>
  <c r="G287" i="12"/>
  <c r="G590" i="12"/>
  <c r="G533" i="12"/>
  <c r="G308" i="12"/>
  <c r="G507" i="12"/>
  <c r="G491" i="12"/>
  <c r="G299" i="12"/>
  <c r="G601" i="12"/>
  <c r="G521" i="12"/>
  <c r="G593" i="12"/>
  <c r="G494" i="12"/>
  <c r="G567" i="12"/>
  <c r="G345" i="12"/>
  <c r="G335" i="12"/>
  <c r="G515" i="12"/>
  <c r="G247" i="12"/>
  <c r="G241" i="12"/>
  <c r="G274" i="12"/>
  <c r="G535" i="12"/>
  <c r="G348" i="12"/>
  <c r="G619" i="12"/>
  <c r="L488" i="12"/>
  <c r="Q409" i="12"/>
  <c r="F189" i="12"/>
  <c r="I533" i="12"/>
  <c r="O578" i="12"/>
  <c r="J188" i="12"/>
  <c r="K301" i="12"/>
  <c r="T248" i="12"/>
  <c r="K94" i="12"/>
  <c r="K341" i="12"/>
  <c r="N144" i="12"/>
  <c r="N166" i="12"/>
  <c r="S166" i="12"/>
  <c r="O135" i="12"/>
  <c r="T39" i="12"/>
  <c r="J584" i="12"/>
  <c r="AR727" i="2"/>
  <c r="AQ727" i="2"/>
  <c r="M552" i="12"/>
  <c r="P624" i="12"/>
  <c r="I634" i="12"/>
  <c r="N539" i="12"/>
  <c r="P483" i="12"/>
  <c r="S393" i="12"/>
  <c r="S369" i="12"/>
  <c r="K450" i="12"/>
  <c r="Q333" i="12"/>
  <c r="M647" i="12"/>
  <c r="I551" i="12"/>
  <c r="I498" i="12"/>
  <c r="P632" i="12"/>
  <c r="R532" i="12"/>
  <c r="G610" i="12"/>
  <c r="P345" i="12"/>
  <c r="I311" i="12"/>
  <c r="R451" i="12"/>
  <c r="P615" i="12"/>
  <c r="AB657" i="12"/>
  <c r="R370" i="12"/>
  <c r="F535" i="12"/>
  <c r="J459" i="12"/>
  <c r="AB726" i="12"/>
  <c r="I512" i="12"/>
  <c r="T583" i="12"/>
  <c r="N593" i="12"/>
  <c r="Q554" i="12"/>
  <c r="F624" i="12"/>
  <c r="U725" i="2"/>
  <c r="T555" i="12"/>
  <c r="F612" i="12"/>
  <c r="U720" i="2"/>
  <c r="I630" i="12"/>
  <c r="O459" i="12"/>
  <c r="I483" i="12"/>
  <c r="O487" i="12"/>
  <c r="J642" i="12"/>
  <c r="Q401" i="12"/>
  <c r="O648" i="12"/>
  <c r="J369" i="12"/>
  <c r="F406" i="12"/>
  <c r="U636" i="2"/>
  <c r="F381" i="12"/>
  <c r="U619" i="2"/>
  <c r="R605" i="12"/>
  <c r="Q431" i="12"/>
  <c r="L642" i="12"/>
  <c r="M354" i="12"/>
  <c r="G551" i="12"/>
  <c r="O330" i="12"/>
  <c r="R335" i="12"/>
  <c r="T450" i="12"/>
  <c r="G346" i="12"/>
  <c r="K595" i="12"/>
  <c r="M534" i="12"/>
  <c r="R584" i="12"/>
  <c r="Q584" i="12"/>
  <c r="O646" i="12"/>
  <c r="L472" i="12"/>
  <c r="M624" i="12"/>
  <c r="M518" i="12"/>
  <c r="J475" i="12"/>
  <c r="F430" i="12"/>
  <c r="U697" i="2"/>
  <c r="L536" i="12"/>
  <c r="T447" i="12"/>
  <c r="T644" i="12"/>
  <c r="N599" i="12"/>
  <c r="S534" i="12"/>
  <c r="S508" i="12"/>
  <c r="R554" i="12"/>
  <c r="O538" i="12"/>
  <c r="M628" i="12"/>
  <c r="I598" i="12"/>
  <c r="F646" i="12"/>
  <c r="U724" i="2"/>
  <c r="F536" i="12"/>
  <c r="U707" i="2"/>
  <c r="Z664" i="12"/>
  <c r="AL699" i="2"/>
  <c r="N648" i="12"/>
  <c r="M638" i="12"/>
  <c r="N566" i="12"/>
  <c r="N646" i="12"/>
  <c r="X664" i="12"/>
  <c r="K472" i="12"/>
  <c r="X720" i="12"/>
  <c r="L636" i="12"/>
  <c r="Q512" i="12"/>
  <c r="M544" i="12"/>
  <c r="N623" i="12"/>
  <c r="T638" i="12"/>
  <c r="P538" i="12"/>
  <c r="O555" i="12"/>
  <c r="T421" i="12"/>
  <c r="N521" i="12"/>
  <c r="J624" i="12"/>
  <c r="I534" i="12"/>
  <c r="I508" i="12"/>
  <c r="AB711" i="12"/>
  <c r="S638" i="12"/>
  <c r="O596" i="12"/>
  <c r="S447" i="12"/>
  <c r="N540" i="12"/>
  <c r="S483" i="12"/>
  <c r="N607" i="12"/>
  <c r="J581" i="12"/>
  <c r="N584" i="12"/>
  <c r="M430" i="12"/>
  <c r="T544" i="12"/>
  <c r="L634" i="12"/>
  <c r="J628" i="12"/>
  <c r="P636" i="12"/>
  <c r="O508" i="12"/>
  <c r="K584" i="12"/>
  <c r="J430" i="12"/>
  <c r="P598" i="12"/>
  <c r="Q617" i="12"/>
  <c r="I612" i="12"/>
  <c r="Z693" i="12"/>
  <c r="P516" i="12"/>
  <c r="O554" i="12"/>
  <c r="M558" i="12"/>
  <c r="J606" i="12"/>
  <c r="J552" i="12"/>
  <c r="K427" i="12"/>
  <c r="P391" i="12"/>
  <c r="F611" i="12"/>
  <c r="U647" i="2"/>
  <c r="M421" i="12"/>
  <c r="Q483" i="12"/>
  <c r="P446" i="12"/>
  <c r="F376" i="12"/>
  <c r="U629" i="2"/>
  <c r="P649" i="12"/>
  <c r="K500" i="12"/>
  <c r="T564" i="12"/>
  <c r="S506" i="12"/>
  <c r="O653" i="12"/>
  <c r="F386" i="12"/>
  <c r="J625" i="12"/>
  <c r="M482" i="12"/>
  <c r="R452" i="12"/>
  <c r="P475" i="12"/>
  <c r="J465" i="12"/>
  <c r="S594" i="12"/>
  <c r="P630" i="12"/>
  <c r="I477" i="12"/>
  <c r="AB715" i="12"/>
  <c r="T569" i="12"/>
  <c r="G595" i="12"/>
  <c r="Q376" i="12"/>
  <c r="T307" i="12"/>
  <c r="S526" i="12"/>
  <c r="T625" i="12"/>
  <c r="L432" i="12"/>
  <c r="F572" i="12"/>
  <c r="U719" i="2"/>
  <c r="L572" i="12"/>
  <c r="Q588" i="12"/>
  <c r="G508" i="12"/>
  <c r="R594" i="12"/>
  <c r="T596" i="12"/>
  <c r="O434" i="12"/>
  <c r="N633" i="12"/>
  <c r="Q569" i="12"/>
  <c r="L438" i="12"/>
  <c r="O446" i="12"/>
  <c r="P583" i="12"/>
  <c r="N500" i="12"/>
  <c r="M384" i="12"/>
  <c r="M641" i="12"/>
  <c r="F354" i="12"/>
  <c r="X686" i="12"/>
  <c r="O369" i="12"/>
  <c r="M551" i="12"/>
  <c r="K438" i="12"/>
  <c r="F437" i="12"/>
  <c r="U634" i="2"/>
  <c r="F399" i="12"/>
  <c r="U626" i="2"/>
  <c r="Q469" i="12"/>
  <c r="X705" i="12"/>
  <c r="R542" i="12"/>
  <c r="O303" i="12"/>
  <c r="R603" i="12"/>
  <c r="K361" i="12"/>
  <c r="T538" i="12"/>
  <c r="P539" i="12"/>
  <c r="AQ659" i="2"/>
  <c r="AR659" i="2"/>
  <c r="M391" i="12"/>
  <c r="T406" i="12"/>
  <c r="S410" i="12"/>
  <c r="G307" i="12"/>
  <c r="U622" i="2"/>
  <c r="P469" i="12"/>
  <c r="K564" i="12"/>
  <c r="G523" i="12"/>
  <c r="P625" i="12"/>
  <c r="T432" i="12"/>
  <c r="F352" i="12"/>
  <c r="U547" i="2"/>
  <c r="R536" i="12"/>
  <c r="AA685" i="12"/>
  <c r="T558" i="12"/>
  <c r="P546" i="12"/>
  <c r="Q447" i="12"/>
  <c r="J434" i="12"/>
  <c r="P477" i="12"/>
  <c r="F388" i="12"/>
  <c r="U646" i="2"/>
  <c r="T437" i="12"/>
  <c r="S399" i="12"/>
  <c r="Q373" i="12"/>
  <c r="J384" i="12"/>
  <c r="M602" i="12"/>
  <c r="Q642" i="12"/>
  <c r="I434" i="12"/>
  <c r="I611" i="12"/>
  <c r="M381" i="12"/>
  <c r="T417" i="12"/>
  <c r="Q523" i="12"/>
  <c r="I641" i="12"/>
  <c r="G432" i="12"/>
  <c r="S361" i="12"/>
  <c r="K647" i="12"/>
  <c r="N612" i="12"/>
  <c r="G518" i="12"/>
  <c r="J632" i="12"/>
  <c r="R642" i="12"/>
  <c r="L447" i="12"/>
  <c r="L477" i="12"/>
  <c r="P551" i="12"/>
  <c r="M388" i="12"/>
  <c r="R467" i="12"/>
  <c r="L406" i="12"/>
  <c r="L474" i="12"/>
  <c r="R500" i="12"/>
  <c r="G424" i="12"/>
  <c r="R433" i="12"/>
  <c r="R498" i="12"/>
  <c r="AL678" i="2"/>
  <c r="F500" i="12"/>
  <c r="F398" i="12"/>
  <c r="U577" i="2"/>
  <c r="R398" i="12"/>
  <c r="I610" i="12"/>
  <c r="J443" i="12"/>
  <c r="S587" i="12"/>
  <c r="F320" i="12"/>
  <c r="U545" i="2"/>
  <c r="M550" i="12"/>
  <c r="K622" i="12"/>
  <c r="J265" i="12"/>
  <c r="O605" i="12"/>
  <c r="L307" i="12"/>
  <c r="R422" i="12"/>
  <c r="R618" i="12"/>
  <c r="P652" i="12"/>
  <c r="P416" i="12"/>
  <c r="P613" i="12"/>
  <c r="T352" i="12"/>
  <c r="O379" i="12"/>
  <c r="O585" i="12"/>
  <c r="T411" i="12"/>
  <c r="P576" i="12"/>
  <c r="L621" i="12"/>
  <c r="N456" i="12"/>
  <c r="L396" i="12"/>
  <c r="S529" i="12"/>
  <c r="F434" i="12"/>
  <c r="K307" i="12"/>
  <c r="N451" i="12"/>
  <c r="I549" i="12"/>
  <c r="L603" i="12"/>
  <c r="AR563" i="2"/>
  <c r="AQ563" i="2"/>
  <c r="Q352" i="12"/>
  <c r="T462" i="12"/>
  <c r="O345" i="12"/>
  <c r="F635" i="12"/>
  <c r="P492" i="12"/>
  <c r="S411" i="12"/>
  <c r="L348" i="12"/>
  <c r="M447" i="12"/>
  <c r="P471" i="12"/>
  <c r="R417" i="12"/>
  <c r="G482" i="12"/>
  <c r="I645" i="12"/>
  <c r="J258" i="12"/>
  <c r="G462" i="12"/>
  <c r="J627" i="12"/>
  <c r="M585" i="12"/>
  <c r="M330" i="12"/>
  <c r="J392" i="12"/>
  <c r="P335" i="12"/>
  <c r="N577" i="12"/>
  <c r="L456" i="12"/>
  <c r="F450" i="12"/>
  <c r="F654" i="12"/>
  <c r="U569" i="2"/>
  <c r="K378" i="12"/>
  <c r="O587" i="12"/>
  <c r="AR543" i="2"/>
  <c r="AQ543" i="2"/>
  <c r="AA719" i="12"/>
  <c r="T627" i="12"/>
  <c r="L585" i="12"/>
  <c r="T348" i="12"/>
  <c r="J407" i="12"/>
  <c r="J362" i="12"/>
  <c r="S420" i="12"/>
  <c r="T287" i="12"/>
  <c r="S642" i="12"/>
  <c r="Q355" i="12"/>
  <c r="T467" i="12"/>
  <c r="O372" i="12"/>
  <c r="L471" i="12"/>
  <c r="O526" i="12"/>
  <c r="N432" i="12"/>
  <c r="T563" i="12"/>
  <c r="R643" i="12"/>
  <c r="O258" i="12"/>
  <c r="F346" i="12"/>
  <c r="U530" i="2"/>
  <c r="I622" i="12"/>
  <c r="J609" i="12"/>
  <c r="I348" i="12"/>
  <c r="O225" i="12"/>
  <c r="O311" i="12"/>
  <c r="M360" i="12"/>
  <c r="I649" i="12"/>
  <c r="J429" i="12"/>
  <c r="AB701" i="12"/>
  <c r="I422" i="12"/>
  <c r="M587" i="12"/>
  <c r="L352" i="12"/>
  <c r="M370" i="12"/>
  <c r="I379" i="12"/>
  <c r="G426" i="12"/>
  <c r="S609" i="12"/>
  <c r="Q392" i="12"/>
  <c r="M335" i="12"/>
  <c r="K577" i="12"/>
  <c r="G419" i="12"/>
  <c r="U477" i="2"/>
  <c r="S229" i="12"/>
  <c r="AQ673" i="2"/>
  <c r="I425" i="12"/>
  <c r="S649" i="12"/>
  <c r="L372" i="12"/>
  <c r="J373" i="12"/>
  <c r="G423" i="12"/>
  <c r="M553" i="12"/>
  <c r="S553" i="12"/>
  <c r="X722" i="12"/>
  <c r="K599" i="12"/>
  <c r="AB722" i="12"/>
  <c r="G653" i="12"/>
  <c r="T637" i="12"/>
  <c r="Q404" i="12"/>
  <c r="G629" i="12"/>
  <c r="Q585" i="12"/>
  <c r="O348" i="12"/>
  <c r="P421" i="12"/>
  <c r="R573" i="12"/>
  <c r="R614" i="12"/>
  <c r="G353" i="12"/>
  <c r="J589" i="12"/>
  <c r="AL447" i="2"/>
  <c r="R329" i="12"/>
  <c r="O486" i="12"/>
  <c r="U513" i="2"/>
  <c r="I300" i="12"/>
  <c r="AA713" i="12"/>
  <c r="O494" i="12"/>
  <c r="I461" i="12"/>
  <c r="R456" i="12"/>
  <c r="P365" i="12"/>
  <c r="M175" i="12"/>
  <c r="T308" i="12"/>
  <c r="R505" i="12"/>
  <c r="I299" i="12"/>
  <c r="L579" i="12"/>
  <c r="K302" i="12"/>
  <c r="I570" i="12"/>
  <c r="N145" i="12"/>
  <c r="J371" i="12"/>
  <c r="R509" i="12"/>
  <c r="J579" i="12"/>
  <c r="AL318" i="2"/>
  <c r="F439" i="12"/>
  <c r="P183" i="12"/>
  <c r="P419" i="12"/>
  <c r="P485" i="12"/>
  <c r="P363" i="12"/>
  <c r="P453" i="12"/>
  <c r="P622" i="12"/>
  <c r="P601" i="12"/>
  <c r="P407" i="12"/>
  <c r="P482" i="12"/>
  <c r="P432" i="12"/>
  <c r="P520" i="12"/>
  <c r="T277" i="12"/>
  <c r="R439" i="12"/>
  <c r="N275" i="12"/>
  <c r="O215" i="12"/>
  <c r="O251" i="12"/>
  <c r="O567" i="12"/>
  <c r="O209" i="12"/>
  <c r="O351" i="12"/>
  <c r="O282" i="12"/>
  <c r="O218" i="12"/>
  <c r="O436" i="12"/>
  <c r="O363" i="12"/>
  <c r="O643" i="12"/>
  <c r="O160" i="12"/>
  <c r="O412" i="12"/>
  <c r="O389" i="12"/>
  <c r="O614" i="12"/>
  <c r="O545" i="12"/>
  <c r="O288" i="12"/>
  <c r="O370" i="12"/>
  <c r="O380" i="12"/>
  <c r="O651" i="12"/>
  <c r="O543" i="12"/>
  <c r="O513" i="12"/>
  <c r="O615" i="12"/>
  <c r="O576" i="12"/>
  <c r="O609" i="12"/>
  <c r="O453" i="12"/>
  <c r="O639" i="12"/>
  <c r="O499" i="12"/>
  <c r="O183" i="12"/>
  <c r="O456" i="12"/>
  <c r="O621" i="12"/>
  <c r="O586" i="12"/>
  <c r="O342" i="12"/>
  <c r="O271" i="12"/>
  <c r="O402" i="12"/>
  <c r="O488" i="12"/>
  <c r="O265" i="12"/>
  <c r="O445" i="12"/>
  <c r="O577" i="12"/>
  <c r="O245" i="12"/>
  <c r="O432" i="12"/>
  <c r="O484" i="12"/>
  <c r="O449" i="12"/>
  <c r="O332" i="12"/>
  <c r="O321" i="12"/>
  <c r="O418" i="12"/>
  <c r="O565" i="12"/>
  <c r="O645" i="12"/>
  <c r="O493" i="12"/>
  <c r="O590" i="12"/>
  <c r="O414" i="12"/>
  <c r="O619" i="12"/>
  <c r="O654" i="12"/>
  <c r="O289" i="12"/>
  <c r="O509" i="12"/>
  <c r="O529" i="12"/>
  <c r="O353" i="12"/>
  <c r="O473" i="12"/>
  <c r="O531" i="12"/>
  <c r="O435" i="12"/>
  <c r="O419" i="12"/>
  <c r="O480" i="12"/>
  <c r="O365" i="12"/>
  <c r="O550" i="12"/>
  <c r="O219" i="12"/>
  <c r="R181" i="12"/>
  <c r="R562" i="12"/>
  <c r="R513" i="12"/>
  <c r="R378" i="12"/>
  <c r="R314" i="12"/>
  <c r="R260" i="12"/>
  <c r="R361" i="12"/>
  <c r="R313" i="12"/>
  <c r="R352" i="12"/>
  <c r="R510" i="12"/>
  <c r="R485" i="12"/>
  <c r="R267" i="12"/>
  <c r="R290" i="12"/>
  <c r="R353" i="12"/>
  <c r="R428" i="12"/>
  <c r="R420" i="12"/>
  <c r="R311" i="12"/>
  <c r="R654" i="12"/>
  <c r="R531" i="12"/>
  <c r="R488" i="12"/>
  <c r="R308" i="12"/>
  <c r="R435" i="12"/>
  <c r="R218" i="12"/>
  <c r="R482" i="12"/>
  <c r="R330" i="12"/>
  <c r="R585" i="12"/>
  <c r="R622" i="12"/>
  <c r="R574" i="12"/>
  <c r="R647" i="12"/>
  <c r="R363" i="12"/>
  <c r="R649" i="12"/>
  <c r="R431" i="12"/>
  <c r="R287" i="12"/>
  <c r="R407" i="12"/>
  <c r="R591" i="12"/>
  <c r="R491" i="12"/>
  <c r="R299" i="12"/>
  <c r="R507" i="12"/>
  <c r="R390" i="12"/>
  <c r="R265" i="12"/>
  <c r="R445" i="12"/>
  <c r="R575" i="12"/>
  <c r="R225" i="12"/>
  <c r="R305" i="12"/>
  <c r="R453" i="12"/>
  <c r="R332" i="12"/>
  <c r="R484" i="12"/>
  <c r="R106" i="12"/>
  <c r="R254" i="12"/>
  <c r="R609" i="12"/>
  <c r="R379" i="12"/>
  <c r="R473" i="12"/>
  <c r="R387" i="12"/>
  <c r="R503" i="12"/>
  <c r="L266" i="12"/>
  <c r="Q291" i="12"/>
  <c r="O409" i="12"/>
  <c r="K332" i="12"/>
  <c r="Q439" i="12"/>
  <c r="K524" i="12"/>
  <c r="T188" i="12"/>
  <c r="R274" i="12"/>
  <c r="Z673" i="12"/>
  <c r="I241" i="12"/>
  <c r="M561" i="12"/>
  <c r="X673" i="12"/>
  <c r="AL332" i="2"/>
  <c r="S332" i="12"/>
  <c r="M264" i="12"/>
  <c r="L187" i="12"/>
  <c r="L541" i="12"/>
  <c r="L493" i="12"/>
  <c r="L509" i="12"/>
  <c r="L610" i="12"/>
  <c r="L407" i="12"/>
  <c r="L485" i="12"/>
  <c r="L476" i="12"/>
  <c r="L484" i="12"/>
  <c r="L258" i="12"/>
  <c r="L590" i="12"/>
  <c r="L260" i="12"/>
  <c r="L229" i="12"/>
  <c r="L411" i="12"/>
  <c r="L580" i="12"/>
  <c r="L377" i="12"/>
  <c r="L288" i="12"/>
  <c r="L486" i="12"/>
  <c r="L567" i="12"/>
  <c r="L545" i="12"/>
  <c r="L242" i="12"/>
  <c r="L491" i="12"/>
  <c r="L473" i="12"/>
  <c r="L454" i="12"/>
  <c r="L254" i="12"/>
  <c r="L529" i="12"/>
  <c r="L570" i="12"/>
  <c r="L346" i="12"/>
  <c r="L527" i="12"/>
  <c r="L651" i="12"/>
  <c r="L311" i="12"/>
  <c r="L525" i="12"/>
  <c r="L559" i="12"/>
  <c r="L528" i="12"/>
  <c r="L245" i="12"/>
  <c r="L408" i="12"/>
  <c r="L180" i="12"/>
  <c r="L494" i="12"/>
  <c r="L440" i="12"/>
  <c r="L342" i="12"/>
  <c r="L499" i="12"/>
  <c r="L337" i="12"/>
  <c r="L416" i="12"/>
  <c r="L354" i="12"/>
  <c r="L381" i="12"/>
  <c r="J153" i="12"/>
  <c r="G357" i="12"/>
  <c r="I475" i="12"/>
  <c r="G651" i="12"/>
  <c r="Q611" i="12"/>
  <c r="R572" i="12"/>
  <c r="N638" i="12"/>
  <c r="Q381" i="12"/>
  <c r="K433" i="12"/>
  <c r="S646" i="12"/>
  <c r="F558" i="12"/>
  <c r="U675" i="2"/>
  <c r="L410" i="12"/>
  <c r="M506" i="12"/>
  <c r="K508" i="12"/>
  <c r="K495" i="12"/>
  <c r="L600" i="12"/>
  <c r="M605" i="12"/>
  <c r="S446" i="12"/>
  <c r="L542" i="12"/>
  <c r="M433" i="12"/>
  <c r="L302" i="12"/>
  <c r="N520" i="12"/>
  <c r="N429" i="12"/>
  <c r="I540" i="12"/>
  <c r="L602" i="12"/>
  <c r="J554" i="12"/>
  <c r="T508" i="12"/>
  <c r="AA706" i="12"/>
  <c r="N548" i="12"/>
  <c r="T444" i="12"/>
  <c r="N572" i="12"/>
  <c r="R434" i="12"/>
  <c r="F495" i="12"/>
  <c r="U602" i="2"/>
  <c r="Z728" i="12"/>
  <c r="AL578" i="2"/>
  <c r="I640" i="12"/>
  <c r="G393" i="12"/>
  <c r="G558" i="12"/>
  <c r="P526" i="12"/>
  <c r="K539" i="12"/>
  <c r="M424" i="12"/>
  <c r="R628" i="12"/>
  <c r="J630" i="12"/>
  <c r="M526" i="12"/>
  <c r="G632" i="12"/>
  <c r="L532" i="12"/>
  <c r="S395" i="12"/>
  <c r="L654" i="12"/>
  <c r="Z667" i="12"/>
  <c r="R608" i="12"/>
  <c r="AQ611" i="2"/>
  <c r="AR611" i="2"/>
  <c r="R258" i="12"/>
  <c r="O381" i="12"/>
  <c r="L617" i="12"/>
  <c r="Q594" i="12"/>
  <c r="AA667" i="12"/>
  <c r="K602" i="12"/>
  <c r="I538" i="12"/>
  <c r="L638" i="12"/>
  <c r="J472" i="12"/>
  <c r="M508" i="12"/>
  <c r="I596" i="12"/>
  <c r="L508" i="12"/>
  <c r="M646" i="12"/>
  <c r="G584" i="12"/>
  <c r="F607" i="12"/>
  <c r="U721" i="2"/>
  <c r="Z720" i="12"/>
  <c r="M636" i="12"/>
  <c r="P623" i="12"/>
  <c r="G512" i="12"/>
  <c r="X671" i="12"/>
  <c r="S602" i="12"/>
  <c r="O540" i="12"/>
  <c r="N595" i="12"/>
  <c r="N384" i="12"/>
  <c r="T386" i="12"/>
  <c r="T636" i="12"/>
  <c r="T648" i="12"/>
  <c r="T518" i="12"/>
  <c r="I638" i="12"/>
  <c r="R472" i="12"/>
  <c r="U431" i="3"/>
  <c r="M444" i="12"/>
  <c r="N512" i="12"/>
  <c r="F636" i="12"/>
  <c r="U716" i="2"/>
  <c r="F598" i="12"/>
  <c r="I646" i="12"/>
  <c r="S612" i="12"/>
  <c r="AA693" i="12"/>
  <c r="G516" i="12"/>
  <c r="O642" i="12"/>
  <c r="T606" i="12"/>
  <c r="Q593" i="12"/>
  <c r="Q551" i="12"/>
  <c r="J547" i="12"/>
  <c r="P611" i="12"/>
  <c r="P467" i="12"/>
  <c r="N483" i="12"/>
  <c r="J410" i="12"/>
  <c r="P376" i="12"/>
  <c r="K649" i="12"/>
  <c r="T469" i="12"/>
  <c r="G506" i="12"/>
  <c r="I653" i="12"/>
  <c r="P641" i="12"/>
  <c r="R303" i="12"/>
  <c r="G452" i="12"/>
  <c r="K557" i="12"/>
  <c r="T465" i="12"/>
  <c r="M538" i="12"/>
  <c r="G566" i="12"/>
  <c r="Q391" i="12"/>
  <c r="M438" i="12"/>
  <c r="O448" i="12"/>
  <c r="S469" i="12"/>
  <c r="Q495" i="12"/>
  <c r="F526" i="12"/>
  <c r="Q303" i="12"/>
  <c r="P572" i="12"/>
  <c r="O602" i="12"/>
  <c r="R588" i="12"/>
  <c r="L538" i="12"/>
  <c r="AA715" i="12"/>
  <c r="R569" i="12"/>
  <c r="N583" i="12"/>
  <c r="R469" i="12"/>
  <c r="P495" i="12"/>
  <c r="M653" i="12"/>
  <c r="M350" i="12"/>
  <c r="O400" i="12"/>
  <c r="P452" i="12"/>
  <c r="AQ701" i="2"/>
  <c r="P472" i="12"/>
  <c r="F369" i="12"/>
  <c r="U672" i="2"/>
  <c r="F447" i="12"/>
  <c r="U668" i="2"/>
  <c r="Q540" i="12"/>
  <c r="L450" i="12"/>
  <c r="S367" i="12"/>
  <c r="T410" i="12"/>
  <c r="O583" i="12"/>
  <c r="N424" i="12"/>
  <c r="L384" i="12"/>
  <c r="F542" i="12"/>
  <c r="U591" i="2"/>
  <c r="J303" i="12"/>
  <c r="G603" i="12"/>
  <c r="AL686" i="2"/>
  <c r="G539" i="12"/>
  <c r="X710" i="12"/>
  <c r="AL659" i="2"/>
  <c r="S547" i="12"/>
  <c r="K474" i="12"/>
  <c r="Q307" i="12"/>
  <c r="K469" i="12"/>
  <c r="O564" i="12"/>
  <c r="J498" i="12"/>
  <c r="I432" i="12"/>
  <c r="S640" i="12"/>
  <c r="K558" i="12"/>
  <c r="G546" i="12"/>
  <c r="N447" i="12"/>
  <c r="P552" i="12"/>
  <c r="J477" i="12"/>
  <c r="R547" i="12"/>
  <c r="P388" i="12"/>
  <c r="K437" i="12"/>
  <c r="S431" i="12"/>
  <c r="M399" i="12"/>
  <c r="M495" i="12"/>
  <c r="L386" i="12"/>
  <c r="J487" i="12"/>
  <c r="K534" i="12"/>
  <c r="N369" i="12"/>
  <c r="O552" i="12"/>
  <c r="G633" i="12"/>
  <c r="G438" i="12"/>
  <c r="P548" i="12"/>
  <c r="I500" i="12"/>
  <c r="G417" i="12"/>
  <c r="I433" i="12"/>
  <c r="F523" i="12"/>
  <c r="U594" i="2"/>
  <c r="T350" i="12"/>
  <c r="O333" i="12"/>
  <c r="R404" i="12"/>
  <c r="L632" i="12"/>
  <c r="T632" i="12"/>
  <c r="Z726" i="12"/>
  <c r="R606" i="12"/>
  <c r="T427" i="12"/>
  <c r="S532" i="12"/>
  <c r="L467" i="12"/>
  <c r="R483" i="12"/>
  <c r="K548" i="12"/>
  <c r="K399" i="12"/>
  <c r="L644" i="12"/>
  <c r="L498" i="12"/>
  <c r="X666" i="12"/>
  <c r="F653" i="12"/>
  <c r="Q398" i="12"/>
  <c r="N603" i="12"/>
  <c r="T610" i="12"/>
  <c r="U561" i="2"/>
  <c r="T443" i="12"/>
  <c r="L587" i="12"/>
  <c r="P320" i="12"/>
  <c r="G364" i="12"/>
  <c r="Q629" i="12"/>
  <c r="N426" i="12"/>
  <c r="U665" i="2"/>
  <c r="N391" i="12"/>
  <c r="AB667" i="12"/>
  <c r="X676" i="12"/>
  <c r="G416" i="12"/>
  <c r="S608" i="12"/>
  <c r="L379" i="12"/>
  <c r="J585" i="12"/>
  <c r="I411" i="12"/>
  <c r="P620" i="12"/>
  <c r="L392" i="12"/>
  <c r="F576" i="12"/>
  <c r="U493" i="2"/>
  <c r="M377" i="12"/>
  <c r="R535" i="12"/>
  <c r="M362" i="12"/>
  <c r="I529" i="12"/>
  <c r="Q246" i="12"/>
  <c r="R427" i="12"/>
  <c r="G448" i="12"/>
  <c r="I451" i="12"/>
  <c r="J549" i="12"/>
  <c r="J452" i="12"/>
  <c r="AL563" i="2"/>
  <c r="O320" i="12"/>
  <c r="R343" i="12"/>
  <c r="T346" i="12"/>
  <c r="O629" i="12"/>
  <c r="P395" i="12"/>
  <c r="P606" i="12"/>
  <c r="O406" i="12"/>
  <c r="X657" i="12"/>
  <c r="P644" i="12"/>
  <c r="N506" i="12"/>
  <c r="S645" i="12"/>
  <c r="R600" i="12"/>
  <c r="T258" i="12"/>
  <c r="L622" i="12"/>
  <c r="L609" i="12"/>
  <c r="F335" i="12"/>
  <c r="O313" i="12"/>
  <c r="J569" i="12"/>
  <c r="F384" i="12"/>
  <c r="O542" i="12"/>
  <c r="P654" i="12"/>
  <c r="L378" i="12"/>
  <c r="J613" i="12"/>
  <c r="R346" i="12"/>
  <c r="I627" i="12"/>
  <c r="J622" i="12"/>
  <c r="M620" i="12"/>
  <c r="J348" i="12"/>
  <c r="S621" i="12"/>
  <c r="I420" i="12"/>
  <c r="J287" i="12"/>
  <c r="R369" i="12"/>
  <c r="R355" i="12"/>
  <c r="S500" i="12"/>
  <c r="M471" i="12"/>
  <c r="S498" i="12"/>
  <c r="AA728" i="12"/>
  <c r="J563" i="12"/>
  <c r="I643" i="12"/>
  <c r="AA669" i="12"/>
  <c r="P346" i="12"/>
  <c r="J379" i="12"/>
  <c r="S426" i="12"/>
  <c r="T282" i="12"/>
  <c r="O528" i="12"/>
  <c r="N388" i="12"/>
  <c r="T448" i="12"/>
  <c r="K429" i="12"/>
  <c r="AQ603" i="2"/>
  <c r="AR603" i="2"/>
  <c r="T422" i="12"/>
  <c r="J432" i="12"/>
  <c r="J652" i="12"/>
  <c r="K320" i="12"/>
  <c r="S601" i="12"/>
  <c r="S456" i="12"/>
  <c r="R362" i="12"/>
  <c r="Q363" i="12"/>
  <c r="R619" i="12"/>
  <c r="K425" i="12"/>
  <c r="L360" i="12"/>
  <c r="N372" i="12"/>
  <c r="F372" i="12"/>
  <c r="U623" i="2"/>
  <c r="T424" i="12"/>
  <c r="T423" i="12"/>
  <c r="N553" i="12"/>
  <c r="J553" i="12"/>
  <c r="T551" i="12"/>
  <c r="F630" i="12"/>
  <c r="N399" i="12"/>
  <c r="N542" i="12"/>
  <c r="Q361" i="12"/>
  <c r="R613" i="12"/>
  <c r="J370" i="12"/>
  <c r="T395" i="12"/>
  <c r="S387" i="12"/>
  <c r="N420" i="12"/>
  <c r="Q302" i="12"/>
  <c r="K325" i="12"/>
  <c r="R517" i="12"/>
  <c r="AB719" i="12"/>
  <c r="K311" i="12"/>
  <c r="S321" i="12"/>
  <c r="G365" i="12"/>
  <c r="K366" i="12"/>
  <c r="N499" i="12"/>
  <c r="L562" i="12"/>
  <c r="R470" i="12"/>
  <c r="M643" i="12"/>
  <c r="F426" i="12"/>
  <c r="AB676" i="12"/>
  <c r="N484" i="12"/>
  <c r="N568" i="12"/>
  <c r="N292" i="12"/>
  <c r="G585" i="12"/>
  <c r="S580" i="12"/>
  <c r="N288" i="12"/>
  <c r="N509" i="12"/>
  <c r="J308" i="12"/>
  <c r="S473" i="12"/>
  <c r="X669" i="12"/>
  <c r="I486" i="12"/>
  <c r="I305" i="12"/>
  <c r="M481" i="12"/>
  <c r="G407" i="12"/>
  <c r="L515" i="12"/>
  <c r="P271" i="12"/>
  <c r="N402" i="12"/>
  <c r="F198" i="12"/>
  <c r="U229" i="2"/>
  <c r="I277" i="12"/>
  <c r="F499" i="12"/>
  <c r="G209" i="12"/>
  <c r="R215" i="12"/>
  <c r="G204" i="12"/>
  <c r="U208" i="2"/>
  <c r="Q290" i="12"/>
  <c r="T257" i="12"/>
  <c r="M439" i="12"/>
  <c r="N139" i="12"/>
  <c r="J449" i="12"/>
  <c r="I211" i="12"/>
  <c r="F170" i="12"/>
  <c r="U236" i="2"/>
  <c r="P479" i="12"/>
  <c r="AB656" i="12"/>
  <c r="O190" i="12"/>
  <c r="AA673" i="12"/>
  <c r="AA688" i="12"/>
  <c r="AA676" i="12"/>
  <c r="AA691" i="12"/>
  <c r="T510" i="12"/>
  <c r="K230" i="12"/>
  <c r="Q536" i="12"/>
  <c r="I516" i="12"/>
  <c r="L431" i="12"/>
  <c r="P465" i="12"/>
  <c r="O474" i="12"/>
  <c r="F506" i="12"/>
  <c r="M593" i="12"/>
  <c r="F307" i="12"/>
  <c r="F508" i="12"/>
  <c r="S552" i="12"/>
  <c r="P401" i="12"/>
  <c r="T539" i="12"/>
  <c r="R548" i="12"/>
  <c r="N534" i="12"/>
  <c r="K388" i="12"/>
  <c r="T523" i="12"/>
  <c r="O572" i="12"/>
  <c r="Q450" i="12"/>
  <c r="J342" i="12"/>
  <c r="R487" i="12"/>
  <c r="F258" i="12"/>
  <c r="U544" i="2"/>
  <c r="F395" i="12"/>
  <c r="U507" i="2"/>
  <c r="Q218" i="12"/>
  <c r="R634" i="12"/>
  <c r="N613" i="12"/>
  <c r="G644" i="12"/>
  <c r="T587" i="12"/>
  <c r="S614" i="12"/>
  <c r="F422" i="12"/>
  <c r="U587" i="2"/>
  <c r="Z697" i="12"/>
  <c r="Q444" i="12"/>
  <c r="P444" i="12"/>
  <c r="P584" i="12"/>
  <c r="N444" i="12"/>
  <c r="S624" i="12"/>
  <c r="G536" i="12"/>
  <c r="S516" i="12"/>
  <c r="P474" i="12"/>
  <c r="P617" i="12"/>
  <c r="L421" i="12"/>
  <c r="Q386" i="12"/>
  <c r="J634" i="12"/>
  <c r="N376" i="12"/>
  <c r="R625" i="12"/>
  <c r="R430" i="12"/>
  <c r="R401" i="12"/>
  <c r="R447" i="12"/>
  <c r="Z680" i="12"/>
  <c r="T459" i="12"/>
  <c r="R633" i="12"/>
  <c r="AB666" i="12"/>
  <c r="S521" i="12"/>
  <c r="Q610" i="12"/>
  <c r="J346" i="12"/>
  <c r="F520" i="12"/>
  <c r="U494" i="2"/>
  <c r="N523" i="12"/>
  <c r="T339" i="12"/>
  <c r="N282" i="12"/>
  <c r="G435" i="12"/>
  <c r="M548" i="12"/>
  <c r="L361" i="12"/>
  <c r="N330" i="12"/>
  <c r="L554" i="12"/>
  <c r="K475" i="12"/>
  <c r="J602" i="12"/>
  <c r="G640" i="12"/>
  <c r="U682" i="2"/>
  <c r="N518" i="12"/>
  <c r="J617" i="12"/>
  <c r="AA720" i="12"/>
  <c r="F581" i="12"/>
  <c r="U715" i="2"/>
  <c r="AA697" i="12"/>
  <c r="I555" i="12"/>
  <c r="N598" i="12"/>
  <c r="P628" i="12"/>
  <c r="L648" i="12"/>
  <c r="K624" i="12"/>
  <c r="O444" i="12"/>
  <c r="J638" i="12"/>
  <c r="F538" i="12"/>
  <c r="U687" i="2"/>
  <c r="AA672" i="12"/>
  <c r="J596" i="12"/>
  <c r="I593" i="12"/>
  <c r="I438" i="12"/>
  <c r="S607" i="12"/>
  <c r="O581" i="12"/>
  <c r="Q623" i="12"/>
  <c r="N581" i="12"/>
  <c r="M648" i="12"/>
  <c r="F623" i="12"/>
  <c r="M598" i="12"/>
  <c r="F628" i="12"/>
  <c r="U722" i="2"/>
  <c r="L518" i="12"/>
  <c r="P594" i="12"/>
  <c r="O634" i="12"/>
  <c r="L646" i="12"/>
  <c r="I602" i="12"/>
  <c r="S472" i="12"/>
  <c r="P596" i="12"/>
  <c r="K646" i="12"/>
  <c r="J636" i="12"/>
  <c r="J648" i="12"/>
  <c r="J518" i="12"/>
  <c r="T598" i="12"/>
  <c r="AB681" i="12"/>
  <c r="AQ677" i="2"/>
  <c r="S421" i="12"/>
  <c r="Q475" i="12"/>
  <c r="M594" i="12"/>
  <c r="O617" i="12"/>
  <c r="K607" i="12"/>
  <c r="Q581" i="12"/>
  <c r="P648" i="12"/>
  <c r="K512" i="12"/>
  <c r="Q544" i="12"/>
  <c r="R640" i="12"/>
  <c r="J612" i="12"/>
  <c r="AB693" i="12"/>
  <c r="Q516" i="12"/>
  <c r="G638" i="12"/>
  <c r="M546" i="12"/>
  <c r="K606" i="12"/>
  <c r="S593" i="12"/>
  <c r="P450" i="12"/>
  <c r="J611" i="12"/>
  <c r="P521" i="12"/>
  <c r="J376" i="12"/>
  <c r="O649" i="12"/>
  <c r="AB705" i="12"/>
  <c r="S653" i="12"/>
  <c r="O350" i="12"/>
  <c r="G303" i="12"/>
  <c r="T652" i="12"/>
  <c r="M465" i="12"/>
  <c r="K465" i="12"/>
  <c r="I539" i="12"/>
  <c r="I558" i="12"/>
  <c r="I547" i="12"/>
  <c r="X699" i="12"/>
  <c r="G469" i="12"/>
  <c r="N417" i="12"/>
  <c r="N498" i="12"/>
  <c r="F303" i="12"/>
  <c r="G572" i="12"/>
  <c r="I588" i="12"/>
  <c r="R518" i="12"/>
  <c r="T552" i="12"/>
  <c r="O391" i="12"/>
  <c r="I569" i="12"/>
  <c r="G367" i="12"/>
  <c r="M649" i="12"/>
  <c r="F469" i="12"/>
  <c r="R495" i="12"/>
  <c r="R526" i="12"/>
  <c r="K400" i="12"/>
  <c r="Q57" i="3"/>
  <c r="P57" i="3"/>
  <c r="P369" i="12"/>
  <c r="T605" i="12"/>
  <c r="S540" i="12"/>
  <c r="T360" i="12"/>
  <c r="F410" i="12"/>
  <c r="U632" i="2"/>
  <c r="J583" i="12"/>
  <c r="L448" i="12"/>
  <c r="P599" i="12"/>
  <c r="O386" i="12"/>
  <c r="T303" i="12"/>
  <c r="S333" i="12"/>
  <c r="F602" i="12"/>
  <c r="Q539" i="12"/>
  <c r="Q640" i="12"/>
  <c r="K434" i="12"/>
  <c r="K532" i="12"/>
  <c r="J438" i="12"/>
  <c r="Q399" i="12"/>
  <c r="O469" i="12"/>
  <c r="Q393" i="12"/>
  <c r="Q542" i="12"/>
  <c r="Q603" i="12"/>
  <c r="J361" i="12"/>
  <c r="L558" i="12"/>
  <c r="Q546" i="12"/>
  <c r="R552" i="12"/>
  <c r="T477" i="12"/>
  <c r="L547" i="12"/>
  <c r="G388" i="12"/>
  <c r="Q406" i="12"/>
  <c r="O437" i="12"/>
  <c r="F431" i="12"/>
  <c r="U628" i="2"/>
  <c r="N469" i="12"/>
  <c r="P393" i="12"/>
  <c r="N526" i="12"/>
  <c r="T482" i="12"/>
  <c r="K618" i="12"/>
  <c r="Q636" i="12"/>
  <c r="R623" i="12"/>
  <c r="Q566" i="12"/>
  <c r="S546" i="12"/>
  <c r="I391" i="12"/>
  <c r="N367" i="12"/>
  <c r="Z666" i="12"/>
  <c r="AL617" i="2"/>
  <c r="N644" i="12"/>
  <c r="Z701" i="12"/>
  <c r="P523" i="12"/>
  <c r="I350" i="12"/>
  <c r="O603" i="12"/>
  <c r="R333" i="12"/>
  <c r="P508" i="12"/>
  <c r="K617" i="12"/>
  <c r="O632" i="12"/>
  <c r="K632" i="12"/>
  <c r="K369" i="12"/>
  <c r="G532" i="12"/>
  <c r="M467" i="12"/>
  <c r="S376" i="12"/>
  <c r="S583" i="12"/>
  <c r="I564" i="12"/>
  <c r="K542" i="12"/>
  <c r="Z717" i="12"/>
  <c r="F593" i="12"/>
  <c r="R438" i="12"/>
  <c r="O523" i="12"/>
  <c r="G398" i="12"/>
  <c r="K354" i="12"/>
  <c r="J610" i="12"/>
  <c r="L645" i="12"/>
  <c r="R320" i="12"/>
  <c r="O647" i="12"/>
  <c r="F629" i="12"/>
  <c r="U524" i="2"/>
  <c r="K527" i="12"/>
  <c r="F305" i="12"/>
  <c r="U504" i="2"/>
  <c r="M477" i="12"/>
  <c r="R388" i="12"/>
  <c r="G643" i="12"/>
  <c r="Q416" i="12"/>
  <c r="J608" i="12"/>
  <c r="I462" i="12"/>
  <c r="S650" i="12"/>
  <c r="T414" i="12"/>
  <c r="N601" i="12"/>
  <c r="T585" i="12"/>
  <c r="F620" i="12"/>
  <c r="U503" i="2"/>
  <c r="Q591" i="12"/>
  <c r="N353" i="12"/>
  <c r="N567" i="12"/>
  <c r="M365" i="12"/>
  <c r="G246" i="12"/>
  <c r="U435" i="2"/>
  <c r="M428" i="12"/>
  <c r="M499" i="12"/>
  <c r="M500" i="12"/>
  <c r="O451" i="12"/>
  <c r="S451" i="12"/>
  <c r="K549" i="12"/>
  <c r="I386" i="12"/>
  <c r="P618" i="12"/>
  <c r="F343" i="12"/>
  <c r="U538" i="2"/>
  <c r="R615" i="12"/>
  <c r="K629" i="12"/>
  <c r="O620" i="12"/>
  <c r="L548" i="12"/>
  <c r="AL611" i="2"/>
  <c r="F644" i="12"/>
  <c r="U608" i="2"/>
  <c r="T433" i="12"/>
  <c r="U580" i="2"/>
  <c r="L333" i="12"/>
  <c r="Q364" i="12"/>
  <c r="N345" i="12"/>
  <c r="J550" i="12"/>
  <c r="M305" i="12"/>
  <c r="K348" i="12"/>
  <c r="Q225" i="12"/>
  <c r="X680" i="12"/>
  <c r="N421" i="12"/>
  <c r="O399" i="12"/>
  <c r="P423" i="12"/>
  <c r="G386" i="12"/>
  <c r="P610" i="12"/>
  <c r="P378" i="12"/>
  <c r="I647" i="12"/>
  <c r="N615" i="12"/>
  <c r="T550" i="12"/>
  <c r="T426" i="12"/>
  <c r="N395" i="12"/>
  <c r="N387" i="12"/>
  <c r="I621" i="12"/>
  <c r="O535" i="12"/>
  <c r="N435" i="12"/>
  <c r="N218" i="12"/>
  <c r="T619" i="12"/>
  <c r="P355" i="12"/>
  <c r="K355" i="12"/>
  <c r="G611" i="12"/>
  <c r="N471" i="12"/>
  <c r="O471" i="12"/>
  <c r="R350" i="12"/>
  <c r="K563" i="12"/>
  <c r="J643" i="12"/>
  <c r="N608" i="12"/>
  <c r="O364" i="12"/>
  <c r="M343" i="12"/>
  <c r="T601" i="12"/>
  <c r="Q614" i="12"/>
  <c r="K305" i="12"/>
  <c r="J282" i="12"/>
  <c r="R621" i="12"/>
  <c r="R419" i="12"/>
  <c r="AB663" i="12"/>
  <c r="P448" i="12"/>
  <c r="L429" i="12"/>
  <c r="J495" i="12"/>
  <c r="J422" i="12"/>
  <c r="P398" i="12"/>
  <c r="Q643" i="12"/>
  <c r="N258" i="12"/>
  <c r="R627" i="12"/>
  <c r="O527" i="12"/>
  <c r="T305" i="12"/>
  <c r="R348" i="12"/>
  <c r="S567" i="12"/>
  <c r="G363" i="12"/>
  <c r="U457" i="2"/>
  <c r="L246" i="12"/>
  <c r="O546" i="12"/>
  <c r="L425" i="12"/>
  <c r="M611" i="12"/>
  <c r="R372" i="12"/>
  <c r="P372" i="12"/>
  <c r="J506" i="12"/>
  <c r="L553" i="12"/>
  <c r="T553" i="12"/>
  <c r="Q421" i="12"/>
  <c r="J401" i="12"/>
  <c r="G606" i="12"/>
  <c r="S551" i="12"/>
  <c r="Q641" i="12"/>
  <c r="K637" i="12"/>
  <c r="I613" i="12"/>
  <c r="Q379" i="12"/>
  <c r="I395" i="12"/>
  <c r="T525" i="12"/>
  <c r="P282" i="12"/>
  <c r="N396" i="12"/>
  <c r="G517" i="12"/>
  <c r="AR531" i="2"/>
  <c r="AQ531" i="2"/>
  <c r="G311" i="12"/>
  <c r="K321" i="12"/>
  <c r="O254" i="12"/>
  <c r="N299" i="12"/>
  <c r="S470" i="12"/>
  <c r="I608" i="12"/>
  <c r="N440" i="12"/>
  <c r="Q647" i="12"/>
  <c r="O392" i="12"/>
  <c r="O485" i="12"/>
  <c r="P329" i="12"/>
  <c r="N398" i="12"/>
  <c r="O343" i="12"/>
  <c r="R366" i="12"/>
  <c r="S491" i="12"/>
  <c r="L304" i="12"/>
  <c r="M341" i="12"/>
  <c r="N461" i="12"/>
  <c r="F627" i="12"/>
  <c r="Q432" i="12"/>
  <c r="O626" i="12"/>
  <c r="Q626" i="12"/>
  <c r="T579" i="12"/>
  <c r="O491" i="12"/>
  <c r="R223" i="12"/>
  <c r="R205" i="12"/>
  <c r="J268" i="12"/>
  <c r="G322" i="12"/>
  <c r="S349" i="12"/>
  <c r="I261" i="12"/>
  <c r="T274" i="12"/>
  <c r="T242" i="12"/>
  <c r="T267" i="12"/>
  <c r="T290" i="12"/>
  <c r="T246" i="12"/>
  <c r="T577" i="12"/>
  <c r="T330" i="12"/>
  <c r="T480" i="12"/>
  <c r="T491" i="12"/>
  <c r="T449" i="12"/>
  <c r="T225" i="12"/>
  <c r="T363" i="12"/>
  <c r="T592" i="12"/>
  <c r="T291" i="12"/>
  <c r="T562" i="12"/>
  <c r="T396" i="12"/>
  <c r="T560" i="12"/>
  <c r="T507" i="12"/>
  <c r="T255" i="12"/>
  <c r="T420" i="12"/>
  <c r="T499" i="12"/>
  <c r="T531" i="12"/>
  <c r="T533" i="12"/>
  <c r="T329" i="12"/>
  <c r="T484" i="12"/>
  <c r="T440" i="12"/>
  <c r="T505" i="12"/>
  <c r="T387" i="12"/>
  <c r="T428" i="12"/>
  <c r="T600" i="12"/>
  <c r="T620" i="12"/>
  <c r="T591" i="12"/>
  <c r="T616" i="12"/>
  <c r="T321" i="12"/>
  <c r="T488" i="12"/>
  <c r="T314" i="12"/>
  <c r="T576" i="12"/>
  <c r="T521" i="12"/>
  <c r="T281" i="12"/>
  <c r="T337" i="12"/>
  <c r="T228" i="12"/>
  <c r="T251" i="12"/>
  <c r="T301" i="12"/>
  <c r="T273" i="12"/>
  <c r="T442" i="12"/>
  <c r="T313" i="12"/>
  <c r="T299" i="12"/>
  <c r="T435" i="12"/>
  <c r="T580" i="12"/>
  <c r="T543" i="12"/>
  <c r="T565" i="12"/>
  <c r="T265" i="12"/>
  <c r="T438" i="12"/>
  <c r="T219" i="12"/>
  <c r="P319" i="12"/>
  <c r="R121" i="12"/>
  <c r="G397" i="12"/>
  <c r="M184" i="12"/>
  <c r="K257" i="12"/>
  <c r="L275" i="12"/>
  <c r="F281" i="12"/>
  <c r="U319" i="2"/>
  <c r="J241" i="12"/>
  <c r="L543" i="12"/>
  <c r="F418" i="12"/>
  <c r="U353" i="2"/>
  <c r="S159" i="12"/>
  <c r="P486" i="12"/>
  <c r="I262" i="12"/>
  <c r="T357" i="12"/>
  <c r="L209" i="12"/>
  <c r="I83" i="12"/>
  <c r="AA724" i="12"/>
  <c r="I213" i="12"/>
  <c r="J230" i="12"/>
  <c r="AA722" i="12"/>
  <c r="J637" i="12"/>
  <c r="K613" i="12"/>
  <c r="K258" i="12"/>
  <c r="I343" i="12"/>
  <c r="R629" i="12"/>
  <c r="P609" i="12"/>
  <c r="Q520" i="12"/>
  <c r="N419" i="12"/>
  <c r="Q325" i="12"/>
  <c r="F573" i="12"/>
  <c r="U554" i="2"/>
  <c r="S573" i="12"/>
  <c r="F517" i="12"/>
  <c r="U532" i="2"/>
  <c r="M517" i="12"/>
  <c r="P614" i="12"/>
  <c r="I321" i="12"/>
  <c r="K456" i="12"/>
  <c r="X688" i="12"/>
  <c r="R246" i="12"/>
  <c r="T513" i="12"/>
  <c r="S494" i="12"/>
  <c r="R380" i="12"/>
  <c r="O562" i="12"/>
  <c r="Q522" i="12"/>
  <c r="G541" i="12"/>
  <c r="J273" i="12"/>
  <c r="P470" i="12"/>
  <c r="T470" i="12"/>
  <c r="R300" i="12"/>
  <c r="M351" i="12"/>
  <c r="K351" i="12"/>
  <c r="R568" i="12"/>
  <c r="AR453" i="2"/>
  <c r="AQ453" i="2"/>
  <c r="K533" i="12"/>
  <c r="R604" i="12"/>
  <c r="J366" i="12"/>
  <c r="N556" i="12"/>
  <c r="J228" i="12"/>
  <c r="L299" i="12"/>
  <c r="R341" i="12"/>
  <c r="R481" i="12"/>
  <c r="P541" i="12"/>
  <c r="G368" i="12"/>
  <c r="U345" i="2"/>
  <c r="N281" i="12"/>
  <c r="N312" i="12"/>
  <c r="S380" i="12"/>
  <c r="N175" i="12"/>
  <c r="Q592" i="12"/>
  <c r="I353" i="12"/>
  <c r="T366" i="12"/>
  <c r="R514" i="12"/>
  <c r="N493" i="12"/>
  <c r="AB728" i="12"/>
  <c r="S466" i="12"/>
  <c r="N597" i="12"/>
  <c r="J331" i="12"/>
  <c r="N293" i="12"/>
  <c r="F461" i="12"/>
  <c r="U363" i="2"/>
  <c r="N445" i="12"/>
  <c r="S497" i="12"/>
  <c r="P258" i="12"/>
  <c r="K347" i="12"/>
  <c r="R582" i="12"/>
  <c r="F163" i="12"/>
  <c r="U468" i="2"/>
  <c r="M514" i="12"/>
  <c r="I302" i="12"/>
  <c r="T489" i="12"/>
  <c r="R489" i="12"/>
  <c r="M639" i="12"/>
  <c r="G639" i="12"/>
  <c r="G568" i="12"/>
  <c r="L265" i="12"/>
  <c r="K530" i="12"/>
  <c r="G255" i="12"/>
  <c r="L510" i="12"/>
  <c r="L445" i="12"/>
  <c r="L368" i="12"/>
  <c r="K201" i="12"/>
  <c r="G454" i="12"/>
  <c r="J334" i="12"/>
  <c r="P517" i="12"/>
  <c r="G626" i="12"/>
  <c r="P426" i="12"/>
  <c r="P293" i="12"/>
  <c r="Q285" i="12"/>
  <c r="J390" i="12"/>
  <c r="K528" i="12"/>
  <c r="Q574" i="12"/>
  <c r="F545" i="12"/>
  <c r="U463" i="2"/>
  <c r="I559" i="12"/>
  <c r="J604" i="12"/>
  <c r="L366" i="12"/>
  <c r="I565" i="12"/>
  <c r="F570" i="12"/>
  <c r="U409" i="2"/>
  <c r="G380" i="12"/>
  <c r="G175" i="12"/>
  <c r="F484" i="12"/>
  <c r="U368" i="2"/>
  <c r="I445" i="12"/>
  <c r="L228" i="12"/>
  <c r="O243" i="12"/>
  <c r="K507" i="12"/>
  <c r="L201" i="12"/>
  <c r="M208" i="12"/>
  <c r="G188" i="12"/>
  <c r="R235" i="12"/>
  <c r="S439" i="12"/>
  <c r="J190" i="12"/>
  <c r="X687" i="12"/>
  <c r="AL230" i="2"/>
  <c r="O270" i="12"/>
  <c r="T529" i="12"/>
  <c r="S277" i="12"/>
  <c r="I579" i="12"/>
  <c r="R499" i="12"/>
  <c r="F571" i="12"/>
  <c r="U378" i="2"/>
  <c r="L571" i="12"/>
  <c r="R291" i="12"/>
  <c r="P214" i="12"/>
  <c r="I349" i="12"/>
  <c r="F188" i="12"/>
  <c r="U314" i="2"/>
  <c r="F226" i="12"/>
  <c r="U310" i="2"/>
  <c r="R209" i="12"/>
  <c r="R264" i="12"/>
  <c r="J236" i="12"/>
  <c r="G250" i="12"/>
  <c r="T261" i="12"/>
  <c r="L139" i="12"/>
  <c r="F187" i="12"/>
  <c r="U259" i="2"/>
  <c r="J147" i="12"/>
  <c r="F149" i="12"/>
  <c r="U241" i="2"/>
  <c r="L109" i="12"/>
  <c r="N180" i="12"/>
  <c r="I137" i="12"/>
  <c r="Q204" i="12"/>
  <c r="Q108" i="12"/>
  <c r="I202" i="12"/>
  <c r="L158" i="12"/>
  <c r="L631" i="12"/>
  <c r="J478" i="12"/>
  <c r="N473" i="12"/>
  <c r="J257" i="12"/>
  <c r="P145" i="12"/>
  <c r="G409" i="12"/>
  <c r="K264" i="12"/>
  <c r="P197" i="12"/>
  <c r="L231" i="12"/>
  <c r="K415" i="12"/>
  <c r="K326" i="12"/>
  <c r="R356" i="12"/>
  <c r="N198" i="12"/>
  <c r="G265" i="12"/>
  <c r="P561" i="12"/>
  <c r="T522" i="12"/>
  <c r="O349" i="12"/>
  <c r="Q281" i="12"/>
  <c r="L188" i="12"/>
  <c r="I511" i="12"/>
  <c r="T268" i="12"/>
  <c r="K132" i="12"/>
  <c r="G149" i="12"/>
  <c r="J109" i="12"/>
  <c r="Q137" i="12"/>
  <c r="S589" i="12"/>
  <c r="I449" i="12"/>
  <c r="I338" i="12"/>
  <c r="F507" i="12"/>
  <c r="R211" i="12"/>
  <c r="J248" i="12"/>
  <c r="Q145" i="12"/>
  <c r="Q309" i="12"/>
  <c r="M413" i="12"/>
  <c r="J402" i="12"/>
  <c r="J189" i="12"/>
  <c r="P94" i="12"/>
  <c r="T241" i="12"/>
  <c r="T397" i="12"/>
  <c r="O172" i="12"/>
  <c r="Q170" i="12"/>
  <c r="S221" i="12"/>
  <c r="P137" i="12"/>
  <c r="N204" i="12"/>
  <c r="P263" i="12"/>
  <c r="S280" i="12"/>
  <c r="K280" i="12"/>
  <c r="T262" i="12"/>
  <c r="P537" i="12"/>
  <c r="J561" i="12"/>
  <c r="R578" i="12"/>
  <c r="S530" i="12"/>
  <c r="P502" i="12"/>
  <c r="P223" i="12"/>
  <c r="G273" i="12"/>
  <c r="O145" i="12"/>
  <c r="O207" i="12"/>
  <c r="R224" i="12"/>
  <c r="G159" i="12"/>
  <c r="O261" i="12"/>
  <c r="I275" i="12"/>
  <c r="M174" i="12"/>
  <c r="I318" i="12"/>
  <c r="M120" i="12"/>
  <c r="T485" i="12"/>
  <c r="O504" i="12"/>
  <c r="O220" i="12"/>
  <c r="G488" i="12"/>
  <c r="I460" i="12"/>
  <c r="T327" i="12"/>
  <c r="Q208" i="12"/>
  <c r="F251" i="12"/>
  <c r="N188" i="12"/>
  <c r="N268" i="12"/>
  <c r="P458" i="12"/>
  <c r="G276" i="12"/>
  <c r="O274" i="12"/>
  <c r="J198" i="12"/>
  <c r="G206" i="12"/>
  <c r="AA665" i="12"/>
  <c r="O396" i="12"/>
  <c r="M501" i="12"/>
  <c r="F501" i="12"/>
  <c r="U437" i="2"/>
  <c r="K253" i="12"/>
  <c r="K537" i="12"/>
  <c r="G229" i="12"/>
  <c r="L358" i="12"/>
  <c r="T519" i="12"/>
  <c r="F519" i="12"/>
  <c r="U454" i="2"/>
  <c r="G570" i="12"/>
  <c r="Q161" i="12"/>
  <c r="L227" i="12"/>
  <c r="J227" i="12"/>
  <c r="R220" i="12"/>
  <c r="P291" i="12"/>
  <c r="G216" i="12"/>
  <c r="O273" i="12"/>
  <c r="K170" i="12"/>
  <c r="I153" i="12"/>
  <c r="O301" i="12"/>
  <c r="K137" i="12"/>
  <c r="P176" i="12"/>
  <c r="T239" i="12"/>
  <c r="I147" i="12"/>
  <c r="F195" i="12"/>
  <c r="U81" i="2"/>
  <c r="O150" i="12"/>
  <c r="Q132" i="12"/>
  <c r="Z712" i="12"/>
  <c r="K237" i="12"/>
  <c r="I284" i="12"/>
  <c r="R100" i="12"/>
  <c r="J80" i="12"/>
  <c r="N403" i="12"/>
  <c r="N128" i="12"/>
  <c r="F150" i="12"/>
  <c r="U170" i="2"/>
  <c r="F130" i="12"/>
  <c r="U93" i="2"/>
  <c r="G298" i="12"/>
  <c r="T279" i="12"/>
  <c r="X704" i="12"/>
  <c r="AL162" i="2"/>
  <c r="G182" i="12"/>
  <c r="P78" i="12"/>
  <c r="T114" i="12"/>
  <c r="L185" i="12"/>
  <c r="Q143" i="12"/>
  <c r="G196" i="12"/>
  <c r="U126" i="2"/>
  <c r="N29" i="12"/>
  <c r="N294" i="12"/>
  <c r="AA677" i="12"/>
  <c r="AQ64" i="2"/>
  <c r="AR64" i="2"/>
  <c r="F96" i="12"/>
  <c r="K116" i="12"/>
  <c r="F134" i="12"/>
  <c r="U109" i="2"/>
  <c r="R134" i="12"/>
  <c r="S57" i="12"/>
  <c r="S135" i="12"/>
  <c r="S123" i="12"/>
  <c r="S139" i="12"/>
  <c r="S213" i="12"/>
  <c r="S205" i="12"/>
  <c r="S208" i="12"/>
  <c r="S184" i="12"/>
  <c r="S231" i="12"/>
  <c r="S493" i="12"/>
  <c r="S103" i="12"/>
  <c r="S71" i="12"/>
  <c r="S122" i="12"/>
  <c r="S176" i="12"/>
  <c r="S144" i="12"/>
  <c r="S90" i="12"/>
  <c r="S173" i="12"/>
  <c r="S327" i="12"/>
  <c r="S201" i="12"/>
  <c r="S128" i="12"/>
  <c r="S56" i="12"/>
  <c r="S193" i="12"/>
  <c r="S248" i="12"/>
  <c r="S146" i="12"/>
  <c r="S233" i="12"/>
  <c r="S198" i="12"/>
  <c r="S178" i="12"/>
  <c r="S181" i="12"/>
  <c r="S436" i="12"/>
  <c r="S322" i="12"/>
  <c r="S485" i="12"/>
  <c r="S317" i="12"/>
  <c r="S276" i="12"/>
  <c r="S65" i="12"/>
  <c r="S183" i="12"/>
  <c r="S357" i="12"/>
  <c r="S179" i="12"/>
  <c r="S62" i="12"/>
  <c r="S279" i="12"/>
  <c r="S294" i="12"/>
  <c r="S91" i="12"/>
  <c r="S20" i="12"/>
  <c r="S33" i="12"/>
  <c r="S142" i="12"/>
  <c r="S19" i="12"/>
  <c r="S326" i="12"/>
  <c r="S323" i="12"/>
  <c r="S458" i="12"/>
  <c r="N501" i="12"/>
  <c r="P501" i="12"/>
  <c r="T436" i="12"/>
  <c r="N537" i="12"/>
  <c r="N358" i="12"/>
  <c r="I519" i="12"/>
  <c r="P519" i="12"/>
  <c r="G161" i="12"/>
  <c r="O227" i="12"/>
  <c r="T227" i="12"/>
  <c r="I220" i="12"/>
  <c r="I291" i="12"/>
  <c r="Q216" i="12"/>
  <c r="J412" i="12"/>
  <c r="T160" i="12"/>
  <c r="T181" i="12"/>
  <c r="J166" i="12"/>
  <c r="T173" i="12"/>
  <c r="J209" i="12"/>
  <c r="M297" i="12"/>
  <c r="N150" i="12"/>
  <c r="R239" i="12"/>
  <c r="R81" i="12"/>
  <c r="F19" i="12"/>
  <c r="U46" i="2"/>
  <c r="F106" i="12"/>
  <c r="O77" i="12"/>
  <c r="T68" i="12"/>
  <c r="P165" i="12"/>
  <c r="F153" i="12"/>
  <c r="Q357" i="12"/>
  <c r="R76" i="12"/>
  <c r="L237" i="12"/>
  <c r="J266" i="12"/>
  <c r="F100" i="12"/>
  <c r="U100" i="2"/>
  <c r="T80" i="12"/>
  <c r="P133" i="12"/>
  <c r="J124" i="12"/>
  <c r="AQ92" i="2"/>
  <c r="AR92" i="2"/>
  <c r="R298" i="12"/>
  <c r="R279" i="12"/>
  <c r="Q182" i="12"/>
  <c r="S97" i="12"/>
  <c r="P295" i="12"/>
  <c r="L375" i="12"/>
  <c r="R114" i="12"/>
  <c r="L89" i="12"/>
  <c r="I468" i="12"/>
  <c r="K359" i="12"/>
  <c r="F488" i="12"/>
  <c r="P397" i="12"/>
  <c r="J120" i="12"/>
  <c r="I234" i="12"/>
  <c r="T64" i="12"/>
  <c r="J186" i="12"/>
  <c r="S45" i="12"/>
  <c r="Q12" i="12"/>
  <c r="AB675" i="12"/>
  <c r="T37" i="12"/>
  <c r="K212" i="12"/>
  <c r="N322" i="12"/>
  <c r="Q537" i="12"/>
  <c r="J338" i="12"/>
  <c r="P418" i="12"/>
  <c r="S211" i="12"/>
  <c r="K248" i="12"/>
  <c r="F463" i="12"/>
  <c r="U316" i="2"/>
  <c r="N197" i="12"/>
  <c r="L94" i="12"/>
  <c r="X695" i="12"/>
  <c r="AL269" i="2"/>
  <c r="P185" i="12"/>
  <c r="R147" i="12"/>
  <c r="P172" i="12"/>
  <c r="P344" i="12"/>
  <c r="N153" i="12"/>
  <c r="O280" i="12"/>
  <c r="J262" i="12"/>
  <c r="N561" i="12"/>
  <c r="I578" i="12"/>
  <c r="Q502" i="12"/>
  <c r="Q223" i="12"/>
  <c r="P267" i="12"/>
  <c r="R283" i="12"/>
  <c r="T272" i="12"/>
  <c r="S224" i="12"/>
  <c r="Q261" i="12"/>
  <c r="O185" i="12"/>
  <c r="G190" i="12"/>
  <c r="U251" i="2"/>
  <c r="L322" i="12"/>
  <c r="P396" i="12"/>
  <c r="P257" i="12"/>
  <c r="M327" i="12"/>
  <c r="O309" i="12"/>
  <c r="Q458" i="12"/>
  <c r="K322" i="12"/>
  <c r="L174" i="12"/>
  <c r="S152" i="12"/>
  <c r="R501" i="12"/>
  <c r="T253" i="12"/>
  <c r="F253" i="12"/>
  <c r="U436" i="2"/>
  <c r="O537" i="12"/>
  <c r="L537" i="12"/>
  <c r="F229" i="12"/>
  <c r="U438" i="2"/>
  <c r="P358" i="12"/>
  <c r="J519" i="12"/>
  <c r="G519" i="12"/>
  <c r="R161" i="12"/>
  <c r="F227" i="12"/>
  <c r="U379" i="2"/>
  <c r="K227" i="12"/>
  <c r="S220" i="12"/>
  <c r="J291" i="12"/>
  <c r="Q271" i="12"/>
  <c r="I209" i="12"/>
  <c r="I160" i="12"/>
  <c r="F139" i="12"/>
  <c r="U266" i="2"/>
  <c r="T359" i="12"/>
  <c r="J356" i="12"/>
  <c r="F297" i="12"/>
  <c r="U223" i="2"/>
  <c r="Q158" i="12"/>
  <c r="J155" i="12"/>
  <c r="L283" i="12"/>
  <c r="F68" i="12"/>
  <c r="U110" i="2"/>
  <c r="N315" i="12"/>
  <c r="S319" i="12"/>
  <c r="J222" i="12"/>
  <c r="K240" i="12"/>
  <c r="F256" i="12"/>
  <c r="U171" i="2"/>
  <c r="AA670" i="12"/>
  <c r="F89" i="12"/>
  <c r="U86" i="2"/>
  <c r="O165" i="12"/>
  <c r="N17" i="12"/>
  <c r="J174" i="12"/>
  <c r="N113" i="12"/>
  <c r="Q301" i="12"/>
  <c r="I240" i="12"/>
  <c r="T124" i="12"/>
  <c r="L196" i="12"/>
  <c r="S79" i="12"/>
  <c r="G236" i="12"/>
  <c r="J315" i="12"/>
  <c r="M316" i="12"/>
  <c r="K131" i="12"/>
  <c r="P247" i="12"/>
  <c r="T108" i="12"/>
  <c r="G164" i="12"/>
  <c r="J32" i="12"/>
  <c r="I295" i="12"/>
  <c r="Q241" i="12"/>
  <c r="M375" i="12"/>
  <c r="O124" i="12"/>
  <c r="T394" i="12"/>
  <c r="L128" i="12"/>
  <c r="P266" i="12"/>
  <c r="S234" i="12"/>
  <c r="I64" i="12"/>
  <c r="T56" i="12"/>
  <c r="O67" i="12"/>
  <c r="O110" i="12"/>
  <c r="O318" i="12"/>
  <c r="O276" i="12"/>
  <c r="O95" i="12"/>
  <c r="O239" i="12"/>
  <c r="O490" i="12"/>
  <c r="O210" i="12"/>
  <c r="O106" i="12"/>
  <c r="O161" i="12"/>
  <c r="O59" i="12"/>
  <c r="O157" i="12"/>
  <c r="O511" i="12"/>
  <c r="O177" i="12"/>
  <c r="O113" i="12"/>
  <c r="O159" i="12"/>
  <c r="O184" i="12"/>
  <c r="O103" i="12"/>
  <c r="O189" i="12"/>
  <c r="O66" i="12"/>
  <c r="O115" i="12"/>
  <c r="O458" i="12"/>
  <c r="O464" i="12"/>
  <c r="O266" i="12"/>
  <c r="O463" i="12"/>
  <c r="O111" i="12"/>
  <c r="O122" i="12"/>
  <c r="O65" i="12"/>
  <c r="O201" i="12"/>
  <c r="O306" i="12"/>
  <c r="O505" i="12"/>
  <c r="O140" i="12"/>
  <c r="O92" i="12"/>
  <c r="O33" i="12"/>
  <c r="K25" i="3"/>
  <c r="K28" i="3" s="1"/>
  <c r="S83" i="12"/>
  <c r="K99" i="12"/>
  <c r="N42" i="12"/>
  <c r="J118" i="12"/>
  <c r="J108" i="12"/>
  <c r="J510" i="12"/>
  <c r="J94" i="12"/>
  <c r="J541" i="12"/>
  <c r="J271" i="12"/>
  <c r="J420" i="12"/>
  <c r="J233" i="12"/>
  <c r="Q142" i="12"/>
  <c r="G2" i="12"/>
  <c r="L2" i="3"/>
  <c r="G12" i="12"/>
  <c r="G53" i="12"/>
  <c r="G72" i="12"/>
  <c r="G199" i="12"/>
  <c r="G13" i="12"/>
  <c r="G215" i="12"/>
  <c r="G231" i="12"/>
  <c r="G317" i="12"/>
  <c r="G316" i="12"/>
  <c r="G34" i="12"/>
  <c r="G29" i="12"/>
  <c r="G4" i="12"/>
  <c r="G75" i="12"/>
  <c r="G46" i="12"/>
  <c r="G260" i="12"/>
  <c r="G121" i="12"/>
  <c r="G144" i="12"/>
  <c r="G235" i="12"/>
  <c r="G67" i="12"/>
  <c r="G102" i="12"/>
  <c r="G16" i="12"/>
  <c r="G52" i="12"/>
  <c r="G101" i="12"/>
  <c r="G135" i="12"/>
  <c r="G337" i="12"/>
  <c r="G179" i="12"/>
  <c r="G178" i="12"/>
  <c r="G439" i="12"/>
  <c r="G66" i="12"/>
  <c r="G177" i="12"/>
  <c r="G136" i="12"/>
  <c r="G402" i="12"/>
  <c r="G64" i="12"/>
  <c r="G233" i="12"/>
  <c r="G193" i="12"/>
  <c r="G301" i="12"/>
  <c r="G349" i="12"/>
  <c r="G93" i="12"/>
  <c r="G84" i="12"/>
  <c r="G184" i="12"/>
  <c r="G319" i="12"/>
  <c r="G213" i="12"/>
  <c r="G205" i="12"/>
  <c r="G249" i="12"/>
  <c r="G484" i="12"/>
  <c r="G562" i="12"/>
  <c r="G415" i="12"/>
  <c r="G166" i="12"/>
  <c r="G59" i="12"/>
  <c r="G239" i="12"/>
  <c r="G83" i="12"/>
  <c r="G62" i="12"/>
  <c r="G143" i="12"/>
  <c r="G202" i="12"/>
  <c r="G219" i="12"/>
  <c r="G110" i="12"/>
  <c r="G91" i="12"/>
  <c r="G254" i="12"/>
  <c r="G109" i="12"/>
  <c r="G332" i="12"/>
  <c r="G15" i="12"/>
  <c r="G36" i="12"/>
  <c r="G111" i="12"/>
  <c r="G38" i="12"/>
  <c r="G85" i="12"/>
  <c r="G142" i="12"/>
  <c r="G81" i="12"/>
  <c r="G95" i="12"/>
  <c r="G112" i="12"/>
  <c r="G266" i="12"/>
  <c r="G340" i="12"/>
  <c r="G263" i="12"/>
  <c r="G33" i="12"/>
  <c r="G27" i="12"/>
  <c r="G158" i="12"/>
  <c r="G60" i="12"/>
  <c r="G47" i="12"/>
  <c r="G32" i="12"/>
  <c r="G113" i="12"/>
  <c r="G9" i="12"/>
  <c r="G49" i="12"/>
  <c r="G148" i="12"/>
  <c r="G181" i="12"/>
  <c r="G275" i="12"/>
  <c r="G122" i="12"/>
  <c r="G106" i="12"/>
  <c r="S66" i="12"/>
  <c r="R580" i="12"/>
  <c r="R529" i="12"/>
  <c r="AA692" i="12"/>
  <c r="S579" i="12"/>
  <c r="K515" i="12"/>
  <c r="T524" i="12"/>
  <c r="J486" i="12"/>
  <c r="J418" i="12"/>
  <c r="F361" i="12"/>
  <c r="U570" i="2"/>
  <c r="K470" i="12"/>
  <c r="P331" i="12"/>
  <c r="T300" i="12"/>
  <c r="G351" i="12"/>
  <c r="AB713" i="12"/>
  <c r="J575" i="12"/>
  <c r="G288" i="12"/>
  <c r="K436" i="12"/>
  <c r="P590" i="12"/>
  <c r="Q306" i="12"/>
  <c r="P530" i="12"/>
  <c r="S479" i="12"/>
  <c r="O175" i="12"/>
  <c r="O292" i="12"/>
  <c r="G445" i="12"/>
  <c r="U355" i="2"/>
  <c r="N242" i="12"/>
  <c r="I273" i="12"/>
  <c r="Q464" i="12"/>
  <c r="N205" i="12"/>
  <c r="O336" i="12"/>
  <c r="Q203" i="12"/>
  <c r="S522" i="12"/>
  <c r="K225" i="12"/>
  <c r="S592" i="12"/>
  <c r="K589" i="12"/>
  <c r="X692" i="12"/>
  <c r="AL423" i="2"/>
  <c r="F232" i="12"/>
  <c r="U416" i="2"/>
  <c r="P481" i="12"/>
  <c r="R466" i="12"/>
  <c r="O597" i="12"/>
  <c r="J597" i="12"/>
  <c r="F331" i="12"/>
  <c r="U512" i="2"/>
  <c r="M331" i="12"/>
  <c r="P621" i="12"/>
  <c r="P565" i="12"/>
  <c r="O524" i="12"/>
  <c r="F497" i="12"/>
  <c r="U579" i="2"/>
  <c r="J497" i="12"/>
  <c r="G404" i="12"/>
  <c r="S334" i="12"/>
  <c r="N347" i="12"/>
  <c r="F347" i="12"/>
  <c r="U519" i="2"/>
  <c r="K582" i="12"/>
  <c r="Q163" i="12"/>
  <c r="N336" i="12"/>
  <c r="P366" i="12"/>
  <c r="I515" i="12"/>
  <c r="K504" i="12"/>
  <c r="J489" i="12"/>
  <c r="R639" i="12"/>
  <c r="T568" i="12"/>
  <c r="I440" i="12"/>
  <c r="K371" i="12"/>
  <c r="G616" i="12"/>
  <c r="J454" i="12"/>
  <c r="M334" i="12"/>
  <c r="T626" i="12"/>
  <c r="L414" i="12"/>
  <c r="R293" i="12"/>
  <c r="L462" i="12"/>
  <c r="P305" i="12"/>
  <c r="S285" i="12"/>
  <c r="L335" i="12"/>
  <c r="L390" i="12"/>
  <c r="L574" i="12"/>
  <c r="Q545" i="12"/>
  <c r="F529" i="12"/>
  <c r="U443" i="2"/>
  <c r="M586" i="12"/>
  <c r="R556" i="12"/>
  <c r="R590" i="12"/>
  <c r="F337" i="12"/>
  <c r="U408" i="2"/>
  <c r="G306" i="12"/>
  <c r="R530" i="12"/>
  <c r="S368" i="12"/>
  <c r="G243" i="12"/>
  <c r="Q460" i="12"/>
  <c r="T226" i="12"/>
  <c r="R213" i="12"/>
  <c r="L272" i="12"/>
  <c r="J183" i="12"/>
  <c r="S167" i="12"/>
  <c r="Q326" i="12"/>
  <c r="O179" i="12"/>
  <c r="P408" i="12"/>
  <c r="T356" i="12"/>
  <c r="N340" i="12"/>
  <c r="J137" i="12"/>
  <c r="M270" i="12"/>
  <c r="S254" i="12"/>
  <c r="J277" i="12"/>
  <c r="P228" i="12"/>
  <c r="O338" i="12"/>
  <c r="S490" i="12"/>
  <c r="Q571" i="12"/>
  <c r="N327" i="12"/>
  <c r="T409" i="12"/>
  <c r="S207" i="12"/>
  <c r="L332" i="12"/>
  <c r="AB703" i="12"/>
  <c r="I236" i="12"/>
  <c r="K382" i="12"/>
  <c r="G94" i="12"/>
  <c r="AA695" i="12"/>
  <c r="T193" i="12"/>
  <c r="S374" i="12"/>
  <c r="S316" i="12"/>
  <c r="AL219" i="2"/>
  <c r="S148" i="12"/>
  <c r="S263" i="12"/>
  <c r="N146" i="12"/>
  <c r="S631" i="12"/>
  <c r="G631" i="12"/>
  <c r="R478" i="12"/>
  <c r="N504" i="12"/>
  <c r="Z691" i="12"/>
  <c r="I223" i="12"/>
  <c r="P368" i="12"/>
  <c r="T441" i="12"/>
  <c r="O214" i="12"/>
  <c r="F409" i="12"/>
  <c r="U328" i="2"/>
  <c r="G224" i="12"/>
  <c r="L402" i="12"/>
  <c r="S261" i="12"/>
  <c r="K276" i="12"/>
  <c r="P359" i="12"/>
  <c r="G172" i="12"/>
  <c r="L340" i="12"/>
  <c r="O322" i="12"/>
  <c r="N366" i="12"/>
  <c r="R337" i="12"/>
  <c r="Q299" i="12"/>
  <c r="S496" i="12"/>
  <c r="S290" i="12"/>
  <c r="R464" i="12"/>
  <c r="Q207" i="12"/>
  <c r="K188" i="12"/>
  <c r="O213" i="12"/>
  <c r="G268" i="12"/>
  <c r="N178" i="12"/>
  <c r="T171" i="12"/>
  <c r="Q185" i="12"/>
  <c r="S324" i="12"/>
  <c r="Q374" i="12"/>
  <c r="K340" i="12"/>
  <c r="O153" i="12"/>
  <c r="R342" i="12"/>
  <c r="S556" i="12"/>
  <c r="K338" i="12"/>
  <c r="G481" i="12"/>
  <c r="G418" i="12"/>
  <c r="K211" i="12"/>
  <c r="L248" i="12"/>
  <c r="Q267" i="12"/>
  <c r="Q403" i="12"/>
  <c r="M281" i="12"/>
  <c r="L412" i="12"/>
  <c r="I458" i="12"/>
  <c r="K178" i="12"/>
  <c r="G147" i="12"/>
  <c r="J301" i="12"/>
  <c r="S206" i="12"/>
  <c r="O121" i="12"/>
  <c r="N120" i="12"/>
  <c r="T317" i="12"/>
  <c r="S158" i="12"/>
  <c r="F280" i="12"/>
  <c r="U469" i="2"/>
  <c r="K287" i="12"/>
  <c r="K262" i="12"/>
  <c r="O561" i="12"/>
  <c r="K561" i="12"/>
  <c r="T578" i="12"/>
  <c r="R502" i="12"/>
  <c r="J223" i="12"/>
  <c r="N216" i="12"/>
  <c r="N267" i="12"/>
  <c r="G251" i="12"/>
  <c r="O283" i="12"/>
  <c r="AB695" i="12"/>
  <c r="R185" i="12"/>
  <c r="Q190" i="12"/>
  <c r="M149" i="12"/>
  <c r="M153" i="12"/>
  <c r="N121" i="12"/>
  <c r="M108" i="12"/>
  <c r="J436" i="12"/>
  <c r="I530" i="12"/>
  <c r="P292" i="12"/>
  <c r="K445" i="12"/>
  <c r="J460" i="12"/>
  <c r="J219" i="12"/>
  <c r="O327" i="12"/>
  <c r="F283" i="12"/>
  <c r="U311" i="2"/>
  <c r="S272" i="12"/>
  <c r="J439" i="12"/>
  <c r="T231" i="12"/>
  <c r="I193" i="12"/>
  <c r="L153" i="12"/>
  <c r="M363" i="12"/>
  <c r="I253" i="12"/>
  <c r="P253" i="12"/>
  <c r="P229" i="12"/>
  <c r="Q358" i="12"/>
  <c r="L519" i="12"/>
  <c r="Q519" i="12"/>
  <c r="S161" i="12"/>
  <c r="P227" i="12"/>
  <c r="S509" i="12"/>
  <c r="J220" i="12"/>
  <c r="G145" i="12"/>
  <c r="N332" i="12"/>
  <c r="Q231" i="12"/>
  <c r="O415" i="12"/>
  <c r="I359" i="12"/>
  <c r="O222" i="12"/>
  <c r="R103" i="12"/>
  <c r="R136" i="12"/>
  <c r="N85" i="12"/>
  <c r="M47" i="12"/>
  <c r="X709" i="12"/>
  <c r="M37" i="12"/>
  <c r="M36" i="12"/>
  <c r="S110" i="12"/>
  <c r="S95" i="12"/>
  <c r="N323" i="12"/>
  <c r="F210" i="12"/>
  <c r="U272" i="2"/>
  <c r="G186" i="12"/>
  <c r="P89" i="12"/>
  <c r="M165" i="12"/>
  <c r="L190" i="12"/>
  <c r="K259" i="12"/>
  <c r="R124" i="12"/>
  <c r="O62" i="12"/>
  <c r="O180" i="12"/>
  <c r="T323" i="12"/>
  <c r="G79" i="12"/>
  <c r="P175" i="12"/>
  <c r="J250" i="12"/>
  <c r="L315" i="12"/>
  <c r="K315" i="12"/>
  <c r="L131" i="12"/>
  <c r="T297" i="12"/>
  <c r="G318" i="12"/>
  <c r="P181" i="12"/>
  <c r="K136" i="12"/>
  <c r="Q164" i="12"/>
  <c r="R174" i="12"/>
  <c r="Q394" i="12"/>
  <c r="K394" i="12"/>
  <c r="J359" i="12"/>
  <c r="O128" i="12"/>
  <c r="S102" i="12"/>
  <c r="Q194" i="12"/>
  <c r="I90" i="12"/>
  <c r="P14" i="12"/>
  <c r="P7" i="12"/>
  <c r="P403" i="12"/>
  <c r="P236" i="12"/>
  <c r="P166" i="12"/>
  <c r="P177" i="12"/>
  <c r="P92" i="12"/>
  <c r="P340" i="12"/>
  <c r="P91" i="12"/>
  <c r="P207" i="12"/>
  <c r="P184" i="12"/>
  <c r="P179" i="12"/>
  <c r="P415" i="12"/>
  <c r="P264" i="12"/>
  <c r="P110" i="12"/>
  <c r="P221" i="12"/>
  <c r="P136" i="12"/>
  <c r="P275" i="12"/>
  <c r="P488" i="12"/>
  <c r="P277" i="12"/>
  <c r="P132" i="12"/>
  <c r="P191" i="12"/>
  <c r="P112" i="12"/>
  <c r="P531" i="12"/>
  <c r="P120" i="12"/>
  <c r="P224" i="12"/>
  <c r="P349" i="12"/>
  <c r="P62" i="12"/>
  <c r="P103" i="12"/>
  <c r="P189" i="12"/>
  <c r="P290" i="12"/>
  <c r="P161" i="12"/>
  <c r="P198" i="12"/>
  <c r="P332" i="12"/>
  <c r="P210" i="12"/>
  <c r="P268" i="12"/>
  <c r="P108" i="12"/>
  <c r="P109" i="12"/>
  <c r="P231" i="12"/>
  <c r="P301" i="12"/>
  <c r="P308" i="12"/>
  <c r="P317" i="12"/>
  <c r="P238" i="12"/>
  <c r="P158" i="12"/>
  <c r="P204" i="12"/>
  <c r="P309" i="12"/>
  <c r="P36" i="12"/>
  <c r="P56" i="12"/>
  <c r="P118" i="12"/>
  <c r="P241" i="12"/>
  <c r="P235" i="12"/>
  <c r="P135" i="12"/>
  <c r="P188" i="12"/>
  <c r="P507" i="12"/>
  <c r="J107" i="12"/>
  <c r="R29" i="12"/>
  <c r="T103" i="12"/>
  <c r="T194" i="12"/>
  <c r="T81" i="12"/>
  <c r="Q13" i="12"/>
  <c r="F81" i="12"/>
  <c r="J25" i="12"/>
  <c r="I43" i="12"/>
  <c r="Q150" i="12"/>
  <c r="F553" i="12"/>
  <c r="U695" i="2"/>
  <c r="F637" i="12"/>
  <c r="U586" i="2"/>
  <c r="F345" i="12"/>
  <c r="U533" i="2"/>
  <c r="F379" i="12"/>
  <c r="U523" i="2"/>
  <c r="F585" i="12"/>
  <c r="U515" i="2"/>
  <c r="R577" i="12"/>
  <c r="S325" i="12"/>
  <c r="J325" i="12"/>
  <c r="O573" i="12"/>
  <c r="T517" i="12"/>
  <c r="I614" i="12"/>
  <c r="M321" i="12"/>
  <c r="K580" i="12"/>
  <c r="S604" i="12"/>
  <c r="G579" i="12"/>
  <c r="N337" i="12"/>
  <c r="I504" i="12"/>
  <c r="T486" i="12"/>
  <c r="G361" i="12"/>
  <c r="L470" i="12"/>
  <c r="L300" i="12"/>
  <c r="J300" i="12"/>
  <c r="Q351" i="12"/>
  <c r="T545" i="12"/>
  <c r="T575" i="12"/>
  <c r="Q288" i="12"/>
  <c r="L436" i="12"/>
  <c r="J590" i="12"/>
  <c r="G479" i="12"/>
  <c r="L507" i="12"/>
  <c r="G464" i="12"/>
  <c r="N283" i="12"/>
  <c r="N210" i="12"/>
  <c r="P466" i="12"/>
  <c r="Q347" i="12"/>
  <c r="P604" i="12"/>
  <c r="R336" i="12"/>
  <c r="Q579" i="12"/>
  <c r="R203" i="12"/>
  <c r="I333" i="12"/>
  <c r="G225" i="12"/>
  <c r="K592" i="12"/>
  <c r="L589" i="12"/>
  <c r="I163" i="12"/>
  <c r="F505" i="12"/>
  <c r="U433" i="2"/>
  <c r="P524" i="12"/>
  <c r="F481" i="12"/>
  <c r="U364" i="2"/>
  <c r="N541" i="12"/>
  <c r="G466" i="12"/>
  <c r="F597" i="12"/>
  <c r="U526" i="2"/>
  <c r="T597" i="12"/>
  <c r="Q331" i="12"/>
  <c r="Q514" i="12"/>
  <c r="N306" i="12"/>
  <c r="I524" i="12"/>
  <c r="O479" i="12"/>
  <c r="P273" i="12"/>
  <c r="M201" i="12"/>
  <c r="N497" i="12"/>
  <c r="K497" i="12"/>
  <c r="P404" i="12"/>
  <c r="G347" i="12"/>
  <c r="P347" i="12"/>
  <c r="M293" i="12"/>
  <c r="L582" i="12"/>
  <c r="R163" i="12"/>
  <c r="G366" i="12"/>
  <c r="P232" i="12"/>
  <c r="S515" i="12"/>
  <c r="L504" i="12"/>
  <c r="AB691" i="12"/>
  <c r="AB683" i="12"/>
  <c r="K489" i="12"/>
  <c r="S639" i="12"/>
  <c r="I293" i="12"/>
  <c r="K568" i="12"/>
  <c r="P619" i="12"/>
  <c r="L336" i="12"/>
  <c r="L565" i="12"/>
  <c r="R449" i="12"/>
  <c r="T175" i="12"/>
  <c r="P651" i="12"/>
  <c r="L371" i="12"/>
  <c r="R616" i="12"/>
  <c r="K454" i="12"/>
  <c r="N334" i="12"/>
  <c r="I626" i="12"/>
  <c r="L635" i="12"/>
  <c r="J293" i="12"/>
  <c r="P549" i="12"/>
  <c r="J285" i="12"/>
  <c r="L225" i="12"/>
  <c r="M390" i="12"/>
  <c r="F567" i="12"/>
  <c r="U465" i="2"/>
  <c r="O574" i="12"/>
  <c r="F575" i="12"/>
  <c r="U451" i="2"/>
  <c r="P529" i="12"/>
  <c r="F586" i="12"/>
  <c r="U441" i="2"/>
  <c r="F556" i="12"/>
  <c r="U417" i="2"/>
  <c r="F590" i="12"/>
  <c r="U413" i="2"/>
  <c r="P337" i="12"/>
  <c r="P499" i="12"/>
  <c r="G530" i="12"/>
  <c r="S289" i="12"/>
  <c r="R493" i="12"/>
  <c r="N507" i="12"/>
  <c r="K418" i="12"/>
  <c r="I368" i="12"/>
  <c r="R201" i="12"/>
  <c r="N439" i="12"/>
  <c r="Q243" i="12"/>
  <c r="G281" i="12"/>
  <c r="T413" i="12"/>
  <c r="M458" i="12"/>
  <c r="T183" i="12"/>
  <c r="F326" i="12"/>
  <c r="U267" i="2"/>
  <c r="M241" i="12"/>
  <c r="K179" i="12"/>
  <c r="I356" i="12"/>
  <c r="I173" i="12"/>
  <c r="F270" i="12"/>
  <c r="U458" i="2"/>
  <c r="P254" i="12"/>
  <c r="M277" i="12"/>
  <c r="F228" i="12"/>
  <c r="U396" i="2"/>
  <c r="K479" i="12"/>
  <c r="I490" i="12"/>
  <c r="R571" i="12"/>
  <c r="L208" i="12"/>
  <c r="F207" i="12"/>
  <c r="U322" i="2"/>
  <c r="I283" i="12"/>
  <c r="F205" i="12"/>
  <c r="U302" i="2"/>
  <c r="T197" i="12"/>
  <c r="S236" i="12"/>
  <c r="J159" i="12"/>
  <c r="P178" i="12"/>
  <c r="L276" i="12"/>
  <c r="Q359" i="12"/>
  <c r="T170" i="12"/>
  <c r="O198" i="12"/>
  <c r="I316" i="12"/>
  <c r="Q174" i="12"/>
  <c r="I148" i="12"/>
  <c r="I263" i="12"/>
  <c r="Q92" i="12"/>
  <c r="N176" i="12"/>
  <c r="F631" i="12"/>
  <c r="U459" i="2"/>
  <c r="Q631" i="12"/>
  <c r="I246" i="12"/>
  <c r="G478" i="12"/>
  <c r="Q499" i="12"/>
  <c r="L460" i="12"/>
  <c r="M441" i="12"/>
  <c r="P409" i="12"/>
  <c r="R281" i="12"/>
  <c r="S197" i="12"/>
  <c r="I159" i="12"/>
  <c r="K241" i="12"/>
  <c r="P149" i="12"/>
  <c r="I288" i="12"/>
  <c r="I496" i="12"/>
  <c r="O440" i="12"/>
  <c r="G290" i="12"/>
  <c r="M207" i="12"/>
  <c r="Q268" i="12"/>
  <c r="O236" i="12"/>
  <c r="K231" i="12"/>
  <c r="N326" i="12"/>
  <c r="S147" i="12"/>
  <c r="F374" i="12"/>
  <c r="R170" i="12"/>
  <c r="K106" i="12"/>
  <c r="G342" i="12"/>
  <c r="F604" i="12"/>
  <c r="M338" i="12"/>
  <c r="L338" i="12"/>
  <c r="S216" i="12"/>
  <c r="L211" i="12"/>
  <c r="M248" i="12"/>
  <c r="O314" i="12"/>
  <c r="K403" i="12"/>
  <c r="N213" i="12"/>
  <c r="L160" i="12"/>
  <c r="L183" i="12"/>
  <c r="T415" i="12"/>
  <c r="P190" i="12"/>
  <c r="I132" i="12"/>
  <c r="Z661" i="12"/>
  <c r="I206" i="12"/>
  <c r="J317" i="12"/>
  <c r="O589" i="12"/>
  <c r="P280" i="12"/>
  <c r="L262" i="12"/>
  <c r="F561" i="12"/>
  <c r="U412" i="2"/>
  <c r="L561" i="12"/>
  <c r="J578" i="12"/>
  <c r="I502" i="12"/>
  <c r="T223" i="12"/>
  <c r="M409" i="12"/>
  <c r="P389" i="12"/>
  <c r="T511" i="12"/>
  <c r="L235" i="12"/>
  <c r="K439" i="12"/>
  <c r="K249" i="12"/>
  <c r="L217" i="12"/>
  <c r="M187" i="12"/>
  <c r="M359" i="12"/>
  <c r="T340" i="12"/>
  <c r="N319" i="12"/>
  <c r="O137" i="12"/>
  <c r="N181" i="12"/>
  <c r="O202" i="12"/>
  <c r="M255" i="12"/>
  <c r="T493" i="12"/>
  <c r="R418" i="12"/>
  <c r="T460" i="12"/>
  <c r="P283" i="12"/>
  <c r="S402" i="12"/>
  <c r="M344" i="12"/>
  <c r="L108" i="12"/>
  <c r="M166" i="12"/>
  <c r="J329" i="12"/>
  <c r="G501" i="12"/>
  <c r="J253" i="12"/>
  <c r="G253" i="12"/>
  <c r="I229" i="12"/>
  <c r="J358" i="12"/>
  <c r="AA690" i="12"/>
  <c r="O277" i="12"/>
  <c r="P255" i="12"/>
  <c r="I161" i="12"/>
  <c r="K289" i="12"/>
  <c r="T220" i="12"/>
  <c r="P219" i="12"/>
  <c r="P251" i="12"/>
  <c r="L210" i="12"/>
  <c r="N241" i="12"/>
  <c r="K316" i="12"/>
  <c r="P115" i="12"/>
  <c r="N136" i="12"/>
  <c r="J242" i="12"/>
  <c r="K108" i="12"/>
  <c r="J133" i="12"/>
  <c r="K113" i="12"/>
  <c r="G103" i="12"/>
  <c r="J63" i="12"/>
  <c r="Q51" i="12"/>
  <c r="Q275" i="12"/>
  <c r="Q152" i="12"/>
  <c r="Q442" i="12"/>
  <c r="Q62" i="12"/>
  <c r="Q177" i="12"/>
  <c r="Q136" i="12"/>
  <c r="Q103" i="12"/>
  <c r="Q183" i="12"/>
  <c r="Q115" i="12"/>
  <c r="Q317" i="12"/>
  <c r="Q486" i="12"/>
  <c r="Q283" i="12"/>
  <c r="Q199" i="12"/>
  <c r="Q488" i="12"/>
  <c r="Q238" i="12"/>
  <c r="Q202" i="12"/>
  <c r="Q402" i="12"/>
  <c r="Q109" i="12"/>
  <c r="M38" i="12"/>
  <c r="M283" i="12"/>
  <c r="M238" i="12"/>
  <c r="M236" i="12"/>
  <c r="M374" i="12"/>
  <c r="M144" i="12"/>
  <c r="M319" i="12"/>
  <c r="M130" i="12"/>
  <c r="N25" i="12"/>
  <c r="R95" i="12"/>
  <c r="Z656" i="12"/>
  <c r="Z727" i="12"/>
  <c r="Z682" i="12"/>
  <c r="Z662" i="12"/>
  <c r="Z724" i="12"/>
  <c r="Z694" i="12"/>
  <c r="Z718" i="12"/>
  <c r="Z668" i="12"/>
  <c r="AL92" i="2"/>
  <c r="Z665" i="12"/>
  <c r="R210" i="12"/>
  <c r="R328" i="12"/>
  <c r="Q186" i="12"/>
  <c r="Q73" i="12"/>
  <c r="L259" i="12"/>
  <c r="M234" i="12"/>
  <c r="L66" i="12"/>
  <c r="O238" i="12"/>
  <c r="K324" i="12"/>
  <c r="M247" i="12"/>
  <c r="K177" i="12"/>
  <c r="P315" i="12"/>
  <c r="Q144" i="12"/>
  <c r="Q97" i="12"/>
  <c r="O291" i="12"/>
  <c r="F394" i="12"/>
  <c r="U276" i="2"/>
  <c r="G183" i="12"/>
  <c r="S385" i="12"/>
  <c r="T77" i="12"/>
  <c r="F102" i="12"/>
  <c r="U133" i="2"/>
  <c r="N87" i="12"/>
  <c r="M76" i="12"/>
  <c r="F24" i="12"/>
  <c r="U45" i="2"/>
  <c r="F299" i="12"/>
  <c r="F531" i="12"/>
  <c r="P33" i="12"/>
  <c r="F173" i="12"/>
  <c r="U180" i="2"/>
  <c r="F57" i="12"/>
  <c r="T28" i="12"/>
  <c r="R154" i="12"/>
  <c r="M34" i="12"/>
  <c r="O233" i="12"/>
  <c r="T107" i="12"/>
  <c r="Q122" i="12"/>
  <c r="I609" i="12"/>
  <c r="G392" i="12"/>
  <c r="N225" i="12"/>
  <c r="L313" i="12"/>
  <c r="G396" i="12"/>
  <c r="G420" i="12"/>
  <c r="U449" i="2"/>
  <c r="G425" i="12"/>
  <c r="J425" i="12"/>
  <c r="J372" i="12"/>
  <c r="G373" i="12"/>
  <c r="Q423" i="12"/>
  <c r="I423" i="12"/>
  <c r="P553" i="12"/>
  <c r="Q637" i="12"/>
  <c r="K346" i="12"/>
  <c r="K411" i="12"/>
  <c r="R620" i="12"/>
  <c r="F325" i="12"/>
  <c r="U564" i="2"/>
  <c r="L325" i="12"/>
  <c r="P573" i="12"/>
  <c r="I517" i="12"/>
  <c r="J614" i="12"/>
  <c r="N592" i="12"/>
  <c r="F321" i="12"/>
  <c r="U478" i="2"/>
  <c r="R528" i="12"/>
  <c r="M580" i="12"/>
  <c r="T586" i="12"/>
  <c r="Q254" i="12"/>
  <c r="Q436" i="12"/>
  <c r="O556" i="12"/>
  <c r="Q590" i="12"/>
  <c r="L449" i="12"/>
  <c r="R306" i="12"/>
  <c r="N491" i="12"/>
  <c r="P361" i="12"/>
  <c r="M470" i="12"/>
  <c r="Q597" i="12"/>
  <c r="P300" i="12"/>
  <c r="K300" i="12"/>
  <c r="R351" i="12"/>
  <c r="K265" i="12"/>
  <c r="K575" i="12"/>
  <c r="S513" i="12"/>
  <c r="R288" i="12"/>
  <c r="T590" i="12"/>
  <c r="K449" i="12"/>
  <c r="O260" i="12"/>
  <c r="P522" i="12"/>
  <c r="P509" i="12"/>
  <c r="P493" i="12"/>
  <c r="R278" i="12"/>
  <c r="L314" i="12"/>
  <c r="S145" i="12"/>
  <c r="I336" i="12"/>
  <c r="O579" i="12"/>
  <c r="P289" i="12"/>
  <c r="J333" i="12"/>
  <c r="S293" i="12"/>
  <c r="L592" i="12"/>
  <c r="M589" i="12"/>
  <c r="P341" i="12"/>
  <c r="K466" i="12"/>
  <c r="R597" i="12"/>
  <c r="G331" i="12"/>
  <c r="P513" i="12"/>
  <c r="M579" i="12"/>
  <c r="S524" i="12"/>
  <c r="R479" i="12"/>
  <c r="M509" i="12"/>
  <c r="M493" i="12"/>
  <c r="F273" i="12"/>
  <c r="U343" i="2"/>
  <c r="N464" i="12"/>
  <c r="P497" i="12"/>
  <c r="L497" i="12"/>
  <c r="I404" i="12"/>
  <c r="R347" i="12"/>
  <c r="O582" i="12"/>
  <c r="K163" i="12"/>
  <c r="Q366" i="12"/>
  <c r="G232" i="12"/>
  <c r="J515" i="12"/>
  <c r="K306" i="12"/>
  <c r="L489" i="12"/>
  <c r="P626" i="12"/>
  <c r="I639" i="12"/>
  <c r="L568" i="12"/>
  <c r="L365" i="12"/>
  <c r="P505" i="12"/>
  <c r="P560" i="12"/>
  <c r="K579" i="12"/>
  <c r="F449" i="12"/>
  <c r="U407" i="2"/>
  <c r="J175" i="12"/>
  <c r="I484" i="12"/>
  <c r="M371" i="12"/>
  <c r="G334" i="12"/>
  <c r="J626" i="12"/>
  <c r="T293" i="12"/>
  <c r="L285" i="12"/>
  <c r="T285" i="12"/>
  <c r="O390" i="12"/>
  <c r="P567" i="12"/>
  <c r="F574" i="12"/>
  <c r="U464" i="2"/>
  <c r="J559" i="12"/>
  <c r="L604" i="12"/>
  <c r="P586" i="12"/>
  <c r="P556" i="12"/>
  <c r="J514" i="12"/>
  <c r="I289" i="12"/>
  <c r="S464" i="12"/>
  <c r="N251" i="12"/>
  <c r="R243" i="12"/>
  <c r="L418" i="12"/>
  <c r="X659" i="12"/>
  <c r="R413" i="12"/>
  <c r="L224" i="12"/>
  <c r="P160" i="12"/>
  <c r="K183" i="12"/>
  <c r="P139" i="12"/>
  <c r="N132" i="12"/>
  <c r="T172" i="12"/>
  <c r="J170" i="12"/>
  <c r="I319" i="12"/>
  <c r="T270" i="12"/>
  <c r="P270" i="12"/>
  <c r="N277" i="12"/>
  <c r="K277" i="12"/>
  <c r="G228" i="12"/>
  <c r="P491" i="12"/>
  <c r="T490" i="12"/>
  <c r="I571" i="12"/>
  <c r="S292" i="12"/>
  <c r="L278" i="12"/>
  <c r="N460" i="12"/>
  <c r="F464" i="12"/>
  <c r="U335" i="2"/>
  <c r="K251" i="12"/>
  <c r="S226" i="12"/>
  <c r="Q213" i="12"/>
  <c r="P205" i="12"/>
  <c r="G189" i="12"/>
  <c r="P217" i="12"/>
  <c r="L178" i="12"/>
  <c r="Q171" i="12"/>
  <c r="L241" i="12"/>
  <c r="F359" i="12"/>
  <c r="U250" i="2"/>
  <c r="S356" i="12"/>
  <c r="I170" i="12"/>
  <c r="G174" i="12"/>
  <c r="U218" i="2"/>
  <c r="G92" i="12"/>
  <c r="U181" i="2"/>
  <c r="L79" i="12"/>
  <c r="I631" i="12"/>
  <c r="J631" i="12"/>
  <c r="K513" i="12"/>
  <c r="N515" i="12"/>
  <c r="S478" i="12"/>
  <c r="G480" i="12"/>
  <c r="L257" i="12"/>
  <c r="I290" i="12"/>
  <c r="O441" i="12"/>
  <c r="S267" i="12"/>
  <c r="N271" i="12"/>
  <c r="O281" i="12"/>
  <c r="N183" i="12"/>
  <c r="O167" i="12"/>
  <c r="P171" i="12"/>
  <c r="N408" i="12"/>
  <c r="S170" i="12"/>
  <c r="P153" i="12"/>
  <c r="G436" i="12"/>
  <c r="K203" i="12"/>
  <c r="P473" i="12"/>
  <c r="T496" i="12"/>
  <c r="S175" i="12"/>
  <c r="I327" i="12"/>
  <c r="AB673" i="12"/>
  <c r="K207" i="12"/>
  <c r="T238" i="12"/>
  <c r="R268" i="12"/>
  <c r="R189" i="12"/>
  <c r="T159" i="12"/>
  <c r="F185" i="12"/>
  <c r="Q356" i="12"/>
  <c r="G170" i="12"/>
  <c r="L152" i="12"/>
  <c r="K342" i="12"/>
  <c r="L287" i="12"/>
  <c r="O232" i="12"/>
  <c r="Q338" i="12"/>
  <c r="F338" i="12"/>
  <c r="U388" i="2"/>
  <c r="M211" i="12"/>
  <c r="O248" i="12"/>
  <c r="I403" i="12"/>
  <c r="T332" i="12"/>
  <c r="S238" i="12"/>
  <c r="N236" i="12"/>
  <c r="P250" i="12"/>
  <c r="I415" i="12"/>
  <c r="M326" i="12"/>
  <c r="Q274" i="12"/>
  <c r="O319" i="12"/>
  <c r="N174" i="12"/>
  <c r="T106" i="12"/>
  <c r="P148" i="12"/>
  <c r="N108" i="12"/>
  <c r="N92" i="12"/>
  <c r="T528" i="12"/>
  <c r="J336" i="12"/>
  <c r="M262" i="12"/>
  <c r="R561" i="12"/>
  <c r="N514" i="12"/>
  <c r="K578" i="12"/>
  <c r="Q484" i="12"/>
  <c r="S502" i="12"/>
  <c r="R511" i="12"/>
  <c r="X703" i="12"/>
  <c r="L413" i="12"/>
  <c r="T402" i="12"/>
  <c r="O94" i="12"/>
  <c r="M171" i="12"/>
  <c r="T179" i="12"/>
  <c r="S132" i="12"/>
  <c r="P170" i="12"/>
  <c r="O316" i="12"/>
  <c r="S481" i="12"/>
  <c r="M216" i="12"/>
  <c r="M460" i="12"/>
  <c r="T463" i="12"/>
  <c r="K226" i="12"/>
  <c r="G272" i="12"/>
  <c r="O312" i="12"/>
  <c r="J160" i="12"/>
  <c r="I178" i="12"/>
  <c r="J408" i="12"/>
  <c r="L149" i="12"/>
  <c r="AL234" i="2"/>
  <c r="N202" i="12"/>
  <c r="Q501" i="12"/>
  <c r="L253" i="12"/>
  <c r="Q253" i="12"/>
  <c r="J565" i="12"/>
  <c r="K229" i="12"/>
  <c r="T358" i="12"/>
  <c r="AB690" i="12"/>
  <c r="F255" i="12"/>
  <c r="U387" i="2"/>
  <c r="M418" i="12"/>
  <c r="K216" i="12"/>
  <c r="F167" i="12"/>
  <c r="U279" i="2"/>
  <c r="O241" i="12"/>
  <c r="F115" i="12"/>
  <c r="U158" i="2"/>
  <c r="N112" i="12"/>
  <c r="K242" i="12"/>
  <c r="I113" i="12"/>
  <c r="F83" i="12"/>
  <c r="U112" i="2"/>
  <c r="S107" i="12"/>
  <c r="P32" i="12"/>
  <c r="F51" i="12"/>
  <c r="U72" i="2"/>
  <c r="F230" i="12"/>
  <c r="U166" i="2"/>
  <c r="M111" i="12"/>
  <c r="L47" i="12"/>
  <c r="F340" i="12"/>
  <c r="I328" i="12"/>
  <c r="I164" i="12"/>
  <c r="K38" i="12"/>
  <c r="G150" i="12"/>
  <c r="Q76" i="12"/>
  <c r="L83" i="12"/>
  <c r="G217" i="12"/>
  <c r="M239" i="12"/>
  <c r="S63" i="12"/>
  <c r="Q169" i="12"/>
  <c r="I85" i="12"/>
  <c r="P256" i="12"/>
  <c r="S140" i="12"/>
  <c r="I102" i="12"/>
  <c r="S111" i="12"/>
  <c r="S223" i="12"/>
  <c r="O250" i="12"/>
  <c r="I385" i="12"/>
  <c r="M188" i="12"/>
  <c r="R77" i="12"/>
  <c r="Q397" i="12"/>
  <c r="N13" i="12"/>
  <c r="S10" i="3"/>
  <c r="N93" i="12"/>
  <c r="N571" i="12"/>
  <c r="N208" i="12"/>
  <c r="N415" i="12"/>
  <c r="N511" i="12"/>
  <c r="N290" i="12"/>
  <c r="N227" i="12"/>
  <c r="N560" i="12"/>
  <c r="N274" i="12"/>
  <c r="N184" i="12"/>
  <c r="N530" i="12"/>
  <c r="N39" i="12"/>
  <c r="N32" i="12"/>
  <c r="N33" i="12"/>
  <c r="N83" i="12"/>
  <c r="N111" i="12"/>
  <c r="N276" i="12"/>
  <c r="O87" i="12"/>
  <c r="O86" i="12"/>
  <c r="J154" i="12"/>
  <c r="N2" i="12"/>
  <c r="Q52" i="12"/>
  <c r="T33" i="12"/>
  <c r="F143" i="12"/>
  <c r="F141" i="12"/>
  <c r="K232" i="12"/>
  <c r="T203" i="12"/>
  <c r="F306" i="12"/>
  <c r="U401" i="2"/>
  <c r="Q530" i="12"/>
  <c r="K255" i="12"/>
  <c r="I341" i="12"/>
  <c r="I481" i="12"/>
  <c r="I361" i="12"/>
  <c r="N470" i="12"/>
  <c r="F300" i="12"/>
  <c r="U510" i="2"/>
  <c r="O300" i="12"/>
  <c r="I351" i="12"/>
  <c r="N163" i="12"/>
  <c r="F265" i="12"/>
  <c r="U452" i="2"/>
  <c r="M533" i="12"/>
  <c r="G513" i="12"/>
  <c r="K590" i="12"/>
  <c r="S203" i="12"/>
  <c r="K260" i="12"/>
  <c r="F509" i="12"/>
  <c r="U374" i="2"/>
  <c r="F493" i="12"/>
  <c r="U366" i="2"/>
  <c r="N291" i="12"/>
  <c r="S418" i="12"/>
  <c r="I145" i="12"/>
  <c r="L251" i="12"/>
  <c r="N231" i="12"/>
  <c r="S336" i="12"/>
  <c r="F579" i="12"/>
  <c r="U418" i="2"/>
  <c r="O530" i="12"/>
  <c r="P510" i="12"/>
  <c r="P333" i="12"/>
  <c r="O347" i="12"/>
  <c r="M592" i="12"/>
  <c r="P377" i="12"/>
  <c r="F589" i="12"/>
  <c r="U473" i="2"/>
  <c r="F341" i="12"/>
  <c r="U372" i="2"/>
  <c r="L466" i="12"/>
  <c r="G597" i="12"/>
  <c r="R331" i="12"/>
  <c r="P575" i="12"/>
  <c r="L513" i="12"/>
  <c r="K570" i="12"/>
  <c r="M530" i="12"/>
  <c r="M522" i="12"/>
  <c r="N289" i="12"/>
  <c r="N510" i="12"/>
  <c r="Q497" i="12"/>
  <c r="M497" i="12"/>
  <c r="S347" i="12"/>
  <c r="F582" i="12"/>
  <c r="U479" i="2"/>
  <c r="L163" i="12"/>
  <c r="Q232" i="12"/>
  <c r="T515" i="12"/>
  <c r="L530" i="12"/>
  <c r="J440" i="12"/>
  <c r="J484" i="12"/>
  <c r="AB708" i="12"/>
  <c r="M489" i="12"/>
  <c r="T639" i="12"/>
  <c r="M568" i="12"/>
  <c r="R560" i="12"/>
  <c r="P449" i="12"/>
  <c r="T292" i="12"/>
  <c r="N371" i="12"/>
  <c r="O371" i="12"/>
  <c r="O334" i="12"/>
  <c r="Q334" i="12"/>
  <c r="K626" i="12"/>
  <c r="K293" i="12"/>
  <c r="P627" i="12"/>
  <c r="O285" i="12"/>
  <c r="K285" i="12"/>
  <c r="F390" i="12"/>
  <c r="U484" i="2"/>
  <c r="I567" i="12"/>
  <c r="P574" i="12"/>
  <c r="T559" i="12"/>
  <c r="O604" i="12"/>
  <c r="R586" i="12"/>
  <c r="I513" i="12"/>
  <c r="R436" i="12"/>
  <c r="G556" i="12"/>
  <c r="P480" i="12"/>
  <c r="F260" i="12"/>
  <c r="U393" i="2"/>
  <c r="T341" i="12"/>
  <c r="S510" i="12"/>
  <c r="K273" i="12"/>
  <c r="I464" i="12"/>
  <c r="N238" i="12"/>
  <c r="J243" i="12"/>
  <c r="O211" i="12"/>
  <c r="F257" i="12"/>
  <c r="U342" i="2"/>
  <c r="K309" i="12"/>
  <c r="L511" i="12"/>
  <c r="F413" i="12"/>
  <c r="U300" i="2"/>
  <c r="S264" i="12"/>
  <c r="T250" i="12"/>
  <c r="L382" i="12"/>
  <c r="K156" i="12"/>
  <c r="J185" i="12"/>
  <c r="I172" i="12"/>
  <c r="T344" i="12"/>
  <c r="J316" i="12"/>
  <c r="I181" i="12"/>
  <c r="X694" i="12"/>
  <c r="G270" i="12"/>
  <c r="R270" i="12"/>
  <c r="Q277" i="12"/>
  <c r="L277" i="12"/>
  <c r="I228" i="12"/>
  <c r="L490" i="12"/>
  <c r="J490" i="12"/>
  <c r="S571" i="12"/>
  <c r="I493" i="12"/>
  <c r="N211" i="12"/>
  <c r="L273" i="12"/>
  <c r="T145" i="12"/>
  <c r="Q349" i="12"/>
  <c r="T389" i="12"/>
  <c r="J309" i="12"/>
  <c r="M213" i="12"/>
  <c r="K272" i="12"/>
  <c r="P167" i="12"/>
  <c r="I217" i="12"/>
  <c r="M178" i="12"/>
  <c r="F171" i="12"/>
  <c r="U268" i="2"/>
  <c r="T185" i="12"/>
  <c r="O408" i="12"/>
  <c r="S344" i="12"/>
  <c r="P322" i="12"/>
  <c r="L221" i="12"/>
  <c r="N152" i="12"/>
  <c r="L247" i="12"/>
  <c r="Q120" i="12"/>
  <c r="R173" i="12"/>
  <c r="L91" i="12"/>
  <c r="N199" i="12"/>
  <c r="M631" i="12"/>
  <c r="T631" i="12"/>
  <c r="S245" i="12"/>
  <c r="Q561" i="12"/>
  <c r="I478" i="12"/>
  <c r="K484" i="12"/>
  <c r="Q541" i="12"/>
  <c r="O257" i="12"/>
  <c r="K327" i="12"/>
  <c r="R441" i="12"/>
  <c r="G267" i="12"/>
  <c r="O235" i="12"/>
  <c r="O413" i="12"/>
  <c r="Q264" i="12"/>
  <c r="G197" i="12"/>
  <c r="R250" i="12"/>
  <c r="O217" i="12"/>
  <c r="S185" i="12"/>
  <c r="L132" i="12"/>
  <c r="R344" i="12"/>
  <c r="R302" i="12"/>
  <c r="N579" i="12"/>
  <c r="K473" i="12"/>
  <c r="J496" i="12"/>
  <c r="I509" i="12"/>
  <c r="P445" i="12"/>
  <c r="K460" i="12"/>
  <c r="K214" i="12"/>
  <c r="L207" i="12"/>
  <c r="G238" i="12"/>
  <c r="N167" i="12"/>
  <c r="O187" i="12"/>
  <c r="Q344" i="12"/>
  <c r="O174" i="12"/>
  <c r="F342" i="12"/>
  <c r="U460" i="2"/>
  <c r="I590" i="12"/>
  <c r="G338" i="12"/>
  <c r="P338" i="12"/>
  <c r="K440" i="12"/>
  <c r="T461" i="12"/>
  <c r="F211" i="12"/>
  <c r="U351" i="2"/>
  <c r="F248" i="12"/>
  <c r="U347" i="2"/>
  <c r="S403" i="12"/>
  <c r="T309" i="12"/>
  <c r="I332" i="12"/>
  <c r="F238" i="12"/>
  <c r="O264" i="12"/>
  <c r="Q189" i="12"/>
  <c r="L250" i="12"/>
  <c r="S210" i="12"/>
  <c r="F274" i="12"/>
  <c r="U245" i="2"/>
  <c r="S109" i="12"/>
  <c r="J106" i="12"/>
  <c r="F148" i="12"/>
  <c r="U206" i="2"/>
  <c r="O166" i="12"/>
  <c r="I280" i="12"/>
  <c r="G280" i="12"/>
  <c r="N262" i="12"/>
  <c r="O262" i="12"/>
  <c r="G561" i="12"/>
  <c r="T306" i="12"/>
  <c r="L578" i="12"/>
  <c r="G461" i="12"/>
  <c r="K502" i="12"/>
  <c r="L223" i="12"/>
  <c r="M308" i="12"/>
  <c r="F511" i="12"/>
  <c r="U309" i="2"/>
  <c r="J213" i="12"/>
  <c r="O268" i="12"/>
  <c r="I402" i="12"/>
  <c r="I231" i="12"/>
  <c r="J178" i="12"/>
  <c r="L326" i="12"/>
  <c r="I179" i="12"/>
  <c r="P274" i="12"/>
  <c r="R206" i="12"/>
  <c r="O148" i="12"/>
  <c r="R266" i="12"/>
  <c r="F453" i="12"/>
  <c r="K565" i="12"/>
  <c r="G486" i="12"/>
  <c r="N243" i="12"/>
  <c r="P464" i="12"/>
  <c r="R208" i="12"/>
  <c r="L349" i="12"/>
  <c r="R463" i="12"/>
  <c r="S511" i="12"/>
  <c r="Q272" i="12"/>
  <c r="L197" i="12"/>
  <c r="Q210" i="12"/>
  <c r="T139" i="12"/>
  <c r="O147" i="12"/>
  <c r="M121" i="12"/>
  <c r="J501" i="12"/>
  <c r="N253" i="12"/>
  <c r="Q336" i="12"/>
  <c r="S537" i="12"/>
  <c r="G560" i="12"/>
  <c r="R255" i="12"/>
  <c r="I304" i="12"/>
  <c r="I219" i="12"/>
  <c r="K267" i="12"/>
  <c r="L309" i="12"/>
  <c r="R160" i="12"/>
  <c r="F215" i="12"/>
  <c r="U240" i="2"/>
  <c r="N266" i="12"/>
  <c r="N158" i="12"/>
  <c r="K356" i="12"/>
  <c r="F157" i="12"/>
  <c r="U119" i="2"/>
  <c r="P83" i="12"/>
  <c r="F181" i="12"/>
  <c r="Q323" i="12"/>
  <c r="P230" i="12"/>
  <c r="G124" i="12"/>
  <c r="G82" i="12"/>
  <c r="J164" i="12"/>
  <c r="M71" i="12"/>
  <c r="M101" i="12"/>
  <c r="T383" i="12"/>
  <c r="O298" i="12"/>
  <c r="K192" i="12"/>
  <c r="R120" i="12"/>
  <c r="O141" i="12"/>
  <c r="J304" i="12"/>
  <c r="N458" i="12"/>
  <c r="O90" i="12"/>
  <c r="P68" i="12"/>
  <c r="R117" i="12"/>
  <c r="P394" i="12"/>
  <c r="K187" i="12"/>
  <c r="S200" i="12"/>
  <c r="S155" i="12"/>
  <c r="R63" i="12"/>
  <c r="O169" i="12"/>
  <c r="M75" i="12"/>
  <c r="O63" i="12"/>
  <c r="R133" i="12"/>
  <c r="S150" i="12"/>
  <c r="G234" i="12"/>
  <c r="Z674" i="12"/>
  <c r="N257" i="12"/>
  <c r="R244" i="12"/>
  <c r="R191" i="12"/>
  <c r="F158" i="12"/>
  <c r="R83" i="12"/>
  <c r="M162" i="12"/>
  <c r="T162" i="12"/>
  <c r="O97" i="12"/>
  <c r="Q93" i="12"/>
  <c r="P26" i="12"/>
  <c r="S18" i="12"/>
  <c r="AA700" i="12"/>
  <c r="AA687" i="12"/>
  <c r="AA718" i="12"/>
  <c r="AA727" i="12"/>
  <c r="AA668" i="12"/>
  <c r="AA679" i="12"/>
  <c r="AA682" i="12"/>
  <c r="AA709" i="12"/>
  <c r="J226" i="12"/>
  <c r="R2" i="12"/>
  <c r="J296" i="12"/>
  <c r="R296" i="12"/>
  <c r="T35" i="12"/>
  <c r="K6" i="12"/>
  <c r="P6" i="3"/>
  <c r="K75" i="12"/>
  <c r="K217" i="12"/>
  <c r="K73" i="12"/>
  <c r="K32" i="12"/>
  <c r="K318" i="12"/>
  <c r="K233" i="12"/>
  <c r="K389" i="12"/>
  <c r="K197" i="12"/>
  <c r="K195" i="12"/>
  <c r="K221" i="12"/>
  <c r="K59" i="12"/>
  <c r="K71" i="12"/>
  <c r="K199" i="12"/>
  <c r="K174" i="12"/>
  <c r="K29" i="12"/>
  <c r="K36" i="12"/>
  <c r="K80" i="12"/>
  <c r="K380" i="12"/>
  <c r="K62" i="12"/>
  <c r="K115" i="12"/>
  <c r="K66" i="12"/>
  <c r="K250" i="12"/>
  <c r="K409" i="12"/>
  <c r="K85" i="12"/>
  <c r="K374" i="12"/>
  <c r="K349" i="12"/>
  <c r="K308" i="12"/>
  <c r="K281" i="12"/>
  <c r="K103" i="12"/>
  <c r="K193" i="12"/>
  <c r="K165" i="12"/>
  <c r="K64" i="12"/>
  <c r="K33" i="12"/>
  <c r="K236" i="12"/>
  <c r="K93" i="12"/>
  <c r="K149" i="12"/>
  <c r="K441" i="12"/>
  <c r="K121" i="12"/>
  <c r="K153" i="12"/>
  <c r="K408" i="12"/>
  <c r="K167" i="12"/>
  <c r="K77" i="12"/>
  <c r="K215" i="12"/>
  <c r="K111" i="12"/>
  <c r="K16" i="12"/>
  <c r="K122" i="12"/>
  <c r="K266" i="12"/>
  <c r="K413" i="12"/>
  <c r="K209" i="12"/>
  <c r="K95" i="12"/>
  <c r="K239" i="12"/>
  <c r="K344" i="12"/>
  <c r="K158" i="12"/>
  <c r="K92" i="12"/>
  <c r="K79" i="12"/>
  <c r="K288" i="12"/>
  <c r="K63" i="12"/>
  <c r="K141" i="12"/>
  <c r="K166" i="12"/>
  <c r="K144" i="12"/>
  <c r="K9" i="12"/>
  <c r="K27" i="12"/>
  <c r="K117" i="12"/>
  <c r="K13" i="12"/>
  <c r="K49" i="12"/>
  <c r="K10" i="12"/>
  <c r="K172" i="12"/>
  <c r="K157" i="12"/>
  <c r="K196" i="12"/>
  <c r="K184" i="12"/>
  <c r="K47" i="12"/>
  <c r="K139" i="12"/>
  <c r="P140" i="12"/>
  <c r="P22" i="12"/>
  <c r="U14" i="3"/>
  <c r="N363" i="12"/>
  <c r="N325" i="12"/>
  <c r="P325" i="12"/>
  <c r="Q573" i="12"/>
  <c r="K517" i="12"/>
  <c r="G321" i="12"/>
  <c r="P456" i="12"/>
  <c r="P580" i="12"/>
  <c r="J254" i="12"/>
  <c r="P494" i="12"/>
  <c r="F203" i="12"/>
  <c r="U406" i="2"/>
  <c r="F530" i="12"/>
  <c r="U394" i="2"/>
  <c r="T479" i="12"/>
  <c r="J461" i="12"/>
  <c r="G201" i="12"/>
  <c r="G470" i="12"/>
  <c r="F470" i="12"/>
  <c r="U565" i="2"/>
  <c r="Q300" i="12"/>
  <c r="S351" i="12"/>
  <c r="J592" i="12"/>
  <c r="U467" i="2"/>
  <c r="P265" i="12"/>
  <c r="F533" i="12"/>
  <c r="U450" i="2"/>
  <c r="T514" i="12"/>
  <c r="Q289" i="12"/>
  <c r="Q510" i="12"/>
  <c r="I418" i="12"/>
  <c r="P304" i="12"/>
  <c r="L214" i="12"/>
  <c r="O331" i="12"/>
  <c r="P218" i="12"/>
  <c r="P579" i="12"/>
  <c r="P503" i="12"/>
  <c r="P306" i="12"/>
  <c r="J530" i="12"/>
  <c r="K333" i="12"/>
  <c r="S489" i="12"/>
  <c r="F592" i="12"/>
  <c r="U488" i="2"/>
  <c r="I582" i="12"/>
  <c r="P589" i="12"/>
  <c r="Q513" i="12"/>
  <c r="R515" i="12"/>
  <c r="R504" i="12"/>
  <c r="P278" i="12"/>
  <c r="R371" i="12"/>
  <c r="M466" i="12"/>
  <c r="K597" i="12"/>
  <c r="S331" i="12"/>
  <c r="M513" i="12"/>
  <c r="S232" i="12"/>
  <c r="O481" i="12"/>
  <c r="O497" i="12"/>
  <c r="I347" i="12"/>
  <c r="U497" i="2"/>
  <c r="P582" i="12"/>
  <c r="P435" i="12"/>
  <c r="R232" i="12"/>
  <c r="P302" i="12"/>
  <c r="O489" i="12"/>
  <c r="J639" i="12"/>
  <c r="O568" i="12"/>
  <c r="I560" i="12"/>
  <c r="G449" i="12"/>
  <c r="K509" i="12"/>
  <c r="J292" i="12"/>
  <c r="S371" i="12"/>
  <c r="F371" i="12"/>
  <c r="U548" i="2"/>
  <c r="P313" i="12"/>
  <c r="F334" i="12"/>
  <c r="U537" i="2"/>
  <c r="R334" i="12"/>
  <c r="L626" i="12"/>
  <c r="L293" i="12"/>
  <c r="P550" i="12"/>
  <c r="F285" i="12"/>
  <c r="U499" i="2"/>
  <c r="P390" i="12"/>
  <c r="N589" i="12"/>
  <c r="K567" i="12"/>
  <c r="R545" i="12"/>
  <c r="L619" i="12"/>
  <c r="M559" i="12"/>
  <c r="K586" i="12"/>
  <c r="G336" i="12"/>
  <c r="F436" i="12"/>
  <c r="U422" i="2"/>
  <c r="Q556" i="12"/>
  <c r="O442" i="12"/>
  <c r="P562" i="12"/>
  <c r="J479" i="12"/>
  <c r="P440" i="12"/>
  <c r="J341" i="12"/>
  <c r="I510" i="12"/>
  <c r="R541" i="12"/>
  <c r="N308" i="12"/>
  <c r="T243" i="12"/>
  <c r="T207" i="12"/>
  <c r="M463" i="12"/>
  <c r="Q235" i="12"/>
  <c r="P413" i="12"/>
  <c r="F264" i="12"/>
  <c r="U296" i="2"/>
  <c r="Q217" i="12"/>
  <c r="R187" i="12"/>
  <c r="N397" i="12"/>
  <c r="J263" i="12"/>
  <c r="I270" i="12"/>
  <c r="K270" i="12"/>
  <c r="F277" i="12"/>
  <c r="U431" i="2"/>
  <c r="P490" i="12"/>
  <c r="K490" i="12"/>
  <c r="J571" i="12"/>
  <c r="L531" i="12"/>
  <c r="J349" i="12"/>
  <c r="I389" i="12"/>
  <c r="L463" i="12"/>
  <c r="G226" i="12"/>
  <c r="K213" i="12"/>
  <c r="L458" i="12"/>
  <c r="G167" i="12"/>
  <c r="S217" i="12"/>
  <c r="L415" i="12"/>
  <c r="P326" i="12"/>
  <c r="I185" i="12"/>
  <c r="I408" i="12"/>
  <c r="S172" i="12"/>
  <c r="F322" i="12"/>
  <c r="U228" i="2"/>
  <c r="R144" i="12"/>
  <c r="G120" i="12"/>
  <c r="U190" i="2"/>
  <c r="N631" i="12"/>
  <c r="K631" i="12"/>
  <c r="R262" i="12"/>
  <c r="P570" i="12"/>
  <c r="L478" i="12"/>
  <c r="P578" i="12"/>
  <c r="R292" i="12"/>
  <c r="T445" i="12"/>
  <c r="G257" i="12"/>
  <c r="I201" i="12"/>
  <c r="I441" i="12"/>
  <c r="L295" i="12"/>
  <c r="R207" i="12"/>
  <c r="AA703" i="12"/>
  <c r="L264" i="12"/>
  <c r="Q197" i="12"/>
  <c r="R94" i="12"/>
  <c r="G185" i="12"/>
  <c r="S274" i="12"/>
  <c r="G344" i="12"/>
  <c r="T556" i="12"/>
  <c r="M496" i="12"/>
  <c r="K496" i="12"/>
  <c r="R289" i="12"/>
  <c r="G278" i="12"/>
  <c r="I251" i="12"/>
  <c r="T283" i="12"/>
  <c r="P209" i="12"/>
  <c r="T210" i="12"/>
  <c r="K275" i="12"/>
  <c r="I187" i="12"/>
  <c r="O359" i="12"/>
  <c r="Q172" i="12"/>
  <c r="F344" i="12"/>
  <c r="Q316" i="12"/>
  <c r="P342" i="12"/>
  <c r="R480" i="12"/>
  <c r="R338" i="12"/>
  <c r="R175" i="12"/>
  <c r="P211" i="12"/>
  <c r="P248" i="12"/>
  <c r="F290" i="12"/>
  <c r="N409" i="12"/>
  <c r="J403" i="12"/>
  <c r="I309" i="12"/>
  <c r="S283" i="12"/>
  <c r="N209" i="12"/>
  <c r="O439" i="12"/>
  <c r="K189" i="12"/>
  <c r="M250" i="12"/>
  <c r="T382" i="12"/>
  <c r="P261" i="12"/>
  <c r="J275" i="12"/>
  <c r="P374" i="12"/>
  <c r="L215" i="12"/>
  <c r="I109" i="12"/>
  <c r="P316" i="12"/>
  <c r="M280" i="12"/>
  <c r="Q280" i="12"/>
  <c r="G262" i="12"/>
  <c r="F262" i="12"/>
  <c r="U427" i="2"/>
  <c r="S561" i="12"/>
  <c r="Q480" i="12"/>
  <c r="M578" i="12"/>
  <c r="I175" i="12"/>
  <c r="S243" i="12"/>
  <c r="L502" i="12"/>
  <c r="M223" i="12"/>
  <c r="G531" i="12"/>
  <c r="T464" i="12"/>
  <c r="P511" i="12"/>
  <c r="R238" i="12"/>
  <c r="Q224" i="12"/>
  <c r="S312" i="12"/>
  <c r="R159" i="12"/>
  <c r="S415" i="12"/>
  <c r="S397" i="12"/>
  <c r="O344" i="12"/>
  <c r="R221" i="12"/>
  <c r="S106" i="12"/>
  <c r="I317" i="12"/>
  <c r="O515" i="12"/>
  <c r="G327" i="12"/>
  <c r="N441" i="12"/>
  <c r="F208" i="12"/>
  <c r="U327" i="2"/>
  <c r="O403" i="12"/>
  <c r="I463" i="12"/>
  <c r="K235" i="12"/>
  <c r="O272" i="12"/>
  <c r="T458" i="12"/>
  <c r="O156" i="12"/>
  <c r="I139" i="12"/>
  <c r="N185" i="12"/>
  <c r="F147" i="12"/>
  <c r="U252" i="2"/>
  <c r="R132" i="12"/>
  <c r="J215" i="12"/>
  <c r="N148" i="12"/>
  <c r="M181" i="12"/>
  <c r="R519" i="12"/>
  <c r="J560" i="12"/>
  <c r="O507" i="12"/>
  <c r="O216" i="12"/>
  <c r="S219" i="12"/>
  <c r="I409" i="12"/>
  <c r="Q412" i="12"/>
  <c r="K261" i="12"/>
  <c r="T132" i="12"/>
  <c r="P357" i="12"/>
  <c r="O317" i="12"/>
  <c r="M228" i="12"/>
  <c r="S341" i="12"/>
  <c r="Q310" i="12"/>
  <c r="I344" i="12"/>
  <c r="T91" i="12"/>
  <c r="P157" i="12"/>
  <c r="L16" i="12"/>
  <c r="L324" i="12"/>
  <c r="L312" i="12"/>
  <c r="L72" i="12"/>
  <c r="L106" i="12"/>
  <c r="L397" i="12"/>
  <c r="L318" i="12"/>
  <c r="L121" i="12"/>
  <c r="L148" i="12"/>
  <c r="L167" i="12"/>
  <c r="L226" i="12"/>
  <c r="L281" i="12"/>
  <c r="L147" i="12"/>
  <c r="L120" i="12"/>
  <c r="L236" i="12"/>
  <c r="L204" i="12"/>
  <c r="L3" i="12"/>
  <c r="L88" i="12"/>
  <c r="M224" i="12"/>
  <c r="R323" i="12"/>
  <c r="O143" i="12"/>
  <c r="N36" i="12"/>
  <c r="G137" i="12"/>
  <c r="L192" i="12"/>
  <c r="Q166" i="12"/>
  <c r="N143" i="12"/>
  <c r="R273" i="12"/>
  <c r="F109" i="12"/>
  <c r="M357" i="12"/>
  <c r="M157" i="12"/>
  <c r="N46" i="12"/>
  <c r="K204" i="12"/>
  <c r="I44" i="12"/>
  <c r="F155" i="12"/>
  <c r="U132" i="2"/>
  <c r="J476" i="12"/>
  <c r="K283" i="12"/>
  <c r="I171" i="12"/>
  <c r="L284" i="12"/>
  <c r="J88" i="12"/>
  <c r="J151" i="12"/>
  <c r="R151" i="12"/>
  <c r="N190" i="12"/>
  <c r="F204" i="12"/>
  <c r="T259" i="12"/>
  <c r="T66" i="12"/>
  <c r="L457" i="12"/>
  <c r="L252" i="12"/>
  <c r="T476" i="12"/>
  <c r="G139" i="12"/>
  <c r="N244" i="12"/>
  <c r="I244" i="12"/>
  <c r="F183" i="12"/>
  <c r="S191" i="12"/>
  <c r="L144" i="12"/>
  <c r="T204" i="12"/>
  <c r="N122" i="12"/>
  <c r="J68" i="12"/>
  <c r="Q72" i="12"/>
  <c r="N162" i="12"/>
  <c r="O240" i="12"/>
  <c r="J195" i="12"/>
  <c r="T9" i="12"/>
  <c r="N5" i="12"/>
  <c r="S25" i="12"/>
  <c r="L31" i="12"/>
  <c r="G70" i="12"/>
  <c r="S143" i="12"/>
  <c r="I470" i="12"/>
  <c r="Q470" i="12"/>
  <c r="J351" i="12"/>
  <c r="N582" i="12"/>
  <c r="L575" i="12"/>
  <c r="P533" i="12"/>
  <c r="Q559" i="12"/>
  <c r="M442" i="12"/>
  <c r="M491" i="12"/>
  <c r="G289" i="12"/>
  <c r="G510" i="12"/>
  <c r="F304" i="12"/>
  <c r="U346" i="2"/>
  <c r="L439" i="12"/>
  <c r="P597" i="12"/>
  <c r="M582" i="12"/>
  <c r="J163" i="12"/>
  <c r="P380" i="12"/>
  <c r="L306" i="12"/>
  <c r="T530" i="12"/>
  <c r="P592" i="12"/>
  <c r="F353" i="12"/>
  <c r="U485" i="2"/>
  <c r="G589" i="12"/>
  <c r="F515" i="12"/>
  <c r="U414" i="2"/>
  <c r="F504" i="12"/>
  <c r="U402" i="2"/>
  <c r="F278" i="12"/>
  <c r="U354" i="2"/>
  <c r="N304" i="12"/>
  <c r="N466" i="12"/>
  <c r="L597" i="12"/>
  <c r="I331" i="12"/>
  <c r="P420" i="12"/>
  <c r="P287" i="12"/>
  <c r="AQ423" i="2"/>
  <c r="AR423" i="2"/>
  <c r="G497" i="12"/>
  <c r="Q371" i="12"/>
  <c r="S626" i="12"/>
  <c r="T347" i="12"/>
  <c r="G582" i="12"/>
  <c r="P514" i="12"/>
  <c r="M203" i="12"/>
  <c r="K175" i="12"/>
  <c r="K292" i="12"/>
  <c r="F302" i="12"/>
  <c r="U571" i="2"/>
  <c r="G489" i="12"/>
  <c r="K639" i="12"/>
  <c r="F568" i="12"/>
  <c r="U474" i="2"/>
  <c r="S560" i="12"/>
  <c r="Q449" i="12"/>
  <c r="O228" i="12"/>
  <c r="L289" i="12"/>
  <c r="G371" i="12"/>
  <c r="P371" i="12"/>
  <c r="P454" i="12"/>
  <c r="T334" i="12"/>
  <c r="L370" i="12"/>
  <c r="M626" i="12"/>
  <c r="O293" i="12"/>
  <c r="P285" i="12"/>
  <c r="G390" i="12"/>
  <c r="K545" i="12"/>
  <c r="O559" i="12"/>
  <c r="G604" i="12"/>
  <c r="L586" i="12"/>
  <c r="L505" i="12"/>
  <c r="L232" i="12"/>
  <c r="I203" i="12"/>
  <c r="F442" i="12"/>
  <c r="U398" i="2"/>
  <c r="R522" i="12"/>
  <c r="F440" i="12"/>
  <c r="U376" i="2"/>
  <c r="T481" i="12"/>
  <c r="K145" i="12"/>
  <c r="P478" i="12"/>
  <c r="P496" i="12"/>
  <c r="K243" i="12"/>
  <c r="G207" i="12"/>
  <c r="J235" i="12"/>
  <c r="G413" i="12"/>
  <c r="J261" i="12"/>
  <c r="G187" i="12"/>
  <c r="K147" i="12"/>
  <c r="S149" i="12"/>
  <c r="J270" i="12"/>
  <c r="L270" i="12"/>
  <c r="R277" i="12"/>
  <c r="F490" i="12"/>
  <c r="U381" i="2"/>
  <c r="M490" i="12"/>
  <c r="T571" i="12"/>
  <c r="L461" i="12"/>
  <c r="T349" i="12"/>
  <c r="S281" i="12"/>
  <c r="Q226" i="12"/>
  <c r="L213" i="12"/>
  <c r="F268" i="12"/>
  <c r="U299" i="2"/>
  <c r="Q167" i="12"/>
  <c r="J217" i="12"/>
  <c r="S408" i="12"/>
  <c r="AQ234" i="2"/>
  <c r="AR234" i="2"/>
  <c r="Q153" i="12"/>
  <c r="N357" i="12"/>
  <c r="R166" i="12"/>
  <c r="P631" i="12"/>
  <c r="S337" i="12"/>
  <c r="M478" i="12"/>
  <c r="L524" i="12"/>
  <c r="Q257" i="12"/>
  <c r="S441" i="12"/>
  <c r="S409" i="12"/>
  <c r="N412" i="12"/>
  <c r="P213" i="12"/>
  <c r="J264" i="12"/>
  <c r="O197" i="12"/>
  <c r="O249" i="12"/>
  <c r="P187" i="12"/>
  <c r="K397" i="12"/>
  <c r="R374" i="12"/>
  <c r="T163" i="12"/>
  <c r="K505" i="12"/>
  <c r="T494" i="12"/>
  <c r="F496" i="12"/>
  <c r="U389" i="2"/>
  <c r="L496" i="12"/>
  <c r="I292" i="12"/>
  <c r="R389" i="12"/>
  <c r="G283" i="12"/>
  <c r="L205" i="12"/>
  <c r="P439" i="12"/>
  <c r="Q250" i="12"/>
  <c r="N217" i="12"/>
  <c r="S156" i="12"/>
  <c r="S187" i="12"/>
  <c r="R359" i="12"/>
  <c r="AA661" i="12"/>
  <c r="T221" i="12"/>
  <c r="P144" i="12"/>
  <c r="O592" i="12"/>
  <c r="K365" i="12"/>
  <c r="J522" i="12"/>
  <c r="G211" i="12"/>
  <c r="G248" i="12"/>
  <c r="T304" i="12"/>
  <c r="Q201" i="12"/>
  <c r="I208" i="12"/>
  <c r="T403" i="12"/>
  <c r="S309" i="12"/>
  <c r="M226" i="12"/>
  <c r="K205" i="12"/>
  <c r="I189" i="12"/>
  <c r="L249" i="12"/>
  <c r="F382" i="12"/>
  <c r="U278" i="2"/>
  <c r="T276" i="12"/>
  <c r="L193" i="12"/>
  <c r="L198" i="12"/>
  <c r="F316" i="12"/>
  <c r="U225" i="2"/>
  <c r="O144" i="12"/>
  <c r="S247" i="12"/>
  <c r="O181" i="12"/>
  <c r="P202" i="12"/>
  <c r="O173" i="12"/>
  <c r="N280" i="12"/>
  <c r="J280" i="12"/>
  <c r="S262" i="12"/>
  <c r="P262" i="12"/>
  <c r="T561" i="12"/>
  <c r="N578" i="12"/>
  <c r="G578" i="12"/>
  <c r="Q509" i="12"/>
  <c r="M502" i="12"/>
  <c r="O223" i="12"/>
  <c r="S304" i="12"/>
  <c r="K271" i="12"/>
  <c r="G511" i="12"/>
  <c r="J224" i="12"/>
  <c r="M197" i="12"/>
  <c r="F159" i="12"/>
  <c r="U280" i="2"/>
  <c r="Q156" i="12"/>
  <c r="J139" i="12"/>
  <c r="Q324" i="12"/>
  <c r="O374" i="12"/>
  <c r="N344" i="12"/>
  <c r="S301" i="12"/>
  <c r="T152" i="12"/>
  <c r="R247" i="12"/>
  <c r="K514" i="12"/>
  <c r="F491" i="12"/>
  <c r="P460" i="12"/>
  <c r="Q327" i="12"/>
  <c r="P208" i="12"/>
  <c r="N207" i="12"/>
  <c r="S463" i="12"/>
  <c r="AQ306" i="2"/>
  <c r="AR306" i="2"/>
  <c r="F272" i="12"/>
  <c r="U301" i="2"/>
  <c r="I382" i="12"/>
  <c r="F156" i="12"/>
  <c r="U271" i="2"/>
  <c r="P147" i="12"/>
  <c r="G132" i="12"/>
  <c r="R340" i="12"/>
  <c r="Q221" i="12"/>
  <c r="N263" i="12"/>
  <c r="I537" i="12"/>
  <c r="F329" i="12"/>
  <c r="X690" i="12"/>
  <c r="AL455" i="2"/>
  <c r="N161" i="12"/>
  <c r="M161" i="12"/>
  <c r="I227" i="12"/>
  <c r="G220" i="12"/>
  <c r="N488" i="12"/>
  <c r="F216" i="12"/>
  <c r="U352" i="2"/>
  <c r="R368" i="12"/>
  <c r="K219" i="12"/>
  <c r="T271" i="12"/>
  <c r="T439" i="12"/>
  <c r="F217" i="12"/>
  <c r="U277" i="2"/>
  <c r="S171" i="12"/>
  <c r="F152" i="12"/>
  <c r="U211" i="2"/>
  <c r="F357" i="12"/>
  <c r="U201" i="2"/>
  <c r="K510" i="12"/>
  <c r="S455" i="12"/>
  <c r="J207" i="12"/>
  <c r="G310" i="12"/>
  <c r="I110" i="12"/>
  <c r="S257" i="12"/>
  <c r="Q405" i="12"/>
  <c r="M173" i="12"/>
  <c r="J150" i="12"/>
  <c r="Q102" i="12"/>
  <c r="M85" i="12"/>
  <c r="M464" i="12"/>
  <c r="I233" i="12"/>
  <c r="Q123" i="12"/>
  <c r="S112" i="12"/>
  <c r="G58" i="12"/>
  <c r="I79" i="12"/>
  <c r="M405" i="12"/>
  <c r="Z687" i="12"/>
  <c r="F294" i="12"/>
  <c r="U205" i="2"/>
  <c r="I243" i="12"/>
  <c r="F168" i="12"/>
  <c r="U232" i="2"/>
  <c r="L168" i="12"/>
  <c r="S44" i="12"/>
  <c r="F476" i="12"/>
  <c r="U338" i="2"/>
  <c r="M511" i="12"/>
  <c r="P276" i="12"/>
  <c r="P206" i="12"/>
  <c r="T266" i="12"/>
  <c r="T88" i="12"/>
  <c r="K151" i="12"/>
  <c r="O224" i="12"/>
  <c r="G408" i="12"/>
  <c r="S121" i="12"/>
  <c r="L75" i="12"/>
  <c r="I33" i="12"/>
  <c r="I66" i="12"/>
  <c r="R455" i="12"/>
  <c r="F236" i="12"/>
  <c r="M457" i="12"/>
  <c r="M252" i="12"/>
  <c r="G252" i="12"/>
  <c r="J312" i="12"/>
  <c r="Q244" i="12"/>
  <c r="S249" i="12"/>
  <c r="R200" i="12"/>
  <c r="P121" i="12"/>
  <c r="S157" i="12"/>
  <c r="T141" i="12"/>
  <c r="G138" i="12"/>
  <c r="I2" i="12"/>
  <c r="N2" i="3"/>
  <c r="N22" i="3" s="1"/>
  <c r="I165" i="12"/>
  <c r="I15" i="12"/>
  <c r="I136" i="12"/>
  <c r="I72" i="12"/>
  <c r="I200" i="12"/>
  <c r="I326" i="12"/>
  <c r="I111" i="12"/>
  <c r="I439" i="12"/>
  <c r="I215" i="12"/>
  <c r="I101" i="12"/>
  <c r="I58" i="12"/>
  <c r="I141" i="12"/>
  <c r="I158" i="12"/>
  <c r="I199" i="12"/>
  <c r="I413" i="12"/>
  <c r="I264" i="12"/>
  <c r="I207" i="12"/>
  <c r="I22" i="12"/>
  <c r="I6" i="12"/>
  <c r="I48" i="12"/>
  <c r="I73" i="12"/>
  <c r="I4" i="12"/>
  <c r="I16" i="12"/>
  <c r="I135" i="12"/>
  <c r="I38" i="12"/>
  <c r="I25" i="12"/>
  <c r="I65" i="12"/>
  <c r="I49" i="12"/>
  <c r="I142" i="12"/>
  <c r="I157" i="12"/>
  <c r="I91" i="12"/>
  <c r="I503" i="12"/>
  <c r="I32" i="12"/>
  <c r="I128" i="12"/>
  <c r="I167" i="12"/>
  <c r="I122" i="12"/>
  <c r="I131" i="12"/>
  <c r="I71" i="12"/>
  <c r="I195" i="12"/>
  <c r="I47" i="12"/>
  <c r="I188" i="12"/>
  <c r="I216" i="12"/>
  <c r="I575" i="12"/>
  <c r="I106" i="12"/>
  <c r="I301" i="12"/>
  <c r="I60" i="12"/>
  <c r="I13" i="12"/>
  <c r="I29" i="12"/>
  <c r="I20" i="12"/>
  <c r="I81" i="12"/>
  <c r="I323" i="12"/>
  <c r="I249" i="12"/>
  <c r="I59" i="12"/>
  <c r="I198" i="12"/>
  <c r="I184" i="12"/>
  <c r="I143" i="12"/>
  <c r="I306" i="12"/>
  <c r="I61" i="12"/>
  <c r="I115" i="12"/>
  <c r="I230" i="12"/>
  <c r="I36" i="12"/>
  <c r="I77" i="12"/>
  <c r="I103" i="12"/>
  <c r="I374" i="12"/>
  <c r="I9" i="12"/>
  <c r="I322" i="12"/>
  <c r="I12" i="12"/>
  <c r="I10" i="12"/>
  <c r="I57" i="12"/>
  <c r="I89" i="12"/>
  <c r="I52" i="12"/>
  <c r="I24" i="12"/>
  <c r="I51" i="12"/>
  <c r="I27" i="12"/>
  <c r="I62" i="12"/>
  <c r="I93" i="12"/>
  <c r="I80" i="12"/>
  <c r="I46" i="12"/>
  <c r="I281" i="12"/>
  <c r="I112" i="12"/>
  <c r="T15" i="12"/>
  <c r="I76" i="12"/>
  <c r="R84" i="12"/>
  <c r="R197" i="12"/>
  <c r="R214" i="12"/>
  <c r="R183" i="12"/>
  <c r="R402" i="12"/>
  <c r="R397" i="12"/>
  <c r="R442" i="12"/>
  <c r="R109" i="12"/>
  <c r="R249" i="12"/>
  <c r="R415" i="12"/>
  <c r="R318" i="12"/>
  <c r="R38" i="12"/>
  <c r="T10" i="12"/>
  <c r="T151" i="12"/>
  <c r="T509" i="12"/>
  <c r="T137" i="12"/>
  <c r="T111" i="12"/>
  <c r="T148" i="12"/>
  <c r="T120" i="12"/>
  <c r="T263" i="12"/>
  <c r="T215" i="12"/>
  <c r="T200" i="12"/>
  <c r="T209" i="12"/>
  <c r="T316" i="12"/>
  <c r="T295" i="12"/>
  <c r="T38" i="12"/>
  <c r="T146" i="12"/>
  <c r="T178" i="12"/>
  <c r="T122" i="12"/>
  <c r="T176" i="12"/>
  <c r="T201" i="12"/>
  <c r="T247" i="12"/>
  <c r="T65" i="12"/>
  <c r="T408" i="12"/>
  <c r="T214" i="12"/>
  <c r="T47" i="12"/>
  <c r="T112" i="12"/>
  <c r="T589" i="12"/>
  <c r="T59" i="12"/>
  <c r="T143" i="12"/>
  <c r="T71" i="12"/>
  <c r="T184" i="12"/>
  <c r="T205" i="12"/>
  <c r="T233" i="12"/>
  <c r="T26" i="12"/>
  <c r="T20" i="12"/>
  <c r="T157" i="12"/>
  <c r="T153" i="12"/>
  <c r="T79" i="12"/>
  <c r="T211" i="12"/>
  <c r="T213" i="12"/>
  <c r="T110" i="12"/>
  <c r="N57" i="12"/>
  <c r="Q53" i="12"/>
  <c r="N550" i="12"/>
  <c r="F330" i="12"/>
  <c r="U506" i="2"/>
  <c r="J525" i="12"/>
  <c r="F282" i="12"/>
  <c r="U495" i="2"/>
  <c r="O325" i="12"/>
  <c r="I573" i="12"/>
  <c r="O517" i="12"/>
  <c r="L517" i="12"/>
  <c r="R321" i="12"/>
  <c r="J456" i="12"/>
  <c r="R567" i="12"/>
  <c r="AR447" i="2"/>
  <c r="AQ447" i="2"/>
  <c r="Q580" i="12"/>
  <c r="K254" i="12"/>
  <c r="S288" i="12"/>
  <c r="I494" i="12"/>
  <c r="I514" i="12"/>
  <c r="N480" i="12"/>
  <c r="J145" i="12"/>
  <c r="O470" i="12"/>
  <c r="J470" i="12"/>
  <c r="Q466" i="12"/>
  <c r="G300" i="12"/>
  <c r="T351" i="12"/>
  <c r="O575" i="12"/>
  <c r="R533" i="12"/>
  <c r="K560" i="12"/>
  <c r="R579" i="12"/>
  <c r="Q380" i="12"/>
  <c r="L308" i="12"/>
  <c r="Q368" i="12"/>
  <c r="N476" i="12"/>
  <c r="L238" i="12"/>
  <c r="P246" i="12"/>
  <c r="I380" i="12"/>
  <c r="M306" i="12"/>
  <c r="U386" i="2"/>
  <c r="P645" i="12"/>
  <c r="G592" i="12"/>
  <c r="P353" i="12"/>
  <c r="Q589" i="12"/>
  <c r="M292" i="12"/>
  <c r="N201" i="12"/>
  <c r="P489" i="12"/>
  <c r="I466" i="12"/>
  <c r="M597" i="12"/>
  <c r="T331" i="12"/>
  <c r="N203" i="12"/>
  <c r="O341" i="12"/>
  <c r="P461" i="12"/>
  <c r="M541" i="12"/>
  <c r="R497" i="12"/>
  <c r="J347" i="12"/>
  <c r="Q582" i="12"/>
  <c r="M163" i="12"/>
  <c r="P428" i="12"/>
  <c r="L514" i="12"/>
  <c r="L522" i="12"/>
  <c r="G302" i="12"/>
  <c r="N489" i="12"/>
  <c r="Q489" i="12"/>
  <c r="L639" i="12"/>
  <c r="P568" i="12"/>
  <c r="L203" i="12"/>
  <c r="R228" i="12"/>
  <c r="O255" i="12"/>
  <c r="K493" i="12"/>
  <c r="K541" i="12"/>
  <c r="K304" i="12"/>
  <c r="T371" i="12"/>
  <c r="F454" i="12"/>
  <c r="U540" i="2"/>
  <c r="I334" i="12"/>
  <c r="L650" i="12"/>
  <c r="N626" i="12"/>
  <c r="L339" i="12"/>
  <c r="F293" i="12"/>
  <c r="U489" i="2"/>
  <c r="G285" i="12"/>
  <c r="P348" i="12"/>
  <c r="Q390" i="12"/>
  <c r="G574" i="12"/>
  <c r="M545" i="12"/>
  <c r="R559" i="12"/>
  <c r="Q604" i="12"/>
  <c r="R570" i="12"/>
  <c r="P442" i="12"/>
  <c r="O299" i="12"/>
  <c r="G522" i="12"/>
  <c r="Q175" i="12"/>
  <c r="P484" i="12"/>
  <c r="J481" i="12"/>
  <c r="S445" i="12"/>
  <c r="N314" i="12"/>
  <c r="N214" i="12"/>
  <c r="L479" i="12"/>
  <c r="L243" i="12"/>
  <c r="T502" i="12"/>
  <c r="N248" i="12"/>
  <c r="R327" i="12"/>
  <c r="P412" i="12"/>
  <c r="T235" i="12"/>
  <c r="Q413" i="12"/>
  <c r="T94" i="12"/>
  <c r="AQ269" i="2"/>
  <c r="AR269" i="2"/>
  <c r="O275" i="12"/>
  <c r="P193" i="12"/>
  <c r="P215" i="12"/>
  <c r="Z658" i="12"/>
  <c r="N270" i="12"/>
  <c r="G277" i="12"/>
  <c r="Q490" i="12"/>
  <c r="M571" i="12"/>
  <c r="K571" i="12"/>
  <c r="O502" i="12"/>
  <c r="I248" i="12"/>
  <c r="R349" i="12"/>
  <c r="AA659" i="12"/>
  <c r="S188" i="12"/>
  <c r="O226" i="12"/>
  <c r="I238" i="12"/>
  <c r="K224" i="12"/>
  <c r="Q236" i="12"/>
  <c r="S250" i="12"/>
  <c r="R167" i="12"/>
  <c r="T217" i="12"/>
  <c r="J156" i="12"/>
  <c r="O139" i="12"/>
  <c r="Q187" i="12"/>
  <c r="R149" i="12"/>
  <c r="G153" i="12"/>
  <c r="U227" i="2"/>
  <c r="S137" i="12"/>
  <c r="S202" i="12"/>
  <c r="L233" i="12"/>
  <c r="L136" i="12"/>
  <c r="R631" i="12"/>
  <c r="L428" i="12"/>
  <c r="N478" i="12"/>
  <c r="Q562" i="12"/>
  <c r="L481" i="12"/>
  <c r="K278" i="12"/>
  <c r="R257" i="12"/>
  <c r="F145" i="12"/>
  <c r="U333" i="2"/>
  <c r="R188" i="12"/>
  <c r="T264" i="12"/>
  <c r="F197" i="12"/>
  <c r="U291" i="2"/>
  <c r="N249" i="12"/>
  <c r="O178" i="12"/>
  <c r="O326" i="12"/>
  <c r="G374" i="12"/>
  <c r="N215" i="12"/>
  <c r="K109" i="12"/>
  <c r="T342" i="12"/>
  <c r="J513" i="12"/>
  <c r="Q496" i="12"/>
  <c r="O496" i="12"/>
  <c r="Q493" i="12"/>
  <c r="G389" i="12"/>
  <c r="Q188" i="12"/>
  <c r="N226" i="12"/>
  <c r="N413" i="12"/>
  <c r="K402" i="12"/>
  <c r="Q94" i="12"/>
  <c r="R261" i="12"/>
  <c r="J276" i="12"/>
  <c r="O149" i="12"/>
  <c r="T109" i="12"/>
  <c r="J221" i="12"/>
  <c r="F144" i="12"/>
  <c r="G456" i="12"/>
  <c r="AB688" i="12"/>
  <c r="K336" i="12"/>
  <c r="S570" i="12"/>
  <c r="S338" i="12"/>
  <c r="L341" i="12"/>
  <c r="Q211" i="12"/>
  <c r="Q248" i="12"/>
  <c r="G460" i="12"/>
  <c r="G309" i="12"/>
  <c r="S189" i="12"/>
  <c r="J231" i="12"/>
  <c r="M217" i="12"/>
  <c r="I276" i="12"/>
  <c r="J179" i="12"/>
  <c r="N359" i="12"/>
  <c r="P356" i="12"/>
  <c r="J340" i="12"/>
  <c r="I247" i="12"/>
  <c r="F202" i="12"/>
  <c r="U188" i="2"/>
  <c r="R280" i="12"/>
  <c r="T280" i="12"/>
  <c r="O560" i="12"/>
  <c r="I561" i="12"/>
  <c r="F578" i="12"/>
  <c r="U397" i="2"/>
  <c r="Q578" i="12"/>
  <c r="T289" i="12"/>
  <c r="F502" i="12"/>
  <c r="U361" i="2"/>
  <c r="F223" i="12"/>
  <c r="U357" i="2"/>
  <c r="K368" i="12"/>
  <c r="P441" i="12"/>
  <c r="M349" i="12"/>
  <c r="O188" i="12"/>
  <c r="Q511" i="12"/>
  <c r="T224" i="12"/>
  <c r="P159" i="12"/>
  <c r="T275" i="12"/>
  <c r="Q147" i="12"/>
  <c r="N374" i="12"/>
  <c r="X661" i="12"/>
  <c r="T180" i="12"/>
  <c r="S318" i="12"/>
  <c r="AB665" i="12"/>
  <c r="N513" i="12"/>
  <c r="O203" i="12"/>
  <c r="R440" i="12"/>
  <c r="M507" i="12"/>
  <c r="R460" i="12"/>
  <c r="J327" i="12"/>
  <c r="M145" i="12"/>
  <c r="G208" i="12"/>
  <c r="S251" i="12"/>
  <c r="G412" i="12"/>
  <c r="N250" i="12"/>
  <c r="S382" i="12"/>
  <c r="P156" i="12"/>
  <c r="R276" i="12"/>
  <c r="T198" i="12"/>
  <c r="G221" i="12"/>
  <c r="Q206" i="12"/>
  <c r="Q266" i="12"/>
  <c r="O366" i="12"/>
  <c r="J537" i="12"/>
  <c r="F407" i="12"/>
  <c r="I358" i="12"/>
  <c r="M519" i="12"/>
  <c r="O514" i="12"/>
  <c r="F291" i="12"/>
  <c r="U358" i="2"/>
  <c r="P216" i="12"/>
  <c r="L219" i="12"/>
  <c r="P402" i="12"/>
  <c r="S153" i="12"/>
  <c r="S204" i="12"/>
  <c r="N91" i="12"/>
  <c r="G455" i="12"/>
  <c r="L389" i="12"/>
  <c r="F120" i="12"/>
  <c r="S115" i="12"/>
  <c r="R275" i="12"/>
  <c r="Z709" i="12"/>
  <c r="L102" i="12"/>
  <c r="L61" i="12"/>
  <c r="L441" i="12"/>
  <c r="Q58" i="12"/>
  <c r="M64" i="12"/>
  <c r="N405" i="12"/>
  <c r="AL237" i="2"/>
  <c r="P294" i="12"/>
  <c r="P168" i="12"/>
  <c r="Q263" i="12"/>
  <c r="L77" i="12"/>
  <c r="K83" i="12"/>
  <c r="K72" i="12"/>
  <c r="O120" i="12"/>
  <c r="L239" i="12"/>
  <c r="J83" i="12"/>
  <c r="F78" i="12"/>
  <c r="U88" i="2"/>
  <c r="J115" i="12"/>
  <c r="O82" i="12"/>
  <c r="T85" i="12"/>
  <c r="N189" i="12"/>
  <c r="I226" i="12"/>
  <c r="K312" i="12"/>
  <c r="I124" i="12"/>
  <c r="S196" i="12"/>
  <c r="Q66" i="12"/>
  <c r="F62" i="12"/>
  <c r="AB725" i="12"/>
  <c r="AB658" i="12"/>
  <c r="AB718" i="12"/>
  <c r="AB659" i="12"/>
  <c r="AB668" i="12"/>
  <c r="AB723" i="12"/>
  <c r="AB660" i="12"/>
  <c r="AB661" i="12"/>
  <c r="AB677" i="12"/>
  <c r="AB692" i="12"/>
  <c r="T60" i="12"/>
  <c r="N54" i="12"/>
  <c r="S199" i="12"/>
  <c r="G20" i="12"/>
  <c r="P138" i="12"/>
  <c r="I197" i="12"/>
  <c r="K190" i="12"/>
  <c r="J374" i="12"/>
  <c r="J144" i="12"/>
  <c r="P152" i="12"/>
  <c r="N79" i="12"/>
  <c r="J543" i="12"/>
  <c r="I242" i="12"/>
  <c r="F455" i="12"/>
  <c r="U323" i="2"/>
  <c r="K455" i="12"/>
  <c r="F310" i="12"/>
  <c r="U246" i="2"/>
  <c r="L310" i="12"/>
  <c r="S131" i="12"/>
  <c r="L297" i="12"/>
  <c r="I237" i="12"/>
  <c r="I256" i="12"/>
  <c r="J239" i="12"/>
  <c r="G76" i="12"/>
  <c r="Q113" i="12"/>
  <c r="Q157" i="12"/>
  <c r="Q83" i="12"/>
  <c r="Q46" i="12"/>
  <c r="F32" i="12"/>
  <c r="U77" i="2"/>
  <c r="G80" i="12"/>
  <c r="O81" i="12"/>
  <c r="J22" i="3"/>
  <c r="O168" i="12"/>
  <c r="G323" i="12"/>
  <c r="O230" i="12"/>
  <c r="Q90" i="12"/>
  <c r="F76" i="12"/>
  <c r="U152" i="2"/>
  <c r="J169" i="12"/>
  <c r="S75" i="12"/>
  <c r="I95" i="12"/>
  <c r="M177" i="12"/>
  <c r="K130" i="12"/>
  <c r="Q195" i="12"/>
  <c r="P39" i="12"/>
  <c r="N20" i="12"/>
  <c r="L29" i="12"/>
  <c r="M27" i="12"/>
  <c r="N48" i="12"/>
  <c r="S383" i="12"/>
  <c r="Q328" i="12"/>
  <c r="S192" i="12"/>
  <c r="N234" i="12"/>
  <c r="G123" i="12"/>
  <c r="S186" i="12"/>
  <c r="S58" i="12"/>
  <c r="Q89" i="12"/>
  <c r="P80" i="12"/>
  <c r="M243" i="12"/>
  <c r="K463" i="12"/>
  <c r="L405" i="12"/>
  <c r="Q312" i="12"/>
  <c r="M315" i="12"/>
  <c r="X712" i="12"/>
  <c r="T237" i="12"/>
  <c r="O294" i="12"/>
  <c r="R259" i="12"/>
  <c r="M202" i="12"/>
  <c r="Z704" i="12"/>
  <c r="F182" i="12"/>
  <c r="U146" i="2"/>
  <c r="M77" i="12"/>
  <c r="X682" i="12"/>
  <c r="L64" i="12"/>
  <c r="X656" i="12"/>
  <c r="S117" i="12"/>
  <c r="N165" i="12"/>
  <c r="O80" i="12"/>
  <c r="J38" i="12"/>
  <c r="N490" i="12"/>
  <c r="F349" i="12"/>
  <c r="Q468" i="12"/>
  <c r="J167" i="12"/>
  <c r="J324" i="12"/>
  <c r="M168" i="12"/>
  <c r="K168" i="12"/>
  <c r="Q181" i="12"/>
  <c r="F133" i="12"/>
  <c r="U175" i="2"/>
  <c r="K256" i="12"/>
  <c r="T44" i="12"/>
  <c r="O123" i="12"/>
  <c r="L124" i="12"/>
  <c r="T169" i="12"/>
  <c r="N102" i="12"/>
  <c r="F86" i="12"/>
  <c r="U115" i="2"/>
  <c r="I63" i="12"/>
  <c r="T130" i="12"/>
  <c r="M560" i="12"/>
  <c r="G476" i="12"/>
  <c r="J409" i="12"/>
  <c r="P385" i="12"/>
  <c r="T315" i="12"/>
  <c r="Q298" i="12"/>
  <c r="L170" i="12"/>
  <c r="T131" i="12"/>
  <c r="R137" i="12"/>
  <c r="Q222" i="12"/>
  <c r="K284" i="12"/>
  <c r="L230" i="12"/>
  <c r="S182" i="12"/>
  <c r="G169" i="12"/>
  <c r="R155" i="12"/>
  <c r="N73" i="12"/>
  <c r="R164" i="12"/>
  <c r="Q78" i="12"/>
  <c r="O88" i="12"/>
  <c r="J59" i="12"/>
  <c r="O308" i="12"/>
  <c r="F295" i="12"/>
  <c r="U329" i="2"/>
  <c r="F151" i="12"/>
  <c r="U308" i="2"/>
  <c r="Q151" i="12"/>
  <c r="L156" i="12"/>
  <c r="K375" i="12"/>
  <c r="O385" i="12"/>
  <c r="F92" i="12"/>
  <c r="N129" i="12"/>
  <c r="I140" i="12"/>
  <c r="O74" i="12"/>
  <c r="L58" i="12"/>
  <c r="J196" i="12"/>
  <c r="G97" i="12"/>
  <c r="J165" i="12"/>
  <c r="T468" i="12"/>
  <c r="K457" i="12"/>
  <c r="N394" i="12"/>
  <c r="J394" i="12"/>
  <c r="K252" i="12"/>
  <c r="N147" i="12"/>
  <c r="O541" i="12"/>
  <c r="Q332" i="12"/>
  <c r="I312" i="12"/>
  <c r="M189" i="12"/>
  <c r="R385" i="12"/>
  <c r="P244" i="12"/>
  <c r="M244" i="12"/>
  <c r="G191" i="12"/>
  <c r="Q200" i="12"/>
  <c r="R158" i="12"/>
  <c r="F135" i="12"/>
  <c r="K234" i="12"/>
  <c r="O199" i="12"/>
  <c r="L74" i="12"/>
  <c r="I196" i="12"/>
  <c r="I116" i="12"/>
  <c r="O85" i="12"/>
  <c r="J64" i="12"/>
  <c r="L164" i="12"/>
  <c r="G165" i="12"/>
  <c r="G51" i="12"/>
  <c r="G48" i="12"/>
  <c r="G17" i="12"/>
  <c r="N16" i="12"/>
  <c r="J162" i="12"/>
  <c r="M87" i="12"/>
  <c r="R212" i="12"/>
  <c r="F138" i="12"/>
  <c r="U84" i="2"/>
  <c r="S138" i="12"/>
  <c r="I154" i="12"/>
  <c r="N23" i="12"/>
  <c r="K61" i="12"/>
  <c r="Z716" i="12"/>
  <c r="L25" i="3"/>
  <c r="L28" i="3" s="1"/>
  <c r="M8" i="12"/>
  <c r="P4" i="12"/>
  <c r="X716" i="12"/>
  <c r="J90" i="12"/>
  <c r="AA707" i="12"/>
  <c r="Q318" i="12"/>
  <c r="P44" i="12"/>
  <c r="P113" i="12"/>
  <c r="P79" i="12"/>
  <c r="G194" i="12"/>
  <c r="AR89" i="2"/>
  <c r="AQ89" i="2"/>
  <c r="N30" i="12"/>
  <c r="M60" i="12"/>
  <c r="S26" i="12"/>
  <c r="Q18" i="12"/>
  <c r="G57" i="12"/>
  <c r="O50" i="12"/>
  <c r="J61" i="12"/>
  <c r="J16" i="12"/>
  <c r="N28" i="12"/>
  <c r="O12" i="12"/>
  <c r="G3" i="12"/>
  <c r="S28" i="12"/>
  <c r="F52" i="12"/>
  <c r="I212" i="12"/>
  <c r="R234" i="12"/>
  <c r="N116" i="12"/>
  <c r="L42" i="12"/>
  <c r="P71" i="12"/>
  <c r="I118" i="12"/>
  <c r="L127" i="12"/>
  <c r="M48" i="12"/>
  <c r="M80" i="12"/>
  <c r="S14" i="12"/>
  <c r="K247" i="12"/>
  <c r="G296" i="12"/>
  <c r="J31" i="12"/>
  <c r="O70" i="12"/>
  <c r="I70" i="12"/>
  <c r="N82" i="12"/>
  <c r="I134" i="12"/>
  <c r="S35" i="12"/>
  <c r="O45" i="12"/>
  <c r="K52" i="12"/>
  <c r="R37" i="12"/>
  <c r="N24" i="12"/>
  <c r="M67" i="12"/>
  <c r="L43" i="12"/>
  <c r="F9" i="12"/>
  <c r="J6" i="12"/>
  <c r="O6" i="3"/>
  <c r="S2" i="12"/>
  <c r="X2" i="3"/>
  <c r="M10" i="12"/>
  <c r="L68" i="12"/>
  <c r="O22" i="12"/>
  <c r="T14" i="3"/>
  <c r="N130" i="12"/>
  <c r="N133" i="12"/>
  <c r="K98" i="12"/>
  <c r="O69" i="12"/>
  <c r="Q101" i="12"/>
  <c r="J57" i="12"/>
  <c r="L50" i="12"/>
  <c r="F8" i="12"/>
  <c r="U9" i="2"/>
  <c r="P47" i="12"/>
  <c r="L9" i="12"/>
  <c r="I67" i="12"/>
  <c r="I119" i="12"/>
  <c r="Q119" i="12"/>
  <c r="P122" i="12"/>
  <c r="N169" i="12"/>
  <c r="F111" i="12"/>
  <c r="R47" i="12"/>
  <c r="S127" i="12"/>
  <c r="T52" i="12"/>
  <c r="L24" i="12"/>
  <c r="J15" i="12"/>
  <c r="Q99" i="12"/>
  <c r="J8" i="12"/>
  <c r="F71" i="12"/>
  <c r="Q28" i="12"/>
  <c r="I126" i="12"/>
  <c r="M86" i="12"/>
  <c r="M69" i="12"/>
  <c r="J141" i="12"/>
  <c r="Q41" i="12"/>
  <c r="Q47" i="12"/>
  <c r="T21" i="12"/>
  <c r="M26" i="12"/>
  <c r="R17" i="12"/>
  <c r="S36" i="12"/>
  <c r="R49" i="12"/>
  <c r="K123" i="12"/>
  <c r="M45" i="12"/>
  <c r="S39" i="12"/>
  <c r="P383" i="12"/>
  <c r="K152" i="12"/>
  <c r="T240" i="12"/>
  <c r="K319" i="12"/>
  <c r="P105" i="12"/>
  <c r="O357" i="12"/>
  <c r="K104" i="12"/>
  <c r="O182" i="12"/>
  <c r="R204" i="12"/>
  <c r="L125" i="12"/>
  <c r="N269" i="12"/>
  <c r="K269" i="12"/>
  <c r="J123" i="12"/>
  <c r="T62" i="12"/>
  <c r="M55" i="12"/>
  <c r="I40" i="12"/>
  <c r="J26" i="12"/>
  <c r="Q67" i="12"/>
  <c r="R27" i="12"/>
  <c r="N22" i="12"/>
  <c r="S14" i="3"/>
  <c r="J7" i="12"/>
  <c r="F4" i="12"/>
  <c r="F54" i="12"/>
  <c r="U60" i="2"/>
  <c r="M61" i="12"/>
  <c r="K39" i="12"/>
  <c r="R6" i="12"/>
  <c r="R138" i="12"/>
  <c r="O30" i="12"/>
  <c r="K37" i="12"/>
  <c r="R24" i="12"/>
  <c r="F34" i="12"/>
  <c r="U41" i="2"/>
  <c r="T50" i="12"/>
  <c r="M99" i="12"/>
  <c r="R5" i="12"/>
  <c r="AB707" i="12"/>
  <c r="S194" i="12"/>
  <c r="X727" i="12"/>
  <c r="AL89" i="2"/>
  <c r="J60" i="12"/>
  <c r="F26" i="12"/>
  <c r="U44" i="2"/>
  <c r="I18" i="12"/>
  <c r="O14" i="12"/>
  <c r="L99" i="12"/>
  <c r="L22" i="12"/>
  <c r="Q14" i="3"/>
  <c r="J11" i="12"/>
  <c r="R34" i="12"/>
  <c r="J28" i="12"/>
  <c r="J212" i="12"/>
  <c r="J91" i="12"/>
  <c r="M42" i="12"/>
  <c r="O41" i="12"/>
  <c r="T118" i="12"/>
  <c r="J29" i="12"/>
  <c r="F234" i="12"/>
  <c r="L154" i="12"/>
  <c r="O118" i="12"/>
  <c r="I296" i="12"/>
  <c r="Q296" i="12"/>
  <c r="F122" i="12"/>
  <c r="K31" i="12"/>
  <c r="F70" i="12"/>
  <c r="U145" i="2"/>
  <c r="S70" i="12"/>
  <c r="O134" i="12"/>
  <c r="S134" i="12"/>
  <c r="I35" i="12"/>
  <c r="N40" i="12"/>
  <c r="N96" i="12"/>
  <c r="M12" i="12"/>
  <c r="T6" i="12"/>
  <c r="Y6" i="3"/>
  <c r="Q55" i="12"/>
  <c r="F22" i="12"/>
  <c r="K14" i="3"/>
  <c r="U12" i="2"/>
  <c r="O256" i="12"/>
  <c r="I98" i="12"/>
  <c r="R66" i="12"/>
  <c r="L21" i="12"/>
  <c r="J52" i="12"/>
  <c r="P101" i="12"/>
  <c r="K57" i="12"/>
  <c r="L14" i="12"/>
  <c r="R61" i="12"/>
  <c r="P9" i="12"/>
  <c r="L7" i="12"/>
  <c r="R52" i="12"/>
  <c r="I50" i="12"/>
  <c r="S67" i="12"/>
  <c r="R180" i="12"/>
  <c r="M119" i="12"/>
  <c r="J119" i="12"/>
  <c r="R184" i="12"/>
  <c r="K127" i="12"/>
  <c r="N26" i="12"/>
  <c r="S17" i="12"/>
  <c r="G99" i="12"/>
  <c r="F28" i="12"/>
  <c r="U17" i="2"/>
  <c r="T8" i="12"/>
  <c r="I30" i="12"/>
  <c r="T222" i="12"/>
  <c r="J126" i="12"/>
  <c r="K112" i="12"/>
  <c r="J73" i="12"/>
  <c r="G69" i="12"/>
  <c r="K89" i="12"/>
  <c r="G41" i="12"/>
  <c r="F47" i="12"/>
  <c r="J21" i="12"/>
  <c r="S52" i="12"/>
  <c r="G40" i="12"/>
  <c r="M18" i="12"/>
  <c r="J50" i="12"/>
  <c r="K25" i="12"/>
  <c r="L186" i="12"/>
  <c r="F45" i="12"/>
  <c r="U67" i="2"/>
  <c r="M16" i="12"/>
  <c r="L319" i="12"/>
  <c r="N237" i="12"/>
  <c r="R256" i="12"/>
  <c r="N297" i="12"/>
  <c r="G105" i="12"/>
  <c r="I104" i="12"/>
  <c r="L104" i="12"/>
  <c r="T87" i="12"/>
  <c r="R294" i="12"/>
  <c r="M125" i="12"/>
  <c r="O269" i="12"/>
  <c r="N182" i="12"/>
  <c r="N55" i="12"/>
  <c r="F55" i="12"/>
  <c r="U96" i="2"/>
  <c r="R32" i="12"/>
  <c r="O127" i="12"/>
  <c r="J81" i="12"/>
  <c r="S40" i="12"/>
  <c r="R96" i="12"/>
  <c r="P28" i="12"/>
  <c r="T7" i="12"/>
  <c r="M3" i="12"/>
  <c r="Q54" i="12"/>
  <c r="P49" i="12"/>
  <c r="M14" i="12"/>
  <c r="U50" i="2"/>
  <c r="S98" i="12"/>
  <c r="M97" i="12"/>
  <c r="I19" i="12"/>
  <c r="T57" i="12"/>
  <c r="F61" i="12"/>
  <c r="U26" i="2"/>
  <c r="L12" i="12"/>
  <c r="P6" i="12"/>
  <c r="U6" i="3"/>
  <c r="F40" i="12"/>
  <c r="J13" i="12"/>
  <c r="S50" i="12"/>
  <c r="J67" i="12"/>
  <c r="R237" i="12"/>
  <c r="N119" i="12"/>
  <c r="T119" i="12"/>
  <c r="G45" i="12"/>
  <c r="L56" i="12"/>
  <c r="R20" i="12"/>
  <c r="N18" i="12"/>
  <c r="T36" i="12"/>
  <c r="R99" i="12"/>
  <c r="R8" i="12"/>
  <c r="T30" i="12"/>
  <c r="O8" i="12"/>
  <c r="M233" i="12"/>
  <c r="N126" i="12"/>
  <c r="T199" i="12"/>
  <c r="Q69" i="12"/>
  <c r="T195" i="12"/>
  <c r="R41" i="12"/>
  <c r="R21" i="12"/>
  <c r="M53" i="12"/>
  <c r="F14" i="12"/>
  <c r="U33" i="2"/>
  <c r="S61" i="12"/>
  <c r="M63" i="12"/>
  <c r="P45" i="12"/>
  <c r="N11" i="12"/>
  <c r="K18" i="12"/>
  <c r="L301" i="12"/>
  <c r="Q121" i="12"/>
  <c r="Q105" i="12"/>
  <c r="M104" i="12"/>
  <c r="O104" i="12"/>
  <c r="P239" i="12"/>
  <c r="O108" i="12"/>
  <c r="I125" i="12"/>
  <c r="F125" i="12"/>
  <c r="U182" i="2"/>
  <c r="R269" i="12"/>
  <c r="M279" i="12"/>
  <c r="N124" i="12"/>
  <c r="M146" i="12"/>
  <c r="G55" i="12"/>
  <c r="P55" i="12"/>
  <c r="S42" i="12"/>
  <c r="O35" i="12"/>
  <c r="AR62" i="2"/>
  <c r="AQ62" i="2"/>
  <c r="P52" i="12"/>
  <c r="J40" i="12"/>
  <c r="F18" i="12"/>
  <c r="P29" i="12"/>
  <c r="L96" i="12"/>
  <c r="M5" i="12"/>
  <c r="T24" i="12"/>
  <c r="K50" i="12"/>
  <c r="W22" i="3"/>
  <c r="S501" i="12"/>
  <c r="T501" i="12"/>
  <c r="O253" i="12"/>
  <c r="F537" i="12"/>
  <c r="U421" i="2"/>
  <c r="M537" i="12"/>
  <c r="F358" i="12"/>
  <c r="U461" i="2"/>
  <c r="M358" i="12"/>
  <c r="N519" i="12"/>
  <c r="I255" i="12"/>
  <c r="T161" i="12"/>
  <c r="G227" i="12"/>
  <c r="M220" i="12"/>
  <c r="K220" i="12"/>
  <c r="K291" i="12"/>
  <c r="R216" i="12"/>
  <c r="I257" i="12"/>
  <c r="I271" i="12"/>
  <c r="K412" i="12"/>
  <c r="K268" i="12"/>
  <c r="S160" i="12"/>
  <c r="I250" i="12"/>
  <c r="R326" i="12"/>
  <c r="K185" i="12"/>
  <c r="F408" i="12"/>
  <c r="U249" i="2"/>
  <c r="J344" i="12"/>
  <c r="T319" i="12"/>
  <c r="I204" i="12"/>
  <c r="S120" i="12"/>
  <c r="N177" i="12"/>
  <c r="I455" i="12"/>
  <c r="R405" i="12"/>
  <c r="M324" i="12"/>
  <c r="R310" i="12"/>
  <c r="P297" i="12"/>
  <c r="O284" i="12"/>
  <c r="N240" i="12"/>
  <c r="I239" i="12"/>
  <c r="S113" i="12"/>
  <c r="F136" i="12"/>
  <c r="X660" i="12"/>
  <c r="AL123" i="2"/>
  <c r="L97" i="12"/>
  <c r="O83" i="12"/>
  <c r="O64" i="12"/>
  <c r="K164" i="12"/>
  <c r="R195" i="12"/>
  <c r="P72" i="12"/>
  <c r="R408" i="12"/>
  <c r="N131" i="12"/>
  <c r="M152" i="12"/>
  <c r="K323" i="12"/>
  <c r="I259" i="12"/>
  <c r="I133" i="12"/>
  <c r="K279" i="12"/>
  <c r="J102" i="12"/>
  <c r="L114" i="12"/>
  <c r="J79" i="12"/>
  <c r="P46" i="12"/>
  <c r="T117" i="12"/>
  <c r="Q80" i="12"/>
  <c r="O48" i="12"/>
  <c r="L13" i="12"/>
  <c r="Q10" i="3"/>
  <c r="I383" i="12"/>
  <c r="G210" i="12"/>
  <c r="M190" i="12"/>
  <c r="S328" i="12"/>
  <c r="M131" i="12"/>
  <c r="M192" i="12"/>
  <c r="K129" i="12"/>
  <c r="I150" i="12"/>
  <c r="R110" i="12"/>
  <c r="R91" i="12"/>
  <c r="R186" i="12"/>
  <c r="O58" i="12"/>
  <c r="R65" i="12"/>
  <c r="Z684" i="12"/>
  <c r="S100" i="12"/>
  <c r="J130" i="12"/>
  <c r="Q117" i="12"/>
  <c r="M66" i="12"/>
  <c r="Q56" i="12"/>
  <c r="O405" i="12"/>
  <c r="M237" i="12"/>
  <c r="G294" i="12"/>
  <c r="I222" i="12"/>
  <c r="M259" i="12"/>
  <c r="L76" i="12"/>
  <c r="Q65" i="12"/>
  <c r="I97" i="12"/>
  <c r="R68" i="12"/>
  <c r="X714" i="12"/>
  <c r="S78" i="12"/>
  <c r="N51" i="12"/>
  <c r="Q531" i="12"/>
  <c r="M312" i="12"/>
  <c r="R139" i="12"/>
  <c r="G168" i="12"/>
  <c r="L357" i="12"/>
  <c r="X665" i="12"/>
  <c r="N317" i="12"/>
  <c r="Q129" i="12"/>
  <c r="G44" i="12"/>
  <c r="K124" i="12"/>
  <c r="O186" i="12"/>
  <c r="Q82" i="12"/>
  <c r="P65" i="12"/>
  <c r="O107" i="12"/>
  <c r="J93" i="12"/>
  <c r="P476" i="12"/>
  <c r="F315" i="12"/>
  <c r="U253" i="2"/>
  <c r="O315" i="12"/>
  <c r="O131" i="12"/>
  <c r="R222" i="12"/>
  <c r="M263" i="12"/>
  <c r="L166" i="12"/>
  <c r="O129" i="12"/>
  <c r="F279" i="12"/>
  <c r="U165" i="2"/>
  <c r="J135" i="12"/>
  <c r="R182" i="12"/>
  <c r="F169" i="12"/>
  <c r="U138" i="2"/>
  <c r="N68" i="12"/>
  <c r="P100" i="12"/>
  <c r="F164" i="12"/>
  <c r="U95" i="2"/>
  <c r="O78" i="12"/>
  <c r="N107" i="12"/>
  <c r="L145" i="12"/>
  <c r="K295" i="12"/>
  <c r="L151" i="12"/>
  <c r="N375" i="12"/>
  <c r="F375" i="12"/>
  <c r="U262" i="2"/>
  <c r="O206" i="12"/>
  <c r="M150" i="12"/>
  <c r="N76" i="12"/>
  <c r="Q155" i="12"/>
  <c r="F114" i="12"/>
  <c r="U127" i="2"/>
  <c r="L80" i="12"/>
  <c r="AA674" i="12"/>
  <c r="J468" i="12"/>
  <c r="N457" i="12"/>
  <c r="O457" i="12"/>
  <c r="R394" i="12"/>
  <c r="P252" i="12"/>
  <c r="Q252" i="12"/>
  <c r="O208" i="12"/>
  <c r="F312" i="12"/>
  <c r="U292" i="2"/>
  <c r="T249" i="12"/>
  <c r="M185" i="12"/>
  <c r="T385" i="12"/>
  <c r="Q408" i="12"/>
  <c r="F244" i="12"/>
  <c r="U405" i="2"/>
  <c r="S244" i="12"/>
  <c r="O242" i="12"/>
  <c r="O324" i="12"/>
  <c r="I191" i="12"/>
  <c r="K200" i="12"/>
  <c r="M148" i="12"/>
  <c r="F128" i="12"/>
  <c r="U195" i="2"/>
  <c r="K176" i="12"/>
  <c r="J110" i="12"/>
  <c r="J234" i="12"/>
  <c r="M143" i="12"/>
  <c r="F77" i="12"/>
  <c r="U137" i="2"/>
  <c r="Q196" i="12"/>
  <c r="AA723" i="12"/>
  <c r="S64" i="12"/>
  <c r="F46" i="12"/>
  <c r="U91" i="2"/>
  <c r="F66" i="12"/>
  <c r="U79" i="2"/>
  <c r="P93" i="12"/>
  <c r="Q162" i="12"/>
  <c r="I87" i="12"/>
  <c r="T31" i="12"/>
  <c r="M74" i="12"/>
  <c r="M79" i="12"/>
  <c r="S46" i="12"/>
  <c r="K138" i="12"/>
  <c r="N35" i="12"/>
  <c r="P24" i="12"/>
  <c r="O29" i="12"/>
  <c r="P67" i="12"/>
  <c r="AA725" i="12"/>
  <c r="G6" i="12"/>
  <c r="L6" i="3"/>
  <c r="R142" i="12"/>
  <c r="N7" i="12"/>
  <c r="O130" i="12"/>
  <c r="AR18" i="2"/>
  <c r="AQ18" i="2"/>
  <c r="T23" i="12"/>
  <c r="G173" i="12"/>
  <c r="I194" i="12"/>
  <c r="Q38" i="12"/>
  <c r="K60" i="12"/>
  <c r="G26" i="12"/>
  <c r="K53" i="12"/>
  <c r="P96" i="12"/>
  <c r="L84" i="12"/>
  <c r="X700" i="12"/>
  <c r="R10" i="12"/>
  <c r="Q84" i="12"/>
  <c r="L10" i="12"/>
  <c r="L17" i="12"/>
  <c r="P106" i="12"/>
  <c r="AB694" i="12"/>
  <c r="L212" i="12"/>
  <c r="P182" i="12"/>
  <c r="T83" i="12"/>
  <c r="N78" i="12"/>
  <c r="R42" i="12"/>
  <c r="J72" i="12"/>
  <c r="K118" i="12"/>
  <c r="M30" i="12"/>
  <c r="O154" i="12"/>
  <c r="L34" i="12"/>
  <c r="S43" i="12"/>
  <c r="R23" i="12"/>
  <c r="N43" i="12"/>
  <c r="K142" i="12"/>
  <c r="J10" i="12"/>
  <c r="N296" i="12"/>
  <c r="K296" i="12"/>
  <c r="T135" i="12"/>
  <c r="M31" i="12"/>
  <c r="K70" i="12"/>
  <c r="T134" i="12"/>
  <c r="J35" i="12"/>
  <c r="M21" i="12"/>
  <c r="L48" i="12"/>
  <c r="P60" i="12"/>
  <c r="Z677" i="12"/>
  <c r="G8" i="12"/>
  <c r="Q2" i="12"/>
  <c r="V2" i="3"/>
  <c r="K154" i="12"/>
  <c r="K206" i="12"/>
  <c r="O98" i="12"/>
  <c r="J98" i="12"/>
  <c r="L41" i="12"/>
  <c r="K48" i="12"/>
  <c r="M24" i="12"/>
  <c r="L57" i="12"/>
  <c r="P61" i="12"/>
  <c r="N10" i="12"/>
  <c r="Q146" i="12"/>
  <c r="F50" i="12"/>
  <c r="U34" i="2"/>
  <c r="T67" i="12"/>
  <c r="Q148" i="12"/>
  <c r="R119" i="12"/>
  <c r="K119" i="12"/>
  <c r="F239" i="12"/>
  <c r="F184" i="12"/>
  <c r="R33" i="12"/>
  <c r="I127" i="12"/>
  <c r="K54" i="12"/>
  <c r="O20" i="12"/>
  <c r="N53" i="12"/>
  <c r="N84" i="12"/>
  <c r="I8" i="12"/>
  <c r="Q30" i="12"/>
  <c r="N61" i="12"/>
  <c r="O259" i="12"/>
  <c r="R129" i="12"/>
  <c r="O126" i="12"/>
  <c r="M169" i="12"/>
  <c r="N69" i="12"/>
  <c r="F69" i="12"/>
  <c r="U111" i="2"/>
  <c r="P66" i="12"/>
  <c r="T41" i="12"/>
  <c r="K21" i="12"/>
  <c r="Q20" i="12"/>
  <c r="N34" i="12"/>
  <c r="J117" i="12"/>
  <c r="J56" i="12"/>
  <c r="S114" i="12"/>
  <c r="I105" i="12"/>
  <c r="R105" i="12"/>
  <c r="N104" i="12"/>
  <c r="F104" i="12"/>
  <c r="U200" i="2"/>
  <c r="AA702" i="12"/>
  <c r="F113" i="12"/>
  <c r="K181" i="12"/>
  <c r="J125" i="12"/>
  <c r="P125" i="12"/>
  <c r="L269" i="12"/>
  <c r="R58" i="12"/>
  <c r="S55" i="12"/>
  <c r="O55" i="12"/>
  <c r="L51" i="12"/>
  <c r="K20" i="12"/>
  <c r="T40" i="12"/>
  <c r="I96" i="12"/>
  <c r="N99" i="12"/>
  <c r="AA716" i="12"/>
  <c r="G54" i="12"/>
  <c r="K5" i="12"/>
  <c r="T154" i="12"/>
  <c r="O460" i="12"/>
  <c r="F327" i="12"/>
  <c r="U337" i="2"/>
  <c r="L409" i="12"/>
  <c r="Q463" i="12"/>
  <c r="P272" i="12"/>
  <c r="R458" i="12"/>
  <c r="P382" i="12"/>
  <c r="L171" i="12"/>
  <c r="N316" i="12"/>
  <c r="N137" i="12"/>
  <c r="I501" i="12"/>
  <c r="L501" i="12"/>
  <c r="S253" i="12"/>
  <c r="R537" i="12"/>
  <c r="G358" i="12"/>
  <c r="O358" i="12"/>
  <c r="Z690" i="12"/>
  <c r="O519" i="12"/>
  <c r="J161" i="12"/>
  <c r="Q227" i="12"/>
  <c r="F220" i="12"/>
  <c r="U370" i="2"/>
  <c r="L220" i="12"/>
  <c r="J216" i="12"/>
  <c r="M219" i="12"/>
  <c r="K464" i="12"/>
  <c r="S271" i="12"/>
  <c r="I412" i="12"/>
  <c r="G264" i="12"/>
  <c r="G160" i="12"/>
  <c r="I94" i="12"/>
  <c r="G326" i="12"/>
  <c r="T187" i="12"/>
  <c r="O132" i="12"/>
  <c r="T149" i="12"/>
  <c r="N109" i="12"/>
  <c r="J319" i="12"/>
  <c r="P180" i="12"/>
  <c r="T121" i="12"/>
  <c r="S108" i="12"/>
  <c r="I120" i="12"/>
  <c r="S92" i="12"/>
  <c r="K543" i="12"/>
  <c r="F368" i="12"/>
  <c r="M455" i="12"/>
  <c r="M328" i="12"/>
  <c r="G297" i="12"/>
  <c r="S239" i="12"/>
  <c r="J113" i="12"/>
  <c r="Q95" i="12"/>
  <c r="I100" i="12"/>
  <c r="S141" i="12"/>
  <c r="G195" i="12"/>
  <c r="N71" i="12"/>
  <c r="F25" i="12"/>
  <c r="U27" i="2"/>
  <c r="M9" i="12"/>
  <c r="L323" i="12"/>
  <c r="L240" i="12"/>
  <c r="M158" i="12"/>
  <c r="AB704" i="12"/>
  <c r="J44" i="12"/>
  <c r="T102" i="12"/>
  <c r="O196" i="12"/>
  <c r="P141" i="12"/>
  <c r="L46" i="12"/>
  <c r="F117" i="12"/>
  <c r="U85" i="2"/>
  <c r="F80" i="12"/>
  <c r="U73" i="2"/>
  <c r="M142" i="12"/>
  <c r="O25" i="12"/>
  <c r="F486" i="12"/>
  <c r="J383" i="12"/>
  <c r="I210" i="12"/>
  <c r="L274" i="12"/>
  <c r="J328" i="12"/>
  <c r="F192" i="12"/>
  <c r="U214" i="2"/>
  <c r="F206" i="12"/>
  <c r="F108" i="12"/>
  <c r="J284" i="12"/>
  <c r="F129" i="12"/>
  <c r="U172" i="2"/>
  <c r="O158" i="12"/>
  <c r="F91" i="12"/>
  <c r="F74" i="12"/>
  <c r="U135" i="2"/>
  <c r="F58" i="12"/>
  <c r="U128" i="2"/>
  <c r="G65" i="12"/>
  <c r="G100" i="12"/>
  <c r="M59" i="12"/>
  <c r="O51" i="12"/>
  <c r="L27" i="12"/>
  <c r="K405" i="12"/>
  <c r="F231" i="12"/>
  <c r="F241" i="12"/>
  <c r="AA712" i="12"/>
  <c r="O237" i="12"/>
  <c r="Q294" i="12"/>
  <c r="F259" i="12"/>
  <c r="U191" i="2"/>
  <c r="L92" i="12"/>
  <c r="J122" i="12"/>
  <c r="J76" i="12"/>
  <c r="J143" i="12"/>
  <c r="J114" i="12"/>
  <c r="F65" i="12"/>
  <c r="U121" i="2"/>
  <c r="N95" i="12"/>
  <c r="G68" i="12"/>
  <c r="L33" i="12"/>
  <c r="L177" i="12"/>
  <c r="G78" i="12"/>
  <c r="Q88" i="12"/>
  <c r="L59" i="12"/>
  <c r="M72" i="12"/>
  <c r="R272" i="12"/>
  <c r="J458" i="12"/>
  <c r="Q276" i="12"/>
  <c r="F179" i="12"/>
  <c r="Q168" i="12"/>
  <c r="F121" i="12"/>
  <c r="S256" i="12"/>
  <c r="N135" i="12"/>
  <c r="Q44" i="12"/>
  <c r="Q74" i="12"/>
  <c r="K82" i="12"/>
  <c r="L157" i="12"/>
  <c r="X684" i="12"/>
  <c r="J111" i="12"/>
  <c r="M46" i="12"/>
  <c r="K107" i="12"/>
  <c r="I476" i="12"/>
  <c r="R231" i="12"/>
  <c r="Q315" i="12"/>
  <c r="S298" i="12"/>
  <c r="F131" i="12"/>
  <c r="U224" i="2"/>
  <c r="N301" i="12"/>
  <c r="K222" i="12"/>
  <c r="M128" i="12"/>
  <c r="M284" i="12"/>
  <c r="T150" i="12"/>
  <c r="P279" i="12"/>
  <c r="R233" i="12"/>
  <c r="L113" i="12"/>
  <c r="P169" i="12"/>
  <c r="R79" i="12"/>
  <c r="L95" i="12"/>
  <c r="K100" i="12"/>
  <c r="P164" i="12"/>
  <c r="M195" i="12"/>
  <c r="M151" i="12"/>
  <c r="N159" i="12"/>
  <c r="G375" i="12"/>
  <c r="P375" i="12"/>
  <c r="F132" i="12"/>
  <c r="O323" i="12"/>
  <c r="R240" i="12"/>
  <c r="R150" i="12"/>
  <c r="L90" i="12"/>
  <c r="M155" i="12"/>
  <c r="P114" i="12"/>
  <c r="Q79" i="12"/>
  <c r="N63" i="12"/>
  <c r="P130" i="12"/>
  <c r="M117" i="12"/>
  <c r="J51" i="12"/>
  <c r="AB674" i="12"/>
  <c r="F445" i="12"/>
  <c r="M309" i="12"/>
  <c r="N224" i="12"/>
  <c r="N468" i="12"/>
  <c r="G457" i="12"/>
  <c r="F457" i="12"/>
  <c r="U281" i="2"/>
  <c r="G394" i="12"/>
  <c r="G156" i="12"/>
  <c r="F252" i="12"/>
  <c r="U261" i="2"/>
  <c r="N187" i="12"/>
  <c r="L403" i="12"/>
  <c r="P312" i="12"/>
  <c r="R193" i="12"/>
  <c r="J385" i="12"/>
  <c r="T244" i="12"/>
  <c r="Q478" i="12"/>
  <c r="R248" i="12"/>
  <c r="T191" i="12"/>
  <c r="T322" i="12"/>
  <c r="L200" i="12"/>
  <c r="P128" i="12"/>
  <c r="T92" i="12"/>
  <c r="T115" i="12"/>
  <c r="T234" i="12"/>
  <c r="K143" i="12"/>
  <c r="P77" i="12"/>
  <c r="R196" i="12"/>
  <c r="T95" i="12"/>
  <c r="K78" i="12"/>
  <c r="Q59" i="12"/>
  <c r="X675" i="12"/>
  <c r="O27" i="12"/>
  <c r="N49" i="12"/>
  <c r="K162" i="12"/>
  <c r="J176" i="12"/>
  <c r="S87" i="12"/>
  <c r="Q70" i="12"/>
  <c r="J116" i="12"/>
  <c r="Q64" i="12"/>
  <c r="R46" i="12"/>
  <c r="L138" i="12"/>
  <c r="F118" i="12"/>
  <c r="U66" i="2"/>
  <c r="Q40" i="12"/>
  <c r="O24" i="12"/>
  <c r="Q96" i="12"/>
  <c r="AQ24" i="2"/>
  <c r="AR24" i="2"/>
  <c r="S12" i="12"/>
  <c r="O5" i="12"/>
  <c r="J5" i="12"/>
  <c r="Q138" i="12"/>
  <c r="L2" i="12"/>
  <c r="Q36" i="12"/>
  <c r="O109" i="12"/>
  <c r="K173" i="12"/>
  <c r="P186" i="12"/>
  <c r="P134" i="12"/>
  <c r="J194" i="12"/>
  <c r="R45" i="12"/>
  <c r="L60" i="12"/>
  <c r="Q26" i="12"/>
  <c r="I53" i="12"/>
  <c r="Q15" i="12"/>
  <c r="AA696" i="12"/>
  <c r="J84" i="12"/>
  <c r="F10" i="12"/>
  <c r="U11" i="2"/>
  <c r="S13" i="12"/>
  <c r="L23" i="12"/>
  <c r="N279" i="12"/>
  <c r="L26" i="12"/>
  <c r="R3" i="12"/>
  <c r="N106" i="12"/>
  <c r="M129" i="12"/>
  <c r="M212" i="12"/>
  <c r="P124" i="12"/>
  <c r="O42" i="12"/>
  <c r="G42" i="12"/>
  <c r="L118" i="12"/>
  <c r="M39" i="12"/>
  <c r="F154" i="12"/>
  <c r="U53" i="2"/>
  <c r="S34" i="12"/>
  <c r="N164" i="12"/>
  <c r="O23" i="12"/>
  <c r="Q49" i="12"/>
  <c r="J14" i="12"/>
  <c r="Q3" i="12"/>
  <c r="O296" i="12"/>
  <c r="L296" i="12"/>
  <c r="K110" i="12"/>
  <c r="N31" i="12"/>
  <c r="L70" i="12"/>
  <c r="G134" i="12"/>
  <c r="T165" i="12"/>
  <c r="K35" i="12"/>
  <c r="J127" i="12"/>
  <c r="I37" i="12"/>
  <c r="J99" i="12"/>
  <c r="O25" i="3"/>
  <c r="O28" i="3" s="1"/>
  <c r="AR16" i="2"/>
  <c r="AQ16" i="2"/>
  <c r="J22" i="12"/>
  <c r="O14" i="3"/>
  <c r="I5" i="12"/>
  <c r="O2" i="12"/>
  <c r="T2" i="3"/>
  <c r="Z725" i="12"/>
  <c r="J101" i="12"/>
  <c r="S237" i="12"/>
  <c r="R98" i="12"/>
  <c r="T98" i="12"/>
  <c r="R51" i="12"/>
  <c r="S154" i="12"/>
  <c r="O26" i="12"/>
  <c r="L67" i="12"/>
  <c r="O61" i="12"/>
  <c r="O84" i="12"/>
  <c r="T11" i="12"/>
  <c r="N9" i="12"/>
  <c r="P50" i="12"/>
  <c r="J323" i="12"/>
  <c r="S119" i="12"/>
  <c r="S284" i="12"/>
  <c r="K58" i="12"/>
  <c r="X723" i="12"/>
  <c r="T127" i="12"/>
  <c r="J48" i="12"/>
  <c r="I23" i="12"/>
  <c r="L25" i="12"/>
  <c r="S8" i="12"/>
  <c r="G30" i="12"/>
  <c r="Q16" i="12"/>
  <c r="R202" i="12"/>
  <c r="M176" i="12"/>
  <c r="K90" i="12"/>
  <c r="M126" i="12"/>
  <c r="Q184" i="12"/>
  <c r="S69" i="12"/>
  <c r="P69" i="12"/>
  <c r="S59" i="12"/>
  <c r="J41" i="12"/>
  <c r="P21" i="12"/>
  <c r="P20" i="12"/>
  <c r="M84" i="12"/>
  <c r="T22" i="12"/>
  <c r="Y14" i="3"/>
  <c r="N45" i="12"/>
  <c r="X721" i="12"/>
  <c r="S27" i="12"/>
  <c r="L137" i="12"/>
  <c r="L176" i="12"/>
  <c r="M105" i="12"/>
  <c r="J105" i="12"/>
  <c r="R104" i="12"/>
  <c r="P104" i="12"/>
  <c r="K125" i="12"/>
  <c r="G125" i="12"/>
  <c r="F269" i="12"/>
  <c r="U178" i="2"/>
  <c r="O114" i="12"/>
  <c r="R64" i="12"/>
  <c r="S93" i="12"/>
  <c r="Z689" i="12"/>
  <c r="T48" i="12"/>
  <c r="K40" i="12"/>
  <c r="J142" i="12"/>
  <c r="S96" i="12"/>
  <c r="X725" i="12"/>
  <c r="O49" i="12"/>
  <c r="L11" i="12"/>
  <c r="P5" i="12"/>
  <c r="R54" i="12"/>
  <c r="L5" i="12"/>
  <c r="P18" i="12"/>
  <c r="P8" i="12"/>
  <c r="J17" i="12"/>
  <c r="K223" i="12"/>
  <c r="N264" i="12"/>
  <c r="G261" i="12"/>
  <c r="U270" i="2"/>
  <c r="N356" i="12"/>
  <c r="O263" i="12"/>
  <c r="F460" i="12"/>
  <c r="U344" i="2"/>
  <c r="P327" i="12"/>
  <c r="T208" i="12"/>
  <c r="J463" i="12"/>
  <c r="F458" i="12"/>
  <c r="U290" i="2"/>
  <c r="R382" i="12"/>
  <c r="J326" i="12"/>
  <c r="L359" i="12"/>
  <c r="M356" i="12"/>
  <c r="O170" i="12"/>
  <c r="AB687" i="12"/>
  <c r="K501" i="12"/>
  <c r="O501" i="12"/>
  <c r="R253" i="12"/>
  <c r="G537" i="12"/>
  <c r="F286" i="12"/>
  <c r="K358" i="12"/>
  <c r="R358" i="12"/>
  <c r="AR455" i="2"/>
  <c r="AQ455" i="2"/>
  <c r="S519" i="12"/>
  <c r="K161" i="12"/>
  <c r="R227" i="12"/>
  <c r="P220" i="12"/>
  <c r="T216" i="12"/>
  <c r="F219" i="12"/>
  <c r="U341" i="2"/>
  <c r="G441" i="12"/>
  <c r="G271" i="12"/>
  <c r="S412" i="12"/>
  <c r="F213" i="12"/>
  <c r="U305" i="2"/>
  <c r="Q160" i="12"/>
  <c r="F178" i="12"/>
  <c r="U274" i="2"/>
  <c r="Q139" i="12"/>
  <c r="F193" i="12"/>
  <c r="U258" i="2"/>
  <c r="J132" i="12"/>
  <c r="I149" i="12"/>
  <c r="F180" i="12"/>
  <c r="U220" i="2"/>
  <c r="N206" i="12"/>
  <c r="J121" i="12"/>
  <c r="I108" i="12"/>
  <c r="T166" i="12"/>
  <c r="I92" i="12"/>
  <c r="P543" i="12"/>
  <c r="R145" i="12"/>
  <c r="N455" i="12"/>
  <c r="O383" i="12"/>
  <c r="S310" i="12"/>
  <c r="Q297" i="12"/>
  <c r="R135" i="12"/>
  <c r="T113" i="12"/>
  <c r="K169" i="12"/>
  <c r="J78" i="12"/>
  <c r="Q165" i="12"/>
  <c r="F48" i="12"/>
  <c r="U54" i="2"/>
  <c r="N12" i="12"/>
  <c r="J208" i="12"/>
  <c r="R226" i="12"/>
  <c r="L189" i="12"/>
  <c r="L374" i="12"/>
  <c r="O204" i="12"/>
  <c r="AR173" i="2"/>
  <c r="AQ173" i="2"/>
  <c r="L122" i="12"/>
  <c r="T90" i="12"/>
  <c r="K102" i="12"/>
  <c r="Q75" i="12"/>
  <c r="S116" i="12"/>
  <c r="AB670" i="12"/>
  <c r="G63" i="12"/>
  <c r="R141" i="12"/>
  <c r="K46" i="12"/>
  <c r="S88" i="12"/>
  <c r="N66" i="12"/>
  <c r="P51" i="12"/>
  <c r="L38" i="12"/>
  <c r="N81" i="12"/>
  <c r="N15" i="12"/>
  <c r="L142" i="12"/>
  <c r="N383" i="12"/>
  <c r="M383" i="12"/>
  <c r="J210" i="12"/>
  <c r="L328" i="12"/>
  <c r="T328" i="12"/>
  <c r="M221" i="12"/>
  <c r="P192" i="12"/>
  <c r="P129" i="12"/>
  <c r="J182" i="12"/>
  <c r="L199" i="12"/>
  <c r="P58" i="12"/>
  <c r="R116" i="12"/>
  <c r="M83" i="12"/>
  <c r="M62" i="12"/>
  <c r="AL99" i="2"/>
  <c r="O46" i="12"/>
  <c r="R88" i="12"/>
  <c r="M32" i="12"/>
  <c r="K51" i="12"/>
  <c r="O39" i="12"/>
  <c r="I405" i="12"/>
  <c r="N94" i="12"/>
  <c r="Q375" i="12"/>
  <c r="AB712" i="12"/>
  <c r="R316" i="12"/>
  <c r="F237" i="12"/>
  <c r="U210" i="2"/>
  <c r="J294" i="12"/>
  <c r="P259" i="12"/>
  <c r="T76" i="12"/>
  <c r="R112" i="12"/>
  <c r="M196" i="12"/>
  <c r="Q116" i="12"/>
  <c r="S86" i="12"/>
  <c r="Q68" i="12"/>
  <c r="O89" i="12"/>
  <c r="F88" i="12"/>
  <c r="U83" i="2"/>
  <c r="F254" i="12"/>
  <c r="O476" i="12"/>
  <c r="K458" i="12"/>
  <c r="P324" i="12"/>
  <c r="J149" i="12"/>
  <c r="R168" i="12"/>
  <c r="T133" i="12"/>
  <c r="L256" i="12"/>
  <c r="R44" i="12"/>
  <c r="Q112" i="12"/>
  <c r="J74" i="12"/>
  <c r="J184" i="12"/>
  <c r="I82" i="12"/>
  <c r="T97" i="12"/>
  <c r="L62" i="12"/>
  <c r="N195" i="12"/>
  <c r="N80" i="12"/>
  <c r="K476" i="12"/>
  <c r="M403" i="12"/>
  <c r="N272" i="12"/>
  <c r="Q457" i="12"/>
  <c r="N252" i="12"/>
  <c r="I298" i="12"/>
  <c r="M109" i="12"/>
  <c r="P131" i="12"/>
  <c r="I180" i="12"/>
  <c r="L222" i="12"/>
  <c r="F284" i="12"/>
  <c r="U186" i="2"/>
  <c r="J92" i="12"/>
  <c r="G279" i="12"/>
  <c r="F233" i="12"/>
  <c r="O76" i="12"/>
  <c r="F79" i="12"/>
  <c r="X670" i="12"/>
  <c r="J100" i="12"/>
  <c r="L141" i="12"/>
  <c r="J503" i="12"/>
  <c r="F271" i="12"/>
  <c r="N151" i="12"/>
  <c r="O382" i="12"/>
  <c r="R375" i="12"/>
  <c r="Q106" i="12"/>
  <c r="O247" i="12"/>
  <c r="L263" i="12"/>
  <c r="M240" i="12"/>
  <c r="K150" i="12"/>
  <c r="AQ162" i="2"/>
  <c r="AR162" i="2"/>
  <c r="O44" i="12"/>
  <c r="O112" i="12"/>
  <c r="K155" i="12"/>
  <c r="G114" i="12"/>
  <c r="I130" i="12"/>
  <c r="T32" i="12"/>
  <c r="T503" i="12"/>
  <c r="AQ371" i="2"/>
  <c r="AR371" i="2"/>
  <c r="O468" i="12"/>
  <c r="M468" i="12"/>
  <c r="S457" i="12"/>
  <c r="P457" i="12"/>
  <c r="S394" i="12"/>
  <c r="R156" i="12"/>
  <c r="R252" i="12"/>
  <c r="Q455" i="12"/>
  <c r="J197" i="12"/>
  <c r="K385" i="12"/>
  <c r="G244" i="12"/>
  <c r="N228" i="12"/>
  <c r="M257" i="12"/>
  <c r="J191" i="12"/>
  <c r="M200" i="12"/>
  <c r="J247" i="12"/>
  <c r="G128" i="12"/>
  <c r="Q173" i="12"/>
  <c r="G115" i="12"/>
  <c r="L143" i="12"/>
  <c r="G77" i="12"/>
  <c r="S136" i="12"/>
  <c r="F75" i="12"/>
  <c r="U125" i="2"/>
  <c r="Q33" i="12"/>
  <c r="Z723" i="12"/>
  <c r="AL103" i="2"/>
  <c r="Q32" i="12"/>
  <c r="O47" i="12"/>
  <c r="F101" i="12"/>
  <c r="U47" i="2"/>
  <c r="O9" i="12"/>
  <c r="O4" i="12"/>
  <c r="F166" i="12"/>
  <c r="O162" i="12"/>
  <c r="P87" i="12"/>
  <c r="G87" i="12"/>
  <c r="M124" i="12"/>
  <c r="S177" i="12"/>
  <c r="M138" i="12"/>
  <c r="N127" i="12"/>
  <c r="N52" i="12"/>
  <c r="S60" i="12"/>
  <c r="G24" i="12"/>
  <c r="T142" i="12"/>
  <c r="AB696" i="12"/>
  <c r="M22" i="12"/>
  <c r="R14" i="3"/>
  <c r="Z696" i="12"/>
  <c r="Z698" i="12"/>
  <c r="K68" i="12"/>
  <c r="O99" i="12"/>
  <c r="P173" i="12"/>
  <c r="K91" i="12"/>
  <c r="Q98" i="12"/>
  <c r="K194" i="12"/>
  <c r="R26" i="12"/>
  <c r="S53" i="12"/>
  <c r="P15" i="12"/>
  <c r="T84" i="12"/>
  <c r="J49" i="12"/>
  <c r="P10" i="12"/>
  <c r="L8" i="12"/>
  <c r="N50" i="12"/>
  <c r="F49" i="12"/>
  <c r="P155" i="12"/>
  <c r="M294" i="12"/>
  <c r="G212" i="12"/>
  <c r="F42" i="12"/>
  <c r="U87" i="2"/>
  <c r="Q42" i="12"/>
  <c r="P38" i="12"/>
  <c r="G118" i="12"/>
  <c r="S81" i="12"/>
  <c r="P154" i="12"/>
  <c r="O40" i="12"/>
  <c r="J34" i="12"/>
  <c r="R9" i="12"/>
  <c r="P13" i="12"/>
  <c r="F23" i="12"/>
  <c r="U35" i="2"/>
  <c r="S4" i="12"/>
  <c r="T14" i="12"/>
  <c r="O191" i="12"/>
  <c r="S296" i="12"/>
  <c r="T284" i="12"/>
  <c r="G31" i="12"/>
  <c r="M70" i="12"/>
  <c r="R146" i="12"/>
  <c r="J134" i="12"/>
  <c r="L35" i="12"/>
  <c r="O56" i="12"/>
  <c r="S37" i="12"/>
  <c r="R43" i="12"/>
  <c r="O10" i="12"/>
  <c r="F2" i="12"/>
  <c r="K2" i="3"/>
  <c r="U2" i="2"/>
  <c r="M6" i="12"/>
  <c r="Q29" i="12"/>
  <c r="R148" i="12"/>
  <c r="P76" i="12"/>
  <c r="F98" i="12"/>
  <c r="U134" i="2"/>
  <c r="F95" i="12"/>
  <c r="O18" i="12"/>
  <c r="P142" i="12"/>
  <c r="M96" i="12"/>
  <c r="G61" i="12"/>
  <c r="Q43" i="12"/>
  <c r="I11" i="12"/>
  <c r="O57" i="12"/>
  <c r="F38" i="12"/>
  <c r="G50" i="12"/>
  <c r="L119" i="12"/>
  <c r="P127" i="12"/>
  <c r="N154" i="12"/>
  <c r="O34" i="12"/>
  <c r="T61" i="12"/>
  <c r="P43" i="12"/>
  <c r="S49" i="12"/>
  <c r="R30" i="12"/>
  <c r="S22" i="12"/>
  <c r="X14" i="3"/>
  <c r="K81" i="12"/>
  <c r="P126" i="12"/>
  <c r="K126" i="12"/>
  <c r="J58" i="12"/>
  <c r="T69" i="12"/>
  <c r="I41" i="12"/>
  <c r="F21" i="12"/>
  <c r="U65" i="2"/>
  <c r="P57" i="12"/>
  <c r="O43" i="12"/>
  <c r="I45" i="12"/>
  <c r="O192" i="12"/>
  <c r="M266" i="12"/>
  <c r="P233" i="12"/>
  <c r="N105" i="12"/>
  <c r="T105" i="12"/>
  <c r="S104" i="12"/>
  <c r="S222" i="12"/>
  <c r="N44" i="12"/>
  <c r="L169" i="12"/>
  <c r="AB702" i="12"/>
  <c r="N125" i="12"/>
  <c r="Q125" i="12"/>
  <c r="P269" i="12"/>
  <c r="T55" i="12"/>
  <c r="T46" i="12"/>
  <c r="AA689" i="12"/>
  <c r="P48" i="12"/>
  <c r="F60" i="12"/>
  <c r="S15" i="12"/>
  <c r="J96" i="12"/>
  <c r="N8" i="12"/>
  <c r="J2" i="12"/>
  <c r="M164" i="12"/>
  <c r="S54" i="12"/>
  <c r="F3" i="12"/>
  <c r="U3" i="2"/>
  <c r="L28" i="12"/>
  <c r="F543" i="12"/>
  <c r="U380" i="2"/>
  <c r="G242" i="12"/>
  <c r="O455" i="12"/>
  <c r="I310" i="12"/>
  <c r="R297" i="12"/>
  <c r="J192" i="12"/>
  <c r="T230" i="12"/>
  <c r="K44" i="12"/>
  <c r="I123" i="12"/>
  <c r="S77" i="12"/>
  <c r="M114" i="12"/>
  <c r="T116" i="12"/>
  <c r="J86" i="12"/>
  <c r="AA714" i="12"/>
  <c r="T89" i="12"/>
  <c r="F165" i="12"/>
  <c r="U80" i="2"/>
  <c r="K208" i="12"/>
  <c r="X662" i="12"/>
  <c r="I176" i="12"/>
  <c r="Q135" i="12"/>
  <c r="R90" i="12"/>
  <c r="I155" i="12"/>
  <c r="J75" i="12"/>
  <c r="G116" i="12"/>
  <c r="I86" i="12"/>
  <c r="AA684" i="12"/>
  <c r="N64" i="12"/>
  <c r="G141" i="12"/>
  <c r="N59" i="12"/>
  <c r="N101" i="12"/>
  <c r="Q383" i="12"/>
  <c r="K383" i="12"/>
  <c r="K210" i="12"/>
  <c r="O328" i="12"/>
  <c r="K328" i="12"/>
  <c r="G192" i="12"/>
  <c r="I129" i="12"/>
  <c r="T123" i="12"/>
  <c r="I169" i="12"/>
  <c r="K114" i="12"/>
  <c r="N157" i="12"/>
  <c r="M33" i="12"/>
  <c r="T78" i="12"/>
  <c r="G88" i="12"/>
  <c r="G39" i="12"/>
  <c r="R486" i="12"/>
  <c r="J413" i="12"/>
  <c r="S405" i="12"/>
  <c r="AR237" i="2"/>
  <c r="AQ237" i="2"/>
  <c r="P237" i="12"/>
  <c r="T294" i="12"/>
  <c r="G259" i="12"/>
  <c r="G176" i="12"/>
  <c r="Q110" i="12"/>
  <c r="K76" i="12"/>
  <c r="F112" i="12"/>
  <c r="O102" i="12"/>
  <c r="O75" i="12"/>
  <c r="F116" i="12"/>
  <c r="U120" i="2"/>
  <c r="G86" i="12"/>
  <c r="T164" i="12"/>
  <c r="P107" i="12"/>
  <c r="J281" i="12"/>
  <c r="F324" i="12"/>
  <c r="U254" i="2"/>
  <c r="I168" i="12"/>
  <c r="F174" i="12"/>
  <c r="G133" i="12"/>
  <c r="G256" i="12"/>
  <c r="F140" i="12"/>
  <c r="U154" i="2"/>
  <c r="T74" i="12"/>
  <c r="S82" i="12"/>
  <c r="F97" i="12"/>
  <c r="U118" i="2"/>
  <c r="S164" i="12"/>
  <c r="R78" i="12"/>
  <c r="L165" i="12"/>
  <c r="N531" i="12"/>
  <c r="R251" i="12"/>
  <c r="L268" i="12"/>
  <c r="J187" i="12"/>
  <c r="G315" i="12"/>
  <c r="Q340" i="12"/>
  <c r="K298" i="12"/>
  <c r="AQ230" i="2"/>
  <c r="G131" i="12"/>
  <c r="J180" i="12"/>
  <c r="M222" i="12"/>
  <c r="Z679" i="12"/>
  <c r="P284" i="12"/>
  <c r="J158" i="12"/>
  <c r="Q279" i="12"/>
  <c r="N110" i="12"/>
  <c r="O91" i="12"/>
  <c r="M112" i="12"/>
  <c r="N186" i="12"/>
  <c r="M58" i="12"/>
  <c r="N65" i="12"/>
  <c r="Q86" i="12"/>
  <c r="T100" i="12"/>
  <c r="Q130" i="12"/>
  <c r="M89" i="12"/>
  <c r="F214" i="12"/>
  <c r="Q251" i="12"/>
  <c r="O151" i="12"/>
  <c r="R217" i="12"/>
  <c r="S375" i="12"/>
  <c r="N149" i="12"/>
  <c r="L316" i="12"/>
  <c r="O152" i="12"/>
  <c r="F266" i="12"/>
  <c r="F240" i="12"/>
  <c r="U174" i="2"/>
  <c r="L150" i="12"/>
  <c r="Q140" i="12"/>
  <c r="M123" i="12"/>
  <c r="L155" i="12"/>
  <c r="Q114" i="12"/>
  <c r="L116" i="12"/>
  <c r="P86" i="12"/>
  <c r="M68" i="12"/>
  <c r="S130" i="12"/>
  <c r="F412" i="12"/>
  <c r="R468" i="12"/>
  <c r="K468" i="12"/>
  <c r="M159" i="12"/>
  <c r="I156" i="12"/>
  <c r="S252" i="12"/>
  <c r="Q179" i="12"/>
  <c r="I272" i="12"/>
  <c r="N385" i="12"/>
  <c r="L385" i="12"/>
  <c r="N310" i="12"/>
  <c r="J244" i="12"/>
  <c r="M382" i="12"/>
  <c r="L191" i="12"/>
  <c r="N200" i="12"/>
  <c r="I357" i="12"/>
  <c r="Q128" i="12"/>
  <c r="J112" i="12"/>
  <c r="Q77" i="12"/>
  <c r="F33" i="12"/>
  <c r="U105" i="2"/>
  <c r="L100" i="12"/>
  <c r="K88" i="12"/>
  <c r="N47" i="12"/>
  <c r="O52" i="12"/>
  <c r="Q19" i="12"/>
  <c r="O142" i="12"/>
  <c r="F36" i="12"/>
  <c r="U28" i="2"/>
  <c r="F162" i="12"/>
  <c r="U179" i="2"/>
  <c r="F87" i="12"/>
  <c r="U164" i="2"/>
  <c r="Q87" i="12"/>
  <c r="N138" i="12"/>
  <c r="I56" i="12"/>
  <c r="J20" i="12"/>
  <c r="Q24" i="12"/>
  <c r="Q27" i="12"/>
  <c r="J36" i="12"/>
  <c r="R13" i="12"/>
  <c r="O13" i="12"/>
  <c r="AA698" i="12"/>
  <c r="L20" i="12"/>
  <c r="P174" i="12"/>
  <c r="P102" i="12"/>
  <c r="N194" i="12"/>
  <c r="R48" i="12"/>
  <c r="T101" i="12"/>
  <c r="J18" i="12"/>
  <c r="R53" i="12"/>
  <c r="P27" i="12"/>
  <c r="I84" i="12"/>
  <c r="Z700" i="12"/>
  <c r="S9" i="12"/>
  <c r="G10" i="12"/>
  <c r="O7" i="12"/>
  <c r="F13" i="12"/>
  <c r="N14" i="12"/>
  <c r="Z660" i="12"/>
  <c r="R36" i="12"/>
  <c r="R85" i="12"/>
  <c r="P318" i="12"/>
  <c r="Q212" i="12"/>
  <c r="P74" i="12"/>
  <c r="T42" i="12"/>
  <c r="Q118" i="12"/>
  <c r="G154" i="12"/>
  <c r="Q60" i="12"/>
  <c r="T34" i="12"/>
  <c r="F12" i="12"/>
  <c r="U13" i="2"/>
  <c r="P23" i="12"/>
  <c r="G14" i="12"/>
  <c r="O310" i="12"/>
  <c r="T296" i="12"/>
  <c r="AA694" i="12"/>
  <c r="N140" i="12"/>
  <c r="Q31" i="12"/>
  <c r="N70" i="12"/>
  <c r="G146" i="12"/>
  <c r="K134" i="12"/>
  <c r="R35" i="12"/>
  <c r="M54" i="12"/>
  <c r="F37" i="12"/>
  <c r="U52" i="2"/>
  <c r="R101" i="12"/>
  <c r="F142" i="12"/>
  <c r="M43" i="12"/>
  <c r="M7" i="12"/>
  <c r="P2" i="12"/>
  <c r="U2" i="3"/>
  <c r="S5" i="12"/>
  <c r="O3" i="12"/>
  <c r="Q126" i="12"/>
  <c r="G98" i="12"/>
  <c r="M82" i="12"/>
  <c r="M40" i="12"/>
  <c r="O53" i="12"/>
  <c r="K15" i="12"/>
  <c r="X696" i="12"/>
  <c r="Q61" i="12"/>
  <c r="T16" i="12"/>
  <c r="S11" i="12"/>
  <c r="M17" i="12"/>
  <c r="Q50" i="12"/>
  <c r="R22" i="12"/>
  <c r="O119" i="12"/>
  <c r="F64" i="12"/>
  <c r="F127" i="12"/>
  <c r="U63" i="2"/>
  <c r="J30" i="12"/>
  <c r="Q57" i="12"/>
  <c r="I99" i="12"/>
  <c r="K12" i="12"/>
  <c r="P82" i="12"/>
  <c r="S30" i="12"/>
  <c r="F7" i="12"/>
  <c r="K2" i="12"/>
  <c r="F126" i="12"/>
  <c r="U151" i="2"/>
  <c r="L126" i="12"/>
  <c r="I69" i="12"/>
  <c r="K41" i="12"/>
  <c r="S41" i="12"/>
  <c r="Q21" i="12"/>
  <c r="F67" i="12"/>
  <c r="U32" i="2"/>
  <c r="R16" i="12"/>
  <c r="T45" i="12"/>
  <c r="P19" i="12"/>
  <c r="S32" i="12"/>
  <c r="R152" i="12"/>
  <c r="K101" i="12"/>
  <c r="S105" i="12"/>
  <c r="K105" i="12"/>
  <c r="G104" i="12"/>
  <c r="L181" i="12"/>
  <c r="S240" i="12"/>
  <c r="K186" i="12"/>
  <c r="AR183" i="2"/>
  <c r="AQ183" i="2"/>
  <c r="O125" i="12"/>
  <c r="G269" i="12"/>
  <c r="S212" i="12"/>
  <c r="R169" i="12"/>
  <c r="O100" i="12"/>
  <c r="I55" i="12"/>
  <c r="P194" i="12"/>
  <c r="S38" i="12"/>
  <c r="AB689" i="12"/>
  <c r="K17" i="12"/>
  <c r="T96" i="12"/>
  <c r="Q7" i="12"/>
  <c r="F59" i="12"/>
  <c r="O54" i="12"/>
  <c r="P3" i="12"/>
  <c r="K19" i="12"/>
  <c r="R118" i="12"/>
  <c r="P53" i="12"/>
  <c r="M253" i="12"/>
  <c r="T537" i="12"/>
  <c r="J229" i="12"/>
  <c r="S358" i="12"/>
  <c r="K519" i="12"/>
  <c r="F560" i="12"/>
  <c r="U424" i="2"/>
  <c r="F161" i="12"/>
  <c r="U382" i="2"/>
  <c r="L161" i="12"/>
  <c r="S227" i="12"/>
  <c r="Q220" i="12"/>
  <c r="L216" i="12"/>
  <c r="R219" i="12"/>
  <c r="R271" i="12"/>
  <c r="T412" i="12"/>
  <c r="L159" i="12"/>
  <c r="O397" i="12"/>
  <c r="O340" i="12"/>
  <c r="Q198" i="12"/>
  <c r="S174" i="12"/>
  <c r="K148" i="12"/>
  <c r="J181" i="12"/>
  <c r="J173" i="12"/>
  <c r="F176" i="12"/>
  <c r="U167" i="2"/>
  <c r="P199" i="12"/>
  <c r="P146" i="12"/>
  <c r="N62" i="12"/>
  <c r="G543" i="12"/>
  <c r="R242" i="12"/>
  <c r="L455" i="12"/>
  <c r="G382" i="12"/>
  <c r="T310" i="12"/>
  <c r="I297" i="12"/>
  <c r="I294" i="12"/>
  <c r="G129" i="12"/>
  <c r="M140" i="12"/>
  <c r="F186" i="12"/>
  <c r="U136" i="2"/>
  <c r="P196" i="12"/>
  <c r="S73" i="12"/>
  <c r="I68" i="12"/>
  <c r="L130" i="12"/>
  <c r="O93" i="12"/>
  <c r="X677" i="12"/>
  <c r="AL20" i="2"/>
  <c r="M13" i="12"/>
  <c r="R10" i="3"/>
  <c r="M4" i="12"/>
  <c r="N19" i="12"/>
  <c r="M323" i="12"/>
  <c r="R357" i="12"/>
  <c r="N284" i="12"/>
  <c r="AA662" i="12"/>
  <c r="S230" i="12"/>
  <c r="M135" i="12"/>
  <c r="F90" i="12"/>
  <c r="U156" i="2"/>
  <c r="L140" i="12"/>
  <c r="T75" i="12"/>
  <c r="R73" i="12"/>
  <c r="Q141" i="12"/>
  <c r="I78" i="12"/>
  <c r="R107" i="12"/>
  <c r="O72" i="12"/>
  <c r="O19" i="12"/>
  <c r="N3" i="12"/>
  <c r="F383" i="12"/>
  <c r="U285" i="2"/>
  <c r="L383" i="12"/>
  <c r="N261" i="12"/>
  <c r="F328" i="12"/>
  <c r="U233" i="2"/>
  <c r="N168" i="12"/>
  <c r="G180" i="12"/>
  <c r="Q192" i="12"/>
  <c r="F317" i="12"/>
  <c r="S129" i="12"/>
  <c r="J279" i="12"/>
  <c r="R123" i="12"/>
  <c r="S124" i="12"/>
  <c r="N77" i="12"/>
  <c r="N196" i="12"/>
  <c r="J97" i="12"/>
  <c r="L85" i="12"/>
  <c r="L111" i="12"/>
  <c r="Q107" i="12"/>
  <c r="Q39" i="12"/>
  <c r="L267" i="12"/>
  <c r="P405" i="12"/>
  <c r="J405" i="12"/>
  <c r="R178" i="12"/>
  <c r="G237" i="12"/>
  <c r="K294" i="12"/>
  <c r="R263" i="12"/>
  <c r="Q259" i="12"/>
  <c r="N230" i="12"/>
  <c r="F110" i="12"/>
  <c r="Q91" i="12"/>
  <c r="N103" i="12"/>
  <c r="T155" i="12"/>
  <c r="R82" i="12"/>
  <c r="P116" i="12"/>
  <c r="P73" i="12"/>
  <c r="N141" i="12"/>
  <c r="L32" i="12"/>
  <c r="F415" i="12"/>
  <c r="O375" i="12"/>
  <c r="G324" i="12"/>
  <c r="Q215" i="12"/>
  <c r="S168" i="12"/>
  <c r="R153" i="12"/>
  <c r="L202" i="12"/>
  <c r="Q133" i="12"/>
  <c r="Q256" i="12"/>
  <c r="L234" i="12"/>
  <c r="R74" i="12"/>
  <c r="N58" i="12"/>
  <c r="J82" i="12"/>
  <c r="M95" i="12"/>
  <c r="J85" i="12"/>
  <c r="Q100" i="12"/>
  <c r="N89" i="12"/>
  <c r="J464" i="12"/>
  <c r="M251" i="12"/>
  <c r="O394" i="12"/>
  <c r="Q193" i="12"/>
  <c r="R315" i="12"/>
  <c r="M298" i="12"/>
  <c r="L298" i="12"/>
  <c r="Q131" i="12"/>
  <c r="K180" i="12"/>
  <c r="F222" i="12"/>
  <c r="U199" i="2"/>
  <c r="AR192" i="2"/>
  <c r="AQ192" i="2"/>
  <c r="G284" i="12"/>
  <c r="N123" i="12"/>
  <c r="L103" i="12"/>
  <c r="M116" i="12"/>
  <c r="J177" i="12"/>
  <c r="N220" i="12"/>
  <c r="R295" i="12"/>
  <c r="I151" i="12"/>
  <c r="I375" i="12"/>
  <c r="R179" i="12"/>
  <c r="O297" i="12"/>
  <c r="J200" i="12"/>
  <c r="L317" i="12"/>
  <c r="P240" i="12"/>
  <c r="J140" i="12"/>
  <c r="J136" i="12"/>
  <c r="J157" i="12"/>
  <c r="L86" i="12"/>
  <c r="AQ108" i="2"/>
  <c r="AR108" i="2"/>
  <c r="R130" i="12"/>
  <c r="M107" i="12"/>
  <c r="R409" i="12"/>
  <c r="F468" i="12"/>
  <c r="U295" i="2"/>
  <c r="L468" i="12"/>
  <c r="T457" i="12"/>
  <c r="T167" i="12"/>
  <c r="I394" i="12"/>
  <c r="N171" i="12"/>
  <c r="I252" i="12"/>
  <c r="L255" i="12"/>
  <c r="J272" i="12"/>
  <c r="F385" i="12"/>
  <c r="U255" i="2"/>
  <c r="M385" i="12"/>
  <c r="L172" i="12"/>
  <c r="M227" i="12"/>
  <c r="U289" i="2"/>
  <c r="M94" i="12"/>
  <c r="N191" i="12"/>
  <c r="M191" i="12"/>
  <c r="F200" i="12"/>
  <c r="U209" i="2"/>
  <c r="J357" i="12"/>
  <c r="J128" i="12"/>
  <c r="K133" i="12"/>
  <c r="AQ116" i="2"/>
  <c r="AR116" i="2"/>
  <c r="Q85" i="12"/>
  <c r="R177" i="12"/>
  <c r="I107" i="12"/>
  <c r="O71" i="12"/>
  <c r="N38" i="12"/>
  <c r="G19" i="12"/>
  <c r="Q25" i="12"/>
  <c r="P463" i="12"/>
  <c r="R162" i="12"/>
  <c r="P162" i="12"/>
  <c r="J87" i="12"/>
  <c r="R87" i="12"/>
  <c r="J95" i="12"/>
  <c r="L78" i="12"/>
  <c r="J138" i="12"/>
  <c r="F56" i="12"/>
  <c r="U61" i="2"/>
  <c r="S48" i="12"/>
  <c r="R15" i="12"/>
  <c r="F27" i="12"/>
  <c r="G43" i="12"/>
  <c r="T13" i="12"/>
  <c r="J3" i="12"/>
  <c r="T3" i="12"/>
  <c r="L81" i="12"/>
  <c r="AB698" i="12"/>
  <c r="AA721" i="12"/>
  <c r="S31" i="12"/>
  <c r="N155" i="12"/>
  <c r="O194" i="12"/>
  <c r="M194" i="12"/>
  <c r="R71" i="12"/>
  <c r="O21" i="12"/>
  <c r="J37" i="12"/>
  <c r="T18" i="12"/>
  <c r="J53" i="12"/>
  <c r="S84" i="12"/>
  <c r="Q10" i="12"/>
  <c r="S6" i="12"/>
  <c r="X6" i="3"/>
  <c r="N4" i="12"/>
  <c r="N67" i="12"/>
  <c r="K22" i="12"/>
  <c r="P14" i="3"/>
  <c r="T5" i="12"/>
  <c r="S85" i="12"/>
  <c r="R28" i="12"/>
  <c r="Q35" i="12"/>
  <c r="N318" i="12"/>
  <c r="L110" i="12"/>
  <c r="O212" i="12"/>
  <c r="P98" i="12"/>
  <c r="I42" i="12"/>
  <c r="N88" i="12"/>
  <c r="Q45" i="12"/>
  <c r="N21" i="12"/>
  <c r="Q154" i="12"/>
  <c r="I34" i="12"/>
  <c r="P12" i="12"/>
  <c r="J4" i="12"/>
  <c r="R72" i="12"/>
  <c r="G23" i="12"/>
  <c r="L63" i="12"/>
  <c r="Q14" i="12"/>
  <c r="S215" i="12"/>
  <c r="M296" i="12"/>
  <c r="R126" i="12"/>
  <c r="O31" i="12"/>
  <c r="J70" i="12"/>
  <c r="I146" i="12"/>
  <c r="R69" i="12"/>
  <c r="L134" i="12"/>
  <c r="M35" i="12"/>
  <c r="M41" i="12"/>
  <c r="L30" i="12"/>
  <c r="P37" i="12"/>
  <c r="O101" i="12"/>
  <c r="L15" i="12"/>
  <c r="J43" i="12"/>
  <c r="L4" i="12"/>
  <c r="I22" i="3"/>
  <c r="M11" i="12"/>
  <c r="R143" i="12"/>
  <c r="L98" i="12"/>
  <c r="L65" i="12"/>
  <c r="X718" i="12"/>
  <c r="L117" i="12"/>
  <c r="M56" i="12"/>
  <c r="O60" i="12"/>
  <c r="P34" i="12"/>
  <c r="T17" i="12"/>
  <c r="G11" i="12"/>
  <c r="Q8" i="12"/>
  <c r="M100" i="12"/>
  <c r="R50" i="12"/>
  <c r="R7" i="12"/>
  <c r="F119" i="12"/>
  <c r="U187" i="2"/>
  <c r="M133" i="12"/>
  <c r="P75" i="12"/>
  <c r="T51" i="12"/>
  <c r="Q127" i="12"/>
  <c r="Z721" i="12"/>
  <c r="T29" i="12"/>
  <c r="K14" i="12"/>
  <c r="S99" i="12"/>
  <c r="S16" i="12"/>
  <c r="F30" i="12"/>
  <c r="U59" i="2"/>
  <c r="Q180" i="12"/>
  <c r="S126" i="12"/>
  <c r="F196" i="12"/>
  <c r="J69" i="12"/>
  <c r="N100" i="12"/>
  <c r="N41" i="12"/>
  <c r="G21" i="12"/>
  <c r="K56" i="12"/>
  <c r="L101" i="12"/>
  <c r="S29" i="12"/>
  <c r="G96" i="12"/>
  <c r="J45" i="12"/>
  <c r="J24" i="12"/>
  <c r="G152" i="12"/>
  <c r="R92" i="12"/>
  <c r="L105" i="12"/>
  <c r="Q104" i="12"/>
  <c r="P150" i="12"/>
  <c r="J297" i="12"/>
  <c r="S125" i="12"/>
  <c r="S269" i="12"/>
  <c r="Q269" i="12"/>
  <c r="N74" i="12"/>
  <c r="AB714" i="12"/>
  <c r="J55" i="12"/>
  <c r="M78" i="12"/>
  <c r="L37" i="12"/>
  <c r="F53" i="12"/>
  <c r="S23" i="12"/>
  <c r="K96" i="12"/>
  <c r="F84" i="12"/>
  <c r="J9" i="12"/>
  <c r="K7" i="12"/>
  <c r="F72" i="12"/>
  <c r="P11" i="12"/>
  <c r="P84" i="12"/>
  <c r="Q34" i="12"/>
  <c r="K274" i="12"/>
  <c r="I340" i="12"/>
  <c r="G198" i="12"/>
  <c r="I174" i="12"/>
  <c r="N247" i="12"/>
  <c r="K202" i="12"/>
  <c r="N233" i="12"/>
  <c r="F199" i="12"/>
  <c r="U139" i="2"/>
  <c r="F146" i="12"/>
  <c r="U129" i="2"/>
  <c r="R543" i="12"/>
  <c r="F242" i="12"/>
  <c r="U348" i="2"/>
  <c r="J455" i="12"/>
  <c r="F402" i="12"/>
  <c r="J382" i="12"/>
  <c r="M310" i="12"/>
  <c r="J310" i="12"/>
  <c r="S297" i="12"/>
  <c r="L279" i="12"/>
  <c r="P143" i="12"/>
  <c r="K74" i="12"/>
  <c r="R157" i="12"/>
  <c r="G73" i="12"/>
  <c r="AB684" i="12"/>
  <c r="AQ107" i="2"/>
  <c r="AA656" i="12"/>
  <c r="G117" i="12"/>
  <c r="P59" i="12"/>
  <c r="M93" i="12"/>
  <c r="R39" i="12"/>
  <c r="F17" i="12"/>
  <c r="U36" i="2"/>
  <c r="F323" i="12"/>
  <c r="U204" i="2"/>
  <c r="N222" i="12"/>
  <c r="R317" i="12"/>
  <c r="AB662" i="12"/>
  <c r="G230" i="12"/>
  <c r="K135" i="12"/>
  <c r="P90" i="12"/>
  <c r="O234" i="12"/>
  <c r="F103" i="12"/>
  <c r="G74" i="12"/>
  <c r="R75" i="12"/>
  <c r="K97" i="12"/>
  <c r="F73" i="12"/>
  <c r="U114" i="2"/>
  <c r="Z714" i="12"/>
  <c r="S89" i="12"/>
  <c r="G107" i="12"/>
  <c r="O17" i="12"/>
  <c r="L49" i="12"/>
  <c r="R383" i="12"/>
  <c r="J172" i="12"/>
  <c r="P328" i="12"/>
  <c r="R192" i="12"/>
  <c r="F247" i="12"/>
  <c r="L173" i="12"/>
  <c r="J129" i="12"/>
  <c r="F44" i="12"/>
  <c r="U155" i="2"/>
  <c r="F123" i="12"/>
  <c r="U147" i="2"/>
  <c r="F124" i="12"/>
  <c r="U143" i="2"/>
  <c r="T186" i="12"/>
  <c r="M136" i="12"/>
  <c r="F82" i="12"/>
  <c r="U124" i="2"/>
  <c r="S68" i="12"/>
  <c r="T63" i="12"/>
  <c r="R89" i="12"/>
  <c r="F107" i="12"/>
  <c r="U82" i="2"/>
  <c r="L71" i="12"/>
  <c r="N72" i="12"/>
  <c r="M81" i="12"/>
  <c r="F405" i="12"/>
  <c r="U297" i="2"/>
  <c r="T405" i="12"/>
  <c r="N156" i="12"/>
  <c r="Q237" i="12"/>
  <c r="R128" i="12"/>
  <c r="J240" i="12"/>
  <c r="I279" i="12"/>
  <c r="M115" i="12"/>
  <c r="G140" i="12"/>
  <c r="G155" i="12"/>
  <c r="O116" i="12"/>
  <c r="M73" i="12"/>
  <c r="Q63" i="12"/>
  <c r="P117" i="12"/>
  <c r="O195" i="12"/>
  <c r="J47" i="12"/>
  <c r="M156" i="12"/>
  <c r="O252" i="12"/>
  <c r="R324" i="12"/>
  <c r="N170" i="12"/>
  <c r="J168" i="12"/>
  <c r="Q319" i="12"/>
  <c r="L133" i="12"/>
  <c r="J256" i="12"/>
  <c r="M230" i="12"/>
  <c r="L115" i="12"/>
  <c r="M113" i="12"/>
  <c r="I74" i="12"/>
  <c r="I114" i="12"/>
  <c r="T82" i="12"/>
  <c r="O117" i="12"/>
  <c r="M51" i="12"/>
  <c r="Q441" i="12"/>
  <c r="P468" i="12"/>
  <c r="Q415" i="12"/>
  <c r="S315" i="12"/>
  <c r="P298" i="12"/>
  <c r="J298" i="12"/>
  <c r="R198" i="12"/>
  <c r="R131" i="12"/>
  <c r="O200" i="12"/>
  <c r="P222" i="12"/>
  <c r="X679" i="12"/>
  <c r="Q284" i="12"/>
  <c r="R176" i="12"/>
  <c r="T182" i="12"/>
  <c r="J46" i="12"/>
  <c r="N117" i="12"/>
  <c r="J66" i="12"/>
  <c r="R461" i="12"/>
  <c r="G295" i="12"/>
  <c r="N309" i="12"/>
  <c r="S151" i="12"/>
  <c r="T375" i="12"/>
  <c r="F318" i="12"/>
  <c r="G240" i="12"/>
  <c r="Q233" i="12"/>
  <c r="T140" i="12"/>
  <c r="J77" i="12"/>
  <c r="P97" i="12"/>
  <c r="K86" i="12"/>
  <c r="Q440" i="12"/>
  <c r="S468" i="12"/>
  <c r="I457" i="12"/>
  <c r="N382" i="12"/>
  <c r="L394" i="12"/>
  <c r="T326" i="12"/>
  <c r="T252" i="12"/>
  <c r="R312" i="12"/>
  <c r="M210" i="12"/>
  <c r="Q385" i="12"/>
  <c r="M147" i="12"/>
  <c r="K244" i="12"/>
  <c r="O571" i="12"/>
  <c r="F160" i="12"/>
  <c r="L261" i="12"/>
  <c r="F191" i="12"/>
  <c r="U247" i="2"/>
  <c r="K191" i="12"/>
  <c r="P200" i="12"/>
  <c r="K357" i="12"/>
  <c r="T128" i="12"/>
  <c r="L44" i="12"/>
  <c r="L146" i="12"/>
  <c r="J65" i="12"/>
  <c r="F85" i="12"/>
  <c r="U104" i="2"/>
  <c r="F177" i="12"/>
  <c r="S195" i="12"/>
  <c r="G71" i="12"/>
  <c r="O38" i="12"/>
  <c r="F20" i="12"/>
  <c r="U55" i="2"/>
  <c r="F15" i="12"/>
  <c r="U37" i="2"/>
  <c r="G25" i="12"/>
  <c r="T174" i="12"/>
  <c r="G162" i="12"/>
  <c r="I162" i="12"/>
  <c r="K87" i="12"/>
  <c r="O68" i="12"/>
  <c r="O164" i="12"/>
  <c r="P42" i="12"/>
  <c r="T138" i="12"/>
  <c r="R93" i="12"/>
  <c r="G56" i="12"/>
  <c r="O15" i="12"/>
  <c r="L36" i="12"/>
  <c r="M28" i="12"/>
  <c r="N37" i="12"/>
  <c r="Z707" i="12"/>
  <c r="AB721" i="12"/>
  <c r="AB716" i="12"/>
  <c r="M182" i="12"/>
  <c r="N114" i="12"/>
  <c r="F194" i="12"/>
  <c r="U90" i="2"/>
  <c r="L194" i="12"/>
  <c r="M127" i="12"/>
  <c r="P40" i="12"/>
  <c r="L19" i="12"/>
  <c r="R18" i="12"/>
  <c r="T53" i="12"/>
  <c r="I17" i="12"/>
  <c r="T25" i="12"/>
  <c r="K84" i="12"/>
  <c r="F6" i="12"/>
  <c r="K6" i="3"/>
  <c r="U7" i="2"/>
  <c r="K3" i="12"/>
  <c r="O96" i="12"/>
  <c r="S10" i="12"/>
  <c r="G5" i="12"/>
  <c r="K28" i="12"/>
  <c r="T93" i="12"/>
  <c r="P16" i="12"/>
  <c r="K120" i="12"/>
  <c r="N212" i="12"/>
  <c r="F212" i="12"/>
  <c r="U157" i="2"/>
  <c r="J42" i="12"/>
  <c r="M118" i="12"/>
  <c r="S101" i="12"/>
  <c r="K34" i="12"/>
  <c r="F11" i="12"/>
  <c r="U10" i="2"/>
  <c r="O11" i="12"/>
  <c r="Q23" i="12"/>
  <c r="R14" i="12"/>
  <c r="F296" i="12"/>
  <c r="U194" i="2"/>
  <c r="L129" i="12"/>
  <c r="R31" i="12"/>
  <c r="F31" i="12"/>
  <c r="U148" i="2"/>
  <c r="T70" i="12"/>
  <c r="J146" i="12"/>
  <c r="M134" i="12"/>
  <c r="P35" i="12"/>
  <c r="S80" i="12"/>
  <c r="L39" i="12"/>
  <c r="G37" i="12"/>
  <c r="J19" i="12"/>
  <c r="T43" i="12"/>
  <c r="Q6" i="12"/>
  <c r="V6" i="3"/>
  <c r="I3" i="12"/>
  <c r="R230" i="12"/>
  <c r="L18" i="12"/>
  <c r="G22" i="12"/>
  <c r="L14" i="3"/>
  <c r="Q5" i="12"/>
  <c r="M98" i="12"/>
  <c r="N86" i="12"/>
  <c r="L107" i="12"/>
  <c r="S47" i="12"/>
  <c r="L54" i="12"/>
  <c r="AA675" i="12"/>
  <c r="R57" i="12"/>
  <c r="P17" i="12"/>
  <c r="G28" i="12"/>
  <c r="Q11" i="12"/>
  <c r="G7" i="12"/>
  <c r="J89" i="12"/>
  <c r="K67" i="12"/>
  <c r="S259" i="12"/>
  <c r="P119" i="12"/>
  <c r="N256" i="12"/>
  <c r="R111" i="12"/>
  <c r="T72" i="12"/>
  <c r="G127" i="12"/>
  <c r="N60" i="12"/>
  <c r="F99" i="12"/>
  <c r="U25" i="2"/>
  <c r="F16" i="12"/>
  <c r="O6" i="12"/>
  <c r="P30" i="12"/>
  <c r="M137" i="12"/>
  <c r="O279" i="12"/>
  <c r="G126" i="12"/>
  <c r="L123" i="12"/>
  <c r="L82" i="12"/>
  <c r="K69" i="12"/>
  <c r="Q111" i="12"/>
  <c r="P41" i="12"/>
  <c r="S51" i="12"/>
  <c r="S21" i="12"/>
  <c r="J54" i="12"/>
  <c r="M154" i="12"/>
  <c r="F29" i="12"/>
  <c r="X698" i="12"/>
  <c r="N6" i="12"/>
  <c r="K45" i="12"/>
  <c r="R4" i="12"/>
  <c r="I152" i="12"/>
  <c r="O105" i="12"/>
  <c r="J104" i="12"/>
  <c r="N259" i="12"/>
  <c r="T158" i="12"/>
  <c r="N192" i="12"/>
  <c r="Z702" i="12"/>
  <c r="T125" i="12"/>
  <c r="I269" i="12"/>
  <c r="J269" i="12"/>
  <c r="O155" i="12"/>
  <c r="O73" i="12"/>
  <c r="T177" i="12"/>
  <c r="K55" i="12"/>
  <c r="M88" i="12"/>
  <c r="N118" i="12"/>
  <c r="N56" i="12"/>
  <c r="R40" i="12"/>
  <c r="O16" i="12"/>
  <c r="T12" i="12"/>
  <c r="I7" i="12"/>
  <c r="T27" i="12"/>
  <c r="I54" i="12"/>
  <c r="K26" i="12"/>
  <c r="X707" i="12"/>
  <c r="AB700" i="12"/>
  <c r="K23" i="12"/>
  <c r="S340" i="12"/>
  <c r="R322" i="12"/>
  <c r="N221" i="12"/>
  <c r="T144" i="12"/>
  <c r="K263" i="12"/>
  <c r="I543" i="12"/>
  <c r="P242" i="12"/>
  <c r="P455" i="12"/>
  <c r="T455" i="12"/>
  <c r="P310" i="12"/>
  <c r="K310" i="12"/>
  <c r="K297" i="12"/>
  <c r="J259" i="12"/>
  <c r="Q239" i="12"/>
  <c r="P234" i="12"/>
  <c r="L182" i="12"/>
  <c r="R102" i="12"/>
  <c r="G157" i="12"/>
  <c r="R62" i="12"/>
  <c r="I88" i="12"/>
  <c r="O32" i="12"/>
  <c r="R80" i="12"/>
  <c r="F39" i="12"/>
  <c r="U58" i="2"/>
  <c r="M15" i="12"/>
  <c r="R412" i="12"/>
  <c r="F235" i="12"/>
  <c r="P323" i="12"/>
  <c r="Q230" i="12"/>
  <c r="L135" i="12"/>
  <c r="G90" i="12"/>
  <c r="S76" i="12"/>
  <c r="K182" i="12"/>
  <c r="M199" i="12"/>
  <c r="T58" i="12"/>
  <c r="I75" i="12"/>
  <c r="P95" i="12"/>
  <c r="M52" i="12"/>
  <c r="L52" i="12"/>
  <c r="N463" i="12"/>
  <c r="G383" i="12"/>
  <c r="G328" i="12"/>
  <c r="J322" i="12"/>
  <c r="I192" i="12"/>
  <c r="T129" i="12"/>
  <c r="AA704" i="12"/>
  <c r="K140" i="12"/>
  <c r="P123" i="12"/>
  <c r="I186" i="12"/>
  <c r="L184" i="12"/>
  <c r="T86" i="12"/>
  <c r="F63" i="12"/>
  <c r="U102" i="2"/>
  <c r="G89" i="12"/>
  <c r="P195" i="12"/>
  <c r="L93" i="12"/>
  <c r="M20" i="12"/>
  <c r="G463" i="12"/>
  <c r="G405" i="12"/>
  <c r="N324" i="12"/>
  <c r="N298" i="12"/>
  <c r="F301" i="12"/>
  <c r="J237" i="12"/>
  <c r="L294" i="12"/>
  <c r="AB679" i="12"/>
  <c r="N239" i="12"/>
  <c r="O136" i="12"/>
  <c r="L73" i="12"/>
  <c r="Z670" i="12"/>
  <c r="G130" i="12"/>
  <c r="I117" i="12"/>
  <c r="L195" i="12"/>
  <c r="N522" i="12"/>
  <c r="M268" i="12"/>
  <c r="R457" i="12"/>
  <c r="I324" i="12"/>
  <c r="L344" i="12"/>
  <c r="T168" i="12"/>
  <c r="O221" i="12"/>
  <c r="M206" i="12"/>
  <c r="R108" i="12"/>
  <c r="O133" i="12"/>
  <c r="T256" i="12"/>
  <c r="N90" i="12"/>
  <c r="M91" i="12"/>
  <c r="Q124" i="12"/>
  <c r="J199" i="12"/>
  <c r="S74" i="12"/>
  <c r="R86" i="12"/>
  <c r="P63" i="12"/>
  <c r="M141" i="12"/>
  <c r="P88" i="12"/>
  <c r="M505" i="12"/>
  <c r="R476" i="12"/>
  <c r="O295" i="12"/>
  <c r="F397" i="12"/>
  <c r="I315" i="12"/>
  <c r="F298" i="12"/>
  <c r="U238" i="2"/>
  <c r="T298" i="12"/>
  <c r="Q322" i="12"/>
  <c r="J131" i="12"/>
  <c r="J204" i="12"/>
  <c r="G222" i="12"/>
  <c r="AL192" i="2"/>
  <c r="R284" i="12"/>
  <c r="O176" i="12"/>
  <c r="M90" i="12"/>
  <c r="I182" i="12"/>
  <c r="S169" i="12"/>
  <c r="M102" i="12"/>
  <c r="J33" i="12"/>
  <c r="J445" i="12"/>
  <c r="J295" i="12"/>
  <c r="P151" i="12"/>
  <c r="G151" i="12"/>
  <c r="J375" i="12"/>
  <c r="X658" i="12"/>
  <c r="Q240" i="12"/>
  <c r="R122" i="12"/>
  <c r="R140" i="12"/>
  <c r="M186" i="12"/>
  <c r="O146" i="12"/>
  <c r="R97" i="12"/>
  <c r="J62" i="12"/>
  <c r="X674" i="12"/>
  <c r="F332" i="12"/>
  <c r="G468" i="12"/>
  <c r="J457" i="12"/>
  <c r="M394" i="12"/>
  <c r="J252" i="12"/>
  <c r="G312" i="12"/>
  <c r="M261" i="12"/>
  <c r="G385" i="12"/>
  <c r="O244" i="12"/>
  <c r="L244" i="12"/>
  <c r="Q191" i="12"/>
  <c r="L356" i="12"/>
  <c r="M180" i="12"/>
  <c r="G200" i="12"/>
  <c r="K128" i="12"/>
  <c r="M256" i="12"/>
  <c r="Q234" i="12"/>
  <c r="R113" i="12"/>
  <c r="R199" i="12"/>
  <c r="T196" i="12"/>
  <c r="T73" i="12"/>
  <c r="P85" i="12"/>
  <c r="P64" i="12"/>
  <c r="P111" i="12"/>
  <c r="R165" i="12"/>
  <c r="Q71" i="12"/>
  <c r="Q48" i="12"/>
  <c r="Q17" i="12"/>
  <c r="L162" i="12"/>
  <c r="S162" i="12"/>
  <c r="L87" i="12"/>
  <c r="R115" i="12"/>
  <c r="J103" i="12"/>
  <c r="Q134" i="12"/>
  <c r="U94" i="2"/>
  <c r="O138" i="12"/>
  <c r="I138" i="12"/>
  <c r="F93" i="12"/>
  <c r="R56" i="12"/>
  <c r="M19" i="12"/>
  <c r="O28" i="12"/>
  <c r="K11" i="12"/>
  <c r="T2" i="12"/>
  <c r="M2" i="12"/>
  <c r="L53" i="12"/>
  <c r="M49" i="12"/>
  <c r="AQ51" i="2"/>
  <c r="AR51" i="2"/>
  <c r="P70" i="12"/>
  <c r="R194" i="12"/>
  <c r="AB727" i="12"/>
  <c r="F35" i="12"/>
  <c r="U75" i="2"/>
  <c r="P54" i="12"/>
  <c r="R60" i="12"/>
  <c r="I26" i="12"/>
  <c r="G18" i="12"/>
  <c r="M23" i="12"/>
  <c r="P25" i="12"/>
  <c r="F43" i="12"/>
  <c r="U22" i="2"/>
  <c r="R12" i="12"/>
  <c r="N27" i="12"/>
  <c r="I28" i="12"/>
  <c r="T212" i="12"/>
  <c r="P212" i="12"/>
  <c r="O79" i="12"/>
  <c r="K42" i="12"/>
  <c r="S118" i="12"/>
  <c r="S24" i="12"/>
  <c r="K8" i="12"/>
  <c r="T4" i="12"/>
  <c r="I14" i="12"/>
  <c r="P296" i="12"/>
  <c r="I31" i="12"/>
  <c r="P31" i="12"/>
  <c r="R70" i="12"/>
  <c r="K146" i="12"/>
  <c r="N134" i="12"/>
  <c r="G35" i="12"/>
  <c r="Q81" i="12"/>
  <c r="Q37" i="12"/>
  <c r="M50" i="12"/>
  <c r="K43" i="12"/>
  <c r="Q9" i="12"/>
  <c r="L6" i="12"/>
  <c r="Q6" i="3"/>
  <c r="K4" i="12"/>
  <c r="Q22" i="12"/>
  <c r="V14" i="3"/>
  <c r="K317" i="12"/>
  <c r="N98" i="12"/>
  <c r="S165" i="12"/>
  <c r="K30" i="12"/>
  <c r="M57" i="12"/>
  <c r="J23" i="12"/>
  <c r="M25" i="12"/>
  <c r="T49" i="12"/>
  <c r="R11" i="12"/>
  <c r="F5" i="12"/>
  <c r="U6" i="2"/>
  <c r="R59" i="12"/>
  <c r="O36" i="12"/>
  <c r="R67" i="12"/>
  <c r="T202" i="12"/>
  <c r="G119" i="12"/>
  <c r="K65" i="12"/>
  <c r="R127" i="12"/>
  <c r="J39" i="12"/>
  <c r="Z675" i="12"/>
  <c r="N142" i="12"/>
  <c r="P99" i="12"/>
  <c r="J12" i="12"/>
  <c r="U76" i="2"/>
  <c r="T19" i="12"/>
  <c r="T192" i="12"/>
  <c r="T126" i="12"/>
  <c r="AA660" i="12"/>
  <c r="L69" i="12"/>
  <c r="R55" i="12"/>
  <c r="F41" i="12"/>
  <c r="U74" i="2"/>
  <c r="S72" i="12"/>
  <c r="I21" i="12"/>
  <c r="I39" i="12"/>
  <c r="O37" i="12"/>
  <c r="K24" i="12"/>
  <c r="J27" i="12"/>
  <c r="S3" i="12"/>
  <c r="L45" i="12"/>
  <c r="J152" i="12"/>
  <c r="S133" i="12"/>
  <c r="N328" i="12"/>
  <c r="F105" i="12"/>
  <c r="U215" i="2"/>
  <c r="T104" i="12"/>
  <c r="X702" i="12"/>
  <c r="R125" i="12"/>
  <c r="M269" i="12"/>
  <c r="T269" i="12"/>
  <c r="M44" i="12"/>
  <c r="T136" i="12"/>
  <c r="AB682" i="12"/>
  <c r="L55" i="12"/>
  <c r="L40" i="12"/>
  <c r="R19" i="12"/>
  <c r="S7" i="12"/>
  <c r="Q4" i="12"/>
  <c r="T99" i="12"/>
  <c r="T54" i="12"/>
  <c r="M29" i="12"/>
  <c r="AL62" i="2"/>
  <c r="R25" i="12"/>
  <c r="S22" i="3" l="1"/>
  <c r="Y684" i="12"/>
  <c r="AD696" i="12"/>
  <c r="Y724" i="12"/>
  <c r="P22" i="3"/>
  <c r="Y709" i="12"/>
  <c r="AC674" i="12"/>
  <c r="AC699" i="12"/>
  <c r="H266" i="12"/>
  <c r="C266" i="12" s="1"/>
  <c r="H43" i="12"/>
  <c r="C43" i="12" s="1"/>
  <c r="I9" i="8" s="1"/>
  <c r="AC704" i="12"/>
  <c r="AD718" i="12"/>
  <c r="Y703" i="12"/>
  <c r="AD711" i="12"/>
  <c r="H415" i="12"/>
  <c r="Y22" i="3"/>
  <c r="U22" i="3"/>
  <c r="O22" i="3"/>
  <c r="K22" i="3"/>
  <c r="V22" i="3"/>
  <c r="R22" i="3"/>
  <c r="Q22" i="3"/>
  <c r="C415" i="12"/>
  <c r="H457" i="12"/>
  <c r="C457" i="12" s="1"/>
  <c r="I88" i="8" s="1"/>
  <c r="H74" i="12"/>
  <c r="C74" i="12" s="1"/>
  <c r="H192" i="12"/>
  <c r="C192" i="12" s="1"/>
  <c r="I214" i="2" s="1"/>
  <c r="H80" i="12"/>
  <c r="C80" i="12" s="1"/>
  <c r="I73" i="2" s="1"/>
  <c r="H291" i="12"/>
  <c r="C291" i="12" s="1"/>
  <c r="H156" i="12"/>
  <c r="C156" i="12" s="1"/>
  <c r="I271" i="2" s="1"/>
  <c r="H556" i="12"/>
  <c r="C556" i="12" s="1"/>
  <c r="I150" i="8" s="1"/>
  <c r="I417" i="2"/>
  <c r="H99" i="12"/>
  <c r="C99" i="12" s="1"/>
  <c r="I8" i="8" s="1"/>
  <c r="H44" i="12"/>
  <c r="C44" i="12" s="1"/>
  <c r="AD679" i="12"/>
  <c r="H247" i="12"/>
  <c r="C247" i="12" s="1"/>
  <c r="H81" i="12"/>
  <c r="C81" i="12" s="1"/>
  <c r="I57" i="2" s="1"/>
  <c r="H36" i="12"/>
  <c r="C36" i="12" s="1"/>
  <c r="H33" i="12"/>
  <c r="C33" i="12" s="1"/>
  <c r="I105" i="2" s="1"/>
  <c r="H21" i="12"/>
  <c r="C21" i="12" s="1"/>
  <c r="I65" i="2" s="1"/>
  <c r="H412" i="12"/>
  <c r="C412" i="12" s="1"/>
  <c r="H41" i="12"/>
  <c r="C41" i="12" s="1"/>
  <c r="I74" i="2" s="1"/>
  <c r="H349" i="12"/>
  <c r="C349" i="12" s="1"/>
  <c r="H39" i="12"/>
  <c r="C39" i="12" s="1"/>
  <c r="I58" i="2" s="1"/>
  <c r="H6" i="12"/>
  <c r="C6" i="12" s="1"/>
  <c r="I7" i="2" s="1"/>
  <c r="M6" i="3"/>
  <c r="H405" i="12"/>
  <c r="C405" i="12" s="1"/>
  <c r="I90" i="8" s="1"/>
  <c r="H146" i="12"/>
  <c r="C146" i="12" s="1"/>
  <c r="H222" i="12"/>
  <c r="C222" i="12" s="1"/>
  <c r="I53" i="8" s="1"/>
  <c r="H90" i="12"/>
  <c r="C90" i="12" s="1"/>
  <c r="I156" i="2" s="1"/>
  <c r="H176" i="12"/>
  <c r="C176" i="12" s="1"/>
  <c r="I167" i="2" s="1"/>
  <c r="E30" i="7" s="1"/>
  <c r="H126" i="12"/>
  <c r="C126" i="12" s="1"/>
  <c r="I151" i="2" s="1"/>
  <c r="H2" i="12"/>
  <c r="C2" i="12" s="1"/>
  <c r="M2" i="3"/>
  <c r="H49" i="12"/>
  <c r="C49" i="12" s="1"/>
  <c r="H177" i="12"/>
  <c r="C177" i="12" s="1"/>
  <c r="H158" i="12"/>
  <c r="C158" i="12" s="1"/>
  <c r="I169" i="2" s="1"/>
  <c r="H13" i="12"/>
  <c r="C13" i="12" s="1"/>
  <c r="I5" i="2" s="1"/>
  <c r="H103" i="12"/>
  <c r="C103" i="12" s="1"/>
  <c r="I140" i="2" s="1"/>
  <c r="H485" i="12"/>
  <c r="C485" i="12" s="1"/>
  <c r="H38" i="12"/>
  <c r="C38" i="12" s="1"/>
  <c r="I68" i="2" s="1"/>
  <c r="H27" i="12"/>
  <c r="C27" i="12" s="1"/>
  <c r="I29" i="2" s="1"/>
  <c r="H314" i="12"/>
  <c r="C314" i="12" s="1"/>
  <c r="I340" i="2" s="1"/>
  <c r="H249" i="12"/>
  <c r="C249" i="12" s="1"/>
  <c r="I283" i="2" s="1"/>
  <c r="H62" i="12"/>
  <c r="C62" i="12" s="1"/>
  <c r="I106" i="2" s="1"/>
  <c r="H93" i="12"/>
  <c r="C93" i="12" s="1"/>
  <c r="I70" i="2" s="1"/>
  <c r="H52" i="12"/>
  <c r="C52" i="12" s="1"/>
  <c r="I56" i="2" s="1"/>
  <c r="H136" i="12"/>
  <c r="C136" i="12" s="1"/>
  <c r="I131" i="2" s="1"/>
  <c r="H503" i="12"/>
  <c r="C503" i="12" s="1"/>
  <c r="H389" i="12"/>
  <c r="C389" i="12" s="1"/>
  <c r="H439" i="12"/>
  <c r="C439" i="12" s="1"/>
  <c r="H238" i="12"/>
  <c r="C238" i="12" s="1"/>
  <c r="I304" i="2" s="1"/>
  <c r="H540" i="12"/>
  <c r="C540" i="12" s="1"/>
  <c r="I656" i="2" s="1"/>
  <c r="E119" i="6" s="1"/>
  <c r="H303" i="12"/>
  <c r="C303" i="12" s="1"/>
  <c r="I584" i="2" s="1"/>
  <c r="H651" i="12"/>
  <c r="C651" i="12" s="1"/>
  <c r="H487" i="12"/>
  <c r="C487" i="12" s="1"/>
  <c r="I582" i="2" s="1"/>
  <c r="H506" i="12"/>
  <c r="C506" i="12" s="1"/>
  <c r="I599" i="2" s="1"/>
  <c r="H386" i="12"/>
  <c r="C386" i="12" s="1"/>
  <c r="I590" i="2" s="1"/>
  <c r="H648" i="12"/>
  <c r="C648" i="12" s="1"/>
  <c r="I708" i="2" s="1"/>
  <c r="J708" i="2" s="1"/>
  <c r="H428" i="12"/>
  <c r="C428" i="12" s="1"/>
  <c r="H452" i="12"/>
  <c r="C452" i="12" s="1"/>
  <c r="I574" i="2" s="1"/>
  <c r="H583" i="12"/>
  <c r="C583" i="12" s="1"/>
  <c r="I625" i="2" s="1"/>
  <c r="Y723" i="12"/>
  <c r="AD674" i="12"/>
  <c r="AD704" i="12"/>
  <c r="Y714" i="12"/>
  <c r="H29" i="12"/>
  <c r="C29" i="12" s="1"/>
  <c r="I39" i="2" s="1"/>
  <c r="T22" i="3"/>
  <c r="AE8" i="3" s="1"/>
  <c r="H233" i="12"/>
  <c r="C233" i="12" s="1"/>
  <c r="I135" i="2"/>
  <c r="AC714" i="12"/>
  <c r="H315" i="12"/>
  <c r="C315" i="12" s="1"/>
  <c r="H179" i="12"/>
  <c r="C179" i="12" s="1"/>
  <c r="I257" i="2" s="1"/>
  <c r="H181" i="12"/>
  <c r="C181" i="12" s="1"/>
  <c r="I197" i="2" s="1"/>
  <c r="H40" i="12"/>
  <c r="C40" i="12" s="1"/>
  <c r="I50" i="2" s="1"/>
  <c r="H113" i="12"/>
  <c r="C113" i="12" s="1"/>
  <c r="I144" i="2" s="1"/>
  <c r="H45" i="12"/>
  <c r="C45" i="12" s="1"/>
  <c r="I67" i="2" s="1"/>
  <c r="H28" i="12"/>
  <c r="C28" i="12" s="1"/>
  <c r="I17" i="2" s="1"/>
  <c r="Y727" i="12"/>
  <c r="X22" i="3"/>
  <c r="Z22" i="3" s="1"/>
  <c r="H488" i="12"/>
  <c r="C488" i="12" s="1"/>
  <c r="H151" i="12"/>
  <c r="C151" i="12" s="1"/>
  <c r="I308" i="2"/>
  <c r="H133" i="12"/>
  <c r="C133" i="12" s="1"/>
  <c r="I175" i="2" s="1"/>
  <c r="H153" i="12"/>
  <c r="C153" i="12" s="1"/>
  <c r="H216" i="12"/>
  <c r="C216" i="12" s="1"/>
  <c r="I352" i="2" s="1"/>
  <c r="AC661" i="12"/>
  <c r="H440" i="12"/>
  <c r="C440" i="12" s="1"/>
  <c r="I119" i="8" s="1"/>
  <c r="AC692" i="12"/>
  <c r="H264" i="12"/>
  <c r="C264" i="12" s="1"/>
  <c r="H436" i="12"/>
  <c r="C436" i="12" s="1"/>
  <c r="I153" i="8" s="1"/>
  <c r="H285" i="12"/>
  <c r="C285" i="12" s="1"/>
  <c r="I499" i="2" s="1"/>
  <c r="H348" i="12"/>
  <c r="C348" i="12" s="1"/>
  <c r="I496" i="2" s="1"/>
  <c r="Y721" i="12"/>
  <c r="H211" i="12"/>
  <c r="C211" i="12" s="1"/>
  <c r="I351" i="2" s="1"/>
  <c r="H359" i="12"/>
  <c r="C359" i="12" s="1"/>
  <c r="H325" i="12"/>
  <c r="C325" i="12" s="1"/>
  <c r="H567" i="12"/>
  <c r="C567" i="12" s="1"/>
  <c r="H18" i="12"/>
  <c r="C18" i="12" s="1"/>
  <c r="I43" i="2" s="1"/>
  <c r="H494" i="12"/>
  <c r="C494" i="12" s="1"/>
  <c r="Y692" i="12"/>
  <c r="H89" i="12"/>
  <c r="C89" i="12" s="1"/>
  <c r="I86" i="2" s="1"/>
  <c r="AC656" i="12"/>
  <c r="H149" i="12"/>
  <c r="C149" i="12" s="1"/>
  <c r="I241" i="2" s="1"/>
  <c r="H484" i="12"/>
  <c r="C484" i="12" s="1"/>
  <c r="H461" i="12"/>
  <c r="C461" i="12" s="1"/>
  <c r="I114" i="8" s="1"/>
  <c r="H363" i="12"/>
  <c r="C363" i="12" s="1"/>
  <c r="H305" i="12"/>
  <c r="C305" i="12" s="1"/>
  <c r="I504" i="2" s="1"/>
  <c r="Y686" i="12"/>
  <c r="AD657" i="12"/>
  <c r="Y728" i="12"/>
  <c r="H499" i="12"/>
  <c r="C499" i="12" s="1"/>
  <c r="Y688" i="12"/>
  <c r="H346" i="12"/>
  <c r="C346" i="12" s="1"/>
  <c r="I530" i="2" s="1"/>
  <c r="Y680" i="12"/>
  <c r="H376" i="12"/>
  <c r="C376" i="12" s="1"/>
  <c r="I629" i="2" s="1"/>
  <c r="E328" i="4" s="1"/>
  <c r="H646" i="12"/>
  <c r="C646" i="12" s="1"/>
  <c r="I724" i="2" s="1"/>
  <c r="H313" i="12"/>
  <c r="C313" i="12" s="1"/>
  <c r="I482" i="2" s="1"/>
  <c r="H551" i="12"/>
  <c r="C551" i="12" s="1"/>
  <c r="I658" i="2" s="1"/>
  <c r="H625" i="12"/>
  <c r="C625" i="12" s="1"/>
  <c r="H639" i="12"/>
  <c r="C639" i="12" s="1"/>
  <c r="I194" i="8" s="1"/>
  <c r="H474" i="12"/>
  <c r="C474" i="12" s="1"/>
  <c r="I627" i="2" s="1"/>
  <c r="AD715" i="12"/>
  <c r="Y693" i="12"/>
  <c r="E196" i="5"/>
  <c r="AD722" i="12"/>
  <c r="H608" i="12"/>
  <c r="C608" i="12" s="1"/>
  <c r="H587" i="12"/>
  <c r="C587" i="12" s="1"/>
  <c r="Y668" i="12"/>
  <c r="H380" i="12"/>
  <c r="C380" i="12" s="1"/>
  <c r="I404" i="2" s="1"/>
  <c r="J404" i="2" s="1"/>
  <c r="Y722" i="12"/>
  <c r="H421" i="12"/>
  <c r="C421" i="12" s="1"/>
  <c r="I643" i="2" s="1"/>
  <c r="H243" i="12"/>
  <c r="C243" i="12" s="1"/>
  <c r="I362" i="2"/>
  <c r="H626" i="12"/>
  <c r="C626" i="12" s="1"/>
  <c r="I200" i="8" s="1"/>
  <c r="H414" i="12"/>
  <c r="C414" i="12" s="1"/>
  <c r="H596" i="12"/>
  <c r="C596" i="12" s="1"/>
  <c r="H594" i="12"/>
  <c r="C594" i="12" s="1"/>
  <c r="H276" i="12"/>
  <c r="C276" i="12" s="1"/>
  <c r="H407" i="12"/>
  <c r="C407" i="12" s="1"/>
  <c r="I476" i="2" s="1"/>
  <c r="H365" i="12"/>
  <c r="C365" i="12" s="1"/>
  <c r="I456" i="2" s="1"/>
  <c r="E262" i="4" s="1"/>
  <c r="H230" i="12"/>
  <c r="C230" i="12" s="1"/>
  <c r="I40" i="8" s="1"/>
  <c r="H283" i="12"/>
  <c r="C283" i="12" s="1"/>
  <c r="I311" i="2" s="1"/>
  <c r="H409" i="12"/>
  <c r="C409" i="12" s="1"/>
  <c r="H529" i="12"/>
  <c r="C529" i="12" s="1"/>
  <c r="I160" i="8" s="1"/>
  <c r="H497" i="12"/>
  <c r="C497" i="12" s="1"/>
  <c r="H361" i="12"/>
  <c r="C361" i="12" s="1"/>
  <c r="I570" i="2" s="1"/>
  <c r="H19" i="12"/>
  <c r="C19" i="12" s="1"/>
  <c r="I46" i="2" s="1"/>
  <c r="H57" i="12"/>
  <c r="C57" i="12" s="1"/>
  <c r="I40" i="2" s="1"/>
  <c r="E11" i="6" s="1"/>
  <c r="H195" i="12"/>
  <c r="C195" i="12" s="1"/>
  <c r="I21" i="8" s="1"/>
  <c r="AC713" i="12"/>
  <c r="H438" i="12"/>
  <c r="C438" i="12" s="1"/>
  <c r="I639" i="2" s="1"/>
  <c r="H431" i="12"/>
  <c r="C431" i="12" s="1"/>
  <c r="H640" i="12"/>
  <c r="C640" i="12" s="1"/>
  <c r="H434" i="12"/>
  <c r="C434" i="12" s="1"/>
  <c r="H602" i="12"/>
  <c r="C602" i="12" s="1"/>
  <c r="I718" i="2" s="1"/>
  <c r="H607" i="12"/>
  <c r="C607" i="12" s="1"/>
  <c r="AC657" i="12"/>
  <c r="AC669" i="12"/>
  <c r="H399" i="12"/>
  <c r="C399" i="12" s="1"/>
  <c r="I626" i="2" s="1"/>
  <c r="H475" i="12"/>
  <c r="C475" i="12" s="1"/>
  <c r="I710" i="2" s="1"/>
  <c r="H624" i="12"/>
  <c r="C624" i="12" s="1"/>
  <c r="I725" i="2" s="1"/>
  <c r="H108" i="12"/>
  <c r="C108" i="12" s="1"/>
  <c r="AC717" i="12"/>
  <c r="H433" i="12"/>
  <c r="C433" i="12" s="1"/>
  <c r="I598" i="2" s="1"/>
  <c r="H606" i="12"/>
  <c r="C606" i="12" s="1"/>
  <c r="I667" i="2" s="1"/>
  <c r="AC663" i="12"/>
  <c r="AC715" i="12"/>
  <c r="H595" i="12"/>
  <c r="C595" i="12" s="1"/>
  <c r="I640" i="2" s="1"/>
  <c r="H319" i="12"/>
  <c r="C319" i="12" s="1"/>
  <c r="H645" i="12"/>
  <c r="C645" i="12" s="1"/>
  <c r="I212" i="8" s="1"/>
  <c r="H534" i="12"/>
  <c r="C534" i="12" s="1"/>
  <c r="I717" i="2" s="1"/>
  <c r="E202" i="5" s="1"/>
  <c r="H609" i="12"/>
  <c r="C609" i="12" s="1"/>
  <c r="I188" i="8" s="1"/>
  <c r="H621" i="12"/>
  <c r="C621" i="12" s="1"/>
  <c r="I181" i="8" s="1"/>
  <c r="H335" i="12"/>
  <c r="C335" i="12" s="1"/>
  <c r="I491" i="2" s="1"/>
  <c r="E284" i="4" s="1"/>
  <c r="H429" i="12"/>
  <c r="C429" i="12" s="1"/>
  <c r="I620" i="2" s="1"/>
  <c r="H508" i="12"/>
  <c r="C508" i="12" s="1"/>
  <c r="I709" i="2" s="1"/>
  <c r="E197" i="5" s="1"/>
  <c r="H371" i="12"/>
  <c r="C371" i="12" s="1"/>
  <c r="I548" i="2" s="1"/>
  <c r="H585" i="12"/>
  <c r="C585" i="12" s="1"/>
  <c r="I193" i="8" s="1"/>
  <c r="AC684" i="12"/>
  <c r="H160" i="12"/>
  <c r="C160" i="12" s="1"/>
  <c r="I289" i="2" s="1"/>
  <c r="H402" i="12"/>
  <c r="C402" i="12" s="1"/>
  <c r="H543" i="12"/>
  <c r="C543" i="12" s="1"/>
  <c r="I120" i="8" s="1"/>
  <c r="H214" i="12"/>
  <c r="C214" i="12" s="1"/>
  <c r="I331" i="2" s="1"/>
  <c r="AD698" i="12"/>
  <c r="AD689" i="12"/>
  <c r="H295" i="12"/>
  <c r="C295" i="12" s="1"/>
  <c r="I329" i="2" s="1"/>
  <c r="AD695" i="12"/>
  <c r="H92" i="12"/>
  <c r="C92" i="12" s="1"/>
  <c r="I181" i="2" s="1"/>
  <c r="E50" i="5" s="1"/>
  <c r="H24" i="12"/>
  <c r="C24" i="12" s="1"/>
  <c r="H374" i="12"/>
  <c r="C374" i="12" s="1"/>
  <c r="H553" i="12"/>
  <c r="C553" i="12" s="1"/>
  <c r="I695" i="2" s="1"/>
  <c r="H331" i="12"/>
  <c r="C331" i="12" s="1"/>
  <c r="I512" i="2" s="1"/>
  <c r="L22" i="3"/>
  <c r="Y716" i="12"/>
  <c r="H299" i="12"/>
  <c r="C299" i="12" s="1"/>
  <c r="I391" i="2" s="1"/>
  <c r="Y704" i="12"/>
  <c r="H226" i="12"/>
  <c r="C226" i="12" s="1"/>
  <c r="AD713" i="12"/>
  <c r="H652" i="12"/>
  <c r="C652" i="12" s="1"/>
  <c r="H630" i="12"/>
  <c r="C630" i="12" s="1"/>
  <c r="I669" i="2" s="1"/>
  <c r="AC719" i="12"/>
  <c r="H432" i="12"/>
  <c r="C432" i="12" s="1"/>
  <c r="H620" i="12"/>
  <c r="C620" i="12" s="1"/>
  <c r="I187" i="8" s="1"/>
  <c r="H469" i="12"/>
  <c r="C469" i="12" s="1"/>
  <c r="I615" i="2" s="1"/>
  <c r="E146" i="5" s="1"/>
  <c r="H623" i="12"/>
  <c r="C623" i="12" s="1"/>
  <c r="I698" i="2" s="1"/>
  <c r="E188" i="5" s="1"/>
  <c r="AC711" i="12"/>
  <c r="Y673" i="12"/>
  <c r="Y694" i="12"/>
  <c r="AC726" i="12"/>
  <c r="AD669" i="12"/>
  <c r="I198" i="2"/>
  <c r="H370" i="12"/>
  <c r="C370" i="12" s="1"/>
  <c r="I536" i="2" s="1"/>
  <c r="E268" i="4" s="1"/>
  <c r="AD717" i="12"/>
  <c r="H539" i="12"/>
  <c r="C539" i="12" s="1"/>
  <c r="I683" i="2" s="1"/>
  <c r="E184" i="5" s="1"/>
  <c r="H482" i="12"/>
  <c r="C482" i="12" s="1"/>
  <c r="I581" i="2" s="1"/>
  <c r="E334" i="4" s="1"/>
  <c r="H550" i="12"/>
  <c r="C550" i="12" s="1"/>
  <c r="I195" i="8" s="1"/>
  <c r="H549" i="12"/>
  <c r="C549" i="12" s="1"/>
  <c r="H610" i="12"/>
  <c r="C610" i="12" s="1"/>
  <c r="Y678" i="12"/>
  <c r="H633" i="12"/>
  <c r="C633" i="12" s="1"/>
  <c r="I653" i="2" s="1"/>
  <c r="Y705" i="12"/>
  <c r="H443" i="12"/>
  <c r="C443" i="12" s="1"/>
  <c r="I557" i="2" s="1"/>
  <c r="Y663" i="12"/>
  <c r="I227" i="2"/>
  <c r="H288" i="12"/>
  <c r="C288" i="12" s="1"/>
  <c r="I425" i="2" s="1"/>
  <c r="E79" i="6" s="1"/>
  <c r="H524" i="12"/>
  <c r="C524" i="12" s="1"/>
  <c r="I132" i="8" s="1"/>
  <c r="H613" i="12"/>
  <c r="C613" i="12" s="1"/>
  <c r="H137" i="12"/>
  <c r="C137" i="12" s="1"/>
  <c r="I216" i="2" s="1"/>
  <c r="H478" i="12"/>
  <c r="C478" i="12" s="1"/>
  <c r="H456" i="12"/>
  <c r="C456" i="12" s="1"/>
  <c r="I475" i="2" s="1"/>
  <c r="H366" i="12"/>
  <c r="C366" i="12" s="1"/>
  <c r="I426" i="2" s="1"/>
  <c r="H355" i="12"/>
  <c r="C355" i="12" s="1"/>
  <c r="I670" i="2" s="1"/>
  <c r="H532" i="12"/>
  <c r="C532" i="12" s="1"/>
  <c r="I645" i="2" s="1"/>
  <c r="H603" i="12"/>
  <c r="C603" i="12" s="1"/>
  <c r="I721" i="2"/>
  <c r="H435" i="12"/>
  <c r="C435" i="12" s="1"/>
  <c r="I472" i="2" s="1"/>
  <c r="E67" i="7" s="1"/>
  <c r="H35" i="12"/>
  <c r="C35" i="12" s="1"/>
  <c r="I75" i="2" s="1"/>
  <c r="H141" i="12"/>
  <c r="C141" i="12" s="1"/>
  <c r="I26" i="8" s="1"/>
  <c r="H82" i="12"/>
  <c r="C82" i="12" s="1"/>
  <c r="H118" i="12"/>
  <c r="C118" i="12" s="1"/>
  <c r="I12" i="8" s="1"/>
  <c r="H486" i="12"/>
  <c r="C486" i="12" s="1"/>
  <c r="H308" i="12"/>
  <c r="C308" i="12" s="1"/>
  <c r="I350" i="2" s="1"/>
  <c r="H15" i="12"/>
  <c r="C15" i="12" s="1"/>
  <c r="I37" i="2" s="1"/>
  <c r="H164" i="12"/>
  <c r="C164" i="12" s="1"/>
  <c r="I20" i="8" s="1"/>
  <c r="H279" i="12"/>
  <c r="C279" i="12" s="1"/>
  <c r="I41" i="8" s="1"/>
  <c r="H507" i="12"/>
  <c r="C507" i="12" s="1"/>
  <c r="H464" i="12"/>
  <c r="C464" i="12" s="1"/>
  <c r="I103" i="8" s="1"/>
  <c r="AC682" i="12"/>
  <c r="H47" i="12"/>
  <c r="C47" i="12" s="1"/>
  <c r="I69" i="2" s="1"/>
  <c r="H298" i="12"/>
  <c r="C298" i="12" s="1"/>
  <c r="I64" i="8" s="1"/>
  <c r="H31" i="12"/>
  <c r="C31" i="12" s="1"/>
  <c r="I148" i="2"/>
  <c r="H11" i="12"/>
  <c r="C11" i="12" s="1"/>
  <c r="H194" i="12"/>
  <c r="C194" i="12" s="1"/>
  <c r="I23" i="8" s="1"/>
  <c r="H85" i="12"/>
  <c r="C85" i="12" s="1"/>
  <c r="I104" i="2" s="1"/>
  <c r="H199" i="12"/>
  <c r="C199" i="12" s="1"/>
  <c r="H9" i="12"/>
  <c r="C9" i="12" s="1"/>
  <c r="I14" i="2" s="1"/>
  <c r="E15" i="4" s="1"/>
  <c r="AC718" i="12"/>
  <c r="H328" i="12"/>
  <c r="C328" i="12" s="1"/>
  <c r="I62" i="8" s="1"/>
  <c r="H186" i="12"/>
  <c r="C186" i="12" s="1"/>
  <c r="I34" i="8" s="1"/>
  <c r="H12" i="12"/>
  <c r="C12" i="12" s="1"/>
  <c r="I13" i="2" s="1"/>
  <c r="J13" i="2" s="1"/>
  <c r="H240" i="12"/>
  <c r="C240" i="12" s="1"/>
  <c r="I44" i="8" s="1"/>
  <c r="H97" i="12"/>
  <c r="C97" i="12" s="1"/>
  <c r="H116" i="12"/>
  <c r="C116" i="12" s="1"/>
  <c r="I120" i="2"/>
  <c r="H165" i="12"/>
  <c r="C165" i="12" s="1"/>
  <c r="I17" i="8" s="1"/>
  <c r="H284" i="12"/>
  <c r="C284" i="12" s="1"/>
  <c r="I47" i="8" s="1"/>
  <c r="H48" i="12"/>
  <c r="C48" i="12" s="1"/>
  <c r="I54" i="2" s="1"/>
  <c r="H259" i="12"/>
  <c r="C259" i="12" s="1"/>
  <c r="I48" i="8" s="1"/>
  <c r="H77" i="12"/>
  <c r="C77" i="12" s="1"/>
  <c r="I137" i="2" s="1"/>
  <c r="E41" i="5" s="1"/>
  <c r="H132" i="12"/>
  <c r="C132" i="12" s="1"/>
  <c r="I248" i="2" s="1"/>
  <c r="H61" i="12"/>
  <c r="C61" i="12" s="1"/>
  <c r="I5" i="8" s="1"/>
  <c r="H236" i="12"/>
  <c r="C236" i="12" s="1"/>
  <c r="I288" i="2" s="1"/>
  <c r="E57" i="6" s="1"/>
  <c r="AC694" i="12"/>
  <c r="H106" i="12"/>
  <c r="C106" i="12" s="1"/>
  <c r="I212" i="2" s="1"/>
  <c r="I94" i="2"/>
  <c r="H202" i="12"/>
  <c r="C202" i="12" s="1"/>
  <c r="I188" i="2" s="1"/>
  <c r="E32" i="7" s="1"/>
  <c r="H145" i="12"/>
  <c r="C145" i="12" s="1"/>
  <c r="I333" i="2" s="1"/>
  <c r="E210" i="4" s="1"/>
  <c r="AC695" i="12"/>
  <c r="Y698" i="12"/>
  <c r="H217" i="12"/>
  <c r="C217" i="12" s="1"/>
  <c r="I277" i="2" s="1"/>
  <c r="H515" i="12"/>
  <c r="C515" i="12" s="1"/>
  <c r="I146" i="8" s="1"/>
  <c r="H84" i="12"/>
  <c r="C84" i="12" s="1"/>
  <c r="H322" i="12"/>
  <c r="C322" i="12" s="1"/>
  <c r="I66" i="8" s="1"/>
  <c r="H511" i="12"/>
  <c r="C511" i="12" s="1"/>
  <c r="I93" i="8" s="1"/>
  <c r="H257" i="12"/>
  <c r="C257" i="12" s="1"/>
  <c r="I342" i="2" s="1"/>
  <c r="H300" i="12"/>
  <c r="C300" i="12" s="1"/>
  <c r="I510" i="2"/>
  <c r="H306" i="12"/>
  <c r="C306" i="12" s="1"/>
  <c r="I401" i="2" s="1"/>
  <c r="J401" i="2" s="1"/>
  <c r="E48" i="6"/>
  <c r="E154" i="4"/>
  <c r="J241" i="2"/>
  <c r="H449" i="12"/>
  <c r="C449" i="12" s="1"/>
  <c r="I140" i="8" s="1"/>
  <c r="H96" i="12"/>
  <c r="C96" i="12" s="1"/>
  <c r="E24" i="7"/>
  <c r="E97" i="4"/>
  <c r="J131" i="2"/>
  <c r="H586" i="12"/>
  <c r="C586" i="12" s="1"/>
  <c r="I159" i="8" s="1"/>
  <c r="H481" i="12"/>
  <c r="C481" i="12" s="1"/>
  <c r="H210" i="12"/>
  <c r="C210" i="12" s="1"/>
  <c r="I272" i="2" s="1"/>
  <c r="E54" i="6" s="1"/>
  <c r="H445" i="12"/>
  <c r="C445" i="12" s="1"/>
  <c r="I2" i="2"/>
  <c r="H134" i="12"/>
  <c r="C134" i="12" s="1"/>
  <c r="H501" i="12"/>
  <c r="C501" i="12" s="1"/>
  <c r="I158" i="8" s="1"/>
  <c r="H571" i="12"/>
  <c r="C571" i="12" s="1"/>
  <c r="I127" i="8" s="1"/>
  <c r="Y687" i="12"/>
  <c r="H163" i="12"/>
  <c r="C163" i="12" s="1"/>
  <c r="AD719" i="12"/>
  <c r="H343" i="12"/>
  <c r="C343" i="12" s="1"/>
  <c r="I538" i="2" s="1"/>
  <c r="H629" i="12"/>
  <c r="C629" i="12" s="1"/>
  <c r="I198" i="8" s="1"/>
  <c r="E418" i="4"/>
  <c r="E204" i="5"/>
  <c r="J718" i="2"/>
  <c r="I682" i="2"/>
  <c r="H395" i="12"/>
  <c r="C395" i="12" s="1"/>
  <c r="I507" i="2" s="1"/>
  <c r="E121" i="5" s="1"/>
  <c r="Y676" i="12"/>
  <c r="E136" i="5"/>
  <c r="E278" i="4"/>
  <c r="J584" i="2"/>
  <c r="H495" i="12"/>
  <c r="C495" i="12" s="1"/>
  <c r="I602" i="2" s="1"/>
  <c r="E109" i="6" s="1"/>
  <c r="AC676" i="12"/>
  <c r="H307" i="12"/>
  <c r="C307" i="12" s="1"/>
  <c r="I622" i="2" s="1"/>
  <c r="H381" i="12"/>
  <c r="C381" i="12" s="1"/>
  <c r="I619" i="2" s="1"/>
  <c r="E370" i="4" s="1"/>
  <c r="H598" i="12"/>
  <c r="C598" i="12" s="1"/>
  <c r="I691" i="2" s="1"/>
  <c r="H450" i="12"/>
  <c r="C450" i="12" s="1"/>
  <c r="I649" i="2" s="1"/>
  <c r="E94" i="7" s="1"/>
  <c r="H546" i="12"/>
  <c r="C546" i="12" s="1"/>
  <c r="I671" i="2" s="1"/>
  <c r="E175" i="5" s="1"/>
  <c r="H175" i="12"/>
  <c r="C175" i="12" s="1"/>
  <c r="I375" i="2" s="1"/>
  <c r="E93" i="5" s="1"/>
  <c r="H605" i="12"/>
  <c r="C605" i="12" s="1"/>
  <c r="H401" i="12"/>
  <c r="C401" i="12" s="1"/>
  <c r="I610" i="2" s="1"/>
  <c r="J610" i="2" s="1"/>
  <c r="H354" i="12"/>
  <c r="C354" i="12" s="1"/>
  <c r="I575" i="2" s="1"/>
  <c r="J575" i="2" s="1"/>
  <c r="H367" i="12"/>
  <c r="C367" i="12" s="1"/>
  <c r="H577" i="12"/>
  <c r="C577" i="12" s="1"/>
  <c r="H514" i="12"/>
  <c r="C514" i="12" s="1"/>
  <c r="H172" i="12"/>
  <c r="C172" i="12" s="1"/>
  <c r="I242" i="2" s="1"/>
  <c r="J242" i="2" s="1"/>
  <c r="H527" i="12"/>
  <c r="C527" i="12" s="1"/>
  <c r="H360" i="12"/>
  <c r="C360" i="12" s="1"/>
  <c r="I648" i="2" s="1"/>
  <c r="J648" i="2" s="1"/>
  <c r="H387" i="12"/>
  <c r="C387" i="12" s="1"/>
  <c r="AC689" i="12"/>
  <c r="H184" i="12"/>
  <c r="C184" i="12" s="1"/>
  <c r="H362" i="12"/>
  <c r="C362" i="12" s="1"/>
  <c r="I466" i="2" s="1"/>
  <c r="I22" i="2"/>
  <c r="H318" i="12"/>
  <c r="C318" i="12" s="1"/>
  <c r="H55" i="12"/>
  <c r="C55" i="12" s="1"/>
  <c r="H234" i="12"/>
  <c r="C234" i="12" s="1"/>
  <c r="H491" i="12"/>
  <c r="C491" i="12" s="1"/>
  <c r="H530" i="12"/>
  <c r="C530" i="12" s="1"/>
  <c r="I133" i="8" s="1"/>
  <c r="H157" i="12"/>
  <c r="C157" i="12" s="1"/>
  <c r="I25" i="8" s="1"/>
  <c r="H171" i="12"/>
  <c r="C171" i="12" s="1"/>
  <c r="H321" i="12"/>
  <c r="C321" i="12" s="1"/>
  <c r="I478" i="2" s="1"/>
  <c r="H63" i="12"/>
  <c r="C63" i="12" s="1"/>
  <c r="H191" i="12"/>
  <c r="C191" i="12" s="1"/>
  <c r="I247" i="2"/>
  <c r="H235" i="12"/>
  <c r="C235" i="12" s="1"/>
  <c r="I307" i="2" s="1"/>
  <c r="J307" i="2" s="1"/>
  <c r="AC700" i="12"/>
  <c r="AC668" i="12"/>
  <c r="AD670" i="12"/>
  <c r="AD687" i="12"/>
  <c r="Y677" i="12"/>
  <c r="Y691" i="12"/>
  <c r="Y683" i="12"/>
  <c r="Y672" i="12"/>
  <c r="Y720" i="12"/>
  <c r="Y671" i="12"/>
  <c r="Y697" i="12"/>
  <c r="H162" i="12"/>
  <c r="C162" i="12" s="1"/>
  <c r="I179" i="2" s="1"/>
  <c r="H60" i="12"/>
  <c r="C60" i="12" s="1"/>
  <c r="I49" i="2" s="1"/>
  <c r="E13" i="7" s="1"/>
  <c r="H98" i="12"/>
  <c r="C98" i="12" s="1"/>
  <c r="I134" i="2" s="1"/>
  <c r="H75" i="12"/>
  <c r="C75" i="12" s="1"/>
  <c r="I125" i="2" s="1"/>
  <c r="H88" i="12"/>
  <c r="C88" i="12" s="1"/>
  <c r="I83" i="2" s="1"/>
  <c r="AC662" i="12"/>
  <c r="H219" i="12"/>
  <c r="C219" i="12" s="1"/>
  <c r="I341" i="2" s="1"/>
  <c r="H95" i="12"/>
  <c r="C95" i="12" s="1"/>
  <c r="I117" i="2" s="1"/>
  <c r="J117" i="2" s="1"/>
  <c r="E7" i="7"/>
  <c r="E18" i="4"/>
  <c r="J17" i="2"/>
  <c r="H254" i="12"/>
  <c r="C254" i="12" s="1"/>
  <c r="I432" i="2" s="1"/>
  <c r="E106" i="5" s="1"/>
  <c r="H65" i="12"/>
  <c r="C65" i="12" s="1"/>
  <c r="I121" i="2" s="1"/>
  <c r="H117" i="12"/>
  <c r="C117" i="12" s="1"/>
  <c r="I18" i="8" s="1"/>
  <c r="H220" i="12"/>
  <c r="C220" i="12" s="1"/>
  <c r="I370" i="2" s="1"/>
  <c r="E187" i="4" s="1"/>
  <c r="H143" i="12"/>
  <c r="C143" i="12" s="1"/>
  <c r="I142" i="2" s="1"/>
  <c r="H66" i="12"/>
  <c r="C66" i="12" s="1"/>
  <c r="I79" i="2" s="1"/>
  <c r="H312" i="12"/>
  <c r="C312" i="12" s="1"/>
  <c r="I85" i="8" s="1"/>
  <c r="H375" i="12"/>
  <c r="C375" i="12" s="1"/>
  <c r="I78" i="8" s="1"/>
  <c r="H206" i="12"/>
  <c r="C206" i="12" s="1"/>
  <c r="I213" i="2" s="1"/>
  <c r="E39" i="7" s="1"/>
  <c r="H91" i="12"/>
  <c r="C91" i="12" s="1"/>
  <c r="I150" i="2" s="1"/>
  <c r="E42" i="5" s="1"/>
  <c r="H408" i="12"/>
  <c r="C408" i="12" s="1"/>
  <c r="H358" i="12"/>
  <c r="C358" i="12" s="1"/>
  <c r="I461" i="2"/>
  <c r="H76" i="12"/>
  <c r="C76" i="12" s="1"/>
  <c r="I152" i="2" s="1"/>
  <c r="Y712" i="12"/>
  <c r="E67" i="6"/>
  <c r="J333" i="2"/>
  <c r="H293" i="12"/>
  <c r="C293" i="12" s="1"/>
  <c r="H282" i="12"/>
  <c r="C282" i="12" s="1"/>
  <c r="I495" i="2" s="1"/>
  <c r="H442" i="12"/>
  <c r="C442" i="12" s="1"/>
  <c r="H155" i="12"/>
  <c r="C155" i="12" s="1"/>
  <c r="I33" i="8" s="1"/>
  <c r="H480" i="12"/>
  <c r="C480" i="12" s="1"/>
  <c r="H287" i="12"/>
  <c r="C287" i="12" s="1"/>
  <c r="I439" i="2" s="1"/>
  <c r="E82" i="6" s="1"/>
  <c r="H470" i="12"/>
  <c r="C470" i="12" s="1"/>
  <c r="I565" i="2" s="1"/>
  <c r="H51" i="12"/>
  <c r="C51" i="12" s="1"/>
  <c r="I72" i="2" s="1"/>
  <c r="E52" i="4" s="1"/>
  <c r="H255" i="12"/>
  <c r="C255" i="12" s="1"/>
  <c r="I387" i="2" s="1"/>
  <c r="H174" i="12"/>
  <c r="C174" i="12" s="1"/>
  <c r="I218" i="2" s="1"/>
  <c r="H173" i="12"/>
  <c r="C173" i="12" s="1"/>
  <c r="I180" i="2" s="1"/>
  <c r="H394" i="12"/>
  <c r="C394" i="12" s="1"/>
  <c r="I82" i="8" s="1"/>
  <c r="H561" i="12"/>
  <c r="C561" i="12" s="1"/>
  <c r="I143" i="8" s="1"/>
  <c r="H185" i="12"/>
  <c r="C185" i="12" s="1"/>
  <c r="I260" i="2" s="1"/>
  <c r="E69" i="5" s="1"/>
  <c r="H228" i="12"/>
  <c r="C228" i="12" s="1"/>
  <c r="I396" i="2" s="1"/>
  <c r="H379" i="12"/>
  <c r="C379" i="12" s="1"/>
  <c r="I523" i="2" s="1"/>
  <c r="H473" i="12"/>
  <c r="C473" i="12" s="1"/>
  <c r="Y670" i="12"/>
  <c r="H229" i="12"/>
  <c r="C229" i="12" s="1"/>
  <c r="Y695" i="12"/>
  <c r="H187" i="12"/>
  <c r="C187" i="12" s="1"/>
  <c r="I259" i="2" s="1"/>
  <c r="H545" i="12"/>
  <c r="C545" i="12" s="1"/>
  <c r="I172" i="8" s="1"/>
  <c r="H418" i="12"/>
  <c r="C418" i="12" s="1"/>
  <c r="H563" i="12"/>
  <c r="C563" i="12" s="1"/>
  <c r="H538" i="12"/>
  <c r="C538" i="12" s="1"/>
  <c r="H520" i="12"/>
  <c r="C520" i="12" s="1"/>
  <c r="I183" i="8" s="1"/>
  <c r="H422" i="12"/>
  <c r="C422" i="12" s="1"/>
  <c r="AD701" i="12"/>
  <c r="H564" i="12"/>
  <c r="C564" i="12" s="1"/>
  <c r="I607" i="2" s="1"/>
  <c r="E362" i="4" s="1"/>
  <c r="H636" i="12"/>
  <c r="C636" i="12" s="1"/>
  <c r="AD676" i="12"/>
  <c r="H437" i="12"/>
  <c r="C437" i="12" s="1"/>
  <c r="I634" i="2" s="1"/>
  <c r="E158" i="5" s="1"/>
  <c r="Y664" i="12"/>
  <c r="H430" i="12"/>
  <c r="C430" i="12" s="1"/>
  <c r="I697" i="2" s="1"/>
  <c r="J697" i="2" s="1"/>
  <c r="H522" i="12"/>
  <c r="C522" i="12" s="1"/>
  <c r="H614" i="12"/>
  <c r="C614" i="12" s="1"/>
  <c r="AC667" i="12"/>
  <c r="I666" i="2"/>
  <c r="I638" i="2"/>
  <c r="H424" i="12"/>
  <c r="C424" i="12" s="1"/>
  <c r="I614" i="2" s="1"/>
  <c r="E89" i="7" s="1"/>
  <c r="H513" i="12"/>
  <c r="C513" i="12" s="1"/>
  <c r="H650" i="12"/>
  <c r="C650" i="12" s="1"/>
  <c r="H554" i="12"/>
  <c r="C554" i="12" s="1"/>
  <c r="I693" i="2" s="1"/>
  <c r="H599" i="12"/>
  <c r="C599" i="12" s="1"/>
  <c r="H526" i="12"/>
  <c r="C526" i="12" s="1"/>
  <c r="H400" i="12"/>
  <c r="C400" i="12" s="1"/>
  <c r="I583" i="2" s="1"/>
  <c r="J583" i="2" s="1"/>
  <c r="H591" i="12"/>
  <c r="C591" i="12" s="1"/>
  <c r="I182" i="8" s="1"/>
  <c r="H351" i="12"/>
  <c r="C351" i="12" s="1"/>
  <c r="I498" i="2" s="1"/>
  <c r="E73" i="7" s="1"/>
  <c r="H521" i="12"/>
  <c r="C521" i="12" s="1"/>
  <c r="I631" i="2" s="1"/>
  <c r="E116" i="6" s="1"/>
  <c r="I468" i="2"/>
  <c r="H483" i="12"/>
  <c r="C483" i="12" s="1"/>
  <c r="I635" i="2" s="1"/>
  <c r="E159" i="5" s="1"/>
  <c r="Y719" i="12"/>
  <c r="C719" i="12" s="1"/>
  <c r="H451" i="12"/>
  <c r="C451" i="12" s="1"/>
  <c r="I601" i="2" s="1"/>
  <c r="E354" i="4" s="1"/>
  <c r="Y711" i="12"/>
  <c r="H332" i="12"/>
  <c r="C332" i="12" s="1"/>
  <c r="H502" i="12"/>
  <c r="C502" i="12" s="1"/>
  <c r="I112" i="8" s="1"/>
  <c r="J104" i="2"/>
  <c r="H286" i="12"/>
  <c r="C286" i="12" s="1"/>
  <c r="I471" i="2" s="1"/>
  <c r="E113" i="5" s="1"/>
  <c r="Y689" i="12"/>
  <c r="AC670" i="12"/>
  <c r="H324" i="12"/>
  <c r="C324" i="12" s="1"/>
  <c r="H69" i="12"/>
  <c r="C69" i="12" s="1"/>
  <c r="I111" i="2" s="1"/>
  <c r="E32" i="6"/>
  <c r="E95" i="4"/>
  <c r="J144" i="2"/>
  <c r="H22" i="12"/>
  <c r="C22" i="12" s="1"/>
  <c r="M14" i="3"/>
  <c r="H138" i="12"/>
  <c r="C138" i="12" s="1"/>
  <c r="H275" i="12"/>
  <c r="C275" i="12" s="1"/>
  <c r="I265" i="2" s="1"/>
  <c r="H578" i="12"/>
  <c r="C578" i="12" s="1"/>
  <c r="H377" i="12"/>
  <c r="C377" i="12" s="1"/>
  <c r="I486" i="2" s="1"/>
  <c r="E71" i="7" s="1"/>
  <c r="AC688" i="12"/>
  <c r="H168" i="12"/>
  <c r="C168" i="12" s="1"/>
  <c r="I232" i="2" s="1"/>
  <c r="E64" i="5" s="1"/>
  <c r="H272" i="12"/>
  <c r="C272" i="12" s="1"/>
  <c r="I301" i="2" s="1"/>
  <c r="H490" i="12"/>
  <c r="C490" i="12" s="1"/>
  <c r="H302" i="12"/>
  <c r="C302" i="12" s="1"/>
  <c r="I571" i="2" s="1"/>
  <c r="H245" i="12"/>
  <c r="C245" i="12" s="1"/>
  <c r="I428" i="2" s="1"/>
  <c r="J428" i="2" s="1"/>
  <c r="H592" i="12"/>
  <c r="C592" i="12" s="1"/>
  <c r="H203" i="12"/>
  <c r="C203" i="12" s="1"/>
  <c r="I406" i="2" s="1"/>
  <c r="E29" i="7"/>
  <c r="E122" i="4"/>
  <c r="J169" i="2"/>
  <c r="H274" i="12"/>
  <c r="C274" i="12" s="1"/>
  <c r="H224" i="12"/>
  <c r="C224" i="12" s="1"/>
  <c r="I298" i="2" s="1"/>
  <c r="E82" i="5" s="1"/>
  <c r="Y661" i="12"/>
  <c r="E70" i="6"/>
  <c r="E219" i="4"/>
  <c r="J350" i="2"/>
  <c r="H273" i="12"/>
  <c r="C273" i="12" s="1"/>
  <c r="I343" i="2" s="1"/>
  <c r="E71" i="6" s="1"/>
  <c r="H601" i="12"/>
  <c r="C601" i="12" s="1"/>
  <c r="H420" i="12"/>
  <c r="C420" i="12" s="1"/>
  <c r="H347" i="12"/>
  <c r="C347" i="12" s="1"/>
  <c r="I519" i="2" s="1"/>
  <c r="H256" i="12"/>
  <c r="C256" i="12" s="1"/>
  <c r="H68" i="12"/>
  <c r="C68" i="12" s="1"/>
  <c r="I110" i="2" s="1"/>
  <c r="J110" i="2" s="1"/>
  <c r="H297" i="12"/>
  <c r="C297" i="12" s="1"/>
  <c r="I438" i="2"/>
  <c r="H190" i="12"/>
  <c r="C190" i="12" s="1"/>
  <c r="I251" i="2" s="1"/>
  <c r="E43" i="7" s="1"/>
  <c r="H271" i="12"/>
  <c r="C271" i="12" s="1"/>
  <c r="I326" i="2" s="1"/>
  <c r="E50" i="7" s="1"/>
  <c r="I10" i="2"/>
  <c r="H196" i="12"/>
  <c r="C196" i="12" s="1"/>
  <c r="H188" i="12"/>
  <c r="C188" i="12" s="1"/>
  <c r="I314" i="2" s="1"/>
  <c r="J314" i="2" s="1"/>
  <c r="H570" i="12"/>
  <c r="C570" i="12" s="1"/>
  <c r="I144" i="8" s="1"/>
  <c r="AD685" i="12"/>
  <c r="H644" i="12"/>
  <c r="C644" i="12" s="1"/>
  <c r="H246" i="12"/>
  <c r="C246" i="12" s="1"/>
  <c r="I435" i="2" s="1"/>
  <c r="E105" i="5" s="1"/>
  <c r="E99" i="6"/>
  <c r="E326" i="4"/>
  <c r="J574" i="2"/>
  <c r="H581" i="12"/>
  <c r="C581" i="12" s="1"/>
  <c r="I715" i="2" s="1"/>
  <c r="H258" i="12"/>
  <c r="C258" i="12" s="1"/>
  <c r="I544" i="2" s="1"/>
  <c r="H604" i="12"/>
  <c r="C604" i="12" s="1"/>
  <c r="AC701" i="12"/>
  <c r="H576" i="12"/>
  <c r="C576" i="12" s="1"/>
  <c r="H593" i="12"/>
  <c r="C593" i="12" s="1"/>
  <c r="I663" i="2" s="1"/>
  <c r="H523" i="12"/>
  <c r="C523" i="12" s="1"/>
  <c r="I594" i="2" s="1"/>
  <c r="Y710" i="12"/>
  <c r="H447" i="12"/>
  <c r="C447" i="12" s="1"/>
  <c r="I668" i="2" s="1"/>
  <c r="I716" i="2"/>
  <c r="Y659" i="12"/>
  <c r="H419" i="12"/>
  <c r="C419" i="12" s="1"/>
  <c r="H654" i="12"/>
  <c r="C654" i="12" s="1"/>
  <c r="E116" i="5"/>
  <c r="E239" i="4"/>
  <c r="J482" i="2"/>
  <c r="H398" i="12"/>
  <c r="C398" i="12" s="1"/>
  <c r="I577" i="2" s="1"/>
  <c r="H388" i="12"/>
  <c r="C388" i="12" s="1"/>
  <c r="I646" i="2" s="1"/>
  <c r="H406" i="12"/>
  <c r="C406" i="12" s="1"/>
  <c r="I636" i="2" s="1"/>
  <c r="H566" i="12"/>
  <c r="C566" i="12" s="1"/>
  <c r="I676" i="2" s="1"/>
  <c r="J676" i="2" s="1"/>
  <c r="H466" i="12"/>
  <c r="C466" i="12" s="1"/>
  <c r="I535" i="2" s="1"/>
  <c r="H541" i="12"/>
  <c r="C541" i="12" s="1"/>
  <c r="I110" i="8" s="1"/>
  <c r="AD667" i="12"/>
  <c r="H201" i="12"/>
  <c r="C201" i="12" s="1"/>
  <c r="I336" i="2" s="1"/>
  <c r="H448" i="12"/>
  <c r="C448" i="12" s="1"/>
  <c r="I621" i="2" s="1"/>
  <c r="Y706" i="12"/>
  <c r="H548" i="12"/>
  <c r="C548" i="12" s="1"/>
  <c r="I630" i="2" s="1"/>
  <c r="H404" i="12"/>
  <c r="C404" i="12" s="1"/>
  <c r="I553" i="2" s="1"/>
  <c r="H425" i="12"/>
  <c r="C425" i="12" s="1"/>
  <c r="I655" i="2" s="1"/>
  <c r="AC686" i="12"/>
  <c r="H444" i="12"/>
  <c r="C444" i="12" s="1"/>
  <c r="I713" i="2" s="1"/>
  <c r="I579" i="2"/>
  <c r="H580" i="12"/>
  <c r="C580" i="12" s="1"/>
  <c r="Y708" i="12"/>
  <c r="H403" i="12"/>
  <c r="C403" i="12" s="1"/>
  <c r="I102" i="8" s="1"/>
  <c r="AD693" i="12"/>
  <c r="I665" i="2"/>
  <c r="J370" i="2"/>
  <c r="H127" i="12"/>
  <c r="C127" i="12" s="1"/>
  <c r="I13" i="8" s="1"/>
  <c r="H205" i="12"/>
  <c r="C205" i="12" s="1"/>
  <c r="I302" i="2" s="1"/>
  <c r="H460" i="12"/>
  <c r="C460" i="12" s="1"/>
  <c r="I107" i="8" s="1"/>
  <c r="H86" i="12"/>
  <c r="C86" i="12" s="1"/>
  <c r="I115" i="2" s="1"/>
  <c r="H310" i="12"/>
  <c r="C310" i="12" s="1"/>
  <c r="I70" i="8" s="1"/>
  <c r="Y682" i="12"/>
  <c r="H124" i="12"/>
  <c r="C124" i="12" s="1"/>
  <c r="I143" i="2" s="1"/>
  <c r="H242" i="12"/>
  <c r="C242" i="12" s="1"/>
  <c r="I348" i="2" s="1"/>
  <c r="E9" i="7"/>
  <c r="E15" i="5"/>
  <c r="E28" i="4"/>
  <c r="J39" i="2"/>
  <c r="AD662" i="12"/>
  <c r="H178" i="12"/>
  <c r="C178" i="12" s="1"/>
  <c r="I274" i="2" s="1"/>
  <c r="AC716" i="12"/>
  <c r="P25" i="3"/>
  <c r="AC665" i="12"/>
  <c r="AC677" i="12"/>
  <c r="AC697" i="12"/>
  <c r="AC705" i="12"/>
  <c r="AC680" i="12"/>
  <c r="AC720" i="12"/>
  <c r="AC672" i="12"/>
  <c r="AC671" i="12"/>
  <c r="I25" i="2"/>
  <c r="H135" i="12"/>
  <c r="C135" i="12" s="1"/>
  <c r="I161" i="2" s="1"/>
  <c r="E115" i="4" s="1"/>
  <c r="H20" i="12"/>
  <c r="C20" i="12" s="1"/>
  <c r="I55" i="2" s="1"/>
  <c r="E12" i="5" s="1"/>
  <c r="AD694" i="12"/>
  <c r="H397" i="12"/>
  <c r="C397" i="12" s="1"/>
  <c r="AC723" i="12"/>
  <c r="H301" i="12"/>
  <c r="C301" i="12" s="1"/>
  <c r="H107" i="12"/>
  <c r="C107" i="12" s="1"/>
  <c r="Y707" i="12"/>
  <c r="H385" i="12"/>
  <c r="C385" i="12" s="1"/>
  <c r="I74" i="8" s="1"/>
  <c r="H468" i="12"/>
  <c r="C468" i="12" s="1"/>
  <c r="I92" i="8" s="1"/>
  <c r="H53" i="12"/>
  <c r="C53" i="12" s="1"/>
  <c r="I42" i="2" s="1"/>
  <c r="E14" i="6" s="1"/>
  <c r="AD712" i="12"/>
  <c r="H317" i="12"/>
  <c r="C317" i="12" s="1"/>
  <c r="AC675" i="12"/>
  <c r="H101" i="12"/>
  <c r="C101" i="12" s="1"/>
  <c r="H180" i="12"/>
  <c r="C180" i="12" s="1"/>
  <c r="I220" i="2" s="1"/>
  <c r="E46" i="6" s="1"/>
  <c r="AD716" i="12"/>
  <c r="Q25" i="3"/>
  <c r="AD723" i="12"/>
  <c r="AD709" i="12"/>
  <c r="AD675" i="12"/>
  <c r="AD677" i="12"/>
  <c r="AD714" i="12"/>
  <c r="AD668" i="12"/>
  <c r="AD659" i="12"/>
  <c r="AD700" i="12"/>
  <c r="AD683" i="12"/>
  <c r="AD691" i="12"/>
  <c r="AD665" i="12"/>
  <c r="AD726" i="12"/>
  <c r="AD681" i="12"/>
  <c r="AD684" i="12"/>
  <c r="AD724" i="12"/>
  <c r="AD705" i="12"/>
  <c r="AD671" i="12"/>
  <c r="AD720" i="12"/>
  <c r="AD697" i="12"/>
  <c r="AD680" i="12"/>
  <c r="AD672" i="12"/>
  <c r="AD699" i="12"/>
  <c r="H154" i="12"/>
  <c r="C154" i="12" s="1"/>
  <c r="I15" i="8" s="1"/>
  <c r="I53" i="2"/>
  <c r="AD725" i="12"/>
  <c r="H129" i="12"/>
  <c r="C129" i="12" s="1"/>
  <c r="I172" i="2" s="1"/>
  <c r="E48" i="5" s="1"/>
  <c r="H25" i="12"/>
  <c r="C25" i="12" s="1"/>
  <c r="I27" i="2" s="1"/>
  <c r="E7" i="6" s="1"/>
  <c r="H46" i="12"/>
  <c r="C46" i="12" s="1"/>
  <c r="H121" i="12"/>
  <c r="C121" i="12" s="1"/>
  <c r="I207" i="2" s="1"/>
  <c r="E55" i="5" s="1"/>
  <c r="AD682" i="12"/>
  <c r="H8" i="12"/>
  <c r="C8" i="12" s="1"/>
  <c r="I9" i="2" s="1"/>
  <c r="AC727" i="12"/>
  <c r="E19" i="5"/>
  <c r="E36" i="4"/>
  <c r="J68" i="2"/>
  <c r="E78" i="6"/>
  <c r="E247" i="4"/>
  <c r="J340" i="2"/>
  <c r="H209" i="12"/>
  <c r="C209" i="12" s="1"/>
  <c r="I303" i="2" s="1"/>
  <c r="H479" i="12"/>
  <c r="C479" i="12" s="1"/>
  <c r="I130" i="8" s="1"/>
  <c r="AD688" i="12"/>
  <c r="Y700" i="12"/>
  <c r="I238" i="2"/>
  <c r="H357" i="12"/>
  <c r="C357" i="12" s="1"/>
  <c r="I55" i="8" s="1"/>
  <c r="H159" i="12"/>
  <c r="C159" i="12" s="1"/>
  <c r="I280" i="2" s="1"/>
  <c r="H382" i="12"/>
  <c r="C382" i="12" s="1"/>
  <c r="I83" i="8" s="1"/>
  <c r="H268" i="12"/>
  <c r="C268" i="12" s="1"/>
  <c r="I299" i="2" s="1"/>
  <c r="H344" i="12"/>
  <c r="C344" i="12" s="1"/>
  <c r="H277" i="12"/>
  <c r="C277" i="12" s="1"/>
  <c r="I431" i="2" s="1"/>
  <c r="H533" i="12"/>
  <c r="C533" i="12" s="1"/>
  <c r="I102" i="2"/>
  <c r="H290" i="12"/>
  <c r="C290" i="12" s="1"/>
  <c r="I339" i="2" s="1"/>
  <c r="H260" i="12"/>
  <c r="C260" i="12" s="1"/>
  <c r="I393" i="2" s="1"/>
  <c r="E100" i="5" s="1"/>
  <c r="H582" i="12"/>
  <c r="C582" i="12" s="1"/>
  <c r="I177" i="8" s="1"/>
  <c r="H341" i="12"/>
  <c r="C341" i="12" s="1"/>
  <c r="I372" i="2" s="1"/>
  <c r="H579" i="12"/>
  <c r="C579" i="12" s="1"/>
  <c r="I147" i="8" s="1"/>
  <c r="H142" i="12"/>
  <c r="C142" i="12" s="1"/>
  <c r="H115" i="12"/>
  <c r="C115" i="12" s="1"/>
  <c r="I158" i="2" s="1"/>
  <c r="H102" i="12"/>
  <c r="C102" i="12" s="1"/>
  <c r="I133" i="2" s="1"/>
  <c r="H562" i="12"/>
  <c r="C562" i="12" s="1"/>
  <c r="H345" i="12"/>
  <c r="C345" i="12" s="1"/>
  <c r="I533" i="2" s="1"/>
  <c r="Y658" i="12"/>
  <c r="H337" i="12"/>
  <c r="C337" i="12" s="1"/>
  <c r="I408" i="2" s="1"/>
  <c r="H100" i="12"/>
  <c r="C100" i="12" s="1"/>
  <c r="I100" i="2" s="1"/>
  <c r="H519" i="12"/>
  <c r="C519" i="12" s="1"/>
  <c r="I167" i="8" s="1"/>
  <c r="H251" i="12"/>
  <c r="C251" i="12" s="1"/>
  <c r="I321" i="2" s="1"/>
  <c r="H517" i="12"/>
  <c r="C517" i="12" s="1"/>
  <c r="AC681" i="12"/>
  <c r="H628" i="12"/>
  <c r="C628" i="12" s="1"/>
  <c r="I722" i="2" s="1"/>
  <c r="E207" i="5" s="1"/>
  <c r="H542" i="12"/>
  <c r="C542" i="12" s="1"/>
  <c r="I591" i="2" s="1"/>
  <c r="E347" i="4" s="1"/>
  <c r="I477" i="2"/>
  <c r="I489" i="2"/>
  <c r="H352" i="12"/>
  <c r="C352" i="12" s="1"/>
  <c r="I547" i="2" s="1"/>
  <c r="H572" i="12"/>
  <c r="C572" i="12" s="1"/>
  <c r="I719" i="2" s="1"/>
  <c r="H611" i="12"/>
  <c r="C611" i="12" s="1"/>
  <c r="I647" i="2" s="1"/>
  <c r="H536" i="12"/>
  <c r="C536" i="12" s="1"/>
  <c r="I707" i="2" s="1"/>
  <c r="I310" i="2"/>
  <c r="Y713" i="12"/>
  <c r="E152" i="5"/>
  <c r="E313" i="4"/>
  <c r="J627" i="2"/>
  <c r="H453" i="12"/>
  <c r="C453" i="12" s="1"/>
  <c r="H329" i="12"/>
  <c r="C329" i="12" s="1"/>
  <c r="I445" i="2" s="1"/>
  <c r="E62" i="7" s="1"/>
  <c r="H416" i="12"/>
  <c r="C416" i="12" s="1"/>
  <c r="I556" i="2" s="1"/>
  <c r="H446" i="12"/>
  <c r="C446" i="12" s="1"/>
  <c r="I633" i="2" s="1"/>
  <c r="H423" i="12"/>
  <c r="C423" i="12" s="1"/>
  <c r="I604" i="2" s="1"/>
  <c r="Y701" i="12"/>
  <c r="H500" i="12"/>
  <c r="C500" i="12" s="1"/>
  <c r="I618" i="2" s="1"/>
  <c r="Y726" i="12"/>
  <c r="H555" i="12"/>
  <c r="C555" i="12" s="1"/>
  <c r="I680" i="2" s="1"/>
  <c r="E371" i="4" s="1"/>
  <c r="H600" i="12"/>
  <c r="C600" i="12" s="1"/>
  <c r="H588" i="12"/>
  <c r="C588" i="12" s="1"/>
  <c r="I711" i="2" s="1"/>
  <c r="AD673" i="12"/>
  <c r="AD728" i="12"/>
  <c r="AD686" i="12"/>
  <c r="H512" i="12"/>
  <c r="C512" i="12" s="1"/>
  <c r="I696" i="2" s="1"/>
  <c r="E186" i="5" s="1"/>
  <c r="H218" i="12"/>
  <c r="C218" i="12" s="1"/>
  <c r="I462" i="2" s="1"/>
  <c r="I324" i="2"/>
  <c r="H615" i="12"/>
  <c r="C615" i="12" s="1"/>
  <c r="H350" i="12"/>
  <c r="C350" i="12" s="1"/>
  <c r="I588" i="2" s="1"/>
  <c r="AC693" i="12"/>
  <c r="H544" i="12"/>
  <c r="C544" i="12" s="1"/>
  <c r="I524" i="2"/>
  <c r="E3" i="6"/>
  <c r="E6" i="4"/>
  <c r="F6" i="3"/>
  <c r="J7" i="2"/>
  <c r="AC690" i="12"/>
  <c r="AC698" i="12"/>
  <c r="AC709" i="12"/>
  <c r="H454" i="12"/>
  <c r="C454" i="12" s="1"/>
  <c r="I540" i="2" s="1"/>
  <c r="H504" i="12"/>
  <c r="C504" i="12" s="1"/>
  <c r="I139" i="8" s="1"/>
  <c r="H323" i="12"/>
  <c r="C323" i="12" s="1"/>
  <c r="I57" i="8" s="1"/>
  <c r="H67" i="12"/>
  <c r="C67" i="12" s="1"/>
  <c r="I32" i="2" s="1"/>
  <c r="H269" i="12"/>
  <c r="C269" i="12" s="1"/>
  <c r="I42" i="8" s="1"/>
  <c r="H239" i="12"/>
  <c r="C239" i="12" s="1"/>
  <c r="H619" i="12"/>
  <c r="C619" i="12" s="1"/>
  <c r="H111" i="12"/>
  <c r="C111" i="12" s="1"/>
  <c r="I97" i="2" s="1"/>
  <c r="I124" i="2"/>
  <c r="H17" i="12"/>
  <c r="C17" i="12" s="1"/>
  <c r="I36" i="2" s="1"/>
  <c r="H10" i="12"/>
  <c r="C10" i="12" s="1"/>
  <c r="I11" i="2" s="1"/>
  <c r="H105" i="12"/>
  <c r="C105" i="12" s="1"/>
  <c r="I215" i="2"/>
  <c r="AD721" i="12"/>
  <c r="Y679" i="12"/>
  <c r="H296" i="12"/>
  <c r="C296" i="12" s="1"/>
  <c r="I51" i="8" s="1"/>
  <c r="I194" i="2"/>
  <c r="H123" i="12"/>
  <c r="C123" i="12" s="1"/>
  <c r="I147" i="2" s="1"/>
  <c r="H73" i="12"/>
  <c r="C73" i="12" s="1"/>
  <c r="I114" i="2" s="1"/>
  <c r="H30" i="12"/>
  <c r="C30" i="12" s="1"/>
  <c r="I59" i="2" s="1"/>
  <c r="H56" i="12"/>
  <c r="C56" i="12" s="1"/>
  <c r="I61" i="2" s="1"/>
  <c r="H200" i="12"/>
  <c r="C200" i="12" s="1"/>
  <c r="I209" i="2" s="1"/>
  <c r="E42" i="6" s="1"/>
  <c r="H383" i="12"/>
  <c r="C383" i="12" s="1"/>
  <c r="I87" i="8" s="1"/>
  <c r="H161" i="12"/>
  <c r="C161" i="12" s="1"/>
  <c r="I382" i="2" s="1"/>
  <c r="AC702" i="12"/>
  <c r="H3" i="12"/>
  <c r="C3" i="12" s="1"/>
  <c r="I3" i="2" s="1"/>
  <c r="E4" i="5" s="1"/>
  <c r="H23" i="12"/>
  <c r="C23" i="12" s="1"/>
  <c r="I35" i="2" s="1"/>
  <c r="I66" i="2"/>
  <c r="H237" i="12"/>
  <c r="C237" i="12" s="1"/>
  <c r="I210" i="2" s="1"/>
  <c r="E37" i="7" s="1"/>
  <c r="H458" i="12"/>
  <c r="C458" i="12" s="1"/>
  <c r="Q28" i="3"/>
  <c r="P28" i="3"/>
  <c r="AC725" i="12"/>
  <c r="H252" i="12"/>
  <c r="C252" i="12" s="1"/>
  <c r="I261" i="2" s="1"/>
  <c r="H327" i="12"/>
  <c r="C327" i="12" s="1"/>
  <c r="I337" i="2" s="1"/>
  <c r="H50" i="12"/>
  <c r="C50" i="12" s="1"/>
  <c r="I91" i="2"/>
  <c r="H244" i="12"/>
  <c r="C244" i="12" s="1"/>
  <c r="I405" i="2" s="1"/>
  <c r="H114" i="12"/>
  <c r="C114" i="12" s="1"/>
  <c r="I127" i="2" s="1"/>
  <c r="AD660" i="12"/>
  <c r="AC658" i="12"/>
  <c r="H241" i="12"/>
  <c r="C241" i="12" s="1"/>
  <c r="H537" i="12"/>
  <c r="C537" i="12" s="1"/>
  <c r="I154" i="8" s="1"/>
  <c r="H14" i="12"/>
  <c r="C14" i="12" s="1"/>
  <c r="I33" i="2" s="1"/>
  <c r="J33" i="2" s="1"/>
  <c r="H59" i="12"/>
  <c r="C59" i="12" s="1"/>
  <c r="I78" i="2" s="1"/>
  <c r="E23" i="6" s="1"/>
  <c r="H26" i="12"/>
  <c r="C26" i="12" s="1"/>
  <c r="H122" i="12"/>
  <c r="C122" i="12" s="1"/>
  <c r="I168" i="2" s="1"/>
  <c r="AD727" i="12"/>
  <c r="H455" i="12"/>
  <c r="C455" i="12" s="1"/>
  <c r="H197" i="12"/>
  <c r="C197" i="12" s="1"/>
  <c r="I291" i="2" s="1"/>
  <c r="I201" i="2"/>
  <c r="AD703" i="12"/>
  <c r="H144" i="12"/>
  <c r="C144" i="12" s="1"/>
  <c r="I217" i="2" s="1"/>
  <c r="E45" i="6" s="1"/>
  <c r="H353" i="12"/>
  <c r="C353" i="12" s="1"/>
  <c r="I485" i="2" s="1"/>
  <c r="E87" i="6" s="1"/>
  <c r="H147" i="12"/>
  <c r="C147" i="12" s="1"/>
  <c r="I252" i="2" s="1"/>
  <c r="E128" i="4" s="1"/>
  <c r="H208" i="12"/>
  <c r="C208" i="12" s="1"/>
  <c r="I327" i="2" s="1"/>
  <c r="H262" i="12"/>
  <c r="C262" i="12" s="1"/>
  <c r="I427" i="2" s="1"/>
  <c r="E103" i="5" s="1"/>
  <c r="H267" i="12"/>
  <c r="C267" i="12" s="1"/>
  <c r="I330" i="2" s="1"/>
  <c r="H250" i="12"/>
  <c r="C250" i="12" s="1"/>
  <c r="I284" i="2" s="1"/>
  <c r="H334" i="12"/>
  <c r="C334" i="12" s="1"/>
  <c r="I537" i="2" s="1"/>
  <c r="H392" i="12"/>
  <c r="C392" i="12" s="1"/>
  <c r="I497" i="2" s="1"/>
  <c r="E93" i="6" s="1"/>
  <c r="H248" i="12"/>
  <c r="C248" i="12" s="1"/>
  <c r="I347" i="2" s="1"/>
  <c r="H342" i="12"/>
  <c r="C342" i="12" s="1"/>
  <c r="I460" i="2" s="1"/>
  <c r="E286" i="4" s="1"/>
  <c r="H309" i="12"/>
  <c r="C309" i="12" s="1"/>
  <c r="H493" i="12"/>
  <c r="C493" i="12" s="1"/>
  <c r="H265" i="12"/>
  <c r="C265" i="12" s="1"/>
  <c r="I452" i="2" s="1"/>
  <c r="E112" i="5" s="1"/>
  <c r="I44" i="2"/>
  <c r="H338" i="12"/>
  <c r="C338" i="12" s="1"/>
  <c r="I388" i="2" s="1"/>
  <c r="H647" i="12"/>
  <c r="C647" i="12" s="1"/>
  <c r="H4" i="12"/>
  <c r="C4" i="12" s="1"/>
  <c r="I4" i="2" s="1"/>
  <c r="E5" i="5" s="1"/>
  <c r="Y674" i="12"/>
  <c r="C674" i="12" s="1"/>
  <c r="Y656" i="12"/>
  <c r="H207" i="12"/>
  <c r="C207" i="12" s="1"/>
  <c r="I322" i="2" s="1"/>
  <c r="H326" i="12"/>
  <c r="C326" i="12" s="1"/>
  <c r="H575" i="12"/>
  <c r="C575" i="12" s="1"/>
  <c r="I168" i="8" s="1"/>
  <c r="H505" i="12"/>
  <c r="C505" i="12" s="1"/>
  <c r="I157" i="8" s="1"/>
  <c r="E95" i="6"/>
  <c r="E70" i="7"/>
  <c r="E302" i="4"/>
  <c r="J533" i="2"/>
  <c r="Y675" i="12"/>
  <c r="H221" i="12"/>
  <c r="C221" i="12" s="1"/>
  <c r="I222" i="2" s="1"/>
  <c r="E47" i="6" s="1"/>
  <c r="H130" i="12"/>
  <c r="C130" i="12" s="1"/>
  <c r="I19" i="8" s="1"/>
  <c r="E58" i="7"/>
  <c r="E252" i="4"/>
  <c r="J391" i="2"/>
  <c r="Y657" i="12"/>
  <c r="C657" i="12" s="1"/>
  <c r="I53" i="9" s="1"/>
  <c r="H410" i="12"/>
  <c r="C410" i="12" s="1"/>
  <c r="I632" i="2" s="1"/>
  <c r="H426" i="12"/>
  <c r="C426" i="12" s="1"/>
  <c r="I513" i="2" s="1"/>
  <c r="I580" i="2"/>
  <c r="H653" i="12"/>
  <c r="C653" i="12" s="1"/>
  <c r="H612" i="12"/>
  <c r="C612" i="12" s="1"/>
  <c r="I720" i="2" s="1"/>
  <c r="AC706" i="12"/>
  <c r="I440" i="2"/>
  <c r="H492" i="12"/>
  <c r="C492" i="12" s="1"/>
  <c r="I516" i="2" s="1"/>
  <c r="J516" i="2" s="1"/>
  <c r="E102" i="6"/>
  <c r="E343" i="4"/>
  <c r="J582" i="2"/>
  <c r="H516" i="12"/>
  <c r="C516" i="12" s="1"/>
  <c r="I694" i="2" s="1"/>
  <c r="E185" i="5" s="1"/>
  <c r="H333" i="12"/>
  <c r="C333" i="12" s="1"/>
  <c r="I567" i="2" s="1"/>
  <c r="E135" i="5" s="1"/>
  <c r="H289" i="12"/>
  <c r="C289" i="12" s="1"/>
  <c r="I373" i="2" s="1"/>
  <c r="E244" i="4" s="1"/>
  <c r="AC678" i="12"/>
  <c r="AC666" i="12"/>
  <c r="H510" i="12"/>
  <c r="C510" i="12" s="1"/>
  <c r="Y667" i="12"/>
  <c r="H525" i="12"/>
  <c r="C525" i="12" s="1"/>
  <c r="H642" i="12"/>
  <c r="C642" i="12" s="1"/>
  <c r="I674" i="2" s="1"/>
  <c r="Y699" i="12"/>
  <c r="H557" i="12"/>
  <c r="C557" i="12" s="1"/>
  <c r="I705" i="2" s="1"/>
  <c r="J705" i="2" s="1"/>
  <c r="AC673" i="12"/>
  <c r="H373" i="12"/>
  <c r="C373" i="12" s="1"/>
  <c r="I616" i="2" s="1"/>
  <c r="E112" i="6" s="1"/>
  <c r="H311" i="12"/>
  <c r="C311" i="12" s="1"/>
  <c r="I480" i="2" s="1"/>
  <c r="E115" i="5" s="1"/>
  <c r="H467" i="12"/>
  <c r="C467" i="12" s="1"/>
  <c r="I641" i="2" s="1"/>
  <c r="E338" i="4" s="1"/>
  <c r="AC708" i="12"/>
  <c r="H441" i="12"/>
  <c r="C441" i="12" s="1"/>
  <c r="H489" i="12"/>
  <c r="C489" i="12" s="1"/>
  <c r="I546" i="2" s="1"/>
  <c r="H471" i="12"/>
  <c r="C471" i="12" s="1"/>
  <c r="I612" i="2" s="1"/>
  <c r="I690" i="2"/>
  <c r="H643" i="12"/>
  <c r="C643" i="12" s="1"/>
  <c r="H498" i="12"/>
  <c r="C498" i="12" s="1"/>
  <c r="I592" i="2" s="1"/>
  <c r="H112" i="12"/>
  <c r="C112" i="12" s="1"/>
  <c r="I141" i="2" s="1"/>
  <c r="E35" i="6" s="1"/>
  <c r="H193" i="12"/>
  <c r="C193" i="12" s="1"/>
  <c r="I258" i="2" s="1"/>
  <c r="H166" i="12"/>
  <c r="C166" i="12" s="1"/>
  <c r="I189" i="2" s="1"/>
  <c r="E34" i="7" s="1"/>
  <c r="H531" i="12"/>
  <c r="C531" i="12" s="1"/>
  <c r="H125" i="12"/>
  <c r="C125" i="12" s="1"/>
  <c r="I182" i="2" s="1"/>
  <c r="H574" i="12"/>
  <c r="C574" i="12" s="1"/>
  <c r="I173" i="8" s="1"/>
  <c r="E6" i="7"/>
  <c r="H87" i="12"/>
  <c r="C87" i="12" s="1"/>
  <c r="I164" i="2" s="1"/>
  <c r="AC687" i="12"/>
  <c r="AD690" i="12"/>
  <c r="H104" i="12"/>
  <c r="C104" i="12" s="1"/>
  <c r="I200" i="2" s="1"/>
  <c r="H16" i="12"/>
  <c r="C16" i="12" s="1"/>
  <c r="I21" i="2" s="1"/>
  <c r="I358" i="2"/>
  <c r="H72" i="12"/>
  <c r="C72" i="12" s="1"/>
  <c r="I71" i="2" s="1"/>
  <c r="AC712" i="12"/>
  <c r="H71" i="12"/>
  <c r="C71" i="12" s="1"/>
  <c r="I76" i="2" s="1"/>
  <c r="AC721" i="12"/>
  <c r="H119" i="12"/>
  <c r="C119" i="12" s="1"/>
  <c r="I187" i="2" s="1"/>
  <c r="AC659" i="12"/>
  <c r="AC679" i="12"/>
  <c r="Y665" i="12"/>
  <c r="C665" i="12" s="1"/>
  <c r="AD702" i="12"/>
  <c r="H37" i="12"/>
  <c r="C37" i="12" s="1"/>
  <c r="I52" i="2" s="1"/>
  <c r="E12" i="7"/>
  <c r="E47" i="4"/>
  <c r="J57" i="2"/>
  <c r="H7" i="12"/>
  <c r="C7" i="12" s="1"/>
  <c r="I8" i="2" s="1"/>
  <c r="E10" i="4" s="1"/>
  <c r="I28" i="2"/>
  <c r="H140" i="12"/>
  <c r="C140" i="12" s="1"/>
  <c r="I154" i="2" s="1"/>
  <c r="H42" i="12"/>
  <c r="C42" i="12" s="1"/>
  <c r="I87" i="2"/>
  <c r="H213" i="12"/>
  <c r="C213" i="12" s="1"/>
  <c r="I305" i="2" s="1"/>
  <c r="E78" i="5" s="1"/>
  <c r="H261" i="12"/>
  <c r="C261" i="12" s="1"/>
  <c r="I270" i="2" s="1"/>
  <c r="I96" i="2"/>
  <c r="AD658" i="12"/>
  <c r="H58" i="12"/>
  <c r="C58" i="12" s="1"/>
  <c r="I128" i="2" s="1"/>
  <c r="H169" i="12"/>
  <c r="C169" i="12" s="1"/>
  <c r="I32" i="8" s="1"/>
  <c r="Y660" i="12"/>
  <c r="H183" i="12"/>
  <c r="C183" i="12" s="1"/>
  <c r="I286" i="2" s="1"/>
  <c r="E76" i="5" s="1"/>
  <c r="H182" i="12"/>
  <c r="C182" i="12" s="1"/>
  <c r="I36" i="8" s="1"/>
  <c r="H109" i="12"/>
  <c r="C109" i="12" s="1"/>
  <c r="I231" i="2" s="1"/>
  <c r="H32" i="12"/>
  <c r="C32" i="12" s="1"/>
  <c r="I77" i="2" s="1"/>
  <c r="H78" i="12"/>
  <c r="C78" i="12" s="1"/>
  <c r="I88" i="2" s="1"/>
  <c r="I155" i="2"/>
  <c r="H223" i="12"/>
  <c r="C223" i="12" s="1"/>
  <c r="E55" i="7"/>
  <c r="J373" i="2"/>
  <c r="H79" i="12"/>
  <c r="C79" i="12" s="1"/>
  <c r="I122" i="2" s="1"/>
  <c r="Y690" i="12"/>
  <c r="AC703" i="12"/>
  <c r="AC660" i="12"/>
  <c r="E65" i="5"/>
  <c r="E131" i="4"/>
  <c r="J257" i="2"/>
  <c r="H622" i="12"/>
  <c r="C622" i="12" s="1"/>
  <c r="H589" i="12"/>
  <c r="C589" i="12" s="1"/>
  <c r="I176" i="8" s="1"/>
  <c r="E3" i="7"/>
  <c r="E8" i="4"/>
  <c r="F10" i="3"/>
  <c r="J5" i="2"/>
  <c r="H83" i="12"/>
  <c r="C83" i="12" s="1"/>
  <c r="I112" i="2" s="1"/>
  <c r="Y718" i="12"/>
  <c r="C718" i="12" s="1"/>
  <c r="H110" i="12"/>
  <c r="C110" i="12" s="1"/>
  <c r="I159" i="2" s="1"/>
  <c r="E27" i="7" s="1"/>
  <c r="H270" i="12"/>
  <c r="C270" i="12" s="1"/>
  <c r="I458" i="2" s="1"/>
  <c r="H597" i="12"/>
  <c r="C597" i="12" s="1"/>
  <c r="I199" i="8" s="1"/>
  <c r="H232" i="12"/>
  <c r="C232" i="12" s="1"/>
  <c r="I416" i="2" s="1"/>
  <c r="E101" i="5" s="1"/>
  <c r="Y725" i="12"/>
  <c r="H227" i="12"/>
  <c r="C227" i="12" s="1"/>
  <c r="I379" i="2" s="1"/>
  <c r="AD707" i="12"/>
  <c r="Y666" i="12"/>
  <c r="H198" i="12"/>
  <c r="C198" i="12" s="1"/>
  <c r="I229" i="2" s="1"/>
  <c r="H627" i="12"/>
  <c r="C627" i="12" s="1"/>
  <c r="I564" i="2"/>
  <c r="H372" i="12"/>
  <c r="C372" i="12" s="1"/>
  <c r="I623" i="2" s="1"/>
  <c r="H518" i="12"/>
  <c r="C518" i="12" s="1"/>
  <c r="I700" i="2" s="1"/>
  <c r="H339" i="12"/>
  <c r="C339" i="12" s="1"/>
  <c r="I517" i="2" s="1"/>
  <c r="AC664" i="12"/>
  <c r="H558" i="12"/>
  <c r="C558" i="12" s="1"/>
  <c r="I335" i="2"/>
  <c r="H384" i="12"/>
  <c r="C384" i="12" s="1"/>
  <c r="I605" i="2" s="1"/>
  <c r="AD710" i="12"/>
  <c r="H552" i="12"/>
  <c r="C552" i="12" s="1"/>
  <c r="I664" i="2" s="1"/>
  <c r="E121" i="6" s="1"/>
  <c r="AD706" i="12"/>
  <c r="H565" i="12"/>
  <c r="C565" i="12" s="1"/>
  <c r="AD663" i="12"/>
  <c r="AD678" i="12"/>
  <c r="H462" i="12"/>
  <c r="C462" i="12" s="1"/>
  <c r="I539" i="2" s="1"/>
  <c r="AD666" i="12"/>
  <c r="Y685" i="12"/>
  <c r="H638" i="12"/>
  <c r="C638" i="12" s="1"/>
  <c r="I692" i="2" s="1"/>
  <c r="E128" i="6" s="1"/>
  <c r="H618" i="12"/>
  <c r="C618" i="12" s="1"/>
  <c r="E60" i="7"/>
  <c r="E271" i="4"/>
  <c r="J426" i="2"/>
  <c r="I628" i="2"/>
  <c r="H364" i="12"/>
  <c r="C364" i="12" s="1"/>
  <c r="I542" i="2" s="1"/>
  <c r="H459" i="12"/>
  <c r="C459" i="12" s="1"/>
  <c r="I560" i="2" s="1"/>
  <c r="H427" i="12"/>
  <c r="C427" i="12" s="1"/>
  <c r="I661" i="2" s="1"/>
  <c r="E120" i="6" s="1"/>
  <c r="H584" i="12"/>
  <c r="C584" i="12" s="1"/>
  <c r="I704" i="2" s="1"/>
  <c r="J704" i="2" s="1"/>
  <c r="H617" i="12"/>
  <c r="C617" i="12" s="1"/>
  <c r="I726" i="2" s="1"/>
  <c r="E211" i="5" s="1"/>
  <c r="H263" i="12"/>
  <c r="C263" i="12" s="1"/>
  <c r="I50" i="8" s="1"/>
  <c r="H292" i="12"/>
  <c r="C292" i="12" s="1"/>
  <c r="I367" i="2" s="1"/>
  <c r="AC728" i="12"/>
  <c r="H417" i="12"/>
  <c r="C417" i="12" s="1"/>
  <c r="I609" i="2" s="1"/>
  <c r="AD708" i="12"/>
  <c r="Y669" i="12"/>
  <c r="C669" i="12" s="1"/>
  <c r="I47" i="9" s="1"/>
  <c r="H634" i="12"/>
  <c r="C634" i="12" s="1"/>
  <c r="I681" i="2" s="1"/>
  <c r="I597" i="2"/>
  <c r="I687" i="2"/>
  <c r="I587" i="2"/>
  <c r="H496" i="12"/>
  <c r="C496" i="12" s="1"/>
  <c r="H5" i="12"/>
  <c r="C5" i="12" s="1"/>
  <c r="I6" i="2" s="1"/>
  <c r="E89" i="5"/>
  <c r="E181" i="4"/>
  <c r="J341" i="2"/>
  <c r="AC696" i="12"/>
  <c r="H212" i="12"/>
  <c r="C212" i="12" s="1"/>
  <c r="I38" i="8" s="1"/>
  <c r="H560" i="12"/>
  <c r="C560" i="12" s="1"/>
  <c r="I152" i="8" s="1"/>
  <c r="H64" i="12"/>
  <c r="C64" i="12" s="1"/>
  <c r="I101" i="2" s="1"/>
  <c r="E31" i="5" s="1"/>
  <c r="H131" i="12"/>
  <c r="C131" i="12" s="1"/>
  <c r="I224" i="2" s="1"/>
  <c r="I246" i="2"/>
  <c r="H128" i="12"/>
  <c r="C128" i="12" s="1"/>
  <c r="I195" i="2" s="1"/>
  <c r="H231" i="12"/>
  <c r="C231" i="12" s="1"/>
  <c r="I282" i="2" s="1"/>
  <c r="J282" i="2" s="1"/>
  <c r="E35" i="7"/>
  <c r="E137" i="4"/>
  <c r="J197" i="2"/>
  <c r="H70" i="12"/>
  <c r="C70" i="12" s="1"/>
  <c r="I145" i="2" s="1"/>
  <c r="H34" i="12"/>
  <c r="C34" i="12" s="1"/>
  <c r="I41" i="2" s="1"/>
  <c r="E13" i="6" s="1"/>
  <c r="H54" i="12"/>
  <c r="C54" i="12" s="1"/>
  <c r="I60" i="2" s="1"/>
  <c r="H340" i="12"/>
  <c r="C340" i="12" s="1"/>
  <c r="AC691" i="12"/>
  <c r="H330" i="12"/>
  <c r="C330" i="12" s="1"/>
  <c r="I506" i="2" s="1"/>
  <c r="J506" i="2" s="1"/>
  <c r="H476" i="12"/>
  <c r="C476" i="12" s="1"/>
  <c r="H294" i="12"/>
  <c r="C294" i="12" s="1"/>
  <c r="I56" i="8" s="1"/>
  <c r="I136" i="2"/>
  <c r="H152" i="12"/>
  <c r="C152" i="12" s="1"/>
  <c r="I211" i="2" s="1"/>
  <c r="H316" i="12"/>
  <c r="C316" i="12" s="1"/>
  <c r="AD661" i="12"/>
  <c r="I376" i="2"/>
  <c r="H568" i="12"/>
  <c r="C568" i="12" s="1"/>
  <c r="AD692" i="12"/>
  <c r="H278" i="12"/>
  <c r="C278" i="12" s="1"/>
  <c r="I354" i="2" s="1"/>
  <c r="E73" i="6" s="1"/>
  <c r="H304" i="12"/>
  <c r="C304" i="12" s="1"/>
  <c r="I346" i="2" s="1"/>
  <c r="H120" i="12"/>
  <c r="C120" i="12" s="1"/>
  <c r="I190" i="2" s="1"/>
  <c r="I296" i="2"/>
  <c r="I422" i="2"/>
  <c r="AC683" i="12"/>
  <c r="H396" i="12"/>
  <c r="C396" i="12" s="1"/>
  <c r="I171" i="8" s="1"/>
  <c r="I467" i="2"/>
  <c r="Y702" i="12"/>
  <c r="E61" i="6"/>
  <c r="H215" i="12"/>
  <c r="C215" i="12" s="1"/>
  <c r="I240" i="2" s="1"/>
  <c r="J240" i="2" s="1"/>
  <c r="H148" i="12"/>
  <c r="C148" i="12" s="1"/>
  <c r="I206" i="2" s="1"/>
  <c r="E157" i="4" s="1"/>
  <c r="H356" i="12"/>
  <c r="C356" i="12" s="1"/>
  <c r="H413" i="12"/>
  <c r="C413" i="12" s="1"/>
  <c r="E49" i="7"/>
  <c r="E225" i="4"/>
  <c r="J304" i="2"/>
  <c r="H390" i="12"/>
  <c r="C390" i="12" s="1"/>
  <c r="I484" i="2"/>
  <c r="H509" i="12"/>
  <c r="C509" i="12" s="1"/>
  <c r="H167" i="12"/>
  <c r="C167" i="12" s="1"/>
  <c r="I279" i="2" s="1"/>
  <c r="I45" i="2"/>
  <c r="AC724" i="12"/>
  <c r="H631" i="12"/>
  <c r="C631" i="12" s="1"/>
  <c r="I169" i="8" s="1"/>
  <c r="I459" i="2"/>
  <c r="H590" i="12"/>
  <c r="C590" i="12" s="1"/>
  <c r="H637" i="12"/>
  <c r="C637" i="12" s="1"/>
  <c r="I222" i="8" s="1"/>
  <c r="I586" i="2"/>
  <c r="E11" i="5"/>
  <c r="E19" i="4"/>
  <c r="J43" i="2"/>
  <c r="Y662" i="12"/>
  <c r="H280" i="12"/>
  <c r="C280" i="12" s="1"/>
  <c r="I469" i="2" s="1"/>
  <c r="Y696" i="12"/>
  <c r="I95" i="2"/>
  <c r="E19" i="7"/>
  <c r="E78" i="4"/>
  <c r="J86" i="2"/>
  <c r="H139" i="12"/>
  <c r="C139" i="12" s="1"/>
  <c r="I266" i="2" s="1"/>
  <c r="H253" i="12"/>
  <c r="C253" i="12" s="1"/>
  <c r="I436" i="2" s="1"/>
  <c r="H463" i="12"/>
  <c r="C463" i="12" s="1"/>
  <c r="AD656" i="12"/>
  <c r="AC707" i="12"/>
  <c r="H150" i="12"/>
  <c r="C150" i="12" s="1"/>
  <c r="I170" i="2" s="1"/>
  <c r="E39" i="6" s="1"/>
  <c r="H94" i="12"/>
  <c r="C94" i="12" s="1"/>
  <c r="I275" i="2" s="1"/>
  <c r="E67" i="5" s="1"/>
  <c r="H368" i="12"/>
  <c r="C368" i="12" s="1"/>
  <c r="I106" i="8" s="1"/>
  <c r="H573" i="12"/>
  <c r="C573" i="12" s="1"/>
  <c r="H281" i="12"/>
  <c r="C281" i="12" s="1"/>
  <c r="I319" i="2" s="1"/>
  <c r="E64" i="6" s="1"/>
  <c r="I457" i="2"/>
  <c r="H535" i="12"/>
  <c r="C535" i="12" s="1"/>
  <c r="E122" i="5"/>
  <c r="E255" i="4"/>
  <c r="J504" i="2"/>
  <c r="E97" i="6"/>
  <c r="E315" i="4"/>
  <c r="J557" i="2"/>
  <c r="E106" i="6"/>
  <c r="E352" i="4"/>
  <c r="J599" i="2"/>
  <c r="H641" i="12"/>
  <c r="C641" i="12" s="1"/>
  <c r="H170" i="12"/>
  <c r="C170" i="12" s="1"/>
  <c r="I236" i="2" s="1"/>
  <c r="E49" i="6" s="1"/>
  <c r="H204" i="12"/>
  <c r="C204" i="12" s="1"/>
  <c r="I208" i="2" s="1"/>
  <c r="AC685" i="12"/>
  <c r="H378" i="12"/>
  <c r="C378" i="12" s="1"/>
  <c r="I561" i="2" s="1"/>
  <c r="H369" i="12"/>
  <c r="C369" i="12" s="1"/>
  <c r="I672" i="2" s="1"/>
  <c r="J672" i="2" s="1"/>
  <c r="I675" i="2"/>
  <c r="E79" i="7"/>
  <c r="E333" i="4"/>
  <c r="J530" i="2"/>
  <c r="H320" i="12"/>
  <c r="C320" i="12" s="1"/>
  <c r="I545" i="2" s="1"/>
  <c r="E125" i="5" s="1"/>
  <c r="Y717" i="12"/>
  <c r="C717" i="12" s="1"/>
  <c r="AC710" i="12"/>
  <c r="H649" i="12"/>
  <c r="C649" i="12" s="1"/>
  <c r="H189" i="12"/>
  <c r="C189" i="12" s="1"/>
  <c r="I287" i="2" s="1"/>
  <c r="J287" i="2" s="1"/>
  <c r="H225" i="12"/>
  <c r="C225" i="12" s="1"/>
  <c r="I490" i="2" s="1"/>
  <c r="I558" i="2"/>
  <c r="H635" i="12"/>
  <c r="C635" i="12" s="1"/>
  <c r="H477" i="12"/>
  <c r="C477" i="12" s="1"/>
  <c r="I662" i="2" s="1"/>
  <c r="Y715" i="12"/>
  <c r="C715" i="12" s="1"/>
  <c r="H391" i="12"/>
  <c r="C391" i="12" s="1"/>
  <c r="I651" i="2" s="1"/>
  <c r="H528" i="12"/>
  <c r="C528" i="12" s="1"/>
  <c r="H336" i="12"/>
  <c r="C336" i="12" s="1"/>
  <c r="I434" i="2" s="1"/>
  <c r="E81" i="6" s="1"/>
  <c r="H547" i="12"/>
  <c r="C547" i="12" s="1"/>
  <c r="I650" i="2" s="1"/>
  <c r="Y681" i="12"/>
  <c r="H472" i="12"/>
  <c r="C472" i="12" s="1"/>
  <c r="I685" i="2" s="1"/>
  <c r="J685" i="2" s="1"/>
  <c r="H393" i="12"/>
  <c r="C393" i="12" s="1"/>
  <c r="I600" i="2" s="1"/>
  <c r="E143" i="5" s="1"/>
  <c r="AC722" i="12"/>
  <c r="H569" i="12"/>
  <c r="C569" i="12" s="1"/>
  <c r="I644" i="2" s="1"/>
  <c r="E91" i="7" s="1"/>
  <c r="I268" i="2"/>
  <c r="I494" i="2"/>
  <c r="H411" i="12"/>
  <c r="C411" i="12" s="1"/>
  <c r="I508" i="2" s="1"/>
  <c r="H616" i="12"/>
  <c r="C616" i="12" s="1"/>
  <c r="AD664" i="12"/>
  <c r="H559" i="12"/>
  <c r="C559" i="12" s="1"/>
  <c r="I357" i="2"/>
  <c r="I528" i="2"/>
  <c r="I527" i="2"/>
  <c r="H632" i="12"/>
  <c r="C632" i="12" s="1"/>
  <c r="I703" i="2" s="1"/>
  <c r="H465" i="12"/>
  <c r="C465" i="12" s="1"/>
  <c r="I702" i="2" s="1"/>
  <c r="E192" i="5" s="1"/>
  <c r="I679" i="2"/>
  <c r="I688" i="2"/>
  <c r="E92" i="5" l="1"/>
  <c r="E212" i="4"/>
  <c r="J427" i="2"/>
  <c r="E20" i="6"/>
  <c r="E275" i="4"/>
  <c r="E273" i="4"/>
  <c r="J251" i="2"/>
  <c r="J72" i="2"/>
  <c r="E177" i="4"/>
  <c r="E196" i="4"/>
  <c r="E63" i="7"/>
  <c r="J635" i="2"/>
  <c r="E402" i="4"/>
  <c r="E324" i="4"/>
  <c r="E107" i="6"/>
  <c r="J288" i="2"/>
  <c r="E186" i="4"/>
  <c r="J305" i="2"/>
  <c r="J460" i="2"/>
  <c r="E160" i="5"/>
  <c r="E160" i="4"/>
  <c r="J485" i="2"/>
  <c r="E280" i="4"/>
  <c r="J188" i="2"/>
  <c r="J393" i="2"/>
  <c r="E132" i="4"/>
  <c r="E203" i="4"/>
  <c r="E77" i="6"/>
  <c r="J656" i="2"/>
  <c r="C675" i="12"/>
  <c r="E392" i="4"/>
  <c r="J319" i="2"/>
  <c r="J14" i="2"/>
  <c r="E399" i="4"/>
  <c r="E171" i="4"/>
  <c r="E137" i="5"/>
  <c r="E42" i="7"/>
  <c r="E37" i="4"/>
  <c r="I174" i="2"/>
  <c r="E238" i="4"/>
  <c r="I228" i="2"/>
  <c r="C711" i="12"/>
  <c r="J472" i="2"/>
  <c r="E254" i="4"/>
  <c r="I441" i="2"/>
  <c r="I191" i="2"/>
  <c r="E295" i="4"/>
  <c r="J207" i="2"/>
  <c r="I361" i="2"/>
  <c r="E213" i="4"/>
  <c r="I395" i="2"/>
  <c r="I297" i="2"/>
  <c r="E113" i="4"/>
  <c r="I520" i="2"/>
  <c r="J480" i="2"/>
  <c r="I611" i="2"/>
  <c r="I285" i="2"/>
  <c r="I386" i="2"/>
  <c r="E28" i="7"/>
  <c r="C689" i="12"/>
  <c r="I62" i="2" s="1"/>
  <c r="J702" i="2"/>
  <c r="J343" i="2"/>
  <c r="J27" i="2"/>
  <c r="E194" i="5"/>
  <c r="E325" i="4"/>
  <c r="I409" i="2"/>
  <c r="E148" i="4"/>
  <c r="J601" i="2"/>
  <c r="I492" i="2"/>
  <c r="E104" i="5"/>
  <c r="I437" i="2"/>
  <c r="E13" i="4"/>
  <c r="E396" i="4"/>
  <c r="E220" i="4"/>
  <c r="E21" i="4"/>
  <c r="J692" i="2"/>
  <c r="J189" i="2"/>
  <c r="I402" i="2"/>
  <c r="J326" i="2"/>
  <c r="E6" i="6"/>
  <c r="E163" i="5"/>
  <c r="E136" i="4"/>
  <c r="E228" i="4"/>
  <c r="J3" i="2"/>
  <c r="E129" i="5"/>
  <c r="C667" i="12"/>
  <c r="E133" i="5"/>
  <c r="I196" i="2"/>
  <c r="J600" i="2"/>
  <c r="I378" i="2"/>
  <c r="C681" i="12"/>
  <c r="E260" i="4"/>
  <c r="I356" i="2"/>
  <c r="J252" i="2"/>
  <c r="I63" i="2"/>
  <c r="J631" i="2"/>
  <c r="E125" i="6"/>
  <c r="J232" i="2"/>
  <c r="E21" i="7"/>
  <c r="J439" i="2"/>
  <c r="I80" i="2"/>
  <c r="E232" i="4"/>
  <c r="I119" i="2"/>
  <c r="E194" i="4"/>
  <c r="J49" i="2"/>
  <c r="I463" i="2"/>
  <c r="J726" i="2"/>
  <c r="E62" i="5"/>
  <c r="E376" i="4"/>
  <c r="J498" i="2"/>
  <c r="E415" i="4"/>
  <c r="E59" i="6"/>
  <c r="E50" i="4"/>
  <c r="J591" i="2"/>
  <c r="E424" i="4"/>
  <c r="E189" i="5"/>
  <c r="E61" i="5"/>
  <c r="J629" i="2"/>
  <c r="J698" i="2"/>
  <c r="J456" i="2"/>
  <c r="I157" i="2"/>
  <c r="C666" i="12"/>
  <c r="I54" i="9" s="1"/>
  <c r="C679" i="12"/>
  <c r="J42" i="2"/>
  <c r="I255" i="2"/>
  <c r="E178" i="5"/>
  <c r="E104" i="6"/>
  <c r="I165" i="2"/>
  <c r="E381" i="4"/>
  <c r="I380" i="2"/>
  <c r="E84" i="6"/>
  <c r="I11" i="8"/>
  <c r="I47" i="2"/>
  <c r="E23" i="7"/>
  <c r="E96" i="4"/>
  <c r="J143" i="2"/>
  <c r="I10" i="9"/>
  <c r="I46" i="9"/>
  <c r="I531" i="2"/>
  <c r="E129" i="6"/>
  <c r="E422" i="4"/>
  <c r="J693" i="2"/>
  <c r="E172" i="4"/>
  <c r="I54" i="8"/>
  <c r="I202" i="2"/>
  <c r="J101" i="2"/>
  <c r="J643" i="2"/>
  <c r="E340" i="4"/>
  <c r="J145" i="2"/>
  <c r="E29" i="6"/>
  <c r="E88" i="4"/>
  <c r="E29" i="5"/>
  <c r="E58" i="4"/>
  <c r="J114" i="2"/>
  <c r="E33" i="5"/>
  <c r="E65" i="4"/>
  <c r="J100" i="2"/>
  <c r="I76" i="8"/>
  <c r="I256" i="2"/>
  <c r="E70" i="5"/>
  <c r="E144" i="4"/>
  <c r="J274" i="2"/>
  <c r="E411" i="4"/>
  <c r="J713" i="2"/>
  <c r="E200" i="5"/>
  <c r="E115" i="6"/>
  <c r="E374" i="4"/>
  <c r="J630" i="2"/>
  <c r="E182" i="5"/>
  <c r="I58" i="9"/>
  <c r="I652" i="2"/>
  <c r="E80" i="6"/>
  <c r="E253" i="4"/>
  <c r="J436" i="2"/>
  <c r="I91" i="8"/>
  <c r="I300" i="2"/>
  <c r="I175" i="8"/>
  <c r="I474" i="2"/>
  <c r="E236" i="4"/>
  <c r="E128" i="5"/>
  <c r="E266" i="4"/>
  <c r="J542" i="2"/>
  <c r="J434" i="2"/>
  <c r="J545" i="2"/>
  <c r="I196" i="8"/>
  <c r="I521" i="2"/>
  <c r="E204" i="4"/>
  <c r="E32" i="5"/>
  <c r="J122" i="2"/>
  <c r="E63" i="4"/>
  <c r="I138" i="2"/>
  <c r="E32" i="8" s="1"/>
  <c r="J8" i="2"/>
  <c r="I117" i="8"/>
  <c r="I365" i="2"/>
  <c r="I225" i="8"/>
  <c r="I595" i="2"/>
  <c r="I9" i="9"/>
  <c r="I48" i="2"/>
  <c r="I116" i="8"/>
  <c r="I366" i="2"/>
  <c r="E95" i="5"/>
  <c r="E191" i="4"/>
  <c r="J382" i="2"/>
  <c r="I204" i="2"/>
  <c r="J696" i="2"/>
  <c r="E384" i="4"/>
  <c r="E75" i="7"/>
  <c r="E59" i="7"/>
  <c r="E257" i="4"/>
  <c r="J408" i="2"/>
  <c r="E153" i="4"/>
  <c r="I479" i="2"/>
  <c r="J220" i="2"/>
  <c r="J55" i="2"/>
  <c r="I344" i="2"/>
  <c r="E379" i="4"/>
  <c r="J722" i="2"/>
  <c r="I75" i="8"/>
  <c r="I245" i="2"/>
  <c r="I123" i="8"/>
  <c r="I381" i="2"/>
  <c r="I204" i="8"/>
  <c r="I534" i="2"/>
  <c r="E68" i="5"/>
  <c r="E142" i="4"/>
  <c r="J259" i="2"/>
  <c r="E77" i="7"/>
  <c r="E329" i="4"/>
  <c r="J523" i="2"/>
  <c r="J121" i="2"/>
  <c r="E39" i="5"/>
  <c r="E73" i="4"/>
  <c r="E36" i="5"/>
  <c r="E69" i="4"/>
  <c r="J125" i="2"/>
  <c r="E99" i="5"/>
  <c r="E201" i="4"/>
  <c r="E61" i="4"/>
  <c r="J683" i="2"/>
  <c r="E77" i="5"/>
  <c r="E159" i="4"/>
  <c r="J301" i="2"/>
  <c r="E97" i="5"/>
  <c r="E199" i="4"/>
  <c r="J396" i="2"/>
  <c r="J286" i="2"/>
  <c r="J277" i="2"/>
  <c r="E176" i="4"/>
  <c r="I35" i="8"/>
  <c r="I139" i="2"/>
  <c r="J210" i="2"/>
  <c r="E166" i="5"/>
  <c r="E10" i="6"/>
  <c r="E25" i="4"/>
  <c r="J46" i="2"/>
  <c r="I221" i="8"/>
  <c r="I589" i="2"/>
  <c r="I217" i="8"/>
  <c r="I573" i="2"/>
  <c r="J21" i="2"/>
  <c r="E8" i="5"/>
  <c r="E14" i="4"/>
  <c r="E297" i="4"/>
  <c r="J497" i="2"/>
  <c r="E20" i="4"/>
  <c r="I166" i="8"/>
  <c r="I449" i="2"/>
  <c r="I201" i="8"/>
  <c r="I525" i="2"/>
  <c r="I210" i="8"/>
  <c r="I554" i="2"/>
  <c r="E108" i="6"/>
  <c r="E360" i="4"/>
  <c r="J609" i="2"/>
  <c r="E296" i="4"/>
  <c r="E366" i="4"/>
  <c r="J236" i="2"/>
  <c r="J354" i="2"/>
  <c r="E292" i="4"/>
  <c r="E54" i="5"/>
  <c r="E112" i="4"/>
  <c r="J231" i="2"/>
  <c r="E25" i="7"/>
  <c r="E100" i="4"/>
  <c r="J128" i="2"/>
  <c r="E5" i="7"/>
  <c r="I109" i="8"/>
  <c r="I349" i="2"/>
  <c r="E111" i="6"/>
  <c r="E364" i="4"/>
  <c r="J612" i="2"/>
  <c r="E421" i="4"/>
  <c r="E92" i="6"/>
  <c r="E294" i="4"/>
  <c r="J513" i="2"/>
  <c r="I79" i="8"/>
  <c r="I267" i="2"/>
  <c r="E206" i="4"/>
  <c r="E47" i="7"/>
  <c r="J284" i="2"/>
  <c r="J209" i="2"/>
  <c r="I43" i="8"/>
  <c r="I163" i="2"/>
  <c r="E429" i="4"/>
  <c r="I206" i="8"/>
  <c r="I549" i="2"/>
  <c r="J567" i="2"/>
  <c r="E263" i="4"/>
  <c r="E126" i="5"/>
  <c r="J547" i="2"/>
  <c r="J170" i="2"/>
  <c r="E4" i="4"/>
  <c r="I30" i="8"/>
  <c r="I126" i="2"/>
  <c r="E156" i="4"/>
  <c r="E127" i="6"/>
  <c r="E420" i="4"/>
  <c r="J691" i="2"/>
  <c r="E24" i="6"/>
  <c r="E76" i="4"/>
  <c r="E151" i="4"/>
  <c r="E147" i="5"/>
  <c r="E307" i="4"/>
  <c r="J620" i="2"/>
  <c r="E98" i="6"/>
  <c r="E320" i="4"/>
  <c r="J570" i="2"/>
  <c r="I178" i="8"/>
  <c r="I481" i="2"/>
  <c r="I215" i="8"/>
  <c r="I562" i="2"/>
  <c r="E174" i="5"/>
  <c r="E363" i="4"/>
  <c r="J662" i="2"/>
  <c r="I203" i="8"/>
  <c r="I529" i="2"/>
  <c r="I202" i="8"/>
  <c r="I532" i="2"/>
  <c r="E75" i="5"/>
  <c r="I174" i="8"/>
  <c r="I470" i="2"/>
  <c r="J694" i="2"/>
  <c r="E383" i="4"/>
  <c r="I345" i="2"/>
  <c r="I60" i="8"/>
  <c r="I225" i="2"/>
  <c r="E416" i="4"/>
  <c r="J681" i="2"/>
  <c r="E126" i="6"/>
  <c r="J275" i="2"/>
  <c r="E145" i="5"/>
  <c r="E303" i="4"/>
  <c r="J605" i="2"/>
  <c r="E176" i="5"/>
  <c r="E155" i="4"/>
  <c r="E94" i="5"/>
  <c r="E189" i="4"/>
  <c r="J379" i="2"/>
  <c r="J452" i="2"/>
  <c r="E222" i="4"/>
  <c r="E90" i="6"/>
  <c r="I146" i="2"/>
  <c r="E15" i="6"/>
  <c r="E38" i="4"/>
  <c r="J52" i="2"/>
  <c r="E205" i="5"/>
  <c r="E102" i="5"/>
  <c r="E208" i="4"/>
  <c r="J322" i="2"/>
  <c r="J330" i="2"/>
  <c r="E66" i="6"/>
  <c r="E209" i="4"/>
  <c r="I421" i="2"/>
  <c r="J421" i="2" s="1"/>
  <c r="I7" i="8"/>
  <c r="I34" i="2"/>
  <c r="E133" i="4"/>
  <c r="I178" i="2"/>
  <c r="E42" i="8" s="1"/>
  <c r="E277" i="4"/>
  <c r="E65" i="6"/>
  <c r="E205" i="4"/>
  <c r="J321" i="2"/>
  <c r="E72" i="6"/>
  <c r="E221" i="4"/>
  <c r="J339" i="2"/>
  <c r="E117" i="4"/>
  <c r="J161" i="2"/>
  <c r="I218" i="8"/>
  <c r="I569" i="2"/>
  <c r="E218" i="8" s="1"/>
  <c r="E46" i="4"/>
  <c r="E314" i="4"/>
  <c r="I28" i="8"/>
  <c r="I118" i="2"/>
  <c r="J260" i="2"/>
  <c r="I219" i="8"/>
  <c r="I576" i="2"/>
  <c r="E23" i="4"/>
  <c r="E210" i="5"/>
  <c r="E427" i="4"/>
  <c r="J725" i="2"/>
  <c r="E28" i="5"/>
  <c r="E56" i="4"/>
  <c r="J88" i="2"/>
  <c r="E114" i="6"/>
  <c r="E372" i="4"/>
  <c r="J618" i="2"/>
  <c r="I68" i="8"/>
  <c r="I243" i="2"/>
  <c r="E51" i="4"/>
  <c r="J71" i="2"/>
  <c r="E19" i="6"/>
  <c r="I84" i="8"/>
  <c r="I290" i="2"/>
  <c r="E144" i="5"/>
  <c r="E299" i="4"/>
  <c r="J604" i="2"/>
  <c r="E193" i="5"/>
  <c r="E398" i="4"/>
  <c r="J703" i="2"/>
  <c r="E301" i="4"/>
  <c r="J490" i="2"/>
  <c r="E69" i="7"/>
  <c r="I145" i="8"/>
  <c r="I413" i="2"/>
  <c r="I122" i="8"/>
  <c r="I374" i="2"/>
  <c r="E56" i="5"/>
  <c r="E116" i="4"/>
  <c r="J211" i="2"/>
  <c r="I65" i="8"/>
  <c r="I239" i="2"/>
  <c r="I543" i="2"/>
  <c r="J543" i="2" s="1"/>
  <c r="E75" i="6"/>
  <c r="E230" i="4"/>
  <c r="J367" i="2"/>
  <c r="E140" i="4"/>
  <c r="I151" i="8"/>
  <c r="I419" i="2"/>
  <c r="E190" i="5"/>
  <c r="E389" i="4"/>
  <c r="J700" i="2"/>
  <c r="E231" i="4"/>
  <c r="J206" i="2"/>
  <c r="J41" i="2"/>
  <c r="E93" i="4"/>
  <c r="J164" i="2"/>
  <c r="E47" i="5"/>
  <c r="E50" i="6"/>
  <c r="E166" i="4"/>
  <c r="J258" i="2"/>
  <c r="E208" i="5"/>
  <c r="E425" i="4"/>
  <c r="J720" i="2"/>
  <c r="I93" i="2"/>
  <c r="E19" i="8" s="1"/>
  <c r="J159" i="2"/>
  <c r="I205" i="8"/>
  <c r="I541" i="2"/>
  <c r="E82" i="7"/>
  <c r="E344" i="4"/>
  <c r="J540" i="2"/>
  <c r="I454" i="2"/>
  <c r="E167" i="8" s="1"/>
  <c r="I129" i="8"/>
  <c r="I392" i="2"/>
  <c r="E60" i="6"/>
  <c r="E195" i="4"/>
  <c r="J299" i="2"/>
  <c r="I46" i="8"/>
  <c r="I184" i="2"/>
  <c r="E62" i="6"/>
  <c r="E197" i="4"/>
  <c r="J302" i="2"/>
  <c r="E80" i="7"/>
  <c r="E336" i="4"/>
  <c r="J535" i="2"/>
  <c r="E95" i="7"/>
  <c r="J663" i="2"/>
  <c r="E414" i="4"/>
  <c r="J406" i="2"/>
  <c r="E198" i="4"/>
  <c r="J435" i="2"/>
  <c r="E24" i="5"/>
  <c r="J179" i="2"/>
  <c r="E33" i="7"/>
  <c r="E135" i="4"/>
  <c r="I186" i="8"/>
  <c r="I502" i="2"/>
  <c r="E143" i="4"/>
  <c r="E9" i="6"/>
  <c r="E198" i="5"/>
  <c r="E404" i="4"/>
  <c r="J710" i="2"/>
  <c r="I126" i="8"/>
  <c r="I389" i="2"/>
  <c r="I55" i="9"/>
  <c r="I613" i="2"/>
  <c r="I40" i="9"/>
  <c r="I371" i="2"/>
  <c r="E56" i="7"/>
  <c r="E245" i="4"/>
  <c r="J372" i="2"/>
  <c r="I65" i="9"/>
  <c r="I678" i="2"/>
  <c r="E22" i="5"/>
  <c r="E43" i="4"/>
  <c r="J77" i="2"/>
  <c r="I164" i="8"/>
  <c r="I448" i="2"/>
  <c r="I190" i="8"/>
  <c r="I500" i="2"/>
  <c r="E130" i="5"/>
  <c r="E269" i="4"/>
  <c r="J561" i="2"/>
  <c r="I19" i="9"/>
  <c r="I116" i="2"/>
  <c r="E38" i="7"/>
  <c r="J416" i="2"/>
  <c r="E33" i="4"/>
  <c r="I28" i="9"/>
  <c r="I193" i="2"/>
  <c r="J141" i="2"/>
  <c r="E102" i="4"/>
  <c r="I104" i="8"/>
  <c r="I334" i="2"/>
  <c r="C699" i="12"/>
  <c r="J664" i="2"/>
  <c r="E157" i="5"/>
  <c r="E322" i="4"/>
  <c r="J632" i="2"/>
  <c r="E111" i="4"/>
  <c r="J388" i="2"/>
  <c r="E249" i="4"/>
  <c r="I80" i="8"/>
  <c r="I263" i="2"/>
  <c r="J78" i="2"/>
  <c r="C709" i="12"/>
  <c r="J616" i="2"/>
  <c r="E155" i="5"/>
  <c r="E319" i="4"/>
  <c r="J633" i="2"/>
  <c r="E46" i="5"/>
  <c r="E89" i="4"/>
  <c r="J158" i="2"/>
  <c r="I165" i="8"/>
  <c r="I450" i="2"/>
  <c r="J217" i="2"/>
  <c r="E151" i="5"/>
  <c r="E311" i="4"/>
  <c r="J621" i="2"/>
  <c r="I184" i="8"/>
  <c r="I493" i="2"/>
  <c r="I138" i="8"/>
  <c r="I397" i="2"/>
  <c r="E138" i="8" s="1"/>
  <c r="E214" i="4"/>
  <c r="E121" i="4"/>
  <c r="J180" i="2"/>
  <c r="E40" i="6"/>
  <c r="I124" i="8"/>
  <c r="I384" i="2"/>
  <c r="I101" i="8"/>
  <c r="I328" i="2"/>
  <c r="J328" i="2" s="1"/>
  <c r="I227" i="8"/>
  <c r="I624" i="2"/>
  <c r="E85" i="7"/>
  <c r="E353" i="4"/>
  <c r="J560" i="2"/>
  <c r="E114" i="4"/>
  <c r="E38" i="6"/>
  <c r="J168" i="2"/>
  <c r="E52" i="6"/>
  <c r="E170" i="4"/>
  <c r="J266" i="2"/>
  <c r="C696" i="12"/>
  <c r="E31" i="7"/>
  <c r="E124" i="4"/>
  <c r="J190" i="2"/>
  <c r="I205" i="2"/>
  <c r="J644" i="2"/>
  <c r="I473" i="2"/>
  <c r="E176" i="8" s="1"/>
  <c r="E207" i="4"/>
  <c r="E394" i="4"/>
  <c r="I96" i="8"/>
  <c r="I317" i="2"/>
  <c r="E14" i="7"/>
  <c r="E57" i="4"/>
  <c r="J61" i="2"/>
  <c r="E74" i="4"/>
  <c r="E368" i="4"/>
  <c r="J222" i="2"/>
  <c r="J4" i="2"/>
  <c r="I14" i="8"/>
  <c r="I38" i="2"/>
  <c r="E141" i="4"/>
  <c r="I16" i="8"/>
  <c r="I82" i="2"/>
  <c r="J172" i="2"/>
  <c r="C682" i="12"/>
  <c r="E85" i="5"/>
  <c r="E173" i="4"/>
  <c r="J336" i="2"/>
  <c r="J445" i="2"/>
  <c r="I94" i="8"/>
  <c r="I312" i="2"/>
  <c r="E15" i="7"/>
  <c r="E60" i="4"/>
  <c r="J79" i="2"/>
  <c r="I115" i="8"/>
  <c r="I355" i="2"/>
  <c r="E96" i="5"/>
  <c r="E96" i="7"/>
  <c r="E419" i="4"/>
  <c r="J669" i="2"/>
  <c r="J649" i="2"/>
  <c r="E48" i="7"/>
  <c r="E218" i="4"/>
  <c r="J311" i="2"/>
  <c r="I97" i="8"/>
  <c r="I316" i="2"/>
  <c r="I27" i="9"/>
  <c r="I192" i="2"/>
  <c r="I451" i="2"/>
  <c r="J451" i="2" s="1"/>
  <c r="J229" i="2"/>
  <c r="E41" i="7"/>
  <c r="E165" i="4"/>
  <c r="E167" i="5"/>
  <c r="E342" i="4"/>
  <c r="J651" i="2"/>
  <c r="E59" i="5"/>
  <c r="E120" i="4"/>
  <c r="J208" i="2"/>
  <c r="E86" i="6"/>
  <c r="E267" i="4"/>
  <c r="J469" i="2"/>
  <c r="E52" i="7"/>
  <c r="E237" i="4"/>
  <c r="J346" i="2"/>
  <c r="E23" i="5"/>
  <c r="E45" i="4"/>
  <c r="J60" i="2"/>
  <c r="I424" i="2"/>
  <c r="E152" i="8" s="1"/>
  <c r="E191" i="5"/>
  <c r="E395" i="4"/>
  <c r="E405" i="4"/>
  <c r="E94" i="6"/>
  <c r="E298" i="4"/>
  <c r="J517" i="2"/>
  <c r="I617" i="2"/>
  <c r="J76" i="2"/>
  <c r="E18" i="7"/>
  <c r="E71" i="4"/>
  <c r="I433" i="2"/>
  <c r="J433" i="2" s="1"/>
  <c r="I98" i="8"/>
  <c r="I323" i="2"/>
  <c r="E150" i="4"/>
  <c r="E5" i="4"/>
  <c r="I418" i="2"/>
  <c r="J418" i="2" s="1"/>
  <c r="I295" i="2"/>
  <c r="E92" i="8" s="1"/>
  <c r="I58" i="8"/>
  <c r="I221" i="2"/>
  <c r="E101" i="4"/>
  <c r="I162" i="8"/>
  <c r="I446" i="2"/>
  <c r="J680" i="2"/>
  <c r="E279" i="4"/>
  <c r="I163" i="8"/>
  <c r="I442" i="2"/>
  <c r="I59" i="8"/>
  <c r="I223" i="2"/>
  <c r="E192" i="4"/>
  <c r="J265" i="2"/>
  <c r="E46" i="7"/>
  <c r="I73" i="8"/>
  <c r="I254" i="2"/>
  <c r="E53" i="6"/>
  <c r="E26" i="7"/>
  <c r="E104" i="4"/>
  <c r="J142" i="2"/>
  <c r="E308" i="4"/>
  <c r="E148" i="5"/>
  <c r="I213" i="8"/>
  <c r="I566" i="2"/>
  <c r="E127" i="5"/>
  <c r="E264" i="4"/>
  <c r="J548" i="2"/>
  <c r="E412" i="4"/>
  <c r="E332" i="4"/>
  <c r="E162" i="5"/>
  <c r="J639" i="2"/>
  <c r="E168" i="5"/>
  <c r="E345" i="4"/>
  <c r="J650" i="2"/>
  <c r="I161" i="8"/>
  <c r="I444" i="2"/>
  <c r="I64" i="9"/>
  <c r="I677" i="2"/>
  <c r="I105" i="8"/>
  <c r="I338" i="2"/>
  <c r="J661" i="2"/>
  <c r="E393" i="4"/>
  <c r="E81" i="7"/>
  <c r="E341" i="4"/>
  <c r="J539" i="2"/>
  <c r="I526" i="2"/>
  <c r="E199" i="8" s="1"/>
  <c r="I192" i="8"/>
  <c r="I514" i="2"/>
  <c r="I464" i="2"/>
  <c r="E173" i="8" s="1"/>
  <c r="E103" i="6"/>
  <c r="E346" i="4"/>
  <c r="E164" i="5"/>
  <c r="J641" i="2"/>
  <c r="I185" i="8"/>
  <c r="I501" i="2"/>
  <c r="E217" i="4"/>
  <c r="J347" i="2"/>
  <c r="E69" i="6"/>
  <c r="J97" i="2"/>
  <c r="E25" i="6"/>
  <c r="E79" i="4"/>
  <c r="C726" i="12"/>
  <c r="I63" i="8"/>
  <c r="I235" i="2"/>
  <c r="I278" i="2"/>
  <c r="E83" i="8" s="1"/>
  <c r="E81" i="5"/>
  <c r="E163" i="4"/>
  <c r="J303" i="2"/>
  <c r="E124" i="5"/>
  <c r="E259" i="4"/>
  <c r="J544" i="2"/>
  <c r="I226" i="8"/>
  <c r="I608" i="2"/>
  <c r="I22" i="8"/>
  <c r="I84" i="2"/>
  <c r="I224" i="8"/>
  <c r="I596" i="2"/>
  <c r="E409" i="4"/>
  <c r="E84" i="5"/>
  <c r="E37" i="5"/>
  <c r="E70" i="4"/>
  <c r="J152" i="2"/>
  <c r="J592" i="2"/>
  <c r="E57" i="7"/>
  <c r="J626" i="2"/>
  <c r="E153" i="5"/>
  <c r="E316" i="4"/>
  <c r="I216" i="8"/>
  <c r="I572" i="2"/>
  <c r="E388" i="4"/>
  <c r="E110" i="6"/>
  <c r="E90" i="4"/>
  <c r="E118" i="4"/>
  <c r="E57" i="5"/>
  <c r="J212" i="2"/>
  <c r="E337" i="4"/>
  <c r="E127" i="4"/>
  <c r="E113" i="6"/>
  <c r="E100" i="6"/>
  <c r="I77" i="8"/>
  <c r="I264" i="2"/>
  <c r="E88" i="6"/>
  <c r="J496" i="2"/>
  <c r="E89" i="6"/>
  <c r="E288" i="4"/>
  <c r="AE18" i="3"/>
  <c r="I208" i="8"/>
  <c r="I550" i="2"/>
  <c r="E34" i="5"/>
  <c r="E66" i="4"/>
  <c r="J106" i="2"/>
  <c r="I3" i="8"/>
  <c r="I15" i="2"/>
  <c r="I100" i="8"/>
  <c r="I325" i="2"/>
  <c r="I505" i="2"/>
  <c r="J471" i="2"/>
  <c r="I220" i="8"/>
  <c r="I585" i="2"/>
  <c r="E55" i="6"/>
  <c r="E183" i="4"/>
  <c r="J283" i="2"/>
  <c r="I199" i="2"/>
  <c r="E53" i="8" s="1"/>
  <c r="I52" i="8"/>
  <c r="I185" i="2"/>
  <c r="I170" i="8"/>
  <c r="I465" i="2"/>
  <c r="I81" i="8"/>
  <c r="I273" i="2"/>
  <c r="I487" i="2"/>
  <c r="I292" i="2"/>
  <c r="I81" i="2"/>
  <c r="I45" i="8"/>
  <c r="I171" i="2"/>
  <c r="I180" i="8"/>
  <c r="I488" i="2"/>
  <c r="I156" i="8"/>
  <c r="I430" i="2"/>
  <c r="I125" i="8"/>
  <c r="I385" i="2"/>
  <c r="I412" i="2"/>
  <c r="I136" i="8"/>
  <c r="I399" i="2"/>
  <c r="E130" i="4"/>
  <c r="I10" i="8"/>
  <c r="I31" i="2"/>
  <c r="E256" i="4"/>
  <c r="E117" i="6"/>
  <c r="E387" i="4"/>
  <c r="J645" i="2"/>
  <c r="J602" i="2"/>
  <c r="J272" i="2"/>
  <c r="I61" i="8"/>
  <c r="I226" i="2"/>
  <c r="J536" i="2"/>
  <c r="E386" i="4"/>
  <c r="I39" i="8"/>
  <c r="I160" i="2"/>
  <c r="E90" i="7"/>
  <c r="E390" i="4"/>
  <c r="J625" i="2"/>
  <c r="E12" i="6"/>
  <c r="E31" i="4"/>
  <c r="J29" i="2"/>
  <c r="I27" i="8"/>
  <c r="I129" i="2"/>
  <c r="J213" i="2"/>
  <c r="I4" i="8"/>
  <c r="I12" i="2"/>
  <c r="I69" i="8"/>
  <c r="I249" i="2"/>
  <c r="I29" i="8"/>
  <c r="I109" i="2"/>
  <c r="I121" i="8"/>
  <c r="I364" i="2"/>
  <c r="I407" i="2"/>
  <c r="E140" i="8" s="1"/>
  <c r="I26" i="2"/>
  <c r="E5" i="8" s="1"/>
  <c r="I186" i="2"/>
  <c r="J186" i="2" s="1"/>
  <c r="I90" i="2"/>
  <c r="E23" i="8" s="1"/>
  <c r="E16" i="7"/>
  <c r="E62" i="4"/>
  <c r="J69" i="2"/>
  <c r="J432" i="2"/>
  <c r="E361" i="4"/>
  <c r="I503" i="2"/>
  <c r="E187" i="8" s="1"/>
  <c r="E179" i="4"/>
  <c r="E86" i="5"/>
  <c r="E174" i="4"/>
  <c r="J331" i="2"/>
  <c r="E92" i="7"/>
  <c r="E408" i="4"/>
  <c r="J640" i="2"/>
  <c r="J181" i="2"/>
  <c r="J717" i="2"/>
  <c r="I137" i="8"/>
  <c r="I400" i="2"/>
  <c r="I113" i="8"/>
  <c r="I359" i="2"/>
  <c r="AF10" i="3"/>
  <c r="I89" i="8"/>
  <c r="I294" i="2"/>
  <c r="E158" i="4"/>
  <c r="J167" i="2"/>
  <c r="I443" i="2"/>
  <c r="I515" i="2"/>
  <c r="I276" i="2"/>
  <c r="I189" i="8"/>
  <c r="I509" i="2"/>
  <c r="J634" i="2"/>
  <c r="E215" i="4"/>
  <c r="I135" i="8"/>
  <c r="I403" i="2"/>
  <c r="E118" i="6"/>
  <c r="E391" i="4"/>
  <c r="J653" i="2"/>
  <c r="J507" i="2"/>
  <c r="J137" i="2"/>
  <c r="J615" i="2"/>
  <c r="E107" i="4"/>
  <c r="J40" i="2"/>
  <c r="AE15" i="3"/>
  <c r="I149" i="8"/>
  <c r="I420" i="2"/>
  <c r="I99" i="8"/>
  <c r="I320" i="2"/>
  <c r="I155" i="8"/>
  <c r="I429" i="2"/>
  <c r="E123" i="4"/>
  <c r="I166" i="2"/>
  <c r="I108" i="8"/>
  <c r="I353" i="2"/>
  <c r="I131" i="8"/>
  <c r="I390" i="2"/>
  <c r="J486" i="2"/>
  <c r="I179" i="8"/>
  <c r="I483" i="2"/>
  <c r="E323" i="4"/>
  <c r="J150" i="2"/>
  <c r="E60" i="5"/>
  <c r="E126" i="4"/>
  <c r="J248" i="2"/>
  <c r="E251" i="4"/>
  <c r="E77" i="4"/>
  <c r="J425" i="2"/>
  <c r="J375" i="2"/>
  <c r="E304" i="4"/>
  <c r="I211" i="8"/>
  <c r="I555" i="2"/>
  <c r="I71" i="8"/>
  <c r="I250" i="2"/>
  <c r="E29" i="4"/>
  <c r="AF7" i="3"/>
  <c r="I141" i="8"/>
  <c r="I410" i="2"/>
  <c r="E72" i="4"/>
  <c r="J140" i="2"/>
  <c r="E38" i="5"/>
  <c r="I95" i="8"/>
  <c r="I315" i="2"/>
  <c r="I85" i="2"/>
  <c r="E306" i="4"/>
  <c r="I262" i="2"/>
  <c r="E78" i="8" s="1"/>
  <c r="I128" i="8"/>
  <c r="I383" i="2"/>
  <c r="J614" i="2"/>
  <c r="I309" i="2"/>
  <c r="E93" i="8" s="1"/>
  <c r="E81" i="4"/>
  <c r="I233" i="2"/>
  <c r="E62" i="8" s="1"/>
  <c r="I111" i="8"/>
  <c r="I360" i="2"/>
  <c r="I209" i="8"/>
  <c r="I552" i="2"/>
  <c r="I214" i="8"/>
  <c r="I568" i="2"/>
  <c r="I86" i="8"/>
  <c r="I293" i="2"/>
  <c r="E248" i="4"/>
  <c r="E122" i="6"/>
  <c r="E397" i="4"/>
  <c r="J667" i="2"/>
  <c r="E188" i="4"/>
  <c r="J709" i="2"/>
  <c r="J298" i="2"/>
  <c r="I207" i="8"/>
  <c r="I551" i="2"/>
  <c r="J671" i="2"/>
  <c r="I363" i="2"/>
  <c r="E114" i="8" s="1"/>
  <c r="AF12" i="3"/>
  <c r="E141" i="5"/>
  <c r="E285" i="4"/>
  <c r="J590" i="2"/>
  <c r="I49" i="8"/>
  <c r="I203" i="2"/>
  <c r="I394" i="2"/>
  <c r="I191" i="8"/>
  <c r="I511" i="2"/>
  <c r="I134" i="8"/>
  <c r="I398" i="2"/>
  <c r="J466" i="2"/>
  <c r="E85" i="6"/>
  <c r="E265" i="4"/>
  <c r="I142" i="8"/>
  <c r="I411" i="2"/>
  <c r="E382" i="4"/>
  <c r="J607" i="2"/>
  <c r="I6" i="8"/>
  <c r="I23" i="2"/>
  <c r="J619" i="2"/>
  <c r="I67" i="8"/>
  <c r="I244" i="2"/>
  <c r="J581" i="2"/>
  <c r="E403" i="4"/>
  <c r="E168" i="4"/>
  <c r="J491" i="2"/>
  <c r="E365" i="4"/>
  <c r="I148" i="8"/>
  <c r="I415" i="2"/>
  <c r="I72" i="8"/>
  <c r="I253" i="2"/>
  <c r="AF19" i="3"/>
  <c r="E16" i="5"/>
  <c r="E30" i="4"/>
  <c r="J56" i="2"/>
  <c r="I281" i="2"/>
  <c r="E88" i="8" s="1"/>
  <c r="I132" i="2"/>
  <c r="I197" i="8"/>
  <c r="I522" i="2"/>
  <c r="I70" i="9"/>
  <c r="I701" i="2"/>
  <c r="I223" i="8"/>
  <c r="I593" i="2"/>
  <c r="I37" i="8"/>
  <c r="I153" i="2"/>
  <c r="I31" i="8"/>
  <c r="I130" i="2"/>
  <c r="I414" i="2"/>
  <c r="J414" i="2" s="1"/>
  <c r="J476" i="2"/>
  <c r="E66" i="7"/>
  <c r="E291" i="4"/>
  <c r="I518" i="2"/>
  <c r="J518" i="2" s="1"/>
  <c r="I118" i="8"/>
  <c r="I368" i="2"/>
  <c r="AE6" i="3"/>
  <c r="E17" i="7"/>
  <c r="E64" i="4"/>
  <c r="J70" i="2"/>
  <c r="I24" i="8"/>
  <c r="I98" i="2"/>
  <c r="C703" i="12"/>
  <c r="C659" i="12"/>
  <c r="C704" i="12"/>
  <c r="C724" i="12"/>
  <c r="C695" i="12"/>
  <c r="AE10" i="3"/>
  <c r="AE17" i="3"/>
  <c r="AF14" i="3"/>
  <c r="AE13" i="3"/>
  <c r="C702" i="12"/>
  <c r="C701" i="12"/>
  <c r="C716" i="12"/>
  <c r="C686" i="12"/>
  <c r="C721" i="12"/>
  <c r="C727" i="12"/>
  <c r="AF15" i="3"/>
  <c r="AF17" i="3"/>
  <c r="AE11" i="3"/>
  <c r="C723" i="12"/>
  <c r="C707" i="12"/>
  <c r="C671" i="12"/>
  <c r="C680" i="12"/>
  <c r="AF3" i="3"/>
  <c r="AE4" i="3"/>
  <c r="AE16" i="3"/>
  <c r="C658" i="12"/>
  <c r="C720" i="12"/>
  <c r="AF8" i="3"/>
  <c r="AE9" i="3"/>
  <c r="AF6" i="3"/>
  <c r="C714" i="12"/>
  <c r="C698" i="12"/>
  <c r="AF13" i="3"/>
  <c r="AE14" i="3"/>
  <c r="AF11" i="3"/>
  <c r="C725" i="12"/>
  <c r="C684" i="12"/>
  <c r="C688" i="12"/>
  <c r="AF18" i="3"/>
  <c r="AE19" i="3"/>
  <c r="AF16" i="3"/>
  <c r="C656" i="12"/>
  <c r="C661" i="12"/>
  <c r="C705" i="12"/>
  <c r="AE5" i="3"/>
  <c r="AE7" i="3"/>
  <c r="AF4" i="3"/>
  <c r="AE3" i="3"/>
  <c r="C660" i="12"/>
  <c r="C708" i="12"/>
  <c r="C677" i="12"/>
  <c r="AF5" i="3"/>
  <c r="AE12" i="3"/>
  <c r="AF9" i="3"/>
  <c r="I108" i="6"/>
  <c r="I360" i="4"/>
  <c r="I26" i="6"/>
  <c r="I80" i="4"/>
  <c r="I126" i="6"/>
  <c r="I416" i="4"/>
  <c r="I66" i="6"/>
  <c r="I209" i="4"/>
  <c r="I67" i="5"/>
  <c r="I140" i="4"/>
  <c r="I143" i="5"/>
  <c r="I296" i="4"/>
  <c r="I31" i="7"/>
  <c r="I124" i="4"/>
  <c r="I86" i="6"/>
  <c r="I267" i="4"/>
  <c r="I23" i="5"/>
  <c r="I45" i="4"/>
  <c r="I74" i="6"/>
  <c r="I226" i="4"/>
  <c r="I174" i="5"/>
  <c r="I363" i="4"/>
  <c r="I52" i="6"/>
  <c r="I170" i="4"/>
  <c r="I41" i="7"/>
  <c r="I165" i="4"/>
  <c r="I19" i="6"/>
  <c r="I51" i="4"/>
  <c r="I53" i="5"/>
  <c r="I110" i="4"/>
  <c r="I49" i="5"/>
  <c r="I106" i="4"/>
  <c r="I5" i="5"/>
  <c r="I5" i="4"/>
  <c r="I305" i="4"/>
  <c r="I96" i="6"/>
  <c r="I23" i="6"/>
  <c r="I74" i="4"/>
  <c r="I98" i="5"/>
  <c r="I200" i="4"/>
  <c r="I34" i="6"/>
  <c r="I99" i="4"/>
  <c r="I199" i="5"/>
  <c r="I406" i="4"/>
  <c r="I62" i="7"/>
  <c r="I279" i="4"/>
  <c r="I12" i="5"/>
  <c r="I20" i="4"/>
  <c r="I201" i="5"/>
  <c r="I413" i="4"/>
  <c r="I107" i="6"/>
  <c r="I354" i="4"/>
  <c r="I77" i="7"/>
  <c r="I329" i="4"/>
  <c r="I76" i="6"/>
  <c r="I234" i="4"/>
  <c r="I15" i="7"/>
  <c r="I60" i="4"/>
  <c r="I89" i="5"/>
  <c r="I181" i="4"/>
  <c r="I114" i="5"/>
  <c r="I235" i="4"/>
  <c r="I161" i="5"/>
  <c r="I330" i="4"/>
  <c r="I175" i="5"/>
  <c r="I365" i="4"/>
  <c r="I6" i="7"/>
  <c r="I15" i="4"/>
  <c r="I170" i="5"/>
  <c r="I355" i="4"/>
  <c r="I87" i="7"/>
  <c r="I367" i="4"/>
  <c r="I78" i="7"/>
  <c r="I331" i="4"/>
  <c r="I48" i="6"/>
  <c r="I154" i="4"/>
  <c r="I7" i="7"/>
  <c r="I18" i="4"/>
  <c r="I90" i="7"/>
  <c r="I390" i="4"/>
  <c r="I49" i="7"/>
  <c r="I225" i="4"/>
  <c r="I12" i="6"/>
  <c r="I31" i="4"/>
  <c r="I45" i="5"/>
  <c r="I87" i="4"/>
  <c r="I53" i="6"/>
  <c r="I176" i="4"/>
  <c r="I17" i="6"/>
  <c r="I41" i="4"/>
  <c r="I96" i="7"/>
  <c r="I419" i="4"/>
  <c r="I68" i="6"/>
  <c r="I211" i="4"/>
  <c r="I142" i="5"/>
  <c r="I289" i="4"/>
  <c r="I97" i="7"/>
  <c r="I428" i="4"/>
  <c r="I154" i="5"/>
  <c r="I318" i="4"/>
  <c r="I79" i="7"/>
  <c r="I333" i="4"/>
  <c r="I11" i="5"/>
  <c r="I19" i="4"/>
  <c r="I88" i="5"/>
  <c r="I180" i="4"/>
  <c r="I119" i="4"/>
  <c r="I58" i="5"/>
  <c r="I19" i="5"/>
  <c r="I36" i="4"/>
  <c r="I99" i="5"/>
  <c r="I201" i="4"/>
  <c r="I24" i="6"/>
  <c r="I76" i="4"/>
  <c r="I65" i="7"/>
  <c r="I290" i="4"/>
  <c r="I184" i="5"/>
  <c r="I381" i="4"/>
  <c r="I91" i="6"/>
  <c r="I293" i="4"/>
  <c r="I162" i="5"/>
  <c r="I332" i="4"/>
  <c r="I166" i="5"/>
  <c r="I340" i="4"/>
  <c r="I209" i="5"/>
  <c r="I426" i="4"/>
  <c r="I19" i="7"/>
  <c r="I78" i="4"/>
  <c r="I119" i="5"/>
  <c r="I246" i="4"/>
  <c r="I18" i="6"/>
  <c r="I48" i="4"/>
  <c r="I33" i="6"/>
  <c r="I98" i="4"/>
  <c r="I37" i="5"/>
  <c r="I70" i="4"/>
  <c r="I94" i="5"/>
  <c r="I189" i="4"/>
  <c r="I169" i="5"/>
  <c r="I349" i="4"/>
  <c r="I27" i="7"/>
  <c r="I111" i="4"/>
  <c r="I50" i="6"/>
  <c r="I166" i="4"/>
  <c r="I83" i="7"/>
  <c r="I348" i="4"/>
  <c r="I208" i="5"/>
  <c r="I425" i="4"/>
  <c r="I103" i="5"/>
  <c r="I212" i="4"/>
  <c r="I4" i="6"/>
  <c r="I11" i="4"/>
  <c r="I82" i="7"/>
  <c r="I344" i="4"/>
  <c r="I60" i="6"/>
  <c r="I195" i="4"/>
  <c r="I113" i="4"/>
  <c r="I55" i="5"/>
  <c r="I62" i="6"/>
  <c r="I197" i="4"/>
  <c r="I80" i="7"/>
  <c r="I336" i="4"/>
  <c r="I64" i="7"/>
  <c r="I287" i="4"/>
  <c r="I20" i="7"/>
  <c r="I85" i="4"/>
  <c r="I54" i="6"/>
  <c r="I179" i="4"/>
  <c r="I57" i="6"/>
  <c r="I186" i="4"/>
  <c r="I35" i="5"/>
  <c r="I67" i="4"/>
  <c r="I387" i="4"/>
  <c r="I117" i="6"/>
  <c r="I48" i="7"/>
  <c r="I218" i="4"/>
  <c r="I79" i="5"/>
  <c r="I161" i="4"/>
  <c r="I38" i="5"/>
  <c r="I72" i="4"/>
  <c r="I40" i="7"/>
  <c r="I164" i="4"/>
  <c r="I37" i="7"/>
  <c r="I151" i="4"/>
  <c r="I177" i="5"/>
  <c r="I369" i="4"/>
  <c r="I76" i="5"/>
  <c r="I156" i="4"/>
  <c r="I51" i="7"/>
  <c r="I233" i="4"/>
  <c r="I155" i="5"/>
  <c r="I319" i="4"/>
  <c r="I40" i="5"/>
  <c r="I75" i="4"/>
  <c r="I26" i="5"/>
  <c r="I54" i="4"/>
  <c r="I131" i="5"/>
  <c r="I270" i="4"/>
  <c r="I151" i="5"/>
  <c r="I311" i="4"/>
  <c r="I105" i="6"/>
  <c r="I350" i="4"/>
  <c r="I213" i="4"/>
  <c r="I104" i="5"/>
  <c r="I116" i="6"/>
  <c r="I376" i="4"/>
  <c r="I89" i="7"/>
  <c r="I382" i="4"/>
  <c r="I189" i="5"/>
  <c r="I388" i="4"/>
  <c r="I140" i="5"/>
  <c r="I283" i="4"/>
  <c r="I39" i="5"/>
  <c r="I73" i="4"/>
  <c r="I36" i="5"/>
  <c r="I69" i="4"/>
  <c r="I134" i="4"/>
  <c r="I66" i="5"/>
  <c r="I123" i="5"/>
  <c r="I258" i="4"/>
  <c r="I120" i="5"/>
  <c r="I250" i="4"/>
  <c r="I67" i="6"/>
  <c r="I210" i="4"/>
  <c r="I6" i="6"/>
  <c r="I13" i="4"/>
  <c r="I129" i="5"/>
  <c r="I268" i="4"/>
  <c r="I63" i="6"/>
  <c r="I202" i="4"/>
  <c r="I197" i="5"/>
  <c r="I403" i="4"/>
  <c r="I92" i="7"/>
  <c r="I408" i="4"/>
  <c r="I77" i="6"/>
  <c r="I238" i="4"/>
  <c r="I58" i="6"/>
  <c r="I193" i="4"/>
  <c r="I141" i="5"/>
  <c r="I285" i="4"/>
  <c r="I3" i="7"/>
  <c r="I8" i="4"/>
  <c r="I3" i="6"/>
  <c r="I6" i="4"/>
  <c r="I109" i="5"/>
  <c r="I224" i="4"/>
  <c r="I70" i="7"/>
  <c r="I95" i="6"/>
  <c r="I302" i="4"/>
  <c r="I127" i="6"/>
  <c r="I420" i="4"/>
  <c r="I83" i="5"/>
  <c r="I169" i="4"/>
  <c r="I14" i="7"/>
  <c r="I57" i="4"/>
  <c r="I7" i="6"/>
  <c r="I21" i="4"/>
  <c r="I165" i="5"/>
  <c r="I339" i="4"/>
  <c r="I95" i="7"/>
  <c r="I414" i="4"/>
  <c r="I84" i="5"/>
  <c r="I172" i="4"/>
  <c r="I73" i="7"/>
  <c r="I314" i="4"/>
  <c r="I118" i="5"/>
  <c r="I243" i="4"/>
  <c r="I106" i="5"/>
  <c r="I215" i="4"/>
  <c r="I32" i="7"/>
  <c r="I132" i="4"/>
  <c r="I153" i="5"/>
  <c r="I316" i="4"/>
  <c r="I122" i="5"/>
  <c r="I255" i="4"/>
  <c r="I134" i="5"/>
  <c r="I274" i="4"/>
  <c r="I352" i="4"/>
  <c r="I106" i="6"/>
  <c r="I16" i="5"/>
  <c r="I30" i="4"/>
  <c r="I29" i="7"/>
  <c r="I122" i="4"/>
  <c r="I30" i="7"/>
  <c r="I123" i="4"/>
  <c r="I43" i="6"/>
  <c r="I138" i="4"/>
  <c r="I422" i="4"/>
  <c r="I129" i="6"/>
  <c r="I145" i="5"/>
  <c r="I303" i="4"/>
  <c r="I208" i="4"/>
  <c r="I102" i="5"/>
  <c r="I24" i="5"/>
  <c r="I46" i="4"/>
  <c r="I63" i="7"/>
  <c r="I286" i="4"/>
  <c r="I51" i="6"/>
  <c r="I167" i="4"/>
  <c r="I351" i="4"/>
  <c r="I84" i="7"/>
  <c r="I223" i="4"/>
  <c r="I108" i="5"/>
  <c r="I48" i="5"/>
  <c r="I101" i="4"/>
  <c r="I71" i="7"/>
  <c r="I306" i="4"/>
  <c r="I181" i="5"/>
  <c r="I378" i="4"/>
  <c r="I30" i="6"/>
  <c r="I92" i="4"/>
  <c r="I87" i="5"/>
  <c r="I175" i="4"/>
  <c r="I60" i="5"/>
  <c r="I126" i="4"/>
  <c r="I17" i="5"/>
  <c r="I32" i="4"/>
  <c r="I44" i="6"/>
  <c r="I139" i="4"/>
  <c r="I88" i="6"/>
  <c r="I284" i="4"/>
  <c r="I172" i="5"/>
  <c r="I358" i="4"/>
  <c r="I160" i="5"/>
  <c r="I328" i="4"/>
  <c r="I83" i="6"/>
  <c r="I261" i="4"/>
  <c r="I102" i="6"/>
  <c r="I343" i="4"/>
  <c r="I17" i="7"/>
  <c r="I64" i="4"/>
  <c r="I20" i="5"/>
  <c r="I39" i="4"/>
  <c r="I26" i="7"/>
  <c r="I104" i="4"/>
  <c r="I34" i="7"/>
  <c r="I136" i="4"/>
  <c r="I69" i="7"/>
  <c r="I301" i="4"/>
  <c r="I31" i="5"/>
  <c r="I61" i="4"/>
  <c r="I130" i="5"/>
  <c r="I269" i="4"/>
  <c r="I27" i="6"/>
  <c r="I83" i="4"/>
  <c r="I407" i="4"/>
  <c r="I124" i="6"/>
  <c r="I73" i="6"/>
  <c r="I222" i="4"/>
  <c r="I63" i="5"/>
  <c r="I129" i="4"/>
  <c r="I4" i="7"/>
  <c r="I9" i="4"/>
  <c r="I120" i="6"/>
  <c r="I393" i="4"/>
  <c r="I81" i="7"/>
  <c r="I341" i="4"/>
  <c r="I164" i="5"/>
  <c r="I338" i="4"/>
  <c r="I135" i="5"/>
  <c r="I277" i="4"/>
  <c r="I69" i="6"/>
  <c r="I217" i="4"/>
  <c r="I87" i="6"/>
  <c r="I275" i="4"/>
  <c r="I4" i="4"/>
  <c r="I4" i="5"/>
  <c r="I18" i="5"/>
  <c r="I34" i="4"/>
  <c r="I46" i="6"/>
  <c r="I148" i="4"/>
  <c r="I54" i="7"/>
  <c r="I242" i="4"/>
  <c r="I82" i="5"/>
  <c r="I168" i="4"/>
  <c r="I158" i="5"/>
  <c r="I323" i="4"/>
  <c r="I107" i="5"/>
  <c r="I216" i="4"/>
  <c r="I13" i="7"/>
  <c r="I50" i="4"/>
  <c r="I44" i="7"/>
  <c r="I178" i="4"/>
  <c r="I77" i="4"/>
  <c r="I41" i="5"/>
  <c r="I10" i="5"/>
  <c r="I17" i="4"/>
  <c r="I187" i="5"/>
  <c r="I385" i="4"/>
  <c r="I397" i="4"/>
  <c r="I122" i="6"/>
  <c r="I11" i="6"/>
  <c r="I29" i="4"/>
  <c r="I116" i="5"/>
  <c r="I239" i="4"/>
  <c r="I65" i="5"/>
  <c r="I131" i="4"/>
  <c r="I37" i="6"/>
  <c r="I105" i="4"/>
  <c r="I22" i="6"/>
  <c r="I68" i="4"/>
  <c r="I42" i="7"/>
  <c r="I171" i="4"/>
  <c r="I193" i="5"/>
  <c r="I398" i="4"/>
  <c r="I41" i="6"/>
  <c r="I125" i="4"/>
  <c r="I211" i="5"/>
  <c r="I429" i="4"/>
  <c r="I52" i="7"/>
  <c r="I237" i="4"/>
  <c r="I94" i="6"/>
  <c r="I298" i="4"/>
  <c r="I36" i="6"/>
  <c r="I103" i="4"/>
  <c r="I168" i="5"/>
  <c r="I345" i="4"/>
  <c r="I176" i="5"/>
  <c r="I366" i="4"/>
  <c r="I90" i="6"/>
  <c r="I292" i="4"/>
  <c r="I28" i="5"/>
  <c r="I56" i="4"/>
  <c r="I5" i="7"/>
  <c r="I10" i="4"/>
  <c r="I93" i="6"/>
  <c r="I297" i="4"/>
  <c r="I8" i="7"/>
  <c r="I27" i="4"/>
  <c r="I70" i="5"/>
  <c r="I144" i="4"/>
  <c r="I28" i="6"/>
  <c r="I86" i="4"/>
  <c r="I115" i="6"/>
  <c r="I374" i="4"/>
  <c r="I50" i="7"/>
  <c r="I228" i="4"/>
  <c r="I132" i="5"/>
  <c r="I272" i="4"/>
  <c r="I137" i="5"/>
  <c r="I280" i="4"/>
  <c r="I56" i="6"/>
  <c r="I185" i="4"/>
  <c r="I86" i="7"/>
  <c r="I356" i="4"/>
  <c r="I33" i="7"/>
  <c r="I135" i="4"/>
  <c r="I25" i="5"/>
  <c r="I49" i="4"/>
  <c r="I113" i="6"/>
  <c r="I370" i="4"/>
  <c r="I43" i="5"/>
  <c r="I82" i="4"/>
  <c r="I60" i="7"/>
  <c r="I271" i="4"/>
  <c r="I188" i="5"/>
  <c r="I386" i="4"/>
  <c r="I58" i="7"/>
  <c r="I252" i="4"/>
  <c r="I127" i="5"/>
  <c r="I264" i="4"/>
  <c r="I206" i="5"/>
  <c r="I423" i="4"/>
  <c r="I10" i="6"/>
  <c r="I25" i="4"/>
  <c r="I84" i="6"/>
  <c r="I262" i="4"/>
  <c r="I91" i="5"/>
  <c r="I184" i="4"/>
  <c r="I136" i="5"/>
  <c r="I278" i="4"/>
  <c r="I73" i="5"/>
  <c r="I147" i="4"/>
  <c r="I97" i="5"/>
  <c r="I199" i="4"/>
  <c r="I15" i="6"/>
  <c r="I38" i="4"/>
  <c r="I69" i="5"/>
  <c r="I143" i="4"/>
  <c r="I56" i="5"/>
  <c r="I116" i="4"/>
  <c r="I72" i="7"/>
  <c r="I312" i="4"/>
  <c r="I55" i="7"/>
  <c r="I244" i="4"/>
  <c r="I45" i="7"/>
  <c r="I190" i="4"/>
  <c r="I51" i="5"/>
  <c r="I108" i="4"/>
  <c r="I8" i="5"/>
  <c r="I14" i="4"/>
  <c r="I115" i="5"/>
  <c r="I236" i="4"/>
  <c r="I112" i="5"/>
  <c r="I231" i="4"/>
  <c r="I38" i="6"/>
  <c r="I114" i="4"/>
  <c r="I29" i="5"/>
  <c r="I58" i="4"/>
  <c r="I81" i="6"/>
  <c r="I254" i="4"/>
  <c r="I128" i="5"/>
  <c r="I266" i="4"/>
  <c r="I128" i="6"/>
  <c r="I205" i="5"/>
  <c r="I421" i="4"/>
  <c r="I112" i="6"/>
  <c r="I368" i="4"/>
  <c r="I186" i="5"/>
  <c r="I384" i="4"/>
  <c r="I347" i="4"/>
  <c r="I104" i="6"/>
  <c r="I59" i="7"/>
  <c r="I257" i="4"/>
  <c r="I138" i="5"/>
  <c r="I281" i="4"/>
  <c r="I173" i="5"/>
  <c r="I359" i="4"/>
  <c r="I113" i="5"/>
  <c r="I232" i="4"/>
  <c r="I430" i="4"/>
  <c r="I130" i="6"/>
  <c r="I117" i="5"/>
  <c r="I241" i="4"/>
  <c r="I21" i="7"/>
  <c r="I90" i="4"/>
  <c r="I149" i="5"/>
  <c r="I309" i="4"/>
  <c r="I22" i="7"/>
  <c r="I91" i="4"/>
  <c r="I79" i="6"/>
  <c r="I248" i="4"/>
  <c r="I100" i="6"/>
  <c r="I334" i="4"/>
  <c r="I146" i="5"/>
  <c r="I304" i="4"/>
  <c r="I14" i="5"/>
  <c r="I26" i="4"/>
  <c r="I146" i="4"/>
  <c r="I72" i="5"/>
  <c r="I204" i="5"/>
  <c r="I418" i="4"/>
  <c r="I98" i="6"/>
  <c r="I320" i="4"/>
  <c r="I66" i="7"/>
  <c r="I291" i="4"/>
  <c r="I36" i="7"/>
  <c r="I149" i="4"/>
  <c r="I15" i="5"/>
  <c r="I9" i="7"/>
  <c r="I28" i="4"/>
  <c r="I3" i="5"/>
  <c r="I3" i="4"/>
  <c r="I21" i="6"/>
  <c r="I53" i="4"/>
  <c r="I8" i="6"/>
  <c r="I22" i="4"/>
  <c r="I53" i="7"/>
  <c r="I240" i="4"/>
  <c r="I71" i="5"/>
  <c r="I145" i="4"/>
  <c r="I42" i="5"/>
  <c r="I81" i="4"/>
  <c r="E27" i="6"/>
  <c r="E83" i="4"/>
  <c r="J112" i="2"/>
  <c r="E66" i="8"/>
  <c r="J228" i="2"/>
  <c r="E87" i="8"/>
  <c r="J285" i="2"/>
  <c r="I65" i="4"/>
  <c r="I33" i="5"/>
  <c r="I91" i="7"/>
  <c r="I405" i="4"/>
  <c r="E180" i="5"/>
  <c r="E377" i="4"/>
  <c r="J688" i="2"/>
  <c r="E168" i="8"/>
  <c r="E78" i="7"/>
  <c r="E331" i="4"/>
  <c r="J527" i="2"/>
  <c r="E106" i="8"/>
  <c r="J345" i="2"/>
  <c r="E145" i="4"/>
  <c r="E71" i="5"/>
  <c r="J279" i="2"/>
  <c r="E63" i="5"/>
  <c r="E129" i="4"/>
  <c r="J224" i="2"/>
  <c r="E4" i="7"/>
  <c r="E9" i="4"/>
  <c r="J6" i="2"/>
  <c r="E134" i="5"/>
  <c r="E274" i="4"/>
  <c r="J564" i="2"/>
  <c r="E36" i="8"/>
  <c r="J146" i="2"/>
  <c r="E22" i="6"/>
  <c r="E68" i="4"/>
  <c r="J87" i="2"/>
  <c r="E139" i="5"/>
  <c r="E282" i="4"/>
  <c r="J588" i="2"/>
  <c r="I185" i="5"/>
  <c r="I383" i="4"/>
  <c r="E61" i="7"/>
  <c r="E276" i="4"/>
  <c r="J440" i="2"/>
  <c r="E93" i="7"/>
  <c r="E410" i="4"/>
  <c r="J647" i="2"/>
  <c r="E83" i="5"/>
  <c r="E169" i="4"/>
  <c r="J327" i="2"/>
  <c r="E55" i="8"/>
  <c r="J201" i="2"/>
  <c r="E110" i="8"/>
  <c r="J356" i="2"/>
  <c r="I372" i="4"/>
  <c r="I114" i="6"/>
  <c r="I93" i="7"/>
  <c r="I410" i="4"/>
  <c r="E173" i="5"/>
  <c r="E359" i="4"/>
  <c r="J668" i="2"/>
  <c r="E147" i="8"/>
  <c r="C683" i="12"/>
  <c r="I61" i="6"/>
  <c r="I196" i="4"/>
  <c r="C687" i="12"/>
  <c r="E159" i="8"/>
  <c r="J441" i="2"/>
  <c r="E87" i="5"/>
  <c r="E175" i="4"/>
  <c r="J342" i="2"/>
  <c r="I171" i="5"/>
  <c r="I357" i="4"/>
  <c r="I118" i="6"/>
  <c r="I391" i="4"/>
  <c r="C694" i="12"/>
  <c r="E209" i="5"/>
  <c r="E426" i="4"/>
  <c r="J724" i="2"/>
  <c r="C692" i="12"/>
  <c r="E91" i="5"/>
  <c r="E184" i="4"/>
  <c r="J351" i="2"/>
  <c r="E18" i="6"/>
  <c r="E48" i="4"/>
  <c r="J67" i="2"/>
  <c r="I392" i="4"/>
  <c r="I119" i="6"/>
  <c r="I78" i="6"/>
  <c r="I247" i="4"/>
  <c r="E30" i="6"/>
  <c r="E92" i="4"/>
  <c r="J134" i="2"/>
  <c r="C678" i="12"/>
  <c r="C673" i="12"/>
  <c r="E72" i="5"/>
  <c r="E146" i="4"/>
  <c r="J289" i="2"/>
  <c r="E79" i="5"/>
  <c r="E161" i="4"/>
  <c r="J308" i="2"/>
  <c r="E44" i="5"/>
  <c r="E84" i="4"/>
  <c r="J135" i="2"/>
  <c r="E21" i="5"/>
  <c r="E42" i="4"/>
  <c r="J105" i="2"/>
  <c r="I12" i="7"/>
  <c r="I47" i="4"/>
  <c r="E150" i="8"/>
  <c r="J417" i="2"/>
  <c r="I44" i="5"/>
  <c r="I84" i="4"/>
  <c r="I27" i="5"/>
  <c r="I55" i="4"/>
  <c r="E10" i="5"/>
  <c r="E17" i="4"/>
  <c r="J37" i="2"/>
  <c r="I202" i="5"/>
  <c r="I415" i="4"/>
  <c r="C722" i="12"/>
  <c r="I32" i="6"/>
  <c r="I95" i="4"/>
  <c r="I99" i="6"/>
  <c r="I326" i="4"/>
  <c r="E33" i="6"/>
  <c r="E98" i="4"/>
  <c r="J151" i="2"/>
  <c r="E90" i="8"/>
  <c r="J297" i="2"/>
  <c r="I111" i="6"/>
  <c r="I364" i="4"/>
  <c r="E172" i="8"/>
  <c r="J463" i="2"/>
  <c r="E102" i="8"/>
  <c r="J324" i="2"/>
  <c r="I337" i="4"/>
  <c r="I163" i="5"/>
  <c r="E171" i="8"/>
  <c r="J467" i="2"/>
  <c r="E119" i="8"/>
  <c r="J376" i="2"/>
  <c r="I62" i="5"/>
  <c r="I128" i="4"/>
  <c r="I144" i="5"/>
  <c r="I299" i="4"/>
  <c r="E8" i="8"/>
  <c r="J25" i="2"/>
  <c r="I71" i="6"/>
  <c r="I220" i="4"/>
  <c r="I39" i="7"/>
  <c r="I158" i="4"/>
  <c r="I188" i="4"/>
  <c r="I93" i="5"/>
  <c r="E123" i="5"/>
  <c r="E258" i="4"/>
  <c r="J538" i="2"/>
  <c r="E158" i="8"/>
  <c r="J437" i="2"/>
  <c r="I75" i="5"/>
  <c r="I153" i="4"/>
  <c r="E140" i="5"/>
  <c r="E283" i="4"/>
  <c r="J587" i="2"/>
  <c r="E47" i="9"/>
  <c r="I75" i="6"/>
  <c r="I230" i="4"/>
  <c r="C685" i="12"/>
  <c r="E53" i="5"/>
  <c r="E110" i="4"/>
  <c r="J200" i="2"/>
  <c r="E106" i="4"/>
  <c r="E49" i="5"/>
  <c r="J182" i="2"/>
  <c r="I103" i="6"/>
  <c r="I346" i="4"/>
  <c r="I92" i="6"/>
  <c r="I294" i="4"/>
  <c r="E40" i="5"/>
  <c r="E75" i="4"/>
  <c r="J133" i="2"/>
  <c r="E96" i="6"/>
  <c r="E305" i="4"/>
  <c r="J537" i="2"/>
  <c r="I152" i="4"/>
  <c r="I74" i="5"/>
  <c r="E51" i="7"/>
  <c r="E233" i="4"/>
  <c r="J337" i="2"/>
  <c r="E8" i="7"/>
  <c r="E27" i="4"/>
  <c r="J32" i="2"/>
  <c r="I61" i="7"/>
  <c r="I276" i="4"/>
  <c r="I126" i="5"/>
  <c r="I263" i="4"/>
  <c r="E105" i="6"/>
  <c r="E350" i="4"/>
  <c r="J594" i="2"/>
  <c r="E177" i="8"/>
  <c r="J479" i="2"/>
  <c r="I81" i="5"/>
  <c r="I163" i="4"/>
  <c r="E87" i="7"/>
  <c r="E367" i="4"/>
  <c r="J579" i="2"/>
  <c r="I85" i="5"/>
  <c r="I173" i="4"/>
  <c r="I156" i="5"/>
  <c r="I321" i="4"/>
  <c r="C710" i="12"/>
  <c r="I46" i="7"/>
  <c r="I192" i="4"/>
  <c r="E56" i="6"/>
  <c r="E185" i="4"/>
  <c r="J218" i="2"/>
  <c r="E86" i="7"/>
  <c r="E356" i="4"/>
  <c r="J565" i="2"/>
  <c r="C712" i="12"/>
  <c r="E44" i="7"/>
  <c r="E178" i="4"/>
  <c r="J247" i="2"/>
  <c r="E3" i="5"/>
  <c r="E3" i="4"/>
  <c r="F2" i="3"/>
  <c r="J2" i="2"/>
  <c r="E17" i="8"/>
  <c r="J80" i="2"/>
  <c r="I16" i="7"/>
  <c r="I62" i="4"/>
  <c r="E206" i="5"/>
  <c r="E423" i="4"/>
  <c r="J721" i="2"/>
  <c r="I50" i="5"/>
  <c r="I107" i="4"/>
  <c r="I288" i="4"/>
  <c r="I89" i="6"/>
  <c r="E11" i="7"/>
  <c r="E44" i="4"/>
  <c r="J50" i="2"/>
  <c r="E200" i="8"/>
  <c r="J528" i="2"/>
  <c r="I9" i="6"/>
  <c r="I23" i="4"/>
  <c r="E26" i="5"/>
  <c r="E54" i="4"/>
  <c r="J91" i="2"/>
  <c r="E34" i="6"/>
  <c r="E99" i="4"/>
  <c r="J147" i="2"/>
  <c r="E130" i="8"/>
  <c r="J386" i="2"/>
  <c r="E161" i="5"/>
  <c r="E330" i="4"/>
  <c r="J638" i="2"/>
  <c r="C691" i="12"/>
  <c r="E9" i="8"/>
  <c r="J22" i="2"/>
  <c r="E97" i="7"/>
  <c r="E428" i="4"/>
  <c r="J682" i="2"/>
  <c r="E74" i="6"/>
  <c r="E226" i="4"/>
  <c r="J357" i="2"/>
  <c r="I29" i="6"/>
  <c r="I88" i="4"/>
  <c r="E38" i="8"/>
  <c r="J157" i="2"/>
  <c r="E154" i="8"/>
  <c r="E242" i="4"/>
  <c r="E54" i="7"/>
  <c r="J348" i="2"/>
  <c r="I40" i="6"/>
  <c r="I121" i="4"/>
  <c r="E183" i="8"/>
  <c r="J494" i="2"/>
  <c r="E50" i="8"/>
  <c r="J196" i="2"/>
  <c r="E66" i="5"/>
  <c r="E134" i="4"/>
  <c r="J268" i="2"/>
  <c r="I59" i="5"/>
  <c r="I120" i="4"/>
  <c r="E20" i="8"/>
  <c r="J95" i="2"/>
  <c r="E169" i="8"/>
  <c r="J459" i="2"/>
  <c r="E312" i="4"/>
  <c r="E72" i="7"/>
  <c r="J484" i="2"/>
  <c r="E181" i="5"/>
  <c r="E378" i="4"/>
  <c r="J687" i="2"/>
  <c r="E12" i="8"/>
  <c r="J66" i="2"/>
  <c r="E4" i="6"/>
  <c r="E11" i="4"/>
  <c r="J11" i="2"/>
  <c r="E6" i="5"/>
  <c r="E7" i="4"/>
  <c r="J9" i="2"/>
  <c r="E15" i="8"/>
  <c r="J53" i="2"/>
  <c r="E74" i="8"/>
  <c r="J255" i="2"/>
  <c r="I200" i="5"/>
  <c r="I411" i="4"/>
  <c r="I125" i="6"/>
  <c r="I409" i="4"/>
  <c r="E165" i="5"/>
  <c r="E339" i="4"/>
  <c r="J646" i="2"/>
  <c r="I96" i="5"/>
  <c r="I198" i="4"/>
  <c r="I77" i="5"/>
  <c r="I159" i="4"/>
  <c r="I159" i="5"/>
  <c r="I324" i="4"/>
  <c r="C664" i="12"/>
  <c r="I133" i="5"/>
  <c r="I273" i="4"/>
  <c r="I109" i="6"/>
  <c r="I361" i="4"/>
  <c r="C676" i="12"/>
  <c r="E17" i="5"/>
  <c r="E32" i="4"/>
  <c r="J75" i="2"/>
  <c r="E91" i="6"/>
  <c r="E293" i="4"/>
  <c r="J512" i="2"/>
  <c r="I52" i="5"/>
  <c r="I109" i="4"/>
  <c r="I377" i="4"/>
  <c r="I180" i="5"/>
  <c r="E90" i="5"/>
  <c r="E182" i="4"/>
  <c r="J362" i="2"/>
  <c r="C668" i="12"/>
  <c r="E172" i="5"/>
  <c r="E358" i="4"/>
  <c r="J658" i="2"/>
  <c r="E119" i="5"/>
  <c r="E246" i="4"/>
  <c r="J499" i="2"/>
  <c r="E73" i="5"/>
  <c r="E147" i="4"/>
  <c r="J271" i="2"/>
  <c r="I11" i="7"/>
  <c r="I44" i="4"/>
  <c r="I196" i="5"/>
  <c r="I402" i="4"/>
  <c r="I13" i="6"/>
  <c r="I33" i="4"/>
  <c r="I95" i="5"/>
  <c r="I191" i="4"/>
  <c r="E153" i="8"/>
  <c r="J422" i="2"/>
  <c r="I394" i="4"/>
  <c r="I121" i="6"/>
  <c r="E103" i="8"/>
  <c r="J335" i="2"/>
  <c r="I190" i="5"/>
  <c r="I389" i="4"/>
  <c r="E109" i="5"/>
  <c r="E224" i="4"/>
  <c r="J458" i="2"/>
  <c r="E45" i="5"/>
  <c r="E87" i="4"/>
  <c r="J155" i="2"/>
  <c r="E36" i="6"/>
  <c r="E103" i="4"/>
  <c r="J154" i="2"/>
  <c r="E74" i="5"/>
  <c r="E152" i="4"/>
  <c r="J291" i="2"/>
  <c r="E124" i="6"/>
  <c r="E407" i="4"/>
  <c r="J674" i="2"/>
  <c r="E51" i="6"/>
  <c r="E167" i="4"/>
  <c r="J261" i="2"/>
  <c r="E9" i="5"/>
  <c r="E16" i="4"/>
  <c r="J35" i="2"/>
  <c r="E57" i="8"/>
  <c r="J204" i="2"/>
  <c r="I380" i="4"/>
  <c r="I183" i="5"/>
  <c r="E112" i="8"/>
  <c r="J361" i="2"/>
  <c r="E144" i="8"/>
  <c r="J409" i="2"/>
  <c r="I203" i="4"/>
  <c r="I100" i="5"/>
  <c r="E80" i="5"/>
  <c r="E162" i="4"/>
  <c r="J280" i="2"/>
  <c r="I6" i="5"/>
  <c r="I7" i="4"/>
  <c r="E170" i="5"/>
  <c r="E355" i="4"/>
  <c r="J665" i="2"/>
  <c r="I68" i="7"/>
  <c r="I300" i="4"/>
  <c r="I64" i="5"/>
  <c r="I130" i="4"/>
  <c r="E111" i="5"/>
  <c r="E229" i="4"/>
  <c r="J468" i="2"/>
  <c r="E127" i="8"/>
  <c r="J378" i="2"/>
  <c r="I68" i="5"/>
  <c r="I142" i="4"/>
  <c r="E76" i="6"/>
  <c r="E234" i="4"/>
  <c r="J387" i="2"/>
  <c r="I82" i="6"/>
  <c r="I256" i="4"/>
  <c r="I61" i="5"/>
  <c r="I127" i="4"/>
  <c r="I148" i="5"/>
  <c r="I308" i="4"/>
  <c r="E149" i="5"/>
  <c r="E309" i="4"/>
  <c r="J622" i="2"/>
  <c r="E48" i="8"/>
  <c r="J191" i="2"/>
  <c r="E22" i="7"/>
  <c r="E91" i="4"/>
  <c r="J120" i="2"/>
  <c r="I5" i="6"/>
  <c r="I7" i="5"/>
  <c r="I12" i="4"/>
  <c r="E36" i="7"/>
  <c r="E149" i="4"/>
  <c r="J227" i="2"/>
  <c r="I88" i="7"/>
  <c r="I375" i="4"/>
  <c r="I101" i="6"/>
  <c r="I335" i="4"/>
  <c r="I147" i="5"/>
  <c r="I307" i="4"/>
  <c r="I427" i="4"/>
  <c r="I210" i="5"/>
  <c r="I179" i="5"/>
  <c r="I373" i="4"/>
  <c r="I90" i="5"/>
  <c r="I182" i="4"/>
  <c r="C693" i="12"/>
  <c r="C728" i="12"/>
  <c r="E88" i="5"/>
  <c r="E180" i="4"/>
  <c r="J352" i="2"/>
  <c r="I35" i="7"/>
  <c r="I137" i="4"/>
  <c r="I24" i="7"/>
  <c r="I97" i="4"/>
  <c r="E16" i="6"/>
  <c r="E40" i="4"/>
  <c r="J65" i="2"/>
  <c r="E222" i="8"/>
  <c r="J586" i="2"/>
  <c r="E53" i="7"/>
  <c r="E240" i="4"/>
  <c r="J358" i="2"/>
  <c r="E110" i="5"/>
  <c r="E227" i="4"/>
  <c r="J462" i="2"/>
  <c r="I14" i="6"/>
  <c r="I37" i="4"/>
  <c r="I74" i="7"/>
  <c r="I317" i="4"/>
  <c r="I59" i="6"/>
  <c r="I194" i="4"/>
  <c r="I191" i="5"/>
  <c r="I395" i="4"/>
  <c r="C690" i="12"/>
  <c r="E30" i="5"/>
  <c r="E59" i="4"/>
  <c r="J96" i="2"/>
  <c r="I157" i="5"/>
  <c r="I322" i="4"/>
  <c r="I9" i="5"/>
  <c r="I16" i="4"/>
  <c r="I42" i="6"/>
  <c r="I133" i="4"/>
  <c r="E51" i="8"/>
  <c r="J194" i="2"/>
  <c r="E13" i="5"/>
  <c r="E24" i="4"/>
  <c r="J36" i="2"/>
  <c r="I110" i="5"/>
  <c r="I227" i="4"/>
  <c r="E117" i="5"/>
  <c r="E241" i="4"/>
  <c r="J489" i="2"/>
  <c r="I65" i="6"/>
  <c r="I205" i="4"/>
  <c r="I72" i="6"/>
  <c r="I221" i="4"/>
  <c r="I80" i="5"/>
  <c r="I162" i="4"/>
  <c r="E13" i="8"/>
  <c r="J63" i="2"/>
  <c r="E138" i="5"/>
  <c r="E281" i="4"/>
  <c r="J577" i="2"/>
  <c r="E195" i="8"/>
  <c r="J520" i="2"/>
  <c r="E76" i="7"/>
  <c r="E327" i="4"/>
  <c r="J519" i="2"/>
  <c r="E118" i="5"/>
  <c r="E243" i="4"/>
  <c r="J495" i="2"/>
  <c r="C697" i="12"/>
  <c r="E114" i="5"/>
  <c r="E235" i="4"/>
  <c r="J478" i="2"/>
  <c r="E65" i="7"/>
  <c r="E290" i="4"/>
  <c r="J475" i="2"/>
  <c r="I123" i="6"/>
  <c r="I400" i="4"/>
  <c r="I412" i="4"/>
  <c r="I94" i="7"/>
  <c r="E146" i="8"/>
  <c r="E26" i="8"/>
  <c r="J94" i="2"/>
  <c r="E43" i="5"/>
  <c r="E82" i="4"/>
  <c r="J148" i="2"/>
  <c r="I67" i="7"/>
  <c r="I295" i="4"/>
  <c r="C663" i="12"/>
  <c r="E52" i="5"/>
  <c r="E109" i="4"/>
  <c r="J198" i="2"/>
  <c r="I198" i="5"/>
  <c r="I404" i="4"/>
  <c r="E20" i="5"/>
  <c r="E39" i="4"/>
  <c r="J58" i="2"/>
  <c r="I16" i="6"/>
  <c r="I40" i="4"/>
  <c r="I38" i="7"/>
  <c r="I157" i="4"/>
  <c r="E107" i="8"/>
  <c r="J344" i="2"/>
  <c r="I167" i="5"/>
  <c r="I342" i="4"/>
  <c r="I194" i="5"/>
  <c r="I399" i="4"/>
  <c r="E101" i="6"/>
  <c r="E335" i="4"/>
  <c r="J580" i="2"/>
  <c r="I203" i="5"/>
  <c r="I417" i="4"/>
  <c r="I49" i="6"/>
  <c r="I155" i="4"/>
  <c r="E34" i="8"/>
  <c r="J136" i="2"/>
  <c r="E14" i="5"/>
  <c r="E26" i="4"/>
  <c r="J45" i="2"/>
  <c r="E41" i="6"/>
  <c r="E125" i="4"/>
  <c r="J195" i="2"/>
  <c r="E88" i="7"/>
  <c r="E375" i="4"/>
  <c r="J597" i="2"/>
  <c r="I32" i="5"/>
  <c r="I63" i="4"/>
  <c r="E25" i="8"/>
  <c r="J119" i="2"/>
  <c r="E45" i="7"/>
  <c r="E190" i="4"/>
  <c r="J270" i="2"/>
  <c r="E8" i="6"/>
  <c r="E22" i="4"/>
  <c r="J28" i="2"/>
  <c r="E51" i="5"/>
  <c r="E108" i="4"/>
  <c r="J187" i="2"/>
  <c r="I47" i="5"/>
  <c r="I93" i="4"/>
  <c r="E53" i="9"/>
  <c r="J611" i="2"/>
  <c r="I47" i="6"/>
  <c r="I150" i="4"/>
  <c r="I47" i="7"/>
  <c r="I206" i="4"/>
  <c r="E31" i="6"/>
  <c r="E94" i="4"/>
  <c r="J127" i="2"/>
  <c r="I13" i="5"/>
  <c r="I24" i="4"/>
  <c r="E139" i="8"/>
  <c r="J402" i="2"/>
  <c r="I139" i="5"/>
  <c r="I282" i="4"/>
  <c r="E84" i="7"/>
  <c r="E351" i="4"/>
  <c r="J556" i="2"/>
  <c r="C713" i="12"/>
  <c r="E68" i="7"/>
  <c r="E300" i="4"/>
  <c r="J477" i="2"/>
  <c r="E201" i="5"/>
  <c r="E413" i="4"/>
  <c r="J715" i="2"/>
  <c r="E25" i="5"/>
  <c r="E49" i="4"/>
  <c r="J102" i="2"/>
  <c r="E28" i="6"/>
  <c r="E86" i="4"/>
  <c r="J115" i="2"/>
  <c r="E169" i="5"/>
  <c r="E349" i="4"/>
  <c r="J655" i="2"/>
  <c r="C706" i="12"/>
  <c r="E142" i="5"/>
  <c r="E289" i="4"/>
  <c r="J598" i="2"/>
  <c r="I76" i="7"/>
  <c r="I327" i="4"/>
  <c r="I20" i="6"/>
  <c r="I52" i="4"/>
  <c r="E101" i="8"/>
  <c r="I121" i="5"/>
  <c r="I251" i="4"/>
  <c r="I57" i="5"/>
  <c r="I118" i="4"/>
  <c r="E17" i="6"/>
  <c r="E41" i="4"/>
  <c r="J54" i="2"/>
  <c r="E28" i="8"/>
  <c r="J118" i="2"/>
  <c r="E41" i="8"/>
  <c r="J165" i="2"/>
  <c r="I97" i="6"/>
  <c r="I315" i="4"/>
  <c r="I86" i="5"/>
  <c r="I174" i="4"/>
  <c r="I152" i="5"/>
  <c r="I313" i="4"/>
  <c r="E37" i="6"/>
  <c r="E105" i="4"/>
  <c r="J156" i="2"/>
  <c r="E27" i="5"/>
  <c r="E55" i="4"/>
  <c r="J73" i="2"/>
  <c r="I21" i="5"/>
  <c r="I42" i="4"/>
  <c r="E74" i="7"/>
  <c r="E317" i="4"/>
  <c r="J508" i="2"/>
  <c r="J526" i="2"/>
  <c r="E10" i="7"/>
  <c r="E35" i="4"/>
  <c r="J44" i="2"/>
  <c r="I43" i="7"/>
  <c r="I177" i="4"/>
  <c r="E43" i="6"/>
  <c r="E138" i="4"/>
  <c r="J215" i="2"/>
  <c r="E198" i="8"/>
  <c r="J524" i="2"/>
  <c r="J295" i="2"/>
  <c r="E107" i="5"/>
  <c r="E216" i="4"/>
  <c r="J438" i="2"/>
  <c r="E26" i="6"/>
  <c r="E80" i="4"/>
  <c r="J111" i="2"/>
  <c r="E123" i="6"/>
  <c r="E400" i="4"/>
  <c r="J666" i="2"/>
  <c r="I39" i="6"/>
  <c r="I117" i="4"/>
  <c r="E58" i="6"/>
  <c r="E193" i="4"/>
  <c r="J296" i="2"/>
  <c r="E179" i="5"/>
  <c r="E373" i="4"/>
  <c r="J679" i="2"/>
  <c r="I192" i="5"/>
  <c r="I396" i="4"/>
  <c r="E212" i="8"/>
  <c r="J558" i="2"/>
  <c r="I64" i="6"/>
  <c r="I204" i="4"/>
  <c r="I85" i="7"/>
  <c r="I353" i="4"/>
  <c r="E154" i="5"/>
  <c r="E318" i="4"/>
  <c r="J628" i="2"/>
  <c r="E150" i="5"/>
  <c r="E310" i="4"/>
  <c r="J623" i="2"/>
  <c r="E54" i="9"/>
  <c r="J617" i="2"/>
  <c r="I101" i="5"/>
  <c r="I207" i="4"/>
  <c r="I22" i="5"/>
  <c r="I43" i="4"/>
  <c r="I18" i="7"/>
  <c r="I71" i="4"/>
  <c r="I35" i="6"/>
  <c r="I102" i="4"/>
  <c r="I57" i="7"/>
  <c r="I249" i="4"/>
  <c r="I45" i="6"/>
  <c r="I141" i="4"/>
  <c r="I31" i="6"/>
  <c r="I94" i="4"/>
  <c r="E18" i="5"/>
  <c r="E34" i="4"/>
  <c r="J59" i="2"/>
  <c r="E35" i="5"/>
  <c r="E67" i="4"/>
  <c r="J124" i="2"/>
  <c r="I178" i="5"/>
  <c r="I371" i="4"/>
  <c r="E63" i="6"/>
  <c r="E202" i="4"/>
  <c r="J310" i="2"/>
  <c r="I207" i="5"/>
  <c r="I424" i="4"/>
  <c r="I46" i="5"/>
  <c r="I89" i="4"/>
  <c r="E64" i="8"/>
  <c r="J238" i="2"/>
  <c r="I23" i="7"/>
  <c r="I96" i="4"/>
  <c r="E130" i="6"/>
  <c r="E430" i="4"/>
  <c r="J716" i="2"/>
  <c r="E182" i="8"/>
  <c r="J492" i="2"/>
  <c r="I362" i="4"/>
  <c r="I110" i="6"/>
  <c r="E64" i="7"/>
  <c r="E287" i="4"/>
  <c r="J461" i="2"/>
  <c r="I92" i="5"/>
  <c r="I187" i="4"/>
  <c r="E20" i="7"/>
  <c r="E85" i="4"/>
  <c r="J83" i="2"/>
  <c r="E44" i="6"/>
  <c r="E139" i="4"/>
  <c r="J216" i="2"/>
  <c r="E120" i="5"/>
  <c r="E250" i="4"/>
  <c r="J510" i="2"/>
  <c r="E68" i="6"/>
  <c r="E211" i="4"/>
  <c r="J329" i="2"/>
  <c r="E120" i="8"/>
  <c r="J380" i="2"/>
  <c r="E194" i="8"/>
  <c r="I34" i="5"/>
  <c r="I66" i="4"/>
  <c r="E203" i="5"/>
  <c r="E417" i="4"/>
  <c r="J719" i="2"/>
  <c r="E108" i="5"/>
  <c r="E223" i="4"/>
  <c r="J431" i="2"/>
  <c r="I105" i="5"/>
  <c r="I214" i="4"/>
  <c r="I182" i="5"/>
  <c r="I379" i="4"/>
  <c r="E83" i="7"/>
  <c r="E348" i="4"/>
  <c r="J546" i="2"/>
  <c r="I56" i="7"/>
  <c r="I245" i="4"/>
  <c r="E177" i="5"/>
  <c r="E369" i="4"/>
  <c r="J675" i="2"/>
  <c r="I125" i="5"/>
  <c r="I260" i="4"/>
  <c r="E83" i="6"/>
  <c r="E261" i="4"/>
  <c r="J457" i="2"/>
  <c r="C662" i="12"/>
  <c r="E56" i="8"/>
  <c r="J205" i="2"/>
  <c r="E156" i="5"/>
  <c r="E321" i="4"/>
  <c r="J636" i="2"/>
  <c r="I253" i="4"/>
  <c r="I80" i="6"/>
  <c r="E70" i="8"/>
  <c r="J246" i="2"/>
  <c r="I150" i="5"/>
  <c r="I310" i="4"/>
  <c r="I54" i="5"/>
  <c r="I112" i="4"/>
  <c r="I25" i="7"/>
  <c r="I100" i="4"/>
  <c r="I78" i="5"/>
  <c r="I160" i="4"/>
  <c r="E183" i="5"/>
  <c r="E380" i="4"/>
  <c r="J690" i="2"/>
  <c r="I75" i="7"/>
  <c r="I325" i="4"/>
  <c r="E195" i="5"/>
  <c r="E401" i="4"/>
  <c r="J707" i="2"/>
  <c r="I10" i="7"/>
  <c r="I35" i="4"/>
  <c r="E98" i="5"/>
  <c r="E200" i="4"/>
  <c r="J405" i="2"/>
  <c r="I25" i="6"/>
  <c r="I79" i="4"/>
  <c r="E199" i="5"/>
  <c r="E406" i="4"/>
  <c r="J711" i="2"/>
  <c r="I195" i="5"/>
  <c r="I401" i="4"/>
  <c r="C700" i="12"/>
  <c r="I28" i="7"/>
  <c r="I115" i="4"/>
  <c r="E131" i="5"/>
  <c r="E270" i="4"/>
  <c r="J553" i="2"/>
  <c r="I124" i="5"/>
  <c r="I259" i="4"/>
  <c r="E5" i="6"/>
  <c r="E7" i="5"/>
  <c r="E12" i="4"/>
  <c r="J10" i="2"/>
  <c r="E272" i="4"/>
  <c r="E132" i="5"/>
  <c r="J571" i="2"/>
  <c r="C670" i="12"/>
  <c r="E143" i="8"/>
  <c r="J412" i="2"/>
  <c r="C672" i="12"/>
  <c r="I30" i="5"/>
  <c r="I59" i="4"/>
  <c r="I85" i="6"/>
  <c r="I265" i="4"/>
  <c r="E132" i="8"/>
  <c r="J395" i="2"/>
  <c r="I111" i="5"/>
  <c r="I229" i="4"/>
  <c r="J407" i="2"/>
  <c r="E44" i="8"/>
  <c r="J174" i="2"/>
  <c r="I70" i="6"/>
  <c r="I219" i="4"/>
  <c r="E171" i="5"/>
  <c r="E357" i="4"/>
  <c r="J670" i="2"/>
  <c r="E187" i="5"/>
  <c r="E385" i="4"/>
  <c r="J695" i="2"/>
  <c r="E58" i="5"/>
  <c r="E119" i="4"/>
  <c r="J175" i="2"/>
  <c r="I55" i="6"/>
  <c r="I183" i="4"/>
  <c r="M22" i="3"/>
  <c r="E21" i="6"/>
  <c r="E53" i="4"/>
  <c r="J74" i="2"/>
  <c r="E40" i="7"/>
  <c r="E164" i="4"/>
  <c r="J214" i="2"/>
  <c r="J199" i="2" l="1"/>
  <c r="J424" i="2"/>
  <c r="J569" i="2"/>
  <c r="J464" i="2"/>
  <c r="J90" i="2"/>
  <c r="J454" i="2"/>
  <c r="J233" i="2"/>
  <c r="J178" i="2"/>
  <c r="J309" i="2"/>
  <c r="J62" i="2"/>
  <c r="E10" i="9"/>
  <c r="E47" i="8"/>
  <c r="J363" i="2"/>
  <c r="J93" i="2"/>
  <c r="J26" i="2"/>
  <c r="H114" i="8"/>
  <c r="H185" i="8"/>
  <c r="J397" i="2"/>
  <c r="H43" i="8"/>
  <c r="H190" i="8"/>
  <c r="J138" i="2"/>
  <c r="H212" i="8"/>
  <c r="J281" i="2"/>
  <c r="H214" i="8"/>
  <c r="H141" i="8"/>
  <c r="H61" i="8"/>
  <c r="H63" i="8"/>
  <c r="H101" i="8"/>
  <c r="E157" i="8"/>
  <c r="H208" i="8"/>
  <c r="H75" i="8"/>
  <c r="H206" i="8"/>
  <c r="H177" i="8"/>
  <c r="J473" i="2"/>
  <c r="H66" i="8"/>
  <c r="H36" i="8"/>
  <c r="H81" i="8"/>
  <c r="H112" i="8"/>
  <c r="J262" i="2"/>
  <c r="H193" i="8"/>
  <c r="H111" i="8"/>
  <c r="H218" i="8"/>
  <c r="H77" i="8"/>
  <c r="H47" i="8"/>
  <c r="H223" i="8"/>
  <c r="H172" i="8"/>
  <c r="H128" i="8"/>
  <c r="H6" i="8"/>
  <c r="H191" i="8"/>
  <c r="H86" i="8"/>
  <c r="H179" i="8"/>
  <c r="H137" i="8"/>
  <c r="H27" i="8"/>
  <c r="H80" i="8"/>
  <c r="H180" i="8"/>
  <c r="H161" i="8"/>
  <c r="H73" i="8"/>
  <c r="H98" i="8"/>
  <c r="H94" i="8"/>
  <c r="H96" i="8"/>
  <c r="H227" i="8"/>
  <c r="H138" i="8"/>
  <c r="H174" i="8"/>
  <c r="H215" i="8"/>
  <c r="H210" i="8"/>
  <c r="H123" i="8"/>
  <c r="I30" i="9"/>
  <c r="I237" i="2"/>
  <c r="E31" i="8"/>
  <c r="J130" i="2"/>
  <c r="E99" i="8"/>
  <c r="J320" i="2"/>
  <c r="E65" i="8"/>
  <c r="J239" i="2"/>
  <c r="E35" i="8"/>
  <c r="J139" i="2"/>
  <c r="E116" i="8"/>
  <c r="J366" i="2"/>
  <c r="H182" i="8"/>
  <c r="H30" i="8"/>
  <c r="H207" i="8"/>
  <c r="I45" i="9"/>
  <c r="I455" i="2"/>
  <c r="I50" i="9"/>
  <c r="I578" i="2"/>
  <c r="H45" i="8"/>
  <c r="I69" i="9"/>
  <c r="I699" i="2"/>
  <c r="H196" i="8"/>
  <c r="H33" i="8"/>
  <c r="H95" i="8"/>
  <c r="I59" i="9"/>
  <c r="I654" i="2"/>
  <c r="H124" i="8"/>
  <c r="H224" i="8"/>
  <c r="H53" i="8"/>
  <c r="H93" i="8"/>
  <c r="H166" i="8"/>
  <c r="H11" i="8"/>
  <c r="H105" i="8"/>
  <c r="H87" i="8"/>
  <c r="H140" i="8"/>
  <c r="H51" i="8"/>
  <c r="H69" i="8"/>
  <c r="H165" i="8"/>
  <c r="H46" i="8"/>
  <c r="H154" i="8"/>
  <c r="H170" i="8"/>
  <c r="I7" i="9"/>
  <c r="I24" i="2"/>
  <c r="I31" i="9"/>
  <c r="I219" i="2"/>
  <c r="E133" i="8"/>
  <c r="J394" i="2"/>
  <c r="J568" i="2"/>
  <c r="E214" i="8"/>
  <c r="J383" i="2"/>
  <c r="E128" i="8"/>
  <c r="E141" i="8"/>
  <c r="J410" i="2"/>
  <c r="E160" i="8"/>
  <c r="J443" i="2"/>
  <c r="E61" i="8"/>
  <c r="J226" i="2"/>
  <c r="E45" i="8"/>
  <c r="J171" i="2"/>
  <c r="E63" i="8"/>
  <c r="J235" i="2"/>
  <c r="J566" i="2"/>
  <c r="E213" i="8"/>
  <c r="E184" i="8"/>
  <c r="J493" i="2"/>
  <c r="E178" i="8"/>
  <c r="J481" i="2"/>
  <c r="E201" i="8"/>
  <c r="J525" i="2"/>
  <c r="E217" i="8"/>
  <c r="J573" i="2"/>
  <c r="E75" i="8"/>
  <c r="J245" i="2"/>
  <c r="E76" i="8"/>
  <c r="J256" i="2"/>
  <c r="E46" i="9"/>
  <c r="J531" i="2"/>
  <c r="E37" i="8"/>
  <c r="J153" i="2"/>
  <c r="E142" i="8"/>
  <c r="J411" i="2"/>
  <c r="E49" i="8"/>
  <c r="J203" i="2"/>
  <c r="E131" i="8"/>
  <c r="J390" i="2"/>
  <c r="E149" i="8"/>
  <c r="J420" i="2"/>
  <c r="E29" i="8"/>
  <c r="J109" i="2"/>
  <c r="E136" i="8"/>
  <c r="J399" i="2"/>
  <c r="J15" i="2"/>
  <c r="E3" i="8"/>
  <c r="E226" i="8"/>
  <c r="J608" i="2"/>
  <c r="J192" i="2"/>
  <c r="E27" i="9"/>
  <c r="E28" i="9"/>
  <c r="J193" i="2"/>
  <c r="J500" i="2"/>
  <c r="E190" i="8"/>
  <c r="E202" i="8"/>
  <c r="J532" i="2"/>
  <c r="E109" i="8"/>
  <c r="J349" i="2"/>
  <c r="J48" i="2"/>
  <c r="E9" i="9"/>
  <c r="E175" i="8"/>
  <c r="J474" i="2"/>
  <c r="I42" i="9"/>
  <c r="I423" i="2"/>
  <c r="E185" i="8"/>
  <c r="J501" i="2"/>
  <c r="H204" i="8"/>
  <c r="I62" i="9"/>
  <c r="I660" i="2"/>
  <c r="H24" i="8"/>
  <c r="H12" i="8"/>
  <c r="H35" i="8"/>
  <c r="H31" i="8"/>
  <c r="H189" i="8"/>
  <c r="H121" i="8"/>
  <c r="H90" i="8"/>
  <c r="H158" i="8"/>
  <c r="H32" i="8"/>
  <c r="H122" i="8"/>
  <c r="H205" i="8"/>
  <c r="H211" i="8"/>
  <c r="H200" i="8"/>
  <c r="I39" i="9"/>
  <c r="I369" i="2"/>
  <c r="H197" i="8"/>
  <c r="H199" i="8"/>
  <c r="H52" i="8"/>
  <c r="H64" i="8"/>
  <c r="H65" i="8"/>
  <c r="H226" i="8"/>
  <c r="H54" i="8"/>
  <c r="H115" i="8"/>
  <c r="I52" i="9"/>
  <c r="I606" i="2"/>
  <c r="I12" i="9"/>
  <c r="I51" i="2"/>
  <c r="I37" i="9"/>
  <c r="I313" i="2"/>
  <c r="E118" i="8"/>
  <c r="J368" i="2"/>
  <c r="J552" i="2"/>
  <c r="E209" i="8"/>
  <c r="E135" i="8"/>
  <c r="J403" i="2"/>
  <c r="E21" i="8"/>
  <c r="J81" i="2"/>
  <c r="I63" i="9"/>
  <c r="I673" i="2"/>
  <c r="E58" i="8"/>
  <c r="J221" i="2"/>
  <c r="E124" i="8"/>
  <c r="J384" i="2"/>
  <c r="J184" i="2"/>
  <c r="E46" i="8"/>
  <c r="E151" i="8"/>
  <c r="J419" i="2"/>
  <c r="J243" i="2"/>
  <c r="E68" i="8"/>
  <c r="E79" i="8"/>
  <c r="J267" i="2"/>
  <c r="E166" i="8"/>
  <c r="J449" i="2"/>
  <c r="E221" i="8"/>
  <c r="J589" i="2"/>
  <c r="H104" i="8"/>
  <c r="H88" i="8"/>
  <c r="H133" i="8"/>
  <c r="H59" i="8"/>
  <c r="H181" i="8"/>
  <c r="H143" i="8"/>
  <c r="H168" i="8"/>
  <c r="H126" i="8"/>
  <c r="H106" i="8"/>
  <c r="H163" i="8"/>
  <c r="H139" i="8"/>
  <c r="H3" i="8"/>
  <c r="H92" i="8"/>
  <c r="H184" i="8"/>
  <c r="H187" i="8"/>
  <c r="H60" i="8"/>
  <c r="H167" i="8"/>
  <c r="H7" i="8"/>
  <c r="H44" i="8"/>
  <c r="H136" i="8"/>
  <c r="H8" i="8"/>
  <c r="J137" i="8" s="1"/>
  <c r="I33" i="9"/>
  <c r="I234" i="2"/>
  <c r="I67" i="9"/>
  <c r="I686" i="2"/>
  <c r="I22" i="9"/>
  <c r="I162" i="2"/>
  <c r="E223" i="8"/>
  <c r="J593" i="2"/>
  <c r="E108" i="8"/>
  <c r="J353" i="2"/>
  <c r="E89" i="8"/>
  <c r="J294" i="2"/>
  <c r="E69" i="8"/>
  <c r="J249" i="2"/>
  <c r="E85" i="8"/>
  <c r="J292" i="2"/>
  <c r="E77" i="8"/>
  <c r="J264" i="2"/>
  <c r="E59" i="8"/>
  <c r="J223" i="2"/>
  <c r="E97" i="8"/>
  <c r="J316" i="2"/>
  <c r="E115" i="8"/>
  <c r="J355" i="2"/>
  <c r="E164" i="8"/>
  <c r="J448" i="2"/>
  <c r="E40" i="9"/>
  <c r="J371" i="2"/>
  <c r="E205" i="8"/>
  <c r="J541" i="2"/>
  <c r="E60" i="8"/>
  <c r="J225" i="2"/>
  <c r="E203" i="8"/>
  <c r="J529" i="2"/>
  <c r="E206" i="8"/>
  <c r="J549" i="2"/>
  <c r="J595" i="2"/>
  <c r="E225" i="8"/>
  <c r="E196" i="8"/>
  <c r="J521" i="2"/>
  <c r="E91" i="8"/>
  <c r="J300" i="2"/>
  <c r="I74" i="9"/>
  <c r="I723" i="2"/>
  <c r="E121" i="8"/>
  <c r="J364" i="2"/>
  <c r="H148" i="8"/>
  <c r="H79" i="8"/>
  <c r="H217" i="8"/>
  <c r="H144" i="8"/>
  <c r="I34" i="9"/>
  <c r="I269" i="2"/>
  <c r="I73" i="9"/>
  <c r="I714" i="2"/>
  <c r="H55" i="8"/>
  <c r="I49" i="9"/>
  <c r="I563" i="2"/>
  <c r="H22" i="8"/>
  <c r="H50" i="8"/>
  <c r="H149" i="8"/>
  <c r="I61" i="9"/>
  <c r="I659" i="2"/>
  <c r="H38" i="8"/>
  <c r="H188" i="8"/>
  <c r="I25" i="9"/>
  <c r="I176" i="2"/>
  <c r="H131" i="8"/>
  <c r="H68" i="8"/>
  <c r="H85" i="8"/>
  <c r="H116" i="8"/>
  <c r="H175" i="8"/>
  <c r="H97" i="8"/>
  <c r="H178" i="8"/>
  <c r="H21" i="8"/>
  <c r="H70" i="8"/>
  <c r="H23" i="8"/>
  <c r="H49" i="8"/>
  <c r="H26" i="8"/>
  <c r="H222" i="8"/>
  <c r="H153" i="8"/>
  <c r="H125" i="8"/>
  <c r="H155" i="8"/>
  <c r="H220" i="8"/>
  <c r="I15" i="9"/>
  <c r="I92" i="2"/>
  <c r="I4" i="9"/>
  <c r="I18" i="2"/>
  <c r="I60" i="9"/>
  <c r="I657" i="2"/>
  <c r="I3" i="9"/>
  <c r="H28" i="9" s="1"/>
  <c r="I16" i="2"/>
  <c r="I38" i="9"/>
  <c r="I318" i="2"/>
  <c r="E67" i="8"/>
  <c r="J244" i="2"/>
  <c r="E111" i="8"/>
  <c r="J360" i="2"/>
  <c r="E18" i="8"/>
  <c r="J85" i="2"/>
  <c r="J250" i="2"/>
  <c r="E71" i="8"/>
  <c r="E125" i="8"/>
  <c r="J385" i="2"/>
  <c r="J487" i="2"/>
  <c r="E181" i="8"/>
  <c r="E105" i="8"/>
  <c r="J338" i="2"/>
  <c r="I18" i="9"/>
  <c r="I113" i="2"/>
  <c r="E186" i="8"/>
  <c r="J502" i="2"/>
  <c r="E122" i="8"/>
  <c r="J374" i="2"/>
  <c r="E219" i="8"/>
  <c r="J576" i="2"/>
  <c r="E7" i="8"/>
  <c r="J34" i="2"/>
  <c r="E54" i="8"/>
  <c r="J202" i="2"/>
  <c r="H20" i="8"/>
  <c r="I24" i="9"/>
  <c r="I173" i="2"/>
  <c r="H156" i="8"/>
  <c r="H83" i="8"/>
  <c r="H9" i="8"/>
  <c r="I13" i="9"/>
  <c r="I89" i="2"/>
  <c r="H164" i="8"/>
  <c r="H19" i="8"/>
  <c r="H18" i="8"/>
  <c r="H186" i="8"/>
  <c r="H216" i="8"/>
  <c r="H152" i="8"/>
  <c r="J503" i="2"/>
  <c r="H151" i="8"/>
  <c r="H171" i="8"/>
  <c r="H89" i="8"/>
  <c r="H209" i="8"/>
  <c r="H41" i="8"/>
  <c r="H225" i="8"/>
  <c r="H221" i="8"/>
  <c r="H103" i="8"/>
  <c r="H198" i="8"/>
  <c r="H34" i="8"/>
  <c r="H169" i="8"/>
  <c r="H99" i="8"/>
  <c r="H160" i="8"/>
  <c r="I5" i="9"/>
  <c r="I20" i="2"/>
  <c r="I14" i="9"/>
  <c r="I99" i="2"/>
  <c r="I68" i="9"/>
  <c r="I689" i="2"/>
  <c r="I51" i="9"/>
  <c r="I603" i="2"/>
  <c r="I36" i="9"/>
  <c r="I306" i="2"/>
  <c r="E70" i="9"/>
  <c r="J701" i="2"/>
  <c r="E72" i="8"/>
  <c r="J253" i="2"/>
  <c r="E95" i="8"/>
  <c r="J315" i="2"/>
  <c r="E40" i="8"/>
  <c r="J166" i="2"/>
  <c r="E4" i="8"/>
  <c r="F14" i="3"/>
  <c r="F22" i="3" s="1"/>
  <c r="J12" i="2"/>
  <c r="E81" i="8"/>
  <c r="J273" i="2"/>
  <c r="J585" i="2"/>
  <c r="E220" i="8"/>
  <c r="E216" i="8"/>
  <c r="J572" i="2"/>
  <c r="E163" i="8"/>
  <c r="J442" i="2"/>
  <c r="I29" i="9"/>
  <c r="I177" i="2"/>
  <c r="E55" i="9"/>
  <c r="J613" i="2"/>
  <c r="E30" i="8"/>
  <c r="J126" i="2"/>
  <c r="E117" i="8"/>
  <c r="J365" i="2"/>
  <c r="E33" i="8"/>
  <c r="J132" i="2"/>
  <c r="E100" i="8"/>
  <c r="J325" i="2"/>
  <c r="H4" i="8"/>
  <c r="H91" i="8"/>
  <c r="H192" i="8"/>
  <c r="H37" i="8"/>
  <c r="H142" i="8"/>
  <c r="I57" i="9"/>
  <c r="I642" i="2"/>
  <c r="H15" i="8"/>
  <c r="H109" i="8"/>
  <c r="I23" i="9"/>
  <c r="I149" i="2"/>
  <c r="H25" i="8"/>
  <c r="I41" i="9"/>
  <c r="I377" i="2"/>
  <c r="J278" i="2"/>
  <c r="I66" i="9"/>
  <c r="I684" i="2"/>
  <c r="H145" i="8"/>
  <c r="H102" i="8"/>
  <c r="H117" i="8"/>
  <c r="H110" i="8"/>
  <c r="H72" i="8"/>
  <c r="H173" i="8"/>
  <c r="H157" i="8"/>
  <c r="H56" i="8"/>
  <c r="H159" i="8"/>
  <c r="H119" i="8"/>
  <c r="H5" i="8"/>
  <c r="H82" i="8"/>
  <c r="H13" i="8"/>
  <c r="H10" i="8"/>
  <c r="H219" i="8"/>
  <c r="H195" i="8"/>
  <c r="H194" i="8"/>
  <c r="H146" i="8"/>
  <c r="H107" i="8"/>
  <c r="H84" i="8"/>
  <c r="I48" i="9"/>
  <c r="I559" i="2"/>
  <c r="I11" i="9"/>
  <c r="I64" i="2"/>
  <c r="I26" i="9"/>
  <c r="H26" i="9" s="1"/>
  <c r="I183" i="2"/>
  <c r="E24" i="8"/>
  <c r="J98" i="2"/>
  <c r="E134" i="8"/>
  <c r="J398" i="2"/>
  <c r="E211" i="8"/>
  <c r="J555" i="2"/>
  <c r="E189" i="8"/>
  <c r="J509" i="2"/>
  <c r="E113" i="8"/>
  <c r="J359" i="2"/>
  <c r="E39" i="8"/>
  <c r="J160" i="2"/>
  <c r="E156" i="8"/>
  <c r="J430" i="2"/>
  <c r="E208" i="8"/>
  <c r="J550" i="2"/>
  <c r="J514" i="2"/>
  <c r="E192" i="8"/>
  <c r="E64" i="9"/>
  <c r="J677" i="2"/>
  <c r="E16" i="8"/>
  <c r="J82" i="2"/>
  <c r="E165" i="8"/>
  <c r="J450" i="2"/>
  <c r="I56" i="9"/>
  <c r="I637" i="2"/>
  <c r="E19" i="9"/>
  <c r="J116" i="2"/>
  <c r="E145" i="8"/>
  <c r="J413" i="2"/>
  <c r="E43" i="8"/>
  <c r="J163" i="2"/>
  <c r="E204" i="8"/>
  <c r="J534" i="2"/>
  <c r="I16" i="9"/>
  <c r="I107" i="2"/>
  <c r="E207" i="8"/>
  <c r="J551" i="2"/>
  <c r="E162" i="8"/>
  <c r="J446" i="2"/>
  <c r="H57" i="8"/>
  <c r="I72" i="9"/>
  <c r="I712" i="2"/>
  <c r="I8" i="9"/>
  <c r="I19" i="2"/>
  <c r="H203" i="8"/>
  <c r="I75" i="9"/>
  <c r="I727" i="2"/>
  <c r="I44" i="9"/>
  <c r="H36" i="9" s="1"/>
  <c r="I453" i="2"/>
  <c r="H162" i="8"/>
  <c r="I71" i="9"/>
  <c r="I706" i="2"/>
  <c r="H76" i="8"/>
  <c r="H29" i="8"/>
  <c r="H58" i="8"/>
  <c r="H202" i="8"/>
  <c r="H132" i="8"/>
  <c r="H183" i="8"/>
  <c r="H135" i="8"/>
  <c r="I32" i="9"/>
  <c r="I230" i="2"/>
  <c r="H74" i="8"/>
  <c r="H78" i="8"/>
  <c r="H147" i="8"/>
  <c r="H71" i="8"/>
  <c r="H120" i="8"/>
  <c r="H130" i="8"/>
  <c r="H150" i="8"/>
  <c r="H16" i="8"/>
  <c r="H201" i="8"/>
  <c r="H42" i="8"/>
  <c r="H28" i="8"/>
  <c r="H127" i="8"/>
  <c r="I20" i="9"/>
  <c r="I123" i="2"/>
  <c r="I21" i="9"/>
  <c r="I103" i="2"/>
  <c r="E197" i="8"/>
  <c r="J522" i="2"/>
  <c r="E148" i="8"/>
  <c r="J415" i="2"/>
  <c r="J23" i="2"/>
  <c r="E6" i="8"/>
  <c r="E155" i="8"/>
  <c r="J429" i="2"/>
  <c r="E170" i="8"/>
  <c r="J465" i="2"/>
  <c r="E224" i="8"/>
  <c r="J596" i="2"/>
  <c r="E80" i="8"/>
  <c r="J263" i="2"/>
  <c r="E104" i="8"/>
  <c r="J334" i="2"/>
  <c r="E126" i="8"/>
  <c r="J389" i="2"/>
  <c r="E129" i="8"/>
  <c r="J392" i="2"/>
  <c r="E84" i="8"/>
  <c r="C84" i="8" s="1"/>
  <c r="E290" i="2" s="1"/>
  <c r="J290" i="2"/>
  <c r="J47" i="2"/>
  <c r="E11" i="8"/>
  <c r="I35" i="9"/>
  <c r="I332" i="2"/>
  <c r="E193" i="8"/>
  <c r="J515" i="2"/>
  <c r="E52" i="8"/>
  <c r="J185" i="2"/>
  <c r="E22" i="8"/>
  <c r="C81" i="8" s="1"/>
  <c r="E273" i="2" s="1"/>
  <c r="J84" i="2"/>
  <c r="E14" i="8"/>
  <c r="J38" i="2"/>
  <c r="I17" i="9"/>
  <c r="I108" i="2"/>
  <c r="H14" i="8"/>
  <c r="H129" i="8"/>
  <c r="H108" i="8"/>
  <c r="H113" i="8"/>
  <c r="H39" i="8"/>
  <c r="H213" i="8"/>
  <c r="H118" i="8"/>
  <c r="H48" i="8"/>
  <c r="H176" i="8"/>
  <c r="H67" i="8"/>
  <c r="H62" i="8"/>
  <c r="H134" i="8"/>
  <c r="H100" i="8"/>
  <c r="H40" i="8"/>
  <c r="H17" i="8"/>
  <c r="J33" i="8" s="1"/>
  <c r="I43" i="9"/>
  <c r="I447" i="2"/>
  <c r="E191" i="8"/>
  <c r="J511" i="2"/>
  <c r="E86" i="8"/>
  <c r="J293" i="2"/>
  <c r="E179" i="8"/>
  <c r="J483" i="2"/>
  <c r="E82" i="8"/>
  <c r="J276" i="2"/>
  <c r="E137" i="8"/>
  <c r="J400" i="2"/>
  <c r="E27" i="8"/>
  <c r="J129" i="2"/>
  <c r="J31" i="2"/>
  <c r="E10" i="8"/>
  <c r="E180" i="8"/>
  <c r="J488" i="2"/>
  <c r="E188" i="8"/>
  <c r="J505" i="2"/>
  <c r="E161" i="8"/>
  <c r="J444" i="2"/>
  <c r="E73" i="8"/>
  <c r="J254" i="2"/>
  <c r="E98" i="8"/>
  <c r="J323" i="2"/>
  <c r="E94" i="8"/>
  <c r="J312" i="2"/>
  <c r="E96" i="8"/>
  <c r="J317" i="2"/>
  <c r="I6" i="9"/>
  <c r="I30" i="2"/>
  <c r="E227" i="8"/>
  <c r="J624" i="2"/>
  <c r="E65" i="9"/>
  <c r="J678" i="2"/>
  <c r="E174" i="8"/>
  <c r="J470" i="2"/>
  <c r="E215" i="8"/>
  <c r="J562" i="2"/>
  <c r="J554" i="2"/>
  <c r="E210" i="8"/>
  <c r="E123" i="8"/>
  <c r="J381" i="2"/>
  <c r="E58" i="9"/>
  <c r="J652" i="2"/>
  <c r="H150" i="5"/>
  <c r="H89" i="4"/>
  <c r="H194" i="5"/>
  <c r="C194" i="5" s="1"/>
  <c r="E705" i="2" s="1"/>
  <c r="H42" i="6"/>
  <c r="H125" i="6"/>
  <c r="C125" i="6" s="1"/>
  <c r="E676" i="2" s="1"/>
  <c r="H62" i="5"/>
  <c r="C77" i="4"/>
  <c r="H85" i="6"/>
  <c r="C85" i="6" s="1"/>
  <c r="E466" i="2" s="1"/>
  <c r="H59" i="4"/>
  <c r="C59" i="4" s="1"/>
  <c r="H219" i="4"/>
  <c r="H229" i="4"/>
  <c r="C229" i="4" s="1"/>
  <c r="C145" i="5"/>
  <c r="E605" i="2" s="1"/>
  <c r="H115" i="4"/>
  <c r="H195" i="5"/>
  <c r="H75" i="7"/>
  <c r="H112" i="4"/>
  <c r="H310" i="4"/>
  <c r="H34" i="5"/>
  <c r="C34" i="5" s="1"/>
  <c r="E106" i="2" s="1"/>
  <c r="H23" i="7"/>
  <c r="H249" i="4"/>
  <c r="H43" i="7"/>
  <c r="C43" i="7" s="1"/>
  <c r="E251" i="2" s="1"/>
  <c r="H21" i="5"/>
  <c r="H97" i="6"/>
  <c r="C97" i="6" s="1"/>
  <c r="E557" i="2" s="1"/>
  <c r="H139" i="5"/>
  <c r="H399" i="4"/>
  <c r="H94" i="7"/>
  <c r="C94" i="7" s="1"/>
  <c r="E649" i="2" s="1"/>
  <c r="H162" i="4"/>
  <c r="C162" i="4" s="1"/>
  <c r="H133" i="4"/>
  <c r="H335" i="4"/>
  <c r="H7" i="5"/>
  <c r="H380" i="4"/>
  <c r="H109" i="4"/>
  <c r="C109" i="4" s="1"/>
  <c r="H109" i="6"/>
  <c r="C109" i="6" s="1"/>
  <c r="E602" i="2" s="1"/>
  <c r="H77" i="5"/>
  <c r="H409" i="4"/>
  <c r="H192" i="4"/>
  <c r="H74" i="5"/>
  <c r="H158" i="4"/>
  <c r="C158" i="4" s="1"/>
  <c r="H128" i="4"/>
  <c r="H44" i="5"/>
  <c r="H392" i="4"/>
  <c r="H171" i="5"/>
  <c r="H61" i="6"/>
  <c r="H65" i="4"/>
  <c r="H240" i="4"/>
  <c r="H204" i="5"/>
  <c r="H79" i="6"/>
  <c r="C79" i="6" s="1"/>
  <c r="E425" i="2" s="1"/>
  <c r="H421" i="4"/>
  <c r="H81" i="6"/>
  <c r="H115" i="5"/>
  <c r="H69" i="5"/>
  <c r="H73" i="5"/>
  <c r="H84" i="6"/>
  <c r="H58" i="7"/>
  <c r="H33" i="7"/>
  <c r="H70" i="5"/>
  <c r="H93" i="6"/>
  <c r="H28" i="5"/>
  <c r="H168" i="5"/>
  <c r="H41" i="6"/>
  <c r="C41" i="6" s="1"/>
  <c r="E195" i="2" s="1"/>
  <c r="H42" i="7"/>
  <c r="H397" i="4"/>
  <c r="H77" i="4"/>
  <c r="H82" i="5"/>
  <c r="H69" i="6"/>
  <c r="H63" i="5"/>
  <c r="H69" i="7"/>
  <c r="C69" i="7" s="1"/>
  <c r="E490" i="2" s="1"/>
  <c r="H20" i="5"/>
  <c r="C20" i="5" s="1"/>
  <c r="E58" i="2" s="1"/>
  <c r="H160" i="5"/>
  <c r="H44" i="6"/>
  <c r="H30" i="6"/>
  <c r="C30" i="6" s="1"/>
  <c r="E134" i="2" s="1"/>
  <c r="H48" i="5"/>
  <c r="H145" i="5"/>
  <c r="H122" i="4"/>
  <c r="H255" i="4"/>
  <c r="H215" i="4"/>
  <c r="C215" i="4" s="1"/>
  <c r="H172" i="4"/>
  <c r="C172" i="4" s="1"/>
  <c r="H109" i="5"/>
  <c r="C109" i="5" s="1"/>
  <c r="E458" i="2" s="1"/>
  <c r="H3" i="7"/>
  <c r="C3" i="7" s="1"/>
  <c r="E5" i="2" s="1"/>
  <c r="C10" i="3" s="1"/>
  <c r="H197" i="5"/>
  <c r="H123" i="5"/>
  <c r="C123" i="5" s="1"/>
  <c r="E538" i="2" s="1"/>
  <c r="H140" i="5"/>
  <c r="C140" i="5" s="1"/>
  <c r="E587" i="2" s="1"/>
  <c r="H26" i="5"/>
  <c r="H76" i="5"/>
  <c r="H37" i="7"/>
  <c r="H387" i="4"/>
  <c r="C387" i="4" s="1"/>
  <c r="H55" i="5"/>
  <c r="H189" i="4"/>
  <c r="H98" i="4"/>
  <c r="H332" i="4"/>
  <c r="H76" i="4"/>
  <c r="H19" i="4"/>
  <c r="H428" i="4"/>
  <c r="H87" i="4"/>
  <c r="H18" i="4"/>
  <c r="H107" i="6"/>
  <c r="C107" i="6" s="1"/>
  <c r="E601" i="2" s="1"/>
  <c r="H200" i="4"/>
  <c r="H110" i="4"/>
  <c r="H363" i="4"/>
  <c r="H124" i="4"/>
  <c r="H209" i="4"/>
  <c r="H121" i="4"/>
  <c r="H53" i="7"/>
  <c r="H72" i="5"/>
  <c r="C72" i="5" s="1"/>
  <c r="E289" i="2" s="1"/>
  <c r="H90" i="4"/>
  <c r="C90" i="4" s="1"/>
  <c r="H232" i="4"/>
  <c r="H257" i="4"/>
  <c r="H205" i="5"/>
  <c r="H58" i="4"/>
  <c r="C58" i="4" s="1"/>
  <c r="H14" i="4"/>
  <c r="C14" i="4" s="1"/>
  <c r="H312" i="4"/>
  <c r="H278" i="4"/>
  <c r="H25" i="4"/>
  <c r="H386" i="4"/>
  <c r="H280" i="4"/>
  <c r="C280" i="4" s="1"/>
  <c r="H228" i="4"/>
  <c r="C228" i="4" s="1"/>
  <c r="H103" i="4"/>
  <c r="H68" i="4"/>
  <c r="C68" i="4" s="1"/>
  <c r="H131" i="4"/>
  <c r="C131" i="4" s="1"/>
  <c r="H178" i="4"/>
  <c r="H83" i="4"/>
  <c r="H64" i="4"/>
  <c r="H358" i="4"/>
  <c r="H32" i="4"/>
  <c r="C32" i="4" s="1"/>
  <c r="H378" i="4"/>
  <c r="H286" i="4"/>
  <c r="C286" i="4" s="1"/>
  <c r="H129" i="6"/>
  <c r="H29" i="7"/>
  <c r="C29" i="7" s="1"/>
  <c r="E169" i="2" s="1"/>
  <c r="H122" i="5"/>
  <c r="C122" i="5" s="1"/>
  <c r="E504" i="2" s="1"/>
  <c r="H106" i="5"/>
  <c r="H84" i="5"/>
  <c r="H285" i="4"/>
  <c r="C285" i="4" s="1"/>
  <c r="H13" i="4"/>
  <c r="H66" i="5"/>
  <c r="C66" i="5" s="1"/>
  <c r="E268" i="2" s="1"/>
  <c r="H388" i="4"/>
  <c r="C388" i="4" s="1"/>
  <c r="H233" i="4"/>
  <c r="H67" i="4"/>
  <c r="C67" i="4" s="1"/>
  <c r="H179" i="4"/>
  <c r="C179" i="4" s="1"/>
  <c r="H113" i="4"/>
  <c r="H94" i="5"/>
  <c r="H33" i="6"/>
  <c r="C33" i="6" s="1"/>
  <c r="E151" i="2" s="1"/>
  <c r="H162" i="5"/>
  <c r="H24" i="6"/>
  <c r="H11" i="5"/>
  <c r="C11" i="5" s="1"/>
  <c r="E43" i="2" s="1"/>
  <c r="H97" i="7"/>
  <c r="C97" i="7" s="1"/>
  <c r="E682" i="2" s="1"/>
  <c r="H45" i="5"/>
  <c r="C45" i="5" s="1"/>
  <c r="E155" i="2" s="1"/>
  <c r="H7" i="7"/>
  <c r="C7" i="7" s="1"/>
  <c r="E17" i="2" s="1"/>
  <c r="H181" i="4"/>
  <c r="H413" i="4"/>
  <c r="H279" i="4"/>
  <c r="C279" i="4" s="1"/>
  <c r="H98" i="5"/>
  <c r="H53" i="5"/>
  <c r="H174" i="5"/>
  <c r="C174" i="5" s="1"/>
  <c r="E662" i="2" s="1"/>
  <c r="H31" i="7"/>
  <c r="H66" i="6"/>
  <c r="C66" i="6" s="1"/>
  <c r="E330" i="2" s="1"/>
  <c r="H22" i="4"/>
  <c r="C22" i="4" s="1"/>
  <c r="H28" i="4"/>
  <c r="H146" i="4"/>
  <c r="H21" i="7"/>
  <c r="H113" i="5"/>
  <c r="H59" i="7"/>
  <c r="H128" i="6"/>
  <c r="H29" i="5"/>
  <c r="C29" i="5" s="1"/>
  <c r="E114" i="2" s="1"/>
  <c r="H8" i="5"/>
  <c r="C8" i="5" s="1"/>
  <c r="E21" i="2" s="1"/>
  <c r="H72" i="7"/>
  <c r="C72" i="7" s="1"/>
  <c r="E484" i="2" s="1"/>
  <c r="H136" i="5"/>
  <c r="C136" i="5" s="1"/>
  <c r="E584" i="2" s="1"/>
  <c r="H10" i="6"/>
  <c r="C10" i="6" s="1"/>
  <c r="E46" i="2" s="1"/>
  <c r="H188" i="5"/>
  <c r="H137" i="5"/>
  <c r="H50" i="7"/>
  <c r="H36" i="6"/>
  <c r="H22" i="6"/>
  <c r="C22" i="6" s="1"/>
  <c r="E87" i="2" s="1"/>
  <c r="H65" i="5"/>
  <c r="H44" i="7"/>
  <c r="H27" i="6"/>
  <c r="H17" i="7"/>
  <c r="C17" i="7" s="1"/>
  <c r="E70" i="2" s="1"/>
  <c r="H172" i="5"/>
  <c r="C172" i="5" s="1"/>
  <c r="E658" i="2" s="1"/>
  <c r="H17" i="5"/>
  <c r="C17" i="5" s="1"/>
  <c r="E75" i="2" s="1"/>
  <c r="H181" i="5"/>
  <c r="C181" i="5" s="1"/>
  <c r="E687" i="2" s="1"/>
  <c r="H63" i="7"/>
  <c r="C63" i="7" s="1"/>
  <c r="E460" i="2" s="1"/>
  <c r="H422" i="4"/>
  <c r="H30" i="4"/>
  <c r="H316" i="4"/>
  <c r="H132" i="4"/>
  <c r="H243" i="4"/>
  <c r="C243" i="4" s="1"/>
  <c r="H414" i="4"/>
  <c r="C414" i="4" s="1"/>
  <c r="H21" i="4"/>
  <c r="C21" i="4" s="1"/>
  <c r="H141" i="5"/>
  <c r="C141" i="5" s="1"/>
  <c r="E590" i="2" s="1"/>
  <c r="H6" i="6"/>
  <c r="C6" i="6" s="1"/>
  <c r="E13" i="2" s="1"/>
  <c r="H134" i="4"/>
  <c r="H189" i="5"/>
  <c r="H51" i="7"/>
  <c r="H35" i="5"/>
  <c r="H54" i="6"/>
  <c r="C54" i="6" s="1"/>
  <c r="E272" i="2" s="1"/>
  <c r="H195" i="4"/>
  <c r="C195" i="4" s="1"/>
  <c r="H212" i="4"/>
  <c r="C212" i="4" s="1"/>
  <c r="H111" i="4"/>
  <c r="C111" i="4" s="1"/>
  <c r="H70" i="4"/>
  <c r="H78" i="4"/>
  <c r="H293" i="4"/>
  <c r="H36" i="4"/>
  <c r="C36" i="4" s="1"/>
  <c r="H333" i="4"/>
  <c r="H289" i="4"/>
  <c r="H41" i="4"/>
  <c r="H154" i="4"/>
  <c r="C154" i="4" s="1"/>
  <c r="H367" i="4"/>
  <c r="C367" i="4" s="1"/>
  <c r="H89" i="5"/>
  <c r="H201" i="5"/>
  <c r="H62" i="7"/>
  <c r="C62" i="7" s="1"/>
  <c r="E445" i="2" s="1"/>
  <c r="H74" i="4"/>
  <c r="H51" i="4"/>
  <c r="H296" i="4"/>
  <c r="C296" i="4" s="1"/>
  <c r="H416" i="4"/>
  <c r="H260" i="4"/>
  <c r="C260" i="4" s="1"/>
  <c r="H396" i="4"/>
  <c r="C396" i="4" s="1"/>
  <c r="H308" i="4"/>
  <c r="C308" i="4" s="1"/>
  <c r="H152" i="4"/>
  <c r="C380" i="4"/>
  <c r="H64" i="6"/>
  <c r="H93" i="4"/>
  <c r="C93" i="4" s="1"/>
  <c r="C21" i="7"/>
  <c r="E117" i="2" s="1"/>
  <c r="H59" i="6"/>
  <c r="H121" i="6"/>
  <c r="H96" i="5"/>
  <c r="H163" i="5"/>
  <c r="C163" i="5" s="1"/>
  <c r="E648" i="2" s="1"/>
  <c r="C132" i="4"/>
  <c r="H56" i="7"/>
  <c r="C56" i="7" s="1"/>
  <c r="E372" i="2" s="1"/>
  <c r="C197" i="5"/>
  <c r="E709" i="2" s="1"/>
  <c r="H187" i="4"/>
  <c r="H424" i="4"/>
  <c r="C424" i="4" s="1"/>
  <c r="H18" i="7"/>
  <c r="H207" i="4"/>
  <c r="H353" i="4"/>
  <c r="H20" i="6"/>
  <c r="C20" i="6" s="1"/>
  <c r="E72" i="2" s="1"/>
  <c r="H327" i="4"/>
  <c r="H24" i="4"/>
  <c r="C24" i="4" s="1"/>
  <c r="H47" i="5"/>
  <c r="H295" i="4"/>
  <c r="H123" i="6"/>
  <c r="C123" i="6" s="1"/>
  <c r="E666" i="2" s="1"/>
  <c r="C62" i="5"/>
  <c r="E252" i="2" s="1"/>
  <c r="H9" i="5"/>
  <c r="C9" i="5" s="1"/>
  <c r="E35" i="2" s="1"/>
  <c r="H157" i="5"/>
  <c r="H373" i="4"/>
  <c r="C373" i="4" s="1"/>
  <c r="H307" i="4"/>
  <c r="H100" i="5"/>
  <c r="H394" i="4"/>
  <c r="H95" i="5"/>
  <c r="H11" i="7"/>
  <c r="C94" i="5"/>
  <c r="E379" i="2" s="1"/>
  <c r="C219" i="4"/>
  <c r="H200" i="5"/>
  <c r="C200" i="5" s="1"/>
  <c r="E713" i="2" s="1"/>
  <c r="H29" i="6"/>
  <c r="H107" i="4"/>
  <c r="C162" i="5"/>
  <c r="E639" i="2" s="1"/>
  <c r="H321" i="4"/>
  <c r="C321" i="4" s="1"/>
  <c r="C115" i="4"/>
  <c r="H153" i="4"/>
  <c r="C153" i="4" s="1"/>
  <c r="H337" i="4"/>
  <c r="C337" i="4" s="1"/>
  <c r="H111" i="6"/>
  <c r="H326" i="4"/>
  <c r="C326" i="4" s="1"/>
  <c r="H55" i="4"/>
  <c r="C55" i="4" s="1"/>
  <c r="H47" i="4"/>
  <c r="H410" i="4"/>
  <c r="C410" i="4" s="1"/>
  <c r="H405" i="4"/>
  <c r="C405" i="4" s="1"/>
  <c r="H42" i="5"/>
  <c r="C42" i="5" s="1"/>
  <c r="E150" i="2" s="1"/>
  <c r="H8" i="6"/>
  <c r="H9" i="7"/>
  <c r="H26" i="4"/>
  <c r="C26" i="4" s="1"/>
  <c r="H91" i="4"/>
  <c r="C91" i="4" s="1"/>
  <c r="H104" i="6"/>
  <c r="C104" i="6" s="1"/>
  <c r="E591" i="2" s="1"/>
  <c r="H266" i="4"/>
  <c r="C266" i="4" s="1"/>
  <c r="H114" i="4"/>
  <c r="C114" i="4" s="1"/>
  <c r="H108" i="4"/>
  <c r="H38" i="4"/>
  <c r="C38" i="4" s="1"/>
  <c r="H423" i="4"/>
  <c r="C423" i="4" s="1"/>
  <c r="H271" i="4"/>
  <c r="C271" i="4" s="1"/>
  <c r="H292" i="4"/>
  <c r="C292" i="4" s="1"/>
  <c r="H298" i="4"/>
  <c r="H398" i="4"/>
  <c r="C398" i="4" s="1"/>
  <c r="H239" i="4"/>
  <c r="C239" i="4" s="1"/>
  <c r="H385" i="4"/>
  <c r="H50" i="4"/>
  <c r="H242" i="4"/>
  <c r="C242" i="4" s="1"/>
  <c r="H34" i="4"/>
  <c r="C34" i="4" s="1"/>
  <c r="H277" i="4"/>
  <c r="H341" i="4"/>
  <c r="H222" i="4"/>
  <c r="H136" i="4"/>
  <c r="C136" i="4" s="1"/>
  <c r="H343" i="4"/>
  <c r="C343" i="4" s="1"/>
  <c r="H126" i="4"/>
  <c r="C126" i="4" s="1"/>
  <c r="H306" i="4"/>
  <c r="C306" i="4" s="1"/>
  <c r="H108" i="5"/>
  <c r="H138" i="4"/>
  <c r="C138" i="4" s="1"/>
  <c r="H16" i="5"/>
  <c r="C16" i="5" s="1"/>
  <c r="E56" i="2" s="1"/>
  <c r="H153" i="5"/>
  <c r="C153" i="5" s="1"/>
  <c r="E626" i="2" s="1"/>
  <c r="H32" i="7"/>
  <c r="H118" i="5"/>
  <c r="H95" i="7"/>
  <c r="H7" i="6"/>
  <c r="H193" i="4"/>
  <c r="C193" i="4" s="1"/>
  <c r="H202" i="4"/>
  <c r="C202" i="4" s="1"/>
  <c r="H210" i="4"/>
  <c r="C210" i="4" s="1"/>
  <c r="H69" i="4"/>
  <c r="C69" i="4" s="1"/>
  <c r="H382" i="4"/>
  <c r="C382" i="4" s="1"/>
  <c r="H350" i="4"/>
  <c r="C350" i="4" s="1"/>
  <c r="H75" i="4"/>
  <c r="H369" i="4"/>
  <c r="H164" i="4"/>
  <c r="H218" i="4"/>
  <c r="C218" i="4" s="1"/>
  <c r="H85" i="4"/>
  <c r="C85" i="4" s="1"/>
  <c r="H336" i="4"/>
  <c r="C336" i="4" s="1"/>
  <c r="H60" i="6"/>
  <c r="H103" i="5"/>
  <c r="H27" i="7"/>
  <c r="H37" i="5"/>
  <c r="H19" i="7"/>
  <c r="C19" i="7" s="1"/>
  <c r="E86" i="2" s="1"/>
  <c r="H91" i="6"/>
  <c r="C91" i="6" s="1"/>
  <c r="E512" i="2" s="1"/>
  <c r="H19" i="5"/>
  <c r="C19" i="5" s="1"/>
  <c r="E68" i="2" s="1"/>
  <c r="H79" i="7"/>
  <c r="C79" i="7" s="1"/>
  <c r="E530" i="2" s="1"/>
  <c r="H142" i="5"/>
  <c r="C142" i="5" s="1"/>
  <c r="E598" i="2" s="1"/>
  <c r="H17" i="6"/>
  <c r="C17" i="6" s="1"/>
  <c r="E54" i="2" s="1"/>
  <c r="H48" i="6"/>
  <c r="H87" i="7"/>
  <c r="C87" i="7" s="1"/>
  <c r="E579" i="2" s="1"/>
  <c r="H365" i="4"/>
  <c r="H60" i="4"/>
  <c r="C60" i="4" s="1"/>
  <c r="H406" i="4"/>
  <c r="H23" i="6"/>
  <c r="C23" i="6" s="1"/>
  <c r="E78" i="2" s="1"/>
  <c r="H19" i="6"/>
  <c r="C19" i="6" s="1"/>
  <c r="E71" i="2" s="1"/>
  <c r="H143" i="5"/>
  <c r="C143" i="5" s="1"/>
  <c r="E600" i="2" s="1"/>
  <c r="H126" i="6"/>
  <c r="C126" i="6" s="1"/>
  <c r="E681" i="2" s="1"/>
  <c r="H412" i="4"/>
  <c r="C412" i="4" s="1"/>
  <c r="H182" i="4"/>
  <c r="C182" i="4" s="1"/>
  <c r="C152" i="4"/>
  <c r="H52" i="5"/>
  <c r="C312" i="4"/>
  <c r="H89" i="6"/>
  <c r="H39" i="7"/>
  <c r="C39" i="7" s="1"/>
  <c r="E213" i="2" s="1"/>
  <c r="C363" i="4"/>
  <c r="H46" i="5"/>
  <c r="C118" i="5"/>
  <c r="E495" i="2" s="1"/>
  <c r="H16" i="4"/>
  <c r="C16" i="4" s="1"/>
  <c r="H191" i="4"/>
  <c r="C191" i="4" s="1"/>
  <c r="H44" i="4"/>
  <c r="C44" i="4" s="1"/>
  <c r="C209" i="4"/>
  <c r="C397" i="4"/>
  <c r="C112" i="4"/>
  <c r="C298" i="4"/>
  <c r="C30" i="4"/>
  <c r="C64" i="4"/>
  <c r="C332" i="4"/>
  <c r="C51" i="4"/>
  <c r="H364" i="4"/>
  <c r="C364" i="4" s="1"/>
  <c r="C44" i="6"/>
  <c r="E216" i="2" s="1"/>
  <c r="H92" i="5"/>
  <c r="H207" i="5"/>
  <c r="H94" i="4"/>
  <c r="C94" i="4" s="1"/>
  <c r="H43" i="4"/>
  <c r="H101" i="5"/>
  <c r="H85" i="7"/>
  <c r="H76" i="7"/>
  <c r="C76" i="7" s="1"/>
  <c r="E519" i="2" s="1"/>
  <c r="H13" i="5"/>
  <c r="H150" i="4"/>
  <c r="H155" i="4"/>
  <c r="H342" i="4"/>
  <c r="C342" i="4" s="1"/>
  <c r="H67" i="7"/>
  <c r="C67" i="7" s="1"/>
  <c r="E472" i="2" s="1"/>
  <c r="C327" i="4"/>
  <c r="H221" i="4"/>
  <c r="C221" i="4" s="1"/>
  <c r="C100" i="5"/>
  <c r="E393" i="2" s="1"/>
  <c r="H179" i="5"/>
  <c r="H147" i="5"/>
  <c r="C147" i="5" s="1"/>
  <c r="E620" i="2" s="1"/>
  <c r="H7" i="4"/>
  <c r="H203" i="4"/>
  <c r="C203" i="4" s="1"/>
  <c r="H33" i="4"/>
  <c r="C33" i="4" s="1"/>
  <c r="C13" i="4"/>
  <c r="H50" i="5"/>
  <c r="H156" i="5"/>
  <c r="C156" i="5" s="1"/>
  <c r="E636" i="2" s="1"/>
  <c r="H163" i="4"/>
  <c r="C163" i="4" s="1"/>
  <c r="C128" i="6"/>
  <c r="E692" i="2" s="1"/>
  <c r="C110" i="4"/>
  <c r="H230" i="4"/>
  <c r="H75" i="5"/>
  <c r="C75" i="5" s="1"/>
  <c r="E287" i="2" s="1"/>
  <c r="H220" i="4"/>
  <c r="C101" i="5"/>
  <c r="E416" i="2" s="1"/>
  <c r="H99" i="6"/>
  <c r="C99" i="6" s="1"/>
  <c r="E574" i="2" s="1"/>
  <c r="C113" i="5"/>
  <c r="E471" i="2" s="1"/>
  <c r="C77" i="5"/>
  <c r="E301" i="2" s="1"/>
  <c r="H27" i="5"/>
  <c r="C27" i="5" s="1"/>
  <c r="E73" i="2" s="1"/>
  <c r="H12" i="7"/>
  <c r="C12" i="7" s="1"/>
  <c r="E57" i="2" s="1"/>
  <c r="C32" i="7"/>
  <c r="E188" i="2" s="1"/>
  <c r="H93" i="7"/>
  <c r="C93" i="7" s="1"/>
  <c r="E647" i="2" s="1"/>
  <c r="H383" i="4"/>
  <c r="H91" i="7"/>
  <c r="H53" i="4"/>
  <c r="C53" i="4" s="1"/>
  <c r="H15" i="5"/>
  <c r="C15" i="5" s="1"/>
  <c r="H14" i="5"/>
  <c r="H22" i="7"/>
  <c r="C22" i="7" s="1"/>
  <c r="E120" i="2" s="1"/>
  <c r="H347" i="4"/>
  <c r="C347" i="4" s="1"/>
  <c r="H128" i="5"/>
  <c r="C128" i="5" s="1"/>
  <c r="E542" i="2" s="1"/>
  <c r="H38" i="6"/>
  <c r="C38" i="6" s="1"/>
  <c r="E168" i="2" s="1"/>
  <c r="H51" i="5"/>
  <c r="C51" i="5" s="1"/>
  <c r="E187" i="2" s="1"/>
  <c r="H15" i="6"/>
  <c r="H206" i="5"/>
  <c r="C206" i="5" s="1"/>
  <c r="E721" i="2" s="1"/>
  <c r="H60" i="7"/>
  <c r="C60" i="7" s="1"/>
  <c r="E426" i="2" s="1"/>
  <c r="H90" i="6"/>
  <c r="H94" i="6"/>
  <c r="C94" i="6" s="1"/>
  <c r="E517" i="2" s="1"/>
  <c r="H193" i="5"/>
  <c r="C193" i="5" s="1"/>
  <c r="E703" i="2" s="1"/>
  <c r="H116" i="5"/>
  <c r="C116" i="5" s="1"/>
  <c r="E482" i="2" s="1"/>
  <c r="H187" i="5"/>
  <c r="H13" i="7"/>
  <c r="H54" i="7"/>
  <c r="C54" i="7" s="1"/>
  <c r="E348" i="2" s="1"/>
  <c r="H18" i="5"/>
  <c r="C18" i="5" s="1"/>
  <c r="E59" i="2" s="1"/>
  <c r="H135" i="5"/>
  <c r="C135" i="5" s="1"/>
  <c r="E567" i="2" s="1"/>
  <c r="H81" i="7"/>
  <c r="C81" i="7" s="1"/>
  <c r="E539" i="2" s="1"/>
  <c r="H73" i="6"/>
  <c r="H34" i="7"/>
  <c r="H102" i="6"/>
  <c r="C102" i="6" s="1"/>
  <c r="E582" i="2" s="1"/>
  <c r="H60" i="5"/>
  <c r="C60" i="5" s="1"/>
  <c r="E248" i="2" s="1"/>
  <c r="H71" i="7"/>
  <c r="H223" i="4"/>
  <c r="H43" i="6"/>
  <c r="C43" i="6" s="1"/>
  <c r="E215" i="2" s="1"/>
  <c r="H106" i="6"/>
  <c r="C106" i="6" s="1"/>
  <c r="E599" i="2" s="1"/>
  <c r="H339" i="4"/>
  <c r="C339" i="4" s="1"/>
  <c r="H420" i="4"/>
  <c r="C420" i="4" s="1"/>
  <c r="H58" i="6"/>
  <c r="C58" i="6" s="1"/>
  <c r="E296" i="2" s="1"/>
  <c r="H63" i="6"/>
  <c r="H67" i="6"/>
  <c r="H36" i="5"/>
  <c r="C36" i="5" s="1"/>
  <c r="E125" i="2" s="1"/>
  <c r="H89" i="7"/>
  <c r="C89" i="7" s="1"/>
  <c r="E614" i="2" s="1"/>
  <c r="H105" i="6"/>
  <c r="C105" i="6" s="1"/>
  <c r="E594" i="2" s="1"/>
  <c r="H40" i="5"/>
  <c r="H177" i="5"/>
  <c r="H40" i="7"/>
  <c r="C40" i="7" s="1"/>
  <c r="E214" i="2" s="1"/>
  <c r="H48" i="7"/>
  <c r="H20" i="7"/>
  <c r="C20" i="7" s="1"/>
  <c r="E83" i="2" s="1"/>
  <c r="H80" i="7"/>
  <c r="C80" i="7" s="1"/>
  <c r="E535" i="2" s="1"/>
  <c r="H344" i="4"/>
  <c r="C344" i="4" s="1"/>
  <c r="H425" i="4"/>
  <c r="C425" i="4" s="1"/>
  <c r="H426" i="4"/>
  <c r="H381" i="4"/>
  <c r="C381" i="4" s="1"/>
  <c r="H201" i="4"/>
  <c r="C201" i="4" s="1"/>
  <c r="H211" i="4"/>
  <c r="C211" i="4" s="1"/>
  <c r="H176" i="4"/>
  <c r="C176" i="4" s="1"/>
  <c r="H31" i="4"/>
  <c r="C31" i="4" s="1"/>
  <c r="H355" i="4"/>
  <c r="H175" i="5"/>
  <c r="C175" i="5" s="1"/>
  <c r="E671" i="2" s="1"/>
  <c r="H15" i="7"/>
  <c r="C15" i="7" s="1"/>
  <c r="E79" i="2" s="1"/>
  <c r="H199" i="5"/>
  <c r="C199" i="5" s="1"/>
  <c r="E711" i="2" s="1"/>
  <c r="H96" i="6"/>
  <c r="C96" i="6" s="1"/>
  <c r="E537" i="2" s="1"/>
  <c r="H226" i="4"/>
  <c r="C226" i="4" s="1"/>
  <c r="H140" i="4"/>
  <c r="C140" i="4" s="1"/>
  <c r="H80" i="4"/>
  <c r="C80" i="4" s="1"/>
  <c r="H28" i="7"/>
  <c r="H79" i="4"/>
  <c r="C79" i="4" s="1"/>
  <c r="H57" i="7"/>
  <c r="C57" i="7" s="1"/>
  <c r="E388" i="2" s="1"/>
  <c r="C48" i="5"/>
  <c r="E172" i="2" s="1"/>
  <c r="H80" i="5"/>
  <c r="C80" i="5" s="1"/>
  <c r="E280" i="2" s="1"/>
  <c r="C293" i="4"/>
  <c r="C316" i="4"/>
  <c r="H46" i="7"/>
  <c r="C46" i="7" s="1"/>
  <c r="E265" i="2" s="1"/>
  <c r="H245" i="4"/>
  <c r="C245" i="4" s="1"/>
  <c r="C82" i="5"/>
  <c r="E298" i="2" s="1"/>
  <c r="H71" i="4"/>
  <c r="C71" i="4" s="1"/>
  <c r="H192" i="5"/>
  <c r="C192" i="5" s="1"/>
  <c r="E702" i="2" s="1"/>
  <c r="H52" i="4"/>
  <c r="H322" i="4"/>
  <c r="H82" i="6"/>
  <c r="C82" i="6" s="1"/>
  <c r="E439" i="2" s="1"/>
  <c r="H88" i="4"/>
  <c r="C11" i="7"/>
  <c r="E50" i="2" s="1"/>
  <c r="C44" i="5"/>
  <c r="E135" i="2" s="1"/>
  <c r="C85" i="7"/>
  <c r="E560" i="2" s="1"/>
  <c r="C89" i="5"/>
  <c r="E341" i="2" s="1"/>
  <c r="C117" i="4"/>
  <c r="H22" i="5"/>
  <c r="C22" i="5" s="1"/>
  <c r="E77" i="2" s="1"/>
  <c r="H117" i="4"/>
  <c r="C295" i="4"/>
  <c r="C365" i="4"/>
  <c r="C322" i="4"/>
  <c r="C129" i="6"/>
  <c r="E693" i="2" s="1"/>
  <c r="H47" i="6"/>
  <c r="C47" i="6" s="1"/>
  <c r="E222" i="2" s="1"/>
  <c r="C108" i="4"/>
  <c r="C52" i="4"/>
  <c r="H49" i="6"/>
  <c r="H417" i="4"/>
  <c r="C417" i="4" s="1"/>
  <c r="H167" i="5"/>
  <c r="C167" i="5" s="1"/>
  <c r="E651" i="2" s="1"/>
  <c r="C230" i="4"/>
  <c r="C52" i="5"/>
  <c r="E198" i="2" s="1"/>
  <c r="C24" i="6"/>
  <c r="E104" i="2" s="1"/>
  <c r="H72" i="6"/>
  <c r="C72" i="6" s="1"/>
  <c r="E339" i="2" s="1"/>
  <c r="H395" i="4"/>
  <c r="C395" i="4" s="1"/>
  <c r="H317" i="4"/>
  <c r="C317" i="4" s="1"/>
  <c r="H37" i="4"/>
  <c r="C240" i="4"/>
  <c r="C43" i="4"/>
  <c r="H127" i="4"/>
  <c r="C127" i="4" s="1"/>
  <c r="C76" i="4"/>
  <c r="H300" i="4"/>
  <c r="C300" i="4" s="1"/>
  <c r="H6" i="5"/>
  <c r="C6" i="5" s="1"/>
  <c r="E9" i="2" s="1"/>
  <c r="C42" i="6"/>
  <c r="E209" i="2" s="1"/>
  <c r="C87" i="4"/>
  <c r="H13" i="6"/>
  <c r="H324" i="4"/>
  <c r="C324" i="4" s="1"/>
  <c r="C133" i="4"/>
  <c r="C134" i="4"/>
  <c r="C26" i="5"/>
  <c r="E91" i="2" s="1"/>
  <c r="C25" i="4"/>
  <c r="C47" i="5"/>
  <c r="E164" i="2" s="1"/>
  <c r="H173" i="4"/>
  <c r="C173" i="4" s="1"/>
  <c r="H81" i="5"/>
  <c r="C81" i="5" s="1"/>
  <c r="E303" i="2" s="1"/>
  <c r="H263" i="4"/>
  <c r="C53" i="5"/>
  <c r="E200" i="2" s="1"/>
  <c r="H75" i="6"/>
  <c r="C75" i="6" s="1"/>
  <c r="E367" i="2" s="1"/>
  <c r="H71" i="6"/>
  <c r="C71" i="6" s="1"/>
  <c r="E343" i="2" s="1"/>
  <c r="C65" i="5"/>
  <c r="E257" i="2" s="1"/>
  <c r="H391" i="4"/>
  <c r="C391" i="4" s="1"/>
  <c r="H185" i="5"/>
  <c r="C185" i="5" s="1"/>
  <c r="E694" i="2" s="1"/>
  <c r="C90" i="6"/>
  <c r="E506" i="2" s="1"/>
  <c r="C205" i="5"/>
  <c r="H21" i="6"/>
  <c r="C21" i="6" s="1"/>
  <c r="E74" i="2" s="1"/>
  <c r="H291" i="4"/>
  <c r="C291" i="4" s="1"/>
  <c r="H304" i="4"/>
  <c r="C304" i="4" s="1"/>
  <c r="H241" i="4"/>
  <c r="C241" i="4" s="1"/>
  <c r="H359" i="4"/>
  <c r="C359" i="4" s="1"/>
  <c r="H231" i="4"/>
  <c r="C231" i="4" s="1"/>
  <c r="H190" i="4"/>
  <c r="C190" i="4" s="1"/>
  <c r="H244" i="4"/>
  <c r="H116" i="4"/>
  <c r="C116" i="4" s="1"/>
  <c r="H199" i="4"/>
  <c r="H184" i="4"/>
  <c r="H264" i="4"/>
  <c r="H370" i="4"/>
  <c r="C370" i="4" s="1"/>
  <c r="H356" i="4"/>
  <c r="C356" i="4" s="1"/>
  <c r="H272" i="4"/>
  <c r="C272" i="4" s="1"/>
  <c r="H374" i="4"/>
  <c r="C374" i="4" s="1"/>
  <c r="H27" i="4"/>
  <c r="C27" i="4" s="1"/>
  <c r="H237" i="4"/>
  <c r="H105" i="4"/>
  <c r="H17" i="4"/>
  <c r="H216" i="4"/>
  <c r="C216" i="4" s="1"/>
  <c r="H4" i="5"/>
  <c r="C4" i="5" s="1"/>
  <c r="E3" i="2" s="1"/>
  <c r="H393" i="4"/>
  <c r="C393" i="4" s="1"/>
  <c r="H269" i="4"/>
  <c r="C269" i="4" s="1"/>
  <c r="H104" i="4"/>
  <c r="C104" i="4" s="1"/>
  <c r="H284" i="4"/>
  <c r="C284" i="4" s="1"/>
  <c r="H175" i="4"/>
  <c r="H84" i="7"/>
  <c r="C84" i="7" s="1"/>
  <c r="E556" i="2" s="1"/>
  <c r="H46" i="4"/>
  <c r="C46" i="4" s="1"/>
  <c r="H352" i="4"/>
  <c r="C352" i="4" s="1"/>
  <c r="H165" i="5"/>
  <c r="H127" i="6"/>
  <c r="C127" i="6" s="1"/>
  <c r="E691" i="2" s="1"/>
  <c r="H238" i="4"/>
  <c r="C238" i="4" s="1"/>
  <c r="H268" i="4"/>
  <c r="C268" i="4" s="1"/>
  <c r="H250" i="4"/>
  <c r="C250" i="4" s="1"/>
  <c r="H73" i="4"/>
  <c r="C73" i="4" s="1"/>
  <c r="H376" i="4"/>
  <c r="H311" i="4"/>
  <c r="C311" i="4" s="1"/>
  <c r="H72" i="4"/>
  <c r="C72" i="4" s="1"/>
  <c r="H287" i="4"/>
  <c r="H197" i="4"/>
  <c r="C197" i="4" s="1"/>
  <c r="H82" i="7"/>
  <c r="C82" i="7" s="1"/>
  <c r="E540" i="2" s="1"/>
  <c r="H208" i="5"/>
  <c r="C208" i="5" s="1"/>
  <c r="E720" i="2" s="1"/>
  <c r="H209" i="5"/>
  <c r="C209" i="5" s="1"/>
  <c r="E724" i="2" s="1"/>
  <c r="H184" i="5"/>
  <c r="C184" i="5" s="1"/>
  <c r="E683" i="2" s="1"/>
  <c r="H99" i="5"/>
  <c r="H68" i="6"/>
  <c r="H53" i="6"/>
  <c r="H12" i="6"/>
  <c r="C12" i="6" s="1"/>
  <c r="E29" i="2" s="1"/>
  <c r="H170" i="5"/>
  <c r="H330" i="4"/>
  <c r="C330" i="4" s="1"/>
  <c r="H234" i="4"/>
  <c r="C234" i="4" s="1"/>
  <c r="H20" i="4"/>
  <c r="C20" i="4" s="1"/>
  <c r="H305" i="4"/>
  <c r="C305" i="4" s="1"/>
  <c r="H74" i="6"/>
  <c r="C74" i="6" s="1"/>
  <c r="E357" i="2" s="1"/>
  <c r="H67" i="5"/>
  <c r="C67" i="5" s="1"/>
  <c r="E275" i="2" s="1"/>
  <c r="H26" i="6"/>
  <c r="C26" i="6" s="1"/>
  <c r="E111" i="2" s="1"/>
  <c r="H70" i="6"/>
  <c r="C70" i="6" s="1"/>
  <c r="E350" i="2" s="1"/>
  <c r="H194" i="4"/>
  <c r="C194" i="4" s="1"/>
  <c r="H5" i="6"/>
  <c r="C5" i="6" s="1"/>
  <c r="E10" i="2" s="1"/>
  <c r="C128" i="4"/>
  <c r="H25" i="6"/>
  <c r="C157" i="5"/>
  <c r="E632" i="2" s="1"/>
  <c r="H198" i="5"/>
  <c r="C198" i="5" s="1"/>
  <c r="E710" i="2" s="1"/>
  <c r="H400" i="4"/>
  <c r="C400" i="4" s="1"/>
  <c r="C422" i="4"/>
  <c r="C59" i="6"/>
  <c r="E282" i="2" s="1"/>
  <c r="H90" i="5"/>
  <c r="C90" i="5" s="1"/>
  <c r="E362" i="2" s="1"/>
  <c r="H148" i="5"/>
  <c r="C74" i="5"/>
  <c r="E291" i="2" s="1"/>
  <c r="H411" i="4"/>
  <c r="H40" i="6"/>
  <c r="H288" i="4"/>
  <c r="C288" i="4" s="1"/>
  <c r="C244" i="4"/>
  <c r="C41" i="4"/>
  <c r="H251" i="4"/>
  <c r="C251" i="4" s="1"/>
  <c r="H203" i="5"/>
  <c r="C18" i="7"/>
  <c r="E76" i="2" s="1"/>
  <c r="C96" i="5"/>
  <c r="E406" i="2" s="1"/>
  <c r="C204" i="5"/>
  <c r="E718" i="2" s="1"/>
  <c r="H191" i="5"/>
  <c r="C191" i="5" s="1"/>
  <c r="E704" i="2" s="1"/>
  <c r="H74" i="7"/>
  <c r="C74" i="7" s="1"/>
  <c r="E508" i="2" s="1"/>
  <c r="H14" i="6"/>
  <c r="C14" i="6" s="1"/>
  <c r="E42" i="2" s="1"/>
  <c r="C53" i="7"/>
  <c r="E358" i="2" s="1"/>
  <c r="H97" i="4"/>
  <c r="C97" i="4" s="1"/>
  <c r="H375" i="4"/>
  <c r="C375" i="4" s="1"/>
  <c r="H61" i="5"/>
  <c r="H68" i="7"/>
  <c r="C70" i="5"/>
  <c r="E274" i="2" s="1"/>
  <c r="C23" i="7"/>
  <c r="E143" i="2" s="1"/>
  <c r="C73" i="5"/>
  <c r="E271" i="2" s="1"/>
  <c r="C358" i="4"/>
  <c r="H180" i="5"/>
  <c r="C180" i="5" s="1"/>
  <c r="E688" i="2" s="1"/>
  <c r="C168" i="5"/>
  <c r="E650" i="2" s="1"/>
  <c r="H273" i="4"/>
  <c r="C273" i="4" s="1"/>
  <c r="H159" i="5"/>
  <c r="C159" i="5" s="1"/>
  <c r="E635" i="2" s="1"/>
  <c r="C28" i="7"/>
  <c r="E161" i="2" s="1"/>
  <c r="C103" i="5"/>
  <c r="E427" i="2" s="1"/>
  <c r="C255" i="4"/>
  <c r="H23" i="4"/>
  <c r="C48" i="6"/>
  <c r="E241" i="2" s="1"/>
  <c r="C89" i="6"/>
  <c r="E496" i="2" s="1"/>
  <c r="H85" i="5"/>
  <c r="C85" i="5" s="1"/>
  <c r="E336" i="2" s="1"/>
  <c r="H126" i="5"/>
  <c r="C126" i="5" s="1"/>
  <c r="E547" i="2" s="1"/>
  <c r="C75" i="4"/>
  <c r="C42" i="7"/>
  <c r="E240" i="2" s="1"/>
  <c r="H415" i="4"/>
  <c r="C415" i="4" s="1"/>
  <c r="C232" i="4"/>
  <c r="C421" i="4"/>
  <c r="C31" i="7"/>
  <c r="E190" i="2" s="1"/>
  <c r="C426" i="4"/>
  <c r="H118" i="6"/>
  <c r="H66" i="7"/>
  <c r="H146" i="5"/>
  <c r="C146" i="5" s="1"/>
  <c r="E615" i="2" s="1"/>
  <c r="H117" i="5"/>
  <c r="C117" i="5" s="1"/>
  <c r="E489" i="2" s="1"/>
  <c r="H173" i="5"/>
  <c r="C173" i="5" s="1"/>
  <c r="E668" i="2" s="1"/>
  <c r="H112" i="5"/>
  <c r="C112" i="5" s="1"/>
  <c r="E452" i="2" s="1"/>
  <c r="H45" i="7"/>
  <c r="C45" i="7" s="1"/>
  <c r="E270" i="2" s="1"/>
  <c r="H55" i="7"/>
  <c r="C55" i="7" s="1"/>
  <c r="E373" i="2" s="1"/>
  <c r="H56" i="5"/>
  <c r="H97" i="5"/>
  <c r="C97" i="5" s="1"/>
  <c r="E396" i="2" s="1"/>
  <c r="H91" i="5"/>
  <c r="C91" i="5" s="1"/>
  <c r="E351" i="2" s="1"/>
  <c r="H127" i="5"/>
  <c r="C127" i="5" s="1"/>
  <c r="E548" i="2" s="1"/>
  <c r="H113" i="6"/>
  <c r="C113" i="6" s="1"/>
  <c r="E619" i="2" s="1"/>
  <c r="H86" i="7"/>
  <c r="C86" i="7" s="1"/>
  <c r="E565" i="2" s="1"/>
  <c r="H132" i="5"/>
  <c r="C132" i="5" s="1"/>
  <c r="E571" i="2" s="1"/>
  <c r="H115" i="6"/>
  <c r="C115" i="6" s="1"/>
  <c r="E630" i="2" s="1"/>
  <c r="H8" i="7"/>
  <c r="C8" i="7" s="1"/>
  <c r="E32" i="2" s="1"/>
  <c r="H52" i="7"/>
  <c r="C52" i="7" s="1"/>
  <c r="E346" i="2" s="1"/>
  <c r="H37" i="6"/>
  <c r="C37" i="6" s="1"/>
  <c r="E156" i="2" s="1"/>
  <c r="H10" i="5"/>
  <c r="C10" i="5" s="1"/>
  <c r="E37" i="2" s="1"/>
  <c r="H107" i="5"/>
  <c r="C107" i="5" s="1"/>
  <c r="E438" i="2" s="1"/>
  <c r="H4" i="4"/>
  <c r="C4" i="4" s="1"/>
  <c r="H120" i="6"/>
  <c r="C120" i="6" s="1"/>
  <c r="E661" i="2" s="1"/>
  <c r="H130" i="5"/>
  <c r="C130" i="5" s="1"/>
  <c r="E561" i="2" s="1"/>
  <c r="H26" i="7"/>
  <c r="C26" i="7" s="1"/>
  <c r="E142" i="2" s="1"/>
  <c r="H88" i="6"/>
  <c r="C88" i="6" s="1"/>
  <c r="E491" i="2" s="1"/>
  <c r="H87" i="5"/>
  <c r="H351" i="4"/>
  <c r="C351" i="4" s="1"/>
  <c r="H24" i="5"/>
  <c r="H314" i="4"/>
  <c r="C314" i="4" s="1"/>
  <c r="H57" i="4"/>
  <c r="C57" i="4" s="1"/>
  <c r="H302" i="4"/>
  <c r="H77" i="6"/>
  <c r="C77" i="6" s="1"/>
  <c r="E404" i="2" s="1"/>
  <c r="H129" i="5"/>
  <c r="C129" i="5" s="1"/>
  <c r="E536" i="2" s="1"/>
  <c r="H120" i="5"/>
  <c r="C120" i="5" s="1"/>
  <c r="E510" i="2" s="1"/>
  <c r="H39" i="5"/>
  <c r="H116" i="6"/>
  <c r="H151" i="5"/>
  <c r="C151" i="5" s="1"/>
  <c r="E621" i="2" s="1"/>
  <c r="H38" i="5"/>
  <c r="C38" i="5" s="1"/>
  <c r="E140" i="2" s="1"/>
  <c r="H64" i="7"/>
  <c r="C64" i="7" s="1"/>
  <c r="E461" i="2" s="1"/>
  <c r="H62" i="6"/>
  <c r="C62" i="6" s="1"/>
  <c r="E302" i="2" s="1"/>
  <c r="H348" i="4"/>
  <c r="C348" i="4" s="1"/>
  <c r="H48" i="4"/>
  <c r="C48" i="4" s="1"/>
  <c r="H340" i="4"/>
  <c r="C340" i="4" s="1"/>
  <c r="H290" i="4"/>
  <c r="C290" i="4" s="1"/>
  <c r="H58" i="5"/>
  <c r="C58" i="5" s="1"/>
  <c r="E175" i="2" s="1"/>
  <c r="H419" i="4"/>
  <c r="C419" i="4" s="1"/>
  <c r="H225" i="4"/>
  <c r="H161" i="5"/>
  <c r="C161" i="5" s="1"/>
  <c r="E638" i="2" s="1"/>
  <c r="H76" i="6"/>
  <c r="C76" i="6" s="1"/>
  <c r="E387" i="2" s="1"/>
  <c r="H12" i="5"/>
  <c r="C12" i="5" s="1"/>
  <c r="E55" i="2" s="1"/>
  <c r="H99" i="4"/>
  <c r="C99" i="4" s="1"/>
  <c r="H5" i="4"/>
  <c r="H165" i="4"/>
  <c r="H45" i="4"/>
  <c r="C45" i="4" s="1"/>
  <c r="H204" i="4"/>
  <c r="C204" i="4" s="1"/>
  <c r="C28" i="5"/>
  <c r="E88" i="2" s="1"/>
  <c r="H256" i="4"/>
  <c r="C256" i="4" s="1"/>
  <c r="H198" i="4"/>
  <c r="C198" i="4" s="1"/>
  <c r="H125" i="5"/>
  <c r="C125" i="5" s="1"/>
  <c r="E545" i="2" s="1"/>
  <c r="H81" i="4"/>
  <c r="C81" i="4" s="1"/>
  <c r="C56" i="5"/>
  <c r="E211" i="2" s="1"/>
  <c r="H265" i="4"/>
  <c r="C265" i="4" s="1"/>
  <c r="C333" i="4"/>
  <c r="C73" i="6"/>
  <c r="E354" i="2" s="1"/>
  <c r="C108" i="5"/>
  <c r="E431" i="2" s="1"/>
  <c r="H31" i="6"/>
  <c r="C31" i="6" s="1"/>
  <c r="E127" i="2" s="1"/>
  <c r="C200" i="4"/>
  <c r="C222" i="4"/>
  <c r="H39" i="6"/>
  <c r="C39" i="6" s="1"/>
  <c r="E170" i="2" s="1"/>
  <c r="H30" i="5"/>
  <c r="C30" i="5" s="1"/>
  <c r="E96" i="2" s="1"/>
  <c r="C98" i="5"/>
  <c r="E405" i="2" s="1"/>
  <c r="H379" i="4"/>
  <c r="C379" i="4" s="1"/>
  <c r="H110" i="6"/>
  <c r="C63" i="6"/>
  <c r="E310" i="2" s="1"/>
  <c r="H45" i="6"/>
  <c r="C45" i="6" s="1"/>
  <c r="E217" i="2" s="1"/>
  <c r="C91" i="7"/>
  <c r="E644" i="2" s="1"/>
  <c r="C122" i="4"/>
  <c r="C78" i="4"/>
  <c r="C81" i="6"/>
  <c r="E434" i="2" s="1"/>
  <c r="C105" i="4"/>
  <c r="H313" i="4"/>
  <c r="C313" i="4" s="1"/>
  <c r="H121" i="5"/>
  <c r="C121" i="5" s="1"/>
  <c r="E507" i="2" s="1"/>
  <c r="C409" i="4"/>
  <c r="C413" i="4"/>
  <c r="H63" i="4"/>
  <c r="C63" i="4" s="1"/>
  <c r="H157" i="4"/>
  <c r="C157" i="4" s="1"/>
  <c r="C411" i="4"/>
  <c r="H40" i="4"/>
  <c r="C40" i="4" s="1"/>
  <c r="C37" i="7"/>
  <c r="E210" i="2" s="1"/>
  <c r="H227" i="4"/>
  <c r="C227" i="4" s="1"/>
  <c r="C13" i="5"/>
  <c r="E36" i="2" s="1"/>
  <c r="C220" i="4"/>
  <c r="C58" i="7"/>
  <c r="E391" i="2" s="1"/>
  <c r="H24" i="7"/>
  <c r="C24" i="7" s="1"/>
  <c r="E131" i="2" s="1"/>
  <c r="H210" i="5"/>
  <c r="C210" i="5" s="1"/>
  <c r="E725" i="2" s="1"/>
  <c r="H88" i="7"/>
  <c r="C88" i="7" s="1"/>
  <c r="E597" i="2" s="1"/>
  <c r="C106" i="5"/>
  <c r="E432" i="2" s="1"/>
  <c r="C95" i="5"/>
  <c r="E382" i="2" s="1"/>
  <c r="H130" i="4"/>
  <c r="C49" i="6"/>
  <c r="E236" i="2" s="1"/>
  <c r="H377" i="4"/>
  <c r="C377" i="4" s="1"/>
  <c r="H133" i="5"/>
  <c r="C133" i="5" s="1"/>
  <c r="E575" i="2" s="1"/>
  <c r="C277" i="4"/>
  <c r="H9" i="6"/>
  <c r="C9" i="6" s="1"/>
  <c r="E33" i="2" s="1"/>
  <c r="C263" i="4"/>
  <c r="C178" i="4"/>
  <c r="H276" i="4"/>
  <c r="C276" i="4" s="1"/>
  <c r="C40" i="5"/>
  <c r="E133" i="2" s="1"/>
  <c r="C392" i="4"/>
  <c r="H95" i="4"/>
  <c r="H202" i="5"/>
  <c r="C69" i="5"/>
  <c r="E260" i="2" s="1"/>
  <c r="C33" i="7"/>
  <c r="E179" i="2" s="1"/>
  <c r="C59" i="7"/>
  <c r="E408" i="2" s="1"/>
  <c r="C46" i="5"/>
  <c r="E158" i="2" s="1"/>
  <c r="C21" i="5"/>
  <c r="E105" i="2" s="1"/>
  <c r="H247" i="4"/>
  <c r="C247" i="4" s="1"/>
  <c r="C99" i="5"/>
  <c r="E401" i="2" s="1"/>
  <c r="C5" i="4"/>
  <c r="H114" i="6"/>
  <c r="C114" i="6" s="1"/>
  <c r="E618" i="2" s="1"/>
  <c r="C47" i="4"/>
  <c r="H149" i="4"/>
  <c r="H320" i="4"/>
  <c r="C320" i="4" s="1"/>
  <c r="H334" i="4"/>
  <c r="C334" i="4" s="1"/>
  <c r="H309" i="4"/>
  <c r="C309" i="4" s="1"/>
  <c r="H130" i="6"/>
  <c r="C130" i="6" s="1"/>
  <c r="E716" i="2" s="1"/>
  <c r="H281" i="4"/>
  <c r="C281" i="4" s="1"/>
  <c r="H384" i="4"/>
  <c r="C384" i="4" s="1"/>
  <c r="H82" i="4"/>
  <c r="C82" i="4" s="1"/>
  <c r="H49" i="4"/>
  <c r="H185" i="4"/>
  <c r="C185" i="4" s="1"/>
  <c r="H86" i="4"/>
  <c r="H10" i="4"/>
  <c r="H366" i="4"/>
  <c r="C366" i="4" s="1"/>
  <c r="H429" i="4"/>
  <c r="C429" i="4" s="1"/>
  <c r="H29" i="4"/>
  <c r="C29" i="4" s="1"/>
  <c r="H323" i="4"/>
  <c r="C323" i="4" s="1"/>
  <c r="H148" i="4"/>
  <c r="C148" i="4" s="1"/>
  <c r="H275" i="4"/>
  <c r="C275" i="4" s="1"/>
  <c r="H338" i="4"/>
  <c r="H9" i="4"/>
  <c r="C9" i="4" s="1"/>
  <c r="H124" i="6"/>
  <c r="H61" i="4"/>
  <c r="C61" i="4" s="1"/>
  <c r="H261" i="4"/>
  <c r="C261" i="4" s="1"/>
  <c r="H167" i="4"/>
  <c r="C167" i="4" s="1"/>
  <c r="H102" i="5"/>
  <c r="C102" i="5" s="1"/>
  <c r="E322" i="2" s="1"/>
  <c r="H73" i="7"/>
  <c r="C73" i="7" s="1"/>
  <c r="E498" i="2" s="1"/>
  <c r="J13" i="8"/>
  <c r="H14" i="7"/>
  <c r="H95" i="6"/>
  <c r="C95" i="6" s="1"/>
  <c r="E533" i="2" s="1"/>
  <c r="H6" i="4"/>
  <c r="C6" i="4" s="1"/>
  <c r="H408" i="4"/>
  <c r="C408" i="4" s="1"/>
  <c r="H104" i="5"/>
  <c r="C104" i="5" s="1"/>
  <c r="E428" i="2" s="1"/>
  <c r="H270" i="4"/>
  <c r="C270" i="4" s="1"/>
  <c r="H319" i="4"/>
  <c r="C319" i="4" s="1"/>
  <c r="H161" i="4"/>
  <c r="C161" i="4" s="1"/>
  <c r="H186" i="4"/>
  <c r="C186" i="4" s="1"/>
  <c r="H83" i="7"/>
  <c r="C83" i="7" s="1"/>
  <c r="E546" i="2" s="1"/>
  <c r="H18" i="6"/>
  <c r="C18" i="6" s="1"/>
  <c r="E67" i="2" s="1"/>
  <c r="H166" i="5"/>
  <c r="C166" i="5" s="1"/>
  <c r="E643" i="2" s="1"/>
  <c r="H65" i="7"/>
  <c r="C65" i="7" s="1"/>
  <c r="E475" i="2" s="1"/>
  <c r="H119" i="4"/>
  <c r="H96" i="7"/>
  <c r="C96" i="7" s="1"/>
  <c r="E669" i="2" s="1"/>
  <c r="H49" i="7"/>
  <c r="C49" i="7" s="1"/>
  <c r="E304" i="2" s="1"/>
  <c r="H15" i="4"/>
  <c r="C15" i="4" s="1"/>
  <c r="H235" i="4"/>
  <c r="C235" i="4" s="1"/>
  <c r="H329" i="4"/>
  <c r="C329" i="4" s="1"/>
  <c r="H34" i="6"/>
  <c r="C34" i="6" s="1"/>
  <c r="E147" i="2" s="1"/>
  <c r="H5" i="5"/>
  <c r="C5" i="5" s="1"/>
  <c r="E4" i="2" s="1"/>
  <c r="H41" i="7"/>
  <c r="C41" i="7" s="1"/>
  <c r="E229" i="2" s="1"/>
  <c r="H23" i="5"/>
  <c r="H111" i="5"/>
  <c r="C111" i="5" s="1"/>
  <c r="E468" i="2" s="1"/>
  <c r="H54" i="5"/>
  <c r="C54" i="5" s="1"/>
  <c r="E231" i="2" s="1"/>
  <c r="H214" i="4"/>
  <c r="C214" i="4" s="1"/>
  <c r="C68" i="7"/>
  <c r="E477" i="2" s="1"/>
  <c r="J162" i="8"/>
  <c r="C121" i="4"/>
  <c r="C9" i="7"/>
  <c r="E39" i="2" s="1"/>
  <c r="C113" i="4"/>
  <c r="H101" i="6"/>
  <c r="C61" i="6"/>
  <c r="E307" i="2" s="1"/>
  <c r="H105" i="5"/>
  <c r="C105" i="5" s="1"/>
  <c r="E435" i="2" s="1"/>
  <c r="C27" i="7"/>
  <c r="E159" i="2" s="1"/>
  <c r="C406" i="4"/>
  <c r="C39" i="5"/>
  <c r="E121" i="2" s="1"/>
  <c r="H183" i="4"/>
  <c r="C183" i="4" s="1"/>
  <c r="C60" i="6"/>
  <c r="E299" i="2" s="1"/>
  <c r="C225" i="4"/>
  <c r="C287" i="4"/>
  <c r="C116" i="6"/>
  <c r="E631" i="2" s="1"/>
  <c r="H55" i="6"/>
  <c r="C55" i="6" s="1"/>
  <c r="E283" i="2" s="1"/>
  <c r="C160" i="5"/>
  <c r="E629" i="2" s="1"/>
  <c r="H78" i="5"/>
  <c r="C78" i="5" s="1"/>
  <c r="E305" i="2" s="1"/>
  <c r="C19" i="4"/>
  <c r="C164" i="4"/>
  <c r="C385" i="4"/>
  <c r="H124" i="5"/>
  <c r="C50" i="7"/>
  <c r="E326" i="2" s="1"/>
  <c r="C195" i="5"/>
  <c r="E707" i="2" s="1"/>
  <c r="H80" i="6"/>
  <c r="C80" i="6" s="1"/>
  <c r="E436" i="2" s="1"/>
  <c r="C203" i="5"/>
  <c r="E719" i="2" s="1"/>
  <c r="C29" i="6"/>
  <c r="E145" i="2" s="1"/>
  <c r="C111" i="6"/>
  <c r="E612" i="2" s="1"/>
  <c r="C189" i="5"/>
  <c r="E697" i="2" s="1"/>
  <c r="H362" i="4"/>
  <c r="C362" i="4" s="1"/>
  <c r="H371" i="4"/>
  <c r="C371" i="4" s="1"/>
  <c r="C35" i="5"/>
  <c r="E124" i="2" s="1"/>
  <c r="H102" i="4"/>
  <c r="C102" i="4" s="1"/>
  <c r="C66" i="7"/>
  <c r="E476" i="2" s="1"/>
  <c r="C310" i="4"/>
  <c r="C15" i="6"/>
  <c r="E52" i="2" s="1"/>
  <c r="C40" i="6"/>
  <c r="E180" i="2" s="1"/>
  <c r="H152" i="5"/>
  <c r="C152" i="5" s="1"/>
  <c r="E627" i="2" s="1"/>
  <c r="H174" i="4"/>
  <c r="C174" i="4" s="1"/>
  <c r="H118" i="4"/>
  <c r="C118" i="4" s="1"/>
  <c r="C53" i="6"/>
  <c r="E277" i="2" s="1"/>
  <c r="C376" i="4"/>
  <c r="C49" i="4"/>
  <c r="C201" i="5"/>
  <c r="E715" i="2" s="1"/>
  <c r="C399" i="4"/>
  <c r="H206" i="4"/>
  <c r="C206" i="4" s="1"/>
  <c r="C394" i="4"/>
  <c r="H32" i="5"/>
  <c r="C335" i="4"/>
  <c r="H38" i="7"/>
  <c r="C38" i="7" s="1"/>
  <c r="E206" i="2" s="1"/>
  <c r="H16" i="6"/>
  <c r="C16" i="6" s="1"/>
  <c r="E65" i="2" s="1"/>
  <c r="H205" i="4"/>
  <c r="C205" i="4" s="1"/>
  <c r="H110" i="5"/>
  <c r="C110" i="5" s="1"/>
  <c r="E462" i="2" s="1"/>
  <c r="C7" i="6"/>
  <c r="E27" i="2" s="1"/>
  <c r="C37" i="5"/>
  <c r="E152" i="2" s="1"/>
  <c r="H137" i="4"/>
  <c r="C137" i="4" s="1"/>
  <c r="C202" i="5"/>
  <c r="E717" i="2" s="1"/>
  <c r="H427" i="4"/>
  <c r="C427" i="4" s="1"/>
  <c r="H142" i="4"/>
  <c r="C142" i="4" s="1"/>
  <c r="H64" i="5"/>
  <c r="C64" i="5" s="1"/>
  <c r="E232" i="2" s="1"/>
  <c r="C355" i="4"/>
  <c r="C103" i="4"/>
  <c r="H389" i="4"/>
  <c r="C389" i="4" s="1"/>
  <c r="H402" i="4"/>
  <c r="C402" i="4" s="1"/>
  <c r="C416" i="4"/>
  <c r="C23" i="4"/>
  <c r="C71" i="7"/>
  <c r="E486" i="2" s="1"/>
  <c r="C28" i="4"/>
  <c r="C155" i="4"/>
  <c r="H120" i="4"/>
  <c r="C428" i="4"/>
  <c r="C75" i="7"/>
  <c r="E516" i="2" s="1"/>
  <c r="C207" i="4"/>
  <c r="H62" i="4"/>
  <c r="C62" i="4" s="1"/>
  <c r="C44" i="7"/>
  <c r="E247" i="2" s="1"/>
  <c r="C207" i="5"/>
  <c r="E722" i="2" s="1"/>
  <c r="C137" i="5"/>
  <c r="E583" i="2" s="1"/>
  <c r="H61" i="7"/>
  <c r="C61" i="7" s="1"/>
  <c r="E440" i="2" s="1"/>
  <c r="C233" i="4"/>
  <c r="H294" i="4"/>
  <c r="C294" i="4" s="1"/>
  <c r="H346" i="4"/>
  <c r="C346" i="4" s="1"/>
  <c r="H93" i="5"/>
  <c r="C93" i="5" s="1"/>
  <c r="E375" i="2" s="1"/>
  <c r="H299" i="4"/>
  <c r="C299" i="4" s="1"/>
  <c r="C74" i="4"/>
  <c r="H32" i="6"/>
  <c r="C32" i="6" s="1"/>
  <c r="E144" i="2" s="1"/>
  <c r="C107" i="4"/>
  <c r="C65" i="4"/>
  <c r="C338" i="4"/>
  <c r="C257" i="4"/>
  <c r="C89" i="4"/>
  <c r="H78" i="6"/>
  <c r="C78" i="6" s="1"/>
  <c r="E340" i="2" s="1"/>
  <c r="C175" i="4"/>
  <c r="C76" i="5"/>
  <c r="E286" i="2" s="1"/>
  <c r="C93" i="6"/>
  <c r="E497" i="2" s="1"/>
  <c r="C187" i="4"/>
  <c r="H372" i="4"/>
  <c r="C372" i="4" s="1"/>
  <c r="C139" i="5"/>
  <c r="E588" i="2" s="1"/>
  <c r="C63" i="5"/>
  <c r="E224" i="2" s="1"/>
  <c r="C83" i="4"/>
  <c r="H145" i="4"/>
  <c r="C145" i="4" s="1"/>
  <c r="H3" i="4"/>
  <c r="C3" i="4" s="1"/>
  <c r="H36" i="7"/>
  <c r="C36" i="7" s="1"/>
  <c r="E227" i="2" s="1"/>
  <c r="H98" i="6"/>
  <c r="C98" i="6" s="1"/>
  <c r="E570" i="2" s="1"/>
  <c r="H100" i="6"/>
  <c r="C100" i="6" s="1"/>
  <c r="E581" i="2" s="1"/>
  <c r="H149" i="5"/>
  <c r="C149" i="5" s="1"/>
  <c r="E622" i="2" s="1"/>
  <c r="H430" i="4"/>
  <c r="C430" i="4" s="1"/>
  <c r="H138" i="5"/>
  <c r="C138" i="5" s="1"/>
  <c r="E577" i="2" s="1"/>
  <c r="H186" i="5"/>
  <c r="C186" i="5" s="1"/>
  <c r="E696" i="2" s="1"/>
  <c r="H368" i="4"/>
  <c r="C368" i="4" s="1"/>
  <c r="H43" i="5"/>
  <c r="C43" i="5" s="1"/>
  <c r="E148" i="2" s="1"/>
  <c r="H25" i="5"/>
  <c r="C25" i="5" s="1"/>
  <c r="E102" i="2" s="1"/>
  <c r="H56" i="6"/>
  <c r="C56" i="6" s="1"/>
  <c r="E218" i="2" s="1"/>
  <c r="H28" i="6"/>
  <c r="C28" i="6" s="1"/>
  <c r="E115" i="2" s="1"/>
  <c r="H5" i="7"/>
  <c r="C5" i="7" s="1"/>
  <c r="E8" i="2" s="1"/>
  <c r="H176" i="5"/>
  <c r="C176" i="5" s="1"/>
  <c r="E672" i="2" s="1"/>
  <c r="H211" i="5"/>
  <c r="H11" i="6"/>
  <c r="C11" i="6" s="1"/>
  <c r="E40" i="2" s="1"/>
  <c r="H158" i="5"/>
  <c r="C158" i="5" s="1"/>
  <c r="E634" i="2" s="1"/>
  <c r="H46" i="6"/>
  <c r="C46" i="6" s="1"/>
  <c r="E220" i="2" s="1"/>
  <c r="H87" i="6"/>
  <c r="C87" i="6" s="1"/>
  <c r="E485" i="2" s="1"/>
  <c r="H164" i="5"/>
  <c r="C164" i="5" s="1"/>
  <c r="E641" i="2" s="1"/>
  <c r="H4" i="7"/>
  <c r="C4" i="7" s="1"/>
  <c r="E6" i="2" s="1"/>
  <c r="H407" i="4"/>
  <c r="C407" i="4" s="1"/>
  <c r="H31" i="5"/>
  <c r="C31" i="5" s="1"/>
  <c r="E101" i="2" s="1"/>
  <c r="H83" i="6"/>
  <c r="C83" i="6" s="1"/>
  <c r="E457" i="2" s="1"/>
  <c r="H51" i="6"/>
  <c r="C51" i="6" s="1"/>
  <c r="E261" i="2" s="1"/>
  <c r="H208" i="4"/>
  <c r="C208" i="4" s="1"/>
  <c r="H123" i="4"/>
  <c r="C123" i="4" s="1"/>
  <c r="H274" i="4"/>
  <c r="C274" i="4" s="1"/>
  <c r="H169" i="4"/>
  <c r="C169" i="4" s="1"/>
  <c r="H70" i="7"/>
  <c r="C70" i="7" s="1"/>
  <c r="H3" i="6"/>
  <c r="C3" i="6" s="1"/>
  <c r="H92" i="7"/>
  <c r="C92" i="7" s="1"/>
  <c r="E640" i="2" s="1"/>
  <c r="H213" i="4"/>
  <c r="C213" i="4" s="1"/>
  <c r="H131" i="5"/>
  <c r="C131" i="5" s="1"/>
  <c r="E553" i="2" s="1"/>
  <c r="H155" i="5"/>
  <c r="C155" i="5" s="1"/>
  <c r="E633" i="2" s="1"/>
  <c r="H79" i="5"/>
  <c r="C79" i="5" s="1"/>
  <c r="E308" i="2" s="1"/>
  <c r="H57" i="6"/>
  <c r="C57" i="6" s="1"/>
  <c r="E288" i="2" s="1"/>
  <c r="H11" i="4"/>
  <c r="C11" i="4" s="1"/>
  <c r="H166" i="4"/>
  <c r="C166" i="4" s="1"/>
  <c r="H349" i="4"/>
  <c r="C349" i="4" s="1"/>
  <c r="H246" i="4"/>
  <c r="C246" i="4" s="1"/>
  <c r="H180" i="4"/>
  <c r="C180" i="4" s="1"/>
  <c r="H318" i="4"/>
  <c r="C318" i="4" s="1"/>
  <c r="H390" i="4"/>
  <c r="C390" i="4" s="1"/>
  <c r="H331" i="4"/>
  <c r="C331" i="4" s="1"/>
  <c r="H6" i="7"/>
  <c r="C6" i="7" s="1"/>
  <c r="E14" i="2" s="1"/>
  <c r="H114" i="5"/>
  <c r="C114" i="5" s="1"/>
  <c r="E478" i="2" s="1"/>
  <c r="H77" i="7"/>
  <c r="C77" i="7" s="1"/>
  <c r="E523" i="2" s="1"/>
  <c r="H106" i="4"/>
  <c r="C106" i="4" s="1"/>
  <c r="H170" i="4"/>
  <c r="C170" i="4" s="1"/>
  <c r="H267" i="4"/>
  <c r="C267" i="4" s="1"/>
  <c r="H360" i="4"/>
  <c r="C360" i="4" s="1"/>
  <c r="C119" i="4"/>
  <c r="C179" i="5"/>
  <c r="E679" i="2" s="1"/>
  <c r="H404" i="4"/>
  <c r="C404" i="4" s="1"/>
  <c r="C13" i="6"/>
  <c r="E41" i="2" s="1"/>
  <c r="C70" i="4"/>
  <c r="C7" i="5"/>
  <c r="C130" i="4"/>
  <c r="C223" i="4"/>
  <c r="C124" i="4"/>
  <c r="C264" i="4"/>
  <c r="C95" i="7"/>
  <c r="E663" i="2" s="1"/>
  <c r="C25" i="6"/>
  <c r="E97" i="2" s="1"/>
  <c r="C95" i="4"/>
  <c r="C121" i="6"/>
  <c r="E664" i="2" s="1"/>
  <c r="C353" i="4"/>
  <c r="C188" i="5"/>
  <c r="E698" i="2" s="1"/>
  <c r="H160" i="4"/>
  <c r="C160" i="4" s="1"/>
  <c r="C34" i="7"/>
  <c r="E189" i="2" s="1"/>
  <c r="C386" i="4"/>
  <c r="H141" i="4"/>
  <c r="C141" i="4" s="1"/>
  <c r="C181" i="4"/>
  <c r="C55" i="5"/>
  <c r="E207" i="2" s="1"/>
  <c r="C64" i="6"/>
  <c r="E319" i="2" s="1"/>
  <c r="C120" i="4"/>
  <c r="C289" i="4"/>
  <c r="C199" i="4"/>
  <c r="C278" i="4"/>
  <c r="H259" i="4"/>
  <c r="C259" i="4" s="1"/>
  <c r="C171" i="5"/>
  <c r="E670" i="2" s="1"/>
  <c r="C307" i="4"/>
  <c r="H35" i="4"/>
  <c r="C35" i="4" s="1"/>
  <c r="H100" i="4"/>
  <c r="C100" i="4" s="1"/>
  <c r="C369" i="4"/>
  <c r="H182" i="5"/>
  <c r="C182" i="5" s="1"/>
  <c r="E685" i="2" s="1"/>
  <c r="C68" i="6"/>
  <c r="E329" i="2" s="1"/>
  <c r="C187" i="5"/>
  <c r="E695" i="2" s="1"/>
  <c r="C118" i="6"/>
  <c r="E653" i="2" s="1"/>
  <c r="C156" i="4"/>
  <c r="C92" i="5"/>
  <c r="E370" i="2" s="1"/>
  <c r="H401" i="4"/>
  <c r="C401" i="4" s="1"/>
  <c r="H10" i="7"/>
  <c r="C10" i="7" s="1"/>
  <c r="E44" i="2" s="1"/>
  <c r="H325" i="4"/>
  <c r="C325" i="4" s="1"/>
  <c r="H25" i="7"/>
  <c r="C25" i="7" s="1"/>
  <c r="E128" i="2" s="1"/>
  <c r="H253" i="4"/>
  <c r="C253" i="4" s="1"/>
  <c r="C177" i="5"/>
  <c r="E675" i="2" s="1"/>
  <c r="H66" i="4"/>
  <c r="C66" i="4" s="1"/>
  <c r="C148" i="5"/>
  <c r="E610" i="2" s="1"/>
  <c r="C67" i="6"/>
  <c r="E333" i="2" s="1"/>
  <c r="H96" i="4"/>
  <c r="C96" i="4" s="1"/>
  <c r="H178" i="5"/>
  <c r="C178" i="5" s="1"/>
  <c r="E680" i="2" s="1"/>
  <c r="H35" i="6"/>
  <c r="C35" i="6" s="1"/>
  <c r="E141" i="2" s="1"/>
  <c r="C150" i="5"/>
  <c r="E623" i="2" s="1"/>
  <c r="H177" i="4"/>
  <c r="C177" i="4" s="1"/>
  <c r="C14" i="7"/>
  <c r="E61" i="2" s="1"/>
  <c r="H42" i="4"/>
  <c r="C42" i="4" s="1"/>
  <c r="C88" i="4"/>
  <c r="C84" i="6"/>
  <c r="E456" i="2" s="1"/>
  <c r="H86" i="5"/>
  <c r="C86" i="5" s="1"/>
  <c r="E331" i="2" s="1"/>
  <c r="H315" i="4"/>
  <c r="C315" i="4" s="1"/>
  <c r="H57" i="5"/>
  <c r="C57" i="5" s="1"/>
  <c r="E212" i="2" s="1"/>
  <c r="C110" i="6"/>
  <c r="E607" i="2" s="1"/>
  <c r="C86" i="4"/>
  <c r="H282" i="4"/>
  <c r="C282" i="4" s="1"/>
  <c r="H47" i="7"/>
  <c r="C47" i="7" s="1"/>
  <c r="E284" i="2" s="1"/>
  <c r="C8" i="6"/>
  <c r="E28" i="2" s="1"/>
  <c r="C14" i="5"/>
  <c r="E45" i="2" s="1"/>
  <c r="C101" i="6"/>
  <c r="E580" i="2" s="1"/>
  <c r="C37" i="4"/>
  <c r="C237" i="4"/>
  <c r="C23" i="5"/>
  <c r="E60" i="2" s="1"/>
  <c r="C61" i="5"/>
  <c r="E242" i="2" s="1"/>
  <c r="C24" i="5"/>
  <c r="E110" i="2" s="1"/>
  <c r="J4" i="8"/>
  <c r="H65" i="6"/>
  <c r="C65" i="6" s="1"/>
  <c r="E321" i="2" s="1"/>
  <c r="C341" i="4"/>
  <c r="H35" i="7"/>
  <c r="C35" i="7" s="1"/>
  <c r="E197" i="2" s="1"/>
  <c r="C149" i="4"/>
  <c r="H12" i="4"/>
  <c r="C12" i="4" s="1"/>
  <c r="C192" i="4"/>
  <c r="H68" i="5"/>
  <c r="C68" i="5" s="1"/>
  <c r="E259" i="2" s="1"/>
  <c r="C170" i="5"/>
  <c r="E665" i="2" s="1"/>
  <c r="H183" i="5"/>
  <c r="C183" i="5" s="1"/>
  <c r="E690" i="2" s="1"/>
  <c r="C302" i="4"/>
  <c r="C124" i="6"/>
  <c r="E674" i="2" s="1"/>
  <c r="C36" i="6"/>
  <c r="E154" i="2" s="1"/>
  <c r="H190" i="5"/>
  <c r="C190" i="5" s="1"/>
  <c r="E700" i="2" s="1"/>
  <c r="H196" i="5"/>
  <c r="C196" i="5" s="1"/>
  <c r="E708" i="2" s="1"/>
  <c r="H361" i="4"/>
  <c r="C361" i="4" s="1"/>
  <c r="H159" i="4"/>
  <c r="C159" i="4" s="1"/>
  <c r="C165" i="5"/>
  <c r="E646" i="2" s="1"/>
  <c r="C7" i="4"/>
  <c r="C13" i="7"/>
  <c r="E49" i="2" s="1"/>
  <c r="C378" i="4"/>
  <c r="H59" i="5"/>
  <c r="C59" i="5" s="1"/>
  <c r="E208" i="2" s="1"/>
  <c r="C10" i="4"/>
  <c r="C69" i="6"/>
  <c r="E347" i="2" s="1"/>
  <c r="C50" i="5"/>
  <c r="E181" i="2" s="1"/>
  <c r="C249" i="4"/>
  <c r="H16" i="7"/>
  <c r="C16" i="7" s="1"/>
  <c r="E69" i="2" s="1"/>
  <c r="C189" i="4"/>
  <c r="C18" i="4"/>
  <c r="C84" i="5"/>
  <c r="E314" i="2" s="1"/>
  <c r="C51" i="7"/>
  <c r="E337" i="2" s="1"/>
  <c r="H92" i="6"/>
  <c r="C92" i="6" s="1"/>
  <c r="E513" i="2" s="1"/>
  <c r="H103" i="6"/>
  <c r="C103" i="6" s="1"/>
  <c r="E592" i="2" s="1"/>
  <c r="C50" i="4"/>
  <c r="H188" i="4"/>
  <c r="C188" i="4" s="1"/>
  <c r="H144" i="5"/>
  <c r="C144" i="5" s="1"/>
  <c r="E604" i="2" s="1"/>
  <c r="C124" i="5"/>
  <c r="E544" i="2" s="1"/>
  <c r="C165" i="4"/>
  <c r="C98" i="4"/>
  <c r="C32" i="5"/>
  <c r="E122" i="2" s="1"/>
  <c r="C17" i="4"/>
  <c r="C48" i="7"/>
  <c r="E311" i="2" s="1"/>
  <c r="H84" i="4"/>
  <c r="C84" i="4" s="1"/>
  <c r="C146" i="4"/>
  <c r="H119" i="6"/>
  <c r="C119" i="6" s="1"/>
  <c r="E656" i="2" s="1"/>
  <c r="C184" i="4"/>
  <c r="H357" i="4"/>
  <c r="C357" i="4" s="1"/>
  <c r="C87" i="5"/>
  <c r="E342" i="2" s="1"/>
  <c r="H196" i="4"/>
  <c r="C196" i="4" s="1"/>
  <c r="C150" i="4"/>
  <c r="C211" i="5"/>
  <c r="E726" i="2" s="1"/>
  <c r="C115" i="5"/>
  <c r="E480" i="2" s="1"/>
  <c r="C383" i="4"/>
  <c r="H33" i="5"/>
  <c r="C33" i="5" s="1"/>
  <c r="E100" i="2" s="1"/>
  <c r="C27" i="6"/>
  <c r="E112" i="2" s="1"/>
  <c r="H71" i="5"/>
  <c r="C71" i="5" s="1"/>
  <c r="E279" i="2" s="1"/>
  <c r="H3" i="5"/>
  <c r="C3" i="5" s="1"/>
  <c r="H418" i="4"/>
  <c r="C418" i="4" s="1"/>
  <c r="H248" i="4"/>
  <c r="C248" i="4" s="1"/>
  <c r="H112" i="6"/>
  <c r="C112" i="6" s="1"/>
  <c r="E616" i="2" s="1"/>
  <c r="H254" i="4"/>
  <c r="C254" i="4" s="1"/>
  <c r="H236" i="4"/>
  <c r="C236" i="4" s="1"/>
  <c r="H143" i="4"/>
  <c r="C143" i="4" s="1"/>
  <c r="H147" i="4"/>
  <c r="C147" i="4" s="1"/>
  <c r="H262" i="4"/>
  <c r="C262" i="4" s="1"/>
  <c r="H252" i="4"/>
  <c r="C252" i="4" s="1"/>
  <c r="H135" i="4"/>
  <c r="C135" i="4" s="1"/>
  <c r="H144" i="4"/>
  <c r="C144" i="4" s="1"/>
  <c r="H297" i="4"/>
  <c r="C297" i="4" s="1"/>
  <c r="H56" i="4"/>
  <c r="C56" i="4" s="1"/>
  <c r="H345" i="4"/>
  <c r="C345" i="4" s="1"/>
  <c r="H125" i="4"/>
  <c r="C125" i="4" s="1"/>
  <c r="H171" i="4"/>
  <c r="C171" i="4" s="1"/>
  <c r="J9" i="8"/>
  <c r="H122" i="6"/>
  <c r="C122" i="6" s="1"/>
  <c r="E667" i="2" s="1"/>
  <c r="H41" i="5"/>
  <c r="C41" i="5" s="1"/>
  <c r="E137" i="2" s="1"/>
  <c r="H168" i="4"/>
  <c r="C168" i="4" s="1"/>
  <c r="H217" i="4"/>
  <c r="C217" i="4" s="1"/>
  <c r="H129" i="4"/>
  <c r="C129" i="4" s="1"/>
  <c r="H301" i="4"/>
  <c r="C301" i="4" s="1"/>
  <c r="H39" i="4"/>
  <c r="C39" i="4" s="1"/>
  <c r="H328" i="4"/>
  <c r="C328" i="4" s="1"/>
  <c r="H139" i="4"/>
  <c r="C139" i="4" s="1"/>
  <c r="H92" i="4"/>
  <c r="C92" i="4" s="1"/>
  <c r="H101" i="4"/>
  <c r="C101" i="4" s="1"/>
  <c r="H303" i="4"/>
  <c r="C303" i="4" s="1"/>
  <c r="H30" i="7"/>
  <c r="C30" i="7" s="1"/>
  <c r="E167" i="2" s="1"/>
  <c r="H134" i="5"/>
  <c r="C134" i="5" s="1"/>
  <c r="E564" i="2" s="1"/>
  <c r="J189" i="8"/>
  <c r="H83" i="5"/>
  <c r="C83" i="5" s="1"/>
  <c r="E327" i="2" s="1"/>
  <c r="H224" i="4"/>
  <c r="C224" i="4" s="1"/>
  <c r="H8" i="4"/>
  <c r="C8" i="4" s="1"/>
  <c r="H403" i="4"/>
  <c r="C403" i="4" s="1"/>
  <c r="H258" i="4"/>
  <c r="C258" i="4" s="1"/>
  <c r="H283" i="4"/>
  <c r="C283" i="4" s="1"/>
  <c r="H33" i="9"/>
  <c r="H54" i="4"/>
  <c r="C54" i="4" s="1"/>
  <c r="H29" i="9"/>
  <c r="H156" i="4"/>
  <c r="H151" i="4"/>
  <c r="C151" i="4" s="1"/>
  <c r="H117" i="6"/>
  <c r="C117" i="6" s="1"/>
  <c r="E645" i="2" s="1"/>
  <c r="J46" i="8"/>
  <c r="H4" i="6"/>
  <c r="H50" i="6"/>
  <c r="C50" i="6" s="1"/>
  <c r="E258" i="2" s="1"/>
  <c r="H169" i="5"/>
  <c r="C169" i="5" s="1"/>
  <c r="E655" i="2" s="1"/>
  <c r="H119" i="5"/>
  <c r="C119" i="5" s="1"/>
  <c r="E499" i="2" s="1"/>
  <c r="J226" i="8"/>
  <c r="H88" i="5"/>
  <c r="C88" i="5" s="1"/>
  <c r="E352" i="2" s="1"/>
  <c r="H154" i="5"/>
  <c r="C154" i="5" s="1"/>
  <c r="E628" i="2" s="1"/>
  <c r="H90" i="7"/>
  <c r="C90" i="7" s="1"/>
  <c r="E625" i="2" s="1"/>
  <c r="H78" i="7"/>
  <c r="C78" i="7" s="1"/>
  <c r="E527" i="2" s="1"/>
  <c r="H68" i="9"/>
  <c r="H354" i="4"/>
  <c r="C354" i="4" s="1"/>
  <c r="J177" i="8"/>
  <c r="H49" i="5"/>
  <c r="C49" i="5" s="1"/>
  <c r="E182" i="2" s="1"/>
  <c r="H52" i="6"/>
  <c r="C52" i="6" s="1"/>
  <c r="E266" i="2" s="1"/>
  <c r="H86" i="6"/>
  <c r="C86" i="6" s="1"/>
  <c r="E469" i="2" s="1"/>
  <c r="H108" i="6"/>
  <c r="C108" i="6" s="1"/>
  <c r="E609" i="2" s="1"/>
  <c r="J101" i="8" l="1"/>
  <c r="J208" i="8"/>
  <c r="J75" i="8"/>
  <c r="J222" i="8"/>
  <c r="C12" i="8"/>
  <c r="E66" i="2" s="1"/>
  <c r="J23" i="8"/>
  <c r="J61" i="8"/>
  <c r="J89" i="8"/>
  <c r="C62" i="8"/>
  <c r="E233" i="2" s="1"/>
  <c r="C10" i="8"/>
  <c r="E31" i="2" s="1"/>
  <c r="J158" i="8"/>
  <c r="J112" i="8"/>
  <c r="J25" i="8"/>
  <c r="J151" i="8"/>
  <c r="C201" i="8"/>
  <c r="E525" i="2" s="1"/>
  <c r="C82" i="8"/>
  <c r="E276" i="2" s="1"/>
  <c r="H5" i="9"/>
  <c r="H37" i="9"/>
  <c r="C70" i="8"/>
  <c r="E246" i="2" s="1"/>
  <c r="C126" i="8"/>
  <c r="E389" i="2" s="1"/>
  <c r="C124" i="8"/>
  <c r="E384" i="2" s="1"/>
  <c r="C160" i="8"/>
  <c r="E443" i="2" s="1"/>
  <c r="C85" i="8"/>
  <c r="E292" i="2" s="1"/>
  <c r="C177" i="8"/>
  <c r="E479" i="2" s="1"/>
  <c r="C135" i="8"/>
  <c r="E403" i="2" s="1"/>
  <c r="C125" i="8"/>
  <c r="E385" i="2" s="1"/>
  <c r="H27" i="9"/>
  <c r="C52" i="8"/>
  <c r="E185" i="2" s="1"/>
  <c r="C170" i="8"/>
  <c r="E465" i="2" s="1"/>
  <c r="H70" i="9"/>
  <c r="C51" i="8"/>
  <c r="E194" i="2" s="1"/>
  <c r="C113" i="8"/>
  <c r="E359" i="2" s="1"/>
  <c r="C140" i="8"/>
  <c r="E407" i="2" s="1"/>
  <c r="C106" i="8"/>
  <c r="E345" i="2" s="1"/>
  <c r="C119" i="8"/>
  <c r="E376" i="2" s="1"/>
  <c r="C47" i="8"/>
  <c r="E186" i="2" s="1"/>
  <c r="C180" i="8"/>
  <c r="E488" i="2" s="1"/>
  <c r="C149" i="8"/>
  <c r="E420" i="2" s="1"/>
  <c r="H74" i="9"/>
  <c r="C129" i="8"/>
  <c r="E392" i="2" s="1"/>
  <c r="C207" i="8"/>
  <c r="E551" i="2" s="1"/>
  <c r="C189" i="8"/>
  <c r="E509" i="2" s="1"/>
  <c r="H65" i="9"/>
  <c r="J160" i="8"/>
  <c r="C173" i="8"/>
  <c r="E464" i="2" s="1"/>
  <c r="C221" i="8"/>
  <c r="E589" i="2" s="1"/>
  <c r="C222" i="8"/>
  <c r="E586" i="2" s="1"/>
  <c r="C174" i="8"/>
  <c r="E470" i="2" s="1"/>
  <c r="C65" i="8"/>
  <c r="E239" i="2" s="1"/>
  <c r="C109" i="8"/>
  <c r="E349" i="2" s="1"/>
  <c r="C16" i="8"/>
  <c r="E82" i="2" s="1"/>
  <c r="C136" i="8"/>
  <c r="E399" i="2" s="1"/>
  <c r="C225" i="8"/>
  <c r="E595" i="2" s="1"/>
  <c r="C220" i="8"/>
  <c r="E585" i="2" s="1"/>
  <c r="C56" i="8"/>
  <c r="E205" i="2" s="1"/>
  <c r="C98" i="8"/>
  <c r="E323" i="2" s="1"/>
  <c r="C193" i="8"/>
  <c r="E515" i="2" s="1"/>
  <c r="C206" i="8"/>
  <c r="E549" i="2" s="1"/>
  <c r="C8" i="8"/>
  <c r="E25" i="2" s="1"/>
  <c r="C138" i="8"/>
  <c r="E397" i="2" s="1"/>
  <c r="C209" i="8"/>
  <c r="E552" i="2" s="1"/>
  <c r="C199" i="8"/>
  <c r="E526" i="2" s="1"/>
  <c r="C103" i="8"/>
  <c r="E335" i="2" s="1"/>
  <c r="C115" i="8"/>
  <c r="E355" i="2" s="1"/>
  <c r="C217" i="8"/>
  <c r="E573" i="2" s="1"/>
  <c r="C11" i="8"/>
  <c r="E47" i="2" s="1"/>
  <c r="C123" i="8"/>
  <c r="E381" i="2" s="1"/>
  <c r="C41" i="8"/>
  <c r="E165" i="2" s="1"/>
  <c r="C39" i="8"/>
  <c r="E160" i="2" s="1"/>
  <c r="C171" i="8"/>
  <c r="E467" i="2" s="1"/>
  <c r="C71" i="8"/>
  <c r="E250" i="2" s="1"/>
  <c r="C197" i="8"/>
  <c r="E522" i="2" s="1"/>
  <c r="H66" i="9"/>
  <c r="C162" i="8"/>
  <c r="E446" i="2" s="1"/>
  <c r="C145" i="8"/>
  <c r="E413" i="2" s="1"/>
  <c r="H16" i="9"/>
  <c r="H62" i="9"/>
  <c r="J15" i="8"/>
  <c r="C202" i="8"/>
  <c r="E532" i="2" s="1"/>
  <c r="C168" i="8"/>
  <c r="E451" i="2" s="1"/>
  <c r="C192" i="8"/>
  <c r="E514" i="2" s="1"/>
  <c r="C157" i="8"/>
  <c r="E433" i="2" s="1"/>
  <c r="C93" i="8"/>
  <c r="E309" i="2" s="1"/>
  <c r="C183" i="8"/>
  <c r="E494" i="2" s="1"/>
  <c r="C219" i="8"/>
  <c r="E576" i="2" s="1"/>
  <c r="C72" i="8"/>
  <c r="E253" i="2" s="1"/>
  <c r="J148" i="8"/>
  <c r="C7" i="8"/>
  <c r="E34" i="2" s="1"/>
  <c r="H64" i="9"/>
  <c r="C179" i="8"/>
  <c r="E483" i="2" s="1"/>
  <c r="C14" i="8"/>
  <c r="E38" i="2" s="1"/>
  <c r="H18" i="9"/>
  <c r="J171" i="8"/>
  <c r="C49" i="8"/>
  <c r="E203" i="2" s="1"/>
  <c r="J81" i="8"/>
  <c r="C4" i="8"/>
  <c r="E12" i="2" s="1"/>
  <c r="C14" i="3" s="1"/>
  <c r="C164" i="8"/>
  <c r="E448" i="2" s="1"/>
  <c r="J117" i="8"/>
  <c r="C105" i="8"/>
  <c r="E338" i="2" s="1"/>
  <c r="C172" i="8"/>
  <c r="E463" i="2" s="1"/>
  <c r="J141" i="8"/>
  <c r="C155" i="8"/>
  <c r="E429" i="2" s="1"/>
  <c r="J48" i="8"/>
  <c r="C25" i="8"/>
  <c r="E119" i="2" s="1"/>
  <c r="H51" i="9"/>
  <c r="C20" i="8"/>
  <c r="E95" i="2" s="1"/>
  <c r="C195" i="8"/>
  <c r="E520" i="2" s="1"/>
  <c r="H25" i="9"/>
  <c r="C42" i="8"/>
  <c r="E178" i="2" s="1"/>
  <c r="C28" i="8"/>
  <c r="E118" i="2" s="1"/>
  <c r="C150" i="8"/>
  <c r="E417" i="2" s="1"/>
  <c r="C73" i="8"/>
  <c r="E254" i="2" s="1"/>
  <c r="C128" i="8"/>
  <c r="E383" i="2" s="1"/>
  <c r="C227" i="8"/>
  <c r="E624" i="2" s="1"/>
  <c r="C226" i="8"/>
  <c r="E608" i="2" s="1"/>
  <c r="C44" i="8"/>
  <c r="E174" i="2" s="1"/>
  <c r="C40" i="8"/>
  <c r="E166" i="2" s="1"/>
  <c r="C130" i="8"/>
  <c r="E386" i="2" s="1"/>
  <c r="J14" i="8"/>
  <c r="C53" i="8"/>
  <c r="E199" i="2" s="1"/>
  <c r="C30" i="8"/>
  <c r="E126" i="2" s="1"/>
  <c r="C100" i="8"/>
  <c r="E325" i="2" s="1"/>
  <c r="C79" i="8"/>
  <c r="E267" i="2" s="1"/>
  <c r="C89" i="8"/>
  <c r="E294" i="2" s="1"/>
  <c r="J195" i="8"/>
  <c r="J125" i="8"/>
  <c r="J145" i="8"/>
  <c r="C133" i="8"/>
  <c r="E394" i="2" s="1"/>
  <c r="C151" i="8"/>
  <c r="E419" i="2" s="1"/>
  <c r="H24" i="9"/>
  <c r="C142" i="8"/>
  <c r="E411" i="2" s="1"/>
  <c r="C9" i="8"/>
  <c r="E22" i="2" s="1"/>
  <c r="J219" i="8"/>
  <c r="H59" i="9"/>
  <c r="C60" i="8"/>
  <c r="E225" i="2" s="1"/>
  <c r="C112" i="8"/>
  <c r="E361" i="2" s="1"/>
  <c r="C161" i="8"/>
  <c r="E444" i="2" s="1"/>
  <c r="C132" i="8"/>
  <c r="E395" i="2" s="1"/>
  <c r="H11" i="9"/>
  <c r="C200" i="8"/>
  <c r="E528" i="2" s="1"/>
  <c r="C194" i="8"/>
  <c r="E518" i="2" s="1"/>
  <c r="C67" i="8"/>
  <c r="E244" i="2" s="1"/>
  <c r="J49" i="8"/>
  <c r="C122" i="8"/>
  <c r="E374" i="2" s="1"/>
  <c r="C108" i="8"/>
  <c r="E353" i="2" s="1"/>
  <c r="C214" i="8"/>
  <c r="E568" i="2" s="1"/>
  <c r="C57" i="8"/>
  <c r="E204" i="2" s="1"/>
  <c r="C218" i="8"/>
  <c r="E569" i="2" s="1"/>
  <c r="C204" i="8"/>
  <c r="E534" i="2" s="1"/>
  <c r="C175" i="8"/>
  <c r="E474" i="2" s="1"/>
  <c r="J10" i="8"/>
  <c r="H12" i="9"/>
  <c r="J143" i="8"/>
  <c r="C18" i="8"/>
  <c r="E85" i="2" s="1"/>
  <c r="H17" i="9"/>
  <c r="J84" i="8"/>
  <c r="J67" i="8"/>
  <c r="J149" i="8"/>
  <c r="J22" i="8"/>
  <c r="C21" i="8"/>
  <c r="E81" i="2" s="1"/>
  <c r="C87" i="8"/>
  <c r="E285" i="2" s="1"/>
  <c r="J69" i="8"/>
  <c r="C31" i="8"/>
  <c r="E130" i="2" s="1"/>
  <c r="C63" i="8"/>
  <c r="E235" i="2" s="1"/>
  <c r="C55" i="8"/>
  <c r="E201" i="2" s="1"/>
  <c r="C104" i="8"/>
  <c r="E334" i="2" s="1"/>
  <c r="J57" i="8"/>
  <c r="C184" i="8"/>
  <c r="E493" i="2" s="1"/>
  <c r="C35" i="8"/>
  <c r="E139" i="2" s="1"/>
  <c r="C37" i="8"/>
  <c r="E153" i="2" s="1"/>
  <c r="C146" i="8"/>
  <c r="E414" i="2" s="1"/>
  <c r="H55" i="9"/>
  <c r="C61" i="8"/>
  <c r="E226" i="2" s="1"/>
  <c r="C68" i="8"/>
  <c r="E243" i="2" s="1"/>
  <c r="C78" i="8"/>
  <c r="E262" i="2" s="1"/>
  <c r="C188" i="8"/>
  <c r="E505" i="2" s="1"/>
  <c r="C196" i="8"/>
  <c r="E521" i="2" s="1"/>
  <c r="C26" i="8"/>
  <c r="E94" i="2" s="1"/>
  <c r="C147" i="8"/>
  <c r="E418" i="2" s="1"/>
  <c r="C29" i="8"/>
  <c r="E109" i="2" s="1"/>
  <c r="C99" i="8"/>
  <c r="E320" i="2" s="1"/>
  <c r="C23" i="8"/>
  <c r="E90" i="2" s="1"/>
  <c r="C224" i="8"/>
  <c r="E596" i="2" s="1"/>
  <c r="J214" i="8"/>
  <c r="C80" i="8"/>
  <c r="E263" i="2" s="1"/>
  <c r="C69" i="8"/>
  <c r="E249" i="2" s="1"/>
  <c r="J207" i="8"/>
  <c r="C198" i="8"/>
  <c r="E524" i="2" s="1"/>
  <c r="C208" i="8"/>
  <c r="E550" i="2" s="1"/>
  <c r="C91" i="8"/>
  <c r="E300" i="2" s="1"/>
  <c r="J90" i="8"/>
  <c r="J17" i="8"/>
  <c r="J106" i="8"/>
  <c r="C97" i="8"/>
  <c r="E316" i="2" s="1"/>
  <c r="C64" i="8"/>
  <c r="E238" i="2" s="1"/>
  <c r="C143" i="8"/>
  <c r="E412" i="2" s="1"/>
  <c r="J42" i="8"/>
  <c r="H52" i="9"/>
  <c r="J70" i="8"/>
  <c r="J102" i="8"/>
  <c r="C154" i="8"/>
  <c r="E421" i="2" s="1"/>
  <c r="C111" i="8"/>
  <c r="E360" i="2" s="1"/>
  <c r="C22" i="8"/>
  <c r="E84" i="2" s="1"/>
  <c r="J73" i="8"/>
  <c r="C76" i="8"/>
  <c r="E256" i="2" s="1"/>
  <c r="C134" i="8"/>
  <c r="E398" i="2" s="1"/>
  <c r="C75" i="8"/>
  <c r="E245" i="2" s="1"/>
  <c r="C27" i="8"/>
  <c r="E129" i="2" s="1"/>
  <c r="H60" i="9"/>
  <c r="C167" i="8"/>
  <c r="E454" i="2" s="1"/>
  <c r="C88" i="8"/>
  <c r="E281" i="2" s="1"/>
  <c r="C33" i="8"/>
  <c r="E132" i="2" s="1"/>
  <c r="C169" i="8"/>
  <c r="E459" i="2" s="1"/>
  <c r="C210" i="8"/>
  <c r="E554" i="2" s="1"/>
  <c r="C3" i="8"/>
  <c r="E15" i="2" s="1"/>
  <c r="C13" i="8"/>
  <c r="E63" i="2" s="1"/>
  <c r="J52" i="8"/>
  <c r="C153" i="8"/>
  <c r="E422" i="2" s="1"/>
  <c r="C46" i="8"/>
  <c r="E184" i="2" s="1"/>
  <c r="J45" i="8"/>
  <c r="J121" i="8"/>
  <c r="J168" i="8"/>
  <c r="H49" i="9"/>
  <c r="C121" i="8"/>
  <c r="E364" i="2" s="1"/>
  <c r="C58" i="8"/>
  <c r="E221" i="2" s="1"/>
  <c r="C77" i="8"/>
  <c r="E264" i="2" s="1"/>
  <c r="C141" i="8"/>
  <c r="E410" i="2" s="1"/>
  <c r="J120" i="8"/>
  <c r="J139" i="8"/>
  <c r="J114" i="8"/>
  <c r="C83" i="8"/>
  <c r="E278" i="2" s="1"/>
  <c r="C144" i="8"/>
  <c r="E409" i="2" s="1"/>
  <c r="C17" i="8"/>
  <c r="E80" i="2" s="1"/>
  <c r="C86" i="8"/>
  <c r="E293" i="2" s="1"/>
  <c r="C66" i="8"/>
  <c r="E228" i="2" s="1"/>
  <c r="C163" i="8"/>
  <c r="E442" i="2" s="1"/>
  <c r="C96" i="8"/>
  <c r="E317" i="2" s="1"/>
  <c r="C74" i="8"/>
  <c r="E255" i="2" s="1"/>
  <c r="C107" i="8"/>
  <c r="E344" i="2" s="1"/>
  <c r="C159" i="8"/>
  <c r="E441" i="2" s="1"/>
  <c r="C34" i="8"/>
  <c r="E136" i="2" s="1"/>
  <c r="C181" i="8"/>
  <c r="E487" i="2" s="1"/>
  <c r="J87" i="8"/>
  <c r="H46" i="9"/>
  <c r="C203" i="8"/>
  <c r="E529" i="2" s="1"/>
  <c r="H57" i="9"/>
  <c r="C190" i="8"/>
  <c r="E500" i="2" s="1"/>
  <c r="J43" i="8"/>
  <c r="J79" i="8"/>
  <c r="J135" i="8"/>
  <c r="C223" i="8"/>
  <c r="E593" i="2" s="1"/>
  <c r="C54" i="8"/>
  <c r="E202" i="2" s="1"/>
  <c r="J71" i="8"/>
  <c r="C165" i="8"/>
  <c r="E450" i="2" s="1"/>
  <c r="C101" i="8"/>
  <c r="E328" i="2" s="1"/>
  <c r="C216" i="8"/>
  <c r="E572" i="2" s="1"/>
  <c r="C32" i="8"/>
  <c r="E138" i="2" s="1"/>
  <c r="C24" i="8"/>
  <c r="E98" i="2" s="1"/>
  <c r="C45" i="8"/>
  <c r="E171" i="2" s="1"/>
  <c r="C38" i="8"/>
  <c r="E157" i="2" s="1"/>
  <c r="C43" i="8"/>
  <c r="E163" i="2" s="1"/>
  <c r="C166" i="8"/>
  <c r="E449" i="2" s="1"/>
  <c r="C176" i="8"/>
  <c r="E473" i="2" s="1"/>
  <c r="C148" i="8"/>
  <c r="E415" i="2" s="1"/>
  <c r="J224" i="8"/>
  <c r="C186" i="8"/>
  <c r="E502" i="2" s="1"/>
  <c r="C114" i="8"/>
  <c r="E363" i="2" s="1"/>
  <c r="C95" i="8"/>
  <c r="E315" i="2" s="1"/>
  <c r="J122" i="8"/>
  <c r="J176" i="8"/>
  <c r="C59" i="8"/>
  <c r="E223" i="2" s="1"/>
  <c r="C15" i="8"/>
  <c r="E53" i="2" s="1"/>
  <c r="C94" i="8"/>
  <c r="E312" i="2" s="1"/>
  <c r="C131" i="8"/>
  <c r="E390" i="2" s="1"/>
  <c r="C152" i="8"/>
  <c r="E424" i="2" s="1"/>
  <c r="C102" i="8"/>
  <c r="E324" i="2" s="1"/>
  <c r="C139" i="8"/>
  <c r="E402" i="2" s="1"/>
  <c r="C137" i="8"/>
  <c r="E400" i="2" s="1"/>
  <c r="C117" i="8"/>
  <c r="E365" i="2" s="1"/>
  <c r="C127" i="8"/>
  <c r="E378" i="2" s="1"/>
  <c r="C36" i="8"/>
  <c r="E146" i="2" s="1"/>
  <c r="C205" i="8"/>
  <c r="E541" i="2" s="1"/>
  <c r="C19" i="8"/>
  <c r="E93" i="2" s="1"/>
  <c r="C158" i="8"/>
  <c r="E437" i="2" s="1"/>
  <c r="C118" i="8"/>
  <c r="E368" i="2" s="1"/>
  <c r="J34" i="8"/>
  <c r="C185" i="8"/>
  <c r="E501" i="2" s="1"/>
  <c r="C6" i="8"/>
  <c r="E23" i="2" s="1"/>
  <c r="J136" i="8"/>
  <c r="C211" i="8"/>
  <c r="E555" i="2" s="1"/>
  <c r="C50" i="8"/>
  <c r="E196" i="2" s="1"/>
  <c r="C212" i="8"/>
  <c r="E558" i="2" s="1"/>
  <c r="J199" i="8"/>
  <c r="J53" i="8"/>
  <c r="C116" i="8"/>
  <c r="E366" i="2" s="1"/>
  <c r="C90" i="8"/>
  <c r="E297" i="2" s="1"/>
  <c r="C191" i="8"/>
  <c r="E511" i="2" s="1"/>
  <c r="C92" i="8"/>
  <c r="E295" i="2" s="1"/>
  <c r="C120" i="8"/>
  <c r="E380" i="2" s="1"/>
  <c r="C187" i="8"/>
  <c r="E503" i="2" s="1"/>
  <c r="C48" i="8"/>
  <c r="E191" i="2" s="1"/>
  <c r="C182" i="8"/>
  <c r="E492" i="2" s="1"/>
  <c r="C215" i="8"/>
  <c r="E562" i="2" s="1"/>
  <c r="C110" i="8"/>
  <c r="E356" i="2" s="1"/>
  <c r="C156" i="8"/>
  <c r="E430" i="2" s="1"/>
  <c r="C178" i="8"/>
  <c r="E481" i="2" s="1"/>
  <c r="C213" i="8"/>
  <c r="E566" i="2" s="1"/>
  <c r="J227" i="8"/>
  <c r="J153" i="8"/>
  <c r="H35" i="9"/>
  <c r="J104" i="8"/>
  <c r="J169" i="8"/>
  <c r="J38" i="8"/>
  <c r="J201" i="8"/>
  <c r="J124" i="8"/>
  <c r="J5" i="8"/>
  <c r="J85" i="8"/>
  <c r="J31" i="8"/>
  <c r="J8" i="8"/>
  <c r="J130" i="8"/>
  <c r="J134" i="8"/>
  <c r="J62" i="8"/>
  <c r="J3" i="8"/>
  <c r="H15" i="9"/>
  <c r="J183" i="8"/>
  <c r="J225" i="8"/>
  <c r="J185" i="8"/>
  <c r="J96" i="8"/>
  <c r="J218" i="8"/>
  <c r="J59" i="8"/>
  <c r="J103" i="8"/>
  <c r="J54" i="8"/>
  <c r="J172" i="8"/>
  <c r="J133" i="8"/>
  <c r="J187" i="8"/>
  <c r="J206" i="8"/>
  <c r="J76" i="8"/>
  <c r="J94" i="8"/>
  <c r="J18" i="8"/>
  <c r="J55" i="8"/>
  <c r="J95" i="8"/>
  <c r="J66" i="8"/>
  <c r="J202" i="8"/>
  <c r="J175" i="8"/>
  <c r="J92" i="8"/>
  <c r="J65" i="8"/>
  <c r="J194" i="8"/>
  <c r="J178" i="8"/>
  <c r="J82" i="8"/>
  <c r="J150" i="8"/>
  <c r="J174" i="8"/>
  <c r="J216" i="8"/>
  <c r="J159" i="8"/>
  <c r="J138" i="8"/>
  <c r="J99" i="8"/>
  <c r="J213" i="8"/>
  <c r="J215" i="8"/>
  <c r="J50" i="8"/>
  <c r="J119" i="8"/>
  <c r="J163" i="8"/>
  <c r="J107" i="8"/>
  <c r="J210" i="8"/>
  <c r="J51" i="8"/>
  <c r="J220" i="8"/>
  <c r="J111" i="8"/>
  <c r="J200" i="8"/>
  <c r="J161" i="8"/>
  <c r="J140" i="8"/>
  <c r="J167" i="8"/>
  <c r="J196" i="8"/>
  <c r="J181" i="8"/>
  <c r="J40" i="8"/>
  <c r="J184" i="8"/>
  <c r="J44" i="8"/>
  <c r="J173" i="8"/>
  <c r="J7" i="8"/>
  <c r="J221" i="8"/>
  <c r="J32" i="8"/>
  <c r="J203" i="8"/>
  <c r="J29" i="8"/>
  <c r="J39" i="8"/>
  <c r="H23" i="9"/>
  <c r="J182" i="8"/>
  <c r="H47" i="9"/>
  <c r="H39" i="9"/>
  <c r="H50" i="9"/>
  <c r="H32" i="9"/>
  <c r="H72" i="9"/>
  <c r="H13" i="9"/>
  <c r="H56" i="9"/>
  <c r="H44" i="9"/>
  <c r="H34" i="9"/>
  <c r="H71" i="9"/>
  <c r="H14" i="9"/>
  <c r="J706" i="2"/>
  <c r="E71" i="9"/>
  <c r="J24" i="8"/>
  <c r="J117" i="6"/>
  <c r="C4" i="6"/>
  <c r="E11" i="2" s="1"/>
  <c r="H20" i="9"/>
  <c r="J211" i="8"/>
  <c r="J91" i="8"/>
  <c r="J430" i="4"/>
  <c r="J19" i="8"/>
  <c r="J30" i="8"/>
  <c r="J283" i="4"/>
  <c r="E8" i="9"/>
  <c r="J19" i="2"/>
  <c r="E25" i="9"/>
  <c r="J176" i="2"/>
  <c r="E22" i="9"/>
  <c r="J162" i="2"/>
  <c r="H48" i="9"/>
  <c r="J64" i="8"/>
  <c r="H53" i="9"/>
  <c r="J123" i="8"/>
  <c r="H22" i="9"/>
  <c r="J180" i="8"/>
  <c r="J190" i="8"/>
  <c r="J41" i="8"/>
  <c r="H43" i="9"/>
  <c r="J60" i="8"/>
  <c r="J68" i="8"/>
  <c r="J212" i="8"/>
  <c r="J156" i="8"/>
  <c r="H73" i="9"/>
  <c r="J108" i="2"/>
  <c r="E17" i="9"/>
  <c r="J332" i="2"/>
  <c r="E35" i="9"/>
  <c r="E66" i="9"/>
  <c r="J684" i="2"/>
  <c r="E57" i="9"/>
  <c r="J642" i="2"/>
  <c r="E51" i="9"/>
  <c r="J603" i="2"/>
  <c r="E15" i="9"/>
  <c r="J92" i="2"/>
  <c r="J578" i="2"/>
  <c r="E50" i="9"/>
  <c r="E72" i="9"/>
  <c r="J712" i="2"/>
  <c r="E73" i="9"/>
  <c r="J714" i="2"/>
  <c r="E74" i="9"/>
  <c r="J723" i="2"/>
  <c r="E67" i="9"/>
  <c r="J686" i="2"/>
  <c r="J660" i="2"/>
  <c r="E62" i="9"/>
  <c r="E59" i="9"/>
  <c r="J654" i="2"/>
  <c r="J83" i="8"/>
  <c r="J132" i="8"/>
  <c r="J204" i="8"/>
  <c r="J47" i="8"/>
  <c r="H31" i="9"/>
  <c r="H67" i="9"/>
  <c r="J188" i="8"/>
  <c r="J142" i="8"/>
  <c r="H4" i="9"/>
  <c r="J198" i="8"/>
  <c r="H40" i="9"/>
  <c r="J97" i="8"/>
  <c r="J118" i="8"/>
  <c r="H19" i="9"/>
  <c r="J16" i="8"/>
  <c r="J217" i="8"/>
  <c r="J56" i="8"/>
  <c r="H21" i="9"/>
  <c r="H8" i="9"/>
  <c r="E32" i="9"/>
  <c r="J230" i="2"/>
  <c r="E68" i="9"/>
  <c r="J689" i="2"/>
  <c r="J318" i="2"/>
  <c r="E38" i="9"/>
  <c r="E63" i="9"/>
  <c r="J673" i="2"/>
  <c r="E37" i="9"/>
  <c r="J313" i="2"/>
  <c r="E31" i="9"/>
  <c r="J219" i="2"/>
  <c r="J455" i="2"/>
  <c r="E45" i="9"/>
  <c r="H30" i="9"/>
  <c r="J88" i="8"/>
  <c r="J58" i="8"/>
  <c r="J152" i="8"/>
  <c r="J11" i="8"/>
  <c r="J116" i="8"/>
  <c r="H42" i="9"/>
  <c r="J170" i="8"/>
  <c r="H3" i="9"/>
  <c r="J74" i="8"/>
  <c r="J37" i="8"/>
  <c r="H63" i="9"/>
  <c r="E6" i="9"/>
  <c r="J30" i="2"/>
  <c r="E43" i="9"/>
  <c r="J447" i="2"/>
  <c r="E41" i="9"/>
  <c r="J377" i="2"/>
  <c r="J173" i="2"/>
  <c r="E24" i="9"/>
  <c r="J659" i="2"/>
  <c r="E61" i="9"/>
  <c r="E34" i="9"/>
  <c r="J269" i="2"/>
  <c r="J234" i="2"/>
  <c r="E33" i="9"/>
  <c r="J80" i="8"/>
  <c r="J157" i="8"/>
  <c r="J165" i="8"/>
  <c r="J126" i="8"/>
  <c r="J108" i="8"/>
  <c r="J186" i="8"/>
  <c r="E44" i="9"/>
  <c r="J453" i="2"/>
  <c r="E26" i="9"/>
  <c r="J183" i="2"/>
  <c r="E14" i="9"/>
  <c r="J99" i="2"/>
  <c r="E3" i="9"/>
  <c r="F25" i="3"/>
  <c r="F28" i="3" s="1"/>
  <c r="U25" i="3" s="1"/>
  <c r="AE2" i="3" s="1"/>
  <c r="J16" i="2"/>
  <c r="E12" i="9"/>
  <c r="J51" i="2"/>
  <c r="E7" i="9"/>
  <c r="J24" i="2"/>
  <c r="H69" i="9"/>
  <c r="H7" i="9"/>
  <c r="J93" i="8"/>
  <c r="J113" i="8"/>
  <c r="J100" i="8"/>
  <c r="J35" i="8"/>
  <c r="H58" i="9"/>
  <c r="J129" i="8"/>
  <c r="J127" i="8"/>
  <c r="J155" i="8"/>
  <c r="J147" i="8"/>
  <c r="J77" i="8"/>
  <c r="J144" i="8"/>
  <c r="J105" i="8"/>
  <c r="J26" i="8"/>
  <c r="J98" i="8"/>
  <c r="J63" i="8"/>
  <c r="J205" i="8"/>
  <c r="J115" i="8"/>
  <c r="H45" i="9"/>
  <c r="H75" i="9"/>
  <c r="J164" i="8"/>
  <c r="H41" i="9"/>
  <c r="H6" i="9"/>
  <c r="J128" i="8"/>
  <c r="H10" i="9"/>
  <c r="J52" i="9" s="1"/>
  <c r="J192" i="8"/>
  <c r="J78" i="8"/>
  <c r="H9" i="9"/>
  <c r="J36" i="8"/>
  <c r="H54" i="9"/>
  <c r="J146" i="8"/>
  <c r="J154" i="8"/>
  <c r="J166" i="8"/>
  <c r="C5" i="8"/>
  <c r="E26" i="2" s="1"/>
  <c r="H61" i="9"/>
  <c r="E21" i="9"/>
  <c r="J103" i="2"/>
  <c r="E75" i="9"/>
  <c r="J727" i="2"/>
  <c r="E11" i="9"/>
  <c r="J64" i="2"/>
  <c r="J149" i="2"/>
  <c r="E23" i="9"/>
  <c r="E5" i="9"/>
  <c r="J20" i="2"/>
  <c r="E18" i="9"/>
  <c r="J113" i="2"/>
  <c r="J657" i="2"/>
  <c r="E60" i="9"/>
  <c r="E52" i="9"/>
  <c r="J606" i="2"/>
  <c r="E39" i="9"/>
  <c r="J369" i="2"/>
  <c r="E42" i="9"/>
  <c r="J423" i="2"/>
  <c r="J21" i="8"/>
  <c r="J27" i="8"/>
  <c r="J20" i="8"/>
  <c r="J193" i="8"/>
  <c r="J86" i="8"/>
  <c r="J6" i="8"/>
  <c r="H38" i="9"/>
  <c r="J131" i="8"/>
  <c r="J209" i="8"/>
  <c r="J191" i="8"/>
  <c r="J12" i="8"/>
  <c r="E29" i="9"/>
  <c r="J177" i="2"/>
  <c r="J699" i="2"/>
  <c r="E69" i="9"/>
  <c r="E30" i="9"/>
  <c r="J237" i="2"/>
  <c r="J72" i="8"/>
  <c r="J179" i="8"/>
  <c r="J197" i="8"/>
  <c r="J109" i="8"/>
  <c r="J28" i="8"/>
  <c r="J110" i="8"/>
  <c r="J223" i="8"/>
  <c r="E20" i="9"/>
  <c r="J123" i="2"/>
  <c r="E16" i="9"/>
  <c r="J107" i="2"/>
  <c r="E56" i="9"/>
  <c r="J637" i="2"/>
  <c r="J559" i="2"/>
  <c r="E48" i="9"/>
  <c r="E36" i="9"/>
  <c r="J306" i="2"/>
  <c r="J89" i="2"/>
  <c r="E13" i="9"/>
  <c r="E4" i="9"/>
  <c r="J18" i="2"/>
  <c r="E49" i="9"/>
  <c r="J563" i="2"/>
  <c r="J7" i="5"/>
  <c r="J84" i="4"/>
  <c r="F84" i="4" s="1"/>
  <c r="J55" i="6"/>
  <c r="J3" i="5"/>
  <c r="J46" i="6"/>
  <c r="J117" i="5"/>
  <c r="J236" i="4"/>
  <c r="F283" i="4"/>
  <c r="J158" i="5"/>
  <c r="F158" i="5" s="1"/>
  <c r="K634" i="2" s="1"/>
  <c r="J6" i="4"/>
  <c r="J146" i="5"/>
  <c r="F146" i="5" s="1"/>
  <c r="K615" i="2" s="1"/>
  <c r="J184" i="5"/>
  <c r="J49" i="5"/>
  <c r="J41" i="5"/>
  <c r="F41" i="5" s="1"/>
  <c r="K137" i="2" s="1"/>
  <c r="J68" i="5"/>
  <c r="J210" i="5"/>
  <c r="F210" i="5" s="1"/>
  <c r="K725" i="2" s="1"/>
  <c r="J151" i="5"/>
  <c r="J75" i="7"/>
  <c r="F75" i="7" s="1"/>
  <c r="K516" i="2" s="1"/>
  <c r="J57" i="5"/>
  <c r="J85" i="5"/>
  <c r="F85" i="5" s="1"/>
  <c r="K336" i="2" s="1"/>
  <c r="J81" i="6"/>
  <c r="J89" i="4"/>
  <c r="J93" i="5"/>
  <c r="J362" i="4"/>
  <c r="J170" i="5"/>
  <c r="F170" i="5"/>
  <c r="K665" i="2" s="1"/>
  <c r="L665" i="2" s="1"/>
  <c r="J252" i="4"/>
  <c r="J3" i="4"/>
  <c r="F3" i="4" s="1"/>
  <c r="J113" i="6"/>
  <c r="J24" i="5"/>
  <c r="F24" i="5" s="1"/>
  <c r="K110" i="2" s="1"/>
  <c r="J179" i="5"/>
  <c r="J92" i="7"/>
  <c r="J206" i="4"/>
  <c r="J27" i="7"/>
  <c r="J142" i="4"/>
  <c r="J36" i="5"/>
  <c r="J52" i="6"/>
  <c r="J148" i="5"/>
  <c r="F148" i="5" s="1"/>
  <c r="K610" i="2" s="1"/>
  <c r="J39" i="4"/>
  <c r="J10" i="7"/>
  <c r="J56" i="4"/>
  <c r="J274" i="4"/>
  <c r="J35" i="6"/>
  <c r="J119" i="5"/>
  <c r="J124" i="5"/>
  <c r="F124" i="5" s="1"/>
  <c r="K544" i="2" s="1"/>
  <c r="J87" i="6"/>
  <c r="J58" i="5"/>
  <c r="F58" i="5" s="1"/>
  <c r="K175" i="2" s="1"/>
  <c r="J107" i="5"/>
  <c r="J187" i="5"/>
  <c r="J140" i="4"/>
  <c r="J425" i="4"/>
  <c r="J126" i="4"/>
  <c r="J341" i="4"/>
  <c r="J385" i="4"/>
  <c r="J26" i="4"/>
  <c r="J405" i="4"/>
  <c r="J55" i="4"/>
  <c r="J153" i="4"/>
  <c r="J353" i="4"/>
  <c r="J96" i="5"/>
  <c r="F96" i="5" s="1"/>
  <c r="K406" i="2" s="1"/>
  <c r="J416" i="4"/>
  <c r="J201" i="5"/>
  <c r="J78" i="4"/>
  <c r="J134" i="4"/>
  <c r="J414" i="4"/>
  <c r="J17" i="7"/>
  <c r="F17" i="7" s="1"/>
  <c r="K70" i="2" s="1"/>
  <c r="J65" i="5"/>
  <c r="J59" i="7"/>
  <c r="J31" i="7"/>
  <c r="J413" i="4"/>
  <c r="J97" i="7"/>
  <c r="J94" i="5"/>
  <c r="F94" i="5" s="1"/>
  <c r="K379" i="2" s="1"/>
  <c r="J106" i="5"/>
  <c r="F106" i="5" s="1"/>
  <c r="K432" i="2" s="1"/>
  <c r="J103" i="4"/>
  <c r="J278" i="4"/>
  <c r="J107" i="6"/>
  <c r="J19" i="4"/>
  <c r="J26" i="5"/>
  <c r="J3" i="7"/>
  <c r="J122" i="4"/>
  <c r="J44" i="6"/>
  <c r="J84" i="6"/>
  <c r="J61" i="6"/>
  <c r="J128" i="4"/>
  <c r="J109" i="6"/>
  <c r="J195" i="5"/>
  <c r="F195" i="5" s="1"/>
  <c r="K707" i="2" s="1"/>
  <c r="L707" i="2" s="1"/>
  <c r="J85" i="6"/>
  <c r="F3" i="7"/>
  <c r="K5" i="2" s="1"/>
  <c r="J288" i="4"/>
  <c r="J352" i="4"/>
  <c r="J190" i="4"/>
  <c r="J75" i="6"/>
  <c r="J49" i="6"/>
  <c r="J245" i="4"/>
  <c r="J15" i="7"/>
  <c r="J211" i="4"/>
  <c r="J81" i="7"/>
  <c r="J15" i="6"/>
  <c r="J191" i="4"/>
  <c r="J39" i="7"/>
  <c r="J19" i="6"/>
  <c r="J87" i="7"/>
  <c r="J19" i="5"/>
  <c r="F19" i="5" s="1"/>
  <c r="K68" i="2" s="1"/>
  <c r="J103" i="5"/>
  <c r="F103" i="5" s="1"/>
  <c r="K427" i="2" s="1"/>
  <c r="J90" i="7"/>
  <c r="F90" i="7" s="1"/>
  <c r="K625" i="2" s="1"/>
  <c r="J169" i="5"/>
  <c r="J83" i="5"/>
  <c r="J101" i="4"/>
  <c r="J345" i="4"/>
  <c r="J59" i="5"/>
  <c r="F59" i="5" s="1"/>
  <c r="K208" i="2" s="1"/>
  <c r="J196" i="5"/>
  <c r="F196" i="5" s="1"/>
  <c r="K708" i="2" s="1"/>
  <c r="J65" i="6"/>
  <c r="J47" i="7"/>
  <c r="F47" i="7" s="1"/>
  <c r="K284" i="2" s="1"/>
  <c r="J177" i="4"/>
  <c r="J178" i="5"/>
  <c r="J66" i="4"/>
  <c r="J401" i="4"/>
  <c r="J100" i="4"/>
  <c r="J259" i="4"/>
  <c r="J349" i="4"/>
  <c r="J123" i="4"/>
  <c r="J5" i="7"/>
  <c r="F5" i="7" s="1"/>
  <c r="K8" i="2" s="1"/>
  <c r="J149" i="5"/>
  <c r="J61" i="7"/>
  <c r="J102" i="4"/>
  <c r="J105" i="5"/>
  <c r="J111" i="5"/>
  <c r="F111" i="5" s="1"/>
  <c r="K468" i="2" s="1"/>
  <c r="J34" i="6"/>
  <c r="J18" i="6"/>
  <c r="F18" i="6" s="1"/>
  <c r="K67" i="2" s="1"/>
  <c r="J61" i="4"/>
  <c r="J148" i="4"/>
  <c r="J366" i="4"/>
  <c r="J49" i="4"/>
  <c r="J384" i="4"/>
  <c r="J320" i="4"/>
  <c r="J63" i="4"/>
  <c r="J31" i="6"/>
  <c r="J165" i="4"/>
  <c r="J161" i="5"/>
  <c r="J348" i="4"/>
  <c r="J77" i="6"/>
  <c r="J55" i="7"/>
  <c r="F55" i="7" s="1"/>
  <c r="K373" i="2" s="1"/>
  <c r="J273" i="4"/>
  <c r="J375" i="4"/>
  <c r="F375" i="4" s="1"/>
  <c r="J251" i="4"/>
  <c r="J198" i="5"/>
  <c r="F198" i="5" s="1"/>
  <c r="K710" i="2" s="1"/>
  <c r="J305" i="4"/>
  <c r="J197" i="4"/>
  <c r="J376" i="4"/>
  <c r="J127" i="6"/>
  <c r="J216" i="4"/>
  <c r="J264" i="4"/>
  <c r="J304" i="4"/>
  <c r="F134" i="4"/>
  <c r="J324" i="4"/>
  <c r="J226" i="4"/>
  <c r="J175" i="5"/>
  <c r="F175" i="5" s="1"/>
  <c r="K671" i="2" s="1"/>
  <c r="J40" i="7"/>
  <c r="J339" i="4"/>
  <c r="F339" i="4" s="1"/>
  <c r="J60" i="5"/>
  <c r="J22" i="7"/>
  <c r="J27" i="5"/>
  <c r="F27" i="5" s="1"/>
  <c r="K73" i="2" s="1"/>
  <c r="F117" i="5"/>
  <c r="K489" i="2" s="1"/>
  <c r="J101" i="5"/>
  <c r="F101" i="5" s="1"/>
  <c r="K416" i="2" s="1"/>
  <c r="J52" i="5"/>
  <c r="J412" i="4"/>
  <c r="J382" i="4"/>
  <c r="J7" i="6"/>
  <c r="J16" i="5"/>
  <c r="J114" i="4"/>
  <c r="J95" i="5"/>
  <c r="J59" i="6"/>
  <c r="F55" i="4"/>
  <c r="J89" i="5"/>
  <c r="F89" i="5" s="1"/>
  <c r="K341" i="2" s="1"/>
  <c r="J289" i="4"/>
  <c r="J243" i="4"/>
  <c r="F243" i="4" s="1"/>
  <c r="J22" i="6"/>
  <c r="J137" i="5"/>
  <c r="J72" i="7"/>
  <c r="J28" i="4"/>
  <c r="J181" i="4"/>
  <c r="J11" i="5"/>
  <c r="F11" i="5" s="1"/>
  <c r="K43" i="2" s="1"/>
  <c r="J13" i="4"/>
  <c r="J378" i="4"/>
  <c r="F378" i="4" s="1"/>
  <c r="J53" i="7"/>
  <c r="F53" i="7" s="1"/>
  <c r="K358" i="2" s="1"/>
  <c r="J209" i="4"/>
  <c r="J76" i="4"/>
  <c r="J109" i="5"/>
  <c r="J160" i="5"/>
  <c r="J69" i="6"/>
  <c r="J42" i="7"/>
  <c r="F42" i="7" s="1"/>
  <c r="K240" i="2" s="1"/>
  <c r="J70" i="5"/>
  <c r="F70" i="5" s="1"/>
  <c r="K274" i="2" s="1"/>
  <c r="J421" i="4"/>
  <c r="J158" i="4"/>
  <c r="J380" i="4"/>
  <c r="F380" i="4" s="1"/>
  <c r="J42" i="6"/>
  <c r="J150" i="5"/>
  <c r="J104" i="4"/>
  <c r="J46" i="5"/>
  <c r="F46" i="5" s="1"/>
  <c r="K158" i="2" s="1"/>
  <c r="F49" i="5"/>
  <c r="K182" i="2" s="1"/>
  <c r="F107" i="5"/>
  <c r="K438" i="2" s="1"/>
  <c r="J23" i="6"/>
  <c r="J48" i="6"/>
  <c r="J343" i="4"/>
  <c r="J277" i="4"/>
  <c r="J239" i="4"/>
  <c r="J271" i="4"/>
  <c r="J266" i="4"/>
  <c r="J321" i="4"/>
  <c r="J100" i="5"/>
  <c r="J373" i="4"/>
  <c r="J47" i="5"/>
  <c r="F47" i="5" s="1"/>
  <c r="K164" i="2" s="1"/>
  <c r="J207" i="4"/>
  <c r="J187" i="4"/>
  <c r="J296" i="4"/>
  <c r="J333" i="4"/>
  <c r="J54" i="6"/>
  <c r="J6" i="6"/>
  <c r="J63" i="7"/>
  <c r="J27" i="6"/>
  <c r="J22" i="4"/>
  <c r="J174" i="5"/>
  <c r="J233" i="4"/>
  <c r="J122" i="5"/>
  <c r="F122" i="5" s="1"/>
  <c r="K504" i="2" s="1"/>
  <c r="J32" i="4"/>
  <c r="J228" i="4"/>
  <c r="J55" i="5"/>
  <c r="J145" i="5"/>
  <c r="J41" i="6"/>
  <c r="F41" i="6" s="1"/>
  <c r="K195" i="2" s="1"/>
  <c r="J73" i="5"/>
  <c r="F73" i="5" s="1"/>
  <c r="K271" i="2" s="1"/>
  <c r="J65" i="4"/>
  <c r="F39" i="4"/>
  <c r="J139" i="5"/>
  <c r="J43" i="7"/>
  <c r="J115" i="4"/>
  <c r="J219" i="4"/>
  <c r="F31" i="7"/>
  <c r="K190" i="2" s="1"/>
  <c r="J261" i="4"/>
  <c r="J88" i="7"/>
  <c r="J40" i="4"/>
  <c r="J62" i="6"/>
  <c r="J287" i="4"/>
  <c r="F287" i="4" s="1"/>
  <c r="J46" i="4"/>
  <c r="J17" i="4"/>
  <c r="J201" i="4"/>
  <c r="J135" i="5"/>
  <c r="J116" i="5"/>
  <c r="J51" i="5"/>
  <c r="F51" i="5" s="1"/>
  <c r="K187" i="2" s="1"/>
  <c r="J91" i="7"/>
  <c r="J164" i="4"/>
  <c r="F164" i="4" s="1"/>
  <c r="J262" i="4"/>
  <c r="J71" i="5"/>
  <c r="F71" i="5" s="1"/>
  <c r="K279" i="2" s="1"/>
  <c r="F17" i="4"/>
  <c r="J35" i="7"/>
  <c r="F35" i="7" s="1"/>
  <c r="K197" i="2" s="1"/>
  <c r="J35" i="4"/>
  <c r="J141" i="4"/>
  <c r="J360" i="4"/>
  <c r="J114" i="5"/>
  <c r="J155" i="5"/>
  <c r="J28" i="6"/>
  <c r="J368" i="4"/>
  <c r="J402" i="4"/>
  <c r="J110" i="5"/>
  <c r="F110" i="5" s="1"/>
  <c r="K462" i="2" s="1"/>
  <c r="J83" i="7"/>
  <c r="J319" i="4"/>
  <c r="J102" i="5"/>
  <c r="J323" i="4"/>
  <c r="J10" i="4"/>
  <c r="J281" i="4"/>
  <c r="J149" i="4"/>
  <c r="F149" i="4" s="1"/>
  <c r="J9" i="6"/>
  <c r="F9" i="6" s="1"/>
  <c r="K33" i="2" s="1"/>
  <c r="J133" i="5"/>
  <c r="F133" i="5" s="1"/>
  <c r="K575" i="2" s="1"/>
  <c r="J81" i="4"/>
  <c r="J5" i="4"/>
  <c r="J290" i="4"/>
  <c r="F290" i="4" s="1"/>
  <c r="J302" i="4"/>
  <c r="J127" i="5"/>
  <c r="F127" i="5" s="1"/>
  <c r="K548" i="2" s="1"/>
  <c r="J45" i="7"/>
  <c r="F45" i="7" s="1"/>
  <c r="K270" i="2" s="1"/>
  <c r="J23" i="4"/>
  <c r="J14" i="6"/>
  <c r="F34" i="6"/>
  <c r="K147" i="2" s="1"/>
  <c r="J70" i="6"/>
  <c r="J73" i="4"/>
  <c r="J374" i="4"/>
  <c r="J184" i="4"/>
  <c r="F184" i="4" s="1"/>
  <c r="J231" i="4"/>
  <c r="J291" i="4"/>
  <c r="J6" i="5"/>
  <c r="F6" i="5" s="1"/>
  <c r="K9" i="2" s="1"/>
  <c r="J192" i="5"/>
  <c r="F192" i="5" s="1"/>
  <c r="K702" i="2" s="1"/>
  <c r="J344" i="4"/>
  <c r="J177" i="5"/>
  <c r="J106" i="6"/>
  <c r="J102" i="6"/>
  <c r="J93" i="7"/>
  <c r="F93" i="7" s="1"/>
  <c r="K647" i="2" s="1"/>
  <c r="J220" i="4"/>
  <c r="J43" i="4"/>
  <c r="J92" i="5"/>
  <c r="F92" i="5" s="1"/>
  <c r="K370" i="2" s="1"/>
  <c r="J16" i="4"/>
  <c r="J91" i="6"/>
  <c r="F91" i="6" s="1"/>
  <c r="K512" i="2" s="1"/>
  <c r="J60" i="6"/>
  <c r="J69" i="4"/>
  <c r="J9" i="7"/>
  <c r="F9" i="7" s="1"/>
  <c r="K39" i="2" s="1"/>
  <c r="J410" i="4"/>
  <c r="J326" i="4"/>
  <c r="E2" i="2"/>
  <c r="C2" i="3" s="1"/>
  <c r="F16" i="5"/>
  <c r="K56" i="2" s="1"/>
  <c r="F60" i="5"/>
  <c r="K248" i="2" s="1"/>
  <c r="F57" i="5"/>
  <c r="K212" i="2" s="1"/>
  <c r="F151" i="5"/>
  <c r="K621" i="2" s="1"/>
  <c r="F160" i="5"/>
  <c r="K629" i="2" s="1"/>
  <c r="F95" i="5"/>
  <c r="K382" i="2" s="1"/>
  <c r="F178" i="5"/>
  <c r="K680" i="2" s="1"/>
  <c r="F184" i="5"/>
  <c r="K683" i="2" s="1"/>
  <c r="F137" i="5"/>
  <c r="K583" i="2" s="1"/>
  <c r="F68" i="5"/>
  <c r="K259" i="2" s="1"/>
  <c r="F65" i="5"/>
  <c r="K257" i="2" s="1"/>
  <c r="F145" i="5"/>
  <c r="K605" i="2" s="1"/>
  <c r="F100" i="5"/>
  <c r="K393" i="2" s="1"/>
  <c r="F102" i="5"/>
  <c r="K322" i="2" s="1"/>
  <c r="F55" i="5"/>
  <c r="K207" i="2" s="1"/>
  <c r="F105" i="5"/>
  <c r="K435" i="2" s="1"/>
  <c r="F135" i="5"/>
  <c r="K567" i="2" s="1"/>
  <c r="F155" i="5"/>
  <c r="K633" i="2" s="1"/>
  <c r="F116" i="5"/>
  <c r="K482" i="2" s="1"/>
  <c r="F93" i="5"/>
  <c r="K375" i="2" s="1"/>
  <c r="F174" i="5"/>
  <c r="K662" i="2" s="1"/>
  <c r="F36" i="5"/>
  <c r="K125" i="2" s="1"/>
  <c r="J163" i="5"/>
  <c r="F163" i="5" s="1"/>
  <c r="K648" i="2" s="1"/>
  <c r="J152" i="4"/>
  <c r="F152" i="4" s="1"/>
  <c r="J308" i="4"/>
  <c r="J396" i="4"/>
  <c r="J51" i="4"/>
  <c r="J70" i="4"/>
  <c r="J132" i="4"/>
  <c r="J8" i="5"/>
  <c r="F8" i="5" s="1"/>
  <c r="K21" i="2" s="1"/>
  <c r="J113" i="5"/>
  <c r="F113" i="5" s="1"/>
  <c r="K471" i="2" s="1"/>
  <c r="J53" i="5"/>
  <c r="F53" i="5" s="1"/>
  <c r="K200" i="2" s="1"/>
  <c r="J285" i="4"/>
  <c r="F285" i="4" s="1"/>
  <c r="J178" i="4"/>
  <c r="F178" i="4" s="1"/>
  <c r="J312" i="4"/>
  <c r="J257" i="4"/>
  <c r="J124" i="4"/>
  <c r="J332" i="4"/>
  <c r="J140" i="5"/>
  <c r="J69" i="5"/>
  <c r="F69" i="5" s="1"/>
  <c r="K260" i="2" s="1"/>
  <c r="J64" i="9"/>
  <c r="J109" i="4"/>
  <c r="F109" i="4" s="1"/>
  <c r="J335" i="4"/>
  <c r="F335" i="4" s="1"/>
  <c r="J97" i="6"/>
  <c r="J249" i="4"/>
  <c r="J310" i="4"/>
  <c r="F59" i="7"/>
  <c r="K408" i="2" s="1"/>
  <c r="J161" i="4"/>
  <c r="J275" i="4"/>
  <c r="J27" i="4"/>
  <c r="F27" i="4" s="1"/>
  <c r="J77" i="7"/>
  <c r="F77" i="7" s="1"/>
  <c r="K523" i="2" s="1"/>
  <c r="J3" i="6"/>
  <c r="J407" i="4"/>
  <c r="F407" i="4" s="1"/>
  <c r="J145" i="4"/>
  <c r="J194" i="4"/>
  <c r="J79" i="4"/>
  <c r="J14" i="5"/>
  <c r="J196" i="4"/>
  <c r="F196" i="4" s="1"/>
  <c r="J129" i="4"/>
  <c r="J297" i="4"/>
  <c r="F274" i="4"/>
  <c r="J183" i="5"/>
  <c r="J86" i="5"/>
  <c r="F86" i="5" s="1"/>
  <c r="K331" i="2" s="1"/>
  <c r="J96" i="4"/>
  <c r="F96" i="4" s="1"/>
  <c r="F177" i="5"/>
  <c r="K675" i="2" s="1"/>
  <c r="J25" i="7"/>
  <c r="F25" i="7" s="1"/>
  <c r="K128" i="2" s="1"/>
  <c r="J11" i="4"/>
  <c r="F11" i="4" s="1"/>
  <c r="J70" i="7"/>
  <c r="J4" i="7"/>
  <c r="J100" i="6"/>
  <c r="J78" i="6"/>
  <c r="J32" i="6"/>
  <c r="F32" i="6" s="1"/>
  <c r="K144" i="2" s="1"/>
  <c r="J120" i="4"/>
  <c r="J137" i="4"/>
  <c r="J174" i="4"/>
  <c r="J101" i="6"/>
  <c r="J329" i="4"/>
  <c r="F329" i="4" s="1"/>
  <c r="J119" i="4"/>
  <c r="F119" i="4" s="1"/>
  <c r="J124" i="6"/>
  <c r="F124" i="6" s="1"/>
  <c r="K674" i="2" s="1"/>
  <c r="J24" i="7"/>
  <c r="F24" i="7" s="1"/>
  <c r="K131" i="2" s="1"/>
  <c r="J227" i="4"/>
  <c r="F227" i="4" s="1"/>
  <c r="F31" i="6"/>
  <c r="K127" i="2" s="1"/>
  <c r="J121" i="5"/>
  <c r="F121" i="5" s="1"/>
  <c r="K507" i="2" s="1"/>
  <c r="J45" i="6"/>
  <c r="F45" i="6" s="1"/>
  <c r="K217" i="2" s="1"/>
  <c r="J340" i="4"/>
  <c r="F340" i="4" s="1"/>
  <c r="J64" i="7"/>
  <c r="F64" i="7" s="1"/>
  <c r="K461" i="2" s="1"/>
  <c r="J116" i="6"/>
  <c r="J130" i="5"/>
  <c r="F130" i="5" s="1"/>
  <c r="K561" i="2" s="1"/>
  <c r="J10" i="5"/>
  <c r="F10" i="5" s="1"/>
  <c r="K37" i="2" s="1"/>
  <c r="J115" i="6"/>
  <c r="J66" i="7"/>
  <c r="J118" i="6"/>
  <c r="J68" i="7"/>
  <c r="F68" i="7" s="1"/>
  <c r="K477" i="2" s="1"/>
  <c r="J90" i="5"/>
  <c r="F90" i="5" s="1"/>
  <c r="K362" i="2" s="1"/>
  <c r="J20" i="4"/>
  <c r="J209" i="5"/>
  <c r="F209" i="5" s="1"/>
  <c r="K724" i="2" s="1"/>
  <c r="J84" i="7"/>
  <c r="F84" i="7" s="1"/>
  <c r="K556" i="2" s="1"/>
  <c r="J269" i="4"/>
  <c r="J71" i="6"/>
  <c r="F26" i="5"/>
  <c r="K91" i="2" s="1"/>
  <c r="J117" i="4"/>
  <c r="J71" i="4"/>
  <c r="J57" i="7"/>
  <c r="F57" i="7" s="1"/>
  <c r="K388" i="2" s="1"/>
  <c r="J28" i="7"/>
  <c r="F28" i="7" s="1"/>
  <c r="K161" i="2" s="1"/>
  <c r="J96" i="6"/>
  <c r="F96" i="6" s="1"/>
  <c r="K537" i="2" s="1"/>
  <c r="J355" i="4"/>
  <c r="J18" i="5"/>
  <c r="J193" i="5"/>
  <c r="F193" i="5" s="1"/>
  <c r="K703" i="2" s="1"/>
  <c r="J50" i="5"/>
  <c r="F50" i="5" s="1"/>
  <c r="K181" i="2" s="1"/>
  <c r="J203" i="4"/>
  <c r="F203" i="4" s="1"/>
  <c r="J221" i="4"/>
  <c r="J76" i="7"/>
  <c r="J126" i="6"/>
  <c r="F126" i="6" s="1"/>
  <c r="K681" i="2" s="1"/>
  <c r="J406" i="4"/>
  <c r="F406" i="4" s="1"/>
  <c r="J17" i="6"/>
  <c r="J336" i="4"/>
  <c r="F336" i="4" s="1"/>
  <c r="J369" i="4"/>
  <c r="F369" i="4" s="1"/>
  <c r="J95" i="7"/>
  <c r="J138" i="4"/>
  <c r="F138" i="4" s="1"/>
  <c r="J136" i="4"/>
  <c r="J34" i="4"/>
  <c r="J423" i="4"/>
  <c r="F423" i="4" s="1"/>
  <c r="F4" i="7"/>
  <c r="K6" i="2" s="1"/>
  <c r="F3" i="5"/>
  <c r="K2" i="2" s="1"/>
  <c r="J157" i="5"/>
  <c r="F157" i="5" s="1"/>
  <c r="K632" i="2" s="1"/>
  <c r="J18" i="7"/>
  <c r="J56" i="7"/>
  <c r="F56" i="7" s="1"/>
  <c r="K372" i="2" s="1"/>
  <c r="J64" i="6"/>
  <c r="F111" i="8"/>
  <c r="K360" i="2" s="1"/>
  <c r="F108" i="8"/>
  <c r="K353" i="2" s="1"/>
  <c r="J36" i="4"/>
  <c r="J111" i="4"/>
  <c r="J35" i="5"/>
  <c r="F35" i="5" s="1"/>
  <c r="K124" i="2" s="1"/>
  <c r="J181" i="5"/>
  <c r="F181" i="5" s="1"/>
  <c r="K687" i="2" s="1"/>
  <c r="J7" i="7"/>
  <c r="F7" i="7" s="1"/>
  <c r="K17" i="2" s="1"/>
  <c r="J113" i="4"/>
  <c r="F113" i="4" s="1"/>
  <c r="J29" i="7"/>
  <c r="J358" i="4"/>
  <c r="J18" i="4"/>
  <c r="J387" i="4"/>
  <c r="J123" i="5"/>
  <c r="J172" i="4"/>
  <c r="F172" i="4" s="1"/>
  <c r="J20" i="5"/>
  <c r="J82" i="5"/>
  <c r="F82" i="5" s="1"/>
  <c r="K298" i="2" s="1"/>
  <c r="J171" i="5"/>
  <c r="F171" i="5" s="1"/>
  <c r="K670" i="2" s="1"/>
  <c r="F216" i="4"/>
  <c r="F34" i="4"/>
  <c r="J112" i="4"/>
  <c r="J62" i="5"/>
  <c r="F62" i="5" s="1"/>
  <c r="K252" i="2" s="1"/>
  <c r="J194" i="5"/>
  <c r="F194" i="5" s="1"/>
  <c r="K705" i="2" s="1"/>
  <c r="F18" i="7"/>
  <c r="K76" i="2" s="1"/>
  <c r="F91" i="7"/>
  <c r="K644" i="2" s="1"/>
  <c r="J408" i="4"/>
  <c r="J282" i="4"/>
  <c r="F282" i="4" s="1"/>
  <c r="F7" i="5"/>
  <c r="J318" i="4"/>
  <c r="J208" i="4"/>
  <c r="J427" i="4"/>
  <c r="J8" i="7"/>
  <c r="J13" i="6"/>
  <c r="F13" i="6" s="1"/>
  <c r="K41" i="2" s="1"/>
  <c r="F76" i="7"/>
  <c r="K519" i="2" s="1"/>
  <c r="J67" i="6"/>
  <c r="F67" i="6" s="1"/>
  <c r="K333" i="2" s="1"/>
  <c r="J92" i="4"/>
  <c r="F92" i="4" s="1"/>
  <c r="J112" i="6"/>
  <c r="J361" i="4"/>
  <c r="F101" i="6"/>
  <c r="K580" i="2" s="1"/>
  <c r="J154" i="5"/>
  <c r="F154" i="5" s="1"/>
  <c r="K628" i="2" s="1"/>
  <c r="J50" i="6"/>
  <c r="J354" i="4"/>
  <c r="F354" i="4" s="1"/>
  <c r="J156" i="4"/>
  <c r="F156" i="4" s="1"/>
  <c r="J403" i="4"/>
  <c r="F403" i="4" s="1"/>
  <c r="J134" i="5"/>
  <c r="F134" i="5" s="1"/>
  <c r="K564" i="2" s="1"/>
  <c r="J147" i="4"/>
  <c r="F410" i="4"/>
  <c r="J144" i="5"/>
  <c r="F144" i="5" s="1"/>
  <c r="K604" i="2" s="1"/>
  <c r="J103" i="6"/>
  <c r="J182" i="5"/>
  <c r="F182" i="5" s="1"/>
  <c r="K685" i="2" s="1"/>
  <c r="J404" i="4"/>
  <c r="F404" i="4" s="1"/>
  <c r="J267" i="4"/>
  <c r="F267" i="4" s="1"/>
  <c r="J180" i="4"/>
  <c r="F180" i="4" s="1"/>
  <c r="J131" i="5"/>
  <c r="F131" i="5" s="1"/>
  <c r="K553" i="2" s="1"/>
  <c r="J51" i="6"/>
  <c r="F51" i="6" s="1"/>
  <c r="K261" i="2" s="1"/>
  <c r="J164" i="5"/>
  <c r="F164" i="5" s="1"/>
  <c r="K641" i="2" s="1"/>
  <c r="J11" i="6"/>
  <c r="J56" i="6"/>
  <c r="F56" i="6" s="1"/>
  <c r="K218" i="2" s="1"/>
  <c r="J186" i="5"/>
  <c r="F186" i="5" s="1"/>
  <c r="K696" i="2" s="1"/>
  <c r="J372" i="4"/>
  <c r="F372" i="4" s="1"/>
  <c r="J346" i="4"/>
  <c r="F346" i="4" s="1"/>
  <c r="J205" i="4"/>
  <c r="F205" i="4" s="1"/>
  <c r="F26" i="4"/>
  <c r="J78" i="5"/>
  <c r="F78" i="5" s="1"/>
  <c r="K305" i="2" s="1"/>
  <c r="J183" i="4"/>
  <c r="F183" i="4" s="1"/>
  <c r="F318" i="4"/>
  <c r="J23" i="5"/>
  <c r="F23" i="5" s="1"/>
  <c r="K60" i="2" s="1"/>
  <c r="J270" i="4"/>
  <c r="F270" i="4" s="1"/>
  <c r="J95" i="6"/>
  <c r="F95" i="6" s="1"/>
  <c r="K533" i="2" s="1"/>
  <c r="J167" i="4"/>
  <c r="F167" i="4" s="1"/>
  <c r="J86" i="4"/>
  <c r="F86" i="4" s="1"/>
  <c r="J130" i="6"/>
  <c r="F130" i="6" s="1"/>
  <c r="K716" i="2" s="1"/>
  <c r="J247" i="4"/>
  <c r="F161" i="5"/>
  <c r="K638" i="2" s="1"/>
  <c r="J130" i="4"/>
  <c r="F211" i="4"/>
  <c r="J30" i="5"/>
  <c r="F30" i="5" s="1"/>
  <c r="K96" i="2" s="1"/>
  <c r="J204" i="4"/>
  <c r="F204" i="4" s="1"/>
  <c r="J99" i="4"/>
  <c r="F99" i="4" s="1"/>
  <c r="J225" i="4"/>
  <c r="F225" i="4" s="1"/>
  <c r="J39" i="5"/>
  <c r="F39" i="5" s="1"/>
  <c r="K121" i="2" s="1"/>
  <c r="J57" i="4"/>
  <c r="J351" i="4"/>
  <c r="F351" i="4" s="1"/>
  <c r="J37" i="6"/>
  <c r="J91" i="5"/>
  <c r="J112" i="5"/>
  <c r="F112" i="5" s="1"/>
  <c r="K452" i="2" s="1"/>
  <c r="J74" i="7"/>
  <c r="F74" i="7" s="1"/>
  <c r="K508" i="2" s="1"/>
  <c r="F94" i="4"/>
  <c r="J40" i="6"/>
  <c r="F40" i="6" s="1"/>
  <c r="K180" i="2" s="1"/>
  <c r="J26" i="6"/>
  <c r="F26" i="6" s="1"/>
  <c r="K111" i="2" s="1"/>
  <c r="J53" i="6"/>
  <c r="J72" i="4"/>
  <c r="J250" i="4"/>
  <c r="J165" i="5"/>
  <c r="F165" i="5" s="1"/>
  <c r="K646" i="2" s="1"/>
  <c r="L646" i="2" s="1"/>
  <c r="J393" i="4"/>
  <c r="J272" i="4"/>
  <c r="F272" i="4" s="1"/>
  <c r="J199" i="4"/>
  <c r="F199" i="4" s="1"/>
  <c r="F226" i="4"/>
  <c r="F109" i="5"/>
  <c r="K458" i="2" s="1"/>
  <c r="J300" i="4"/>
  <c r="F300" i="4" s="1"/>
  <c r="J395" i="4"/>
  <c r="J47" i="6"/>
  <c r="J88" i="4"/>
  <c r="J82" i="6"/>
  <c r="J31" i="4"/>
  <c r="J381" i="4"/>
  <c r="F381" i="4" s="1"/>
  <c r="J80" i="7"/>
  <c r="F80" i="7" s="1"/>
  <c r="K535" i="2" s="1"/>
  <c r="J40" i="5"/>
  <c r="F40" i="5" s="1"/>
  <c r="K133" i="2" s="1"/>
  <c r="J63" i="6"/>
  <c r="J43" i="6"/>
  <c r="F43" i="6" s="1"/>
  <c r="K215" i="2" s="1"/>
  <c r="J34" i="7"/>
  <c r="F34" i="7" s="1"/>
  <c r="K189" i="2" s="1"/>
  <c r="J60" i="7"/>
  <c r="F60" i="7" s="1"/>
  <c r="K426" i="2" s="1"/>
  <c r="J38" i="6"/>
  <c r="J15" i="5"/>
  <c r="F15" i="5" s="1"/>
  <c r="J75" i="5"/>
  <c r="F75" i="5" s="1"/>
  <c r="K287" i="2" s="1"/>
  <c r="J342" i="4"/>
  <c r="J150" i="4"/>
  <c r="J94" i="4"/>
  <c r="F44" i="6"/>
  <c r="K216" i="2" s="1"/>
  <c r="J19" i="7"/>
  <c r="F19" i="7" s="1"/>
  <c r="K86" i="2" s="1"/>
  <c r="J210" i="4"/>
  <c r="J118" i="5"/>
  <c r="F118" i="5" s="1"/>
  <c r="K495" i="2" s="1"/>
  <c r="J398" i="4"/>
  <c r="F398" i="4" s="1"/>
  <c r="J104" i="6"/>
  <c r="F104" i="6" s="1"/>
  <c r="K591" i="2" s="1"/>
  <c r="J111" i="6"/>
  <c r="F111" i="6" s="1"/>
  <c r="K612" i="2" s="1"/>
  <c r="F305" i="4"/>
  <c r="J394" i="4"/>
  <c r="J123" i="6"/>
  <c r="F123" i="6" s="1"/>
  <c r="K666" i="2" s="1"/>
  <c r="J24" i="4"/>
  <c r="F24" i="4" s="1"/>
  <c r="F87" i="7"/>
  <c r="K579" i="2" s="1"/>
  <c r="F18" i="5"/>
  <c r="K59" i="2" s="1"/>
  <c r="J367" i="4"/>
  <c r="F367" i="4" s="1"/>
  <c r="J141" i="5"/>
  <c r="F141" i="5" s="1"/>
  <c r="K590" i="2" s="1"/>
  <c r="J36" i="6"/>
  <c r="J188" i="5"/>
  <c r="F188" i="5" s="1"/>
  <c r="K698" i="2" s="1"/>
  <c r="J29" i="5"/>
  <c r="F29" i="5" s="1"/>
  <c r="K114" i="2" s="1"/>
  <c r="J21" i="7"/>
  <c r="F21" i="7" s="1"/>
  <c r="K117" i="2" s="1"/>
  <c r="J24" i="6"/>
  <c r="J131" i="4"/>
  <c r="F131" i="4" s="1"/>
  <c r="J280" i="4"/>
  <c r="J232" i="4"/>
  <c r="F232" i="4" s="1"/>
  <c r="J363" i="4"/>
  <c r="F363" i="4" s="1"/>
  <c r="J87" i="4"/>
  <c r="F87" i="4" s="1"/>
  <c r="J215" i="4"/>
  <c r="J77" i="4"/>
  <c r="J168" i="5"/>
  <c r="F168" i="5" s="1"/>
  <c r="K650" i="2" s="1"/>
  <c r="J33" i="7"/>
  <c r="F33" i="7" s="1"/>
  <c r="K179" i="2" s="1"/>
  <c r="J79" i="6"/>
  <c r="F79" i="6" s="1"/>
  <c r="K425" i="2" s="1"/>
  <c r="J192" i="4"/>
  <c r="J34" i="5"/>
  <c r="F34" i="5" s="1"/>
  <c r="K106" i="2" s="1"/>
  <c r="F92" i="7"/>
  <c r="K640" i="2" s="1"/>
  <c r="J284" i="4"/>
  <c r="J258" i="4"/>
  <c r="J301" i="4"/>
  <c r="F301" i="4" s="1"/>
  <c r="J254" i="4"/>
  <c r="J119" i="6"/>
  <c r="F119" i="6" s="1"/>
  <c r="K656" i="2" s="1"/>
  <c r="J118" i="4"/>
  <c r="J82" i="4"/>
  <c r="F82" i="4" s="1"/>
  <c r="J256" i="4"/>
  <c r="J188" i="4"/>
  <c r="J92" i="6"/>
  <c r="F14" i="5"/>
  <c r="K45" i="2" s="1"/>
  <c r="F261" i="4"/>
  <c r="J6" i="7"/>
  <c r="J213" i="4"/>
  <c r="J169" i="4"/>
  <c r="F169" i="4" s="1"/>
  <c r="J211" i="5"/>
  <c r="F211" i="5" s="1"/>
  <c r="K726" i="2" s="1"/>
  <c r="J98" i="6"/>
  <c r="J389" i="4"/>
  <c r="F355" i="4"/>
  <c r="J16" i="6"/>
  <c r="F16" i="6" s="1"/>
  <c r="K65" i="2" s="1"/>
  <c r="F201" i="5"/>
  <c r="K715" i="2" s="1"/>
  <c r="J152" i="5"/>
  <c r="F152" i="5" s="1"/>
  <c r="K627" i="2" s="1"/>
  <c r="J371" i="4"/>
  <c r="J41" i="7"/>
  <c r="F41" i="7" s="1"/>
  <c r="K229" i="2" s="1"/>
  <c r="J235" i="4"/>
  <c r="F235" i="4" s="1"/>
  <c r="J104" i="5"/>
  <c r="F104" i="5" s="1"/>
  <c r="K428" i="2" s="1"/>
  <c r="J14" i="7"/>
  <c r="F14" i="7" s="1"/>
  <c r="K61" i="2" s="1"/>
  <c r="J9" i="4"/>
  <c r="F9" i="4" s="1"/>
  <c r="J29" i="4"/>
  <c r="J114" i="6"/>
  <c r="F114" i="6" s="1"/>
  <c r="K618" i="2" s="1"/>
  <c r="J276" i="4"/>
  <c r="F276" i="4" s="1"/>
  <c r="J377" i="4"/>
  <c r="F377" i="4" s="1"/>
  <c r="F281" i="4"/>
  <c r="F17" i="6"/>
  <c r="K54" i="2" s="1"/>
  <c r="J125" i="5"/>
  <c r="F125" i="5" s="1"/>
  <c r="K545" i="2" s="1"/>
  <c r="J132" i="5"/>
  <c r="F132" i="5" s="1"/>
  <c r="K571" i="2" s="1"/>
  <c r="J415" i="4"/>
  <c r="F415" i="4" s="1"/>
  <c r="F8" i="7"/>
  <c r="K32" i="2" s="1"/>
  <c r="J180" i="5"/>
  <c r="F180" i="5" s="1"/>
  <c r="K688" i="2" s="1"/>
  <c r="J61" i="5"/>
  <c r="F61" i="5" s="1"/>
  <c r="K242" i="2" s="1"/>
  <c r="F20" i="5"/>
  <c r="K58" i="2" s="1"/>
  <c r="J234" i="4"/>
  <c r="F234" i="4" s="1"/>
  <c r="J208" i="5"/>
  <c r="F208" i="5" s="1"/>
  <c r="K720" i="2" s="1"/>
  <c r="J268" i="4"/>
  <c r="F268" i="4" s="1"/>
  <c r="J105" i="4"/>
  <c r="F105" i="4" s="1"/>
  <c r="J116" i="4"/>
  <c r="J21" i="6"/>
  <c r="F21" i="6" s="1"/>
  <c r="K74" i="2" s="1"/>
  <c r="J185" i="5"/>
  <c r="F185" i="5" s="1"/>
  <c r="K694" i="2" s="1"/>
  <c r="J263" i="4"/>
  <c r="J167" i="5"/>
  <c r="F167" i="5" s="1"/>
  <c r="K651" i="2" s="1"/>
  <c r="J80" i="5"/>
  <c r="F80" i="5" s="1"/>
  <c r="K280" i="2" s="1"/>
  <c r="J223" i="4"/>
  <c r="F223" i="4" s="1"/>
  <c r="J54" i="7"/>
  <c r="F54" i="7" s="1"/>
  <c r="K348" i="2" s="1"/>
  <c r="J94" i="6"/>
  <c r="F94" i="6" s="1"/>
  <c r="K517" i="2" s="1"/>
  <c r="J128" i="5"/>
  <c r="F128" i="5" s="1"/>
  <c r="K542" i="2" s="1"/>
  <c r="F161" i="4"/>
  <c r="J163" i="4"/>
  <c r="J7" i="4"/>
  <c r="F7" i="4" s="1"/>
  <c r="F22" i="7"/>
  <c r="K120" i="2" s="1"/>
  <c r="F32" i="4"/>
  <c r="F83" i="7"/>
  <c r="K546" i="2" s="1"/>
  <c r="J60" i="4"/>
  <c r="F60" i="4" s="1"/>
  <c r="J142" i="5"/>
  <c r="F142" i="5" s="1"/>
  <c r="K598" i="2" s="1"/>
  <c r="J242" i="4"/>
  <c r="F242" i="4" s="1"/>
  <c r="J298" i="4"/>
  <c r="J38" i="4"/>
  <c r="J8" i="6"/>
  <c r="J200" i="5"/>
  <c r="F200" i="5" s="1"/>
  <c r="K713" i="2" s="1"/>
  <c r="J9" i="5"/>
  <c r="F9" i="5" s="1"/>
  <c r="K35" i="2" s="1"/>
  <c r="J327" i="4"/>
  <c r="F327" i="4" s="1"/>
  <c r="F183" i="5"/>
  <c r="K690" i="2" s="1"/>
  <c r="J121" i="6"/>
  <c r="F121" i="6" s="1"/>
  <c r="K664" i="2" s="1"/>
  <c r="J93" i="4"/>
  <c r="J74" i="4"/>
  <c r="F74" i="4" s="1"/>
  <c r="J212" i="4"/>
  <c r="J51" i="7"/>
  <c r="F51" i="7" s="1"/>
  <c r="K337" i="2" s="1"/>
  <c r="J316" i="4"/>
  <c r="F316" i="4" s="1"/>
  <c r="J17" i="5"/>
  <c r="F17" i="5" s="1"/>
  <c r="K75" i="2" s="1"/>
  <c r="J98" i="5"/>
  <c r="F98" i="5" s="1"/>
  <c r="K405" i="2" s="1"/>
  <c r="J179" i="4"/>
  <c r="F179" i="4" s="1"/>
  <c r="J129" i="6"/>
  <c r="F129" i="6" s="1"/>
  <c r="K693" i="2" s="1"/>
  <c r="J386" i="4"/>
  <c r="J14" i="4"/>
  <c r="J48" i="5"/>
  <c r="F48" i="5" s="1"/>
  <c r="K172" i="2" s="1"/>
  <c r="J69" i="7"/>
  <c r="F69" i="7" s="1"/>
  <c r="K490" i="2" s="1"/>
  <c r="J28" i="5"/>
  <c r="F28" i="5" s="1"/>
  <c r="K88" i="2" s="1"/>
  <c r="F91" i="5"/>
  <c r="K351" i="2" s="1"/>
  <c r="F140" i="5"/>
  <c r="K587" i="2" s="1"/>
  <c r="F72" i="7"/>
  <c r="K484" i="2" s="1"/>
  <c r="J409" i="4"/>
  <c r="F409" i="4" s="1"/>
  <c r="J399" i="4"/>
  <c r="F399" i="4" s="1"/>
  <c r="J125" i="6"/>
  <c r="F43" i="7"/>
  <c r="K251" i="2" s="1"/>
  <c r="F81" i="7"/>
  <c r="K539" i="2" s="1"/>
  <c r="F29" i="7"/>
  <c r="K169" i="2" s="1"/>
  <c r="J49" i="7"/>
  <c r="F49" i="7" s="1"/>
  <c r="K304" i="2" s="1"/>
  <c r="J95" i="4"/>
  <c r="F95" i="4" s="1"/>
  <c r="J173" i="4"/>
  <c r="J37" i="4"/>
  <c r="J122" i="6"/>
  <c r="J159" i="4"/>
  <c r="J26" i="7"/>
  <c r="F26" i="7" s="1"/>
  <c r="K142" i="2" s="1"/>
  <c r="J12" i="6"/>
  <c r="F12" i="6" s="1"/>
  <c r="K29" i="2" s="1"/>
  <c r="J317" i="4"/>
  <c r="F317" i="4" s="1"/>
  <c r="J88" i="5"/>
  <c r="F88" i="5" s="1"/>
  <c r="K352" i="2" s="1"/>
  <c r="J108" i="6"/>
  <c r="F108" i="6" s="1"/>
  <c r="K609" i="2" s="1"/>
  <c r="J217" i="4"/>
  <c r="F217" i="4" s="1"/>
  <c r="J144" i="4"/>
  <c r="F83" i="5"/>
  <c r="K327" i="2" s="1"/>
  <c r="J357" i="4"/>
  <c r="F357" i="4" s="1"/>
  <c r="F97" i="7"/>
  <c r="K682" i="2" s="1"/>
  <c r="J12" i="4"/>
  <c r="J42" i="4"/>
  <c r="F42" i="4" s="1"/>
  <c r="F150" i="5"/>
  <c r="K623" i="2" s="1"/>
  <c r="J325" i="4"/>
  <c r="F325" i="4" s="1"/>
  <c r="F289" i="4"/>
  <c r="J170" i="4"/>
  <c r="J57" i="6"/>
  <c r="J83" i="6"/>
  <c r="F83" i="6" s="1"/>
  <c r="K457" i="2" s="1"/>
  <c r="J25" i="5"/>
  <c r="F25" i="5" s="1"/>
  <c r="K102" i="2" s="1"/>
  <c r="J294" i="4"/>
  <c r="J62" i="4"/>
  <c r="F62" i="4" s="1"/>
  <c r="J64" i="5"/>
  <c r="F64" i="5" s="1"/>
  <c r="K232" i="2" s="1"/>
  <c r="F49" i="4"/>
  <c r="F385" i="4"/>
  <c r="J214" i="4"/>
  <c r="J65" i="7"/>
  <c r="F65" i="7" s="1"/>
  <c r="K475" i="2" s="1"/>
  <c r="J186" i="4"/>
  <c r="J309" i="4"/>
  <c r="F309" i="4" s="1"/>
  <c r="J157" i="4"/>
  <c r="F413" i="4"/>
  <c r="J39" i="6"/>
  <c r="J12" i="5"/>
  <c r="F12" i="5" s="1"/>
  <c r="K55" i="2" s="1"/>
  <c r="J48" i="4"/>
  <c r="F48" i="4" s="1"/>
  <c r="J87" i="5"/>
  <c r="F87" i="5" s="1"/>
  <c r="K342" i="2" s="1"/>
  <c r="J120" i="6"/>
  <c r="F120" i="6" s="1"/>
  <c r="K661" i="2" s="1"/>
  <c r="J97" i="5"/>
  <c r="F97" i="5" s="1"/>
  <c r="K396" i="2" s="1"/>
  <c r="J97" i="4"/>
  <c r="F97" i="4" s="1"/>
  <c r="F349" i="4"/>
  <c r="F258" i="4"/>
  <c r="J411" i="4"/>
  <c r="F411" i="4" s="1"/>
  <c r="J67" i="5"/>
  <c r="F67" i="5" s="1"/>
  <c r="K275" i="2" s="1"/>
  <c r="J68" i="6"/>
  <c r="F68" i="6" s="1"/>
  <c r="K329" i="2" s="1"/>
  <c r="J237" i="4"/>
  <c r="J356" i="4"/>
  <c r="F356" i="4" s="1"/>
  <c r="J359" i="4"/>
  <c r="F359" i="4" s="1"/>
  <c r="J72" i="6"/>
  <c r="F72" i="6" s="1"/>
  <c r="K339" i="2" s="1"/>
  <c r="F40" i="4"/>
  <c r="F250" i="4"/>
  <c r="J199" i="5"/>
  <c r="F199" i="5" s="1"/>
  <c r="K711" i="2" s="1"/>
  <c r="J176" i="4"/>
  <c r="J426" i="4"/>
  <c r="F426" i="4" s="1"/>
  <c r="J20" i="7"/>
  <c r="F20" i="7" s="1"/>
  <c r="K83" i="2" s="1"/>
  <c r="J105" i="6"/>
  <c r="F105" i="6" s="1"/>
  <c r="K594" i="2" s="1"/>
  <c r="J58" i="6"/>
  <c r="F58" i="6" s="1"/>
  <c r="K296" i="2" s="1"/>
  <c r="J206" i="5"/>
  <c r="F206" i="5" s="1"/>
  <c r="K721" i="2" s="1"/>
  <c r="J53" i="4"/>
  <c r="F53" i="4" s="1"/>
  <c r="F145" i="4"/>
  <c r="J230" i="4"/>
  <c r="J33" i="4"/>
  <c r="F33" i="4" s="1"/>
  <c r="J13" i="5"/>
  <c r="F13" i="5" s="1"/>
  <c r="K36" i="2" s="1"/>
  <c r="J207" i="5"/>
  <c r="F207" i="5" s="1"/>
  <c r="K722" i="2" s="1"/>
  <c r="J364" i="4"/>
  <c r="F364" i="4" s="1"/>
  <c r="J89" i="6"/>
  <c r="F89" i="6" s="1"/>
  <c r="K496" i="2" s="1"/>
  <c r="J182" i="4"/>
  <c r="F182" i="4" s="1"/>
  <c r="J143" i="5"/>
  <c r="F143" i="5" s="1"/>
  <c r="K600" i="2" s="1"/>
  <c r="J365" i="4"/>
  <c r="F365" i="4" s="1"/>
  <c r="J37" i="5"/>
  <c r="F37" i="5" s="1"/>
  <c r="K152" i="2" s="1"/>
  <c r="J85" i="4"/>
  <c r="F85" i="4" s="1"/>
  <c r="J75" i="4"/>
  <c r="F75" i="4" s="1"/>
  <c r="J202" i="4"/>
  <c r="F202" i="4" s="1"/>
  <c r="J32" i="7"/>
  <c r="J108" i="5"/>
  <c r="F108" i="5" s="1"/>
  <c r="K431" i="2" s="1"/>
  <c r="J47" i="4"/>
  <c r="F47" i="4" s="1"/>
  <c r="J337" i="4"/>
  <c r="F337" i="4" s="1"/>
  <c r="J107" i="4"/>
  <c r="F107" i="4" s="1"/>
  <c r="J29" i="6"/>
  <c r="J11" i="7"/>
  <c r="F11" i="7" s="1"/>
  <c r="K50" i="2" s="1"/>
  <c r="J424" i="4"/>
  <c r="J154" i="4"/>
  <c r="F154" i="4" s="1"/>
  <c r="J293" i="4"/>
  <c r="F293" i="4" s="1"/>
  <c r="J189" i="5"/>
  <c r="F189" i="5" s="1"/>
  <c r="K697" i="2" s="1"/>
  <c r="J21" i="4"/>
  <c r="F21" i="4" s="1"/>
  <c r="J172" i="5"/>
  <c r="F172" i="5" s="1"/>
  <c r="K658" i="2" s="1"/>
  <c r="J44" i="7"/>
  <c r="F44" i="7" s="1"/>
  <c r="K247" i="2" s="1"/>
  <c r="J10" i="6"/>
  <c r="F10" i="6" s="1"/>
  <c r="K46" i="2" s="1"/>
  <c r="J45" i="5"/>
  <c r="F45" i="5" s="1"/>
  <c r="K155" i="2" s="1"/>
  <c r="J162" i="5"/>
  <c r="F162" i="5" s="1"/>
  <c r="K639" i="2" s="1"/>
  <c r="J67" i="4"/>
  <c r="F67" i="4" s="1"/>
  <c r="J388" i="4"/>
  <c r="J84" i="5"/>
  <c r="F84" i="5" s="1"/>
  <c r="K314" i="2" s="1"/>
  <c r="J286" i="4"/>
  <c r="F286" i="4" s="1"/>
  <c r="J64" i="4"/>
  <c r="F64" i="4" s="1"/>
  <c r="J90" i="4"/>
  <c r="F90" i="4" s="1"/>
  <c r="F22" i="6"/>
  <c r="K87" i="2" s="1"/>
  <c r="J110" i="4"/>
  <c r="J98" i="4"/>
  <c r="J37" i="7"/>
  <c r="F37" i="7" s="1"/>
  <c r="K210" i="2" s="1"/>
  <c r="J197" i="5"/>
  <c r="F197" i="5" s="1"/>
  <c r="K709" i="2" s="1"/>
  <c r="J30" i="6"/>
  <c r="F30" i="6" s="1"/>
  <c r="K134" i="2" s="1"/>
  <c r="J397" i="4"/>
  <c r="F397" i="4" s="1"/>
  <c r="J115" i="5"/>
  <c r="F115" i="5" s="1"/>
  <c r="K480" i="2" s="1"/>
  <c r="J204" i="5"/>
  <c r="F204" i="5" s="1"/>
  <c r="K718" i="2" s="1"/>
  <c r="F149" i="5"/>
  <c r="K622" i="2" s="1"/>
  <c r="J94" i="7"/>
  <c r="F28" i="6"/>
  <c r="K115" i="2" s="1"/>
  <c r="J23" i="7"/>
  <c r="F23" i="7" s="1"/>
  <c r="K143" i="2" s="1"/>
  <c r="F94" i="7"/>
  <c r="K649" i="2" s="1"/>
  <c r="F32" i="7"/>
  <c r="K188" i="2" s="1"/>
  <c r="F70" i="7"/>
  <c r="F66" i="7"/>
  <c r="K476" i="2" s="1"/>
  <c r="J315" i="4"/>
  <c r="F315" i="4" s="1"/>
  <c r="F187" i="5"/>
  <c r="K695" i="2" s="1"/>
  <c r="J166" i="4"/>
  <c r="F166" i="4" s="1"/>
  <c r="F139" i="5"/>
  <c r="K588" i="2" s="1"/>
  <c r="J110" i="6"/>
  <c r="F110" i="6" s="1"/>
  <c r="K607" i="2" s="1"/>
  <c r="J4" i="6"/>
  <c r="F4" i="6" s="1"/>
  <c r="K11" i="2" s="1"/>
  <c r="J139" i="4"/>
  <c r="F139" i="4" s="1"/>
  <c r="J143" i="4"/>
  <c r="F143" i="4" s="1"/>
  <c r="J248" i="4"/>
  <c r="J8" i="4"/>
  <c r="F8" i="4" s="1"/>
  <c r="J328" i="4"/>
  <c r="F328" i="4" s="1"/>
  <c r="J171" i="4"/>
  <c r="F171" i="4" s="1"/>
  <c r="F27" i="6"/>
  <c r="K112" i="2" s="1"/>
  <c r="J54" i="4"/>
  <c r="J30" i="7"/>
  <c r="F30" i="7" s="1"/>
  <c r="K167" i="2" s="1"/>
  <c r="J168" i="4"/>
  <c r="J418" i="4"/>
  <c r="F418" i="4" s="1"/>
  <c r="J33" i="5"/>
  <c r="F33" i="5" s="1"/>
  <c r="K100" i="2" s="1"/>
  <c r="F119" i="5"/>
  <c r="K499" i="2" s="1"/>
  <c r="J190" i="5"/>
  <c r="F190" i="5" s="1"/>
  <c r="K700" i="2" s="1"/>
  <c r="J253" i="4"/>
  <c r="F40" i="7"/>
  <c r="K214" i="2" s="1"/>
  <c r="J160" i="4"/>
  <c r="F179" i="5"/>
  <c r="K679" i="2" s="1"/>
  <c r="J106" i="4"/>
  <c r="F106" i="4" s="1"/>
  <c r="J331" i="4"/>
  <c r="F331" i="4" s="1"/>
  <c r="J246" i="4"/>
  <c r="F246" i="4" s="1"/>
  <c r="J138" i="5"/>
  <c r="F138" i="5" s="1"/>
  <c r="K577" i="2" s="1"/>
  <c r="J36" i="7"/>
  <c r="F36" i="7" s="1"/>
  <c r="K227" i="2" s="1"/>
  <c r="J299" i="4"/>
  <c r="F103" i="4"/>
  <c r="J32" i="5"/>
  <c r="F32" i="5" s="1"/>
  <c r="K122" i="2" s="1"/>
  <c r="F37" i="6"/>
  <c r="K156" i="2" s="1"/>
  <c r="F310" i="4"/>
  <c r="J80" i="6"/>
  <c r="F80" i="6" s="1"/>
  <c r="K436" i="2" s="1"/>
  <c r="F114" i="5"/>
  <c r="K478" i="2" s="1"/>
  <c r="J54" i="5"/>
  <c r="F54" i="5" s="1"/>
  <c r="K231" i="2" s="1"/>
  <c r="J15" i="4"/>
  <c r="J338" i="4"/>
  <c r="J429" i="4"/>
  <c r="J202" i="5"/>
  <c r="F202" i="5" s="1"/>
  <c r="K717" i="2" s="1"/>
  <c r="J313" i="4"/>
  <c r="F63" i="6"/>
  <c r="K310" i="2" s="1"/>
  <c r="J379" i="4"/>
  <c r="F379" i="4" s="1"/>
  <c r="J265" i="4"/>
  <c r="F265" i="4" s="1"/>
  <c r="J76" i="6"/>
  <c r="F76" i="6" s="1"/>
  <c r="K387" i="2" s="1"/>
  <c r="J419" i="4"/>
  <c r="F419" i="4" s="1"/>
  <c r="J38" i="5"/>
  <c r="F38" i="5" s="1"/>
  <c r="K140" i="2" s="1"/>
  <c r="J120" i="5"/>
  <c r="F120" i="5" s="1"/>
  <c r="K510" i="2" s="1"/>
  <c r="J314" i="4"/>
  <c r="F314" i="4" s="1"/>
  <c r="J86" i="7"/>
  <c r="F86" i="7" s="1"/>
  <c r="K565" i="2" s="1"/>
  <c r="J56" i="5"/>
  <c r="F56" i="5" s="1"/>
  <c r="K211" i="2" s="1"/>
  <c r="J173" i="5"/>
  <c r="F173" i="5" s="1"/>
  <c r="K668" i="2" s="1"/>
  <c r="J126" i="5"/>
  <c r="F126" i="5" s="1"/>
  <c r="K547" i="2" s="1"/>
  <c r="J191" i="5"/>
  <c r="F191" i="5" s="1"/>
  <c r="K704" i="2" s="1"/>
  <c r="J203" i="5"/>
  <c r="F203" i="5" s="1"/>
  <c r="K719" i="2" s="1"/>
  <c r="J400" i="4"/>
  <c r="F400" i="4" s="1"/>
  <c r="F35" i="4"/>
  <c r="J25" i="6"/>
  <c r="F25" i="6" s="1"/>
  <c r="K97" i="2" s="1"/>
  <c r="F190" i="4"/>
  <c r="J330" i="4"/>
  <c r="F330" i="4" s="1"/>
  <c r="J82" i="7"/>
  <c r="F82" i="7" s="1"/>
  <c r="K540" i="2" s="1"/>
  <c r="J238" i="4"/>
  <c r="F238" i="4" s="1"/>
  <c r="J175" i="4"/>
  <c r="F175" i="4" s="1"/>
  <c r="J4" i="5"/>
  <c r="F4" i="5" s="1"/>
  <c r="K3" i="2" s="1"/>
  <c r="J391" i="4"/>
  <c r="F391" i="4" s="1"/>
  <c r="J81" i="5"/>
  <c r="F81" i="5" s="1"/>
  <c r="K303" i="2" s="1"/>
  <c r="J417" i="4"/>
  <c r="F417" i="4" s="1"/>
  <c r="J22" i="5"/>
  <c r="F22" i="5" s="1"/>
  <c r="K77" i="2" s="1"/>
  <c r="J52" i="4"/>
  <c r="F52" i="4" s="1"/>
  <c r="J80" i="4"/>
  <c r="F80" i="4" s="1"/>
  <c r="J48" i="7"/>
  <c r="F48" i="7" s="1"/>
  <c r="K311" i="2" s="1"/>
  <c r="J89" i="7"/>
  <c r="F89" i="7" s="1"/>
  <c r="K614" i="2" s="1"/>
  <c r="J73" i="6"/>
  <c r="F73" i="6" s="1"/>
  <c r="K354" i="2" s="1"/>
  <c r="J13" i="7"/>
  <c r="F13" i="7" s="1"/>
  <c r="K49" i="2" s="1"/>
  <c r="J90" i="6"/>
  <c r="F90" i="6" s="1"/>
  <c r="K506" i="2" s="1"/>
  <c r="J347" i="4"/>
  <c r="J383" i="4"/>
  <c r="F383" i="4" s="1"/>
  <c r="F54" i="4"/>
  <c r="J147" i="5"/>
  <c r="F147" i="5" s="1"/>
  <c r="K620" i="2" s="1"/>
  <c r="J67" i="7"/>
  <c r="F67" i="7" s="1"/>
  <c r="K472" i="2" s="1"/>
  <c r="J155" i="4"/>
  <c r="F155" i="4" s="1"/>
  <c r="J44" i="4"/>
  <c r="F44" i="4" s="1"/>
  <c r="J350" i="4"/>
  <c r="J193" i="4"/>
  <c r="F193" i="4" s="1"/>
  <c r="J222" i="4"/>
  <c r="J50" i="4"/>
  <c r="F50" i="4" s="1"/>
  <c r="J292" i="4"/>
  <c r="F292" i="4" s="1"/>
  <c r="J91" i="4"/>
  <c r="F91" i="4" s="1"/>
  <c r="J42" i="5"/>
  <c r="F42" i="5" s="1"/>
  <c r="K150" i="2" s="1"/>
  <c r="F123" i="5"/>
  <c r="K538" i="2" s="1"/>
  <c r="J260" i="4"/>
  <c r="F260" i="4" s="1"/>
  <c r="J62" i="7"/>
  <c r="F62" i="7" s="1"/>
  <c r="K445" i="2" s="1"/>
  <c r="J41" i="4"/>
  <c r="F41" i="4" s="1"/>
  <c r="J195" i="4"/>
  <c r="F195" i="4" s="1"/>
  <c r="J30" i="4"/>
  <c r="F30" i="4" s="1"/>
  <c r="J50" i="7"/>
  <c r="F50" i="7" s="1"/>
  <c r="K326" i="2" s="1"/>
  <c r="J128" i="6"/>
  <c r="F128" i="6" s="1"/>
  <c r="K692" i="2" s="1"/>
  <c r="J146" i="4"/>
  <c r="F146" i="4" s="1"/>
  <c r="J66" i="6"/>
  <c r="F66" i="6" s="1"/>
  <c r="K330" i="2" s="1"/>
  <c r="J279" i="4"/>
  <c r="F279" i="4" s="1"/>
  <c r="J66" i="5"/>
  <c r="F66" i="5" s="1"/>
  <c r="K268" i="2" s="1"/>
  <c r="J68" i="4"/>
  <c r="F68" i="4" s="1"/>
  <c r="J58" i="4"/>
  <c r="F58" i="4" s="1"/>
  <c r="J121" i="4"/>
  <c r="F121" i="4" s="1"/>
  <c r="J428" i="4"/>
  <c r="F428" i="4" s="1"/>
  <c r="J76" i="5"/>
  <c r="F76" i="5" s="1"/>
  <c r="K286" i="2" s="1"/>
  <c r="J58" i="7"/>
  <c r="F58" i="7" s="1"/>
  <c r="K391" i="2" s="1"/>
  <c r="J44" i="5"/>
  <c r="F44" i="5" s="1"/>
  <c r="K135" i="2" s="1"/>
  <c r="J74" i="5"/>
  <c r="F74" i="5" s="1"/>
  <c r="K291" i="2" s="1"/>
  <c r="J77" i="5"/>
  <c r="F77" i="5" s="1"/>
  <c r="K301" i="2" s="1"/>
  <c r="J133" i="4"/>
  <c r="F133" i="4" s="1"/>
  <c r="J21" i="5"/>
  <c r="F21" i="5" s="1"/>
  <c r="K105" i="2" s="1"/>
  <c r="F15" i="7"/>
  <c r="K79" i="2" s="1"/>
  <c r="F63" i="7"/>
  <c r="K460" i="2" s="1"/>
  <c r="F95" i="7"/>
  <c r="K663" i="2" s="1"/>
  <c r="J151" i="4"/>
  <c r="J96" i="7"/>
  <c r="F96" i="7" s="1"/>
  <c r="K669" i="2" s="1"/>
  <c r="J86" i="6"/>
  <c r="F86" i="6" s="1"/>
  <c r="K469" i="2" s="1"/>
  <c r="J78" i="7"/>
  <c r="F78" i="7" s="1"/>
  <c r="K527" i="2" s="1"/>
  <c r="J224" i="4"/>
  <c r="J303" i="4"/>
  <c r="J125" i="4"/>
  <c r="F125" i="4" s="1"/>
  <c r="J135" i="4"/>
  <c r="F135" i="4" s="1"/>
  <c r="F98" i="4"/>
  <c r="J16" i="7"/>
  <c r="F16" i="7" s="1"/>
  <c r="K69" i="2" s="1"/>
  <c r="F36" i="6"/>
  <c r="K154" i="2" s="1"/>
  <c r="E7" i="2"/>
  <c r="C6" i="3" s="1"/>
  <c r="F85" i="6"/>
  <c r="K466" i="2" s="1"/>
  <c r="F117" i="6"/>
  <c r="K645" i="2" s="1"/>
  <c r="F127" i="6"/>
  <c r="K691" i="2" s="1"/>
  <c r="F122" i="6"/>
  <c r="K667" i="2" s="1"/>
  <c r="F55" i="6"/>
  <c r="K283" i="2" s="1"/>
  <c r="F19" i="6"/>
  <c r="K71" i="2" s="1"/>
  <c r="F118" i="6"/>
  <c r="K653" i="2" s="1"/>
  <c r="F38" i="6"/>
  <c r="K168" i="2" s="1"/>
  <c r="F70" i="6"/>
  <c r="K350" i="2" s="1"/>
  <c r="F62" i="6"/>
  <c r="K302" i="2" s="1"/>
  <c r="F78" i="6"/>
  <c r="K340" i="2" s="1"/>
  <c r="F71" i="6"/>
  <c r="K343" i="2" s="1"/>
  <c r="F53" i="6"/>
  <c r="K277" i="2" s="1"/>
  <c r="F75" i="6"/>
  <c r="K367" i="2" s="1"/>
  <c r="F125" i="6"/>
  <c r="K676" i="2" s="1"/>
  <c r="F102" i="6"/>
  <c r="K582" i="2" s="1"/>
  <c r="F113" i="6"/>
  <c r="K619" i="2" s="1"/>
  <c r="F103" i="6"/>
  <c r="K592" i="2" s="1"/>
  <c r="F35" i="6"/>
  <c r="K141" i="2" s="1"/>
  <c r="F54" i="6"/>
  <c r="K272" i="2" s="1"/>
  <c r="F29" i="6"/>
  <c r="K145" i="2" s="1"/>
  <c r="F81" i="6"/>
  <c r="K434" i="2" s="1"/>
  <c r="F82" i="6"/>
  <c r="K439" i="2" s="1"/>
  <c r="F92" i="6"/>
  <c r="K513" i="2" s="1"/>
  <c r="F23" i="6"/>
  <c r="K78" i="2" s="1"/>
  <c r="F48" i="6"/>
  <c r="K241" i="2" s="1"/>
  <c r="F7" i="6"/>
  <c r="K27" i="2" s="1"/>
  <c r="F15" i="6"/>
  <c r="K52" i="2" s="1"/>
  <c r="F60" i="6"/>
  <c r="K299" i="2" s="1"/>
  <c r="F98" i="6"/>
  <c r="K570" i="2" s="1"/>
  <c r="F109" i="6"/>
  <c r="K602" i="2" s="1"/>
  <c r="F49" i="6"/>
  <c r="K236" i="2" s="1"/>
  <c r="F42" i="6"/>
  <c r="K209" i="2" s="1"/>
  <c r="F50" i="6"/>
  <c r="K258" i="2" s="1"/>
  <c r="F106" i="6"/>
  <c r="K599" i="2" s="1"/>
  <c r="F6" i="6"/>
  <c r="K13" i="2" s="1"/>
  <c r="F87" i="6"/>
  <c r="K485" i="2" s="1"/>
  <c r="F46" i="6"/>
  <c r="K220" i="2" s="1"/>
  <c r="F64" i="6"/>
  <c r="K319" i="2" s="1"/>
  <c r="F116" i="6"/>
  <c r="K631" i="2" s="1"/>
  <c r="F14" i="6"/>
  <c r="K42" i="2" s="1"/>
  <c r="F57" i="6"/>
  <c r="K288" i="2" s="1"/>
  <c r="F24" i="6"/>
  <c r="K104" i="2" s="1"/>
  <c r="F11" i="6"/>
  <c r="K40" i="2" s="1"/>
  <c r="F65" i="6"/>
  <c r="K321" i="2" s="1"/>
  <c r="F52" i="6"/>
  <c r="K266" i="2" s="1"/>
  <c r="F100" i="6"/>
  <c r="K581" i="2" s="1"/>
  <c r="F59" i="6"/>
  <c r="K282" i="2" s="1"/>
  <c r="F97" i="6"/>
  <c r="K557" i="2" s="1"/>
  <c r="F77" i="6"/>
  <c r="K404" i="2" s="1"/>
  <c r="F47" i="6"/>
  <c r="K222" i="2" s="1"/>
  <c r="F107" i="6"/>
  <c r="K601" i="2" s="1"/>
  <c r="F69" i="6"/>
  <c r="K347" i="2" s="1"/>
  <c r="F112" i="6"/>
  <c r="K616" i="2" s="1"/>
  <c r="F61" i="6"/>
  <c r="K307" i="2" s="1"/>
  <c r="F3" i="6"/>
  <c r="K7" i="2" s="1"/>
  <c r="F84" i="6"/>
  <c r="K456" i="2" s="1"/>
  <c r="F39" i="6"/>
  <c r="K170" i="2" s="1"/>
  <c r="F115" i="6"/>
  <c r="K630" i="2" s="1"/>
  <c r="F8" i="6"/>
  <c r="K28" i="2" s="1"/>
  <c r="F401" i="4"/>
  <c r="J390" i="4"/>
  <c r="J79" i="5"/>
  <c r="F79" i="5" s="1"/>
  <c r="K308" i="2" s="1"/>
  <c r="J31" i="5"/>
  <c r="F31" i="5" s="1"/>
  <c r="K101" i="2" s="1"/>
  <c r="J176" i="5"/>
  <c r="F176" i="5" s="1"/>
  <c r="K672" i="2" s="1"/>
  <c r="J43" i="5"/>
  <c r="F43" i="5" s="1"/>
  <c r="K148" i="2" s="1"/>
  <c r="F233" i="4"/>
  <c r="J38" i="7"/>
  <c r="F38" i="7" s="1"/>
  <c r="K206" i="2" s="1"/>
  <c r="F22" i="4"/>
  <c r="J5" i="5"/>
  <c r="F5" i="5" s="1"/>
  <c r="K4" i="2" s="1"/>
  <c r="J166" i="5"/>
  <c r="F166" i="5" s="1"/>
  <c r="K643" i="2" s="1"/>
  <c r="J73" i="7"/>
  <c r="F73" i="7" s="1"/>
  <c r="K498" i="2" s="1"/>
  <c r="J185" i="4"/>
  <c r="F185" i="4" s="1"/>
  <c r="J334" i="4"/>
  <c r="F334" i="4" s="1"/>
  <c r="F129" i="4"/>
  <c r="F169" i="5"/>
  <c r="K655" i="2" s="1"/>
  <c r="J198" i="4"/>
  <c r="F198" i="4" s="1"/>
  <c r="J45" i="4"/>
  <c r="F45" i="4" s="1"/>
  <c r="J129" i="5"/>
  <c r="F129" i="5" s="1"/>
  <c r="K536" i="2" s="1"/>
  <c r="J88" i="6"/>
  <c r="F88" i="6" s="1"/>
  <c r="K491" i="2" s="1"/>
  <c r="J4" i="4"/>
  <c r="F4" i="4" s="1"/>
  <c r="J52" i="7"/>
  <c r="F52" i="7" s="1"/>
  <c r="K346" i="2" s="1"/>
  <c r="J159" i="5"/>
  <c r="F159" i="5" s="1"/>
  <c r="K635" i="2" s="1"/>
  <c r="F358" i="4"/>
  <c r="F12" i="4"/>
  <c r="J5" i="6"/>
  <c r="F5" i="6" s="1"/>
  <c r="K10" i="2" s="1"/>
  <c r="F321" i="4"/>
  <c r="J74" i="6"/>
  <c r="F74" i="6" s="1"/>
  <c r="K357" i="2" s="1"/>
  <c r="J99" i="5"/>
  <c r="F99" i="5" s="1"/>
  <c r="K401" i="2" s="1"/>
  <c r="J311" i="4"/>
  <c r="F311" i="4" s="1"/>
  <c r="J370" i="4"/>
  <c r="F370" i="4" s="1"/>
  <c r="J244" i="4"/>
  <c r="F244" i="4" s="1"/>
  <c r="J241" i="4"/>
  <c r="F241" i="4" s="1"/>
  <c r="F147" i="4"/>
  <c r="J127" i="4"/>
  <c r="F127" i="4" s="1"/>
  <c r="F52" i="5"/>
  <c r="K198" i="2" s="1"/>
  <c r="J322" i="4"/>
  <c r="F322" i="4" s="1"/>
  <c r="J46" i="7"/>
  <c r="F46" i="7" s="1"/>
  <c r="K265" i="2" s="1"/>
  <c r="F348" i="4"/>
  <c r="J420" i="4"/>
  <c r="F420" i="4" s="1"/>
  <c r="J71" i="7"/>
  <c r="F71" i="7" s="1"/>
  <c r="K486" i="2" s="1"/>
  <c r="J12" i="7"/>
  <c r="F12" i="7" s="1"/>
  <c r="K57" i="2" s="1"/>
  <c r="J99" i="6"/>
  <c r="F99" i="6" s="1"/>
  <c r="K574" i="2" s="1"/>
  <c r="F110" i="4"/>
  <c r="J156" i="5"/>
  <c r="F156" i="5" s="1"/>
  <c r="K636" i="2" s="1"/>
  <c r="F224" i="4"/>
  <c r="J85" i="7"/>
  <c r="F85" i="7" s="1"/>
  <c r="K560" i="2" s="1"/>
  <c r="F414" i="4"/>
  <c r="F126" i="4"/>
  <c r="F31" i="4"/>
  <c r="F112" i="4"/>
  <c r="F79" i="4"/>
  <c r="F14" i="4"/>
  <c r="F387" i="4"/>
  <c r="F360" i="4"/>
  <c r="F66" i="4"/>
  <c r="F206" i="4"/>
  <c r="F114" i="4"/>
  <c r="F389" i="4"/>
  <c r="F163" i="4"/>
  <c r="F118" i="4"/>
  <c r="F288" i="4"/>
  <c r="F221" i="4"/>
  <c r="F174" i="4"/>
  <c r="F408" i="4"/>
  <c r="F298" i="4"/>
  <c r="F291" i="4"/>
  <c r="F332" i="4"/>
  <c r="F390" i="4"/>
  <c r="F72" i="4"/>
  <c r="F51" i="4"/>
  <c r="F209" i="4"/>
  <c r="F187" i="4"/>
  <c r="F89" i="4"/>
  <c r="F257" i="4"/>
  <c r="F338" i="4"/>
  <c r="F144" i="4"/>
  <c r="F207" i="4"/>
  <c r="F28" i="4"/>
  <c r="F23" i="4"/>
  <c r="F416" i="4"/>
  <c r="F402" i="4"/>
  <c r="F56" i="4"/>
  <c r="F362" i="4"/>
  <c r="F253" i="4"/>
  <c r="F394" i="4"/>
  <c r="F376" i="4"/>
  <c r="F256" i="4"/>
  <c r="F374" i="4"/>
  <c r="F382" i="4"/>
  <c r="F386" i="4"/>
  <c r="F429" i="4"/>
  <c r="F142" i="4"/>
  <c r="F264" i="4"/>
  <c r="F19" i="4"/>
  <c r="F278" i="4"/>
  <c r="F201" i="4"/>
  <c r="F384" i="4"/>
  <c r="F136" i="4"/>
  <c r="F81" i="4"/>
  <c r="F297" i="4"/>
  <c r="F141" i="4"/>
  <c r="F324" i="4"/>
  <c r="F150" i="4"/>
  <c r="F165" i="4"/>
  <c r="F10" i="4"/>
  <c r="F277" i="4"/>
  <c r="F275" i="4"/>
  <c r="F151" i="4"/>
  <c r="F220" i="4"/>
  <c r="F294" i="4"/>
  <c r="F269" i="4"/>
  <c r="F78" i="4"/>
  <c r="F122" i="4"/>
  <c r="F427" i="4"/>
  <c r="F157" i="4"/>
  <c r="F36" i="4"/>
  <c r="F252" i="4"/>
  <c r="F248" i="4"/>
  <c r="F421" i="4"/>
  <c r="F65" i="4"/>
  <c r="F215" i="4"/>
  <c r="F273" i="4"/>
  <c r="F247" i="4"/>
  <c r="F46" i="4"/>
  <c r="F186" i="4"/>
  <c r="F177" i="4"/>
  <c r="F210" i="4"/>
  <c r="F222" i="4"/>
  <c r="F117" i="4"/>
  <c r="F124" i="4"/>
  <c r="F333" i="4"/>
  <c r="F308" i="4"/>
  <c r="F266" i="4"/>
  <c r="F231" i="4"/>
  <c r="F388" i="4"/>
  <c r="F320" i="4"/>
  <c r="F296" i="4"/>
  <c r="F5" i="4"/>
  <c r="F212" i="4"/>
  <c r="F366" i="4"/>
  <c r="F263" i="4"/>
  <c r="F76" i="4"/>
  <c r="F71" i="4"/>
  <c r="F43" i="4"/>
  <c r="F230" i="4"/>
  <c r="F319" i="4"/>
  <c r="F128" i="4"/>
  <c r="F73" i="4"/>
  <c r="F236" i="4"/>
  <c r="F254" i="4"/>
  <c r="F159" i="4"/>
  <c r="F173" i="4"/>
  <c r="F345" i="4"/>
  <c r="F123" i="4"/>
  <c r="F13" i="4"/>
  <c r="F197" i="4"/>
  <c r="F176" i="4"/>
  <c r="F120" i="4"/>
  <c r="F181" i="4"/>
  <c r="F395" i="4"/>
  <c r="F259" i="4"/>
  <c r="F115" i="4"/>
  <c r="F6" i="4"/>
  <c r="F251" i="4"/>
  <c r="F424" i="4"/>
  <c r="F304" i="4"/>
  <c r="F153" i="4"/>
  <c r="F214" i="4"/>
  <c r="F158" i="4"/>
  <c r="F160" i="4"/>
  <c r="F137" i="4"/>
  <c r="F219" i="4"/>
  <c r="F191" i="4"/>
  <c r="F280" i="4"/>
  <c r="F208" i="4"/>
  <c r="F405" i="4"/>
  <c r="F101" i="4"/>
  <c r="F38" i="4"/>
  <c r="F170" i="4"/>
  <c r="F299" i="4"/>
  <c r="F69" i="4"/>
  <c r="F352" i="4"/>
  <c r="F228" i="4"/>
  <c r="F116" i="4"/>
  <c r="F15" i="4"/>
  <c r="F77" i="4"/>
  <c r="F140" i="4"/>
  <c r="F368" i="4"/>
  <c r="F313" i="4"/>
  <c r="F102" i="4"/>
  <c r="F412" i="4"/>
  <c r="F323" i="4"/>
  <c r="F347" i="4"/>
  <c r="F343" i="4"/>
  <c r="F213" i="4"/>
  <c r="F148" i="4"/>
  <c r="F132" i="4"/>
  <c r="F188" i="4"/>
  <c r="F93" i="4"/>
  <c r="F104" i="4"/>
  <c r="F194" i="4"/>
  <c r="F326" i="4"/>
  <c r="F342" i="4"/>
  <c r="F371" i="4"/>
  <c r="F111" i="4"/>
  <c r="F396" i="4"/>
  <c r="F63" i="4"/>
  <c r="F168" i="4"/>
  <c r="F61" i="4"/>
  <c r="F245" i="4"/>
  <c r="F20" i="4"/>
  <c r="F271" i="4"/>
  <c r="F18" i="4"/>
  <c r="F361" i="4"/>
  <c r="F249" i="4"/>
  <c r="F425" i="4"/>
  <c r="F70" i="4"/>
  <c r="F100" i="4"/>
  <c r="F302" i="4"/>
  <c r="F192" i="4"/>
  <c r="F29" i="4"/>
  <c r="F341" i="4"/>
  <c r="F344" i="4"/>
  <c r="F237" i="4"/>
  <c r="F57" i="4"/>
  <c r="F37" i="4"/>
  <c r="F239" i="4"/>
  <c r="F88" i="4"/>
  <c r="F303" i="4"/>
  <c r="F284" i="4"/>
  <c r="F262" i="4"/>
  <c r="F353" i="4"/>
  <c r="F130" i="4"/>
  <c r="F393" i="4"/>
  <c r="F312" i="4"/>
  <c r="J79" i="7"/>
  <c r="F79" i="7" s="1"/>
  <c r="K530" i="2" s="1"/>
  <c r="J218" i="4"/>
  <c r="F218" i="4" s="1"/>
  <c r="J153" i="5"/>
  <c r="F153" i="5" s="1"/>
  <c r="K626" i="2" s="1"/>
  <c r="J306" i="4"/>
  <c r="F306" i="4" s="1"/>
  <c r="J108" i="4"/>
  <c r="F108" i="4" s="1"/>
  <c r="F61" i="7"/>
  <c r="K440" i="2" s="1"/>
  <c r="F350" i="4"/>
  <c r="J307" i="4"/>
  <c r="F307" i="4" s="1"/>
  <c r="J295" i="4"/>
  <c r="F295" i="4" s="1"/>
  <c r="J20" i="6"/>
  <c r="F20" i="6" s="1"/>
  <c r="K72" i="2" s="1"/>
  <c r="F10" i="7"/>
  <c r="K44" i="2" s="1"/>
  <c r="F430" i="4"/>
  <c r="F88" i="7"/>
  <c r="K597" i="2" s="1"/>
  <c r="J422" i="4"/>
  <c r="F422" i="4" s="1"/>
  <c r="J136" i="5"/>
  <c r="F136" i="5" s="1"/>
  <c r="K584" i="2" s="1"/>
  <c r="J33" i="6"/>
  <c r="F33" i="6" s="1"/>
  <c r="K151" i="2" s="1"/>
  <c r="J83" i="4"/>
  <c r="F83" i="4" s="1"/>
  <c r="J25" i="4"/>
  <c r="F25" i="4" s="1"/>
  <c r="J205" i="5"/>
  <c r="F205" i="5" s="1"/>
  <c r="J72" i="5"/>
  <c r="F72" i="5" s="1"/>
  <c r="K289" i="2" s="1"/>
  <c r="J200" i="4"/>
  <c r="F200" i="4" s="1"/>
  <c r="J189" i="4"/>
  <c r="F189" i="4" s="1"/>
  <c r="J255" i="4"/>
  <c r="F255" i="4" s="1"/>
  <c r="J63" i="5"/>
  <c r="F63" i="5" s="1"/>
  <c r="K224" i="2" s="1"/>
  <c r="J93" i="6"/>
  <c r="F93" i="6" s="1"/>
  <c r="K497" i="2" s="1"/>
  <c r="J240" i="4"/>
  <c r="F240" i="4" s="1"/>
  <c r="J392" i="4"/>
  <c r="F392" i="4" s="1"/>
  <c r="F16" i="4"/>
  <c r="J162" i="4"/>
  <c r="F162" i="4" s="1"/>
  <c r="F373" i="4"/>
  <c r="J229" i="4"/>
  <c r="F229" i="4" s="1"/>
  <c r="J59" i="4"/>
  <c r="F59" i="4" s="1"/>
  <c r="F6" i="7"/>
  <c r="K14" i="2" s="1"/>
  <c r="F27" i="7"/>
  <c r="K159" i="2" s="1"/>
  <c r="F39" i="7"/>
  <c r="K213" i="2" s="1"/>
  <c r="F215" i="8" l="1"/>
  <c r="K562" i="2" s="1"/>
  <c r="F153" i="8"/>
  <c r="K422" i="2" s="1"/>
  <c r="F58" i="8"/>
  <c r="K221" i="2" s="1"/>
  <c r="J10" i="9"/>
  <c r="F74" i="8"/>
  <c r="K255" i="2" s="1"/>
  <c r="J63" i="9"/>
  <c r="J51" i="9"/>
  <c r="F19" i="8"/>
  <c r="K93" i="2" s="1"/>
  <c r="F163" i="8"/>
  <c r="K442" i="2" s="1"/>
  <c r="F186" i="8"/>
  <c r="K502" i="2" s="1"/>
  <c r="L502" i="2" s="1"/>
  <c r="F127" i="8"/>
  <c r="K378" i="2" s="1"/>
  <c r="F84" i="8"/>
  <c r="K290" i="2" s="1"/>
  <c r="F195" i="8"/>
  <c r="K520" i="2" s="1"/>
  <c r="F16" i="8"/>
  <c r="K82" i="2" s="1"/>
  <c r="F106" i="8"/>
  <c r="K345" i="2" s="1"/>
  <c r="F86" i="8"/>
  <c r="K293" i="2" s="1"/>
  <c r="F12" i="8"/>
  <c r="K66" i="2" s="1"/>
  <c r="F11" i="8"/>
  <c r="K47" i="2" s="1"/>
  <c r="F161" i="8"/>
  <c r="K444" i="2" s="1"/>
  <c r="F171" i="8"/>
  <c r="K467" i="2" s="1"/>
  <c r="L467" i="2" s="1"/>
  <c r="F213" i="8"/>
  <c r="K566" i="2" s="1"/>
  <c r="J13" i="9"/>
  <c r="F146" i="8"/>
  <c r="K414" i="2" s="1"/>
  <c r="F102" i="8"/>
  <c r="K324" i="2" s="1"/>
  <c r="F201" i="8"/>
  <c r="K525" i="2" s="1"/>
  <c r="F63" i="8"/>
  <c r="K235" i="2" s="1"/>
  <c r="F169" i="8"/>
  <c r="K459" i="2" s="1"/>
  <c r="F218" i="8"/>
  <c r="K569" i="2" s="1"/>
  <c r="F51" i="8"/>
  <c r="K194" i="2" s="1"/>
  <c r="J30" i="9"/>
  <c r="F83" i="8"/>
  <c r="K278" i="2" s="1"/>
  <c r="F28" i="8"/>
  <c r="K118" i="2" s="1"/>
  <c r="J72" i="9"/>
  <c r="J8" i="9"/>
  <c r="J25" i="9"/>
  <c r="F62" i="8"/>
  <c r="K233" i="2" s="1"/>
  <c r="F77" i="8"/>
  <c r="K264" i="2" s="1"/>
  <c r="F100" i="8"/>
  <c r="K325" i="2" s="1"/>
  <c r="F189" i="8"/>
  <c r="K509" i="2" s="1"/>
  <c r="F162" i="8"/>
  <c r="K446" i="2" s="1"/>
  <c r="L446" i="2" s="1"/>
  <c r="F45" i="8"/>
  <c r="K171" i="2" s="1"/>
  <c r="F170" i="8"/>
  <c r="K465" i="2" s="1"/>
  <c r="F145" i="8"/>
  <c r="K413" i="2" s="1"/>
  <c r="F129" i="8"/>
  <c r="K392" i="2" s="1"/>
  <c r="L392" i="2" s="1"/>
  <c r="F4" i="8"/>
  <c r="K12" i="2" s="1"/>
  <c r="F148" i="8"/>
  <c r="K415" i="2" s="1"/>
  <c r="F40" i="8"/>
  <c r="K166" i="2" s="1"/>
  <c r="F211" i="8"/>
  <c r="K555" i="2" s="1"/>
  <c r="F156" i="8"/>
  <c r="K430" i="2" s="1"/>
  <c r="F113" i="8"/>
  <c r="K359" i="2" s="1"/>
  <c r="J41" i="9"/>
  <c r="J70" i="9"/>
  <c r="J9" i="9"/>
  <c r="J27" i="9"/>
  <c r="F138" i="8"/>
  <c r="K397" i="2" s="1"/>
  <c r="F5" i="8"/>
  <c r="K26" i="2" s="1"/>
  <c r="J75" i="9"/>
  <c r="F15" i="8"/>
  <c r="K53" i="2" s="1"/>
  <c r="F177" i="8"/>
  <c r="K479" i="2" s="1"/>
  <c r="F200" i="8"/>
  <c r="K528" i="2" s="1"/>
  <c r="L528" i="2" s="1"/>
  <c r="F179" i="8"/>
  <c r="K483" i="2" s="1"/>
  <c r="F174" i="8"/>
  <c r="K470" i="2" s="1"/>
  <c r="F192" i="8"/>
  <c r="K514" i="2" s="1"/>
  <c r="F120" i="8"/>
  <c r="K380" i="2" s="1"/>
  <c r="F87" i="8"/>
  <c r="K285" i="2" s="1"/>
  <c r="F157" i="8"/>
  <c r="K433" i="2" s="1"/>
  <c r="F47" i="8"/>
  <c r="K186" i="2" s="1"/>
  <c r="F132" i="8"/>
  <c r="K395" i="2" s="1"/>
  <c r="F137" i="8"/>
  <c r="K400" i="2" s="1"/>
  <c r="L400" i="2" s="1"/>
  <c r="F24" i="8"/>
  <c r="K98" i="2" s="1"/>
  <c r="F123" i="8"/>
  <c r="K381" i="2" s="1"/>
  <c r="F122" i="8"/>
  <c r="K374" i="2" s="1"/>
  <c r="F72" i="8"/>
  <c r="K253" i="2" s="1"/>
  <c r="L253" i="2" s="1"/>
  <c r="F85" i="8"/>
  <c r="K292" i="2" s="1"/>
  <c r="F59" i="8"/>
  <c r="K223" i="2" s="1"/>
  <c r="F142" i="8"/>
  <c r="K411" i="2" s="1"/>
  <c r="F97" i="8"/>
  <c r="K316" i="2" s="1"/>
  <c r="F14" i="8"/>
  <c r="K38" i="2" s="1"/>
  <c r="F151" i="8"/>
  <c r="K419" i="2" s="1"/>
  <c r="L419" i="2" s="1"/>
  <c r="F80" i="8"/>
  <c r="K263" i="2" s="1"/>
  <c r="L263" i="2" s="1"/>
  <c r="F149" i="8"/>
  <c r="K420" i="2" s="1"/>
  <c r="J44" i="9"/>
  <c r="F143" i="8"/>
  <c r="K412" i="2" s="1"/>
  <c r="F107" i="8"/>
  <c r="K344" i="2" s="1"/>
  <c r="J37" i="9"/>
  <c r="J47" i="9"/>
  <c r="J28" i="9"/>
  <c r="F194" i="8"/>
  <c r="K518" i="2" s="1"/>
  <c r="F90" i="8"/>
  <c r="K297" i="2" s="1"/>
  <c r="F25" i="8"/>
  <c r="K119" i="2" s="1"/>
  <c r="L119" i="2" s="1"/>
  <c r="F70" i="8"/>
  <c r="K246" i="2" s="1"/>
  <c r="L246" i="2" s="1"/>
  <c r="F139" i="8"/>
  <c r="K402" i="2" s="1"/>
  <c r="F67" i="8"/>
  <c r="K244" i="2" s="1"/>
  <c r="F39" i="8"/>
  <c r="K160" i="2" s="1"/>
  <c r="F121" i="8"/>
  <c r="K364" i="2" s="1"/>
  <c r="F46" i="8"/>
  <c r="K184" i="2" s="1"/>
  <c r="F88" i="8"/>
  <c r="K281" i="2" s="1"/>
  <c r="F92" i="8"/>
  <c r="K295" i="2" s="1"/>
  <c r="F44" i="8"/>
  <c r="K174" i="2" s="1"/>
  <c r="L174" i="2" s="1"/>
  <c r="F23" i="8"/>
  <c r="K90" i="2" s="1"/>
  <c r="F187" i="8"/>
  <c r="K503" i="2" s="1"/>
  <c r="F8" i="8"/>
  <c r="K25" i="2" s="1"/>
  <c r="F212" i="8"/>
  <c r="K558" i="2" s="1"/>
  <c r="L558" i="2" s="1"/>
  <c r="F172" i="8"/>
  <c r="K463" i="2" s="1"/>
  <c r="F207" i="8"/>
  <c r="K551" i="2" s="1"/>
  <c r="F185" i="8"/>
  <c r="K501" i="2" s="1"/>
  <c r="F117" i="8"/>
  <c r="K365" i="2" s="1"/>
  <c r="F206" i="8"/>
  <c r="K549" i="2" s="1"/>
  <c r="F196" i="8"/>
  <c r="K521" i="2" s="1"/>
  <c r="L521" i="2" s="1"/>
  <c r="F204" i="8"/>
  <c r="K534" i="2" s="1"/>
  <c r="L534" i="2" s="1"/>
  <c r="F193" i="8"/>
  <c r="K515" i="2" s="1"/>
  <c r="F136" i="8"/>
  <c r="K399" i="2" s="1"/>
  <c r="F81" i="8"/>
  <c r="K273" i="2" s="1"/>
  <c r="L273" i="2" s="1"/>
  <c r="F203" i="8"/>
  <c r="K529" i="2" s="1"/>
  <c r="F125" i="8"/>
  <c r="K385" i="2" s="1"/>
  <c r="F190" i="8"/>
  <c r="K500" i="2" s="1"/>
  <c r="F131" i="8"/>
  <c r="K390" i="2" s="1"/>
  <c r="F141" i="8"/>
  <c r="K410" i="2" s="1"/>
  <c r="L410" i="2" s="1"/>
  <c r="J36" i="9"/>
  <c r="J6" i="9"/>
  <c r="J46" i="9"/>
  <c r="F130" i="8"/>
  <c r="K386" i="2" s="1"/>
  <c r="F112" i="8"/>
  <c r="K361" i="2" s="1"/>
  <c r="F66" i="8"/>
  <c r="K228" i="2" s="1"/>
  <c r="F158" i="8"/>
  <c r="K437" i="2" s="1"/>
  <c r="L437" i="2" s="1"/>
  <c r="F110" i="8"/>
  <c r="K356" i="2" s="1"/>
  <c r="L356" i="2" s="1"/>
  <c r="F20" i="8"/>
  <c r="K95" i="2" s="1"/>
  <c r="F152" i="8"/>
  <c r="K424" i="2" s="1"/>
  <c r="F154" i="8"/>
  <c r="K421" i="2" s="1"/>
  <c r="L421" i="2" s="1"/>
  <c r="F37" i="8"/>
  <c r="K153" i="2" s="1"/>
  <c r="L153" i="2" s="1"/>
  <c r="F82" i="8"/>
  <c r="K276" i="2" s="1"/>
  <c r="F208" i="8"/>
  <c r="K550" i="2" s="1"/>
  <c r="F31" i="8"/>
  <c r="K130" i="2" s="1"/>
  <c r="L130" i="2" s="1"/>
  <c r="F99" i="8"/>
  <c r="K320" i="2" s="1"/>
  <c r="F182" i="8"/>
  <c r="K492" i="2" s="1"/>
  <c r="F41" i="8"/>
  <c r="K165" i="2" s="1"/>
  <c r="L165" i="2" s="1"/>
  <c r="J62" i="9"/>
  <c r="F48" i="8"/>
  <c r="K191" i="2" s="1"/>
  <c r="L191" i="2" s="1"/>
  <c r="F53" i="8"/>
  <c r="K199" i="2" s="1"/>
  <c r="L199" i="2" s="1"/>
  <c r="J73" i="9"/>
  <c r="F71" i="8"/>
  <c r="K250" i="2" s="1"/>
  <c r="F118" i="8"/>
  <c r="K368" i="2" s="1"/>
  <c r="F214" i="8"/>
  <c r="K568" i="2" s="1"/>
  <c r="L568" i="2" s="1"/>
  <c r="F52" i="8"/>
  <c r="K185" i="2" s="1"/>
  <c r="F205" i="8"/>
  <c r="K541" i="2" s="1"/>
  <c r="F21" i="8"/>
  <c r="K81" i="2" s="1"/>
  <c r="L81" i="2" s="1"/>
  <c r="F226" i="8"/>
  <c r="K608" i="2" s="1"/>
  <c r="F160" i="8"/>
  <c r="K443" i="2" s="1"/>
  <c r="L443" i="2" s="1"/>
  <c r="F6" i="8"/>
  <c r="K23" i="2" s="1"/>
  <c r="L23" i="2" s="1"/>
  <c r="F76" i="8"/>
  <c r="K256" i="2" s="1"/>
  <c r="L256" i="2" s="1"/>
  <c r="F69" i="8"/>
  <c r="K249" i="2" s="1"/>
  <c r="F79" i="8"/>
  <c r="K267" i="2" s="1"/>
  <c r="F43" i="8"/>
  <c r="K163" i="2" s="1"/>
  <c r="L163" i="2" s="1"/>
  <c r="F216" i="8"/>
  <c r="K572" i="2" s="1"/>
  <c r="F101" i="8"/>
  <c r="K328" i="2" s="1"/>
  <c r="F114" i="8"/>
  <c r="K363" i="2" s="1"/>
  <c r="J21" i="9"/>
  <c r="J31" i="9"/>
  <c r="J74" i="9"/>
  <c r="F150" i="8"/>
  <c r="K417" i="2" s="1"/>
  <c r="L417" i="2" s="1"/>
  <c r="F56" i="8"/>
  <c r="K205" i="2" s="1"/>
  <c r="F50" i="8"/>
  <c r="K196" i="2" s="1"/>
  <c r="F173" i="8"/>
  <c r="K464" i="2" s="1"/>
  <c r="L464" i="2" s="1"/>
  <c r="F147" i="8"/>
  <c r="K418" i="2" s="1"/>
  <c r="F78" i="8"/>
  <c r="K262" i="2" s="1"/>
  <c r="F36" i="8"/>
  <c r="K146" i="2" s="1"/>
  <c r="F175" i="8"/>
  <c r="K474" i="2" s="1"/>
  <c r="F3" i="8"/>
  <c r="K15" i="2" s="1"/>
  <c r="L15" i="2" s="1"/>
  <c r="F168" i="8"/>
  <c r="K451" i="2" s="1"/>
  <c r="L451" i="2" s="1"/>
  <c r="F167" i="8"/>
  <c r="K454" i="2" s="1"/>
  <c r="L454" i="2" s="1"/>
  <c r="F57" i="8"/>
  <c r="K204" i="2" s="1"/>
  <c r="F176" i="8"/>
  <c r="K473" i="2" s="1"/>
  <c r="F126" i="8"/>
  <c r="K389" i="2" s="1"/>
  <c r="L389" i="2" s="1"/>
  <c r="F124" i="8"/>
  <c r="K384" i="2" s="1"/>
  <c r="F220" i="8"/>
  <c r="K585" i="2" s="1"/>
  <c r="F73" i="8"/>
  <c r="K254" i="2" s="1"/>
  <c r="L254" i="2" s="1"/>
  <c r="F35" i="8"/>
  <c r="K139" i="2" s="1"/>
  <c r="F75" i="8"/>
  <c r="K245" i="2" s="1"/>
  <c r="L245" i="2" s="1"/>
  <c r="F219" i="8"/>
  <c r="K576" i="2" s="1"/>
  <c r="L576" i="2" s="1"/>
  <c r="F184" i="8"/>
  <c r="K493" i="2" s="1"/>
  <c r="L493" i="2" s="1"/>
  <c r="F91" i="8"/>
  <c r="K300" i="2" s="1"/>
  <c r="F209" i="8"/>
  <c r="K552" i="2" s="1"/>
  <c r="F18" i="8"/>
  <c r="K85" i="2" s="1"/>
  <c r="L85" i="2" s="1"/>
  <c r="F166" i="8"/>
  <c r="K449" i="2" s="1"/>
  <c r="F178" i="8"/>
  <c r="K481" i="2" s="1"/>
  <c r="F10" i="8"/>
  <c r="K31" i="2" s="1"/>
  <c r="L31" i="2" s="1"/>
  <c r="F199" i="8"/>
  <c r="K526" i="2" s="1"/>
  <c r="J40" i="9"/>
  <c r="J60" i="9"/>
  <c r="F17" i="8"/>
  <c r="K80" i="2" s="1"/>
  <c r="L80" i="2" s="1"/>
  <c r="F26" i="8"/>
  <c r="K94" i="2" s="1"/>
  <c r="F64" i="8"/>
  <c r="K238" i="2" s="1"/>
  <c r="F183" i="8"/>
  <c r="K494" i="2" s="1"/>
  <c r="L494" i="2" s="1"/>
  <c r="F198" i="8"/>
  <c r="K524" i="2" s="1"/>
  <c r="F30" i="8"/>
  <c r="K126" i="2" s="1"/>
  <c r="F33" i="8"/>
  <c r="K132" i="2" s="1"/>
  <c r="L132" i="2" s="1"/>
  <c r="F68" i="8"/>
  <c r="K243" i="2" s="1"/>
  <c r="F227" i="8"/>
  <c r="K624" i="2" s="1"/>
  <c r="L624" i="2" s="1"/>
  <c r="F165" i="8"/>
  <c r="K450" i="2" s="1"/>
  <c r="L450" i="2" s="1"/>
  <c r="F134" i="8"/>
  <c r="K398" i="2" s="1"/>
  <c r="L398" i="2" s="1"/>
  <c r="F128" i="8"/>
  <c r="K383" i="2" s="1"/>
  <c r="F105" i="8"/>
  <c r="K338" i="2" s="1"/>
  <c r="F22" i="8"/>
  <c r="K84" i="2" s="1"/>
  <c r="L84" i="2" s="1"/>
  <c r="F60" i="8"/>
  <c r="K225" i="2" s="1"/>
  <c r="F133" i="8"/>
  <c r="K394" i="2" s="1"/>
  <c r="F29" i="8"/>
  <c r="K109" i="2" s="1"/>
  <c r="L109" i="2" s="1"/>
  <c r="F223" i="8"/>
  <c r="K593" i="2" s="1"/>
  <c r="F94" i="8"/>
  <c r="K312" i="2" s="1"/>
  <c r="L312" i="2" s="1"/>
  <c r="J38" i="9"/>
  <c r="J48" i="9"/>
  <c r="J26" i="9"/>
  <c r="C73" i="9"/>
  <c r="E714" i="2" s="1"/>
  <c r="F34" i="8"/>
  <c r="K136" i="2" s="1"/>
  <c r="F222" i="8"/>
  <c r="K586" i="2" s="1"/>
  <c r="F140" i="8"/>
  <c r="K407" i="2" s="1"/>
  <c r="F9" i="8"/>
  <c r="K22" i="2" s="1"/>
  <c r="L22" i="2" s="1"/>
  <c r="F144" i="8"/>
  <c r="K409" i="2" s="1"/>
  <c r="J61" i="9"/>
  <c r="F98" i="8"/>
  <c r="K323" i="2" s="1"/>
  <c r="L323" i="2" s="1"/>
  <c r="F109" i="8"/>
  <c r="K349" i="2" s="1"/>
  <c r="L349" i="2" s="1"/>
  <c r="F210" i="8"/>
  <c r="K554" i="2" s="1"/>
  <c r="F65" i="8"/>
  <c r="K239" i="2" s="1"/>
  <c r="L239" i="2" s="1"/>
  <c r="F188" i="8"/>
  <c r="K505" i="2" s="1"/>
  <c r="F180" i="8"/>
  <c r="K488" i="2" s="1"/>
  <c r="F217" i="8"/>
  <c r="K573" i="2" s="1"/>
  <c r="F135" i="8"/>
  <c r="K403" i="2" s="1"/>
  <c r="L403" i="2" s="1"/>
  <c r="F96" i="8"/>
  <c r="K317" i="2" s="1"/>
  <c r="F49" i="8"/>
  <c r="K203" i="2" s="1"/>
  <c r="L203" i="2" s="1"/>
  <c r="F7" i="8"/>
  <c r="K34" i="2" s="1"/>
  <c r="L34" i="2" s="1"/>
  <c r="F224" i="8"/>
  <c r="K596" i="2" s="1"/>
  <c r="F155" i="8"/>
  <c r="K429" i="2" s="1"/>
  <c r="F164" i="8"/>
  <c r="K448" i="2" s="1"/>
  <c r="L448" i="2" s="1"/>
  <c r="J19" i="9"/>
  <c r="J5" i="9"/>
  <c r="F93" i="8"/>
  <c r="K309" i="2" s="1"/>
  <c r="F32" i="8"/>
  <c r="K138" i="2" s="1"/>
  <c r="L138" i="2" s="1"/>
  <c r="F13" i="8"/>
  <c r="K63" i="2" s="1"/>
  <c r="F42" i="8"/>
  <c r="K178" i="2" s="1"/>
  <c r="L178" i="2" s="1"/>
  <c r="F103" i="8"/>
  <c r="K335" i="2" s="1"/>
  <c r="L335" i="2" s="1"/>
  <c r="F38" i="8"/>
  <c r="K157" i="2" s="1"/>
  <c r="L157" i="2" s="1"/>
  <c r="F159" i="8"/>
  <c r="K441" i="2" s="1"/>
  <c r="F55" i="8"/>
  <c r="K201" i="2" s="1"/>
  <c r="L201" i="2" s="1"/>
  <c r="J45" i="9"/>
  <c r="F197" i="8"/>
  <c r="K522" i="2" s="1"/>
  <c r="F104" i="8"/>
  <c r="K334" i="2" s="1"/>
  <c r="F27" i="8"/>
  <c r="K129" i="2" s="1"/>
  <c r="L129" i="2" s="1"/>
  <c r="F221" i="8"/>
  <c r="K589" i="2" s="1"/>
  <c r="F202" i="8"/>
  <c r="K532" i="2" s="1"/>
  <c r="F61" i="8"/>
  <c r="K226" i="2" s="1"/>
  <c r="L226" i="2" s="1"/>
  <c r="F191" i="8"/>
  <c r="K511" i="2" s="1"/>
  <c r="L511" i="2" s="1"/>
  <c r="F116" i="8"/>
  <c r="K366" i="2" s="1"/>
  <c r="F95" i="8"/>
  <c r="K315" i="2" s="1"/>
  <c r="F181" i="8"/>
  <c r="K487" i="2" s="1"/>
  <c r="F115" i="8"/>
  <c r="K355" i="2" s="1"/>
  <c r="F89" i="8"/>
  <c r="K294" i="2" s="1"/>
  <c r="F225" i="8"/>
  <c r="K595" i="2" s="1"/>
  <c r="L595" i="2" s="1"/>
  <c r="F54" i="8"/>
  <c r="K202" i="2" s="1"/>
  <c r="J43" i="9"/>
  <c r="F119" i="8"/>
  <c r="K376" i="2" s="1"/>
  <c r="L376" i="2" s="1"/>
  <c r="J23" i="9"/>
  <c r="J20" i="9"/>
  <c r="J58" i="9"/>
  <c r="J65" i="9"/>
  <c r="J15" i="9"/>
  <c r="J68" i="9"/>
  <c r="J67" i="9"/>
  <c r="C20" i="9"/>
  <c r="E123" i="2" s="1"/>
  <c r="J42" i="9"/>
  <c r="J35" i="9"/>
  <c r="J71" i="9"/>
  <c r="J39" i="9"/>
  <c r="J50" i="9"/>
  <c r="J55" i="9"/>
  <c r="J7" i="9"/>
  <c r="J11" i="9"/>
  <c r="J29" i="9"/>
  <c r="J4" i="9"/>
  <c r="J14" i="9"/>
  <c r="C69" i="9"/>
  <c r="E699" i="2" s="1"/>
  <c r="C52" i="9"/>
  <c r="E606" i="2" s="1"/>
  <c r="C11" i="9"/>
  <c r="E64" i="2" s="1"/>
  <c r="C33" i="9"/>
  <c r="E234" i="2" s="1"/>
  <c r="C59" i="9"/>
  <c r="E654" i="2" s="1"/>
  <c r="C72" i="9"/>
  <c r="E712" i="2" s="1"/>
  <c r="C66" i="9"/>
  <c r="E684" i="2" s="1"/>
  <c r="C22" i="9"/>
  <c r="E162" i="2" s="1"/>
  <c r="C60" i="9"/>
  <c r="E657" i="2" s="1"/>
  <c r="C26" i="9"/>
  <c r="E183" i="2" s="1"/>
  <c r="C43" i="9"/>
  <c r="E447" i="2" s="1"/>
  <c r="C37" i="9"/>
  <c r="E313" i="2" s="1"/>
  <c r="C62" i="9"/>
  <c r="E660" i="2" s="1"/>
  <c r="C50" i="9"/>
  <c r="E578" i="2" s="1"/>
  <c r="C35" i="9"/>
  <c r="E332" i="2" s="1"/>
  <c r="C36" i="9"/>
  <c r="E306" i="2" s="1"/>
  <c r="C75" i="9"/>
  <c r="E727" i="2" s="1"/>
  <c r="C7" i="9"/>
  <c r="E24" i="2" s="1"/>
  <c r="C25" i="9"/>
  <c r="E176" i="2" s="1"/>
  <c r="J69" i="9"/>
  <c r="C48" i="9"/>
  <c r="E559" i="2" s="1"/>
  <c r="C29" i="9"/>
  <c r="E177" i="2" s="1"/>
  <c r="C44" i="9"/>
  <c r="E453" i="2" s="1"/>
  <c r="C34" i="9"/>
  <c r="E269" i="2" s="1"/>
  <c r="C6" i="9"/>
  <c r="E30" i="2" s="1"/>
  <c r="C63" i="9"/>
  <c r="E673" i="2" s="1"/>
  <c r="C17" i="9"/>
  <c r="E108" i="2" s="1"/>
  <c r="C18" i="9"/>
  <c r="E113" i="2" s="1"/>
  <c r="C21" i="9"/>
  <c r="E103" i="2" s="1"/>
  <c r="C12" i="9"/>
  <c r="E51" i="2" s="1"/>
  <c r="C61" i="9"/>
  <c r="E659" i="2" s="1"/>
  <c r="C38" i="9"/>
  <c r="E318" i="2" s="1"/>
  <c r="C67" i="9"/>
  <c r="E686" i="2" s="1"/>
  <c r="C15" i="9"/>
  <c r="E92" i="2" s="1"/>
  <c r="C8" i="9"/>
  <c r="E19" i="2" s="1"/>
  <c r="J12" i="9"/>
  <c r="J54" i="9"/>
  <c r="J22" i="9"/>
  <c r="J3" i="9"/>
  <c r="J16" i="9"/>
  <c r="J32" i="9"/>
  <c r="C49" i="9"/>
  <c r="E563" i="2" s="1"/>
  <c r="C56" i="9"/>
  <c r="E637" i="2" s="1"/>
  <c r="C42" i="9"/>
  <c r="E423" i="2" s="1"/>
  <c r="C5" i="9"/>
  <c r="E20" i="2" s="1"/>
  <c r="C24" i="9"/>
  <c r="E173" i="2" s="1"/>
  <c r="C45" i="9"/>
  <c r="E455" i="2" s="1"/>
  <c r="C74" i="9"/>
  <c r="E723" i="2" s="1"/>
  <c r="C51" i="9"/>
  <c r="E603" i="2" s="1"/>
  <c r="C23" i="9"/>
  <c r="E149" i="2" s="1"/>
  <c r="C55" i="9"/>
  <c r="E613" i="2" s="1"/>
  <c r="C3" i="9"/>
  <c r="C27" i="9"/>
  <c r="E192" i="2" s="1"/>
  <c r="C40" i="9"/>
  <c r="E371" i="2" s="1"/>
  <c r="C64" i="9"/>
  <c r="E677" i="2" s="1"/>
  <c r="C58" i="9"/>
  <c r="E652" i="2" s="1"/>
  <c r="C19" i="9"/>
  <c r="E116" i="2" s="1"/>
  <c r="C54" i="9"/>
  <c r="E617" i="2" s="1"/>
  <c r="C28" i="9"/>
  <c r="E193" i="2" s="1"/>
  <c r="C47" i="9"/>
  <c r="E543" i="2" s="1"/>
  <c r="C65" i="9"/>
  <c r="E678" i="2" s="1"/>
  <c r="C70" i="9"/>
  <c r="E701" i="2" s="1"/>
  <c r="C53" i="9"/>
  <c r="E611" i="2" s="1"/>
  <c r="C10" i="9"/>
  <c r="E62" i="2" s="1"/>
  <c r="C46" i="9"/>
  <c r="E531" i="2" s="1"/>
  <c r="C9" i="9"/>
  <c r="E48" i="2" s="1"/>
  <c r="J57" i="9"/>
  <c r="J24" i="9"/>
  <c r="J49" i="9"/>
  <c r="J59" i="9"/>
  <c r="J66" i="9"/>
  <c r="J17" i="9"/>
  <c r="C68" i="9"/>
  <c r="E689" i="2" s="1"/>
  <c r="C71" i="9"/>
  <c r="E706" i="2" s="1"/>
  <c r="C4" i="9"/>
  <c r="E18" i="2" s="1"/>
  <c r="C16" i="9"/>
  <c r="E107" i="2" s="1"/>
  <c r="C39" i="9"/>
  <c r="E369" i="2" s="1"/>
  <c r="C57" i="9"/>
  <c r="E642" i="2" s="1"/>
  <c r="J33" i="9"/>
  <c r="J34" i="9"/>
  <c r="J53" i="9"/>
  <c r="J56" i="9"/>
  <c r="J18" i="9"/>
  <c r="C13" i="9"/>
  <c r="E89" i="2" s="1"/>
  <c r="C30" i="9"/>
  <c r="E237" i="2" s="1"/>
  <c r="C14" i="9"/>
  <c r="E99" i="2" s="1"/>
  <c r="C41" i="9"/>
  <c r="E377" i="2" s="1"/>
  <c r="C31" i="9"/>
  <c r="E219" i="2" s="1"/>
  <c r="C32" i="9"/>
  <c r="E230" i="2" s="1"/>
  <c r="L357" i="2"/>
  <c r="L37" i="2"/>
  <c r="L264" i="2"/>
  <c r="L465" i="2"/>
  <c r="L413" i="2"/>
  <c r="G14" i="3"/>
  <c r="L12" i="2"/>
  <c r="L415" i="2"/>
  <c r="L166" i="2"/>
  <c r="L555" i="2"/>
  <c r="L430" i="2"/>
  <c r="L359" i="2"/>
  <c r="L445" i="2"/>
  <c r="L9" i="2"/>
  <c r="L386" i="2"/>
  <c r="L181" i="2"/>
  <c r="L575" i="2"/>
  <c r="L336" i="2"/>
  <c r="L720" i="2"/>
  <c r="L615" i="2"/>
  <c r="L643" i="2"/>
  <c r="L542" i="2"/>
  <c r="L259" i="2"/>
  <c r="L100" i="2"/>
  <c r="L110" i="2"/>
  <c r="L208" i="2"/>
  <c r="L140" i="2"/>
  <c r="L50" i="2"/>
  <c r="L477" i="2"/>
  <c r="L179" i="2"/>
  <c r="L182" i="2"/>
  <c r="L53" i="2"/>
  <c r="L195" i="2"/>
  <c r="L8" i="2"/>
  <c r="L134" i="2"/>
  <c r="L468" i="2"/>
  <c r="L581" i="2"/>
  <c r="L168" i="2"/>
  <c r="L325" i="2"/>
  <c r="L509" i="2"/>
  <c r="L171" i="2"/>
  <c r="L128" i="2"/>
  <c r="L565" i="2"/>
  <c r="L668" i="2"/>
  <c r="L28" i="2"/>
  <c r="L347" i="2"/>
  <c r="L661" i="2"/>
  <c r="L319" i="2"/>
  <c r="L533" i="2"/>
  <c r="L52" i="2"/>
  <c r="L693" i="2"/>
  <c r="L676" i="2"/>
  <c r="L653" i="2"/>
  <c r="L466" i="2"/>
  <c r="L663" i="2"/>
  <c r="L538" i="2"/>
  <c r="L569" i="2"/>
  <c r="L295" i="2"/>
  <c r="L285" i="2"/>
  <c r="L194" i="2"/>
  <c r="L391" i="2"/>
  <c r="L647" i="2"/>
  <c r="L87" i="2"/>
  <c r="L433" i="2"/>
  <c r="L251" i="2"/>
  <c r="L351" i="2"/>
  <c r="L690" i="2"/>
  <c r="L409" i="2"/>
  <c r="L495" i="2"/>
  <c r="L688" i="2"/>
  <c r="L508" i="2"/>
  <c r="L483" i="2"/>
  <c r="L474" i="2"/>
  <c r="L470" i="2"/>
  <c r="L160" i="2"/>
  <c r="L276" i="2"/>
  <c r="L364" i="2"/>
  <c r="L550" i="2"/>
  <c r="L184" i="2"/>
  <c r="L320" i="2"/>
  <c r="G2" i="3"/>
  <c r="L2" i="2"/>
  <c r="L594" i="2"/>
  <c r="L135" i="2"/>
  <c r="L127" i="2"/>
  <c r="L412" i="2"/>
  <c r="L666" i="2"/>
  <c r="L530" i="2"/>
  <c r="L452" i="2"/>
  <c r="L726" i="2"/>
  <c r="L121" i="2"/>
  <c r="L375" i="2"/>
  <c r="L275" i="2"/>
  <c r="L379" i="2"/>
  <c r="L427" i="2"/>
  <c r="L260" i="2"/>
  <c r="L211" i="2"/>
  <c r="L641" i="2"/>
  <c r="L432" i="2"/>
  <c r="L629" i="2"/>
  <c r="L710" i="2"/>
  <c r="L175" i="2"/>
  <c r="L190" i="2"/>
  <c r="L279" i="2"/>
  <c r="L457" i="2"/>
  <c r="L512" i="2"/>
  <c r="L67" i="2"/>
  <c r="G10" i="3"/>
  <c r="L5" i="2"/>
  <c r="L98" i="2"/>
  <c r="L38" i="2"/>
  <c r="L420" i="2"/>
  <c r="L6" i="2"/>
  <c r="L342" i="2"/>
  <c r="L526" i="2"/>
  <c r="L426" i="2"/>
  <c r="L507" i="2"/>
  <c r="L480" i="2"/>
  <c r="L632" i="2"/>
  <c r="L671" i="2"/>
  <c r="L435" i="2"/>
  <c r="L287" i="2"/>
  <c r="L4" i="2"/>
  <c r="L257" i="2"/>
  <c r="L406" i="2"/>
  <c r="L683" i="2"/>
  <c r="L382" i="2"/>
  <c r="L370" i="2"/>
  <c r="L303" i="2"/>
  <c r="L309" i="2"/>
  <c r="L147" i="2"/>
  <c r="L520" i="2"/>
  <c r="L372" i="2"/>
  <c r="L26" i="2"/>
  <c r="L63" i="2"/>
  <c r="L489" i="2"/>
  <c r="L297" i="2"/>
  <c r="L261" i="2"/>
  <c r="L373" i="2"/>
  <c r="L599" i="2"/>
  <c r="L255" i="2"/>
  <c r="L630" i="2"/>
  <c r="L517" i="2"/>
  <c r="L170" i="2"/>
  <c r="L601" i="2"/>
  <c r="L321" i="2"/>
  <c r="L220" i="2"/>
  <c r="L209" i="2"/>
  <c r="L574" i="2"/>
  <c r="L612" i="2"/>
  <c r="L277" i="2"/>
  <c r="L29" i="2"/>
  <c r="L496" i="2"/>
  <c r="L57" i="2"/>
  <c r="L112" i="2"/>
  <c r="L588" i="2"/>
  <c r="L188" i="2"/>
  <c r="L623" i="2"/>
  <c r="L54" i="2"/>
  <c r="L715" i="2"/>
  <c r="L640" i="2"/>
  <c r="L59" i="2"/>
  <c r="L204" i="2"/>
  <c r="L189" i="2"/>
  <c r="L551" i="2"/>
  <c r="L501" i="2"/>
  <c r="L365" i="2"/>
  <c r="L549" i="2"/>
  <c r="L515" i="2"/>
  <c r="L399" i="2"/>
  <c r="L529" i="2"/>
  <c r="L385" i="2"/>
  <c r="L500" i="2"/>
  <c r="L390" i="2"/>
  <c r="L378" i="2"/>
  <c r="L328" i="2"/>
  <c r="L363" i="2"/>
  <c r="L490" i="2"/>
  <c r="L600" i="2"/>
  <c r="L704" i="2"/>
  <c r="L55" i="2"/>
  <c r="L172" i="2"/>
  <c r="L164" i="2"/>
  <c r="L536" i="2"/>
  <c r="L416" i="2"/>
  <c r="L696" i="2"/>
  <c r="L718" i="2"/>
  <c r="L286" i="2"/>
  <c r="L314" i="2"/>
  <c r="L114" i="2"/>
  <c r="L621" i="2"/>
  <c r="L200" i="2"/>
  <c r="L39" i="2"/>
  <c r="L70" i="2"/>
  <c r="L227" i="2"/>
  <c r="L352" i="2"/>
  <c r="L628" i="2"/>
  <c r="L229" i="2"/>
  <c r="L418" i="2"/>
  <c r="L616" i="2"/>
  <c r="L459" i="2"/>
  <c r="L441" i="2"/>
  <c r="L151" i="2"/>
  <c r="L586" i="2"/>
  <c r="L381" i="2"/>
  <c r="L159" i="2"/>
  <c r="L198" i="2"/>
  <c r="L224" i="2"/>
  <c r="L217" i="2"/>
  <c r="L222" i="2"/>
  <c r="L664" i="2"/>
  <c r="L485" i="2"/>
  <c r="L236" i="2"/>
  <c r="L27" i="2"/>
  <c r="L272" i="2"/>
  <c r="L343" i="2"/>
  <c r="L71" i="2"/>
  <c r="L609" i="2"/>
  <c r="L161" i="2"/>
  <c r="L687" i="2"/>
  <c r="L148" i="2"/>
  <c r="L658" i="2"/>
  <c r="L499" i="2"/>
  <c r="L649" i="2"/>
  <c r="L711" i="2"/>
  <c r="L546" i="2"/>
  <c r="L45" i="2"/>
  <c r="L326" i="2"/>
  <c r="L638" i="2"/>
  <c r="L395" i="2"/>
  <c r="L102" i="2"/>
  <c r="L644" i="2"/>
  <c r="L250" i="2"/>
  <c r="L368" i="2"/>
  <c r="L185" i="2"/>
  <c r="L541" i="2"/>
  <c r="L608" i="2"/>
  <c r="L249" i="2"/>
  <c r="L267" i="2"/>
  <c r="L572" i="2"/>
  <c r="L133" i="2"/>
  <c r="L462" i="2"/>
  <c r="L105" i="2"/>
  <c r="L725" i="2"/>
  <c r="L298" i="2"/>
  <c r="L626" i="2"/>
  <c r="L504" i="2"/>
  <c r="L708" i="2"/>
  <c r="L207" i="2"/>
  <c r="L101" i="2"/>
  <c r="L401" i="2"/>
  <c r="L152" i="2"/>
  <c r="L544" i="2"/>
  <c r="L697" i="2"/>
  <c r="L231" i="2"/>
  <c r="L308" i="2"/>
  <c r="L95" i="2"/>
  <c r="L397" i="2"/>
  <c r="L117" i="2"/>
  <c r="L73" i="2"/>
  <c r="L498" i="2"/>
  <c r="L670" i="2"/>
  <c r="L645" i="2"/>
  <c r="L258" i="2"/>
  <c r="L97" i="2"/>
  <c r="L216" i="2"/>
  <c r="L374" i="2"/>
  <c r="L14" i="2"/>
  <c r="L268" i="2"/>
  <c r="L491" i="2"/>
  <c r="L681" i="2"/>
  <c r="L46" i="2"/>
  <c r="L333" i="2"/>
  <c r="L340" i="2"/>
  <c r="L283" i="2"/>
  <c r="L142" i="2"/>
  <c r="L475" i="2"/>
  <c r="L156" i="2"/>
  <c r="L679" i="2"/>
  <c r="L695" i="2"/>
  <c r="L311" i="2"/>
  <c r="L186" i="2"/>
  <c r="L69" i="2"/>
  <c r="L503" i="2"/>
  <c r="L540" i="2"/>
  <c r="L289" i="2"/>
  <c r="L579" i="2"/>
  <c r="L458" i="2"/>
  <c r="L463" i="2"/>
  <c r="L519" i="2"/>
  <c r="L197" i="2"/>
  <c r="L384" i="2"/>
  <c r="L585" i="2"/>
  <c r="L139" i="2"/>
  <c r="L300" i="2"/>
  <c r="L552" i="2"/>
  <c r="L449" i="2"/>
  <c r="L481" i="2"/>
  <c r="L111" i="2"/>
  <c r="L492" i="2"/>
  <c r="L685" i="2"/>
  <c r="L77" i="2"/>
  <c r="L471" i="2"/>
  <c r="L482" i="2"/>
  <c r="L547" i="2"/>
  <c r="L635" i="2"/>
  <c r="L702" i="2"/>
  <c r="L43" i="2"/>
  <c r="L717" i="2"/>
  <c r="L341" i="2"/>
  <c r="L122" i="2"/>
  <c r="L722" i="2"/>
  <c r="L212" i="2"/>
  <c r="L187" i="2"/>
  <c r="L380" i="2"/>
  <c r="L131" i="2"/>
  <c r="L240" i="2"/>
  <c r="L228" i="2"/>
  <c r="L424" i="2"/>
  <c r="L479" i="2"/>
  <c r="L434" i="2"/>
  <c r="L622" i="2"/>
  <c r="L539" i="2"/>
  <c r="L618" i="2"/>
  <c r="L367" i="2"/>
  <c r="L278" i="2"/>
  <c r="L669" i="2"/>
  <c r="L411" i="2"/>
  <c r="L440" i="2"/>
  <c r="L456" i="2"/>
  <c r="L40" i="2"/>
  <c r="L33" i="2"/>
  <c r="L597" i="2"/>
  <c r="G6" i="3"/>
  <c r="L7" i="2"/>
  <c r="L144" i="2"/>
  <c r="L104" i="2"/>
  <c r="L13" i="2"/>
  <c r="L602" i="2"/>
  <c r="L241" i="2"/>
  <c r="L607" i="2"/>
  <c r="L302" i="2"/>
  <c r="L667" i="2"/>
  <c r="L154" i="2"/>
  <c r="L265" i="2"/>
  <c r="L83" i="2"/>
  <c r="L206" i="2"/>
  <c r="L90" i="2"/>
  <c r="L118" i="2"/>
  <c r="L32" i="2"/>
  <c r="L143" i="2"/>
  <c r="L422" i="2"/>
  <c r="L76" i="2"/>
  <c r="L126" i="2"/>
  <c r="L243" i="2"/>
  <c r="L383" i="2"/>
  <c r="L338" i="2"/>
  <c r="L225" i="2"/>
  <c r="L394" i="2"/>
  <c r="L593" i="2"/>
  <c r="L125" i="2"/>
  <c r="L662" i="2"/>
  <c r="L68" i="2"/>
  <c r="L633" i="2"/>
  <c r="L396" i="2"/>
  <c r="L322" i="2"/>
  <c r="L605" i="2"/>
  <c r="L150" i="2"/>
  <c r="L698" i="2"/>
  <c r="L158" i="2"/>
  <c r="L590" i="2"/>
  <c r="L248" i="2"/>
  <c r="L518" i="2"/>
  <c r="L205" i="2"/>
  <c r="L614" i="2"/>
  <c r="L358" i="2"/>
  <c r="L405" i="2"/>
  <c r="L196" i="2"/>
  <c r="L329" i="2"/>
  <c r="L270" i="2"/>
  <c r="L582" i="2"/>
  <c r="L310" i="2"/>
  <c r="L577" i="2"/>
  <c r="L213" i="2"/>
  <c r="L655" i="2"/>
  <c r="L180" i="2"/>
  <c r="L66" i="2"/>
  <c r="L218" i="2"/>
  <c r="L223" i="2"/>
  <c r="L404" i="2"/>
  <c r="L570" i="2"/>
  <c r="L350" i="2"/>
  <c r="L79" i="2"/>
  <c r="L556" i="2"/>
  <c r="L407" i="2"/>
  <c r="L510" i="2"/>
  <c r="L414" i="2"/>
  <c r="L682" i="2"/>
  <c r="L674" i="2"/>
  <c r="L210" i="2"/>
  <c r="L74" i="2"/>
  <c r="L146" i="2"/>
  <c r="L721" i="2"/>
  <c r="L167" i="2"/>
  <c r="L233" i="2"/>
  <c r="L324" i="2"/>
  <c r="L473" i="2"/>
  <c r="L560" i="2"/>
  <c r="L554" i="2"/>
  <c r="L505" i="2"/>
  <c r="L488" i="2"/>
  <c r="L573" i="2"/>
  <c r="L317" i="2"/>
  <c r="L596" i="2"/>
  <c r="L429" i="2"/>
  <c r="L91" i="2"/>
  <c r="L675" i="2"/>
  <c r="L215" i="2"/>
  <c r="L625" i="2"/>
  <c r="L428" i="2"/>
  <c r="L561" i="2"/>
  <c r="L301" i="2"/>
  <c r="L651" i="2"/>
  <c r="L620" i="2"/>
  <c r="L627" i="2"/>
  <c r="L604" i="2"/>
  <c r="L705" i="2"/>
  <c r="L274" i="2"/>
  <c r="L610" i="2"/>
  <c r="L137" i="2"/>
  <c r="L639" i="2"/>
  <c r="L700" i="2"/>
  <c r="L124" i="2"/>
  <c r="L348" i="2"/>
  <c r="L535" i="2"/>
  <c r="L598" i="2"/>
  <c r="L631" i="2"/>
  <c r="L478" i="2"/>
  <c r="L266" i="2"/>
  <c r="L460" i="2"/>
  <c r="L17" i="2"/>
  <c r="L316" i="2"/>
  <c r="L523" i="2"/>
  <c r="L636" i="2"/>
  <c r="L692" i="2"/>
  <c r="L691" i="2"/>
  <c r="L716" i="2"/>
  <c r="L41" i="2"/>
  <c r="L557" i="2"/>
  <c r="L506" i="2"/>
  <c r="L425" i="2"/>
  <c r="L354" i="2"/>
  <c r="L513" i="2"/>
  <c r="L592" i="2"/>
  <c r="L656" i="2"/>
  <c r="L330" i="2"/>
  <c r="L337" i="2"/>
  <c r="L35" i="2"/>
  <c r="L553" i="2"/>
  <c r="L115" i="2"/>
  <c r="L238" i="2"/>
  <c r="L388" i="2"/>
  <c r="L484" i="2"/>
  <c r="L120" i="2"/>
  <c r="L571" i="2"/>
  <c r="L86" i="2"/>
  <c r="L10" i="2"/>
  <c r="L580" i="2"/>
  <c r="L524" i="2"/>
  <c r="L304" i="2"/>
  <c r="L522" i="2"/>
  <c r="L334" i="2"/>
  <c r="L589" i="2"/>
  <c r="L532" i="2"/>
  <c r="L366" i="2"/>
  <c r="L487" i="2"/>
  <c r="L355" i="2"/>
  <c r="L294" i="2"/>
  <c r="L202" i="2"/>
  <c r="L461" i="2"/>
  <c r="L344" i="2"/>
  <c r="L408" i="2"/>
  <c r="L280" i="2"/>
  <c r="L60" i="2"/>
  <c r="L88" i="2"/>
  <c r="L548" i="2"/>
  <c r="L545" i="2"/>
  <c r="L232" i="2"/>
  <c r="L393" i="2"/>
  <c r="L252" i="2"/>
  <c r="L648" i="2"/>
  <c r="L650" i="2"/>
  <c r="L680" i="2"/>
  <c r="L584" i="2"/>
  <c r="L106" i="2"/>
  <c r="L331" i="2"/>
  <c r="L537" i="2"/>
  <c r="L346" i="2"/>
  <c r="L271" i="2"/>
  <c r="L516" i="2"/>
  <c r="L486" i="2"/>
  <c r="L72" i="2"/>
  <c r="L362" i="2"/>
  <c r="L469" i="2"/>
  <c r="L145" i="2"/>
  <c r="L155" i="2"/>
  <c r="L292" i="2"/>
  <c r="L591" i="2"/>
  <c r="L288" i="2"/>
  <c r="L78" i="2"/>
  <c r="L141" i="2"/>
  <c r="L93" i="2"/>
  <c r="L44" i="2"/>
  <c r="L136" i="2"/>
  <c r="L527" i="2"/>
  <c r="L291" i="2"/>
  <c r="L307" i="2"/>
  <c r="L282" i="2"/>
  <c r="L42" i="2"/>
  <c r="L436" i="2"/>
  <c r="L299" i="2"/>
  <c r="L439" i="2"/>
  <c r="L619" i="2"/>
  <c r="L497" i="2"/>
  <c r="L339" i="2"/>
  <c r="L96" i="2"/>
  <c r="L345" i="2"/>
  <c r="L214" i="2"/>
  <c r="L476" i="2"/>
  <c r="L94" i="2"/>
  <c r="L296" i="2"/>
  <c r="L387" i="2"/>
  <c r="L327" i="2"/>
  <c r="L169" i="2"/>
  <c r="L587" i="2"/>
  <c r="L58" i="2"/>
  <c r="L25" i="2"/>
  <c r="L719" i="2"/>
  <c r="L61" i="2"/>
  <c r="L65" i="2"/>
  <c r="L402" i="2"/>
  <c r="L431" i="2"/>
  <c r="L247" i="2"/>
  <c r="L525" i="2"/>
  <c r="L442" i="2"/>
  <c r="L562" i="2"/>
  <c r="L353" i="2"/>
  <c r="L290" i="2"/>
  <c r="L82" i="2"/>
  <c r="L293" i="2"/>
  <c r="L47" i="2"/>
  <c r="L444" i="2"/>
  <c r="L566" i="2"/>
  <c r="L235" i="2"/>
  <c r="L360" i="2"/>
  <c r="L221" i="2"/>
  <c r="L11" i="2"/>
  <c r="L281" i="2"/>
  <c r="L472" i="2"/>
  <c r="L564" i="2"/>
  <c r="L242" i="2"/>
  <c r="L634" i="2"/>
  <c r="L3" i="2"/>
  <c r="L567" i="2"/>
  <c r="L672" i="2"/>
  <c r="L703" i="2"/>
  <c r="L694" i="2"/>
  <c r="L305" i="2"/>
  <c r="L583" i="2"/>
  <c r="L713" i="2"/>
  <c r="L709" i="2"/>
  <c r="L21" i="2"/>
  <c r="L56" i="2"/>
  <c r="L724" i="2"/>
  <c r="L361" i="2"/>
  <c r="L284" i="2"/>
  <c r="L75" i="2"/>
  <c r="L438" i="2"/>
  <c r="L36" i="2"/>
  <c r="L262" i="2"/>
  <c r="L49" i="2"/>
  <c r="F52" i="9" l="1"/>
  <c r="K606" i="2" s="1"/>
  <c r="L606" i="2" s="1"/>
  <c r="F51" i="9"/>
  <c r="K603" i="2" s="1"/>
  <c r="F27" i="9"/>
  <c r="K192" i="2" s="1"/>
  <c r="F8" i="9"/>
  <c r="K19" i="2" s="1"/>
  <c r="L514" i="2"/>
  <c r="L244" i="2"/>
  <c r="F18" i="9"/>
  <c r="K113" i="2" s="1"/>
  <c r="L113" i="2" s="1"/>
  <c r="F39" i="9"/>
  <c r="K369" i="2" s="1"/>
  <c r="L369" i="2" s="1"/>
  <c r="F20" i="9"/>
  <c r="K123" i="2" s="1"/>
  <c r="L123" i="2" s="1"/>
  <c r="F44" i="9"/>
  <c r="K453" i="2" s="1"/>
  <c r="L453" i="2" s="1"/>
  <c r="F9" i="9"/>
  <c r="K48" i="2" s="1"/>
  <c r="L48" i="2" s="1"/>
  <c r="F72" i="9"/>
  <c r="K712" i="2" s="1"/>
  <c r="L712" i="2" s="1"/>
  <c r="F71" i="9"/>
  <c r="K706" i="2" s="1"/>
  <c r="F23" i="9"/>
  <c r="K149" i="2" s="1"/>
  <c r="F26" i="9"/>
  <c r="K183" i="2" s="1"/>
  <c r="F50" i="9"/>
  <c r="K578" i="2" s="1"/>
  <c r="L578" i="2" s="1"/>
  <c r="F53" i="9"/>
  <c r="K611" i="2" s="1"/>
  <c r="F66" i="9"/>
  <c r="K684" i="2" s="1"/>
  <c r="F32" i="9"/>
  <c r="K230" i="2" s="1"/>
  <c r="F35" i="9"/>
  <c r="K332" i="2" s="1"/>
  <c r="L332" i="2" s="1"/>
  <c r="F48" i="9"/>
  <c r="K559" i="2" s="1"/>
  <c r="L559" i="2" s="1"/>
  <c r="F6" i="9"/>
  <c r="K30" i="2" s="1"/>
  <c r="F58" i="9"/>
  <c r="K652" i="2" s="1"/>
  <c r="L652" i="2" s="1"/>
  <c r="F34" i="9"/>
  <c r="K269" i="2" s="1"/>
  <c r="F59" i="9"/>
  <c r="K654" i="2" s="1"/>
  <c r="F16" i="9"/>
  <c r="K107" i="2" s="1"/>
  <c r="F69" i="9"/>
  <c r="K699" i="2" s="1"/>
  <c r="F14" i="9"/>
  <c r="K99" i="2" s="1"/>
  <c r="L99" i="2" s="1"/>
  <c r="F42" i="9"/>
  <c r="K423" i="2" s="1"/>
  <c r="L423" i="2" s="1"/>
  <c r="F61" i="9"/>
  <c r="K659" i="2" s="1"/>
  <c r="L659" i="2" s="1"/>
  <c r="F38" i="9"/>
  <c r="K318" i="2" s="1"/>
  <c r="L318" i="2" s="1"/>
  <c r="F74" i="9"/>
  <c r="K723" i="2" s="1"/>
  <c r="F30" i="9"/>
  <c r="K237" i="2" s="1"/>
  <c r="F33" i="9"/>
  <c r="K234" i="2" s="1"/>
  <c r="F49" i="9"/>
  <c r="K563" i="2" s="1"/>
  <c r="F3" i="9"/>
  <c r="K16" i="2" s="1"/>
  <c r="F4" i="9"/>
  <c r="K18" i="2" s="1"/>
  <c r="L18" i="2" s="1"/>
  <c r="F40" i="9"/>
  <c r="K371" i="2" s="1"/>
  <c r="L371" i="2" s="1"/>
  <c r="F31" i="9"/>
  <c r="K219" i="2" s="1"/>
  <c r="L219" i="2" s="1"/>
  <c r="F24" i="9"/>
  <c r="K173" i="2" s="1"/>
  <c r="L173" i="2" s="1"/>
  <c r="F22" i="9"/>
  <c r="K162" i="2" s="1"/>
  <c r="F29" i="9"/>
  <c r="K177" i="2" s="1"/>
  <c r="L177" i="2" s="1"/>
  <c r="F67" i="9"/>
  <c r="K686" i="2" s="1"/>
  <c r="L686" i="2" s="1"/>
  <c r="F21" i="9"/>
  <c r="K103" i="2" s="1"/>
  <c r="F62" i="9"/>
  <c r="K660" i="2" s="1"/>
  <c r="L660" i="2" s="1"/>
  <c r="L315" i="2"/>
  <c r="F57" i="9"/>
  <c r="K642" i="2" s="1"/>
  <c r="L642" i="2" s="1"/>
  <c r="F54" i="9"/>
  <c r="K617" i="2" s="1"/>
  <c r="F11" i="9"/>
  <c r="K64" i="2" s="1"/>
  <c r="F68" i="9"/>
  <c r="K689" i="2" s="1"/>
  <c r="L689" i="2" s="1"/>
  <c r="F47" i="9"/>
  <c r="K543" i="2" s="1"/>
  <c r="F75" i="9"/>
  <c r="K727" i="2" s="1"/>
  <c r="F56" i="9"/>
  <c r="K637" i="2" s="1"/>
  <c r="L637" i="2" s="1"/>
  <c r="F17" i="9"/>
  <c r="K108" i="2" s="1"/>
  <c r="L108" i="2" s="1"/>
  <c r="E16" i="2"/>
  <c r="C25" i="3" s="1"/>
  <c r="F70" i="9"/>
  <c r="K701" i="2" s="1"/>
  <c r="L701" i="2" s="1"/>
  <c r="F43" i="9"/>
  <c r="K447" i="2" s="1"/>
  <c r="L447" i="2" s="1"/>
  <c r="F19" i="9"/>
  <c r="K116" i="2" s="1"/>
  <c r="L116" i="2" s="1"/>
  <c r="F63" i="9"/>
  <c r="K673" i="2" s="1"/>
  <c r="L673" i="2" s="1"/>
  <c r="F64" i="9"/>
  <c r="K677" i="2" s="1"/>
  <c r="L677" i="2" s="1"/>
  <c r="F5" i="9"/>
  <c r="K20" i="2" s="1"/>
  <c r="F10" i="9"/>
  <c r="K62" i="2" s="1"/>
  <c r="L62" i="2" s="1"/>
  <c r="F41" i="9"/>
  <c r="K377" i="2" s="1"/>
  <c r="F60" i="9"/>
  <c r="K657" i="2" s="1"/>
  <c r="F36" i="9"/>
  <c r="K306" i="2" s="1"/>
  <c r="L306" i="2" s="1"/>
  <c r="F37" i="9"/>
  <c r="K313" i="2" s="1"/>
  <c r="F28" i="9"/>
  <c r="K193" i="2" s="1"/>
  <c r="F46" i="9"/>
  <c r="K531" i="2" s="1"/>
  <c r="L531" i="2" s="1"/>
  <c r="F12" i="9"/>
  <c r="K51" i="2" s="1"/>
  <c r="F7" i="9"/>
  <c r="K24" i="2" s="1"/>
  <c r="L24" i="2" s="1"/>
  <c r="F15" i="9"/>
  <c r="K92" i="2" s="1"/>
  <c r="F13" i="9"/>
  <c r="K89" i="2" s="1"/>
  <c r="L89" i="2" s="1"/>
  <c r="F55" i="9"/>
  <c r="K613" i="2" s="1"/>
  <c r="F65" i="9"/>
  <c r="K678" i="2" s="1"/>
  <c r="L678" i="2" s="1"/>
  <c r="F45" i="9"/>
  <c r="K455" i="2" s="1"/>
  <c r="F25" i="9"/>
  <c r="K176" i="2" s="1"/>
  <c r="L176" i="2" s="1"/>
  <c r="F73" i="9"/>
  <c r="K714" i="2" s="1"/>
  <c r="L714" i="2" s="1"/>
  <c r="G22" i="3"/>
  <c r="A78" i="2" l="1"/>
  <c r="N78" i="2" s="1"/>
  <c r="A482" i="2"/>
  <c r="N482" i="2" s="1"/>
  <c r="A462" i="2"/>
  <c r="N462" i="2" s="1"/>
  <c r="A687" i="2"/>
  <c r="N687" i="2" s="1"/>
  <c r="A424" i="2"/>
  <c r="N424" i="2" s="1"/>
  <c r="A544" i="2"/>
  <c r="N544" i="2" s="1"/>
  <c r="A270" i="2"/>
  <c r="N270" i="2" s="1"/>
  <c r="A538" i="2"/>
  <c r="N538" i="2" s="1"/>
  <c r="A285" i="2"/>
  <c r="N285" i="2" s="1"/>
  <c r="A672" i="2"/>
  <c r="N672" i="2" s="1"/>
  <c r="A304" i="2"/>
  <c r="N304" i="2" s="1"/>
  <c r="A145" i="2"/>
  <c r="N145" i="2" s="1"/>
  <c r="A132" i="2"/>
  <c r="N132" i="2" s="1"/>
  <c r="A263" i="2"/>
  <c r="N263" i="2" s="1"/>
  <c r="A361" i="2"/>
  <c r="N361" i="2" s="1"/>
  <c r="A626" i="2"/>
  <c r="N626" i="2" s="1"/>
  <c r="A559" i="2"/>
  <c r="N559" i="2" s="1"/>
  <c r="A679" i="2"/>
  <c r="N679" i="2" s="1"/>
  <c r="A714" i="2"/>
  <c r="N714" i="2" s="1"/>
  <c r="A448" i="2"/>
  <c r="N448" i="2" s="1"/>
  <c r="A442" i="2"/>
  <c r="N442" i="2" s="1"/>
  <c r="A158" i="2"/>
  <c r="N158" i="2" s="1"/>
  <c r="A420" i="2"/>
  <c r="N420" i="2" s="1"/>
  <c r="A453" i="2"/>
  <c r="N453" i="2" s="1"/>
  <c r="A295" i="2"/>
  <c r="N295" i="2" s="1"/>
  <c r="A716" i="2"/>
  <c r="N716" i="2" s="1"/>
  <c r="A316" i="2"/>
  <c r="N316" i="2" s="1"/>
  <c r="A239" i="2"/>
  <c r="N239" i="2" s="1"/>
  <c r="A35" i="2"/>
  <c r="N35" i="2" s="1"/>
  <c r="A651" i="2"/>
  <c r="N651" i="2" s="1"/>
  <c r="A639" i="2"/>
  <c r="N639" i="2" s="1"/>
  <c r="A570" i="2"/>
  <c r="N570" i="2" s="1"/>
  <c r="A161" i="2"/>
  <c r="N161" i="2" s="1"/>
  <c r="A691" i="2"/>
  <c r="N691" i="2" s="1"/>
  <c r="A562" i="2"/>
  <c r="N562" i="2" s="1"/>
  <c r="A527" i="2"/>
  <c r="N527" i="2" s="1"/>
  <c r="A380" i="2"/>
  <c r="N380" i="2" s="1"/>
  <c r="A141" i="2"/>
  <c r="N141" i="2" s="1"/>
  <c r="A195" i="2"/>
  <c r="N195" i="2" s="1"/>
  <c r="A150" i="2"/>
  <c r="N150" i="2" s="1"/>
  <c r="A37" i="2"/>
  <c r="N37" i="2" s="1"/>
  <c r="A289" i="2"/>
  <c r="N289" i="2" s="1"/>
  <c r="A606" i="2"/>
  <c r="N606" i="2" s="1"/>
  <c r="A128" i="2"/>
  <c r="N128" i="2" s="1"/>
  <c r="A216" i="2"/>
  <c r="N216" i="2" s="1"/>
  <c r="A68" i="2"/>
  <c r="N68" i="2" s="1"/>
  <c r="A241" i="2"/>
  <c r="N241" i="2" s="1"/>
  <c r="A685" i="2"/>
  <c r="N685" i="2" s="1"/>
  <c r="A378" i="2"/>
  <c r="N378" i="2" s="1"/>
  <c r="A409" i="2"/>
  <c r="N409" i="2" s="1"/>
  <c r="A273" i="2"/>
  <c r="N273" i="2" s="1"/>
  <c r="A205" i="2"/>
  <c r="N205" i="2" s="1"/>
  <c r="A5" i="2"/>
  <c r="N5" i="2" s="1"/>
  <c r="A266" i="2"/>
  <c r="N266" i="2" s="1"/>
  <c r="A22" i="2"/>
  <c r="N22" i="2" s="1"/>
  <c r="A281" i="2"/>
  <c r="N281" i="2" s="1"/>
  <c r="A637" i="2"/>
  <c r="N637" i="2" s="1"/>
  <c r="A599" i="2"/>
  <c r="N599" i="2" s="1"/>
  <c r="A136" i="2"/>
  <c r="N136" i="2" s="1"/>
  <c r="A579" i="2"/>
  <c r="N579" i="2" s="1"/>
  <c r="A353" i="2"/>
  <c r="N353" i="2" s="1"/>
  <c r="A13" i="2"/>
  <c r="N13" i="2" s="1"/>
  <c r="A694" i="2"/>
  <c r="N694" i="2" s="1"/>
  <c r="A715" i="2"/>
  <c r="N715" i="2" s="1"/>
  <c r="A560" i="2"/>
  <c r="N560" i="2" s="1"/>
  <c r="A125" i="2"/>
  <c r="N125" i="2" s="1"/>
  <c r="A346" i="2"/>
  <c r="N346" i="2" s="1"/>
  <c r="A597" i="2"/>
  <c r="N597" i="2" s="1"/>
  <c r="A722" i="2"/>
  <c r="N722" i="2" s="1"/>
  <c r="A185" i="2"/>
  <c r="N185" i="2" s="1"/>
  <c r="A598" i="2"/>
  <c r="N598" i="2" s="1"/>
  <c r="A428" i="2"/>
  <c r="N428" i="2" s="1"/>
  <c r="A97" i="2"/>
  <c r="N97" i="2" s="1"/>
  <c r="A271" i="2"/>
  <c r="N271" i="2" s="1"/>
  <c r="A51" i="2"/>
  <c r="N51" i="2" s="1"/>
  <c r="L51" i="2"/>
  <c r="A549" i="2"/>
  <c r="N549" i="2" s="1"/>
  <c r="A561" i="2"/>
  <c r="N561" i="2" s="1"/>
  <c r="A658" i="2"/>
  <c r="N658" i="2" s="1"/>
  <c r="A319" i="2"/>
  <c r="N319" i="2" s="1"/>
  <c r="A36" i="2"/>
  <c r="N36" i="2" s="1"/>
  <c r="A256" i="2"/>
  <c r="N256" i="2" s="1"/>
  <c r="A188" i="2"/>
  <c r="N188" i="2" s="1"/>
  <c r="A290" i="2"/>
  <c r="N290" i="2" s="1"/>
  <c r="A349" i="2"/>
  <c r="N349" i="2" s="1"/>
  <c r="A45" i="2"/>
  <c r="N45" i="2" s="1"/>
  <c r="L183" i="2"/>
  <c r="A183" i="2"/>
  <c r="N183" i="2" s="1"/>
  <c r="A345" i="2"/>
  <c r="N345" i="2" s="1"/>
  <c r="A130" i="2"/>
  <c r="N130" i="2" s="1"/>
  <c r="A620" i="2"/>
  <c r="N620" i="2" s="1"/>
  <c r="A344" i="2"/>
  <c r="N344" i="2" s="1"/>
  <c r="L269" i="2"/>
  <c r="A269" i="2"/>
  <c r="N269" i="2" s="1"/>
  <c r="A342" i="2"/>
  <c r="N342" i="2" s="1"/>
  <c r="A91" i="2"/>
  <c r="N91" i="2" s="1"/>
  <c r="A292" i="2"/>
  <c r="N292" i="2" s="1"/>
  <c r="A667" i="2"/>
  <c r="N667" i="2" s="1"/>
  <c r="A332" i="2"/>
  <c r="N332" i="2" s="1"/>
  <c r="A614" i="2"/>
  <c r="N614" i="2" s="1"/>
  <c r="A645" i="2"/>
  <c r="N645" i="2" s="1"/>
  <c r="A517" i="2"/>
  <c r="N517" i="2" s="1"/>
  <c r="A623" i="2"/>
  <c r="N623" i="2" s="1"/>
  <c r="A457" i="2"/>
  <c r="N457" i="2" s="1"/>
  <c r="A189" i="2"/>
  <c r="N189" i="2" s="1"/>
  <c r="A616" i="2"/>
  <c r="N616" i="2" s="1"/>
  <c r="A137" i="2"/>
  <c r="N137" i="2" s="1"/>
  <c r="A558" i="2"/>
  <c r="N558" i="2" s="1"/>
  <c r="A148" i="2"/>
  <c r="N148" i="2" s="1"/>
  <c r="A655" i="2"/>
  <c r="N655" i="2" s="1"/>
  <c r="A297" i="2"/>
  <c r="N297" i="2" s="1"/>
  <c r="A182" i="2"/>
  <c r="N182" i="2" s="1"/>
  <c r="L92" i="2"/>
  <c r="A92" i="2"/>
  <c r="N92" i="2" s="1"/>
  <c r="L20" i="2"/>
  <c r="A226" i="2"/>
  <c r="N226" i="2" s="1"/>
  <c r="A331" i="2"/>
  <c r="N331" i="2" s="1"/>
  <c r="A415" i="2"/>
  <c r="N415" i="2" s="1"/>
  <c r="A499" i="2"/>
  <c r="N499" i="2" s="1"/>
  <c r="A713" i="2"/>
  <c r="N713" i="2" s="1"/>
  <c r="A220" i="2"/>
  <c r="N220" i="2" s="1"/>
  <c r="A583" i="2"/>
  <c r="N583" i="2" s="1"/>
  <c r="A123" i="2"/>
  <c r="N123" i="2" s="1"/>
  <c r="A321" i="2"/>
  <c r="N321" i="2" s="1"/>
  <c r="A305" i="2"/>
  <c r="N305" i="2" s="1"/>
  <c r="A601" i="2"/>
  <c r="N601" i="2" s="1"/>
  <c r="A34" i="2"/>
  <c r="N34" i="2" s="1"/>
  <c r="A468" i="2"/>
  <c r="N468" i="2" s="1"/>
  <c r="A627" i="2"/>
  <c r="N627" i="2" s="1"/>
  <c r="A441" i="2"/>
  <c r="N441" i="2" s="1"/>
  <c r="A95" i="2"/>
  <c r="N95" i="2" s="1"/>
  <c r="A101" i="2"/>
  <c r="N101" i="2" s="1"/>
  <c r="A625" i="2"/>
  <c r="N625" i="2" s="1"/>
  <c r="A288" i="2"/>
  <c r="N288" i="2" s="1"/>
  <c r="A581" i="2"/>
  <c r="N581" i="2" s="1"/>
  <c r="A390" i="2"/>
  <c r="N390" i="2" s="1"/>
  <c r="A422" i="2"/>
  <c r="N422" i="2" s="1"/>
  <c r="A318" i="2"/>
  <c r="N318" i="2" s="1"/>
  <c r="A500" i="2"/>
  <c r="N500" i="2" s="1"/>
  <c r="A554" i="2"/>
  <c r="N554" i="2" s="1"/>
  <c r="A335" i="2"/>
  <c r="N335" i="2" s="1"/>
  <c r="A187" i="2"/>
  <c r="N187" i="2" s="1"/>
  <c r="A255" i="2"/>
  <c r="N255" i="2" s="1"/>
  <c r="A176" i="2"/>
  <c r="N176" i="2" s="1"/>
  <c r="A464" i="2"/>
  <c r="N464" i="2" s="1"/>
  <c r="A223" i="2"/>
  <c r="N223" i="2" s="1"/>
  <c r="A678" i="2"/>
  <c r="N678" i="2" s="1"/>
  <c r="A697" i="2"/>
  <c r="N697" i="2" s="1"/>
  <c r="A105" i="2"/>
  <c r="N105" i="2" s="1"/>
  <c r="A526" i="2"/>
  <c r="N526" i="2" s="1"/>
  <c r="A80" i="2"/>
  <c r="N80" i="2" s="1"/>
  <c r="A700" i="2"/>
  <c r="N700" i="2" s="1"/>
  <c r="A405" i="2"/>
  <c r="N405" i="2" s="1"/>
  <c r="A381" i="2"/>
  <c r="N381" i="2" s="1"/>
  <c r="A48" i="2"/>
  <c r="N48" i="2" s="1"/>
  <c r="A449" i="2"/>
  <c r="N449" i="2" s="1"/>
  <c r="A296" i="2"/>
  <c r="N296" i="2" s="1"/>
  <c r="A245" i="2"/>
  <c r="N245" i="2" s="1"/>
  <c r="A610" i="2"/>
  <c r="N610" i="2" s="1"/>
  <c r="A218" i="2"/>
  <c r="N218" i="2" s="1"/>
  <c r="A274" i="2"/>
  <c r="N274" i="2" s="1"/>
  <c r="A201" i="2"/>
  <c r="N201" i="2" s="1"/>
  <c r="A49" i="2"/>
  <c r="N49" i="2" s="1"/>
  <c r="A692" i="2"/>
  <c r="N692" i="2" s="1"/>
  <c r="A602" i="2"/>
  <c r="N602" i="2" s="1"/>
  <c r="A712" i="2"/>
  <c r="N712" i="2" s="1"/>
  <c r="A725" i="2"/>
  <c r="N725" i="2" s="1"/>
  <c r="A374" i="2"/>
  <c r="N374" i="2" s="1"/>
  <c r="A301" i="2"/>
  <c r="N301" i="2" s="1"/>
  <c r="A717" i="2"/>
  <c r="N717" i="2" s="1"/>
  <c r="A404" i="2"/>
  <c r="N404" i="2" s="1"/>
  <c r="A653" i="2"/>
  <c r="N653" i="2" s="1"/>
  <c r="A228" i="2"/>
  <c r="N228" i="2" s="1"/>
  <c r="A471" i="2"/>
  <c r="N471" i="2" s="1"/>
  <c r="A253" i="2"/>
  <c r="N253" i="2" s="1"/>
  <c r="A495" i="2"/>
  <c r="N495" i="2" s="1"/>
  <c r="A328" i="2"/>
  <c r="N328" i="2" s="1"/>
  <c r="A529" i="2"/>
  <c r="N529" i="2" s="1"/>
  <c r="A327" i="2"/>
  <c r="N327" i="2" s="1"/>
  <c r="A534" i="2"/>
  <c r="N534" i="2" s="1"/>
  <c r="A25" i="2"/>
  <c r="N25" i="2" s="1"/>
  <c r="A326" i="2"/>
  <c r="N326" i="2" s="1"/>
  <c r="A516" i="2"/>
  <c r="N516" i="2" s="1"/>
  <c r="A109" i="2"/>
  <c r="N109" i="2" s="1"/>
  <c r="A232" i="2"/>
  <c r="N232" i="2" s="1"/>
  <c r="A494" i="2"/>
  <c r="N494" i="2" s="1"/>
  <c r="A339" i="2"/>
  <c r="N339" i="2" s="1"/>
  <c r="A646" i="2"/>
  <c r="N646" i="2" s="1"/>
  <c r="A203" i="2"/>
  <c r="N203" i="2" s="1"/>
  <c r="A419" i="2"/>
  <c r="N419" i="2" s="1"/>
  <c r="A463" i="2"/>
  <c r="N463" i="2" s="1"/>
  <c r="A564" i="2"/>
  <c r="N564" i="2" s="1"/>
  <c r="A619" i="2"/>
  <c r="N619" i="2" s="1"/>
  <c r="A530" i="2"/>
  <c r="N530" i="2" s="1"/>
  <c r="A89" i="2"/>
  <c r="N89" i="2" s="1"/>
  <c r="A383" i="2"/>
  <c r="N383" i="2" s="1"/>
  <c r="A369" i="2"/>
  <c r="N369" i="2" s="1"/>
  <c r="A209" i="2"/>
  <c r="N209" i="2" s="1"/>
  <c r="A215" i="2"/>
  <c r="N215" i="2" s="1"/>
  <c r="A436" i="2"/>
  <c r="N436" i="2" s="1"/>
  <c r="A87" i="2"/>
  <c r="N87" i="2" s="1"/>
  <c r="A429" i="2"/>
  <c r="N429" i="2" s="1"/>
  <c r="A42" i="2"/>
  <c r="N42" i="2" s="1"/>
  <c r="A337" i="2"/>
  <c r="N337" i="2" s="1"/>
  <c r="A596" i="2"/>
  <c r="N596" i="2" s="1"/>
  <c r="A506" i="2"/>
  <c r="N506" i="2" s="1"/>
  <c r="A660" i="2"/>
  <c r="N660" i="2" s="1"/>
  <c r="A647" i="2"/>
  <c r="N647" i="2" s="1"/>
  <c r="A240" i="2"/>
  <c r="N240" i="2" s="1"/>
  <c r="A688" i="2"/>
  <c r="N688" i="2" s="1"/>
  <c r="A207" i="2"/>
  <c r="N207" i="2" s="1"/>
  <c r="A466" i="2"/>
  <c r="N466" i="2" s="1"/>
  <c r="A143" i="2"/>
  <c r="N143" i="2" s="1"/>
  <c r="A385" i="2"/>
  <c r="N385" i="2" s="1"/>
  <c r="A212" i="2"/>
  <c r="N212" i="2" s="1"/>
  <c r="A151" i="2"/>
  <c r="N151" i="2" s="1"/>
  <c r="A196" i="2"/>
  <c r="N196" i="2" s="1"/>
  <c r="A661" i="2"/>
  <c r="N661" i="2" s="1"/>
  <c r="A556" i="2"/>
  <c r="N556" i="2" s="1"/>
  <c r="A111" i="2"/>
  <c r="N111" i="2" s="1"/>
  <c r="A705" i="2"/>
  <c r="N705" i="2" s="1"/>
  <c r="A93" i="2"/>
  <c r="N93" i="2" s="1"/>
  <c r="A350" i="2"/>
  <c r="N350" i="2" s="1"/>
  <c r="A341" i="2"/>
  <c r="N341" i="2" s="1"/>
  <c r="A552" i="2"/>
  <c r="N552" i="2" s="1"/>
  <c r="A476" i="2"/>
  <c r="N476" i="2" s="1"/>
  <c r="A669" i="2"/>
  <c r="N669" i="2" s="1"/>
  <c r="A88" i="2"/>
  <c r="N88" i="2" s="1"/>
  <c r="A58" i="2"/>
  <c r="N58" i="2" s="1"/>
  <c r="A84" i="2"/>
  <c r="N84" i="2" s="1"/>
  <c r="A605" i="2"/>
  <c r="N605" i="2" s="1"/>
  <c r="A362" i="2"/>
  <c r="N362" i="2" s="1"/>
  <c r="A618" i="2"/>
  <c r="N618" i="2" s="1"/>
  <c r="A638" i="2"/>
  <c r="N638" i="2" s="1"/>
  <c r="A662" i="2"/>
  <c r="N662" i="2" s="1"/>
  <c r="A577" i="2"/>
  <c r="N577" i="2" s="1"/>
  <c r="A607" i="2"/>
  <c r="N607" i="2" s="1"/>
  <c r="A140" i="2"/>
  <c r="N140" i="2" s="1"/>
  <c r="A469" i="2"/>
  <c r="N469" i="2" s="1"/>
  <c r="A72" i="2"/>
  <c r="N72" i="2" s="1"/>
  <c r="A488" i="2"/>
  <c r="N488" i="2" s="1"/>
  <c r="A590" i="2"/>
  <c r="N590" i="2" s="1"/>
  <c r="A293" i="2"/>
  <c r="N293" i="2" s="1"/>
  <c r="A62" i="2"/>
  <c r="N62" i="2" s="1"/>
  <c r="A174" i="2"/>
  <c r="N174" i="2" s="1"/>
  <c r="A454" i="2"/>
  <c r="N454" i="2" s="1"/>
  <c r="A251" i="2"/>
  <c r="N251" i="2" s="1"/>
  <c r="A323" i="2"/>
  <c r="N323" i="2" s="1"/>
  <c r="A578" i="2"/>
  <c r="N578" i="2" s="1"/>
  <c r="A190" i="2"/>
  <c r="N190" i="2" s="1"/>
  <c r="A306" i="2"/>
  <c r="N306" i="2" s="1"/>
  <c r="A437" i="2"/>
  <c r="N437" i="2" s="1"/>
  <c r="A477" i="2"/>
  <c r="N477" i="2" s="1"/>
  <c r="A16" i="2"/>
  <c r="N16" i="2" s="1"/>
  <c r="A99" i="2"/>
  <c r="N99" i="2" s="1"/>
  <c r="A50" i="2"/>
  <c r="N50" i="2" s="1"/>
  <c r="A586" i="2"/>
  <c r="N586" i="2" s="1"/>
  <c r="A423" i="2"/>
  <c r="N423" i="2" s="1"/>
  <c r="A389" i="2"/>
  <c r="N389" i="2" s="1"/>
  <c r="A400" i="2"/>
  <c r="N400" i="2" s="1"/>
  <c r="A478" i="2"/>
  <c r="N478" i="2" s="1"/>
  <c r="A648" i="2"/>
  <c r="N648" i="2" s="1"/>
  <c r="A197" i="2"/>
  <c r="N197" i="2" s="1"/>
  <c r="A94" i="2"/>
  <c r="N94" i="2" s="1"/>
  <c r="A492" i="2"/>
  <c r="N492" i="2" s="1"/>
  <c r="A486" i="2"/>
  <c r="N486" i="2" s="1"/>
  <c r="A591" i="2"/>
  <c r="N591" i="2" s="1"/>
  <c r="A219" i="2"/>
  <c r="N219" i="2" s="1"/>
  <c r="A407" i="2"/>
  <c r="N407" i="2" s="1"/>
  <c r="A134" i="2"/>
  <c r="N134" i="2" s="1"/>
  <c r="A587" i="2"/>
  <c r="N587" i="2" s="1"/>
  <c r="A363" i="2"/>
  <c r="N363" i="2" s="1"/>
  <c r="A113" i="2"/>
  <c r="N113" i="2" s="1"/>
  <c r="A515" i="2"/>
  <c r="N515" i="2" s="1"/>
  <c r="A18" i="2"/>
  <c r="N18" i="2" s="1"/>
  <c r="A553" i="2"/>
  <c r="N553" i="2" s="1"/>
  <c r="A252" i="2"/>
  <c r="N252" i="2" s="1"/>
  <c r="A459" i="2"/>
  <c r="N459" i="2" s="1"/>
  <c r="A358" i="2"/>
  <c r="N358" i="2" s="1"/>
  <c r="A298" i="2"/>
  <c r="N298" i="2" s="1"/>
  <c r="A44" i="2"/>
  <c r="N44" i="2" s="1"/>
  <c r="A719" i="2"/>
  <c r="N719" i="2" s="1"/>
  <c r="A575" i="2"/>
  <c r="N575" i="2" s="1"/>
  <c r="A460" i="2"/>
  <c r="N460" i="2" s="1"/>
  <c r="A686" i="2"/>
  <c r="N686" i="2" s="1"/>
  <c r="A124" i="2"/>
  <c r="N124" i="2" s="1"/>
  <c r="A546" i="2"/>
  <c r="N546" i="2" s="1"/>
  <c r="A399" i="2"/>
  <c r="N399" i="2" s="1"/>
  <c r="A630" i="2"/>
  <c r="N630" i="2" s="1"/>
  <c r="A640" i="2"/>
  <c r="N640" i="2" s="1"/>
  <c r="A156" i="2"/>
  <c r="N156" i="2" s="1"/>
  <c r="A279" i="2"/>
  <c r="N279" i="2" s="1"/>
  <c r="A649" i="2"/>
  <c r="N649" i="2" s="1"/>
  <c r="A539" i="2"/>
  <c r="N539" i="2" s="1"/>
  <c r="A615" i="2"/>
  <c r="N615" i="2" s="1"/>
  <c r="A588" i="2"/>
  <c r="N588" i="2" s="1"/>
  <c r="A622" i="2"/>
  <c r="N622" i="2" s="1"/>
  <c r="A720" i="2"/>
  <c r="N720" i="2" s="1"/>
  <c r="A112" i="2"/>
  <c r="N112" i="2" s="1"/>
  <c r="A119" i="2"/>
  <c r="N119" i="2" s="1"/>
  <c r="A336" i="2"/>
  <c r="N336" i="2" s="1"/>
  <c r="A354" i="2"/>
  <c r="N354" i="2" s="1"/>
  <c r="A548" i="2"/>
  <c r="N548" i="2" s="1"/>
  <c r="A66" i="2"/>
  <c r="N66" i="2" s="1"/>
  <c r="A642" i="2"/>
  <c r="N642" i="2" s="1"/>
  <c r="A282" i="2"/>
  <c r="N282" i="2" s="1"/>
  <c r="A312" i="2"/>
  <c r="N312" i="2" s="1"/>
  <c r="A310" i="2"/>
  <c r="N310" i="2" s="1"/>
  <c r="A668" i="2"/>
  <c r="N668" i="2" s="1"/>
  <c r="A139" i="2"/>
  <c r="N139" i="2" s="1"/>
  <c r="A708" i="2"/>
  <c r="N708" i="2" s="1"/>
  <c r="A75" i="2"/>
  <c r="N75" i="2" s="1"/>
  <c r="A254" i="2"/>
  <c r="N254" i="2" s="1"/>
  <c r="A504" i="2"/>
  <c r="N504" i="2" s="1"/>
  <c r="A568" i="2"/>
  <c r="N568" i="2" s="1"/>
  <c r="A31" i="2"/>
  <c r="N31" i="2" s="1"/>
  <c r="A636" i="2"/>
  <c r="N636" i="2" s="1"/>
  <c r="A401" i="2"/>
  <c r="N401" i="2" s="1"/>
  <c r="A7" i="2"/>
  <c r="N7" i="2" s="1"/>
  <c r="A38" i="2"/>
  <c r="N38" i="2" s="1"/>
  <c r="A689" i="2"/>
  <c r="N689" i="2" s="1"/>
  <c r="A79" i="2"/>
  <c r="N79" i="2" s="1"/>
  <c r="A330" i="2"/>
  <c r="N330" i="2" s="1"/>
  <c r="A355" i="2"/>
  <c r="N355" i="2" s="1"/>
  <c r="A418" i="2"/>
  <c r="N418" i="2" s="1"/>
  <c r="A56" i="2"/>
  <c r="N56" i="2" s="1"/>
  <c r="A493" i="2"/>
  <c r="N493" i="2" s="1"/>
  <c r="A533" i="2"/>
  <c r="N533" i="2" s="1"/>
  <c r="A166" i="2"/>
  <c r="N166" i="2" s="1"/>
  <c r="A695" i="2"/>
  <c r="N695" i="2" s="1"/>
  <c r="A604" i="2"/>
  <c r="N604" i="2" s="1"/>
  <c r="A443" i="2"/>
  <c r="N443" i="2" s="1"/>
  <c r="A643" i="2"/>
  <c r="N643" i="2" s="1"/>
  <c r="A347" i="2"/>
  <c r="N347" i="2" s="1"/>
  <c r="A63" i="2"/>
  <c r="N63" i="2" s="1"/>
  <c r="A202" i="2"/>
  <c r="N202" i="2" s="1"/>
  <c r="A28" i="2"/>
  <c r="N28" i="2" s="1"/>
  <c r="A26" i="2"/>
  <c r="N26" i="2" s="1"/>
  <c r="A595" i="2"/>
  <c r="N595" i="2" s="1"/>
  <c r="A690" i="2"/>
  <c r="N690" i="2" s="1"/>
  <c r="A372" i="2"/>
  <c r="N372" i="2" s="1"/>
  <c r="A294" i="2"/>
  <c r="N294" i="2" s="1"/>
  <c r="A545" i="2"/>
  <c r="N545" i="2" s="1"/>
  <c r="A338" i="2"/>
  <c r="N338" i="2" s="1"/>
  <c r="A439" i="2"/>
  <c r="N439" i="2" s="1"/>
  <c r="A501" i="2"/>
  <c r="N501" i="2" s="1"/>
  <c r="A665" i="2"/>
  <c r="N665" i="2" s="1"/>
  <c r="A243" i="2"/>
  <c r="N243" i="2" s="1"/>
  <c r="A307" i="2"/>
  <c r="N307" i="2" s="1"/>
  <c r="A438" i="2"/>
  <c r="N438" i="2" s="1"/>
  <c r="A102" i="2"/>
  <c r="N102" i="2" s="1"/>
  <c r="A387" i="2"/>
  <c r="N387" i="2" s="1"/>
  <c r="A393" i="2"/>
  <c r="N393" i="2" s="1"/>
  <c r="A395" i="2"/>
  <c r="N395" i="2" s="1"/>
  <c r="A302" i="2"/>
  <c r="N302" i="2" s="1"/>
  <c r="A284" i="2"/>
  <c r="N284" i="2" s="1"/>
  <c r="A585" i="2"/>
  <c r="N585" i="2" s="1"/>
  <c r="A104" i="2"/>
  <c r="N104" i="2" s="1"/>
  <c r="A6" i="2"/>
  <c r="N6" i="2" s="1"/>
  <c r="A411" i="2"/>
  <c r="N411" i="2" s="1"/>
  <c r="A177" i="2"/>
  <c r="N177" i="2" s="1"/>
  <c r="A41" i="2"/>
  <c r="N41" i="2" s="1"/>
  <c r="A231" i="2"/>
  <c r="N231" i="2" s="1"/>
  <c r="A20" i="2"/>
  <c r="N20" i="2" s="1"/>
  <c r="A98" i="2"/>
  <c r="N98" i="2" s="1"/>
  <c r="A677" i="2"/>
  <c r="N677" i="2" s="1"/>
  <c r="A497" i="2"/>
  <c r="N497" i="2" s="1"/>
  <c r="A43" i="2"/>
  <c r="N43" i="2" s="1"/>
  <c r="A249" i="2"/>
  <c r="N249" i="2" s="1"/>
  <c r="A522" i="2"/>
  <c r="N522" i="2" s="1"/>
  <c r="A60" i="2"/>
  <c r="N60" i="2" s="1"/>
  <c r="A242" i="2"/>
  <c r="N242" i="2" s="1"/>
  <c r="A17" i="2"/>
  <c r="N17" i="2" s="1"/>
  <c r="A537" i="2"/>
  <c r="N537" i="2" s="1"/>
  <c r="A264" i="2"/>
  <c r="N264" i="2" s="1"/>
  <c r="A574" i="2"/>
  <c r="N574" i="2" s="1"/>
  <c r="A709" i="2"/>
  <c r="N709" i="2" s="1"/>
  <c r="A384" i="2"/>
  <c r="N384" i="2" s="1"/>
  <c r="A489" i="2"/>
  <c r="N489" i="2" s="1"/>
  <c r="A461" i="2"/>
  <c r="N461" i="2" s="1"/>
  <c r="A584" i="2"/>
  <c r="N584" i="2" s="1"/>
  <c r="A260" i="2"/>
  <c r="N260" i="2" s="1"/>
  <c r="A589" i="2"/>
  <c r="N589" i="2" s="1"/>
  <c r="A680" i="2"/>
  <c r="N680" i="2" s="1"/>
  <c r="A427" i="2"/>
  <c r="N427" i="2" s="1"/>
  <c r="A129" i="2"/>
  <c r="N129" i="2" s="1"/>
  <c r="A650" i="2"/>
  <c r="N650" i="2" s="1"/>
  <c r="A379" i="2"/>
  <c r="N379" i="2" s="1"/>
  <c r="A233" i="2"/>
  <c r="N233" i="2" s="1"/>
  <c r="A531" i="2"/>
  <c r="N531" i="2" s="1"/>
  <c r="A234" i="2"/>
  <c r="N234" i="2" s="1"/>
  <c r="A644" i="2"/>
  <c r="N644" i="2" s="1"/>
  <c r="A458" i="2"/>
  <c r="N458" i="2" s="1"/>
  <c r="A391" i="2"/>
  <c r="N391" i="2" s="1"/>
  <c r="A144" i="2"/>
  <c r="N144" i="2" s="1"/>
  <c r="A392" i="2"/>
  <c r="N392" i="2" s="1"/>
  <c r="A502" i="2"/>
  <c r="N502" i="2" s="1"/>
  <c r="A167" i="2"/>
  <c r="N167" i="2" s="1"/>
  <c r="A168" i="2"/>
  <c r="N168" i="2" s="1"/>
  <c r="A573" i="2"/>
  <c r="N573" i="2" s="1"/>
  <c r="A248" i="2"/>
  <c r="N248" i="2" s="1"/>
  <c r="A225" i="2"/>
  <c r="N225" i="2" s="1"/>
  <c r="A61" i="2"/>
  <c r="N61" i="2" s="1"/>
  <c r="A108" i="2"/>
  <c r="N108" i="2" s="1"/>
  <c r="A472" i="2"/>
  <c r="N472" i="2" s="1"/>
  <c r="A299" i="2"/>
  <c r="N299" i="2" s="1"/>
  <c r="A211" i="2"/>
  <c r="N211" i="2" s="1"/>
  <c r="A532" i="2"/>
  <c r="N532" i="2" s="1"/>
  <c r="A398" i="2"/>
  <c r="N398" i="2" s="1"/>
  <c r="A11" i="2"/>
  <c r="N11" i="2" s="1"/>
  <c r="A524" i="2"/>
  <c r="N524" i="2" s="1"/>
  <c r="A450" i="2"/>
  <c r="N450" i="2" s="1"/>
  <c r="A221" i="2"/>
  <c r="N221" i="2" s="1"/>
  <c r="A324" i="2"/>
  <c r="N324" i="2" s="1"/>
  <c r="A624" i="2"/>
  <c r="N624" i="2" s="1"/>
  <c r="A360" i="2"/>
  <c r="N360" i="2" s="1"/>
  <c r="A367" i="2"/>
  <c r="N367" i="2" s="1"/>
  <c r="A663" i="2"/>
  <c r="N663" i="2" s="1"/>
  <c r="A54" i="2"/>
  <c r="N54" i="2" s="1"/>
  <c r="A518" i="2"/>
  <c r="N518" i="2" s="1"/>
  <c r="A397" i="2"/>
  <c r="N397" i="2" s="1"/>
  <c r="A329" i="2"/>
  <c r="N329" i="2" s="1"/>
  <c r="A194" i="2"/>
  <c r="N194" i="2" s="1"/>
  <c r="A322" i="2"/>
  <c r="N322" i="2" s="1"/>
  <c r="A593" i="2"/>
  <c r="N593" i="2" s="1"/>
  <c r="A291" i="2"/>
  <c r="N291" i="2" s="1"/>
  <c r="A179" i="2"/>
  <c r="N179" i="2" s="1"/>
  <c r="A126" i="2"/>
  <c r="N126" i="2" s="1"/>
  <c r="A394" i="2"/>
  <c r="N394" i="2" s="1"/>
  <c r="A85" i="2"/>
  <c r="N85" i="2" s="1"/>
  <c r="A163" i="2"/>
  <c r="N163" i="2" s="1"/>
  <c r="A421" i="2"/>
  <c r="N421" i="2" s="1"/>
  <c r="A368" i="2"/>
  <c r="N368" i="2" s="1"/>
  <c r="A481" i="2"/>
  <c r="N481" i="2" s="1"/>
  <c r="A52" i="2"/>
  <c r="N52" i="2" s="1"/>
  <c r="A106" i="2"/>
  <c r="N106" i="2" s="1"/>
  <c r="A178" i="2"/>
  <c r="N178" i="2" s="1"/>
  <c r="A267" i="2"/>
  <c r="N267" i="2" s="1"/>
  <c r="A542" i="2"/>
  <c r="N542" i="2" s="1"/>
  <c r="A711" i="2"/>
  <c r="N711" i="2" s="1"/>
  <c r="A365" i="2"/>
  <c r="N365" i="2" s="1"/>
  <c r="A82" i="2"/>
  <c r="N82" i="2" s="1"/>
  <c r="A57" i="2"/>
  <c r="N57" i="2" s="1"/>
  <c r="A659" i="2"/>
  <c r="N659" i="2" s="1"/>
  <c r="A580" i="2"/>
  <c r="N580" i="2" s="1"/>
  <c r="A191" i="2"/>
  <c r="N191" i="2" s="1"/>
  <c r="A214" i="2"/>
  <c r="N214" i="2" s="1"/>
  <c r="A10" i="2"/>
  <c r="N10" i="2" s="1"/>
  <c r="A213" i="2"/>
  <c r="N213" i="2" s="1"/>
  <c r="A513" i="2"/>
  <c r="N513" i="2" s="1"/>
  <c r="A86" i="2"/>
  <c r="N86" i="2" s="1"/>
  <c r="A53" i="2"/>
  <c r="N53" i="2" s="1"/>
  <c r="A371" i="2"/>
  <c r="N371" i="2" s="1"/>
  <c r="A173" i="2"/>
  <c r="N173" i="2" s="1"/>
  <c r="A702" i="2"/>
  <c r="N702" i="2" s="1"/>
  <c r="A551" i="2"/>
  <c r="N551" i="2" s="1"/>
  <c r="A701" i="2"/>
  <c r="N701" i="2" s="1"/>
  <c r="A357" i="2"/>
  <c r="N357" i="2" s="1"/>
  <c r="A410" i="2"/>
  <c r="N410" i="2" s="1"/>
  <c r="A447" i="2"/>
  <c r="N447" i="2" s="1"/>
  <c r="A396" i="2"/>
  <c r="N396" i="2" s="1"/>
  <c r="A675" i="2"/>
  <c r="N675" i="2" s="1"/>
  <c r="A569" i="2"/>
  <c r="N569" i="2" s="1"/>
  <c r="A633" i="2"/>
  <c r="N633" i="2" s="1"/>
  <c r="A703" i="2"/>
  <c r="N703" i="2" s="1"/>
  <c r="A540" i="2"/>
  <c r="N540" i="2" s="1"/>
  <c r="A535" i="2"/>
  <c r="N535" i="2" s="1"/>
  <c r="A521" i="2"/>
  <c r="N521" i="2" s="1"/>
  <c r="A169" i="2"/>
  <c r="N169" i="2" s="1"/>
  <c r="A557" i="2"/>
  <c r="N557" i="2" s="1"/>
  <c r="A308" i="2"/>
  <c r="N308" i="2" s="1"/>
  <c r="A77" i="2"/>
  <c r="N77" i="2" s="1"/>
  <c r="A154" i="2"/>
  <c r="N154" i="2" s="1"/>
  <c r="A246" i="2"/>
  <c r="N246" i="2" s="1"/>
  <c r="A479" i="2"/>
  <c r="N479" i="2" s="1"/>
  <c r="A505" i="2"/>
  <c r="N505" i="2" s="1"/>
  <c r="A631" i="2"/>
  <c r="N631" i="2" s="1"/>
  <c r="A698" i="2"/>
  <c r="N698" i="2" s="1"/>
  <c r="A152" i="2"/>
  <c r="N152" i="2" s="1"/>
  <c r="L543" i="2"/>
  <c r="A543" i="2"/>
  <c r="N543" i="2" s="1"/>
  <c r="L162" i="2"/>
  <c r="A162" i="2"/>
  <c r="N162" i="2" s="1"/>
  <c r="L237" i="2"/>
  <c r="A237" i="2"/>
  <c r="N237" i="2" s="1"/>
  <c r="L149" i="2"/>
  <c r="A149" i="2"/>
  <c r="N149" i="2" s="1"/>
  <c r="A155" i="2"/>
  <c r="N155" i="2" s="1"/>
  <c r="A76" i="2"/>
  <c r="N76" i="2" s="1"/>
  <c r="A317" i="2"/>
  <c r="N317" i="2" s="1"/>
  <c r="A180" i="2"/>
  <c r="N180" i="2" s="1"/>
  <c r="A366" i="2"/>
  <c r="N366" i="2" s="1"/>
  <c r="A208" i="2"/>
  <c r="N208" i="2" s="1"/>
  <c r="A277" i="2"/>
  <c r="N277" i="2" s="1"/>
  <c r="A525" i="2"/>
  <c r="N525" i="2" s="1"/>
  <c r="A432" i="2"/>
  <c r="N432" i="2" s="1"/>
  <c r="A475" i="2"/>
  <c r="N475" i="2" s="1"/>
  <c r="A402" i="2"/>
  <c r="N402" i="2" s="1"/>
  <c r="A171" i="2"/>
  <c r="N171" i="2" s="1"/>
  <c r="A507" i="2"/>
  <c r="N507" i="2" s="1"/>
  <c r="A382" i="2"/>
  <c r="N382" i="2" s="1"/>
  <c r="A628" i="2"/>
  <c r="N628" i="2" s="1"/>
  <c r="A485" i="2"/>
  <c r="N485" i="2" s="1"/>
  <c r="A40" i="2"/>
  <c r="N40" i="2" s="1"/>
  <c r="A115" i="2"/>
  <c r="N115" i="2" s="1"/>
  <c r="A364" i="2"/>
  <c r="N364" i="2" s="1"/>
  <c r="A666" i="2"/>
  <c r="N666" i="2" s="1"/>
  <c r="A718" i="2"/>
  <c r="N718" i="2" s="1"/>
  <c r="A707" i="2"/>
  <c r="N707" i="2" s="1"/>
  <c r="L19" i="2"/>
  <c r="A272" i="2"/>
  <c r="N272" i="2" s="1"/>
  <c r="A359" i="2"/>
  <c r="N359" i="2" s="1"/>
  <c r="A96" i="2"/>
  <c r="N96" i="2" s="1"/>
  <c r="A265" i="2"/>
  <c r="N265" i="2" s="1"/>
  <c r="A536" i="2"/>
  <c r="N536" i="2" s="1"/>
  <c r="A446" i="2"/>
  <c r="N446" i="2" s="1"/>
  <c r="A696" i="2"/>
  <c r="N696" i="2" s="1"/>
  <c r="A278" i="2"/>
  <c r="N278" i="2" s="1"/>
  <c r="A408" i="2"/>
  <c r="N408" i="2" s="1"/>
  <c r="A634" i="2"/>
  <c r="N634" i="2" s="1"/>
  <c r="A311" i="2"/>
  <c r="N311" i="2" s="1"/>
  <c r="A512" i="2"/>
  <c r="N512" i="2" s="1"/>
  <c r="A29" i="2"/>
  <c r="N29" i="2" s="1"/>
  <c r="A47" i="2"/>
  <c r="N47" i="2" s="1"/>
  <c r="A629" i="2"/>
  <c r="N629" i="2" s="1"/>
  <c r="A510" i="2"/>
  <c r="N510" i="2" s="1"/>
  <c r="A431" i="2"/>
  <c r="N431" i="2" s="1"/>
  <c r="A465" i="2"/>
  <c r="N465" i="2" s="1"/>
  <c r="A480" i="2"/>
  <c r="N480" i="2" s="1"/>
  <c r="A370" i="2"/>
  <c r="N370" i="2" s="1"/>
  <c r="A356" i="2"/>
  <c r="N356" i="2" s="1"/>
  <c r="A541" i="2"/>
  <c r="N541" i="2" s="1"/>
  <c r="A27" i="2"/>
  <c r="N27" i="2" s="1"/>
  <c r="A681" i="2"/>
  <c r="N681" i="2" s="1"/>
  <c r="A238" i="2"/>
  <c r="N238" i="2" s="1"/>
  <c r="A490" i="2"/>
  <c r="N490" i="2" s="1"/>
  <c r="A286" i="2"/>
  <c r="N286" i="2" s="1"/>
  <c r="A2" i="2"/>
  <c r="N2" i="2" s="1"/>
  <c r="A473" i="2"/>
  <c r="N473" i="2" s="1"/>
  <c r="A19" i="2"/>
  <c r="N19" i="2" s="1"/>
  <c r="A259" i="2"/>
  <c r="N259" i="2" s="1"/>
  <c r="A121" i="2"/>
  <c r="N121" i="2" s="1"/>
  <c r="A146" i="2"/>
  <c r="N146" i="2" s="1"/>
  <c r="A70" i="2"/>
  <c r="N70" i="2" s="1"/>
  <c r="A268" i="2"/>
  <c r="N268" i="2" s="1"/>
  <c r="A160" i="2"/>
  <c r="N160" i="2" s="1"/>
  <c r="A403" i="2"/>
  <c r="N403" i="2" s="1"/>
  <c r="A451" i="2"/>
  <c r="N451" i="2" s="1"/>
  <c r="A222" i="2"/>
  <c r="N222" i="2" s="1"/>
  <c r="A670" i="2"/>
  <c r="N670" i="2" s="1"/>
  <c r="A280" i="2"/>
  <c r="N280" i="2" s="1"/>
  <c r="A3" i="2"/>
  <c r="N3" i="2" s="1"/>
  <c r="A186" i="2"/>
  <c r="N186" i="2" s="1"/>
  <c r="A487" i="2"/>
  <c r="N487" i="2" s="1"/>
  <c r="A528" i="2"/>
  <c r="N528" i="2" s="1"/>
  <c r="A496" i="2"/>
  <c r="N496" i="2" s="1"/>
  <c r="A444" i="2"/>
  <c r="N444" i="2" s="1"/>
  <c r="A710" i="2"/>
  <c r="N710" i="2" s="1"/>
  <c r="A250" i="2"/>
  <c r="N250" i="2" s="1"/>
  <c r="A414" i="2"/>
  <c r="N414" i="2" s="1"/>
  <c r="A247" i="2"/>
  <c r="N247" i="2" s="1"/>
  <c r="A413" i="2"/>
  <c r="N413" i="2" s="1"/>
  <c r="A632" i="2"/>
  <c r="N632" i="2" s="1"/>
  <c r="A303" i="2"/>
  <c r="N303" i="2" s="1"/>
  <c r="A165" i="2"/>
  <c r="N165" i="2" s="1"/>
  <c r="A81" i="2"/>
  <c r="N81" i="2" s="1"/>
  <c r="A343" i="2"/>
  <c r="N343" i="2" s="1"/>
  <c r="A46" i="2"/>
  <c r="N46" i="2" s="1"/>
  <c r="A388" i="2"/>
  <c r="N388" i="2" s="1"/>
  <c r="A483" i="2"/>
  <c r="N483" i="2" s="1"/>
  <c r="A550" i="2"/>
  <c r="N550" i="2" s="1"/>
  <c r="A600" i="2"/>
  <c r="N600" i="2" s="1"/>
  <c r="A314" i="2"/>
  <c r="N314" i="2" s="1"/>
  <c r="A635" i="2"/>
  <c r="N635" i="2" s="1"/>
  <c r="A434" i="2"/>
  <c r="N434" i="2" s="1"/>
  <c r="A351" i="2"/>
  <c r="N351" i="2" s="1"/>
  <c r="A565" i="2"/>
  <c r="N565" i="2" s="1"/>
  <c r="A425" i="2"/>
  <c r="N425" i="2" s="1"/>
  <c r="A325" i="2"/>
  <c r="N325" i="2" s="1"/>
  <c r="A257" i="2"/>
  <c r="N257" i="2" s="1"/>
  <c r="A198" i="2"/>
  <c r="N198" i="2" s="1"/>
  <c r="A135" i="2"/>
  <c r="N135" i="2" s="1"/>
  <c r="A73" i="2"/>
  <c r="N73" i="2" s="1"/>
  <c r="A258" i="2"/>
  <c r="N258" i="2" s="1"/>
  <c r="A275" i="2"/>
  <c r="N275" i="2" s="1"/>
  <c r="A352" i="2"/>
  <c r="N352" i="2" s="1"/>
  <c r="A15" i="2"/>
  <c r="N15" i="2" s="1"/>
  <c r="A262" i="2"/>
  <c r="N262" i="2" s="1"/>
  <c r="A417" i="2"/>
  <c r="N417" i="2" s="1"/>
  <c r="A69" i="2"/>
  <c r="N69" i="2" s="1"/>
  <c r="A445" i="2"/>
  <c r="N445" i="2" s="1"/>
  <c r="A67" i="2"/>
  <c r="N67" i="2" s="1"/>
  <c r="A206" i="2"/>
  <c r="N206" i="2" s="1"/>
  <c r="A566" i="2"/>
  <c r="N566" i="2" s="1"/>
  <c r="A175" i="2"/>
  <c r="N175" i="2" s="1"/>
  <c r="A133" i="2"/>
  <c r="N133" i="2" s="1"/>
  <c r="A682" i="2"/>
  <c r="N682" i="2" s="1"/>
  <c r="A671" i="2"/>
  <c r="N671" i="2" s="1"/>
  <c r="A309" i="2"/>
  <c r="N309" i="2" s="1"/>
  <c r="A23" i="2"/>
  <c r="N23" i="2" s="1"/>
  <c r="A71" i="2"/>
  <c r="N71" i="2" s="1"/>
  <c r="A33" i="2"/>
  <c r="N33" i="2" s="1"/>
  <c r="A484" i="2"/>
  <c r="N484" i="2" s="1"/>
  <c r="A184" i="2"/>
  <c r="N184" i="2" s="1"/>
  <c r="A704" i="2"/>
  <c r="N704" i="2" s="1"/>
  <c r="A114" i="2"/>
  <c r="N114" i="2" s="1"/>
  <c r="A612" i="2"/>
  <c r="N612" i="2" s="1"/>
  <c r="A426" i="2"/>
  <c r="N426" i="2" s="1"/>
  <c r="A348" i="2"/>
  <c r="N348" i="2" s="1"/>
  <c r="A8" i="2"/>
  <c r="N8" i="2" s="1"/>
  <c r="A724" i="2"/>
  <c r="N724" i="2" s="1"/>
  <c r="A503" i="2"/>
  <c r="N503" i="2" s="1"/>
  <c r="A9" i="2"/>
  <c r="N9" i="2" s="1"/>
  <c r="A373" i="2"/>
  <c r="N373" i="2" s="1"/>
  <c r="A90" i="2"/>
  <c r="N90" i="2" s="1"/>
  <c r="A235" i="2"/>
  <c r="N235" i="2" s="1"/>
  <c r="A376" i="2"/>
  <c r="N376" i="2" s="1"/>
  <c r="A224" i="2"/>
  <c r="N224" i="2" s="1"/>
  <c r="A674" i="2"/>
  <c r="N674" i="2" s="1"/>
  <c r="A12" i="2"/>
  <c r="N12" i="2" s="1"/>
  <c r="A435" i="2"/>
  <c r="N435" i="2" s="1"/>
  <c r="A147" i="2"/>
  <c r="N147" i="2" s="1"/>
  <c r="A142" i="2"/>
  <c r="N142" i="2" s="1"/>
  <c r="A333" i="2"/>
  <c r="N333" i="2" s="1"/>
  <c r="A120" i="2"/>
  <c r="N120" i="2" s="1"/>
  <c r="A474" i="2"/>
  <c r="N474" i="2" s="1"/>
  <c r="A55" i="2"/>
  <c r="N55" i="2" s="1"/>
  <c r="A621" i="2"/>
  <c r="N621" i="2" s="1"/>
  <c r="A511" i="2"/>
  <c r="N511" i="2" s="1"/>
  <c r="A157" i="2"/>
  <c r="N157" i="2" s="1"/>
  <c r="A491" i="2"/>
  <c r="N491" i="2" s="1"/>
  <c r="A693" i="2"/>
  <c r="N693" i="2" s="1"/>
  <c r="A386" i="2"/>
  <c r="N386" i="2" s="1"/>
  <c r="A608" i="2"/>
  <c r="N608" i="2" s="1"/>
  <c r="A118" i="2"/>
  <c r="N118" i="2" s="1"/>
  <c r="A452" i="2"/>
  <c r="N452" i="2" s="1"/>
  <c r="A261" i="2"/>
  <c r="N261" i="2" s="1"/>
  <c r="A664" i="2"/>
  <c r="N664" i="2" s="1"/>
  <c r="A210" i="2"/>
  <c r="N210" i="2" s="1"/>
  <c r="A555" i="2"/>
  <c r="N555" i="2" s="1"/>
  <c r="A287" i="2"/>
  <c r="N287" i="2" s="1"/>
  <c r="A520" i="2"/>
  <c r="N520" i="2" s="1"/>
  <c r="A14" i="2"/>
  <c r="N14" i="2" s="1"/>
  <c r="A340" i="2"/>
  <c r="N340" i="2" s="1"/>
  <c r="A571" i="2"/>
  <c r="N571" i="2" s="1"/>
  <c r="A153" i="2"/>
  <c r="N153" i="2" s="1"/>
  <c r="A320" i="2"/>
  <c r="N320" i="2" s="1"/>
  <c r="A172" i="2"/>
  <c r="N172" i="2" s="1"/>
  <c r="A200" i="2"/>
  <c r="N200" i="2" s="1"/>
  <c r="A59" i="2"/>
  <c r="N59" i="2" s="1"/>
  <c r="A547" i="2"/>
  <c r="N547" i="2" s="1"/>
  <c r="A676" i="2"/>
  <c r="N676" i="2" s="1"/>
  <c r="A181" i="2"/>
  <c r="N181" i="2" s="1"/>
  <c r="A572" i="2"/>
  <c r="N572" i="2" s="1"/>
  <c r="A32" i="2"/>
  <c r="N32" i="2" s="1"/>
  <c r="A726" i="2"/>
  <c r="N726" i="2" s="1"/>
  <c r="A229" i="2"/>
  <c r="N229" i="2" s="1"/>
  <c r="A236" i="2"/>
  <c r="N236" i="2" s="1"/>
  <c r="A74" i="2"/>
  <c r="N74" i="2" s="1"/>
  <c r="A430" i="2"/>
  <c r="N430" i="2" s="1"/>
  <c r="A4" i="2"/>
  <c r="N4" i="2" s="1"/>
  <c r="A39" i="2"/>
  <c r="N39" i="2" s="1"/>
  <c r="A592" i="2"/>
  <c r="N592" i="2" s="1"/>
  <c r="A523" i="2"/>
  <c r="N523" i="2" s="1"/>
  <c r="A440" i="2"/>
  <c r="N440" i="2" s="1"/>
  <c r="A283" i="2"/>
  <c r="N283" i="2" s="1"/>
  <c r="A508" i="2"/>
  <c r="N508" i="2" s="1"/>
  <c r="A470" i="2"/>
  <c r="N470" i="2" s="1"/>
  <c r="A594" i="2"/>
  <c r="N594" i="2" s="1"/>
  <c r="A164" i="2"/>
  <c r="N164" i="2" s="1"/>
  <c r="A117" i="2"/>
  <c r="N117" i="2" s="1"/>
  <c r="A656" i="2"/>
  <c r="N656" i="2" s="1"/>
  <c r="A110" i="2"/>
  <c r="N110" i="2" s="1"/>
  <c r="A65" i="2"/>
  <c r="N65" i="2" s="1"/>
  <c r="A467" i="2"/>
  <c r="N467" i="2" s="1"/>
  <c r="A138" i="2"/>
  <c r="N138" i="2" s="1"/>
  <c r="A582" i="2"/>
  <c r="N582" i="2" s="1"/>
  <c r="A100" i="2"/>
  <c r="N100" i="2" s="1"/>
  <c r="A159" i="2"/>
  <c r="N159" i="2" s="1"/>
  <c r="A375" i="2"/>
  <c r="N375" i="2" s="1"/>
  <c r="A199" i="2"/>
  <c r="N199" i="2" s="1"/>
  <c r="A609" i="2"/>
  <c r="N609" i="2" s="1"/>
  <c r="A721" i="2"/>
  <c r="N721" i="2" s="1"/>
  <c r="A509" i="2"/>
  <c r="N509" i="2" s="1"/>
  <c r="A406" i="2"/>
  <c r="N406" i="2" s="1"/>
  <c r="A227" i="2"/>
  <c r="N227" i="2" s="1"/>
  <c r="A433" i="2"/>
  <c r="N433" i="2" s="1"/>
  <c r="A217" i="2"/>
  <c r="N217" i="2" s="1"/>
  <c r="A456" i="2"/>
  <c r="N456" i="2" s="1"/>
  <c r="A83" i="2"/>
  <c r="N83" i="2" s="1"/>
  <c r="A276" i="2"/>
  <c r="N276" i="2" s="1"/>
  <c r="A127" i="2"/>
  <c r="N127" i="2" s="1"/>
  <c r="A416" i="2"/>
  <c r="N416" i="2" s="1"/>
  <c r="A498" i="2"/>
  <c r="N498" i="2" s="1"/>
  <c r="A519" i="2"/>
  <c r="N519" i="2" s="1"/>
  <c r="A683" i="2"/>
  <c r="N683" i="2" s="1"/>
  <c r="A412" i="2"/>
  <c r="N412" i="2" s="1"/>
  <c r="A64" i="2"/>
  <c r="N64" i="2" s="1"/>
  <c r="L64" i="2"/>
  <c r="L723" i="2"/>
  <c r="A723" i="2"/>
  <c r="N723" i="2" s="1"/>
  <c r="L706" i="2"/>
  <c r="A706" i="2"/>
  <c r="N706" i="2" s="1"/>
  <c r="L192" i="2"/>
  <c r="A192" i="2"/>
  <c r="N192" i="2" s="1"/>
  <c r="L617" i="2"/>
  <c r="A617" i="2"/>
  <c r="N617" i="2" s="1"/>
  <c r="L30" i="2"/>
  <c r="A30" i="2"/>
  <c r="N30" i="2" s="1"/>
  <c r="A603" i="2"/>
  <c r="N603" i="2" s="1"/>
  <c r="L603" i="2"/>
  <c r="A193" i="2"/>
  <c r="N193" i="2" s="1"/>
  <c r="L193" i="2"/>
  <c r="L313" i="2"/>
  <c r="A313" i="2"/>
  <c r="N313" i="2" s="1"/>
  <c r="A204" i="2"/>
  <c r="N204" i="2" s="1"/>
  <c r="A116" i="2"/>
  <c r="N116" i="2" s="1"/>
  <c r="L455" i="2"/>
  <c r="A455" i="2"/>
  <c r="N455" i="2" s="1"/>
  <c r="L230" i="2"/>
  <c r="A230" i="2"/>
  <c r="N230" i="2" s="1"/>
  <c r="A300" i="2"/>
  <c r="N300" i="2" s="1"/>
  <c r="A652" i="2"/>
  <c r="N652" i="2" s="1"/>
  <c r="L657" i="2"/>
  <c r="A657" i="2"/>
  <c r="N657" i="2" s="1"/>
  <c r="A103" i="2"/>
  <c r="N103" i="2" s="1"/>
  <c r="L103" i="2"/>
  <c r="A131" i="2"/>
  <c r="N131" i="2" s="1"/>
  <c r="G25" i="3"/>
  <c r="G28" i="3" s="1"/>
  <c r="X25" i="3" s="1"/>
  <c r="AF2" i="3" s="1"/>
  <c r="L16" i="2"/>
  <c r="L699" i="2"/>
  <c r="A699" i="2"/>
  <c r="N699" i="2" s="1"/>
  <c r="A684" i="2"/>
  <c r="N684" i="2" s="1"/>
  <c r="L684" i="2"/>
  <c r="A315" i="2"/>
  <c r="N315" i="2" s="1"/>
  <c r="L613" i="2"/>
  <c r="A613" i="2"/>
  <c r="N613" i="2" s="1"/>
  <c r="A377" i="2"/>
  <c r="N377" i="2" s="1"/>
  <c r="L377" i="2"/>
  <c r="A563" i="2"/>
  <c r="N563" i="2" s="1"/>
  <c r="L563" i="2"/>
  <c r="A107" i="2"/>
  <c r="N107" i="2" s="1"/>
  <c r="L107" i="2"/>
  <c r="L611" i="2"/>
  <c r="A611" i="2"/>
  <c r="N611" i="2" s="1"/>
  <c r="A514" i="2"/>
  <c r="N514" i="2" s="1"/>
  <c r="A673" i="2"/>
  <c r="N673" i="2" s="1"/>
  <c r="A24" i="2"/>
  <c r="N24" i="2" s="1"/>
  <c r="A641" i="2"/>
  <c r="N641" i="2" s="1"/>
  <c r="A576" i="2"/>
  <c r="N576" i="2" s="1"/>
  <c r="A21" i="2"/>
  <c r="N21" i="2" s="1"/>
  <c r="A122" i="2"/>
  <c r="N122" i="2" s="1"/>
  <c r="A567" i="2"/>
  <c r="N567" i="2" s="1"/>
  <c r="A170" i="2"/>
  <c r="N170" i="2" s="1"/>
  <c r="L727" i="2"/>
  <c r="A727" i="2"/>
  <c r="N727" i="2" s="1"/>
  <c r="A334" i="2"/>
  <c r="N334" i="2" s="1"/>
  <c r="L234" i="2"/>
  <c r="A654" i="2"/>
  <c r="N654" i="2" s="1"/>
  <c r="L654" i="2"/>
  <c r="A244" i="2"/>
  <c r="N244" i="2" s="1"/>
</calcChain>
</file>

<file path=xl/sharedStrings.xml><?xml version="1.0" encoding="utf-8"?>
<sst xmlns="http://schemas.openxmlformats.org/spreadsheetml/2006/main" count="8681" uniqueCount="906">
  <si>
    <t>Scoring System</t>
  </si>
  <si>
    <t>Points</t>
  </si>
  <si>
    <t>Categories</t>
  </si>
  <si>
    <t>Pos</t>
  </si>
  <si>
    <t>Players Selected Over Replacement</t>
  </si>
  <si>
    <t>Starting Lineup</t>
  </si>
  <si>
    <t>Position Based</t>
  </si>
  <si>
    <t>Draft Based</t>
  </si>
  <si>
    <t>Goals</t>
  </si>
  <si>
    <r>
      <rPr>
        <b/>
        <sz val="10"/>
        <color indexed="8"/>
        <rFont val="Helvetica Neue"/>
        <family val="2"/>
      </rPr>
      <t>C</t>
    </r>
  </si>
  <si>
    <t>Assists</t>
  </si>
  <si>
    <r>
      <rPr>
        <b/>
        <sz val="10"/>
        <color indexed="8"/>
        <rFont val="Helvetica Neue"/>
        <family val="2"/>
      </rPr>
      <t>LW</t>
    </r>
  </si>
  <si>
    <r>
      <rPr>
        <b/>
        <sz val="10"/>
        <color indexed="8"/>
        <rFont val="Helvetica Neue"/>
        <family val="2"/>
      </rPr>
      <t>RW</t>
    </r>
  </si>
  <si>
    <t>Shots</t>
  </si>
  <si>
    <r>
      <rPr>
        <b/>
        <sz val="10"/>
        <color indexed="8"/>
        <rFont val="Helvetica Neue"/>
        <family val="2"/>
      </rPr>
      <t>D</t>
    </r>
  </si>
  <si>
    <t>Blocks</t>
  </si>
  <si>
    <r>
      <rPr>
        <b/>
        <sz val="10"/>
        <color indexed="8"/>
        <rFont val="Helvetica Neue"/>
        <family val="2"/>
      </rPr>
      <t>G</t>
    </r>
  </si>
  <si>
    <t>Hits</t>
  </si>
  <si>
    <t>Powerplay Goals</t>
  </si>
  <si>
    <t>Average Draft Position</t>
  </si>
  <si>
    <t>“Yahoo” or “ESPN” or “Fantrax” or “Average”</t>
  </si>
  <si>
    <t>Powerplay Points</t>
  </si>
  <si>
    <t>YAHOO</t>
  </si>
  <si>
    <t>Shorthanded Goals</t>
  </si>
  <si>
    <t>Shorthanded Points</t>
  </si>
  <si>
    <t>Games Played Projection</t>
  </si>
  <si>
    <t>“Yes” or “No”</t>
  </si>
  <si>
    <t>Time On Ice</t>
  </si>
  <si>
    <t>YES</t>
  </si>
  <si>
    <t>Defensemen Points</t>
  </si>
  <si>
    <t>Plus-Minus</t>
  </si>
  <si>
    <t>League Type</t>
  </si>
  <si>
    <t>“Points” or “Categories”</t>
  </si>
  <si>
    <t>Penalty Minutes</t>
  </si>
  <si>
    <t>Game-Winning Goals</t>
  </si>
  <si>
    <t>Faceoff Wins</t>
  </si>
  <si>
    <t>Forward Separation</t>
  </si>
  <si>
    <t>“C/LW/RW” or “Forwards”</t>
  </si>
  <si>
    <t>Faceoff Losses</t>
  </si>
  <si>
    <t>C/LW/RW</t>
  </si>
  <si>
    <t>Faceoff Percentage</t>
  </si>
  <si>
    <t>Replacement Level</t>
  </si>
  <si>
    <t>“Position” or “Draft” or “Blend”</t>
  </si>
  <si>
    <t>Wins</t>
  </si>
  <si>
    <t>Draft</t>
  </si>
  <si>
    <t>Losses</t>
  </si>
  <si>
    <t>Overtime Losses</t>
  </si>
  <si>
    <t>Number of Teams</t>
  </si>
  <si>
    <t>Shutouts</t>
  </si>
  <si>
    <t xml:space="preserve">Saves </t>
  </si>
  <si>
    <t>Save Percentage</t>
  </si>
  <si>
    <t>Boost or Bust</t>
  </si>
  <si>
    <t>How much a player’s projection moves up or down based on subjective opinion</t>
  </si>
  <si>
    <t>Goals Against</t>
  </si>
  <si>
    <t>ON</t>
  </si>
  <si>
    <t>Goals Against Average</t>
  </si>
  <si>
    <t>+ + +</t>
  </si>
  <si>
    <t>“ON” or “OFF” to toggle subjective boosts/busts from Shayna and Dom</t>
  </si>
  <si>
    <t>Games Played</t>
  </si>
  <si>
    <t>+ +</t>
  </si>
  <si>
    <t>+</t>
  </si>
  <si>
    <t>Skater Stats Affected: G, A, PTS, SOG, PPG, PPP, +/-, GWG                                                    Goalie Stats Affected: W, L, SV, GA, SV%, GAA</t>
  </si>
  <si>
    <t>-</t>
  </si>
  <si>
    <t>- -</t>
  </si>
  <si>
    <t>- - -</t>
  </si>
  <si>
    <t>RK</t>
  </si>
  <si>
    <t>NAME</t>
  </si>
  <si>
    <t>KEEP?</t>
  </si>
  <si>
    <t>POS</t>
  </si>
  <si>
    <t>TEAM</t>
  </si>
  <si>
    <t>AGE</t>
  </si>
  <si>
    <t>SALARY</t>
  </si>
  <si>
    <t>FP</t>
  </si>
  <si>
    <t>/GP</t>
  </si>
  <si>
    <t>VORP</t>
  </si>
  <si>
    <t>/$</t>
  </si>
  <si>
    <t>ADP</t>
  </si>
  <si>
    <t>DIFF.</t>
  </si>
  <si>
    <t>ADJ</t>
  </si>
  <si>
    <t>GP</t>
  </si>
  <si>
    <t>TOI</t>
  </si>
  <si>
    <t>G</t>
  </si>
  <si>
    <t>A</t>
  </si>
  <si>
    <t>PTS</t>
  </si>
  <si>
    <t>SOG</t>
  </si>
  <si>
    <t>PPG</t>
  </si>
  <si>
    <t>PPP</t>
  </si>
  <si>
    <t>SHG</t>
  </si>
  <si>
    <t>SHP</t>
  </si>
  <si>
    <t>BLK</t>
  </si>
  <si>
    <t>HIT</t>
  </si>
  <si>
    <t>+/-</t>
  </si>
  <si>
    <t>PIM</t>
  </si>
  <si>
    <t>GWG</t>
  </si>
  <si>
    <t>FOW</t>
  </si>
  <si>
    <t>FOL</t>
  </si>
  <si>
    <t>FO%</t>
  </si>
  <si>
    <t>W</t>
  </si>
  <si>
    <t>L</t>
  </si>
  <si>
    <t>OTL</t>
  </si>
  <si>
    <t>SO</t>
  </si>
  <si>
    <t>SV</t>
  </si>
  <si>
    <t>GA</t>
  </si>
  <si>
    <t>SV%</t>
  </si>
  <si>
    <t>GAA</t>
  </si>
  <si>
    <t>Connor McDavid</t>
  </si>
  <si>
    <t>N</t>
  </si>
  <si>
    <t>Leon Draisaitl</t>
  </si>
  <si>
    <t>Nathan MacKinnon</t>
  </si>
  <si>
    <t>David Pastrnak</t>
  </si>
  <si>
    <t>Nikita Kucherov</t>
  </si>
  <si>
    <t>Matthew Tkachuk</t>
  </si>
  <si>
    <t>Mikko Rantanen</t>
  </si>
  <si>
    <t>Auston Matthews</t>
  </si>
  <si>
    <t>Jack Hughes</t>
  </si>
  <si>
    <t>Kirill Kaprizov</t>
  </si>
  <si>
    <t>Cale Makar</t>
  </si>
  <si>
    <t>Jason Robertson</t>
  </si>
  <si>
    <t>Mitch Marner</t>
  </si>
  <si>
    <t>Roman Josi</t>
  </si>
  <si>
    <t>Andrei Vasilevskiy</t>
  </si>
  <si>
    <t>William Nylander</t>
  </si>
  <si>
    <t>Ilya Sorokin</t>
  </si>
  <si>
    <t>Igor Shesterkin</t>
  </si>
  <si>
    <t>Jake Oettinger</t>
  </si>
  <si>
    <t>Tage Thompson</t>
  </si>
  <si>
    <t>Erik Karlsson</t>
  </si>
  <si>
    <t>Rasmus Dahlin</t>
  </si>
  <si>
    <t>Connor Hellebuyck</t>
  </si>
  <si>
    <t>Dougie Hamilton</t>
  </si>
  <si>
    <t>Adam Fox</t>
  </si>
  <si>
    <t>Kyle Connor</t>
  </si>
  <si>
    <t>Alex Ovechkin</t>
  </si>
  <si>
    <t>Tim Stützle</t>
  </si>
  <si>
    <t>Juuse Saros</t>
  </si>
  <si>
    <t>Miro Heiskanen</t>
  </si>
  <si>
    <t>Timo Meier</t>
  </si>
  <si>
    <t>Artemi Panarin</t>
  </si>
  <si>
    <t>Quinn Hughes</t>
  </si>
  <si>
    <t>Mika Zibanejad</t>
  </si>
  <si>
    <t>Elias Pettersson</t>
  </si>
  <si>
    <t>Aleksander Barkov</t>
  </si>
  <si>
    <t>Evan Bouchard</t>
  </si>
  <si>
    <t>J.T. Miller</t>
  </si>
  <si>
    <t>Brady Tkachuk</t>
  </si>
  <si>
    <t>Jake Guentzel</t>
  </si>
  <si>
    <t>Matt Boldy</t>
  </si>
  <si>
    <t>Sidney Crosby</t>
  </si>
  <si>
    <t>Clayton Keller</t>
  </si>
  <si>
    <t>Brayden Point</t>
  </si>
  <si>
    <t>Johnny Gaudreau</t>
  </si>
  <si>
    <t>Victor Hedman</t>
  </si>
  <si>
    <t>Alexandar Georgiev</t>
  </si>
  <si>
    <t>Andrei Svechnikov</t>
  </si>
  <si>
    <t>Alex Tuch</t>
  </si>
  <si>
    <t>Thatcher Demko</t>
  </si>
  <si>
    <t>Kevin Fiala</t>
  </si>
  <si>
    <t>Moritz Seider</t>
  </si>
  <si>
    <t>Zach Hyman</t>
  </si>
  <si>
    <t>Steven Stamkos</t>
  </si>
  <si>
    <t>John Tavares</t>
  </si>
  <si>
    <t>Alex Debrincat</t>
  </si>
  <si>
    <t>Nico Hischier</t>
  </si>
  <si>
    <t>Ryan Nugent-Hopkins</t>
  </si>
  <si>
    <t>Dylan Larkin</t>
  </si>
  <si>
    <t>Travis Konecny</t>
  </si>
  <si>
    <t>Filip Gustavsson</t>
  </si>
  <si>
    <t>Josh Morrissey</t>
  </si>
  <si>
    <t>Tristan Jarry</t>
  </si>
  <si>
    <t>Pavel Buchnevich</t>
  </si>
  <si>
    <t>Mikhail Sergachev</t>
  </si>
  <si>
    <t>Brad Marchand</t>
  </si>
  <si>
    <t>Sebastian Aho</t>
  </si>
  <si>
    <t>Troy Terry</t>
  </si>
  <si>
    <t>Jonathan Marchessault</t>
  </si>
  <si>
    <t>Jeff Skinner</t>
  </si>
  <si>
    <t>Jesper Bratt</t>
  </si>
  <si>
    <t>Dylan Cozens</t>
  </si>
  <si>
    <t>Patrik Laine</t>
  </si>
  <si>
    <t>Jordan Kyrou</t>
  </si>
  <si>
    <t>Valeri Nichushkin</t>
  </si>
  <si>
    <t>Roope Hintz</t>
  </si>
  <si>
    <t>Filip Forsberg</t>
  </si>
  <si>
    <t>Mats Zuccarello</t>
  </si>
  <si>
    <t>Noah Dobson</t>
  </si>
  <si>
    <t>Brent Burns</t>
  </si>
  <si>
    <t>John Carlson</t>
  </si>
  <si>
    <t>Cole Caufield</t>
  </si>
  <si>
    <t>Morgan Rielly</t>
  </si>
  <si>
    <t>Charlie McAvoy</t>
  </si>
  <si>
    <t>Jonathan Huberdeau</t>
  </si>
  <si>
    <t>Drake Batherson</t>
  </si>
  <si>
    <t>Bo Horvat</t>
  </si>
  <si>
    <t>Darcy Kuemper</t>
  </si>
  <si>
    <t>Seth Jones</t>
  </si>
  <si>
    <t>Jack Eichel</t>
  </si>
  <si>
    <t>John Gibson</t>
  </si>
  <si>
    <t>Shea Theodore</t>
  </si>
  <si>
    <t>Zach Werenski</t>
  </si>
  <si>
    <t>Rasmus Andersson</t>
  </si>
  <si>
    <t>Mark Scheifele</t>
  </si>
  <si>
    <t>Chris Kreider</t>
  </si>
  <si>
    <t>Alex Pietrangelo</t>
  </si>
  <si>
    <t>Jordan Binnington</t>
  </si>
  <si>
    <t>Joel Eriksson Ek</t>
  </si>
  <si>
    <t>Trevor Zegras</t>
  </si>
  <si>
    <t>Carter Verhaeghe</t>
  </si>
  <si>
    <t>Adin Hill</t>
  </si>
  <si>
    <t>Pierre-Luc Dubois</t>
  </si>
  <si>
    <t>Connor Bedard</t>
  </si>
  <si>
    <t>Evgeni Malkin</t>
  </si>
  <si>
    <t>Sergei Bobrovsky</t>
  </si>
  <si>
    <t>Jacob Markstrom</t>
  </si>
  <si>
    <t>Vince Dunn</t>
  </si>
  <si>
    <t>Sam Reinhart</t>
  </si>
  <si>
    <t>Nikolaj Ehlers</t>
  </si>
  <si>
    <t>Jared McCann</t>
  </si>
  <si>
    <t>Stuart Skinner</t>
  </si>
  <si>
    <t>Elias Lindholm</t>
  </si>
  <si>
    <t>Brandon Hagel</t>
  </si>
  <si>
    <t>Ilya Samsonov</t>
  </si>
  <si>
    <t>Claude Giroux</t>
  </si>
  <si>
    <t>Brandon Montour</t>
  </si>
  <si>
    <t>Kris Letang</t>
  </si>
  <si>
    <t>Patrick Kane</t>
  </si>
  <si>
    <t>Mathew Barzal</t>
  </si>
  <si>
    <t>Joe Pavelski</t>
  </si>
  <si>
    <t>Linus Ullmark</t>
  </si>
  <si>
    <t>Martin Necas</t>
  </si>
  <si>
    <t>Brock Nelson</t>
  </si>
  <si>
    <t>Justin Faulk</t>
  </si>
  <si>
    <t>Taylor Hall</t>
  </si>
  <si>
    <t>Mark Stone</t>
  </si>
  <si>
    <t>Drew Doughty</t>
  </si>
  <si>
    <t>Thomas Chabot</t>
  </si>
  <si>
    <t>Rickard Rakell</t>
  </si>
  <si>
    <t>Devon Toews</t>
  </si>
  <si>
    <t>Adrian Kempe</t>
  </si>
  <si>
    <t>Artturi Lehkonen</t>
  </si>
  <si>
    <t>Matty Beniers</t>
  </si>
  <si>
    <t>Cam Fowler</t>
  </si>
  <si>
    <t>Nick Suzuki</t>
  </si>
  <si>
    <t>Mike Matheson</t>
  </si>
  <si>
    <t>Sean Durzi</t>
  </si>
  <si>
    <t>Nazem Kadri</t>
  </si>
  <si>
    <t>Lucas Raymond</t>
  </si>
  <si>
    <t>Owen Tippett</t>
  </si>
  <si>
    <t>Tyler Toffoli</t>
  </si>
  <si>
    <t>Jake DeBrusk</t>
  </si>
  <si>
    <t>Andrei Kuzmenko</t>
  </si>
  <si>
    <t>Jakob Chychrun</t>
  </si>
  <si>
    <t>Jamie Benn</t>
  </si>
  <si>
    <t>Robert Thomas</t>
  </si>
  <si>
    <t>Elvis Merzlikins</t>
  </si>
  <si>
    <t>Anze Kopitar</t>
  </si>
  <si>
    <t>David Perron</t>
  </si>
  <si>
    <t>Tomas Hertl</t>
  </si>
  <si>
    <t>Noah Hanifin</t>
  </si>
  <si>
    <t>Viktor Arvidsson</t>
  </si>
  <si>
    <t>Nick Schmaltz</t>
  </si>
  <si>
    <t>Andre Burakovsky</t>
  </si>
  <si>
    <t>Torey Krug</t>
  </si>
  <si>
    <t>Logan Couture</t>
  </si>
  <si>
    <t>Vladimir Tarasenko</t>
  </si>
  <si>
    <t>Gustav Forsling</t>
  </si>
  <si>
    <t>Brock Boeser</t>
  </si>
  <si>
    <t>Carter Hart</t>
  </si>
  <si>
    <t>Hampus Lindholm</t>
  </si>
  <si>
    <t>Pavel Zacha</t>
  </si>
  <si>
    <t>Darnell Nurse</t>
  </si>
  <si>
    <t>Brandt Clarke</t>
  </si>
  <si>
    <t>Bryan Rust</t>
  </si>
  <si>
    <t>Alex Killorn</t>
  </si>
  <si>
    <t>Jordan Eberle</t>
  </si>
  <si>
    <t>Andrew Mangiapane</t>
  </si>
  <si>
    <t>Owen Power</t>
  </si>
  <si>
    <t>Mason McTavish</t>
  </si>
  <si>
    <t>Devon Levi</t>
  </si>
  <si>
    <t>Filip Hronek</t>
  </si>
  <si>
    <t>Dawson Mercer</t>
  </si>
  <si>
    <t>Vitek Vanecek</t>
  </si>
  <si>
    <t>Philipp Grubauer</t>
  </si>
  <si>
    <t>Tyson Barrie</t>
  </si>
  <si>
    <t>Reilly Smith</t>
  </si>
  <si>
    <t>Anders Lee</t>
  </si>
  <si>
    <t>Chandler Stephenson</t>
  </si>
  <si>
    <t>Vincent Trocheck</t>
  </si>
  <si>
    <t>Joonas Korpisalo</t>
  </si>
  <si>
    <t>Jake Sanderson</t>
  </si>
  <si>
    <t>John Klingberg</t>
  </si>
  <si>
    <t>MacKenzie Weegar</t>
  </si>
  <si>
    <t>Evgeny Kuznetsov</t>
  </si>
  <si>
    <t>Oliver Bjorkstrand</t>
  </si>
  <si>
    <t>Ryan Hartman</t>
  </si>
  <si>
    <t>Luke Evangelista</t>
  </si>
  <si>
    <t>Luke Hughes</t>
  </si>
  <si>
    <t>Ville Husso</t>
  </si>
  <si>
    <t>Frederik Andersen</t>
  </si>
  <si>
    <t>Neal Pionk</t>
  </si>
  <si>
    <t>Lukas Reichel</t>
  </si>
  <si>
    <t>Dmitry Orlov</t>
  </si>
  <si>
    <t>Conor Garland</t>
  </si>
  <si>
    <t>Josh Norris</t>
  </si>
  <si>
    <t>Aaron Ekblad</t>
  </si>
  <si>
    <t>Brayden Schenn</t>
  </si>
  <si>
    <t>Jacob Trouba</t>
  </si>
  <si>
    <t>Jared Spurgeon</t>
  </si>
  <si>
    <t>Kevin Korchinski</t>
  </si>
  <si>
    <t>Mattias Ekholm</t>
  </si>
  <si>
    <t>Damon Severson</t>
  </si>
  <si>
    <t>Tom Wilson</t>
  </si>
  <si>
    <t>Logan Cooley</t>
  </si>
  <si>
    <t>Mikael Backlund</t>
  </si>
  <si>
    <t>Anthony Beauvillier</t>
  </si>
  <si>
    <t>Kirill Marchenko</t>
  </si>
  <si>
    <t>Sam Bennett</t>
  </si>
  <si>
    <t>Thomas Novak</t>
  </si>
  <si>
    <t>Nino NIederreiter</t>
  </si>
  <si>
    <t>Jack Roslovic</t>
  </si>
  <si>
    <t>Matias Maccelli</t>
  </si>
  <si>
    <t>Jakub Vrana</t>
  </si>
  <si>
    <t>Michael Bunting</t>
  </si>
  <si>
    <t>Tyler Bertuzzi</t>
  </si>
  <si>
    <t>Karel Vejmelka</t>
  </si>
  <si>
    <t>Teuvo Teravainen</t>
  </si>
  <si>
    <t>Thomas Harley</t>
  </si>
  <si>
    <t>Trevor Moore</t>
  </si>
  <si>
    <t>Janis Moser</t>
  </si>
  <si>
    <t>Casey Mittelstadt</t>
  </si>
  <si>
    <t>Shayne Gostisbehere</t>
  </si>
  <si>
    <t>Jeff Petry</t>
  </si>
  <si>
    <t>Blake Wheeler</t>
  </si>
  <si>
    <t>Jamie Drysdale</t>
  </si>
  <si>
    <t>T.J. Oshie</t>
  </si>
  <si>
    <t>Pheonix Copley</t>
  </si>
  <si>
    <t>William Eklund</t>
  </si>
  <si>
    <t>Seth Jarvis</t>
  </si>
  <si>
    <t>Colton Parayko</t>
  </si>
  <si>
    <t>Jeremy Swayman</t>
  </si>
  <si>
    <t>Brett Pesce</t>
  </si>
  <si>
    <t>Evander Kane</t>
  </si>
  <si>
    <t>Kaapo Kahkonen</t>
  </si>
  <si>
    <t>Samuel Girard</t>
  </si>
  <si>
    <t>Jaccob Slavin</t>
  </si>
  <si>
    <t>Daniel Sprong</t>
  </si>
  <si>
    <t>Alex Barabanov</t>
  </si>
  <si>
    <t>Phillip Danault</t>
  </si>
  <si>
    <t>Brady Skjei</t>
  </si>
  <si>
    <t>Adam Larsson</t>
  </si>
  <si>
    <t>Cam York</t>
  </si>
  <si>
    <t>K'Andre Miller</t>
  </si>
  <si>
    <t>Ilya Mikheyev</t>
  </si>
  <si>
    <t>Matt Duchene</t>
  </si>
  <si>
    <t>Kevin Shattenkirk</t>
  </si>
  <si>
    <t>Mario Ferraro</t>
  </si>
  <si>
    <t>Cam Atkinson</t>
  </si>
  <si>
    <t>Adam Fantilli</t>
  </si>
  <si>
    <t>Juuso Valimaki</t>
  </si>
  <si>
    <t>Justin Schultz</t>
  </si>
  <si>
    <t>Ryan Graves</t>
  </si>
  <si>
    <t>Ivan Provorov</t>
  </si>
  <si>
    <t>Boone Jenner</t>
  </si>
  <si>
    <t>Joel Farabee</t>
  </si>
  <si>
    <t>Wyatt Johnston</t>
  </si>
  <si>
    <t>Kent Johnson</t>
  </si>
  <si>
    <t>Dominik Kubalik</t>
  </si>
  <si>
    <t>Travis Sanheim</t>
  </si>
  <si>
    <t>Bowen Byram</t>
  </si>
  <si>
    <t>Calen Addison</t>
  </si>
  <si>
    <t>Josh Anderson</t>
  </si>
  <si>
    <t>Anthony Duclair</t>
  </si>
  <si>
    <t>Brock Faber</t>
  </si>
  <si>
    <t>Adam Henrique</t>
  </si>
  <si>
    <t>Akira Schmid</t>
  </si>
  <si>
    <t>Taylor Raddysh</t>
  </si>
  <si>
    <t>Kirby Dach</t>
  </si>
  <si>
    <t>Brandon Saad</t>
  </si>
  <si>
    <t>Ryan Pulock</t>
  </si>
  <si>
    <t>William Karlsson</t>
  </si>
  <si>
    <t>Sean Couturier</t>
  </si>
  <si>
    <t>Jonas Brodin</t>
  </si>
  <si>
    <t>J.T. Compher</t>
  </si>
  <si>
    <t>Adam Pelech</t>
  </si>
  <si>
    <t>Ryan O'Reilly</t>
  </si>
  <si>
    <t>Ivan Barbashev</t>
  </si>
  <si>
    <t>Esa Lindell</t>
  </si>
  <si>
    <t>Alexis Lafrenière</t>
  </si>
  <si>
    <t>Victor Olofsson</t>
  </si>
  <si>
    <t>Kyle Palmieri</t>
  </si>
  <si>
    <t>Vladislav Gavrikov</t>
  </si>
  <si>
    <t>Anton Lundell</t>
  </si>
  <si>
    <t>Tyler Seguin</t>
  </si>
  <si>
    <t>Lawson Crouse</t>
  </si>
  <si>
    <t>Dylan Strome</t>
  </si>
  <si>
    <t>Jake Walman</t>
  </si>
  <si>
    <t>Barrett Hayton</t>
  </si>
  <si>
    <t>Rasmus Sandin</t>
  </si>
  <si>
    <t>Nick Perbix</t>
  </si>
  <si>
    <t>Rasmus Ristolainen</t>
  </si>
  <si>
    <t>Matt Roy</t>
  </si>
  <si>
    <t>Alex Iafallo</t>
  </si>
  <si>
    <t>Nick Jensen</t>
  </si>
  <si>
    <t>Scott Laughton</t>
  </si>
  <si>
    <t>Conor Sheary</t>
  </si>
  <si>
    <t>Matt Dumba</t>
  </si>
  <si>
    <t>Frank Vatrano</t>
  </si>
  <si>
    <t>Noah Cates</t>
  </si>
  <si>
    <t>Charlie Coyle</t>
  </si>
  <si>
    <t>Kaapo Kakko</t>
  </si>
  <si>
    <t>Kevin Hayes</t>
  </si>
  <si>
    <t>Anton Forsberg</t>
  </si>
  <si>
    <t>Ryan Strome</t>
  </si>
  <si>
    <t>Gabriel Vilardi</t>
  </si>
  <si>
    <t>Radko Gudas</t>
  </si>
  <si>
    <t>Gustav Nyquist</t>
  </si>
  <si>
    <t>Eeli Tolvanen</t>
  </si>
  <si>
    <t>Tony DeAngelo</t>
  </si>
  <si>
    <t>Logan Thompson</t>
  </si>
  <si>
    <t>Cody Glass</t>
  </si>
  <si>
    <t>Marcus Pettersson</t>
  </si>
  <si>
    <t>Scott Mayfield</t>
  </si>
  <si>
    <t>Kaiden Guhle</t>
  </si>
  <si>
    <t>Connor Ingram</t>
  </si>
  <si>
    <t>James van Riemsdyk</t>
  </si>
  <si>
    <t>Matt Benning</t>
  </si>
  <si>
    <t>Jason Zucker</t>
  </si>
  <si>
    <t>Quinton Byfield</t>
  </si>
  <si>
    <t>Nate Schmidt</t>
  </si>
  <si>
    <t>Timothy Liljegren</t>
  </si>
  <si>
    <t>Adam Boqvist</t>
  </si>
  <si>
    <t>Kasperi Kapanen</t>
  </si>
  <si>
    <t>Filip Chytil</t>
  </si>
  <si>
    <t>Matt Grzelcyk</t>
  </si>
  <si>
    <t>Nick Paul</t>
  </si>
  <si>
    <t>Tomas Tatar</t>
  </si>
  <si>
    <t>Dillon Dube</t>
  </si>
  <si>
    <t>Petr Mrazek</t>
  </si>
  <si>
    <t>Max Pacioretty</t>
  </si>
  <si>
    <t>Erik Cernak</t>
  </si>
  <si>
    <t>Ryan McDonagh</t>
  </si>
  <si>
    <t>Jesperi Kotkaniemi</t>
  </si>
  <si>
    <t>Phil Kessel</t>
  </si>
  <si>
    <t>Martin Fehervary</t>
  </si>
  <si>
    <t>Erik Haula</t>
  </si>
  <si>
    <t>Matthew Knies</t>
  </si>
  <si>
    <t>Anthony Cirelli</t>
  </si>
  <si>
    <t>Evan Rodrigues</t>
  </si>
  <si>
    <t>Tanner Jeannot</t>
  </si>
  <si>
    <t>Carson Soucy</t>
  </si>
  <si>
    <t>Erik Gustafsson (D)</t>
  </si>
  <si>
    <t>Stefan Noesen</t>
  </si>
  <si>
    <t>Ondrej Palat</t>
  </si>
  <si>
    <t>Connor Brown</t>
  </si>
  <si>
    <t>Brayden McNabb</t>
  </si>
  <si>
    <t>Mike Hoffman</t>
  </si>
  <si>
    <t>Yanni Gourde</t>
  </si>
  <si>
    <t>Max Domi</t>
  </si>
  <si>
    <t>David Jiricek</t>
  </si>
  <si>
    <t>Pierre Engvall</t>
  </si>
  <si>
    <t>John Marino</t>
  </si>
  <si>
    <t>Ben Chiarot</t>
  </si>
  <si>
    <t>Rafael Harvey-Pinard</t>
  </si>
  <si>
    <t>JJ Peterka</t>
  </si>
  <si>
    <t>Connor Clifton</t>
  </si>
  <si>
    <t>Alec Martinez</t>
  </si>
  <si>
    <t>Nikita Zadorov</t>
  </si>
  <si>
    <t>Ross Colton</t>
  </si>
  <si>
    <t>Jake McCabe</t>
  </si>
  <si>
    <t>Dylan Demelo</t>
  </si>
  <si>
    <t>Jonas Siegenthaler</t>
  </si>
  <si>
    <t>Nicolas Hague</t>
  </si>
  <si>
    <t>Marcus Johansson</t>
  </si>
  <si>
    <t>Mikey Anderson</t>
  </si>
  <si>
    <t>Jack Campbell</t>
  </si>
  <si>
    <t>Morgan Frost</t>
  </si>
  <si>
    <t>Arvid Soderblom</t>
  </si>
  <si>
    <t>Evgeny Dadonov</t>
  </si>
  <si>
    <t>Kevin Labanc</t>
  </si>
  <si>
    <t>Mark Giordano</t>
  </si>
  <si>
    <t>Nicklas Backstrom</t>
  </si>
  <si>
    <t>Jake Bean</t>
  </si>
  <si>
    <t>Jake Allen</t>
  </si>
  <si>
    <t>Travis Hamonic</t>
  </si>
  <si>
    <t>Andreas Athanasiou</t>
  </si>
  <si>
    <t>Alex Romanov</t>
  </si>
  <si>
    <t>Jamie Oleksiak</t>
  </si>
  <si>
    <t>Cole Perfetti</t>
  </si>
  <si>
    <t>Cody Ceci</t>
  </si>
  <si>
    <t>Oliver Ekman-Larsson</t>
  </si>
  <si>
    <t>Dante Fabbro</t>
  </si>
  <si>
    <t>TJ Brodie</t>
  </si>
  <si>
    <t>Mason Marchment</t>
  </si>
  <si>
    <t>Brendan Gallagher</t>
  </si>
  <si>
    <t>Chris Tanev</t>
  </si>
  <si>
    <t>Mattias Samuelsson</t>
  </si>
  <si>
    <t>Anthony Mantha</t>
  </si>
  <si>
    <t>Ian Cole</t>
  </si>
  <si>
    <t>Jean-Gabriel Pageau</t>
  </si>
  <si>
    <t>Brett Kulak</t>
  </si>
  <si>
    <t>Trevor van Riemsdyk</t>
  </si>
  <si>
    <t>Andrew Copp</t>
  </si>
  <si>
    <t>Connor Murphy</t>
  </si>
  <si>
    <t>Pierre-Olivier Joseph</t>
  </si>
  <si>
    <t>Ryan Lindgren</t>
  </si>
  <si>
    <t>Zach Whitecloud</t>
  </si>
  <si>
    <t>Blake Coleman</t>
  </si>
  <si>
    <t>Brenden Dillon</t>
  </si>
  <si>
    <t>Erik Brannstrom</t>
  </si>
  <si>
    <t>Zach Parise</t>
  </si>
  <si>
    <t>Nicolas Roy</t>
  </si>
  <si>
    <t>Philip Tomasino</t>
  </si>
  <si>
    <t>Alex Carrier</t>
  </si>
  <si>
    <t>Oliver Wahlstrom</t>
  </si>
  <si>
    <t>Erik Johnson</t>
  </si>
  <si>
    <t>Sean Walker</t>
  </si>
  <si>
    <t>Colin Miller</t>
  </si>
  <si>
    <t>Ryan Suter</t>
  </si>
  <si>
    <t>Tyler Myers</t>
  </si>
  <si>
    <t>Luke Schenn</t>
  </si>
  <si>
    <t>Justin Holl</t>
  </si>
  <si>
    <t>Jaden Schwartz</t>
  </si>
  <si>
    <t>David Savard</t>
  </si>
  <si>
    <t>Brandon Carlo</t>
  </si>
  <si>
    <t>Jacob Middleton</t>
  </si>
  <si>
    <t>Sebastian Aho (D)</t>
  </si>
  <si>
    <t>Brian Dumoulin</t>
  </si>
  <si>
    <t>Alex Vlasic</t>
  </si>
  <si>
    <t>Sam Montembeault</t>
  </si>
  <si>
    <t>Dmitry Kulikov</t>
  </si>
  <si>
    <t>Jakob Pelletier</t>
  </si>
  <si>
    <t>Arthur Kaliyev</t>
  </si>
  <si>
    <t>Mikael Granlund</t>
  </si>
  <si>
    <t>Sean Monahan</t>
  </si>
  <si>
    <t>Artem Zub</t>
  </si>
  <si>
    <t>Jordan Harris</t>
  </si>
  <si>
    <t>Yegor Sharangovich</t>
  </si>
  <si>
    <t>Morgan Geekie</t>
  </si>
  <si>
    <t>Mike Reilly</t>
  </si>
  <si>
    <t>William Carrier</t>
  </si>
  <si>
    <t>Alex Newhook</t>
  </si>
  <si>
    <t>Dylan Guenther</t>
  </si>
  <si>
    <t>Josh Manson</t>
  </si>
  <si>
    <t>Ryan Johansen</t>
  </si>
  <si>
    <t>Pavel Dorofeyev</t>
  </si>
  <si>
    <t>Jakob Silfverberg</t>
  </si>
  <si>
    <t>Marc-Edouard Vlasic</t>
  </si>
  <si>
    <t>Nick Seeler</t>
  </si>
  <si>
    <t>Nick Leddy</t>
  </si>
  <si>
    <t>Alex Goligoski</t>
  </si>
  <si>
    <t>Kailer Yamamoto</t>
  </si>
  <si>
    <t>Troy Stecher</t>
  </si>
  <si>
    <t>Cam Talbot</t>
  </si>
  <si>
    <t>Erik Gudbranson</t>
  </si>
  <si>
    <t>Calle Rosen</t>
  </si>
  <si>
    <t>Nils Lundkvist</t>
  </si>
  <si>
    <t>Jan Rutta</t>
  </si>
  <si>
    <t>Frederick Gaudreau</t>
  </si>
  <si>
    <t>MacKenzie Blackwood</t>
  </si>
  <si>
    <t>Braden Schneider</t>
  </si>
  <si>
    <t>Marc-Andre Fleury</t>
  </si>
  <si>
    <t>Jordan Martinook</t>
  </si>
  <si>
    <t>Warren Foegele</t>
  </si>
  <si>
    <t>Tyler Johnson</t>
  </si>
  <si>
    <t>Jani Hakanpaa</t>
  </si>
  <si>
    <t>Josh Bailey</t>
  </si>
  <si>
    <t>Yegor Chinakhov</t>
  </si>
  <si>
    <t>Juuso Parssinen</t>
  </si>
  <si>
    <t>Joel Edmundson</t>
  </si>
  <si>
    <t>Dylan Samberg</t>
  </si>
  <si>
    <t>Johnathan Kovacevic</t>
  </si>
  <si>
    <t>Miles Wood</t>
  </si>
  <si>
    <t>Oliver Kylington</t>
  </si>
  <si>
    <t>Jacob Peterson</t>
  </si>
  <si>
    <t>Jonathan Drouin</t>
  </si>
  <si>
    <t>Josh Mahura</t>
  </si>
  <si>
    <t>Alex Wennberg</t>
  </si>
  <si>
    <t>Kyle Okposo</t>
  </si>
  <si>
    <t>Derek Forbort</t>
  </si>
  <si>
    <t>Kyle Burroughs</t>
  </si>
  <si>
    <t>Corey Perry</t>
  </si>
  <si>
    <t>Filip Zadina</t>
  </si>
  <si>
    <t>Logan O'Connor</t>
  </si>
  <si>
    <t>Ryan Donato</t>
  </si>
  <si>
    <t>Robert Hagg</t>
  </si>
  <si>
    <t>Philipp Kurashev</t>
  </si>
  <si>
    <t>William Borgen</t>
  </si>
  <si>
    <t>Alex Kerfoot</t>
  </si>
  <si>
    <t>Dylan Coghlan</t>
  </si>
  <si>
    <t>Mathieu Joseph</t>
  </si>
  <si>
    <t>Jonatan Berggren</t>
  </si>
  <si>
    <t>Jesper Fast</t>
  </si>
  <si>
    <t>Jeremy Lauzon</t>
  </si>
  <si>
    <t>Arber Xhekaj</t>
  </si>
  <si>
    <t>Eetu Luostarinen</t>
  </si>
  <si>
    <t>Jack Quinn</t>
  </si>
  <si>
    <t>Brandon Tanev</t>
  </si>
  <si>
    <t>Olli Maatta</t>
  </si>
  <si>
    <t>Henri Jokiharju</t>
  </si>
  <si>
    <t>Ethan Bear</t>
  </si>
  <si>
    <t>Cole Guttman</t>
  </si>
  <si>
    <t>Marcus Foligno</t>
  </si>
  <si>
    <t>Eric Robinson</t>
  </si>
  <si>
    <t>Alex Holtz</t>
  </si>
  <si>
    <t>Christian Dvorak</t>
  </si>
  <si>
    <t>Marco Scandella</t>
  </si>
  <si>
    <t>Samuel Bolduc</t>
  </si>
  <si>
    <t>Conor Timmins</t>
  </si>
  <si>
    <t>Marc Staal</t>
  </si>
  <si>
    <t>Calle Jarnkrok</t>
  </si>
  <si>
    <t>Jon Merrill</t>
  </si>
  <si>
    <t>Fabian Zetterlund</t>
  </si>
  <si>
    <t>Jeff Carter</t>
  </si>
  <si>
    <t>Wade Allison</t>
  </si>
  <si>
    <t>Victor Soderstrom</t>
  </si>
  <si>
    <t>Michael Rasmussen</t>
  </si>
  <si>
    <t>Nikita Zaitsev</t>
  </si>
  <si>
    <t>Sonny Milano</t>
  </si>
  <si>
    <t>Nick Ritchie</t>
  </si>
  <si>
    <t>Jordan Oesterle</t>
  </si>
  <si>
    <t>Kevin Bahl</t>
  </si>
  <si>
    <t>Garnet Hathaway</t>
  </si>
  <si>
    <t>Phillip Di Giuseppe</t>
  </si>
  <si>
    <t>Radim Simek</t>
  </si>
  <si>
    <t>Kiefer Sherwood</t>
  </si>
  <si>
    <t>Christian Wolanin</t>
  </si>
  <si>
    <t>Ben Hutton</t>
  </si>
  <si>
    <t>Jacob MacDonald</t>
  </si>
  <si>
    <t>Hudson Fasching</t>
  </si>
  <si>
    <t>Jalen Chatfield</t>
  </si>
  <si>
    <t>Ilya Lyubushkin</t>
  </si>
  <si>
    <t>Jaycob Megna</t>
  </si>
  <si>
    <t>Emil Bemstrom</t>
  </si>
  <si>
    <t>Niko Mikkola</t>
  </si>
  <si>
    <t>Logan Stanley</t>
  </si>
  <si>
    <t>Walker Duehr</t>
  </si>
  <si>
    <t>Joseph Woll</t>
  </si>
  <si>
    <t>Filip Roos</t>
  </si>
  <si>
    <t>Alex Texier</t>
  </si>
  <si>
    <t>Josh Brown</t>
  </si>
  <si>
    <t>Nathan Bastian</t>
  </si>
  <si>
    <t>Adam Lowry</t>
  </si>
  <si>
    <t>Juraj Slafkovsky</t>
  </si>
  <si>
    <t>Luke Kunin</t>
  </si>
  <si>
    <t>Carl Grundstrom</t>
  </si>
  <si>
    <t>Nicolas Aube-Kubel</t>
  </si>
  <si>
    <t>Zach Bogosian</t>
  </si>
  <si>
    <t>Pius Suter</t>
  </si>
  <si>
    <t>Daniil Tarasov (G)</t>
  </si>
  <si>
    <t>Shane Wright</t>
  </si>
  <si>
    <t>Shane Pinto</t>
  </si>
  <si>
    <t>Joel Armia</t>
  </si>
  <si>
    <t>Jordan Staal</t>
  </si>
  <si>
    <t>Cole Sillinger</t>
  </si>
  <si>
    <t>Urho Vaakanainen</t>
  </si>
  <si>
    <t>Haydn Fleury</t>
  </si>
  <si>
    <t>Chris Wideman</t>
  </si>
  <si>
    <t>Jarred Tinordi</t>
  </si>
  <si>
    <t>Yakov Trenin</t>
  </si>
  <si>
    <t>Alex Alexeyev</t>
  </si>
  <si>
    <t>Colton White</t>
  </si>
  <si>
    <t>Vasily Podkolzin</t>
  </si>
  <si>
    <t>Danton Heinen</t>
  </si>
  <si>
    <t>Chad Ruhwedel</t>
  </si>
  <si>
    <t>Alex Nedeljkovic</t>
  </si>
  <si>
    <t>Keegan Kolesar</t>
  </si>
  <si>
    <t>Michael Eyssimont</t>
  </si>
  <si>
    <t>Brendan Smith</t>
  </si>
  <si>
    <t>Pavel Francouz</t>
  </si>
  <si>
    <t>Ryan McLeod</t>
  </si>
  <si>
    <t>Christian Fischer</t>
  </si>
  <si>
    <t>Matt Irwin</t>
  </si>
  <si>
    <t>Blake Lizotte</t>
  </si>
  <si>
    <t>Brad Hunt</t>
  </si>
  <si>
    <t>Jack Johnson</t>
  </si>
  <si>
    <t>Sammy Blais</t>
  </si>
  <si>
    <t>Jonathan Toews</t>
  </si>
  <si>
    <t>Zac Jones</t>
  </si>
  <si>
    <t>Jacob Bernard-Docker</t>
  </si>
  <si>
    <t>Jordan Greenway</t>
  </si>
  <si>
    <t>Trent Frederic</t>
  </si>
  <si>
    <t>Jakub Zboril</t>
  </si>
  <si>
    <t>Jason Dickinson</t>
  </si>
  <si>
    <t>Charlie Lindgren</t>
  </si>
  <si>
    <t>Alexei Toropchenko</t>
  </si>
  <si>
    <t>Jake Neighbours</t>
  </si>
  <si>
    <t>Tyler Motte</t>
  </si>
  <si>
    <t>Brock McGinn</t>
  </si>
  <si>
    <t>Nico Sturm</t>
  </si>
  <si>
    <t>Robby Fabbri</t>
  </si>
  <si>
    <t>Philip Broberg</t>
  </si>
  <si>
    <t>Vincent Desharnais</t>
  </si>
  <si>
    <t>Nick Bjugstad</t>
  </si>
  <si>
    <t>Mason Appleton</t>
  </si>
  <si>
    <t>Tobias Bjornfot</t>
  </si>
  <si>
    <t>Colton Sissons</t>
  </si>
  <si>
    <t>Jimmy Vesey</t>
  </si>
  <si>
    <t>Ryan Lomberg</t>
  </si>
  <si>
    <t>Nolan Foote</t>
  </si>
  <si>
    <t>Matt Nieto</t>
  </si>
  <si>
    <t>Robert Bortuzzo</t>
  </si>
  <si>
    <t>Egor Zamula</t>
  </si>
  <si>
    <t>Brandon Duhaime</t>
  </si>
  <si>
    <t>Noah Gregor</t>
  </si>
  <si>
    <t>Oskar Lindblom</t>
  </si>
  <si>
    <t>Barclay Goodrow</t>
  </si>
  <si>
    <t>Zach Sanford</t>
  </si>
  <si>
    <t>Nick Foligno</t>
  </si>
  <si>
    <t>Jonathan Quick</t>
  </si>
  <si>
    <t>David Kampf</t>
  </si>
  <si>
    <t>Mattias Janmark</t>
  </si>
  <si>
    <t>Calvin Petersen</t>
  </si>
  <si>
    <t>Zemgus Girgensons</t>
  </si>
  <si>
    <t>Joel Hanley</t>
  </si>
  <si>
    <t>Michael Carcone</t>
  </si>
  <si>
    <t>Sam Lafferty</t>
  </si>
  <si>
    <t>Lukas Dostal</t>
  </si>
  <si>
    <t>Max Jones</t>
  </si>
  <si>
    <t>Pyotr Kochetkov</t>
  </si>
  <si>
    <t>Alex Belzile</t>
  </si>
  <si>
    <t>Lars Eller</t>
  </si>
  <si>
    <t>Nicholas Robertson</t>
  </si>
  <si>
    <t>Antti Raanta</t>
  </si>
  <si>
    <t>Boris Katchouk</t>
  </si>
  <si>
    <t>Nils Hoglander</t>
  </si>
  <si>
    <t>Nick Cousins</t>
  </si>
  <si>
    <t>Vladislav Namestnikov</t>
  </si>
  <si>
    <t>Adam Ruzicka</t>
  </si>
  <si>
    <t>Michael Amadio</t>
  </si>
  <si>
    <t>Andreas Englund</t>
  </si>
  <si>
    <t>Cal Clutterbuck</t>
  </si>
  <si>
    <t>Jake Evans</t>
  </si>
  <si>
    <t>Craig Smith</t>
  </si>
  <si>
    <t>Teddy Blueger</t>
  </si>
  <si>
    <t>Ty Dellandrea</t>
  </si>
  <si>
    <t>Milan Lucic</t>
  </si>
  <si>
    <t>Tomas Nosek</t>
  </si>
  <si>
    <t>Isac Lundestrom</t>
  </si>
  <si>
    <t>Tyson Jost</t>
  </si>
  <si>
    <t>Nic Dowd</t>
  </si>
  <si>
    <t>Sean Kuraly</t>
  </si>
  <si>
    <t>Jack McBain</t>
  </si>
  <si>
    <t>Semyon Varlamov</t>
  </si>
  <si>
    <t>Peyton Krebs</t>
  </si>
  <si>
    <t>Michael McLeod</t>
  </si>
  <si>
    <t>Michael McCarron</t>
  </si>
  <si>
    <t>Noel Acciari</t>
  </si>
  <si>
    <t>Eric Comrie</t>
  </si>
  <si>
    <t>Morgan Barron</t>
  </si>
  <si>
    <t>Brett Leason</t>
  </si>
  <si>
    <t>Cole Smith</t>
  </si>
  <si>
    <t>Brett Howden</t>
  </si>
  <si>
    <t>Josh Archibald</t>
  </si>
  <si>
    <t>Ridly Greig</t>
  </si>
  <si>
    <t>Pontus Holmberg</t>
  </si>
  <si>
    <t>Casey Cizikas</t>
  </si>
  <si>
    <t>Paul Cotter</t>
  </si>
  <si>
    <t>Joel Hofer</t>
  </si>
  <si>
    <t>Matt Martin</t>
  </si>
  <si>
    <t>Scott Wedgewood</t>
  </si>
  <si>
    <t>Travis Boyd</t>
  </si>
  <si>
    <t>A.J. Greer</t>
  </si>
  <si>
    <t>James Reimer</t>
  </si>
  <si>
    <t>Radek Faksa</t>
  </si>
  <si>
    <t>Joey Daccord</t>
  </si>
  <si>
    <t>Spencer Martin</t>
  </si>
  <si>
    <t>Andreas Johnsson</t>
  </si>
  <si>
    <t>Ryan Poehling</t>
  </si>
  <si>
    <t>Mathieu Olivier</t>
  </si>
  <si>
    <t>Dylan Holloway</t>
  </si>
  <si>
    <t>Aliaksei Protas</t>
  </si>
  <si>
    <t>Parker Kelly</t>
  </si>
  <si>
    <t>Patrick Maroon</t>
  </si>
  <si>
    <t>Sam Steel</t>
  </si>
  <si>
    <t>Ryan Reaves</t>
  </si>
  <si>
    <t>Klim Kostin</t>
  </si>
  <si>
    <t>Nick Bonino</t>
  </si>
  <si>
    <t>Joe Snively</t>
  </si>
  <si>
    <t>Laurent Brossoit</t>
  </si>
  <si>
    <t>Nicolas Deslauriers</t>
  </si>
  <si>
    <t>Steven Lorentz</t>
  </si>
  <si>
    <t>Nathan Walker</t>
  </si>
  <si>
    <t>Alex Lyon</t>
  </si>
  <si>
    <t>Jonas Johansson</t>
  </si>
  <si>
    <t>Andrew Cogliano</t>
  </si>
  <si>
    <t>Derek Ryan</t>
  </si>
  <si>
    <t>Pierre-Edouard Bellemare</t>
  </si>
  <si>
    <t>Givani Smith</t>
  </si>
  <si>
    <t>Connor Dewar</t>
  </si>
  <si>
    <t>Anthony Stolarz</t>
  </si>
  <si>
    <t>Dakota Joshua</t>
  </si>
  <si>
    <t>Spencer Knight</t>
  </si>
  <si>
    <t>Joe Veleno</t>
  </si>
  <si>
    <t>Zach Aston-Reese</t>
  </si>
  <si>
    <t>Dan Vladar</t>
  </si>
  <si>
    <t>Sheldon Dries</t>
  </si>
  <si>
    <t>Fredrik Olofsson</t>
  </si>
  <si>
    <t>Kevin Rooney</t>
  </si>
  <si>
    <t>Grigori Denisenko</t>
  </si>
  <si>
    <t>Matthew Highmore</t>
  </si>
  <si>
    <t>Patrick Brown</t>
  </si>
  <si>
    <t>Jack Drury</t>
  </si>
  <si>
    <t>Vinnie Hinostroza</t>
  </si>
  <si>
    <t>Zack MacEwen</t>
  </si>
  <si>
    <t>Ukko-Pekka Luukkonen</t>
  </si>
  <si>
    <t>Jaret Anderson-Dolan</t>
  </si>
  <si>
    <t>Chris Driedger</t>
  </si>
  <si>
    <t>Nils Aman</t>
  </si>
  <si>
    <t>Trevor Lewis</t>
  </si>
  <si>
    <t>Sam Carrick</t>
  </si>
  <si>
    <t>Rasmus Kupari</t>
  </si>
  <si>
    <t>Kevin Lankinen</t>
  </si>
  <si>
    <t>Rasmus Asplund</t>
  </si>
  <si>
    <t>Luke Glendening</t>
  </si>
  <si>
    <t>Nikita Alexandrov</t>
  </si>
  <si>
    <t>Marco Rossi</t>
  </si>
  <si>
    <t>Mark Kastelic</t>
  </si>
  <si>
    <t>Casey DeSmith</t>
  </si>
  <si>
    <t>Jakub Lauko</t>
  </si>
  <si>
    <t>Dustin Wolf</t>
  </si>
  <si>
    <t>Tyler Pitlick</t>
  </si>
  <si>
    <t>Ross Johnston</t>
  </si>
  <si>
    <t>Logan Brown</t>
  </si>
  <si>
    <t>Curtis Lazar</t>
  </si>
  <si>
    <t>Nic Petan</t>
  </si>
  <si>
    <t>David Gustafsson</t>
  </si>
  <si>
    <t>Lane Pederson</t>
  </si>
  <si>
    <t>Jayson Megna</t>
  </si>
  <si>
    <t>Matt Murray</t>
  </si>
  <si>
    <t>Ryan Carpenter</t>
  </si>
  <si>
    <t>Ben Meyers</t>
  </si>
  <si>
    <t>Tanner Laczynski</t>
  </si>
  <si>
    <t>Felix Sandstrom</t>
  </si>
  <si>
    <t>TEAM 1</t>
  </si>
  <si>
    <t>TEAMS</t>
  </si>
  <si>
    <t xml:space="preserve"> </t>
  </si>
  <si>
    <t>TEAM 2</t>
  </si>
  <si>
    <t>TEAM 3</t>
  </si>
  <si>
    <t>TEAM 4</t>
  </si>
  <si>
    <t>TEAM 5</t>
  </si>
  <si>
    <t>TEAM 6</t>
  </si>
  <si>
    <t>TEAM 7</t>
  </si>
  <si>
    <t>TEAM 8</t>
  </si>
  <si>
    <t>TEAM 9</t>
  </si>
  <si>
    <t>TEAM 10</t>
  </si>
  <si>
    <t>TEAM 11</t>
  </si>
  <si>
    <t>TEAM 12</t>
  </si>
  <si>
    <t>TEAM 13</t>
  </si>
  <si>
    <t>TEAM 14</t>
  </si>
  <si>
    <t>TEAM 15</t>
  </si>
  <si>
    <t>TEAM 16</t>
  </si>
  <si>
    <t>TOTAL FP</t>
  </si>
  <si>
    <t>TOTAL VORP</t>
  </si>
  <si>
    <t>Name</t>
  </si>
  <si>
    <t>F</t>
  </si>
  <si>
    <t>Team</t>
  </si>
  <si>
    <t>Fantasy Points</t>
  </si>
  <si>
    <t>Standard Deviation</t>
  </si>
  <si>
    <t>C</t>
  </si>
  <si>
    <t>LW</t>
  </si>
  <si>
    <t>RW</t>
  </si>
  <si>
    <t>D</t>
  </si>
  <si>
    <t>YAHOO ADP</t>
  </si>
  <si>
    <t>ESPN  ADP</t>
  </si>
  <si>
    <t>FANTRAX ADP</t>
  </si>
  <si>
    <t>AVG     ADP</t>
  </si>
  <si>
    <t>BOOST</t>
  </si>
  <si>
    <t>PLAYER STATS</t>
  </si>
  <si>
    <t>GOALIE STATS</t>
  </si>
  <si>
    <t>Player</t>
  </si>
  <si>
    <t>Age</t>
  </si>
  <si>
    <t>EDM</t>
  </si>
  <si>
    <t>COL</t>
  </si>
  <si>
    <t>TBL</t>
  </si>
  <si>
    <t>FLA</t>
  </si>
  <si>
    <t>TOR</t>
  </si>
  <si>
    <t>MIN</t>
  </si>
  <si>
    <t>NJD</t>
  </si>
  <si>
    <t>C,LW</t>
  </si>
  <si>
    <t>DAL</t>
  </si>
  <si>
    <t>BOS</t>
  </si>
  <si>
    <t>NYR</t>
  </si>
  <si>
    <t>BUF</t>
  </si>
  <si>
    <t>VAN</t>
  </si>
  <si>
    <t>PIT</t>
  </si>
  <si>
    <t>CBJ</t>
  </si>
  <si>
    <t>STL</t>
  </si>
  <si>
    <t>WPG</t>
  </si>
  <si>
    <t>ARI</t>
  </si>
  <si>
    <t>OTT</t>
  </si>
  <si>
    <t>C,RW</t>
  </si>
  <si>
    <t>CHI</t>
  </si>
  <si>
    <t>WSH</t>
  </si>
  <si>
    <t>LAK</t>
  </si>
  <si>
    <t>CAR</t>
  </si>
  <si>
    <t>CGY</t>
  </si>
  <si>
    <t>VGK</t>
  </si>
  <si>
    <t>ANA</t>
  </si>
  <si>
    <t>NSH</t>
  </si>
  <si>
    <t>DET</t>
  </si>
  <si>
    <t>PHI</t>
  </si>
  <si>
    <t>NYI</t>
  </si>
  <si>
    <t>SEA</t>
  </si>
  <si>
    <t>SJS</t>
  </si>
  <si>
    <t>MTL</t>
  </si>
  <si>
    <t>UFA</t>
  </si>
  <si>
    <t>LW,RW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</si>
</sst>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&quot;$&quot;#,##0.0"/>
    <numFmt numFmtId="165" formatCode="#,##0.0"/>
    <numFmt numFmtId="166" formatCode="#,##0%"/>
    <numFmt numFmtId="167" formatCode="#,##0.000"/>
    <numFmt numFmtId="168" formatCode="0.0"/>
    <numFmt numFmtId="169" formatCode="&quot;$&quot;#,##0"/>
  </numFmts>
  <fonts count="16" x14ac:knownFonts="1">
    <font>
      <sz val="10"/>
      <color indexed="8"/>
      <name val="Helvetica"/>
    </font>
    <font>
      <sz val="10"/>
      <color indexed="8"/>
      <name val="Verdana"/>
      <family val="2"/>
    </font>
    <font>
      <b/>
      <sz val="10"/>
      <color indexed="8"/>
      <name val="Helvetica Neue"/>
      <family val="2"/>
    </font>
    <font>
      <sz val="10"/>
      <color indexed="8"/>
      <name val="Helvetica Neue Light"/>
    </font>
    <font>
      <b/>
      <i/>
      <sz val="8"/>
      <color indexed="8"/>
      <name val="Helvetica Neue"/>
      <family val="2"/>
    </font>
    <font>
      <i/>
      <sz val="8"/>
      <color indexed="8"/>
      <name val="Helvetica Neue"/>
      <family val="2"/>
    </font>
    <font>
      <b/>
      <sz val="12"/>
      <color indexed="8"/>
      <name val="Helvetica Neue"/>
      <family val="2"/>
    </font>
    <font>
      <sz val="10"/>
      <color indexed="15"/>
      <name val="Helvetica Neue Medium"/>
    </font>
    <font>
      <sz val="10"/>
      <color indexed="8"/>
      <name val="Helvetica Neue Medium"/>
    </font>
    <font>
      <b/>
      <sz val="11"/>
      <color indexed="8"/>
      <name val="Helvetica Neue"/>
      <family val="2"/>
    </font>
    <font>
      <sz val="10"/>
      <color indexed="17"/>
      <name val="Helvetica Neue Light"/>
    </font>
    <font>
      <sz val="16"/>
      <color indexed="8"/>
      <name val="Helvetica Neue Light"/>
    </font>
    <font>
      <b/>
      <sz val="10"/>
      <color indexed="17"/>
      <name val="Helvetica Neue"/>
      <family val="2"/>
    </font>
    <font>
      <sz val="8"/>
      <color indexed="8"/>
      <name val="Helvetica Neue Light"/>
    </font>
    <font>
      <sz val="8"/>
      <color indexed="17"/>
      <name val="Helvetica Neue Light"/>
    </font>
    <font>
      <sz val="10"/>
      <color indexed="17"/>
      <name val="Helvetica Neue Medium"/>
    </font>
  </fonts>
  <fills count="20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0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6"/>
        <bgColor auto="1"/>
      </patternFill>
    </fill>
    <fill>
      <patternFill patternType="solid">
        <fgColor indexed="25"/>
        <bgColor auto="1"/>
      </patternFill>
    </fill>
    <fill>
      <patternFill patternType="solid">
        <fgColor indexed="26"/>
        <bgColor auto="1"/>
      </patternFill>
    </fill>
    <fill>
      <patternFill patternType="solid">
        <fgColor indexed="27"/>
        <bgColor auto="1"/>
      </patternFill>
    </fill>
    <fill>
      <patternFill patternType="solid">
        <fgColor indexed="28"/>
        <bgColor auto="1"/>
      </patternFill>
    </fill>
    <fill>
      <patternFill patternType="solid">
        <fgColor indexed="29"/>
        <bgColor auto="1"/>
      </patternFill>
    </fill>
    <fill>
      <patternFill patternType="solid">
        <fgColor indexed="30"/>
        <bgColor auto="1"/>
      </patternFill>
    </fill>
    <fill>
      <patternFill patternType="solid">
        <fgColor indexed="31"/>
        <bgColor auto="1"/>
      </patternFill>
    </fill>
    <fill>
      <patternFill patternType="solid">
        <fgColor indexed="32"/>
        <bgColor auto="1"/>
      </patternFill>
    </fill>
    <fill>
      <patternFill patternType="solid">
        <fgColor indexed="33"/>
        <bgColor auto="1"/>
      </patternFill>
    </fill>
    <fill>
      <patternFill patternType="solid">
        <fgColor indexed="34"/>
        <bgColor auto="1"/>
      </patternFill>
    </fill>
    <fill>
      <patternFill patternType="solid">
        <fgColor indexed="35"/>
        <bgColor auto="1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9"/>
      </bottom>
      <diagonal/>
    </border>
    <border>
      <left/>
      <right/>
      <top/>
      <bottom/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/>
      <diagonal/>
    </border>
    <border>
      <left/>
      <right/>
      <top style="thin">
        <color indexed="9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 style="thin">
        <color indexed="8"/>
      </top>
      <bottom style="thin">
        <color indexed="9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9">
    <xf numFmtId="0" fontId="0" fillId="0" borderId="0" xfId="0">
      <alignment vertical="top" wrapText="1"/>
    </xf>
    <xf numFmtId="0" fontId="1" fillId="0" borderId="0" xfId="0" applyNumberFormat="1" applyFont="1" applyAlignment="1"/>
    <xf numFmtId="49" fontId="2" fillId="2" borderId="1" xfId="0" applyNumberFormat="1" applyFont="1" applyFill="1" applyBorder="1" applyAlignment="1">
      <alignment horizontal="left"/>
    </xf>
    <xf numFmtId="49" fontId="2" fillId="2" borderId="1" xfId="0" applyNumberFormat="1" applyFont="1" applyFill="1" applyBorder="1" applyAlignment="1">
      <alignment horizontal="center"/>
    </xf>
    <xf numFmtId="49" fontId="2" fillId="2" borderId="2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2" borderId="1" xfId="0" applyNumberFormat="1" applyFont="1" applyFill="1" applyBorder="1" applyAlignment="1">
      <alignment horizontal="center" wrapText="1"/>
    </xf>
    <xf numFmtId="49" fontId="2" fillId="2" borderId="2" xfId="0" applyNumberFormat="1" applyFont="1" applyFill="1" applyBorder="1" applyAlignment="1">
      <alignment horizontal="center" wrapText="1"/>
    </xf>
    <xf numFmtId="49" fontId="3" fillId="0" borderId="3" xfId="0" applyNumberFormat="1" applyFont="1" applyBorder="1" applyAlignment="1">
      <alignment horizontal="left" vertical="center"/>
    </xf>
    <xf numFmtId="0" fontId="3" fillId="0" borderId="3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49" fontId="2" fillId="5" borderId="2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9" fontId="2" fillId="7" borderId="2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wrapText="1"/>
    </xf>
    <xf numFmtId="49" fontId="3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9" fontId="3" fillId="0" borderId="2" xfId="0" applyNumberFormat="1" applyFont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49" fontId="6" fillId="2" borderId="2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right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right" vertical="center"/>
    </xf>
    <xf numFmtId="3" fontId="3" fillId="0" borderId="1" xfId="0" applyNumberFormat="1" applyFont="1" applyBorder="1" applyAlignment="1">
      <alignment horizontal="left" vertical="center"/>
    </xf>
    <xf numFmtId="49" fontId="7" fillId="0" borderId="3" xfId="0" applyNumberFormat="1" applyFont="1" applyBorder="1" applyAlignment="1">
      <alignment horizontal="center" vertical="center"/>
    </xf>
    <xf numFmtId="49" fontId="8" fillId="8" borderId="3" xfId="0" applyNumberFormat="1" applyFont="1" applyFill="1" applyBorder="1" applyAlignment="1">
      <alignment horizontal="right" vertical="center"/>
    </xf>
    <xf numFmtId="3" fontId="8" fillId="8" borderId="3" xfId="0" applyNumberFormat="1" applyFont="1" applyFill="1" applyBorder="1" applyAlignment="1">
      <alignment horizontal="left" vertical="center"/>
    </xf>
    <xf numFmtId="49" fontId="3" fillId="0" borderId="3" xfId="0" applyNumberFormat="1" applyFont="1" applyBorder="1" applyAlignment="1">
      <alignment horizontal="center" vertical="center"/>
    </xf>
    <xf numFmtId="164" fontId="3" fillId="0" borderId="3" xfId="0" applyNumberFormat="1" applyFont="1" applyBorder="1" applyAlignment="1">
      <alignment horizontal="center" vertical="center"/>
    </xf>
    <xf numFmtId="165" fontId="9" fillId="0" borderId="3" xfId="0" applyNumberFormat="1" applyFont="1" applyBorder="1" applyAlignment="1">
      <alignment horizontal="right" vertical="center"/>
    </xf>
    <xf numFmtId="165" fontId="9" fillId="0" borderId="3" xfId="0" applyNumberFormat="1" applyFont="1" applyBorder="1" applyAlignment="1">
      <alignment horizontal="center" vertical="center"/>
    </xf>
    <xf numFmtId="165" fontId="3" fillId="0" borderId="3" xfId="0" applyNumberFormat="1" applyFont="1" applyBorder="1" applyAlignment="1">
      <alignment horizontal="right" vertical="center"/>
    </xf>
    <xf numFmtId="49" fontId="2" fillId="0" borderId="3" xfId="0" applyNumberFormat="1" applyFont="1" applyBorder="1" applyAlignment="1">
      <alignment horizontal="center" vertical="center"/>
    </xf>
    <xf numFmtId="3" fontId="3" fillId="0" borderId="3" xfId="0" applyNumberFormat="1" applyFont="1" applyBorder="1" applyAlignment="1">
      <alignment horizontal="right" vertical="center"/>
    </xf>
    <xf numFmtId="166" fontId="3" fillId="0" borderId="3" xfId="0" applyNumberFormat="1" applyFont="1" applyBorder="1" applyAlignment="1">
      <alignment horizontal="right" vertical="center"/>
    </xf>
    <xf numFmtId="1" fontId="3" fillId="0" borderId="3" xfId="0" applyNumberFormat="1" applyFont="1" applyBorder="1" applyAlignment="1">
      <alignment horizontal="right" vertical="center"/>
    </xf>
    <xf numFmtId="167" fontId="3" fillId="0" borderId="3" xfId="0" applyNumberFormat="1" applyFont="1" applyBorder="1" applyAlignment="1">
      <alignment horizontal="right" vertical="center"/>
    </xf>
    <xf numFmtId="4" fontId="3" fillId="0" borderId="3" xfId="0" applyNumberFormat="1" applyFont="1" applyBorder="1" applyAlignment="1">
      <alignment horizontal="right" vertical="center"/>
    </xf>
    <xf numFmtId="3" fontId="8" fillId="9" borderId="3" xfId="0" applyNumberFormat="1" applyFont="1" applyFill="1" applyBorder="1" applyAlignment="1">
      <alignment horizontal="left" vertical="center"/>
    </xf>
    <xf numFmtId="3" fontId="8" fillId="10" borderId="3" xfId="0" applyNumberFormat="1" applyFont="1" applyFill="1" applyBorder="1" applyAlignment="1">
      <alignment horizontal="left" vertical="center"/>
    </xf>
    <xf numFmtId="3" fontId="8" fillId="11" borderId="3" xfId="0" applyNumberFormat="1" applyFont="1" applyFill="1" applyBorder="1" applyAlignment="1">
      <alignment horizontal="left" vertical="center"/>
    </xf>
    <xf numFmtId="3" fontId="8" fillId="12" borderId="3" xfId="0" applyNumberFormat="1" applyFont="1" applyFill="1" applyBorder="1" applyAlignment="1">
      <alignment horizontal="left" vertical="center"/>
    </xf>
    <xf numFmtId="3" fontId="8" fillId="13" borderId="3" xfId="0" applyNumberFormat="1" applyFont="1" applyFill="1" applyBorder="1" applyAlignment="1">
      <alignment horizontal="left" vertical="center"/>
    </xf>
    <xf numFmtId="0" fontId="3" fillId="0" borderId="3" xfId="0" applyFont="1" applyBorder="1" applyAlignment="1">
      <alignment horizontal="right" vertical="center"/>
    </xf>
    <xf numFmtId="49" fontId="9" fillId="0" borderId="3" xfId="0" applyNumberFormat="1" applyFont="1" applyBorder="1" applyAlignment="1">
      <alignment horizontal="right" vertical="center"/>
    </xf>
    <xf numFmtId="49" fontId="3" fillId="0" borderId="3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right" vertical="center"/>
    </xf>
    <xf numFmtId="0" fontId="2" fillId="0" borderId="2" xfId="0" applyFont="1" applyBorder="1" applyAlignment="1">
      <alignment horizontal="right" vertical="center"/>
    </xf>
    <xf numFmtId="49" fontId="8" fillId="14" borderId="3" xfId="0" applyNumberFormat="1" applyFont="1" applyFill="1" applyBorder="1" applyAlignment="1">
      <alignment horizontal="right" vertical="center"/>
    </xf>
    <xf numFmtId="3" fontId="8" fillId="14" borderId="3" xfId="0" applyNumberFormat="1" applyFont="1" applyFill="1" applyBorder="1" applyAlignment="1">
      <alignment horizontal="left" vertical="center"/>
    </xf>
    <xf numFmtId="3" fontId="3" fillId="0" borderId="3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right" vertical="center"/>
    </xf>
    <xf numFmtId="49" fontId="8" fillId="14" borderId="3" xfId="0" applyNumberFormat="1" applyFont="1" applyFill="1" applyBorder="1" applyAlignment="1">
      <alignment horizontal="left" vertical="center"/>
    </xf>
    <xf numFmtId="49" fontId="8" fillId="15" borderId="3" xfId="0" applyNumberFormat="1" applyFont="1" applyFill="1" applyBorder="1" applyAlignment="1">
      <alignment horizontal="right" vertical="center"/>
    </xf>
    <xf numFmtId="3" fontId="8" fillId="15" borderId="3" xfId="0" applyNumberFormat="1" applyFont="1" applyFill="1" applyBorder="1" applyAlignment="1">
      <alignment horizontal="left" vertical="center"/>
    </xf>
    <xf numFmtId="49" fontId="8" fillId="15" borderId="3" xfId="0" applyNumberFormat="1" applyFont="1" applyFill="1" applyBorder="1" applyAlignment="1">
      <alignment horizontal="left" vertical="center"/>
    </xf>
    <xf numFmtId="49" fontId="8" fillId="16" borderId="3" xfId="0" applyNumberFormat="1" applyFont="1" applyFill="1" applyBorder="1" applyAlignment="1">
      <alignment horizontal="right" vertical="center"/>
    </xf>
    <xf numFmtId="3" fontId="8" fillId="16" borderId="3" xfId="0" applyNumberFormat="1" applyFont="1" applyFill="1" applyBorder="1" applyAlignment="1">
      <alignment horizontal="left" vertical="center"/>
    </xf>
    <xf numFmtId="49" fontId="8" fillId="16" borderId="3" xfId="0" applyNumberFormat="1" applyFont="1" applyFill="1" applyBorder="1" applyAlignment="1">
      <alignment horizontal="left" vertical="center"/>
    </xf>
    <xf numFmtId="49" fontId="8" fillId="17" borderId="3" xfId="0" applyNumberFormat="1" applyFont="1" applyFill="1" applyBorder="1" applyAlignment="1">
      <alignment horizontal="right" vertical="center"/>
    </xf>
    <xf numFmtId="3" fontId="8" fillId="17" borderId="3" xfId="0" applyNumberFormat="1" applyFont="1" applyFill="1" applyBorder="1" applyAlignment="1">
      <alignment horizontal="left" vertical="center"/>
    </xf>
    <xf numFmtId="49" fontId="8" fillId="17" borderId="3" xfId="0" applyNumberFormat="1" applyFont="1" applyFill="1" applyBorder="1" applyAlignment="1">
      <alignment horizontal="left" vertical="center"/>
    </xf>
    <xf numFmtId="166" fontId="3" fillId="0" borderId="4" xfId="0" applyNumberFormat="1" applyFont="1" applyBorder="1" applyAlignment="1">
      <alignment horizontal="right" vertical="center"/>
    </xf>
    <xf numFmtId="0" fontId="3" fillId="0" borderId="5" xfId="0" applyFont="1" applyBorder="1" applyAlignment="1">
      <alignment horizontal="left" vertical="center"/>
    </xf>
    <xf numFmtId="49" fontId="8" fillId="17" borderId="5" xfId="0" applyNumberFormat="1" applyFont="1" applyFill="1" applyBorder="1" applyAlignment="1">
      <alignment horizontal="right" vertical="center"/>
    </xf>
    <xf numFmtId="49" fontId="8" fillId="17" borderId="5" xfId="0" applyNumberFormat="1" applyFont="1" applyFill="1" applyBorder="1" applyAlignment="1">
      <alignment horizontal="left" vertical="center"/>
    </xf>
    <xf numFmtId="49" fontId="3" fillId="0" borderId="5" xfId="0" applyNumberFormat="1" applyFont="1" applyBorder="1" applyAlignment="1">
      <alignment horizontal="center" vertical="center"/>
    </xf>
    <xf numFmtId="49" fontId="9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49" fontId="3" fillId="0" borderId="5" xfId="0" applyNumberFormat="1" applyFont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0" fontId="8" fillId="0" borderId="6" xfId="0" applyFont="1" applyBorder="1" applyAlignment="1">
      <alignment horizontal="right" vertical="center"/>
    </xf>
    <xf numFmtId="0" fontId="8" fillId="0" borderId="6" xfId="0" applyFont="1" applyBorder="1" applyAlignment="1">
      <alignment horizontal="left" vertical="center"/>
    </xf>
    <xf numFmtId="0" fontId="3" fillId="0" borderId="6" xfId="0" applyFont="1" applyBorder="1" applyAlignment="1">
      <alignment horizontal="center" vertical="center"/>
    </xf>
    <xf numFmtId="168" fontId="3" fillId="0" borderId="6" xfId="0" applyNumberFormat="1" applyFont="1" applyBorder="1" applyAlignment="1">
      <alignment horizontal="center" vertical="center"/>
    </xf>
    <xf numFmtId="165" fontId="9" fillId="0" borderId="6" xfId="0" applyNumberFormat="1" applyFont="1" applyBorder="1" applyAlignment="1">
      <alignment horizontal="right" vertical="center"/>
    </xf>
    <xf numFmtId="165" fontId="2" fillId="0" borderId="6" xfId="0" applyNumberFormat="1" applyFont="1" applyBorder="1" applyAlignment="1">
      <alignment horizontal="right" vertical="center"/>
    </xf>
    <xf numFmtId="3" fontId="2" fillId="0" borderId="6" xfId="0" applyNumberFormat="1" applyFont="1" applyBorder="1" applyAlignment="1">
      <alignment horizontal="right" vertical="center"/>
    </xf>
    <xf numFmtId="166" fontId="2" fillId="0" borderId="6" xfId="0" applyNumberFormat="1" applyFont="1" applyBorder="1" applyAlignment="1">
      <alignment horizontal="right" vertical="center"/>
    </xf>
    <xf numFmtId="166" fontId="2" fillId="0" borderId="2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left" vertical="center"/>
    </xf>
    <xf numFmtId="0" fontId="8" fillId="0" borderId="2" xfId="0" applyFont="1" applyBorder="1" applyAlignment="1">
      <alignment horizontal="right" vertical="center"/>
    </xf>
    <xf numFmtId="0" fontId="8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165" fontId="9" fillId="0" borderId="2" xfId="0" applyNumberFormat="1" applyFont="1" applyBorder="1" applyAlignment="1">
      <alignment horizontal="right" vertical="center"/>
    </xf>
    <xf numFmtId="165" fontId="3" fillId="0" borderId="2" xfId="0" applyNumberFormat="1" applyFont="1" applyBorder="1" applyAlignment="1">
      <alignment horizontal="right" vertical="center"/>
    </xf>
    <xf numFmtId="3" fontId="3" fillId="0" borderId="2" xfId="0" applyNumberFormat="1" applyFont="1" applyBorder="1" applyAlignment="1">
      <alignment horizontal="right" vertical="center"/>
    </xf>
    <xf numFmtId="49" fontId="6" fillId="2" borderId="2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right" vertical="center"/>
    </xf>
    <xf numFmtId="0" fontId="6" fillId="2" borderId="2" xfId="0" applyFont="1" applyFill="1" applyBorder="1" applyAlignment="1">
      <alignment horizontal="right" vertical="center"/>
    </xf>
    <xf numFmtId="49" fontId="2" fillId="2" borderId="2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horizontal="left" vertical="center"/>
    </xf>
    <xf numFmtId="49" fontId="8" fillId="7" borderId="1" xfId="0" applyNumberFormat="1" applyFont="1" applyFill="1" applyBorder="1" applyAlignment="1">
      <alignment horizontal="right" vertical="center"/>
    </xf>
    <xf numFmtId="3" fontId="8" fillId="18" borderId="1" xfId="0" applyNumberFormat="1" applyFont="1" applyFill="1" applyBorder="1" applyAlignment="1">
      <alignment horizontal="left" vertical="center"/>
    </xf>
    <xf numFmtId="49" fontId="3" fillId="0" borderId="1" xfId="0" applyNumberFormat="1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165" fontId="9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3" fontId="3" fillId="0" borderId="1" xfId="0" applyNumberFormat="1" applyFont="1" applyBorder="1" applyAlignment="1">
      <alignment horizontal="right" vertical="center"/>
    </xf>
    <xf numFmtId="167" fontId="3" fillId="0" borderId="1" xfId="0" applyNumberFormat="1" applyFont="1" applyBorder="1" applyAlignment="1">
      <alignment horizontal="right" vertical="center"/>
    </xf>
    <xf numFmtId="4" fontId="3" fillId="0" borderId="1" xfId="0" applyNumberFormat="1" applyFont="1" applyBorder="1" applyAlignment="1">
      <alignment horizontal="right" vertical="center"/>
    </xf>
    <xf numFmtId="49" fontId="10" fillId="0" borderId="2" xfId="0" applyNumberFormat="1" applyFont="1" applyBorder="1" applyAlignment="1">
      <alignment horizontal="right" vertical="center"/>
    </xf>
    <xf numFmtId="49" fontId="8" fillId="7" borderId="3" xfId="0" applyNumberFormat="1" applyFont="1" applyFill="1" applyBorder="1" applyAlignment="1">
      <alignment horizontal="right" vertical="center"/>
    </xf>
    <xf numFmtId="49" fontId="8" fillId="18" borderId="3" xfId="0" applyNumberFormat="1" applyFont="1" applyFill="1" applyBorder="1" applyAlignment="1">
      <alignment horizontal="left" vertical="center"/>
    </xf>
    <xf numFmtId="49" fontId="8" fillId="7" borderId="5" xfId="0" applyNumberFormat="1" applyFont="1" applyFill="1" applyBorder="1" applyAlignment="1">
      <alignment horizontal="right" vertical="center"/>
    </xf>
    <xf numFmtId="49" fontId="8" fillId="18" borderId="5" xfId="0" applyNumberFormat="1" applyFont="1" applyFill="1" applyBorder="1" applyAlignment="1">
      <alignment horizontal="left" vertical="center"/>
    </xf>
    <xf numFmtId="167" fontId="2" fillId="0" borderId="6" xfId="0" applyNumberFormat="1" applyFont="1" applyBorder="1" applyAlignment="1">
      <alignment horizontal="right" vertical="center"/>
    </xf>
    <xf numFmtId="4" fontId="2" fillId="0" borderId="6" xfId="0" applyNumberFormat="1" applyFont="1" applyBorder="1" applyAlignment="1">
      <alignment horizontal="right" vertical="center"/>
    </xf>
    <xf numFmtId="49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8" fillId="18" borderId="1" xfId="0" applyNumberFormat="1" applyFont="1" applyFill="1" applyBorder="1" applyAlignment="1">
      <alignment horizontal="left" vertical="center"/>
    </xf>
    <xf numFmtId="49" fontId="9" fillId="0" borderId="1" xfId="0" applyNumberFormat="1" applyFont="1" applyBorder="1" applyAlignment="1">
      <alignment horizontal="right" vertical="center"/>
    </xf>
    <xf numFmtId="49" fontId="3" fillId="0" borderId="1" xfId="0" applyNumberFormat="1" applyFont="1" applyBorder="1" applyAlignment="1">
      <alignment horizontal="right" vertical="center"/>
    </xf>
    <xf numFmtId="49" fontId="2" fillId="2" borderId="2" xfId="0" applyNumberFormat="1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49" fontId="2" fillId="2" borderId="2" xfId="0" applyNumberFormat="1" applyFont="1" applyFill="1" applyBorder="1" applyAlignment="1">
      <alignment horizontal="right" wrapText="1"/>
    </xf>
    <xf numFmtId="0" fontId="2" fillId="2" borderId="2" xfId="0" applyFont="1" applyFill="1" applyBorder="1" applyAlignment="1">
      <alignment horizontal="right"/>
    </xf>
    <xf numFmtId="0" fontId="12" fillId="2" borderId="2" xfId="0" applyFont="1" applyFill="1" applyBorder="1" applyAlignment="1">
      <alignment horizontal="center"/>
    </xf>
    <xf numFmtId="49" fontId="12" fillId="2" borderId="2" xfId="0" applyNumberFormat="1" applyFont="1" applyFill="1" applyBorder="1" applyAlignment="1">
      <alignment horizontal="right" wrapText="1"/>
    </xf>
    <xf numFmtId="49" fontId="12" fillId="2" borderId="2" xfId="0" applyNumberFormat="1" applyFont="1" applyFill="1" applyBorder="1" applyAlignment="1">
      <alignment horizontal="right"/>
    </xf>
    <xf numFmtId="49" fontId="13" fillId="2" borderId="1" xfId="0" applyNumberFormat="1" applyFont="1" applyFill="1" applyBorder="1" applyAlignment="1">
      <alignment horizontal="left" vertical="top"/>
    </xf>
    <xf numFmtId="0" fontId="13" fillId="2" borderId="1" xfId="0" applyNumberFormat="1" applyFont="1" applyFill="1" applyBorder="1" applyAlignment="1">
      <alignment horizontal="right" vertical="top"/>
    </xf>
    <xf numFmtId="0" fontId="13" fillId="2" borderId="1" xfId="0" applyFont="1" applyFill="1" applyBorder="1" applyAlignment="1">
      <alignment horizontal="left" vertical="top"/>
    </xf>
    <xf numFmtId="0" fontId="13" fillId="2" borderId="1" xfId="0" applyFont="1" applyFill="1" applyBorder="1" applyAlignment="1">
      <alignment horizontal="center" vertical="top"/>
    </xf>
    <xf numFmtId="0" fontId="13" fillId="2" borderId="1" xfId="0" applyFont="1" applyFill="1" applyBorder="1" applyAlignment="1">
      <alignment horizontal="right" vertical="top"/>
    </xf>
    <xf numFmtId="0" fontId="14" fillId="2" borderId="1" xfId="0" applyFont="1" applyFill="1" applyBorder="1" applyAlignment="1">
      <alignment horizontal="center" vertical="top"/>
    </xf>
    <xf numFmtId="0" fontId="14" fillId="2" borderId="1" xfId="0" applyFont="1" applyFill="1" applyBorder="1" applyAlignment="1">
      <alignment horizontal="right" vertical="top"/>
    </xf>
    <xf numFmtId="49" fontId="8" fillId="11" borderId="3" xfId="0" applyNumberFormat="1" applyFont="1" applyFill="1" applyBorder="1" applyAlignment="1">
      <alignment horizontal="right" vertical="center"/>
    </xf>
    <xf numFmtId="3" fontId="15" fillId="19" borderId="3" xfId="0" applyNumberFormat="1" applyFont="1" applyFill="1" applyBorder="1" applyAlignment="1">
      <alignment horizontal="center" vertical="center"/>
    </xf>
    <xf numFmtId="165" fontId="10" fillId="0" borderId="3" xfId="0" applyNumberFormat="1" applyFont="1" applyBorder="1" applyAlignment="1">
      <alignment horizontal="right" vertical="center"/>
    </xf>
    <xf numFmtId="0" fontId="14" fillId="2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right" vertical="top"/>
    </xf>
    <xf numFmtId="3" fontId="15" fillId="19" borderId="1" xfId="0" applyNumberFormat="1" applyFont="1" applyFill="1" applyBorder="1" applyAlignment="1">
      <alignment horizontal="center" vertical="center"/>
    </xf>
    <xf numFmtId="165" fontId="10" fillId="0" borderId="1" xfId="0" applyNumberFormat="1" applyFont="1" applyBorder="1" applyAlignment="1">
      <alignment horizontal="right" vertical="center"/>
    </xf>
    <xf numFmtId="49" fontId="8" fillId="6" borderId="3" xfId="0" applyNumberFormat="1" applyFont="1" applyFill="1" applyBorder="1" applyAlignment="1">
      <alignment horizontal="right" vertical="center"/>
    </xf>
    <xf numFmtId="3" fontId="8" fillId="6" borderId="3" xfId="0" applyNumberFormat="1" applyFont="1" applyFill="1" applyBorder="1" applyAlignment="1">
      <alignment horizontal="left" vertical="center"/>
    </xf>
    <xf numFmtId="3" fontId="8" fillId="7" borderId="3" xfId="0" applyNumberFormat="1" applyFont="1" applyFill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 wrapText="1"/>
    </xf>
    <xf numFmtId="168" fontId="3" fillId="0" borderId="3" xfId="0" applyNumberFormat="1" applyFont="1" applyBorder="1" applyAlignment="1">
      <alignment horizontal="right" vertical="center"/>
    </xf>
    <xf numFmtId="168" fontId="3" fillId="0" borderId="1" xfId="0" applyNumberFormat="1" applyFont="1" applyBorder="1" applyAlignment="1">
      <alignment horizontal="right" vertical="center"/>
    </xf>
    <xf numFmtId="169" fontId="3" fillId="0" borderId="3" xfId="0" applyNumberFormat="1" applyFont="1" applyBorder="1" applyAlignment="1">
      <alignment horizontal="right" vertical="center"/>
    </xf>
    <xf numFmtId="0" fontId="6" fillId="2" borderId="2" xfId="0" applyFont="1" applyFill="1" applyBorder="1" applyAlignment="1">
      <alignment horizontal="left"/>
    </xf>
    <xf numFmtId="0" fontId="6" fillId="2" borderId="2" xfId="0" applyFont="1" applyFill="1" applyBorder="1" applyAlignment="1">
      <alignment horizontal="center"/>
    </xf>
    <xf numFmtId="1" fontId="6" fillId="2" borderId="7" xfId="0" applyNumberFormat="1" applyFont="1" applyFill="1" applyBorder="1" applyAlignment="1">
      <alignment horizontal="center"/>
    </xf>
    <xf numFmtId="49" fontId="2" fillId="2" borderId="8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8" fillId="19" borderId="3" xfId="0" applyNumberFormat="1" applyFont="1" applyFill="1" applyBorder="1" applyAlignment="1">
      <alignment horizontal="center" vertical="center"/>
    </xf>
    <xf numFmtId="0" fontId="8" fillId="19" borderId="3" xfId="0" applyNumberFormat="1" applyFont="1" applyFill="1" applyBorder="1" applyAlignment="1">
      <alignment horizontal="center" vertical="center"/>
    </xf>
    <xf numFmtId="165" fontId="3" fillId="0" borderId="3" xfId="0" applyNumberFormat="1" applyFont="1" applyBorder="1" applyAlignment="1">
      <alignment horizontal="center" vertical="center"/>
    </xf>
    <xf numFmtId="4" fontId="3" fillId="0" borderId="3" xfId="0" applyNumberFormat="1" applyFont="1" applyBorder="1" applyAlignment="1">
      <alignment horizontal="center" vertical="center"/>
    </xf>
    <xf numFmtId="167" fontId="3" fillId="0" borderId="3" xfId="0" applyNumberFormat="1" applyFont="1" applyBorder="1" applyAlignment="1">
      <alignment horizontal="center" vertical="center"/>
    </xf>
    <xf numFmtId="1" fontId="8" fillId="19" borderId="3" xfId="0" applyNumberFormat="1" applyFont="1" applyFill="1" applyBorder="1" applyAlignment="1">
      <alignment horizontal="center" vertical="center"/>
    </xf>
    <xf numFmtId="0" fontId="8" fillId="19" borderId="3" xfId="0" applyFont="1" applyFill="1" applyBorder="1" applyAlignment="1">
      <alignment horizontal="center" vertical="center"/>
    </xf>
    <xf numFmtId="49" fontId="2" fillId="2" borderId="2" xfId="0" applyNumberFormat="1" applyFont="1" applyFill="1" applyBorder="1" applyAlignment="1">
      <alignment horizontal="center"/>
    </xf>
    <xf numFmtId="0" fontId="1" fillId="0" borderId="2" xfId="0" applyFont="1" applyBorder="1" applyAlignment="1"/>
    <xf numFmtId="49" fontId="3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0" fontId="3" fillId="0" borderId="2" xfId="0" applyNumberFormat="1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/>
    </xf>
    <xf numFmtId="0" fontId="1" fillId="0" borderId="1" xfId="0" applyFont="1" applyBorder="1" applyAlignment="1"/>
    <xf numFmtId="49" fontId="3" fillId="0" borderId="4" xfId="0" applyNumberFormat="1" applyFont="1" applyBorder="1" applyAlignment="1">
      <alignment horizontal="center" vertical="center"/>
    </xf>
    <xf numFmtId="0" fontId="1" fillId="0" borderId="4" xfId="0" applyFont="1" applyBorder="1" applyAlignment="1"/>
    <xf numFmtId="49" fontId="6" fillId="2" borderId="1" xfId="0" applyNumberFormat="1" applyFont="1" applyFill="1" applyBorder="1" applyAlignment="1">
      <alignment horizontal="center" vertical="center"/>
    </xf>
    <xf numFmtId="49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right" vertical="center"/>
    </xf>
    <xf numFmtId="165" fontId="11" fillId="0" borderId="2" xfId="0" applyNumberFormat="1" applyFont="1" applyBorder="1" applyAlignment="1">
      <alignment horizontal="center" vertical="center"/>
    </xf>
    <xf numFmtId="49" fontId="6" fillId="2" borderId="7" xfId="0" applyNumberFormat="1" applyFont="1" applyFill="1" applyBorder="1" applyAlignment="1">
      <alignment horizontal="center"/>
    </xf>
    <xf numFmtId="0" fontId="1" fillId="0" borderId="7" xfId="0" applyFont="1" applyBorder="1" applyAlignment="1"/>
  </cellXfs>
  <cellStyles count="1">
    <cellStyle name="Normal" xfId="0" builtinId="0"/>
  </cellStyles>
  <dxfs count="59"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D5D5D5"/>
      </font>
    </dxf>
    <dxf>
      <font>
        <b/>
        <color rgb="FFFF6861"/>
      </font>
    </dxf>
    <dxf>
      <font>
        <b/>
        <color rgb="FF489BC9"/>
      </font>
    </dxf>
    <dxf>
      <font>
        <color rgb="FFFF6861"/>
      </font>
    </dxf>
    <dxf>
      <font>
        <color rgb="FF489BC9"/>
      </font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  <dxf>
      <font>
        <color rgb="FF000000"/>
      </font>
      <fill>
        <patternFill patternType="solid">
          <fgColor indexed="17"/>
          <bgColor indexed="23"/>
        </patternFill>
      </fill>
    </dxf>
    <dxf>
      <font>
        <color rgb="FF000000"/>
      </font>
      <fill>
        <patternFill patternType="solid">
          <fgColor indexed="17"/>
          <bgColor indexed="22"/>
        </patternFill>
      </fill>
    </dxf>
    <dxf>
      <font>
        <color rgb="FF000000"/>
      </font>
      <fill>
        <patternFill patternType="solid">
          <fgColor indexed="17"/>
          <bgColor indexed="21"/>
        </patternFill>
      </fill>
    </dxf>
    <dxf>
      <font>
        <color rgb="FF000000"/>
      </font>
      <fill>
        <patternFill patternType="solid">
          <fgColor indexed="17"/>
          <bgColor indexed="20"/>
        </patternFill>
      </fill>
    </dxf>
    <dxf>
      <font>
        <color rgb="FF000000"/>
      </font>
      <fill>
        <patternFill patternType="solid">
          <fgColor indexed="17"/>
          <bgColor indexed="19"/>
        </patternFill>
      </fill>
    </dxf>
    <dxf>
      <font>
        <color rgb="FF000000"/>
      </font>
      <fill>
        <patternFill patternType="solid">
          <fgColor indexed="17"/>
          <bgColor indexed="18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EAEAEA"/>
      <rgbColor rgb="FF94D06F"/>
      <rgbColor rgb="FFF5DD6B"/>
      <rgbColor rgb="FFFF6861"/>
      <rgbColor rgb="FF7BB4D7"/>
      <rgbColor rgb="FFB778CA"/>
      <rgbColor rgb="FFBFBFBF"/>
      <rgbColor rgb="FF92D069"/>
      <rgbColor rgb="00000000"/>
      <rgbColor rgb="FFFFA93A"/>
      <rgbColor rgb="FF6DC037"/>
      <rgbColor rgb="FF489BC9"/>
      <rgbColor rgb="FFF1D030"/>
      <rgbColor rgb="FFFF2C21"/>
      <rgbColor rgb="FF9D44B8"/>
      <rgbColor rgb="FFD5D5D5"/>
      <rgbColor rgb="FFFF6158"/>
      <rgbColor rgb="FFF4DC64"/>
      <rgbColor rgb="FFFFBE6B"/>
      <rgbColor rgb="FF76B4D6"/>
      <rgbColor rgb="FFB573C9"/>
      <rgbColor rgb="FFA1CE7A"/>
      <rgbColor rgb="FFF1DD7C"/>
      <rgbColor rgb="FFED7266"/>
      <rgbColor rgb="FF87B2D4"/>
      <rgbColor rgb="FFAE7BC6"/>
      <rgbColor rgb="FFFEFFFE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33"/>
  <sheetViews>
    <sheetView showGridLines="0" workbookViewId="0">
      <pane ySplit="1" topLeftCell="A2" activePane="bottomLeft" state="frozen"/>
      <selection pane="bottomLeft" activeCell="Q11" sqref="Q11"/>
    </sheetView>
  </sheetViews>
  <sheetFormatPr baseColWidth="10" defaultColWidth="8" defaultRowHeight="16.25" customHeight="1" x14ac:dyDescent="0.15"/>
  <cols>
    <col min="1" max="1" width="18.83203125" style="1" customWidth="1"/>
    <col min="2" max="3" width="9.5" style="1" customWidth="1"/>
    <col min="4" max="4" width="4.6640625" style="1" customWidth="1"/>
    <col min="5" max="5" width="9.5" style="1" customWidth="1"/>
    <col min="6" max="6" width="18.83203125" style="1" customWidth="1"/>
    <col min="7" max="7" width="4.6640625" style="1" customWidth="1"/>
    <col min="8" max="10" width="9.5" style="1" customWidth="1"/>
    <col min="11" max="11" width="8" style="1" customWidth="1"/>
    <col min="12" max="16384" width="8" style="1"/>
  </cols>
  <sheetData>
    <row r="1" spans="1:10" ht="42.5" customHeight="1" x14ac:dyDescent="0.15">
      <c r="A1" s="2" t="s">
        <v>0</v>
      </c>
      <c r="B1" s="3" t="s">
        <v>1</v>
      </c>
      <c r="C1" s="4" t="s">
        <v>2</v>
      </c>
      <c r="D1" s="5"/>
      <c r="E1" s="4" t="s">
        <v>3</v>
      </c>
      <c r="F1" s="6" t="s">
        <v>4</v>
      </c>
      <c r="G1" s="5"/>
      <c r="H1" s="7" t="s">
        <v>5</v>
      </c>
      <c r="I1" s="7" t="s">
        <v>6</v>
      </c>
      <c r="J1" s="7" t="s">
        <v>7</v>
      </c>
    </row>
    <row r="2" spans="1:10" ht="21.25" customHeight="1" x14ac:dyDescent="0.15">
      <c r="A2" s="8" t="s">
        <v>8</v>
      </c>
      <c r="B2" s="9">
        <v>3</v>
      </c>
      <c r="C2" s="10">
        <v>1</v>
      </c>
      <c r="D2" s="11"/>
      <c r="E2" s="12" t="s">
        <v>9</v>
      </c>
      <c r="F2" s="9">
        <f>ROUND(IF(E$21="Position",I2,IF(E$21="Draft",ROUND(J2*(H2/2)*($E$24/12),0),AVERAGE(I2,ROUND(J2*(H2/2)*($E$24/12),0)))),0)</f>
        <v>22</v>
      </c>
      <c r="G2" s="5"/>
      <c r="H2" s="10">
        <v>2</v>
      </c>
      <c r="I2" s="10">
        <f>H2*E$24</f>
        <v>24</v>
      </c>
      <c r="J2" s="10">
        <v>22</v>
      </c>
    </row>
    <row r="3" spans="1:10" ht="21.25" customHeight="1" x14ac:dyDescent="0.15">
      <c r="A3" s="8" t="s">
        <v>10</v>
      </c>
      <c r="B3" s="9">
        <v>3</v>
      </c>
      <c r="C3" s="9">
        <v>1</v>
      </c>
      <c r="D3" s="11"/>
      <c r="E3" s="13" t="s">
        <v>11</v>
      </c>
      <c r="F3" s="9">
        <f>ROUND(IF(E$21="Position",I3,IF(E$21="Draft",ROUND(J3*(H3/2)*($E$24/12),0),AVERAGE(I3,ROUND(J3*(H3/2)*($E$24/12),0)))),0)</f>
        <v>21</v>
      </c>
      <c r="G3" s="5"/>
      <c r="H3" s="9">
        <v>2</v>
      </c>
      <c r="I3" s="9">
        <f>H3*E$24</f>
        <v>24</v>
      </c>
      <c r="J3" s="9">
        <v>21</v>
      </c>
    </row>
    <row r="4" spans="1:10" ht="21.25" customHeight="1" x14ac:dyDescent="0.15">
      <c r="A4" s="8" t="s">
        <v>1</v>
      </c>
      <c r="B4" s="14"/>
      <c r="C4" s="14"/>
      <c r="D4" s="11"/>
      <c r="E4" s="15" t="s">
        <v>12</v>
      </c>
      <c r="F4" s="9">
        <f>ROUND(IF(E$21="Position",I4,IF(E$21="Draft",ROUND(J4*(H4/2)*($E$24/12),0),AVERAGE(I4,ROUND(J4*(H4/2)*($E$24/12),0)))),0)</f>
        <v>18</v>
      </c>
      <c r="G4" s="5"/>
      <c r="H4" s="9">
        <v>2</v>
      </c>
      <c r="I4" s="9">
        <f>H4*E$24</f>
        <v>24</v>
      </c>
      <c r="J4" s="9">
        <v>18</v>
      </c>
    </row>
    <row r="5" spans="1:10" ht="21.25" customHeight="1" x14ac:dyDescent="0.15">
      <c r="A5" s="8" t="s">
        <v>13</v>
      </c>
      <c r="B5" s="9">
        <v>0.5</v>
      </c>
      <c r="C5" s="9">
        <v>1</v>
      </c>
      <c r="D5" s="11"/>
      <c r="E5" s="16" t="s">
        <v>14</v>
      </c>
      <c r="F5" s="9">
        <f>ROUND(IF(E$21="Position",I5,IF(E$21="Draft",ROUND(J5*(H5/4)*($E$24/12),0),AVERAGE(I5,ROUND(J5*(H5/4)*($E$24/12),0)))),0)</f>
        <v>18</v>
      </c>
      <c r="G5" s="5"/>
      <c r="H5" s="9">
        <v>4</v>
      </c>
      <c r="I5" s="9">
        <f>H5*E$24</f>
        <v>48</v>
      </c>
      <c r="J5" s="9">
        <v>18</v>
      </c>
    </row>
    <row r="6" spans="1:10" ht="21.25" customHeight="1" x14ac:dyDescent="0.15">
      <c r="A6" s="8" t="s">
        <v>15</v>
      </c>
      <c r="B6" s="9">
        <v>0.2</v>
      </c>
      <c r="C6" s="9">
        <v>1</v>
      </c>
      <c r="D6" s="11"/>
      <c r="E6" s="17" t="s">
        <v>16</v>
      </c>
      <c r="F6" s="9">
        <f>ROUND(IF(E$21="Position",I6,IF(E$21="Draft",ROUND(J6*(H6/2)*($E$24/12),0),AVERAGE(I6,ROUND(J6*(H6/2)*($E$24/12),0)))),0)</f>
        <v>11</v>
      </c>
      <c r="G6" s="5"/>
      <c r="H6" s="9">
        <v>1</v>
      </c>
      <c r="I6" s="9">
        <f>H6*E$24</f>
        <v>12</v>
      </c>
      <c r="J6" s="9">
        <v>21</v>
      </c>
    </row>
    <row r="7" spans="1:10" ht="21.25" customHeight="1" x14ac:dyDescent="0.15">
      <c r="A7" s="8" t="s">
        <v>17</v>
      </c>
      <c r="B7" s="14"/>
      <c r="C7" s="14"/>
      <c r="D7" s="11"/>
      <c r="E7" s="11"/>
      <c r="F7" s="18"/>
      <c r="G7" s="5"/>
      <c r="H7" s="18"/>
      <c r="I7" s="18"/>
      <c r="J7" s="18"/>
    </row>
    <row r="8" spans="1:10" ht="21.25" customHeight="1" x14ac:dyDescent="0.15">
      <c r="A8" s="8" t="s">
        <v>18</v>
      </c>
      <c r="B8" s="14"/>
      <c r="C8" s="14"/>
      <c r="D8" s="11"/>
      <c r="E8" s="164" t="s">
        <v>19</v>
      </c>
      <c r="F8" s="165"/>
      <c r="G8" s="19"/>
      <c r="H8" s="167" t="s">
        <v>20</v>
      </c>
      <c r="I8" s="165"/>
      <c r="J8" s="165"/>
    </row>
    <row r="9" spans="1:10" ht="21.25" customHeight="1" x14ac:dyDescent="0.15">
      <c r="A9" s="8" t="s">
        <v>21</v>
      </c>
      <c r="B9" s="9">
        <v>2</v>
      </c>
      <c r="C9" s="9">
        <v>1</v>
      </c>
      <c r="D9" s="11"/>
      <c r="E9" s="166" t="s">
        <v>22</v>
      </c>
      <c r="F9" s="165"/>
      <c r="G9" s="19"/>
      <c r="H9" s="21"/>
      <c r="I9" s="21"/>
      <c r="J9" s="21"/>
    </row>
    <row r="10" spans="1:10" ht="21.25" customHeight="1" x14ac:dyDescent="0.15">
      <c r="A10" s="8" t="s">
        <v>23</v>
      </c>
      <c r="B10" s="14"/>
      <c r="C10" s="14"/>
      <c r="D10" s="11"/>
      <c r="E10" s="11"/>
      <c r="F10" s="11"/>
      <c r="G10" s="19"/>
      <c r="H10" s="21"/>
      <c r="I10" s="21"/>
      <c r="J10" s="21"/>
    </row>
    <row r="11" spans="1:10" ht="21.25" customHeight="1" x14ac:dyDescent="0.15">
      <c r="A11" s="8" t="s">
        <v>24</v>
      </c>
      <c r="B11" s="9">
        <v>2</v>
      </c>
      <c r="C11" s="14"/>
      <c r="D11" s="11"/>
      <c r="E11" s="164" t="s">
        <v>25</v>
      </c>
      <c r="F11" s="165"/>
      <c r="G11" s="19"/>
      <c r="H11" s="167" t="s">
        <v>26</v>
      </c>
      <c r="I11" s="165"/>
      <c r="J11" s="165"/>
    </row>
    <row r="12" spans="1:10" ht="21.25" customHeight="1" x14ac:dyDescent="0.15">
      <c r="A12" s="8" t="s">
        <v>27</v>
      </c>
      <c r="B12" s="14"/>
      <c r="C12" s="14"/>
      <c r="D12" s="11"/>
      <c r="E12" s="166" t="s">
        <v>28</v>
      </c>
      <c r="F12" s="165"/>
      <c r="G12" s="19"/>
      <c r="H12" s="21"/>
      <c r="I12" s="21"/>
      <c r="J12" s="21"/>
    </row>
    <row r="13" spans="1:10" ht="21.25" customHeight="1" x14ac:dyDescent="0.15">
      <c r="A13" s="8" t="s">
        <v>29</v>
      </c>
      <c r="B13" s="14"/>
      <c r="C13" s="14"/>
      <c r="D13" s="11"/>
      <c r="E13" s="11"/>
      <c r="F13" s="11"/>
      <c r="G13" s="19"/>
      <c r="H13" s="21"/>
      <c r="I13" s="21"/>
      <c r="J13" s="21"/>
    </row>
    <row r="14" spans="1:10" ht="21.25" customHeight="1" x14ac:dyDescent="0.15">
      <c r="A14" s="8" t="s">
        <v>30</v>
      </c>
      <c r="B14" s="14"/>
      <c r="C14" s="9">
        <v>1</v>
      </c>
      <c r="D14" s="11"/>
      <c r="E14" s="164" t="s">
        <v>31</v>
      </c>
      <c r="F14" s="165"/>
      <c r="G14" s="19"/>
      <c r="H14" s="167" t="s">
        <v>32</v>
      </c>
      <c r="I14" s="165"/>
      <c r="J14" s="165"/>
    </row>
    <row r="15" spans="1:10" ht="21.25" customHeight="1" x14ac:dyDescent="0.15">
      <c r="A15" s="8" t="s">
        <v>33</v>
      </c>
      <c r="B15" s="14"/>
      <c r="C15" s="14"/>
      <c r="D15" s="11"/>
      <c r="E15" s="166" t="s">
        <v>1</v>
      </c>
      <c r="F15" s="165"/>
      <c r="G15" s="19"/>
      <c r="H15" s="21"/>
      <c r="I15" s="21"/>
      <c r="J15" s="21"/>
    </row>
    <row r="16" spans="1:10" ht="21.25" customHeight="1" x14ac:dyDescent="0.15">
      <c r="A16" s="8" t="s">
        <v>34</v>
      </c>
      <c r="B16" s="14"/>
      <c r="C16" s="14"/>
      <c r="D16" s="11"/>
      <c r="E16" s="11"/>
      <c r="F16" s="11"/>
      <c r="G16" s="21"/>
      <c r="H16" s="21"/>
      <c r="I16" s="21"/>
      <c r="J16" s="21"/>
    </row>
    <row r="17" spans="1:10" ht="21.25" customHeight="1" x14ac:dyDescent="0.15">
      <c r="A17" s="8" t="s">
        <v>35</v>
      </c>
      <c r="B17" s="14"/>
      <c r="C17" s="14"/>
      <c r="D17" s="11"/>
      <c r="E17" s="164" t="s">
        <v>36</v>
      </c>
      <c r="F17" s="165"/>
      <c r="G17" s="21"/>
      <c r="H17" s="167" t="s">
        <v>37</v>
      </c>
      <c r="I17" s="165"/>
      <c r="J17" s="165"/>
    </row>
    <row r="18" spans="1:10" ht="21.25" customHeight="1" x14ac:dyDescent="0.15">
      <c r="A18" s="8" t="s">
        <v>38</v>
      </c>
      <c r="B18" s="14"/>
      <c r="C18" s="14"/>
      <c r="D18" s="11"/>
      <c r="E18" s="166" t="s">
        <v>39</v>
      </c>
      <c r="F18" s="165"/>
      <c r="G18" s="21"/>
      <c r="H18" s="21"/>
      <c r="I18" s="21"/>
      <c r="J18" s="21"/>
    </row>
    <row r="19" spans="1:10" ht="21.25" customHeight="1" x14ac:dyDescent="0.15">
      <c r="A19" s="8" t="s">
        <v>40</v>
      </c>
      <c r="B19" s="14"/>
      <c r="C19" s="14"/>
      <c r="D19" s="11"/>
      <c r="E19" s="11"/>
      <c r="F19" s="11"/>
      <c r="G19" s="21"/>
      <c r="H19" s="21"/>
      <c r="I19" s="21"/>
      <c r="J19" s="21"/>
    </row>
    <row r="20" spans="1:10" ht="21.25" customHeight="1" x14ac:dyDescent="0.15">
      <c r="A20" s="8"/>
      <c r="B20" s="14"/>
      <c r="C20" s="14"/>
      <c r="D20" s="11"/>
      <c r="E20" s="164" t="s">
        <v>41</v>
      </c>
      <c r="F20" s="165"/>
      <c r="G20" s="21"/>
      <c r="H20" s="167" t="s">
        <v>42</v>
      </c>
      <c r="I20" s="165"/>
      <c r="J20" s="165"/>
    </row>
    <row r="21" spans="1:10" ht="21.25" customHeight="1" x14ac:dyDescent="0.15">
      <c r="A21" s="8" t="s">
        <v>43</v>
      </c>
      <c r="B21" s="9">
        <v>3</v>
      </c>
      <c r="C21" s="9">
        <v>1</v>
      </c>
      <c r="D21" s="11"/>
      <c r="E21" s="166" t="s">
        <v>44</v>
      </c>
      <c r="F21" s="165"/>
      <c r="G21" s="21"/>
      <c r="H21" s="21"/>
      <c r="I21" s="21"/>
      <c r="J21" s="21"/>
    </row>
    <row r="22" spans="1:10" ht="21.25" customHeight="1" x14ac:dyDescent="0.15">
      <c r="A22" s="8" t="s">
        <v>45</v>
      </c>
      <c r="B22" s="14"/>
      <c r="C22" s="14"/>
      <c r="D22" s="11"/>
      <c r="E22" s="11"/>
      <c r="F22" s="11"/>
      <c r="G22" s="21"/>
      <c r="H22" s="21"/>
      <c r="I22" s="21"/>
      <c r="J22" s="21"/>
    </row>
    <row r="23" spans="1:10" ht="21.25" customHeight="1" x14ac:dyDescent="0.15">
      <c r="A23" s="8" t="s">
        <v>46</v>
      </c>
      <c r="B23" s="14"/>
      <c r="C23" s="14"/>
      <c r="D23" s="11"/>
      <c r="E23" s="164" t="s">
        <v>47</v>
      </c>
      <c r="F23" s="165"/>
      <c r="G23" s="11"/>
      <c r="H23" s="11"/>
      <c r="I23" s="11"/>
      <c r="J23" s="11"/>
    </row>
    <row r="24" spans="1:10" ht="21.25" customHeight="1" x14ac:dyDescent="0.15">
      <c r="A24" s="8" t="s">
        <v>48</v>
      </c>
      <c r="B24" s="9">
        <v>2</v>
      </c>
      <c r="C24" s="9">
        <v>1</v>
      </c>
      <c r="D24" s="11"/>
      <c r="E24" s="168">
        <v>12</v>
      </c>
      <c r="F24" s="165"/>
      <c r="G24" s="11"/>
      <c r="H24" s="11"/>
      <c r="I24" s="11"/>
      <c r="J24" s="11"/>
    </row>
    <row r="25" spans="1:10" ht="21.25" customHeight="1" x14ac:dyDescent="0.15">
      <c r="A25" s="8" t="s">
        <v>49</v>
      </c>
      <c r="B25" s="9">
        <v>0.5</v>
      </c>
      <c r="C25" s="14"/>
      <c r="D25" s="11"/>
      <c r="E25" s="11"/>
      <c r="F25" s="11"/>
      <c r="G25" s="11"/>
      <c r="H25" s="11"/>
      <c r="I25" s="11"/>
      <c r="J25" s="11"/>
    </row>
    <row r="26" spans="1:10" ht="21.25" customHeight="1" x14ac:dyDescent="0.15">
      <c r="A26" s="8" t="s">
        <v>50</v>
      </c>
      <c r="B26" s="14"/>
      <c r="C26" s="9">
        <v>1</v>
      </c>
      <c r="D26" s="11"/>
      <c r="E26" s="169" t="s">
        <v>51</v>
      </c>
      <c r="F26" s="170"/>
      <c r="G26" s="11"/>
      <c r="H26" s="167" t="s">
        <v>52</v>
      </c>
      <c r="I26" s="165"/>
      <c r="J26" s="165"/>
    </row>
    <row r="27" spans="1:10" ht="21.25" customHeight="1" x14ac:dyDescent="0.15">
      <c r="A27" s="8" t="s">
        <v>53</v>
      </c>
      <c r="B27" s="9">
        <v>-3</v>
      </c>
      <c r="C27" s="14"/>
      <c r="D27" s="11"/>
      <c r="E27" s="171" t="s">
        <v>54</v>
      </c>
      <c r="F27" s="172"/>
      <c r="G27" s="11"/>
      <c r="H27" s="165"/>
      <c r="I27" s="165"/>
      <c r="J27" s="165"/>
    </row>
    <row r="28" spans="1:10" ht="21.25" customHeight="1" x14ac:dyDescent="0.15">
      <c r="A28" s="8" t="s">
        <v>55</v>
      </c>
      <c r="B28" s="14"/>
      <c r="C28" s="9">
        <v>1</v>
      </c>
      <c r="D28" s="11"/>
      <c r="E28" s="20" t="s">
        <v>56</v>
      </c>
      <c r="F28" s="22">
        <v>0.2</v>
      </c>
      <c r="G28" s="11"/>
      <c r="H28" s="167" t="s">
        <v>57</v>
      </c>
      <c r="I28" s="165"/>
      <c r="J28" s="165"/>
    </row>
    <row r="29" spans="1:10" ht="21.25" customHeight="1" x14ac:dyDescent="0.15">
      <c r="A29" s="8" t="s">
        <v>58</v>
      </c>
      <c r="B29" s="14"/>
      <c r="C29" s="14"/>
      <c r="D29" s="11"/>
      <c r="E29" s="20" t="s">
        <v>59</v>
      </c>
      <c r="F29" s="22">
        <v>0.1</v>
      </c>
      <c r="G29" s="11"/>
      <c r="H29" s="165"/>
      <c r="I29" s="165"/>
      <c r="J29" s="165"/>
    </row>
    <row r="30" spans="1:10" ht="21.25" customHeight="1" x14ac:dyDescent="0.15">
      <c r="A30" s="23"/>
      <c r="B30" s="14"/>
      <c r="C30" s="14"/>
      <c r="D30" s="11"/>
      <c r="E30" s="20" t="s">
        <v>60</v>
      </c>
      <c r="F30" s="22">
        <v>0.05</v>
      </c>
      <c r="G30" s="11"/>
      <c r="H30" s="167" t="s">
        <v>61</v>
      </c>
      <c r="I30" s="165"/>
      <c r="J30" s="165"/>
    </row>
    <row r="31" spans="1:10" ht="21.25" customHeight="1" x14ac:dyDescent="0.15">
      <c r="A31" s="23"/>
      <c r="B31" s="14"/>
      <c r="C31" s="14"/>
      <c r="D31" s="11"/>
      <c r="E31" s="20" t="s">
        <v>62</v>
      </c>
      <c r="F31" s="22">
        <v>-0.05</v>
      </c>
      <c r="G31" s="11"/>
      <c r="H31" s="165"/>
      <c r="I31" s="165"/>
      <c r="J31" s="165"/>
    </row>
    <row r="32" spans="1:10" ht="21.25" customHeight="1" x14ac:dyDescent="0.15">
      <c r="A32" s="23"/>
      <c r="B32" s="14"/>
      <c r="C32" s="14"/>
      <c r="D32" s="11"/>
      <c r="E32" s="20" t="s">
        <v>63</v>
      </c>
      <c r="F32" s="22">
        <v>-0.1</v>
      </c>
      <c r="G32" s="11"/>
      <c r="H32" s="165"/>
      <c r="I32" s="165"/>
      <c r="J32" s="165"/>
    </row>
    <row r="33" spans="1:10" ht="21.25" customHeight="1" x14ac:dyDescent="0.15">
      <c r="A33" s="23"/>
      <c r="B33" s="14"/>
      <c r="C33" s="14"/>
      <c r="D33" s="11"/>
      <c r="E33" s="20" t="s">
        <v>64</v>
      </c>
      <c r="F33" s="22">
        <v>-0.2</v>
      </c>
      <c r="G33" s="11"/>
      <c r="H33" s="21"/>
      <c r="I33" s="21"/>
      <c r="J33" s="21"/>
    </row>
  </sheetData>
  <mergeCells count="22">
    <mergeCell ref="E26:F26"/>
    <mergeCell ref="H26:J27"/>
    <mergeCell ref="H28:J29"/>
    <mergeCell ref="H30:J32"/>
    <mergeCell ref="E27:F27"/>
    <mergeCell ref="E23:F23"/>
    <mergeCell ref="E24:F24"/>
    <mergeCell ref="E20:F20"/>
    <mergeCell ref="E21:F21"/>
    <mergeCell ref="H20:J20"/>
    <mergeCell ref="E15:F15"/>
    <mergeCell ref="E17:F17"/>
    <mergeCell ref="E18:F18"/>
    <mergeCell ref="H8:J8"/>
    <mergeCell ref="H11:J11"/>
    <mergeCell ref="H14:J14"/>
    <mergeCell ref="H17:J17"/>
    <mergeCell ref="E8:F8"/>
    <mergeCell ref="E9:F9"/>
    <mergeCell ref="E11:F11"/>
    <mergeCell ref="E12:F12"/>
    <mergeCell ref="E14:F14"/>
  </mergeCells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S727"/>
  <sheetViews>
    <sheetView showGridLines="0" tabSelected="1" workbookViewId="0">
      <pane ySplit="1" topLeftCell="A2" activePane="bottomLeft" state="frozen"/>
      <selection pane="bottomLeft" activeCell="K7" sqref="K7"/>
    </sheetView>
  </sheetViews>
  <sheetFormatPr baseColWidth="10" defaultColWidth="8" defaultRowHeight="16.25" customHeight="1" x14ac:dyDescent="0.15"/>
  <cols>
    <col min="1" max="1" width="4.6640625" style="1" customWidth="1"/>
    <col min="2" max="2" width="28.33203125" style="1" customWidth="1"/>
    <col min="3" max="4" width="7.1640625" style="1" customWidth="1"/>
    <col min="5" max="5" width="6" style="1" customWidth="1"/>
    <col min="6" max="14" width="8.33203125" style="1" customWidth="1"/>
    <col min="15" max="15" width="3.5" style="1" customWidth="1"/>
    <col min="16" max="34" width="7.1640625" style="1" customWidth="1"/>
    <col min="35" max="35" width="2.33203125" style="1" customWidth="1"/>
    <col min="36" max="44" width="7.1640625" style="1" customWidth="1"/>
    <col min="45" max="45" width="2.33203125" style="1" customWidth="1"/>
    <col min="46" max="46" width="8" style="1" customWidth="1"/>
    <col min="47" max="16384" width="8" style="1"/>
  </cols>
  <sheetData>
    <row r="1" spans="1:45" ht="48" customHeight="1" x14ac:dyDescent="0.15">
      <c r="A1" s="24" t="s">
        <v>65</v>
      </c>
      <c r="B1" s="25" t="s">
        <v>66</v>
      </c>
      <c r="C1" s="26" t="s">
        <v>67</v>
      </c>
      <c r="D1" s="173" t="s">
        <v>68</v>
      </c>
      <c r="E1" s="170"/>
      <c r="F1" s="26" t="s">
        <v>69</v>
      </c>
      <c r="G1" s="26" t="s">
        <v>70</v>
      </c>
      <c r="H1" s="26" t="s">
        <v>71</v>
      </c>
      <c r="I1" s="27" t="s">
        <v>72</v>
      </c>
      <c r="J1" s="26" t="s">
        <v>73</v>
      </c>
      <c r="K1" s="27" t="s">
        <v>74</v>
      </c>
      <c r="L1" s="27" t="s">
        <v>75</v>
      </c>
      <c r="M1" s="27" t="s">
        <v>76</v>
      </c>
      <c r="N1" s="27" t="s">
        <v>77</v>
      </c>
      <c r="O1" s="28"/>
      <c r="P1" s="29" t="s">
        <v>78</v>
      </c>
      <c r="Q1" s="30" t="s">
        <v>79</v>
      </c>
      <c r="R1" s="30" t="s">
        <v>80</v>
      </c>
      <c r="S1" s="30" t="s">
        <v>81</v>
      </c>
      <c r="T1" s="30" t="s">
        <v>82</v>
      </c>
      <c r="U1" s="30" t="s">
        <v>83</v>
      </c>
      <c r="V1" s="30" t="s">
        <v>84</v>
      </c>
      <c r="W1" s="30" t="s">
        <v>85</v>
      </c>
      <c r="X1" s="30" t="s">
        <v>86</v>
      </c>
      <c r="Y1" s="30" t="s">
        <v>87</v>
      </c>
      <c r="Z1" s="30" t="s">
        <v>88</v>
      </c>
      <c r="AA1" s="30" t="s">
        <v>89</v>
      </c>
      <c r="AB1" s="30" t="s">
        <v>90</v>
      </c>
      <c r="AC1" s="30" t="s">
        <v>91</v>
      </c>
      <c r="AD1" s="30" t="s">
        <v>92</v>
      </c>
      <c r="AE1" s="30" t="s">
        <v>93</v>
      </c>
      <c r="AF1" s="30" t="s">
        <v>94</v>
      </c>
      <c r="AG1" s="30" t="s">
        <v>95</v>
      </c>
      <c r="AH1" s="30" t="s">
        <v>96</v>
      </c>
      <c r="AI1" s="28"/>
      <c r="AJ1" s="30" t="s">
        <v>79</v>
      </c>
      <c r="AK1" s="30" t="s">
        <v>97</v>
      </c>
      <c r="AL1" s="30" t="s">
        <v>98</v>
      </c>
      <c r="AM1" s="30" t="s">
        <v>99</v>
      </c>
      <c r="AN1" s="30" t="s">
        <v>100</v>
      </c>
      <c r="AO1" s="30" t="s">
        <v>101</v>
      </c>
      <c r="AP1" s="30" t="s">
        <v>102</v>
      </c>
      <c r="AQ1" s="30" t="s">
        <v>103</v>
      </c>
      <c r="AR1" s="30" t="s">
        <v>104</v>
      </c>
      <c r="AS1" s="28"/>
    </row>
    <row r="2" spans="1:45" ht="21.25" customHeight="1" x14ac:dyDescent="0.15">
      <c r="A2" s="31">
        <f>RANK(K2,K$2:K$727)</f>
        <v>1</v>
      </c>
      <c r="B2" s="8" t="s">
        <v>105</v>
      </c>
      <c r="C2" s="32" t="s">
        <v>106</v>
      </c>
      <c r="D2" s="33" t="str">
        <f>VLOOKUP(B2,'Player Data'!A1:D734,4,FALSE)</f>
        <v>C</v>
      </c>
      <c r="E2" s="34">
        <f>VLOOKUP(B2,'C'!A1:C211,3,FALSE)</f>
        <v>1</v>
      </c>
      <c r="F2" s="35" t="str">
        <f>VLOOKUP(B2,'Player Data'!A1:B734,2,FALSE)</f>
        <v>EDM</v>
      </c>
      <c r="G2" s="9">
        <f>VLOOKUP(B2,'Player Data'!A1:D734,3,FALSE)</f>
        <v>26</v>
      </c>
      <c r="H2" s="36">
        <f>IFERROR(VLOOKUP(B2,ADP!A1:G728,7,FALSE)/1000000,VLOOKUP(B2,ADP!A1:G728,7,FALSE))</f>
        <v>12.5</v>
      </c>
      <c r="I2" s="37">
        <f>IF(Settings!$E$15="POINTS",((R2*Q2)*Settings!$B$12)+(S2*Settings!$B$2)+(T2*Settings!$B$3)+(U2*Settings!$B$4)+(V2*Settings!$B$5)+(X2*Settings!$B$9)+(AA2*Settings!$B$6)+(W2*Settings!$B$8)+(AB2*Settings!$B$7)+(AC2*Settings!$B$14)+(AD2*Settings!$B$15)+(AE2*Settings!$B$16)+(AF2*Settings!$B$17)+(AG2*Settings!$B$18)+(Y2*Settings!$B$10)+(Z2*Settings!$B$11),VLOOKUP(B2,'Standard Deviations'!A1:C728,3,FALSE))</f>
        <v>725.95094051984688</v>
      </c>
      <c r="J2" s="38">
        <f>IF(D2="G",I2/AJ2,I2/Q2)</f>
        <v>8.8795907347544123</v>
      </c>
      <c r="K2" s="37">
        <f>IF(Settings!$E$18="C/LW/RW",VLOOKUP(B2,'C'!A1:F211,6,FALSE),VLOOKUP(B2,F!A1:F430,6,FALSE))</f>
        <v>332.62213475363723</v>
      </c>
      <c r="L2" s="37">
        <f>IFERROR(K2/H2,"N/A")</f>
        <v>26.60977078029098</v>
      </c>
      <c r="M2" s="39">
        <f>IF(Settings!$E$9="YAHOO",VLOOKUP(B2,ADP!A1:E728,2,FALSE),IF(Settings!$E$9="ESPN",VLOOKUP(B2,ADP!A1:E728,3,FALSE),IF(Settings!$E$9="FANTRAX",VLOOKUP(B2,ADP!A1:E728,4,FALSE),VLOOKUP(B2,ADP!A1:E728,5,FALSE))))</f>
        <v>1.1000000000000001</v>
      </c>
      <c r="N2" s="39">
        <f>IFERROR(M2-A2,"N/A")</f>
        <v>0.10000000000000009</v>
      </c>
      <c r="O2" s="39"/>
      <c r="P2" s="40" t="str">
        <f>IF(Settings!$E$27="ON",VLOOKUP(B2,ADP!A1:H728,8,FALSE)," ")</f>
        <v xml:space="preserve"> </v>
      </c>
      <c r="Q2" s="41">
        <f>IF(Settings!$E$12="YES",VLOOKUP(B2,'Player Data'!A1:E734,5,FALSE),82)</f>
        <v>81.754999999999995</v>
      </c>
      <c r="R2" s="39">
        <f>VLOOKUP(B2,'Player Data'!$A1:$AE734,6,FALSE)</f>
        <v>22.290784001524401</v>
      </c>
      <c r="S2" s="41">
        <f>VLOOKUP(B2,'Player Data'!$A1:$AE734,7,FALSE)*$Q2*IFERROR((VLOOKUP(P2,Settings!$E$28:$F$33,2,FALSE)+1),1)</f>
        <v>54.34279070224791</v>
      </c>
      <c r="T2" s="41">
        <f>VLOOKUP(B2,'Player Data'!$A1:$AE734,8,FALSE)*$Q2*IFERROR((VLOOKUP(P2,Settings!$E$28:$F$33,2,FALSE)+1),1)</f>
        <v>87.235733973821723</v>
      </c>
      <c r="U2" s="41">
        <f>SUM(S2:T2)</f>
        <v>141.57852467606963</v>
      </c>
      <c r="V2" s="41">
        <f>VLOOKUP(B2,'Player Data'!$A1:$AE734,10,FALSE)*$Q2*IFERROR(((VLOOKUP(P2,Settings!$E$28:$F$33,2,FALSE)/2)+1),1)</f>
        <v>333.40571183661382</v>
      </c>
      <c r="W2" s="41">
        <f>VLOOKUP(B2,'Player Data'!$A1:$AE734,11,FALSE)*$Q2*IFERROR((VLOOKUP(P2,Settings!$E$28:$F$33,2,FALSE)+1),1)</f>
        <v>16.212496604277177</v>
      </c>
      <c r="X2" s="41">
        <f>VLOOKUP(B2,'Player Data'!$A1:$AE734,12,FALSE)*$Q2*IFERROR((VLOOKUP(P2,Settings!$E$28:$F$33,2,FALSE)+1),1)</f>
        <v>59.420431388116839</v>
      </c>
      <c r="Y2" s="41">
        <f>VLOOKUP(B2,'Player Data'!$A1:$AE734,13,FALSE)*$Q2</f>
        <v>1.9156006035245863</v>
      </c>
      <c r="Z2" s="41">
        <f>VLOOKUP(B2,'Player Data'!$A1:$AE734,14,FALSE)*$Q2</f>
        <v>4.1631685212186227</v>
      </c>
      <c r="AA2" s="41">
        <f>VLOOKUP(B2,'Player Data'!$A1:$AE734,15,FALSE)*$Q2</f>
        <v>36.726553773300765</v>
      </c>
      <c r="AB2" s="41">
        <f>VLOOKUP(B2,'Player Data'!$A1:$AE734,16,FALSE)*$Q2</f>
        <v>82.840771319752051</v>
      </c>
      <c r="AC2" s="41">
        <f>VLOOKUP(B2,'Player Data'!$A1:$AE734,17,FALSE)*$Q2*IFERROR((VLOOKUP(P2,Settings!$E$28:$F$33,2,FALSE)+1),1)</f>
        <v>10.972176215301213</v>
      </c>
      <c r="AD2" s="41">
        <f>VLOOKUP(B2,'Player Data'!$A1:$AE734,18,FALSE)*$Q2</f>
        <v>36.107811529274159</v>
      </c>
      <c r="AE2" s="41">
        <f>VLOOKUP(B2,'Player Data'!$A1:$AE734,19,FALSE)*$Q2*IFERROR((VLOOKUP(P2,Settings!$E$28:$F$33,2,FALSE)+1),1)</f>
        <v>8.6018803644553667</v>
      </c>
      <c r="AF2" s="41">
        <f>VLOOKUP(B2,'Player Data'!$A1:$AE734,20,FALSE)*$Q2</f>
        <v>525.23182439395316</v>
      </c>
      <c r="AG2" s="41">
        <f>VLOOKUP(B2,'Player Data'!$A1:$AE734,21,FALSE)*$Q2</f>
        <v>482.82853526363789</v>
      </c>
      <c r="AH2" s="42">
        <f>VLOOKUP(B2,'Player Data'!$A1:$AE734,22,FALSE)</f>
        <v>0.521032118128679</v>
      </c>
      <c r="AI2" s="39"/>
      <c r="AJ2" s="43"/>
      <c r="AK2" s="41"/>
      <c r="AL2" s="41"/>
      <c r="AM2" s="41"/>
      <c r="AN2" s="41"/>
      <c r="AO2" s="41"/>
      <c r="AP2" s="41"/>
      <c r="AQ2" s="44"/>
      <c r="AR2" s="45"/>
      <c r="AS2" s="39"/>
    </row>
    <row r="3" spans="1:45" ht="21.25" customHeight="1" x14ac:dyDescent="0.15">
      <c r="A3" s="31">
        <f>RANK(K3,K$2:K$727)</f>
        <v>2</v>
      </c>
      <c r="B3" s="8" t="s">
        <v>107</v>
      </c>
      <c r="C3" s="32" t="s">
        <v>106</v>
      </c>
      <c r="D3" s="33" t="str">
        <f>VLOOKUP(B3,'Player Data'!A1:D734,4,FALSE)</f>
        <v>C</v>
      </c>
      <c r="E3" s="34">
        <f>VLOOKUP(B3,'C'!A1:C211,3,FALSE)</f>
        <v>2</v>
      </c>
      <c r="F3" s="35" t="str">
        <f>VLOOKUP(B3,'Player Data'!A1:B734,2,FALSE)</f>
        <v>EDM</v>
      </c>
      <c r="G3" s="9">
        <f>VLOOKUP(B3,'Player Data'!A1:D734,3,FALSE)</f>
        <v>27</v>
      </c>
      <c r="H3" s="36">
        <f>IFERROR(VLOOKUP(B3,ADP!A1:G728,7,FALSE)/1000000,VLOOKUP(B3,ADP!A1:G728,7,FALSE))</f>
        <v>8.5</v>
      </c>
      <c r="I3" s="37">
        <f>IF(Settings!$E$15="POINTS",((R3*Q3)*Settings!$B$12)+(S3*Settings!$B$2)+(T3*Settings!$B$3)+(U3*Settings!$B$4)+(V3*Settings!$B$5)+(X3*Settings!$B$9)+(AA3*Settings!$B$6)+(W3*Settings!$B$8)+(AB3*Settings!$B$7)+(AC3*Settings!$B$14)+(AD3*Settings!$B$15)+(AE3*Settings!$B$16)+(AF3*Settings!$B$17)+(AG3*Settings!$B$18)+(Y3*Settings!$B$10)+(Z3*Settings!$B$11),VLOOKUP(B3,'Standard Deviations'!A1:C728,3,FALSE))</f>
        <v>603.71400231757525</v>
      </c>
      <c r="J3" s="38">
        <f>IF(D3="G",I3/AJ3,I3/Q3)</f>
        <v>7.416633935105347</v>
      </c>
      <c r="K3" s="37">
        <f>IF(Settings!$E$18="C/LW/RW",VLOOKUP(B3,'C'!A1:F211,6,FALSE),VLOOKUP(B3,F!A1:F430,6,FALSE))</f>
        <v>210.3851965513656</v>
      </c>
      <c r="L3" s="37">
        <f>IFERROR(K3/H3,"N/A")</f>
        <v>24.751199594278305</v>
      </c>
      <c r="M3" s="39">
        <f>IF(Settings!$E$9="YAHOO",VLOOKUP(B3,ADP!A1:E728,2,FALSE),IF(Settings!$E$9="ESPN",VLOOKUP(B3,ADP!A1:E728,3,FALSE),IF(Settings!$E$9="FANTRAX",VLOOKUP(B3,ADP!A1:E728,4,FALSE),VLOOKUP(B3,ADP!A1:E728,5,FALSE))))</f>
        <v>2.4</v>
      </c>
      <c r="N3" s="39">
        <f>IFERROR(M3-A3,"N/A")</f>
        <v>0.39999999999999991</v>
      </c>
      <c r="O3" s="39"/>
      <c r="P3" s="40" t="str">
        <f>IF(Settings!$E$27="ON",VLOOKUP(B3,ADP!A1:H728,8,FALSE)," ")</f>
        <v xml:space="preserve"> </v>
      </c>
      <c r="Q3" s="41">
        <f>IF(Settings!$E$12="YES",VLOOKUP(B3,'Player Data'!A1:E734,5,FALSE),82)</f>
        <v>81.400000000000006</v>
      </c>
      <c r="R3" s="39">
        <f>VLOOKUP(B3,'Player Data'!$A1:$AE734,6,FALSE)</f>
        <v>21.669641814024398</v>
      </c>
      <c r="S3" s="41">
        <f>VLOOKUP(B3,'Player Data'!$A1:$AE734,7,FALSE)*$Q3*IFERROR((VLOOKUP(P3,Settings!$E$28:$F$33,2,FALSE)+1),1)</f>
        <v>51.600735330685517</v>
      </c>
      <c r="T3" s="41">
        <f>VLOOKUP(B3,'Player Data'!$A1:$AE734,8,FALSE)*$Q3*IFERROR((VLOOKUP(P3,Settings!$E$28:$F$33,2,FALSE)+1),1)</f>
        <v>68.870781856268195</v>
      </c>
      <c r="U3" s="41">
        <f>SUM(S3:T3)</f>
        <v>120.47151718695372</v>
      </c>
      <c r="V3" s="41">
        <f>VLOOKUP(B3,'Player Data'!$A1:$AE734,10,FALSE)*$Q3*IFERROR(((VLOOKUP(P3,Settings!$E$28:$F$33,2,FALSE)/2)+1),1)</f>
        <v>255.62899163803317</v>
      </c>
      <c r="W3" s="41">
        <f>VLOOKUP(B3,'Player Data'!$A1:$AE734,11,FALSE)*$Q3*IFERROR((VLOOKUP(P3,Settings!$E$28:$F$33,2,FALSE)+1),1)</f>
        <v>27.380440643525954</v>
      </c>
      <c r="X3" s="41">
        <f>VLOOKUP(B3,'Player Data'!$A1:$AE734,12,FALSE)*$Q3*IFERROR((VLOOKUP(P3,Settings!$E$28:$F$33,2,FALSE)+1),1)</f>
        <v>52.672327191630146</v>
      </c>
      <c r="Y3" s="41">
        <f>VLOOKUP(B3,'Player Data'!$A1:$AE734,13,FALSE)*$Q3</f>
        <v>0.66893663308520679</v>
      </c>
      <c r="Z3" s="41">
        <f>VLOOKUP(B3,'Player Data'!$A1:$AE734,14,FALSE)*$Q3</f>
        <v>1.0426784232709532</v>
      </c>
      <c r="AA3" s="41">
        <f>VLOOKUP(B3,'Player Data'!$A1:$AE734,15,FALSE)*$Q3</f>
        <v>35.274718539476311</v>
      </c>
      <c r="AB3" s="41">
        <f>VLOOKUP(B3,'Player Data'!$A1:$AE734,16,FALSE)*$Q3</f>
        <v>61.649650188726994</v>
      </c>
      <c r="AC3" s="41">
        <f>VLOOKUP(B3,'Player Data'!$A1:$AE734,17,FALSE)*$Q3*IFERROR((VLOOKUP(P3,Settings!$E$28:$F$33,2,FALSE)+1),1)</f>
        <v>6.9902893781322843</v>
      </c>
      <c r="AD3" s="41">
        <f>VLOOKUP(B3,'Player Data'!$A1:$AE734,18,FALSE)*$Q3</f>
        <v>32.638266777537787</v>
      </c>
      <c r="AE3" s="41">
        <f>VLOOKUP(B3,'Player Data'!$A1:$AE734,19,FALSE)*$Q3*IFERROR((VLOOKUP(P3,Settings!$E$28:$F$33,2,FALSE)+1),1)</f>
        <v>8.1678424368095506</v>
      </c>
      <c r="AF3" s="41">
        <f>VLOOKUP(B3,'Player Data'!$A1:$AE734,20,FALSE)*$Q3</f>
        <v>823.33745093834773</v>
      </c>
      <c r="AG3" s="41">
        <f>VLOOKUP(B3,'Player Data'!$A1:$AE734,21,FALSE)*$Q3</f>
        <v>687.92665693731124</v>
      </c>
      <c r="AH3" s="42">
        <f>VLOOKUP(B3,'Player Data'!$A1:$AE734,22,FALSE)</f>
        <v>0.54480050617736797</v>
      </c>
      <c r="AI3" s="39"/>
      <c r="AJ3" s="41"/>
      <c r="AK3" s="41"/>
      <c r="AL3" s="41"/>
      <c r="AM3" s="41"/>
      <c r="AN3" s="41"/>
      <c r="AO3" s="41"/>
      <c r="AP3" s="41"/>
      <c r="AQ3" s="44"/>
      <c r="AR3" s="45"/>
      <c r="AS3" s="39"/>
    </row>
    <row r="4" spans="1:45" ht="21.25" customHeight="1" x14ac:dyDescent="0.15">
      <c r="A4" s="31">
        <f>RANK(K4,K$2:K$727)</f>
        <v>3</v>
      </c>
      <c r="B4" s="8" t="s">
        <v>108</v>
      </c>
      <c r="C4" s="32" t="s">
        <v>106</v>
      </c>
      <c r="D4" s="33" t="str">
        <f>VLOOKUP(B4,'Player Data'!A1:D734,4,FALSE)</f>
        <v>C</v>
      </c>
      <c r="E4" s="34">
        <f>VLOOKUP(B4,'C'!A1:C211,3,FALSE)</f>
        <v>3</v>
      </c>
      <c r="F4" s="35" t="str">
        <f>VLOOKUP(B4,'Player Data'!A1:B734,2,FALSE)</f>
        <v>COL</v>
      </c>
      <c r="G4" s="9">
        <f>VLOOKUP(B4,'Player Data'!A1:D734,3,FALSE)</f>
        <v>27</v>
      </c>
      <c r="H4" s="36">
        <f>IFERROR(VLOOKUP(B4,ADP!A1:G728,7,FALSE)/1000000,VLOOKUP(B4,ADP!A1:G728,7,FALSE))</f>
        <v>12.6</v>
      </c>
      <c r="I4" s="37">
        <f>IF(Settings!$E$15="POINTS",((R4*Q4)*Settings!$B$12)+(S4*Settings!$B$2)+(T4*Settings!$B$3)+(U4*Settings!$B$4)+(V4*Settings!$B$5)+(X4*Settings!$B$9)+(AA4*Settings!$B$6)+(W4*Settings!$B$8)+(AB4*Settings!$B$7)+(AC4*Settings!$B$14)+(AD4*Settings!$B$15)+(AE4*Settings!$B$16)+(AF4*Settings!$B$17)+(AG4*Settings!$B$18)+(Y4*Settings!$B$10)+(Z4*Settings!$B$11),VLOOKUP(B4,'Standard Deviations'!A1:C728,3,FALSE))</f>
        <v>601.12060820531156</v>
      </c>
      <c r="J4" s="38">
        <f>IF(D4="G",I4/AJ4,I4/Q4)</f>
        <v>7.8507486425560327</v>
      </c>
      <c r="K4" s="37">
        <f>IF(Settings!$E$18="C/LW/RW",VLOOKUP(B4,'C'!A1:F211,6,FALSE),VLOOKUP(B4,F!A1:F430,6,FALSE))</f>
        <v>207.7918024391019</v>
      </c>
      <c r="L4" s="37">
        <f>IFERROR(K4/H4,"N/A")</f>
        <v>16.491412891992216</v>
      </c>
      <c r="M4" s="39">
        <f>IF(Settings!$E$9="YAHOO",VLOOKUP(B4,ADP!A1:E728,2,FALSE),IF(Settings!$E$9="ESPN",VLOOKUP(B4,ADP!A1:E728,3,FALSE),IF(Settings!$E$9="FANTRAX",VLOOKUP(B4,ADP!A1:E728,4,FALSE),VLOOKUP(B4,ADP!A1:E728,5,FALSE))))</f>
        <v>3.9</v>
      </c>
      <c r="N4" s="39">
        <f>IFERROR(M4-A4,"N/A")</f>
        <v>0.89999999999999991</v>
      </c>
      <c r="O4" s="39"/>
      <c r="P4" s="40" t="str">
        <f>IF(Settings!$E$27="ON",VLOOKUP(B4,ADP!A1:H728,8,FALSE)," ")</f>
        <v xml:space="preserve"> </v>
      </c>
      <c r="Q4" s="41">
        <f>IF(Settings!$E$12="YES",VLOOKUP(B4,'Player Data'!A1:E734,5,FALSE),82)</f>
        <v>76.568571428571403</v>
      </c>
      <c r="R4" s="39">
        <f>VLOOKUP(B4,'Player Data'!$A1:$AE734,6,FALSE)</f>
        <v>22.202629980880701</v>
      </c>
      <c r="S4" s="41">
        <f>VLOOKUP(B4,'Player Data'!$A1:$AE734,7,FALSE)*$Q4*IFERROR((VLOOKUP(P4,Settings!$E$28:$F$33,2,FALSE)+1),1)</f>
        <v>41.344132498669005</v>
      </c>
      <c r="T4" s="41">
        <f>VLOOKUP(B4,'Player Data'!$A1:$AE734,8,FALSE)*$Q4*IFERROR((VLOOKUP(P4,Settings!$E$28:$F$33,2,FALSE)+1),1)</f>
        <v>70.692776386335638</v>
      </c>
      <c r="U4" s="41">
        <f>SUM(S4:T4)</f>
        <v>112.03690888500464</v>
      </c>
      <c r="V4" s="41">
        <f>VLOOKUP(B4,'Player Data'!$A1:$AE734,10,FALSE)*$Q4*IFERROR(((VLOOKUP(P4,Settings!$E$28:$F$33,2,FALSE)/2)+1),1)</f>
        <v>373.99738238035496</v>
      </c>
      <c r="W4" s="41">
        <f>VLOOKUP(B4,'Player Data'!$A1:$AE734,11,FALSE)*$Q4*IFERROR((VLOOKUP(P4,Settings!$E$28:$F$33,2,FALSE)+1),1)</f>
        <v>11.419404497477991</v>
      </c>
      <c r="X4" s="41">
        <f>VLOOKUP(B4,'Player Data'!$A1:$AE734,12,FALSE)*$Q4*IFERROR((VLOOKUP(P4,Settings!$E$28:$F$33,2,FALSE)+1),1)</f>
        <v>34.600623138910862</v>
      </c>
      <c r="Y4" s="41">
        <f>VLOOKUP(B4,'Player Data'!$A1:$AE734,13,FALSE)*$Q4</f>
        <v>3.497599884896372E-2</v>
      </c>
      <c r="Z4" s="41">
        <f>VLOOKUP(B4,'Player Data'!$A1:$AE734,14,FALSE)*$Q4</f>
        <v>6.3876718680595482E-2</v>
      </c>
      <c r="AA4" s="41">
        <f>VLOOKUP(B4,'Player Data'!$A1:$AE734,15,FALSE)*$Q4</f>
        <v>43.41095322468626</v>
      </c>
      <c r="AB4" s="41">
        <f>VLOOKUP(B4,'Player Data'!$A1:$AE734,16,FALSE)*$Q4</f>
        <v>63.897092516436118</v>
      </c>
      <c r="AC4" s="41">
        <f>VLOOKUP(B4,'Player Data'!$A1:$AE734,17,FALSE)*$Q4*IFERROR((VLOOKUP(P4,Settings!$E$28:$F$33,2,FALSE)+1),1)</f>
        <v>9.0289570185096686</v>
      </c>
      <c r="AD4" s="41">
        <f>VLOOKUP(B4,'Player Data'!$A1:$AE734,18,FALSE)*$Q4</f>
        <v>41.418622262594504</v>
      </c>
      <c r="AE4" s="41">
        <f>VLOOKUP(B4,'Player Data'!$A1:$AE734,19,FALSE)*$Q4*IFERROR((VLOOKUP(P4,Settings!$E$28:$F$33,2,FALSE)+1),1)</f>
        <v>6.5412646825795671</v>
      </c>
      <c r="AF4" s="41">
        <f>VLOOKUP(B4,'Player Data'!$A1:$AE734,20,FALSE)*$Q4</f>
        <v>539.62937230479395</v>
      </c>
      <c r="AG4" s="41">
        <f>VLOOKUP(B4,'Player Data'!$A1:$AE734,21,FALSE)*$Q4</f>
        <v>647.25392305402738</v>
      </c>
      <c r="AH4" s="42">
        <f>VLOOKUP(B4,'Player Data'!$A1:$AE734,22,FALSE)</f>
        <v>0.45466085369552001</v>
      </c>
      <c r="AI4" s="39"/>
      <c r="AJ4" s="43"/>
      <c r="AK4" s="44"/>
      <c r="AL4" s="41"/>
      <c r="AM4" s="41"/>
      <c r="AN4" s="41"/>
      <c r="AO4" s="41"/>
      <c r="AP4" s="41"/>
      <c r="AQ4" s="44"/>
      <c r="AR4" s="45"/>
      <c r="AS4" s="39"/>
    </row>
    <row r="5" spans="1:45" ht="21.25" customHeight="1" x14ac:dyDescent="0.15">
      <c r="A5" s="31">
        <f>RANK(K5,K$2:K$727)</f>
        <v>4</v>
      </c>
      <c r="B5" s="8" t="s">
        <v>109</v>
      </c>
      <c r="C5" s="32" t="s">
        <v>106</v>
      </c>
      <c r="D5" s="33" t="str">
        <f>VLOOKUP(B5,'Player Data'!A1:D734,4,FALSE)</f>
        <v>RW</v>
      </c>
      <c r="E5" s="46">
        <f>VLOOKUP(B5,RW!A1:F97,3,FALSE)</f>
        <v>1</v>
      </c>
      <c r="F5" s="35" t="str">
        <f>VLOOKUP(B5,'Player Data'!A1:B734,2,FALSE)</f>
        <v>BOS</v>
      </c>
      <c r="G5" s="9">
        <f>VLOOKUP(B5,'Player Data'!A1:D734,3,FALSE)</f>
        <v>27</v>
      </c>
      <c r="H5" s="36">
        <f>IFERROR(VLOOKUP(B5,ADP!A1:G728,7,FALSE)/1000000,VLOOKUP(B5,ADP!A1:G728,7,FALSE))</f>
        <v>11.25</v>
      </c>
      <c r="I5" s="37">
        <f>IF(Settings!$E$15="POINTS",((R5*Q5)*Settings!$B$12)+(S5*Settings!$B$2)+(T5*Settings!$B$3)+(U5*Settings!$B$4)+(V5*Settings!$B$5)+(X5*Settings!$B$9)+(AA5*Settings!$B$6)+(W5*Settings!$B$8)+(AB5*Settings!$B$7)+(AC5*Settings!$B$14)+(AD5*Settings!$B$15)+(AE5*Settings!$B$16)+(AF5*Settings!$B$17)+(AG5*Settings!$B$18)+(Y5*Settings!$B$10)+(Z5*Settings!$B$11),VLOOKUP(B5,'Standard Deviations'!A1:C728,3,FALSE))</f>
        <v>542.24474228245947</v>
      </c>
      <c r="J5" s="38">
        <f>IF(D5="G",I5/AJ5,I5/Q5)</f>
        <v>6.8220983599076499</v>
      </c>
      <c r="K5" s="37">
        <f>IF(Settings!$E$18="C/LW/RW",VLOOKUP(B5,RW!A1:F97,6,FALSE),VLOOKUP(B5,F!A1:F430,6,FALSE))</f>
        <v>191.9732017345699</v>
      </c>
      <c r="L5" s="37">
        <f>IFERROR(K5/H5,"N/A")</f>
        <v>17.064284598628436</v>
      </c>
      <c r="M5" s="39">
        <f>IF(Settings!$E$9="YAHOO",VLOOKUP(B5,ADP!A1:E728,2,FALSE),IF(Settings!$E$9="ESPN",VLOOKUP(B5,ADP!A1:E728,3,FALSE),IF(Settings!$E$9="FANTRAX",VLOOKUP(B5,ADP!A1:E728,4,FALSE),VLOOKUP(B5,ADP!A1:E728,5,FALSE))))</f>
        <v>3.7</v>
      </c>
      <c r="N5" s="39">
        <f>IFERROR(M5-A5,"N/A")</f>
        <v>-0.29999999999999982</v>
      </c>
      <c r="O5" s="39"/>
      <c r="P5" s="40" t="str">
        <f>IF(Settings!$E$27="ON",VLOOKUP(B5,ADP!A1:H728,8,FALSE)," ")</f>
        <v xml:space="preserve"> </v>
      </c>
      <c r="Q5" s="41">
        <f>IF(Settings!$E$12="YES",VLOOKUP(B5,'Player Data'!A1:E734,5,FALSE),82)</f>
        <v>79.483571428571395</v>
      </c>
      <c r="R5" s="39">
        <f>VLOOKUP(B5,'Player Data'!$A1:$AE734,6,FALSE)</f>
        <v>19.436139692225598</v>
      </c>
      <c r="S5" s="41">
        <f>VLOOKUP(B5,'Player Data'!$A1:$AE734,7,FALSE)*$Q5*IFERROR((VLOOKUP(P5,Settings!$E$28:$F$33,2,FALSE)+1),1)</f>
        <v>49.303318276599128</v>
      </c>
      <c r="T5" s="41">
        <f>VLOOKUP(B5,'Player Data'!$A1:$AE734,8,FALSE)*$Q5*IFERROR((VLOOKUP(P5,Settings!$E$28:$F$33,2,FALSE)+1),1)</f>
        <v>47.573987819250711</v>
      </c>
      <c r="U5" s="41">
        <f>SUM(S5:T5)</f>
        <v>96.877306095849832</v>
      </c>
      <c r="V5" s="41">
        <f>VLOOKUP(B5,'Player Data'!$A1:$AE734,10,FALSE)*$Q5*IFERROR(((VLOOKUP(P5,Settings!$E$28:$F$33,2,FALSE)/2)+1),1)</f>
        <v>365.59935013315845</v>
      </c>
      <c r="W5" s="41">
        <f>VLOOKUP(B5,'Player Data'!$A1:$AE734,11,FALSE)*$Q5*IFERROR((VLOOKUP(P5,Settings!$E$28:$F$33,2,FALSE)+1),1)</f>
        <v>15.346102422061474</v>
      </c>
      <c r="X5" s="41">
        <f>VLOOKUP(B5,'Player Data'!$A1:$AE734,12,FALSE)*$Q5*IFERROR((VLOOKUP(P5,Settings!$E$28:$F$33,2,FALSE)+1),1)</f>
        <v>31.447485830160389</v>
      </c>
      <c r="Y5" s="41">
        <f>VLOOKUP(B5,'Player Data'!$A1:$AE734,13,FALSE)*$Q5</f>
        <v>3.0575691473994769E-2</v>
      </c>
      <c r="Z5" s="41">
        <f>VLOOKUP(B5,'Player Data'!$A1:$AE734,14,FALSE)*$Q5</f>
        <v>5.5759075431208206E-2</v>
      </c>
      <c r="AA5" s="41">
        <f>VLOOKUP(B5,'Player Data'!$A1:$AE734,15,FALSE)*$Q5</f>
        <v>29.033295585738507</v>
      </c>
      <c r="AB5" s="41">
        <f>VLOOKUP(B5,'Player Data'!$A1:$AE734,16,FALSE)*$Q5</f>
        <v>82.890934956718496</v>
      </c>
      <c r="AC5" s="41">
        <f>VLOOKUP(B5,'Player Data'!$A1:$AE734,17,FALSE)*$Q5*IFERROR((VLOOKUP(P5,Settings!$E$28:$F$33,2,FALSE)+1),1)</f>
        <v>6.8832013084328612</v>
      </c>
      <c r="AD5" s="41">
        <f>VLOOKUP(B5,'Player Data'!$A1:$AE734,18,FALSE)*$Q5</f>
        <v>34.078675334381735</v>
      </c>
      <c r="AE5" s="41">
        <f>VLOOKUP(B5,'Player Data'!$A1:$AE734,19,FALSE)*$Q5*IFERROR((VLOOKUP(P5,Settings!$E$28:$F$33,2,FALSE)+1),1)</f>
        <v>8.2770568798854818</v>
      </c>
      <c r="AF5" s="41">
        <f>VLOOKUP(B5,'Player Data'!$A1:$AE734,20,FALSE)*$Q5</f>
        <v>6.8412851710602363</v>
      </c>
      <c r="AG5" s="41">
        <f>VLOOKUP(B5,'Player Data'!$A1:$AE734,21,FALSE)*$Q5</f>
        <v>11.697293974593713</v>
      </c>
      <c r="AH5" s="42">
        <f>VLOOKUP(B5,'Player Data'!$A1:$AE734,22,FALSE)</f>
        <v>0.369029639073719</v>
      </c>
      <c r="AI5" s="39"/>
      <c r="AJ5" s="43"/>
      <c r="AK5" s="41"/>
      <c r="AL5" s="41"/>
      <c r="AM5" s="41"/>
      <c r="AN5" s="41"/>
      <c r="AO5" s="41"/>
      <c r="AP5" s="41"/>
      <c r="AQ5" s="44"/>
      <c r="AR5" s="45"/>
      <c r="AS5" s="39"/>
    </row>
    <row r="6" spans="1:45" ht="21.25" customHeight="1" x14ac:dyDescent="0.15">
      <c r="A6" s="31">
        <f>RANK(K6,K$2:K$727)</f>
        <v>5</v>
      </c>
      <c r="B6" s="8" t="s">
        <v>110</v>
      </c>
      <c r="C6" s="32" t="s">
        <v>106</v>
      </c>
      <c r="D6" s="33" t="str">
        <f>VLOOKUP(B6,'Player Data'!A1:D734,4,FALSE)</f>
        <v>RW</v>
      </c>
      <c r="E6" s="46">
        <f>VLOOKUP(B6,RW!A1:F97,3,FALSE)</f>
        <v>2</v>
      </c>
      <c r="F6" s="35" t="str">
        <f>VLOOKUP(B6,'Player Data'!A1:B734,2,FALSE)</f>
        <v>TBL</v>
      </c>
      <c r="G6" s="9">
        <f>VLOOKUP(B6,'Player Data'!A1:D734,3,FALSE)</f>
        <v>30</v>
      </c>
      <c r="H6" s="36">
        <f>IFERROR(VLOOKUP(B6,ADP!A1:G728,7,FALSE)/1000000,VLOOKUP(B6,ADP!A1:G728,7,FALSE))</f>
        <v>9.5</v>
      </c>
      <c r="I6" s="37">
        <f>IF(Settings!$E$15="POINTS",((R6*Q6)*Settings!$B$12)+(S6*Settings!$B$2)+(T6*Settings!$B$3)+(U6*Settings!$B$4)+(V6*Settings!$B$5)+(X6*Settings!$B$9)+(AA6*Settings!$B$6)+(W6*Settings!$B$8)+(AB6*Settings!$B$7)+(AC6*Settings!$B$14)+(AD6*Settings!$B$15)+(AE6*Settings!$B$16)+(AF6*Settings!$B$17)+(AG6*Settings!$B$18)+(Y6*Settings!$B$10)+(Z6*Settings!$B$11),VLOOKUP(B6,'Standard Deviations'!A1:C728,3,FALSE))</f>
        <v>539.97056554583151</v>
      </c>
      <c r="J6" s="38">
        <f>IF(D6="G",I6/AJ6,I6/Q6)</f>
        <v>6.7750384635612484</v>
      </c>
      <c r="K6" s="37">
        <f>IF(Settings!$E$18="C/LW/RW",VLOOKUP(B6,RW!A1:F97,6,FALSE),VLOOKUP(B6,F!A1:F430,6,FALSE))</f>
        <v>189.69902499794193</v>
      </c>
      <c r="L6" s="37">
        <f>IFERROR(K6/H6,"N/A")</f>
        <v>19.968318420835992</v>
      </c>
      <c r="M6" s="39">
        <f>IF(Settings!$E$9="YAHOO",VLOOKUP(B6,ADP!A1:E728,2,FALSE),IF(Settings!$E$9="ESPN",VLOOKUP(B6,ADP!A1:E728,3,FALSE),IF(Settings!$E$9="FANTRAX",VLOOKUP(B6,ADP!A1:E728,4,FALSE),VLOOKUP(B6,ADP!A1:E728,5,FALSE))))</f>
        <v>8.6999999999999993</v>
      </c>
      <c r="N6" s="39">
        <f>IFERROR(M6-A6,"N/A")</f>
        <v>3.6999999999999993</v>
      </c>
      <c r="O6" s="39"/>
      <c r="P6" s="40" t="str">
        <f>IF(Settings!$E$27="ON",VLOOKUP(B6,ADP!A1:H728,8,FALSE)," ")</f>
        <v xml:space="preserve"> </v>
      </c>
      <c r="Q6" s="41">
        <f>IF(Settings!$E$12="YES",VLOOKUP(B6,'Player Data'!A1:E734,5,FALSE),82)</f>
        <v>79.7</v>
      </c>
      <c r="R6" s="39">
        <f>VLOOKUP(B6,'Player Data'!$A1:$AE734,6,FALSE)</f>
        <v>20.126276658841501</v>
      </c>
      <c r="S6" s="41">
        <f>VLOOKUP(B6,'Player Data'!$A1:$AE734,7,FALSE)*$Q6*IFERROR((VLOOKUP(P6,Settings!$E$28:$F$33,2,FALSE)+1),1)</f>
        <v>31.957545374622239</v>
      </c>
      <c r="T6" s="41">
        <f>VLOOKUP(B6,'Player Data'!$A1:$AE734,8,FALSE)*$Q6*IFERROR((VLOOKUP(P6,Settings!$E$28:$F$33,2,FALSE)+1),1)</f>
        <v>73.595731724394042</v>
      </c>
      <c r="U6" s="41">
        <f>SUM(S6:T6)</f>
        <v>105.55327709901628</v>
      </c>
      <c r="V6" s="41">
        <f>VLOOKUP(B6,'Player Data'!$A1:$AE734,10,FALSE)*$Q6*IFERROR(((VLOOKUP(P6,Settings!$E$28:$F$33,2,FALSE)/2)+1),1)</f>
        <v>262.4495411235248</v>
      </c>
      <c r="W6" s="41">
        <f>VLOOKUP(B6,'Player Data'!$A1:$AE734,11,FALSE)*$Q6*IFERROR((VLOOKUP(P6,Settings!$E$28:$F$33,2,FALSE)+1),1)</f>
        <v>9.1385730540418013</v>
      </c>
      <c r="X6" s="41">
        <f>VLOOKUP(B6,'Player Data'!$A1:$AE734,12,FALSE)*$Q6*IFERROR((VLOOKUP(P6,Settings!$E$28:$F$33,2,FALSE)+1),1)</f>
        <v>43.455188178785257</v>
      </c>
      <c r="Y6" s="41">
        <f>VLOOKUP(B6,'Player Data'!$A1:$AE734,13,FALSE)*$Q6</f>
        <v>4.3825860442668401E-3</v>
      </c>
      <c r="Z6" s="41">
        <f>VLOOKUP(B6,'Player Data'!$A1:$AE734,14,FALSE)*$Q6</f>
        <v>8.1122540134336077E-3</v>
      </c>
      <c r="AA6" s="41">
        <f>VLOOKUP(B6,'Player Data'!$A1:$AE734,15,FALSE)*$Q6</f>
        <v>25.796814107114209</v>
      </c>
      <c r="AB6" s="41">
        <f>VLOOKUP(B6,'Player Data'!$A1:$AE734,16,FALSE)*$Q6</f>
        <v>58.260150358379072</v>
      </c>
      <c r="AC6" s="41">
        <f>VLOOKUP(B6,'Player Data'!$A1:$AE734,17,FALSE)*$Q6*IFERROR((VLOOKUP(P6,Settings!$E$28:$F$33,2,FALSE)+1),1)</f>
        <v>1.5496453527962675</v>
      </c>
      <c r="AD6" s="41">
        <f>VLOOKUP(B6,'Player Data'!$A1:$AE734,18,FALSE)*$Q6</f>
        <v>36.654307864859796</v>
      </c>
      <c r="AE6" s="41">
        <f>VLOOKUP(B6,'Player Data'!$A1:$AE734,19,FALSE)*$Q6*IFERROR((VLOOKUP(P6,Settings!$E$28:$F$33,2,FALSE)+1),1)</f>
        <v>5.0013674597267093</v>
      </c>
      <c r="AF6" s="41">
        <f>VLOOKUP(B6,'Player Data'!$A1:$AE734,20,FALSE)*$Q6</f>
        <v>1.9186314254058023</v>
      </c>
      <c r="AG6" s="41">
        <f>VLOOKUP(B6,'Player Data'!$A1:$AE734,21,FALSE)*$Q6</f>
        <v>0</v>
      </c>
      <c r="AH6" s="42">
        <f>VLOOKUP(B6,'Player Data'!$A1:$AE734,22,FALSE)</f>
        <v>1</v>
      </c>
      <c r="AI6" s="39"/>
      <c r="AJ6" s="41"/>
      <c r="AK6" s="41"/>
      <c r="AL6" s="41"/>
      <c r="AM6" s="41"/>
      <c r="AN6" s="41"/>
      <c r="AO6" s="41"/>
      <c r="AP6" s="41"/>
      <c r="AQ6" s="44"/>
      <c r="AR6" s="45"/>
      <c r="AS6" s="39"/>
    </row>
    <row r="7" spans="1:45" ht="21.25" customHeight="1" x14ac:dyDescent="0.15">
      <c r="A7" s="31">
        <f>RANK(K7,K$2:K$727)</f>
        <v>6</v>
      </c>
      <c r="B7" s="8" t="s">
        <v>111</v>
      </c>
      <c r="C7" s="32" t="s">
        <v>106</v>
      </c>
      <c r="D7" s="33" t="str">
        <f>VLOOKUP(B7,'Player Data'!A1:D734,4,FALSE)</f>
        <v>LW</v>
      </c>
      <c r="E7" s="47">
        <f>VLOOKUP(B7,LW!A1:C130,3,FALSE)</f>
        <v>1</v>
      </c>
      <c r="F7" s="35" t="str">
        <f>VLOOKUP(B7,'Player Data'!A1:B734,2,FALSE)</f>
        <v>FLA</v>
      </c>
      <c r="G7" s="9">
        <f>VLOOKUP(B7,'Player Data'!A1:D734,3,FALSE)</f>
        <v>25</v>
      </c>
      <c r="H7" s="36">
        <f>IFERROR(VLOOKUP(B7,ADP!A1:G728,7,FALSE)/1000000,VLOOKUP(B7,ADP!A1:G728,7,FALSE))</f>
        <v>9.5</v>
      </c>
      <c r="I7" s="37">
        <f>IF(Settings!$E$15="POINTS",((R7*Q7)*Settings!$B$12)+(S7*Settings!$B$2)+(T7*Settings!$B$3)+(U7*Settings!$B$4)+(V7*Settings!$B$5)+(X7*Settings!$B$9)+(AA7*Settings!$B$6)+(W7*Settings!$B$8)+(AB7*Settings!$B$7)+(AC7*Settings!$B$14)+(AD7*Settings!$B$15)+(AE7*Settings!$B$16)+(AF7*Settings!$B$17)+(AG7*Settings!$B$18)+(Y7*Settings!$B$10)+(Z7*Settings!$B$11),VLOOKUP(B7,'Standard Deviations'!A1:C728,3,FALSE))</f>
        <v>553.02647887611465</v>
      </c>
      <c r="J7" s="38">
        <f>IF(D7="G",I7/AJ7,I7/Q7)</f>
        <v>6.7858091214591196</v>
      </c>
      <c r="K7" s="37">
        <f>IF(Settings!$E$18="C/LW/RW",VLOOKUP(B7,LW!A1:F130,6,FALSE),VLOOKUP(B7,F!A1:F430,6,FALSE))</f>
        <v>188.98587401846419</v>
      </c>
      <c r="L7" s="37">
        <f>IFERROR(K7/H7,"N/A")</f>
        <v>19.893249896680441</v>
      </c>
      <c r="M7" s="39">
        <f>IF(Settings!$E$9="YAHOO",VLOOKUP(B7,ADP!A1:E728,2,FALSE),IF(Settings!$E$9="ESPN",VLOOKUP(B7,ADP!A1:E728,3,FALSE),IF(Settings!$E$9="FANTRAX",VLOOKUP(B7,ADP!A1:E728,4,FALSE),VLOOKUP(B7,ADP!A1:E728,5,FALSE))))</f>
        <v>6.3</v>
      </c>
      <c r="N7" s="39">
        <f>IFERROR(M7-A7,"N/A")</f>
        <v>0.29999999999999982</v>
      </c>
      <c r="O7" s="39"/>
      <c r="P7" s="40" t="str">
        <f>IF(Settings!$E$27="ON",VLOOKUP(B7,ADP!A1:H728,8,FALSE)," ")</f>
        <v xml:space="preserve"> </v>
      </c>
      <c r="Q7" s="41">
        <f>IF(Settings!$E$12="YES",VLOOKUP(B7,'Player Data'!A1:E734,5,FALSE),82)</f>
        <v>81.497500000000002</v>
      </c>
      <c r="R7" s="39">
        <f>VLOOKUP(B7,'Player Data'!$A1:$AE734,6,FALSE)</f>
        <v>20.124918332980801</v>
      </c>
      <c r="S7" s="41">
        <f>VLOOKUP(B7,'Player Data'!$A1:$AE734,7,FALSE)*$Q7*IFERROR((VLOOKUP(P7,Settings!$E$28:$F$33,2,FALSE)+1),1)</f>
        <v>41.190988171039919</v>
      </c>
      <c r="T7" s="41">
        <f>VLOOKUP(B7,'Player Data'!$A1:$AE734,8,FALSE)*$Q7*IFERROR((VLOOKUP(P7,Settings!$E$28:$F$33,2,FALSE)+1),1)</f>
        <v>66.218295391950704</v>
      </c>
      <c r="U7" s="41">
        <f>SUM(S7:T7)</f>
        <v>107.40928356299062</v>
      </c>
      <c r="V7" s="41">
        <f>VLOOKUP(B7,'Player Data'!$A1:$AE734,10,FALSE)*$Q7*IFERROR(((VLOOKUP(P7,Settings!$E$28:$F$33,2,FALSE)/2)+1),1)</f>
        <v>306.76677740534365</v>
      </c>
      <c r="W7" s="41">
        <f>VLOOKUP(B7,'Player Data'!$A1:$AE734,11,FALSE)*$Q7*IFERROR((VLOOKUP(P7,Settings!$E$28:$F$33,2,FALSE)+1),1)</f>
        <v>13.333453903891165</v>
      </c>
      <c r="X7" s="41">
        <f>VLOOKUP(B7,'Player Data'!$A1:$AE734,12,FALSE)*$Q7*IFERROR((VLOOKUP(P7,Settings!$E$28:$F$33,2,FALSE)+1),1)</f>
        <v>35.141260643277342</v>
      </c>
      <c r="Y7" s="41">
        <f>VLOOKUP(B7,'Player Data'!$A1:$AE734,13,FALSE)*$Q7</f>
        <v>9.8152182548921732E-2</v>
      </c>
      <c r="Z7" s="41">
        <f>VLOOKUP(B7,'Player Data'!$A1:$AE734,14,FALSE)*$Q7</f>
        <v>0.64177347317823041</v>
      </c>
      <c r="AA7" s="41">
        <f>VLOOKUP(B7,'Player Data'!$A1:$AE734,15,FALSE)*$Q7</f>
        <v>29.245856257799115</v>
      </c>
      <c r="AB7" s="41">
        <f>VLOOKUP(B7,'Player Data'!$A1:$AE734,16,FALSE)*$Q7</f>
        <v>83.492283495069458</v>
      </c>
      <c r="AC7" s="41">
        <f>VLOOKUP(B7,'Player Data'!$A1:$AE734,17,FALSE)*$Q7*IFERROR((VLOOKUP(P7,Settings!$E$28:$F$33,2,FALSE)+1),1)</f>
        <v>11.303303599129922</v>
      </c>
      <c r="AD7" s="41">
        <f>VLOOKUP(B7,'Player Data'!$A1:$AE734,18,FALSE)*$Q7</f>
        <v>72.1574745794954</v>
      </c>
      <c r="AE7" s="41">
        <f>VLOOKUP(B7,'Player Data'!$A1:$AE734,19,FALSE)*$Q7*IFERROR((VLOOKUP(P7,Settings!$E$28:$F$33,2,FALSE)+1),1)</f>
        <v>5.9089412090695905</v>
      </c>
      <c r="AF7" s="41">
        <f>VLOOKUP(B7,'Player Data'!$A1:$AE734,20,FALSE)*$Q7</f>
        <v>13.666397076167714</v>
      </c>
      <c r="AG7" s="41">
        <f>VLOOKUP(B7,'Player Data'!$A1:$AE734,21,FALSE)*$Q7</f>
        <v>16.648322653921678</v>
      </c>
      <c r="AH7" s="42">
        <f>VLOOKUP(B7,'Player Data'!$A1:$AE734,22,FALSE)</f>
        <v>0.45081720028580602</v>
      </c>
      <c r="AI7" s="39"/>
      <c r="AJ7" s="43"/>
      <c r="AK7" s="41"/>
      <c r="AL7" s="41"/>
      <c r="AM7" s="41"/>
      <c r="AN7" s="41"/>
      <c r="AO7" s="41"/>
      <c r="AP7" s="41"/>
      <c r="AQ7" s="44"/>
      <c r="AR7" s="45"/>
      <c r="AS7" s="43"/>
    </row>
    <row r="8" spans="1:45" ht="21.25" customHeight="1" x14ac:dyDescent="0.15">
      <c r="A8" s="31">
        <f>RANK(K8,K$2:K$727)</f>
        <v>7</v>
      </c>
      <c r="B8" s="8" t="s">
        <v>112</v>
      </c>
      <c r="C8" s="32" t="s">
        <v>106</v>
      </c>
      <c r="D8" s="33" t="str">
        <f>VLOOKUP(B8,'Player Data'!A1:D734,4,FALSE)</f>
        <v>RW</v>
      </c>
      <c r="E8" s="46">
        <f>VLOOKUP(B8,RW!A1:F97,3,FALSE)</f>
        <v>3</v>
      </c>
      <c r="F8" s="35" t="str">
        <f>VLOOKUP(B8,'Player Data'!A1:B734,2,FALSE)</f>
        <v>COL</v>
      </c>
      <c r="G8" s="9">
        <f>VLOOKUP(B8,'Player Data'!A1:D734,3,FALSE)</f>
        <v>26</v>
      </c>
      <c r="H8" s="36">
        <f>IFERROR(VLOOKUP(B8,ADP!A1:G728,7,FALSE)/1000000,VLOOKUP(B8,ADP!A1:G728,7,FALSE))</f>
        <v>9.25</v>
      </c>
      <c r="I8" s="37">
        <f>IF(Settings!$E$15="POINTS",((R8*Q8)*Settings!$B$12)+(S8*Settings!$B$2)+(T8*Settings!$B$3)+(U8*Settings!$B$4)+(V8*Settings!$B$5)+(X8*Settings!$B$9)+(AA8*Settings!$B$6)+(W8*Settings!$B$8)+(AB8*Settings!$B$7)+(AC8*Settings!$B$14)+(AD8*Settings!$B$15)+(AE8*Settings!$B$16)+(AF8*Settings!$B$17)+(AG8*Settings!$B$18)+(Y8*Settings!$B$10)+(Z8*Settings!$B$11),VLOOKUP(B8,'Standard Deviations'!A1:C728,3,FALSE))</f>
        <v>537.89974952409375</v>
      </c>
      <c r="J8" s="38">
        <f>IF(D8="G",I8/AJ8,I8/Q8)</f>
        <v>6.6834967036350843</v>
      </c>
      <c r="K8" s="37">
        <f>IF(Settings!$E$18="C/LW/RW",VLOOKUP(B8,RW!A1:F97,6,FALSE),VLOOKUP(B8,F!A1:F430,6,FALSE))</f>
        <v>187.62820897620418</v>
      </c>
      <c r="L8" s="37">
        <f>IFERROR(K8/H8,"N/A")</f>
        <v>20.284130700130181</v>
      </c>
      <c r="M8" s="39">
        <f>IF(Settings!$E$9="YAHOO",VLOOKUP(B8,ADP!A1:E728,2,FALSE),IF(Settings!$E$9="ESPN",VLOOKUP(B8,ADP!A1:E728,3,FALSE),IF(Settings!$E$9="FANTRAX",VLOOKUP(B8,ADP!A1:E728,4,FALSE),VLOOKUP(B8,ADP!A1:E728,5,FALSE))))</f>
        <v>9</v>
      </c>
      <c r="N8" s="39">
        <f>IFERROR(M8-A8,"N/A")</f>
        <v>2</v>
      </c>
      <c r="O8" s="39"/>
      <c r="P8" s="40" t="str">
        <f>IF(Settings!$E$27="ON",VLOOKUP(B8,ADP!A1:H728,8,FALSE)," ")</f>
        <v xml:space="preserve"> </v>
      </c>
      <c r="Q8" s="41">
        <f>IF(Settings!$E$12="YES",VLOOKUP(B8,'Player Data'!A1:E734,5,FALSE),82)</f>
        <v>80.481785714285706</v>
      </c>
      <c r="R8" s="39">
        <f>VLOOKUP(B8,'Player Data'!$A1:$AE734,6,FALSE)</f>
        <v>22.092966611852098</v>
      </c>
      <c r="S8" s="41">
        <f>VLOOKUP(B8,'Player Data'!$A1:$AE734,7,FALSE)*$Q8*IFERROR((VLOOKUP(P8,Settings!$E$28:$F$33,2,FALSE)+1),1)</f>
        <v>48.212293942299326</v>
      </c>
      <c r="T8" s="41">
        <f>VLOOKUP(B8,'Player Data'!$A1:$AE734,8,FALSE)*$Q8*IFERROR((VLOOKUP(P8,Settings!$E$28:$F$33,2,FALSE)+1),1)</f>
        <v>55.28608946953598</v>
      </c>
      <c r="U8" s="41">
        <f>SUM(S8:T8)</f>
        <v>103.49838341183531</v>
      </c>
      <c r="V8" s="41">
        <f>VLOOKUP(B8,'Player Data'!$A1:$AE734,10,FALSE)*$Q8*IFERROR(((VLOOKUP(P8,Settings!$E$28:$F$33,2,FALSE)/2)+1),1)</f>
        <v>294.99947881039611</v>
      </c>
      <c r="W8" s="41">
        <f>VLOOKUP(B8,'Player Data'!$A1:$AE734,11,FALSE)*$Q8*IFERROR((VLOOKUP(P8,Settings!$E$28:$F$33,2,FALSE)+1),1)</f>
        <v>13.593519557334215</v>
      </c>
      <c r="X8" s="41">
        <f>VLOOKUP(B8,'Player Data'!$A1:$AE734,12,FALSE)*$Q8*IFERROR((VLOOKUP(P8,Settings!$E$28:$F$33,2,FALSE)+1),1)</f>
        <v>35.731819497014733</v>
      </c>
      <c r="Y8" s="41">
        <f>VLOOKUP(B8,'Player Data'!$A1:$AE734,13,FALSE)*$Q8</f>
        <v>1.5740384353141429E-2</v>
      </c>
      <c r="Z8" s="41">
        <f>VLOOKUP(B8,'Player Data'!$A1:$AE734,14,FALSE)*$Q8</f>
        <v>2.8716485620069811E-2</v>
      </c>
      <c r="AA8" s="41">
        <f>VLOOKUP(B8,'Player Data'!$A1:$AE734,15,FALSE)*$Q8</f>
        <v>41.918939590600502</v>
      </c>
      <c r="AB8" s="41">
        <f>VLOOKUP(B8,'Player Data'!$A1:$AE734,16,FALSE)*$Q8</f>
        <v>70.86622950308481</v>
      </c>
      <c r="AC8" s="41">
        <f>VLOOKUP(B8,'Player Data'!$A1:$AE734,17,FALSE)*$Q8*IFERROR((VLOOKUP(P8,Settings!$E$28:$F$33,2,FALSE)+1),1)</f>
        <v>8.6499556068888985</v>
      </c>
      <c r="AD8" s="41">
        <f>VLOOKUP(B8,'Player Data'!$A1:$AE734,18,FALSE)*$Q8</f>
        <v>58.843240311047083</v>
      </c>
      <c r="AE8" s="41">
        <f>VLOOKUP(B8,'Player Data'!$A1:$AE734,19,FALSE)*$Q8*IFERROR((VLOOKUP(P8,Settings!$E$28:$F$33,2,FALSE)+1),1)</f>
        <v>7.6279113037638524</v>
      </c>
      <c r="AF8" s="41">
        <f>VLOOKUP(B8,'Player Data'!$A1:$AE734,20,FALSE)*$Q8</f>
        <v>195.79785863256564</v>
      </c>
      <c r="AG8" s="41">
        <f>VLOOKUP(B8,'Player Data'!$A1:$AE734,21,FALSE)*$Q8</f>
        <v>209.70188434191476</v>
      </c>
      <c r="AH8" s="42">
        <f>VLOOKUP(B8,'Player Data'!$A1:$AE734,22,FALSE)</f>
        <v>0.48285569109445398</v>
      </c>
      <c r="AI8" s="39"/>
      <c r="AJ8" s="43"/>
      <c r="AK8" s="41"/>
      <c r="AL8" s="41"/>
      <c r="AM8" s="41"/>
      <c r="AN8" s="41"/>
      <c r="AO8" s="41"/>
      <c r="AP8" s="41"/>
      <c r="AQ8" s="44"/>
      <c r="AR8" s="45"/>
      <c r="AS8" s="39"/>
    </row>
    <row r="9" spans="1:45" ht="21.25" customHeight="1" x14ac:dyDescent="0.15">
      <c r="A9" s="31">
        <f>RANK(K9,K$2:K$727)</f>
        <v>8</v>
      </c>
      <c r="B9" s="8" t="s">
        <v>113</v>
      </c>
      <c r="C9" s="32" t="s">
        <v>106</v>
      </c>
      <c r="D9" s="33" t="str">
        <f>VLOOKUP(B9,'Player Data'!A1:D734,4,FALSE)</f>
        <v>C</v>
      </c>
      <c r="E9" s="34">
        <f>VLOOKUP(B9,'C'!A1:C211,3,FALSE)</f>
        <v>4</v>
      </c>
      <c r="F9" s="35" t="str">
        <f>VLOOKUP(B9,'Player Data'!A1:B734,2,FALSE)</f>
        <v>TOR</v>
      </c>
      <c r="G9" s="9">
        <f>VLOOKUP(B9,'Player Data'!A1:D734,3,FALSE)</f>
        <v>25</v>
      </c>
      <c r="H9" s="36">
        <f>IFERROR(VLOOKUP(B9,ADP!A1:G728,7,FALSE)/1000000,VLOOKUP(B9,ADP!A1:G728,7,FALSE))</f>
        <v>11.64025</v>
      </c>
      <c r="I9" s="37">
        <f>IF(Settings!$E$15="POINTS",((R9*Q9)*Settings!$B$12)+(S9*Settings!$B$2)+(T9*Settings!$B$3)+(U9*Settings!$B$4)+(V9*Settings!$B$5)+(X9*Settings!$B$9)+(AA9*Settings!$B$6)+(W9*Settings!$B$8)+(AB9*Settings!$B$7)+(AC9*Settings!$B$14)+(AD9*Settings!$B$15)+(AE9*Settings!$B$16)+(AF9*Settings!$B$17)+(AG9*Settings!$B$18)+(Y9*Settings!$B$10)+(Z9*Settings!$B$11),VLOOKUP(B9,'Standard Deviations'!A1:C728,3,FALSE))</f>
        <v>572.61749152913956</v>
      </c>
      <c r="J9" s="38">
        <f>IF(D9="G",I9/AJ9,I9/Q9)</f>
        <v>7.2679382251446762</v>
      </c>
      <c r="K9" s="37">
        <f>IF(Settings!$E$18="C/LW/RW",VLOOKUP(B9,'C'!A1:F211,6,FALSE),VLOOKUP(B9,F!A1:F430,6,FALSE))</f>
        <v>179.2886857629299</v>
      </c>
      <c r="L9" s="37">
        <f>IFERROR(K9/H9,"N/A")</f>
        <v>15.402477246015327</v>
      </c>
      <c r="M9" s="39">
        <f>IF(Settings!$E$9="YAHOO",VLOOKUP(B9,ADP!A1:E728,2,FALSE),IF(Settings!$E$9="ESPN",VLOOKUP(B9,ADP!A1:E728,3,FALSE),IF(Settings!$E$9="FANTRAX",VLOOKUP(B9,ADP!A1:E728,4,FALSE),VLOOKUP(B9,ADP!A1:E728,5,FALSE))))</f>
        <v>7.8</v>
      </c>
      <c r="N9" s="39">
        <f>IFERROR(M9-A9,"N/A")</f>
        <v>-0.20000000000000018</v>
      </c>
      <c r="O9" s="39"/>
      <c r="P9" s="40" t="str">
        <f>IF(Settings!$E$27="ON",VLOOKUP(B9,ADP!A1:H728,8,FALSE)," ")</f>
        <v>+</v>
      </c>
      <c r="Q9" s="41">
        <f>IF(Settings!$E$12="YES",VLOOKUP(B9,'Player Data'!A1:E734,5,FALSE),82)</f>
        <v>78.786785714285699</v>
      </c>
      <c r="R9" s="39">
        <f>VLOOKUP(B9,'Player Data'!$A1:$AE734,6,FALSE)</f>
        <v>20.3388111305526</v>
      </c>
      <c r="S9" s="41">
        <f>VLOOKUP(B9,'Player Data'!$A1:$AE734,7,FALSE)*$Q9*IFERROR((VLOOKUP(P9,Settings!$E$28:$F$33,2,FALSE)+1),1)</f>
        <v>54.057380400693503</v>
      </c>
      <c r="T9" s="41">
        <f>VLOOKUP(B9,'Player Data'!$A1:$AE734,8,FALSE)*$Q9*IFERROR((VLOOKUP(P9,Settings!$E$28:$F$33,2,FALSE)+1),1)</f>
        <v>51.198068211178231</v>
      </c>
      <c r="U9" s="41">
        <f>SUM(S9:T9)</f>
        <v>105.25544861187174</v>
      </c>
      <c r="V9" s="41">
        <f>VLOOKUP(B9,'Player Data'!$A1:$AE734,10,FALSE)*$Q9*IFERROR(((VLOOKUP(P9,Settings!$E$28:$F$33,2,FALSE)/2)+1),1)</f>
        <v>351.246379047338</v>
      </c>
      <c r="W9" s="41">
        <f>VLOOKUP(B9,'Player Data'!$A1:$AE734,11,FALSE)*$Q9*IFERROR((VLOOKUP(P9,Settings!$E$28:$F$33,2,FALSE)+1),1)</f>
        <v>16.266041822616565</v>
      </c>
      <c r="X9" s="41">
        <f>VLOOKUP(B9,'Player Data'!$A1:$AE734,12,FALSE)*$Q9*IFERROR((VLOOKUP(P9,Settings!$E$28:$F$33,2,FALSE)+1),1)</f>
        <v>32.41172690169487</v>
      </c>
      <c r="Y9" s="41">
        <f>VLOOKUP(B9,'Player Data'!$A1:$AE734,13,FALSE)*$Q9</f>
        <v>1.8319085153902816E-2</v>
      </c>
      <c r="Z9" s="41">
        <f>VLOOKUP(B9,'Player Data'!$A1:$AE734,14,FALSE)*$Q9</f>
        <v>3.3427431813060876E-2</v>
      </c>
      <c r="AA9" s="41">
        <f>VLOOKUP(B9,'Player Data'!$A1:$AE734,15,FALSE)*$Q9</f>
        <v>81.688237514197922</v>
      </c>
      <c r="AB9" s="41">
        <f>VLOOKUP(B9,'Player Data'!$A1:$AE734,16,FALSE)*$Q9</f>
        <v>76.67518607812751</v>
      </c>
      <c r="AC9" s="41">
        <f>VLOOKUP(B9,'Player Data'!$A1:$AE734,17,FALSE)*$Q9*IFERROR((VLOOKUP(P9,Settings!$E$28:$F$33,2,FALSE)+1),1)</f>
        <v>12.423788904058208</v>
      </c>
      <c r="AD9" s="41">
        <f>VLOOKUP(B9,'Player Data'!$A1:$AE734,18,FALSE)*$Q9</f>
        <v>22.316589641444093</v>
      </c>
      <c r="AE9" s="41">
        <f>VLOOKUP(B9,'Player Data'!$A1:$AE734,19,FALSE)*$Q9*IFERROR((VLOOKUP(P9,Settings!$E$28:$F$33,2,FALSE)+1),1)</f>
        <v>8.6843037931374827</v>
      </c>
      <c r="AF9" s="41">
        <f>VLOOKUP(B9,'Player Data'!$A1:$AE734,20,FALSE)*$Q9</f>
        <v>624.22300998896594</v>
      </c>
      <c r="AG9" s="41">
        <f>VLOOKUP(B9,'Player Data'!$A1:$AE734,21,FALSE)*$Q9</f>
        <v>537.33809710543335</v>
      </c>
      <c r="AH9" s="42">
        <f>VLOOKUP(B9,'Player Data'!$A1:$AE734,22,FALSE)</f>
        <v>0.53740006115600403</v>
      </c>
      <c r="AI9" s="39"/>
      <c r="AJ9" s="43"/>
      <c r="AK9" s="41"/>
      <c r="AL9" s="41"/>
      <c r="AM9" s="41"/>
      <c r="AN9" s="41"/>
      <c r="AO9" s="41"/>
      <c r="AP9" s="41"/>
      <c r="AQ9" s="44"/>
      <c r="AR9" s="45"/>
      <c r="AS9" s="39"/>
    </row>
    <row r="10" spans="1:45" ht="21.25" customHeight="1" x14ac:dyDescent="0.15">
      <c r="A10" s="31">
        <f>RANK(K10,K$2:K$727)</f>
        <v>9</v>
      </c>
      <c r="B10" s="8" t="s">
        <v>114</v>
      </c>
      <c r="C10" s="32" t="s">
        <v>106</v>
      </c>
      <c r="D10" s="33" t="str">
        <f>VLOOKUP(B10,'Player Data'!A1:D734,4,FALSE)</f>
        <v>C,LW</v>
      </c>
      <c r="E10" s="48">
        <f>VLOOKUP(B10,LW!A1:C130,3,FALSE)</f>
        <v>2</v>
      </c>
      <c r="F10" s="35" t="str">
        <f>VLOOKUP(B10,'Player Data'!A1:B734,2,FALSE)</f>
        <v>NJD</v>
      </c>
      <c r="G10" s="9">
        <f>VLOOKUP(B10,'Player Data'!A1:D734,3,FALSE)</f>
        <v>22</v>
      </c>
      <c r="H10" s="36">
        <f>IFERROR(VLOOKUP(B10,ADP!A1:G728,7,FALSE)/1000000,VLOOKUP(B10,ADP!A1:G728,7,FALSE))</f>
        <v>8</v>
      </c>
      <c r="I10" s="37">
        <f>IF(Settings!$E$15="POINTS",((R10*Q10)*Settings!$B$12)+(S10*Settings!$B$2)+(T10*Settings!$B$3)+(U10*Settings!$B$4)+(V10*Settings!$B$5)+(X10*Settings!$B$9)+(AA10*Settings!$B$6)+(W10*Settings!$B$8)+(AB10*Settings!$B$7)+(AC10*Settings!$B$14)+(AD10*Settings!$B$15)+(AE10*Settings!$B$16)+(AF10*Settings!$B$17)+(AG10*Settings!$B$18)+(Y10*Settings!$B$10)+(Z10*Settings!$B$11),VLOOKUP(B10,'Standard Deviations'!A1:C728,3,FALSE))</f>
        <v>534.75382516616844</v>
      </c>
      <c r="J10" s="38">
        <f>IF(D10="G",I10/AJ10,I10/Q10)</f>
        <v>6.8138866611387412</v>
      </c>
      <c r="K10" s="37">
        <f>IF(Settings!$E$18="C/LW/RW",VLOOKUP(B10,LW!A1:F130,6,FALSE),VLOOKUP(B10,F!A1:F430,6,FALSE))</f>
        <v>170.71322030851798</v>
      </c>
      <c r="L10" s="37">
        <f>IFERROR(K10/H10,"N/A")</f>
        <v>21.339152538564747</v>
      </c>
      <c r="M10" s="39">
        <f>IF(Settings!$E$9="YAHOO",VLOOKUP(B10,ADP!A1:E728,2,FALSE),IF(Settings!$E$9="ESPN",VLOOKUP(B10,ADP!A1:E728,3,FALSE),IF(Settings!$E$9="FANTRAX",VLOOKUP(B10,ADP!A1:E728,4,FALSE),VLOOKUP(B10,ADP!A1:E728,5,FALSE))))</f>
        <v>13.6</v>
      </c>
      <c r="N10" s="39">
        <f>IFERROR(M10-A10,"N/A")</f>
        <v>4.5999999999999996</v>
      </c>
      <c r="O10" s="39"/>
      <c r="P10" s="40" t="str">
        <f>IF(Settings!$E$27="ON",VLOOKUP(B10,ADP!A1:H728,8,FALSE)," ")</f>
        <v>+</v>
      </c>
      <c r="Q10" s="41">
        <f>IF(Settings!$E$12="YES",VLOOKUP(B10,'Player Data'!A1:E734,5,FALSE),82)</f>
        <v>78.48</v>
      </c>
      <c r="R10" s="39">
        <f>VLOOKUP(B10,'Player Data'!$A1:$AE734,6,FALSE)</f>
        <v>20.361061936919601</v>
      </c>
      <c r="S10" s="41">
        <f>VLOOKUP(B10,'Player Data'!$A1:$AE734,7,FALSE)*$Q10*IFERROR((VLOOKUP(P10,Settings!$E$28:$F$33,2,FALSE)+1),1)</f>
        <v>43.588357036182735</v>
      </c>
      <c r="T10" s="41">
        <f>VLOOKUP(B10,'Player Data'!$A1:$AE734,8,FALSE)*$Q10*IFERROR((VLOOKUP(P10,Settings!$E$28:$F$33,2,FALSE)+1),1)</f>
        <v>57.947884738369737</v>
      </c>
      <c r="U10" s="41">
        <f>SUM(S10:T10)</f>
        <v>101.53624177455248</v>
      </c>
      <c r="V10" s="41">
        <f>VLOOKUP(B10,'Player Data'!$A1:$AE734,10,FALSE)*$Q10*IFERROR(((VLOOKUP(P10,Settings!$E$28:$F$33,2,FALSE)/2)+1),1)</f>
        <v>320.66216721445517</v>
      </c>
      <c r="W10" s="41">
        <f>VLOOKUP(B10,'Player Data'!$A1:$AE734,11,FALSE)*$Q10*IFERROR((VLOOKUP(P10,Settings!$E$28:$F$33,2,FALSE)+1),1)</f>
        <v>10.607739945651623</v>
      </c>
      <c r="X10" s="41">
        <f>VLOOKUP(B10,'Player Data'!$A1:$AE734,12,FALSE)*$Q10*IFERROR((VLOOKUP(P10,Settings!$E$28:$F$33,2,FALSE)+1),1)</f>
        <v>31.862688688268676</v>
      </c>
      <c r="Y10" s="41">
        <f>VLOOKUP(B10,'Player Data'!$A1:$AE734,13,FALSE)*$Q10</f>
        <v>3.1192379163359207E-2</v>
      </c>
      <c r="Z10" s="41">
        <f>VLOOKUP(B10,'Player Data'!$A1:$AE734,14,FALSE)*$Q10</f>
        <v>5.6699622749983761E-2</v>
      </c>
      <c r="AA10" s="41">
        <f>VLOOKUP(B10,'Player Data'!$A1:$AE734,15,FALSE)*$Q10</f>
        <v>29.876198066230529</v>
      </c>
      <c r="AB10" s="41">
        <f>VLOOKUP(B10,'Player Data'!$A1:$AE734,16,FALSE)*$Q10</f>
        <v>17.354098673963417</v>
      </c>
      <c r="AC10" s="41">
        <f>VLOOKUP(B10,'Player Data'!$A1:$AE734,17,FALSE)*$Q10*IFERROR((VLOOKUP(P10,Settings!$E$28:$F$33,2,FALSE)+1),1)</f>
        <v>1.1624820376035288</v>
      </c>
      <c r="AD10" s="41">
        <f>VLOOKUP(B10,'Player Data'!$A1:$AE734,18,FALSE)*$Q10</f>
        <v>10.977292995449266</v>
      </c>
      <c r="AE10" s="41">
        <f>VLOOKUP(B10,'Player Data'!$A1:$AE734,19,FALSE)*$Q10*IFERROR((VLOOKUP(P10,Settings!$E$28:$F$33,2,FALSE)+1),1)</f>
        <v>6.4157966158627762</v>
      </c>
      <c r="AF10" s="41">
        <f>VLOOKUP(B10,'Player Data'!$A1:$AE734,20,FALSE)*$Q10</f>
        <v>188.40912136624129</v>
      </c>
      <c r="AG10" s="41">
        <f>VLOOKUP(B10,'Player Data'!$A1:$AE734,21,FALSE)*$Q10</f>
        <v>347.80163224273753</v>
      </c>
      <c r="AH10" s="42">
        <f>VLOOKUP(B10,'Player Data'!$A1:$AE734,22,FALSE)</f>
        <v>0.35137139659760502</v>
      </c>
      <c r="AI10" s="39"/>
      <c r="AJ10" s="43"/>
      <c r="AK10" s="41"/>
      <c r="AL10" s="41"/>
      <c r="AM10" s="41"/>
      <c r="AN10" s="41"/>
      <c r="AO10" s="41"/>
      <c r="AP10" s="41"/>
      <c r="AQ10" s="44"/>
      <c r="AR10" s="45"/>
      <c r="AS10" s="39"/>
    </row>
    <row r="11" spans="1:45" ht="21.25" customHeight="1" x14ac:dyDescent="0.15">
      <c r="A11" s="31">
        <f>RANK(K11,K$2:K$727)</f>
        <v>10</v>
      </c>
      <c r="B11" s="8" t="s">
        <v>115</v>
      </c>
      <c r="C11" s="32" t="s">
        <v>106</v>
      </c>
      <c r="D11" s="33" t="str">
        <f>VLOOKUP(B11,'Player Data'!A1:D734,4,FALSE)</f>
        <v>LW</v>
      </c>
      <c r="E11" s="47">
        <f>VLOOKUP(B11,LW!A1:C130,3,FALSE)</f>
        <v>3</v>
      </c>
      <c r="F11" s="35" t="str">
        <f>VLOOKUP(B11,'Player Data'!A1:B734,2,FALSE)</f>
        <v>MIN</v>
      </c>
      <c r="G11" s="9">
        <f>VLOOKUP(B11,'Player Data'!A1:D734,3,FALSE)</f>
        <v>26</v>
      </c>
      <c r="H11" s="36">
        <f>IFERROR(VLOOKUP(B11,ADP!A1:G728,7,FALSE)/1000000,VLOOKUP(B11,ADP!A1:G728,7,FALSE))</f>
        <v>9</v>
      </c>
      <c r="I11" s="37">
        <f>IF(Settings!$E$15="POINTS",((R11*Q11)*Settings!$B$12)+(S11*Settings!$B$2)+(T11*Settings!$B$3)+(U11*Settings!$B$4)+(V11*Settings!$B$5)+(X11*Settings!$B$9)+(AA11*Settings!$B$6)+(W11*Settings!$B$8)+(AB11*Settings!$B$7)+(AC11*Settings!$B$14)+(AD11*Settings!$B$15)+(AE11*Settings!$B$16)+(AF11*Settings!$B$17)+(AG11*Settings!$B$18)+(Y11*Settings!$B$10)+(Z11*Settings!$B$11),VLOOKUP(B11,'Standard Deviations'!A1:C728,3,FALSE))</f>
        <v>516.33899984607899</v>
      </c>
      <c r="J11" s="38">
        <f>IF(D11="G",I11/AJ11,I11/Q11)</f>
        <v>6.5030100736281984</v>
      </c>
      <c r="K11" s="37">
        <f>IF(Settings!$E$18="C/LW/RW",VLOOKUP(B11,LW!A1:F130,6,FALSE),VLOOKUP(B11,F!A1:F430,6,FALSE))</f>
        <v>152.29839498842853</v>
      </c>
      <c r="L11" s="37">
        <f>IFERROR(K11/H11,"N/A")</f>
        <v>16.92204388760317</v>
      </c>
      <c r="M11" s="39">
        <f>IF(Settings!$E$9="YAHOO",VLOOKUP(B11,ADP!A1:E728,2,FALSE),IF(Settings!$E$9="ESPN",VLOOKUP(B11,ADP!A1:E728,3,FALSE),IF(Settings!$E$9="FANTRAX",VLOOKUP(B11,ADP!A1:E728,4,FALSE),VLOOKUP(B11,ADP!A1:E728,5,FALSE))))</f>
        <v>15.2</v>
      </c>
      <c r="N11" s="39">
        <f>IFERROR(M11-A11,"N/A")</f>
        <v>5.1999999999999993</v>
      </c>
      <c r="O11" s="39"/>
      <c r="P11" s="40" t="str">
        <f>IF(Settings!$E$27="ON",VLOOKUP(B11,ADP!A1:H728,8,FALSE)," ")</f>
        <v xml:space="preserve"> </v>
      </c>
      <c r="Q11" s="41">
        <f>IF(Settings!$E$12="YES",VLOOKUP(B11,'Player Data'!A1:E734,5,FALSE),82)</f>
        <v>79.400000000000006</v>
      </c>
      <c r="R11" s="39">
        <f>VLOOKUP(B11,'Player Data'!$A1:$AE734,6,FALSE)</f>
        <v>21.038403996787402</v>
      </c>
      <c r="S11" s="41">
        <f>VLOOKUP(B11,'Player Data'!$A1:$AE734,7,FALSE)*$Q11*IFERROR((VLOOKUP(P11,Settings!$E$28:$F$33,2,FALSE)+1),1)</f>
        <v>47.207461619119542</v>
      </c>
      <c r="T11" s="41">
        <f>VLOOKUP(B11,'Player Data'!$A1:$AE734,8,FALSE)*$Q11*IFERROR((VLOOKUP(P11,Settings!$E$28:$F$33,2,FALSE)+1),1)</f>
        <v>50.785494145653381</v>
      </c>
      <c r="U11" s="41">
        <f>SUM(S11:T11)</f>
        <v>97.992955764772915</v>
      </c>
      <c r="V11" s="41">
        <f>VLOOKUP(B11,'Player Data'!$A1:$AE734,10,FALSE)*$Q11*IFERROR(((VLOOKUP(P11,Settings!$E$28:$F$33,2,FALSE)/2)+1),1)</f>
        <v>299.11643317264708</v>
      </c>
      <c r="W11" s="41">
        <f>VLOOKUP(B11,'Player Data'!$A1:$AE734,11,FALSE)*$Q11*IFERROR((VLOOKUP(P11,Settings!$E$28:$F$33,2,FALSE)+1),1)</f>
        <v>16.832866998040302</v>
      </c>
      <c r="X11" s="41">
        <f>VLOOKUP(B11,'Player Data'!$A1:$AE734,12,FALSE)*$Q11*IFERROR((VLOOKUP(P11,Settings!$E$28:$F$33,2,FALSE)+1),1)</f>
        <v>33.05496536883178</v>
      </c>
      <c r="Y11" s="41">
        <f>VLOOKUP(B11,'Player Data'!$A1:$AE734,13,FALSE)*$Q11</f>
        <v>1.4343819086669818E-2</v>
      </c>
      <c r="Z11" s="41">
        <f>VLOOKUP(B11,'Player Data'!$A1:$AE734,14,FALSE)*$Q11</f>
        <v>2.6169685457357837E-2</v>
      </c>
      <c r="AA11" s="41">
        <f>VLOOKUP(B11,'Player Data'!$A1:$AE734,15,FALSE)*$Q11</f>
        <v>33.198229284292232</v>
      </c>
      <c r="AB11" s="41">
        <f>VLOOKUP(B11,'Player Data'!$A1:$AE734,16,FALSE)*$Q11</f>
        <v>75.009401780411736</v>
      </c>
      <c r="AC11" s="41">
        <f>VLOOKUP(B11,'Player Data'!$A1:$AE734,17,FALSE)*$Q11*IFERROR((VLOOKUP(P11,Settings!$E$28:$F$33,2,FALSE)+1),1)</f>
        <v>4.3831575188657164</v>
      </c>
      <c r="AD11" s="41">
        <f>VLOOKUP(B11,'Player Data'!$A1:$AE734,18,FALSE)*$Q11</f>
        <v>37.6933749785616</v>
      </c>
      <c r="AE11" s="41">
        <f>VLOOKUP(B11,'Player Data'!$A1:$AE734,19,FALSE)*$Q11*IFERROR((VLOOKUP(P11,Settings!$E$28:$F$33,2,FALSE)+1),1)</f>
        <v>7.5804049732873136</v>
      </c>
      <c r="AF11" s="41">
        <f>VLOOKUP(B11,'Player Data'!$A1:$AE734,20,FALSE)*$Q11</f>
        <v>4.175784299726498</v>
      </c>
      <c r="AG11" s="41">
        <f>VLOOKUP(B11,'Player Data'!$A1:$AE734,21,FALSE)*$Q11</f>
        <v>5.978950132059011</v>
      </c>
      <c r="AH11" s="42">
        <f>VLOOKUP(B11,'Player Data'!$A1:$AE734,22,FALSE)</f>
        <v>0.41121551014232399</v>
      </c>
      <c r="AI11" s="39"/>
      <c r="AJ11" s="41"/>
      <c r="AK11" s="41"/>
      <c r="AL11" s="41"/>
      <c r="AM11" s="41"/>
      <c r="AN11" s="41"/>
      <c r="AO11" s="41"/>
      <c r="AP11" s="41"/>
      <c r="AQ11" s="44"/>
      <c r="AR11" s="45"/>
      <c r="AS11" s="39"/>
    </row>
    <row r="12" spans="1:45" ht="21.25" customHeight="1" x14ac:dyDescent="0.15">
      <c r="A12" s="31">
        <f>RANK(K12,K$2:K$727)</f>
        <v>11</v>
      </c>
      <c r="B12" s="8" t="s">
        <v>116</v>
      </c>
      <c r="C12" s="32" t="s">
        <v>106</v>
      </c>
      <c r="D12" s="33" t="str">
        <f>VLOOKUP(B12,'Player Data'!A1:D734,4,FALSE)</f>
        <v>D</v>
      </c>
      <c r="E12" s="49">
        <f>VLOOKUP(B12,D!A1:C227,3,FALSE)</f>
        <v>1</v>
      </c>
      <c r="F12" s="35" t="str">
        <f>VLOOKUP(B12,'Player Data'!A1:B734,2,FALSE)</f>
        <v>COL</v>
      </c>
      <c r="G12" s="9">
        <f>VLOOKUP(B12,'Player Data'!A1:D734,3,FALSE)</f>
        <v>24</v>
      </c>
      <c r="H12" s="36">
        <f>IFERROR(VLOOKUP(B12,ADP!A1:G728,7,FALSE)/1000000,VLOOKUP(B12,ADP!A1:G728,7,FALSE))</f>
        <v>9</v>
      </c>
      <c r="I12" s="37">
        <f>IF(Settings!$E$15="POINTS",((R12*Q12)*Settings!$B$12)+(S12*Settings!$B$2)+(T12*Settings!$B$3)+(U12*Settings!$B$4)+(V12*Settings!$B$5)+(X12*Settings!$B$9)+(AA12*Settings!$B$6)+(W12*Settings!$B$8)+(AB12*Settings!$B$7)+(AC12*Settings!$B$14)+(AD12*Settings!$B$15)+(AE12*Settings!$B$16)+(AF12*Settings!$B$17)+(AG12*Settings!$B$18)+(U12*Settings!$B$13)+(Y12*Settings!$B$10)+(Z12*Settings!$B$11),VLOOKUP(B12,'Standard Deviations'!A1:C728,3,FALSE))</f>
        <v>459.88618683927103</v>
      </c>
      <c r="J12" s="38">
        <f>IF(D12="G",I12/AJ12,I12/Q12)</f>
        <v>6.0766915511666051</v>
      </c>
      <c r="K12" s="37">
        <f>VLOOKUP(B12,D!A1:F227,6,FALSE)</f>
        <v>148.32070521134358</v>
      </c>
      <c r="L12" s="37">
        <f>IFERROR(K12/H12,"N/A")</f>
        <v>16.480078356815952</v>
      </c>
      <c r="M12" s="39">
        <f>IF(Settings!$E$9="YAHOO",VLOOKUP(B12,ADP!A1:E728,2,FALSE),IF(Settings!$E$9="ESPN",VLOOKUP(B12,ADP!A1:E728,3,FALSE),IF(Settings!$E$9="FANTRAX",VLOOKUP(B12,ADP!A1:E728,4,FALSE),VLOOKUP(B12,ADP!A1:E728,5,FALSE))))</f>
        <v>13.9</v>
      </c>
      <c r="N12" s="39">
        <f>IFERROR(M12-A12,"N/A")</f>
        <v>2.9000000000000004</v>
      </c>
      <c r="O12" s="39"/>
      <c r="P12" s="40" t="str">
        <f>IF(Settings!$E$27="ON",VLOOKUP(B12,ADP!A1:H728,8,FALSE)," ")</f>
        <v>+</v>
      </c>
      <c r="Q12" s="41">
        <f>IF(Settings!$E$12="YES",VLOOKUP(B12,'Player Data'!A1:E734,5,FALSE),82)</f>
        <v>75.680357142857105</v>
      </c>
      <c r="R12" s="39">
        <f>VLOOKUP(B12,'Player Data'!$A1:$AE734,6,FALSE)</f>
        <v>26.22436151969</v>
      </c>
      <c r="S12" s="41">
        <f>VLOOKUP(B12,'Player Data'!$A1:$AE734,7,FALSE)*$Q12*IFERROR((VLOOKUP(P12,Settings!$E$28:$F$33,2,FALSE)+1),1)</f>
        <v>22.253032788823642</v>
      </c>
      <c r="T12" s="41">
        <f>VLOOKUP(B12,'Player Data'!$A1:$AE734,8,FALSE)*$Q12*IFERROR((VLOOKUP(P12,Settings!$E$28:$F$33,2,FALSE)+1),1)</f>
        <v>61.87856987740134</v>
      </c>
      <c r="U12" s="41">
        <f>SUM(S12:T12)</f>
        <v>84.131602666224978</v>
      </c>
      <c r="V12" s="41">
        <f>VLOOKUP(B12,'Player Data'!$A1:$AE734,10,FALSE)*$Q12*IFERROR(((VLOOKUP(P12,Settings!$E$28:$F$33,2,FALSE)/2)+1),1)</f>
        <v>221.65630954372551</v>
      </c>
      <c r="W12" s="41">
        <f>VLOOKUP(B12,'Player Data'!$A1:$AE734,11,FALSE)*$Q12*IFERROR((VLOOKUP(P12,Settings!$E$28:$F$33,2,FALSE)+1),1)</f>
        <v>7.4866069245510092</v>
      </c>
      <c r="X12" s="41">
        <f>VLOOKUP(B12,'Player Data'!$A1:$AE734,12,FALSE)*$Q12*IFERROR((VLOOKUP(P12,Settings!$E$28:$F$33,2,FALSE)+1),1)</f>
        <v>37.307842841044405</v>
      </c>
      <c r="Y12" s="41">
        <f>VLOOKUP(B12,'Player Data'!$A1:$AE734,13,FALSE)*$Q12</f>
        <v>3.420435449446315E-2</v>
      </c>
      <c r="Z12" s="41">
        <f>VLOOKUP(B12,'Player Data'!$A1:$AE734,14,FALSE)*$Q12</f>
        <v>0.18052515165290609</v>
      </c>
      <c r="AA12" s="41">
        <f>VLOOKUP(B12,'Player Data'!$A1:$AE734,15,FALSE)*$Q12</f>
        <v>108.43244041669318</v>
      </c>
      <c r="AB12" s="41">
        <f>VLOOKUP(B12,'Player Data'!$A1:$AE734,16,FALSE)*$Q12</f>
        <v>89.732859073576833</v>
      </c>
      <c r="AC12" s="41">
        <f>VLOOKUP(B12,'Player Data'!$A1:$AE734,17,FALSE)*$Q12*IFERROR((VLOOKUP(P12,Settings!$E$28:$F$33,2,FALSE)+1),1)</f>
        <v>9.2466511551516337</v>
      </c>
      <c r="AD12" s="41">
        <f>VLOOKUP(B12,'Player Data'!$A1:$AE734,18,FALSE)*$Q12</f>
        <v>33.071797265648826</v>
      </c>
      <c r="AE12" s="41">
        <f>VLOOKUP(B12,'Player Data'!$A1:$AE734,19,FALSE)*$Q12*IFERROR((VLOOKUP(P12,Settings!$E$28:$F$33,2,FALSE)+1),1)</f>
        <v>3.5207650678485893</v>
      </c>
      <c r="AF12" s="41">
        <f>VLOOKUP(B12,'Player Data'!$A1:$AE734,20,FALSE)*$Q12</f>
        <v>0</v>
      </c>
      <c r="AG12" s="41">
        <f>VLOOKUP(B12,'Player Data'!$A1:$AE734,21,FALSE)*$Q12</f>
        <v>0</v>
      </c>
      <c r="AH12" s="42">
        <f>VLOOKUP(B12,'Player Data'!$A1:$AE734,22,FALSE)</f>
        <v>0</v>
      </c>
      <c r="AI12" s="39"/>
      <c r="AJ12" s="43"/>
      <c r="AK12" s="41"/>
      <c r="AL12" s="41"/>
      <c r="AM12" s="41"/>
      <c r="AN12" s="41"/>
      <c r="AO12" s="41"/>
      <c r="AP12" s="41"/>
      <c r="AQ12" s="44"/>
      <c r="AR12" s="45"/>
      <c r="AS12" s="39"/>
    </row>
    <row r="13" spans="1:45" ht="21.25" customHeight="1" x14ac:dyDescent="0.15">
      <c r="A13" s="31">
        <f>RANK(K13,K$2:K$727)</f>
        <v>12</v>
      </c>
      <c r="B13" s="8" t="s">
        <v>117</v>
      </c>
      <c r="C13" s="32" t="s">
        <v>106</v>
      </c>
      <c r="D13" s="33" t="str">
        <f>VLOOKUP(B13,'Player Data'!A1:D734,4,FALSE)</f>
        <v>LW</v>
      </c>
      <c r="E13" s="47">
        <f>VLOOKUP(B13,LW!A1:C130,3,FALSE)</f>
        <v>4</v>
      </c>
      <c r="F13" s="35" t="str">
        <f>VLOOKUP(B13,'Player Data'!A1:B734,2,FALSE)</f>
        <v>DAL</v>
      </c>
      <c r="G13" s="9">
        <f>VLOOKUP(B13,'Player Data'!A1:D734,3,FALSE)</f>
        <v>24</v>
      </c>
      <c r="H13" s="36">
        <f>IFERROR(VLOOKUP(B13,ADP!A1:G728,7,FALSE)/1000000,VLOOKUP(B13,ADP!A1:G728,7,FALSE))</f>
        <v>7.75</v>
      </c>
      <c r="I13" s="37">
        <f>IF(Settings!$E$15="POINTS",((R13*Q13)*Settings!$B$12)+(S13*Settings!$B$2)+(T13*Settings!$B$3)+(U13*Settings!$B$4)+(V13*Settings!$B$5)+(X13*Settings!$B$9)+(AA13*Settings!$B$6)+(W13*Settings!$B$8)+(AB13*Settings!$B$7)+(AC13*Settings!$B$14)+(AD13*Settings!$B$15)+(AE13*Settings!$B$16)+(AF13*Settings!$B$17)+(AG13*Settings!$B$18)+(Y13*Settings!$B$10)+(Z13*Settings!$B$11),VLOOKUP(B13,'Standard Deviations'!A1:C728,3,FALSE))</f>
        <v>509.91606352067902</v>
      </c>
      <c r="J13" s="38">
        <f>IF(D13="G",I13/AJ13,I13/Q13)</f>
        <v>6.358225539771734</v>
      </c>
      <c r="K13" s="37">
        <f>IF(Settings!$E$18="C/LW/RW",VLOOKUP(B13,LW!A1:F130,6,FALSE),VLOOKUP(B13,F!A1:F430,6,FALSE))</f>
        <v>145.87545866302855</v>
      </c>
      <c r="L13" s="37">
        <f>IFERROR(K13/H13,"N/A")</f>
        <v>18.822639827487556</v>
      </c>
      <c r="M13" s="39">
        <f>IF(Settings!$E$9="YAHOO",VLOOKUP(B13,ADP!A1:E728,2,FALSE),IF(Settings!$E$9="ESPN",VLOOKUP(B13,ADP!A1:E728,3,FALSE),IF(Settings!$E$9="FANTRAX",VLOOKUP(B13,ADP!A1:E728,4,FALSE),VLOOKUP(B13,ADP!A1:E728,5,FALSE))))</f>
        <v>8</v>
      </c>
      <c r="N13" s="39">
        <f>IFERROR(M13-A13,"N/A")</f>
        <v>-4</v>
      </c>
      <c r="O13" s="39"/>
      <c r="P13" s="40" t="str">
        <f>IF(Settings!$E$27="ON",VLOOKUP(B13,ADP!A1:H728,8,FALSE)," ")</f>
        <v xml:space="preserve"> </v>
      </c>
      <c r="Q13" s="41">
        <f>IF(Settings!$E$12="YES",VLOOKUP(B13,'Player Data'!A1:E734,5,FALSE),82)</f>
        <v>80.197857142857103</v>
      </c>
      <c r="R13" s="39">
        <f>VLOOKUP(B13,'Player Data'!$A1:$AE734,6,FALSE)</f>
        <v>18.8333642730564</v>
      </c>
      <c r="S13" s="41">
        <f>VLOOKUP(B13,'Player Data'!$A1:$AE734,7,FALSE)*$Q13*IFERROR((VLOOKUP(P13,Settings!$E$28:$F$33,2,FALSE)+1),1)</f>
        <v>43.335232949445</v>
      </c>
      <c r="T13" s="41">
        <f>VLOOKUP(B13,'Player Data'!$A1:$AE734,8,FALSE)*$Q13*IFERROR((VLOOKUP(P13,Settings!$E$28:$F$33,2,FALSE)+1),1)</f>
        <v>55.286116117718194</v>
      </c>
      <c r="U13" s="41">
        <f>SUM(S13:T13)</f>
        <v>98.621349067163194</v>
      </c>
      <c r="V13" s="41">
        <f>VLOOKUP(B13,'Player Data'!$A1:$AE734,10,FALSE)*$Q13*IFERROR(((VLOOKUP(P13,Settings!$E$28:$F$33,2,FALSE)/2)+1),1)</f>
        <v>283.45289674127508</v>
      </c>
      <c r="W13" s="41">
        <f>VLOOKUP(B13,'Player Data'!$A1:$AE734,11,FALSE)*$Q13*IFERROR((VLOOKUP(P13,Settings!$E$28:$F$33,2,FALSE)+1),1)</f>
        <v>12.802366596578754</v>
      </c>
      <c r="X13" s="41">
        <f>VLOOKUP(B13,'Player Data'!$A1:$AE734,12,FALSE)*$Q13*IFERROR((VLOOKUP(P13,Settings!$E$28:$F$33,2,FALSE)+1),1)</f>
        <v>33.902306405812894</v>
      </c>
      <c r="Y13" s="41">
        <f>VLOOKUP(B13,'Player Data'!$A1:$AE734,13,FALSE)*$Q13</f>
        <v>4.3679103133718884E-3</v>
      </c>
      <c r="Z13" s="41">
        <f>VLOOKUP(B13,'Player Data'!$A1:$AE734,14,FALSE)*$Q13</f>
        <v>7.9517176591975321E-3</v>
      </c>
      <c r="AA13" s="41">
        <f>VLOOKUP(B13,'Player Data'!$A1:$AE734,15,FALSE)*$Q13</f>
        <v>22.525258508038362</v>
      </c>
      <c r="AB13" s="41">
        <f>VLOOKUP(B13,'Player Data'!$A1:$AE734,16,FALSE)*$Q13</f>
        <v>57.705925069398994</v>
      </c>
      <c r="AC13" s="41">
        <f>VLOOKUP(B13,'Player Data'!$A1:$AE734,17,FALSE)*$Q13*IFERROR((VLOOKUP(P13,Settings!$E$28:$F$33,2,FALSE)+1),1)</f>
        <v>11.081697510553498</v>
      </c>
      <c r="AD13" s="41">
        <f>VLOOKUP(B13,'Player Data'!$A1:$AE734,18,FALSE)*$Q13</f>
        <v>25.066700185471692</v>
      </c>
      <c r="AE13" s="41">
        <f>VLOOKUP(B13,'Player Data'!$A1:$AE734,19,FALSE)*$Q13*IFERROR((VLOOKUP(P13,Settings!$E$28:$F$33,2,FALSE)+1),1)</f>
        <v>6.9333300660848582</v>
      </c>
      <c r="AF13" s="41">
        <f>VLOOKUP(B13,'Player Data'!$A1:$AE734,20,FALSE)*$Q13</f>
        <v>0.21111406611208666</v>
      </c>
      <c r="AG13" s="41">
        <f>VLOOKUP(B13,'Player Data'!$A1:$AE734,21,FALSE)*$Q13</f>
        <v>1.6342351714408292</v>
      </c>
      <c r="AH13" s="42">
        <f>VLOOKUP(B13,'Player Data'!$A1:$AE734,22,FALSE)</f>
        <v>0.11440331283418199</v>
      </c>
      <c r="AI13" s="39"/>
      <c r="AJ13" s="43"/>
      <c r="AK13" s="41"/>
      <c r="AL13" s="41"/>
      <c r="AM13" s="41"/>
      <c r="AN13" s="41"/>
      <c r="AO13" s="41"/>
      <c r="AP13" s="41"/>
      <c r="AQ13" s="44"/>
      <c r="AR13" s="45"/>
      <c r="AS13" s="43"/>
    </row>
    <row r="14" spans="1:45" ht="21.25" customHeight="1" x14ac:dyDescent="0.15">
      <c r="A14" s="31">
        <f>RANK(K14,K$2:K$727)</f>
        <v>13</v>
      </c>
      <c r="B14" s="8" t="s">
        <v>118</v>
      </c>
      <c r="C14" s="32" t="s">
        <v>106</v>
      </c>
      <c r="D14" s="33" t="str">
        <f>VLOOKUP(B14,'Player Data'!A1:D734,4,FALSE)</f>
        <v>RW</v>
      </c>
      <c r="E14" s="46">
        <f>VLOOKUP(B14,RW!A1:F97,3,FALSE)</f>
        <v>4</v>
      </c>
      <c r="F14" s="35" t="str">
        <f>VLOOKUP(B14,'Player Data'!A1:B734,2,FALSE)</f>
        <v>TOR</v>
      </c>
      <c r="G14" s="9">
        <f>VLOOKUP(B14,'Player Data'!A1:D734,3,FALSE)</f>
        <v>26</v>
      </c>
      <c r="H14" s="36">
        <f>IFERROR(VLOOKUP(B14,ADP!A1:G728,7,FALSE)/1000000,VLOOKUP(B14,ADP!A1:G728,7,FALSE))</f>
        <v>10.903</v>
      </c>
      <c r="I14" s="37">
        <f>IF(Settings!$E$15="POINTS",((R14*Q14)*Settings!$B$12)+(S14*Settings!$B$2)+(T14*Settings!$B$3)+(U14*Settings!$B$4)+(V14*Settings!$B$5)+(X14*Settings!$B$9)+(AA14*Settings!$B$6)+(W14*Settings!$B$8)+(AB14*Settings!$B$7)+(AC14*Settings!$B$14)+(AD14*Settings!$B$15)+(AE14*Settings!$B$16)+(AF14*Settings!$B$17)+(AG14*Settings!$B$18)+(Y14*Settings!$B$10)+(Z14*Settings!$B$11),VLOOKUP(B14,'Standard Deviations'!A1:C728,3,FALSE))</f>
        <v>492.79175115447117</v>
      </c>
      <c r="J14" s="38">
        <f>IF(D14="G",I14/AJ14,I14/Q14)</f>
        <v>6.1480947432719324</v>
      </c>
      <c r="K14" s="37">
        <f>IF(Settings!$E$18="C/LW/RW",VLOOKUP(B14,RW!A1:F97,6,FALSE),VLOOKUP(B14,F!A1:F430,6,FALSE))</f>
        <v>142.5202106065816</v>
      </c>
      <c r="L14" s="37">
        <f>IFERROR(K14/H14,"N/A")</f>
        <v>13.071650977399027</v>
      </c>
      <c r="M14" s="39">
        <f>IF(Settings!$E$9="YAHOO",VLOOKUP(B14,ADP!A1:E728,2,FALSE),IF(Settings!$E$9="ESPN",VLOOKUP(B14,ADP!A1:E728,3,FALSE),IF(Settings!$E$9="FANTRAX",VLOOKUP(B14,ADP!A1:E728,4,FALSE),VLOOKUP(B14,ADP!A1:E728,5,FALSE))))</f>
        <v>18.100000000000001</v>
      </c>
      <c r="N14" s="39">
        <f>IFERROR(M14-A14,"N/A")</f>
        <v>5.1000000000000014</v>
      </c>
      <c r="O14" s="39"/>
      <c r="P14" s="40" t="str">
        <f>IF(Settings!$E$27="ON",VLOOKUP(B14,ADP!A1:H728,8,FALSE)," ")</f>
        <v xml:space="preserve"> </v>
      </c>
      <c r="Q14" s="41">
        <f>IF(Settings!$E$12="YES",VLOOKUP(B14,'Player Data'!A1:E734,5,FALSE),82)</f>
        <v>80.153571428571396</v>
      </c>
      <c r="R14" s="39">
        <f>VLOOKUP(B14,'Player Data'!$A1:$AE734,6,FALSE)</f>
        <v>21.310741285327701</v>
      </c>
      <c r="S14" s="41">
        <f>VLOOKUP(B14,'Player Data'!$A1:$AE734,7,FALSE)*$Q14*IFERROR((VLOOKUP(P14,Settings!$E$28:$F$33,2,FALSE)+1),1)</f>
        <v>33.119194967837942</v>
      </c>
      <c r="T14" s="41">
        <f>VLOOKUP(B14,'Player Data'!$A1:$AE734,8,FALSE)*$Q14*IFERROR((VLOOKUP(P14,Settings!$E$28:$F$33,2,FALSE)+1),1)</f>
        <v>67.820753393918835</v>
      </c>
      <c r="U14" s="41">
        <f>SUM(S14:T14)</f>
        <v>100.93994836175678</v>
      </c>
      <c r="V14" s="41">
        <f>VLOOKUP(B14,'Player Data'!$A1:$AE734,10,FALSE)*$Q14*IFERROR(((VLOOKUP(P14,Settings!$E$28:$F$33,2,FALSE)/2)+1),1)</f>
        <v>214.14494363656314</v>
      </c>
      <c r="W14" s="41">
        <f>VLOOKUP(B14,'Player Data'!$A1:$AE734,11,FALSE)*$Q14*IFERROR((VLOOKUP(P14,Settings!$E$28:$F$33,2,FALSE)+1),1)</f>
        <v>7.6735585231588921</v>
      </c>
      <c r="X14" s="41">
        <f>VLOOKUP(B14,'Player Data'!$A1:$AE734,12,FALSE)*$Q14*IFERROR((VLOOKUP(P14,Settings!$E$28:$F$33,2,FALSE)+1),1)</f>
        <v>33.099770584487381</v>
      </c>
      <c r="Y14" s="41">
        <f>VLOOKUP(B14,'Player Data'!$A1:$AE734,13,FALSE)*$Q14</f>
        <v>2.6571793737833298</v>
      </c>
      <c r="Z14" s="41">
        <f>VLOOKUP(B14,'Player Data'!$A1:$AE734,14,FALSE)*$Q14</f>
        <v>3.9964611828379257</v>
      </c>
      <c r="AA14" s="41">
        <f>VLOOKUP(B14,'Player Data'!$A1:$AE734,15,FALSE)*$Q14</f>
        <v>43.534853581343611</v>
      </c>
      <c r="AB14" s="41">
        <f>VLOOKUP(B14,'Player Data'!$A1:$AE734,16,FALSE)*$Q14</f>
        <v>61.960755477124778</v>
      </c>
      <c r="AC14" s="41">
        <f>VLOOKUP(B14,'Player Data'!$A1:$AE734,17,FALSE)*$Q14*IFERROR((VLOOKUP(P14,Settings!$E$28:$F$33,2,FALSE)+1),1)</f>
        <v>9.3021737198679357</v>
      </c>
      <c r="AD14" s="41">
        <f>VLOOKUP(B14,'Player Data'!$A1:$AE734,18,FALSE)*$Q14</f>
        <v>27.435102734142998</v>
      </c>
      <c r="AE14" s="41">
        <f>VLOOKUP(B14,'Player Data'!$A1:$AE734,19,FALSE)*$Q14*IFERROR((VLOOKUP(P14,Settings!$E$28:$F$33,2,FALSE)+1),1)</f>
        <v>5.3205898686345794</v>
      </c>
      <c r="AF14" s="41">
        <f>VLOOKUP(B14,'Player Data'!$A1:$AE734,20,FALSE)*$Q14</f>
        <v>2.2821278625730526</v>
      </c>
      <c r="AG14" s="41">
        <f>VLOOKUP(B14,'Player Data'!$A1:$AE734,21,FALSE)*$Q14</f>
        <v>4.3041571758709223</v>
      </c>
      <c r="AH14" s="42">
        <f>VLOOKUP(B14,'Player Data'!$A1:$AE734,22,FALSE)</f>
        <v>0.34649697807676599</v>
      </c>
      <c r="AI14" s="39"/>
      <c r="AJ14" s="43"/>
      <c r="AK14" s="41"/>
      <c r="AL14" s="41"/>
      <c r="AM14" s="41"/>
      <c r="AN14" s="41"/>
      <c r="AO14" s="41"/>
      <c r="AP14" s="41"/>
      <c r="AQ14" s="44"/>
      <c r="AR14" s="45"/>
      <c r="AS14" s="43"/>
    </row>
    <row r="15" spans="1:45" ht="21.25" customHeight="1" x14ac:dyDescent="0.15">
      <c r="A15" s="31">
        <f>RANK(K15,K$2:K$727)</f>
        <v>14</v>
      </c>
      <c r="B15" s="8" t="s">
        <v>119</v>
      </c>
      <c r="C15" s="32" t="s">
        <v>106</v>
      </c>
      <c r="D15" s="33" t="str">
        <f>VLOOKUP(B15,'Player Data'!A1:D734,4,FALSE)</f>
        <v>D</v>
      </c>
      <c r="E15" s="49">
        <f>VLOOKUP(B15,D!A1:C227,3,FALSE)</f>
        <v>2</v>
      </c>
      <c r="F15" s="35" t="str">
        <f>VLOOKUP(B15,'Player Data'!A1:B734,2,FALSE)</f>
        <v>NSH</v>
      </c>
      <c r="G15" s="9">
        <f>VLOOKUP(B15,'Player Data'!A1:D734,3,FALSE)</f>
        <v>33</v>
      </c>
      <c r="H15" s="36">
        <f>IFERROR(VLOOKUP(B15,ADP!A1:G728,7,FALSE)/1000000,VLOOKUP(B15,ADP!A1:G728,7,FALSE))</f>
        <v>9.0589999999999993</v>
      </c>
      <c r="I15" s="37">
        <f>IF(Settings!$E$15="POINTS",((R15*Q15)*Settings!$B$12)+(S15*Settings!$B$2)+(T15*Settings!$B$3)+(U15*Settings!$B$4)+(V15*Settings!$B$5)+(X15*Settings!$B$9)+(AA15*Settings!$B$6)+(W15*Settings!$B$8)+(AB15*Settings!$B$7)+(AC15*Settings!$B$14)+(AD15*Settings!$B$15)+(AE15*Settings!$B$16)+(AF15*Settings!$B$17)+(AG15*Settings!$B$18)+(U15*Settings!$B$13)+(Y15*Settings!$B$10)+(Z15*Settings!$B$11),VLOOKUP(B15,'Standard Deviations'!A1:C728,3,FALSE))</f>
        <v>444.25150723467397</v>
      </c>
      <c r="J15" s="38">
        <f>IF(D15="G",I15/AJ15,I15/Q15)</f>
        <v>5.7013013179870091</v>
      </c>
      <c r="K15" s="37">
        <f>VLOOKUP(B15,D!A1:F227,6,FALSE)</f>
        <v>132.68602560674651</v>
      </c>
      <c r="L15" s="37">
        <f>IFERROR(K15/H15,"N/A")</f>
        <v>14.646873342173144</v>
      </c>
      <c r="M15" s="39">
        <f>IF(Settings!$E$9="YAHOO",VLOOKUP(B15,ADP!A1:E728,2,FALSE),IF(Settings!$E$9="ESPN",VLOOKUP(B15,ADP!A1:E728,3,FALSE),IF(Settings!$E$9="FANTRAX",VLOOKUP(B15,ADP!A1:E728,4,FALSE),VLOOKUP(B15,ADP!A1:E728,5,FALSE))))</f>
        <v>46.7</v>
      </c>
      <c r="N15" s="39">
        <f>IFERROR(M15-A15,"N/A")</f>
        <v>32.700000000000003</v>
      </c>
      <c r="O15" s="39"/>
      <c r="P15" s="40" t="str">
        <f>IF(Settings!$E$27="ON",VLOOKUP(B15,ADP!A1:H728,8,FALSE)," ")</f>
        <v xml:space="preserve"> </v>
      </c>
      <c r="Q15" s="41">
        <f>IF(Settings!$E$12="YES",VLOOKUP(B15,'Player Data'!A1:E734,5,FALSE),82)</f>
        <v>77.921071428571395</v>
      </c>
      <c r="R15" s="39">
        <f>VLOOKUP(B15,'Player Data'!$A1:$AE734,6,FALSE)</f>
        <v>25.196900572663399</v>
      </c>
      <c r="S15" s="41">
        <f>VLOOKUP(B15,'Player Data'!$A1:$AE734,7,FALSE)*$Q15*IFERROR((VLOOKUP(P15,Settings!$E$28:$F$33,2,FALSE)+1),1)</f>
        <v>18.592261100907649</v>
      </c>
      <c r="T15" s="41">
        <f>VLOOKUP(B15,'Player Data'!$A1:$AE734,8,FALSE)*$Q15*IFERROR((VLOOKUP(P15,Settings!$E$28:$F$33,2,FALSE)+1),1)</f>
        <v>53.625726998272178</v>
      </c>
      <c r="U15" s="41">
        <f>SUM(S15:T15)</f>
        <v>72.21798809917982</v>
      </c>
      <c r="V15" s="41">
        <f>VLOOKUP(B15,'Player Data'!$A1:$AE734,10,FALSE)*$Q15*IFERROR(((VLOOKUP(P15,Settings!$E$28:$F$33,2,FALSE)/2)+1),1)</f>
        <v>281.80782336655767</v>
      </c>
      <c r="W15" s="41">
        <f>VLOOKUP(B15,'Player Data'!$A1:$AE734,11,FALSE)*$Q15*IFERROR((VLOOKUP(P15,Settings!$E$28:$F$33,2,FALSE)+1),1)</f>
        <v>7.9928800638068758</v>
      </c>
      <c r="X15" s="41">
        <f>VLOOKUP(B15,'Player Data'!$A1:$AE734,12,FALSE)*$Q15*IFERROR((VLOOKUP(P15,Settings!$E$28:$F$33,2,FALSE)+1),1)</f>
        <v>28.36309350036996</v>
      </c>
      <c r="Y15" s="41">
        <f>VLOOKUP(B15,'Player Data'!$A1:$AE734,13,FALSE)*$Q15</f>
        <v>2.6580114531713075E-2</v>
      </c>
      <c r="Z15" s="41">
        <f>VLOOKUP(B15,'Player Data'!$A1:$AE734,14,FALSE)*$Q15</f>
        <v>0.24057650235237774</v>
      </c>
      <c r="AA15" s="41">
        <f>VLOOKUP(B15,'Player Data'!$A1:$AE734,15,FALSE)*$Q15</f>
        <v>147.43145624205474</v>
      </c>
      <c r="AB15" s="41">
        <f>VLOOKUP(B15,'Player Data'!$A1:$AE734,16,FALSE)*$Q15</f>
        <v>68.384632003572705</v>
      </c>
      <c r="AC15" s="41">
        <f>VLOOKUP(B15,'Player Data'!$A1:$AE734,17,FALSE)*$Q15*IFERROR((VLOOKUP(P15,Settings!$E$28:$F$33,2,FALSE)+1),1)</f>
        <v>1.7410142393702259</v>
      </c>
      <c r="AD15" s="41">
        <f>VLOOKUP(B15,'Player Data'!$A1:$AE734,18,FALSE)*$Q15</f>
        <v>43.002754964376216</v>
      </c>
      <c r="AE15" s="41">
        <f>VLOOKUP(B15,'Player Data'!$A1:$AE734,19,FALSE)*$Q15*IFERROR((VLOOKUP(P15,Settings!$E$28:$F$33,2,FALSE)+1),1)</f>
        <v>2.7149563841667481</v>
      </c>
      <c r="AF15" s="41">
        <f>VLOOKUP(B15,'Player Data'!$A1:$AE734,20,FALSE)*$Q15</f>
        <v>0</v>
      </c>
      <c r="AG15" s="41">
        <f>VLOOKUP(B15,'Player Data'!$A1:$AE734,21,FALSE)*$Q15</f>
        <v>0</v>
      </c>
      <c r="AH15" s="42">
        <f>VLOOKUP(B15,'Player Data'!$A1:$AE734,22,FALSE)</f>
        <v>0</v>
      </c>
      <c r="AI15" s="39"/>
      <c r="AJ15" s="43"/>
      <c r="AK15" s="41"/>
      <c r="AL15" s="41"/>
      <c r="AM15" s="41"/>
      <c r="AN15" s="41"/>
      <c r="AO15" s="41"/>
      <c r="AP15" s="41"/>
      <c r="AQ15" s="44"/>
      <c r="AR15" s="45"/>
      <c r="AS15" s="43"/>
    </row>
    <row r="16" spans="1:45" ht="21.25" customHeight="1" x14ac:dyDescent="0.15">
      <c r="A16" s="31">
        <f>RANK(K16,K$2:K$727)</f>
        <v>15</v>
      </c>
      <c r="B16" s="8" t="s">
        <v>120</v>
      </c>
      <c r="C16" s="32" t="s">
        <v>106</v>
      </c>
      <c r="D16" s="33" t="str">
        <f>VLOOKUP(B16,'Player Data'!A1:D734,4,FALSE)</f>
        <v>G</v>
      </c>
      <c r="E16" s="50">
        <f>VLOOKUP(B16,G!A1:D75,3,FALSE)</f>
        <v>1</v>
      </c>
      <c r="F16" s="35" t="str">
        <f>VLOOKUP(B16,'Player Data'!A1:B734,2,FALSE)</f>
        <v>TBL</v>
      </c>
      <c r="G16" s="9">
        <f>VLOOKUP(B16,'Player Data'!A1:D734,3,FALSE)</f>
        <v>29</v>
      </c>
      <c r="H16" s="36">
        <f>IFERROR(VLOOKUP(B16,ADP!A1:G728,7,FALSE)/1000000,VLOOKUP(B16,ADP!A1:G728,7,FALSE))</f>
        <v>9.5</v>
      </c>
      <c r="I16" s="37">
        <f>IF(Settings!$E$15="POINTS",(AJ16*Settings!$B$29)+(AK16*Settings!$B$21)+(AL16*Settings!$B$22)+(AN16*Settings!$B$24)+(AO16*Settings!$B$25)+(AP16*Settings!$B$27)+(AM16*Settings!$B$23),VLOOKUP(B16,'Standard Deviations'!A1:C728,3,FALSE))</f>
        <v>521.34627115554633</v>
      </c>
      <c r="J16" s="38">
        <f>IF(D16="G",I16/AJ16,I16/Q16)</f>
        <v>8.4088108250894571</v>
      </c>
      <c r="K16" s="37">
        <f>VLOOKUP(B16,G!A1:F75,6,FALSE)</f>
        <v>122.57060906623013</v>
      </c>
      <c r="L16" s="37">
        <f>IFERROR(K16/H16,"N/A")</f>
        <v>12.902169375392646</v>
      </c>
      <c r="M16" s="39">
        <f>IF(Settings!$E$9="YAHOO",VLOOKUP(B16,ADP!A1:E728,2,FALSE),IF(Settings!$E$9="ESPN",VLOOKUP(B16,ADP!A1:E728,3,FALSE),IF(Settings!$E$9="FANTRAX",VLOOKUP(B16,ADP!A1:E728,4,FALSE),VLOOKUP(B16,ADP!A1:E728,5,FALSE))))</f>
        <v>19.3</v>
      </c>
      <c r="N16" s="39">
        <f>IFERROR(M16-A16,"N/A")</f>
        <v>4.3000000000000007</v>
      </c>
      <c r="O16" s="39"/>
      <c r="P16" s="40" t="str">
        <f>IF(Settings!$E$27="ON",VLOOKUP(B16,ADP!A1:H728,8,FALSE)," ")</f>
        <v xml:space="preserve"> </v>
      </c>
      <c r="Q16" s="41"/>
      <c r="R16" s="5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2"/>
      <c r="AI16" s="39"/>
      <c r="AJ16" s="43">
        <f>VLOOKUP(B16,'Player Data'!$A1:$AE734,24,FALSE)</f>
        <v>62</v>
      </c>
      <c r="AK16" s="41">
        <f>VLOOKUP(B16,'Player Data'!$A1:$AE734,25,FALSE)*$AJ16*IFERROR((VLOOKUP(P16,Settings!$E$28:$F$33,2,FALSE)+1),1)</f>
        <v>35.251981208591658</v>
      </c>
      <c r="AL16" s="41">
        <f>AJ16-AK16-AM16</f>
        <v>18.998018791408342</v>
      </c>
      <c r="AM16" s="41">
        <f>VLOOKUP(B16,'Player Data'!$A1:$AE734,27,FALSE)*$AJ16</f>
        <v>7.75</v>
      </c>
      <c r="AN16" s="41">
        <f>VLOOKUP(B16,'Player Data'!$A1:$AE734,28,FALSE)*AJ16</f>
        <v>4.3987069066913334</v>
      </c>
      <c r="AO16" s="41">
        <f>VLOOKUP(B16,'Player Data'!$A1:$AE734,29,FALSE)*$AJ16*IFERROR((VLOOKUP(P16,Settings!$E$28:$F$33,2,FALSE)/4)+1,1)</f>
        <v>1786.6926148653952</v>
      </c>
      <c r="AP16" s="41">
        <f>VLOOKUP(B16,'Player Data'!$A1:$AE734,31,FALSE)*$AJ16*(IFERROR(1-(VLOOKUP(P16,Settings!$E$28:$F$33,2,FALSE)/4),1))</f>
        <v>162.18446457210294</v>
      </c>
      <c r="AQ16" s="44">
        <f>1-(AP16/(AO16+AP16))</f>
        <v>0.91678055723303287</v>
      </c>
      <c r="AR16" s="45">
        <f>AP16/AJ16</f>
        <v>2.6158784608403698</v>
      </c>
      <c r="AS16" s="39"/>
    </row>
    <row r="17" spans="1:45" ht="21.25" customHeight="1" x14ac:dyDescent="0.15">
      <c r="A17" s="31">
        <f>RANK(K17,K$2:K$727)</f>
        <v>16</v>
      </c>
      <c r="B17" s="8" t="s">
        <v>121</v>
      </c>
      <c r="C17" s="32" t="s">
        <v>106</v>
      </c>
      <c r="D17" s="33" t="str">
        <f>VLOOKUP(B17,'Player Data'!A1:D734,4,FALSE)</f>
        <v>RW</v>
      </c>
      <c r="E17" s="46">
        <f>VLOOKUP(B17,RW!A1:F97,3,FALSE)</f>
        <v>5</v>
      </c>
      <c r="F17" s="35" t="str">
        <f>VLOOKUP(B17,'Player Data'!A1:B734,2,FALSE)</f>
        <v>TOR</v>
      </c>
      <c r="G17" s="9">
        <f>VLOOKUP(B17,'Player Data'!A1:D734,3,FALSE)</f>
        <v>27</v>
      </c>
      <c r="H17" s="36">
        <f>IFERROR(VLOOKUP(B17,ADP!A1:G728,7,FALSE)/1000000,VLOOKUP(B17,ADP!A1:G728,7,FALSE))</f>
        <v>6.9619999999999997</v>
      </c>
      <c r="I17" s="37">
        <f>IF(Settings!$E$15="POINTS",((R17*Q17)*Settings!$B$12)+(S17*Settings!$B$2)+(T17*Settings!$B$3)+(U17*Settings!$B$4)+(V17*Settings!$B$5)+(X17*Settings!$B$9)+(AA17*Settings!$B$6)+(W17*Settings!$B$8)+(AB17*Settings!$B$7)+(AC17*Settings!$B$14)+(AD17*Settings!$B$15)+(AE17*Settings!$B$16)+(AF17*Settings!$B$17)+(AG17*Settings!$B$18)+(Y17*Settings!$B$10)+(Z17*Settings!$B$11),VLOOKUP(B17,'Standard Deviations'!A1:C728,3,FALSE))</f>
        <v>472.65342376089717</v>
      </c>
      <c r="J17" s="38">
        <f>IF(D17="G",I17/AJ17,I17/Q17)</f>
        <v>5.8236981748237078</v>
      </c>
      <c r="K17" s="37">
        <f>IF(Settings!$E$18="C/LW/RW",VLOOKUP(B17,RW!A1:F97,6,FALSE),VLOOKUP(B17,F!A1:F430,6,FALSE))</f>
        <v>122.3818832130076</v>
      </c>
      <c r="L17" s="37">
        <f>IFERROR(K17/H17,"N/A")</f>
        <v>17.578552601696007</v>
      </c>
      <c r="M17" s="39">
        <f>IF(Settings!$E$9="YAHOO",VLOOKUP(B17,ADP!A1:E728,2,FALSE),IF(Settings!$E$9="ESPN",VLOOKUP(B17,ADP!A1:E728,3,FALSE),IF(Settings!$E$9="FANTRAX",VLOOKUP(B17,ADP!A1:E728,4,FALSE),VLOOKUP(B17,ADP!A1:E728,5,FALSE))))</f>
        <v>26.5</v>
      </c>
      <c r="N17" s="39">
        <f>IFERROR(M17-A17,"N/A")</f>
        <v>10.5</v>
      </c>
      <c r="O17" s="39"/>
      <c r="P17" s="40" t="str">
        <f>IF(Settings!$E$27="ON",VLOOKUP(B17,ADP!A1:H728,8,FALSE)," ")</f>
        <v>+</v>
      </c>
      <c r="Q17" s="41">
        <f>IF(Settings!$E$12="YES",VLOOKUP(B17,'Player Data'!A1:E734,5,FALSE),82)</f>
        <v>81.160357142857094</v>
      </c>
      <c r="R17" s="39">
        <f>VLOOKUP(B17,'Player Data'!$A1:$AE734,6,FALSE)</f>
        <v>18.538966700724099</v>
      </c>
      <c r="S17" s="41">
        <f>VLOOKUP(B17,'Player Data'!$A1:$AE734,7,FALSE)*$Q17*IFERROR((VLOOKUP(P17,Settings!$E$28:$F$33,2,FALSE)+1),1)</f>
        <v>37.976069212303933</v>
      </c>
      <c r="T17" s="41">
        <f>VLOOKUP(B17,'Player Data'!$A1:$AE734,8,FALSE)*$Q17*IFERROR((VLOOKUP(P17,Settings!$E$28:$F$33,2,FALSE)+1),1)</f>
        <v>49.589045695527304</v>
      </c>
      <c r="U17" s="41">
        <f>SUM(S17:T17)</f>
        <v>87.56511490783123</v>
      </c>
      <c r="V17" s="41">
        <f>VLOOKUP(B17,'Player Data'!$A1:$AE734,10,FALSE)*$Q17*IFERROR(((VLOOKUP(P17,Settings!$E$28:$F$33,2,FALSE)/2)+1),1)</f>
        <v>282.00671366765806</v>
      </c>
      <c r="W17" s="41">
        <f>VLOOKUP(B17,'Player Data'!$A1:$AE734,11,FALSE)*$Q17*IFERROR((VLOOKUP(P17,Settings!$E$28:$F$33,2,FALSE)+1),1)</f>
        <v>11.505500341542829</v>
      </c>
      <c r="X17" s="41">
        <f>VLOOKUP(B17,'Player Data'!$A1:$AE734,12,FALSE)*$Q17*IFERROR((VLOOKUP(P17,Settings!$E$28:$F$33,2,FALSE)+1),1)</f>
        <v>31.537423903040111</v>
      </c>
      <c r="Y17" s="41">
        <f>VLOOKUP(B17,'Player Data'!$A1:$AE734,13,FALSE)*$Q17</f>
        <v>6.3414268035134197E-2</v>
      </c>
      <c r="Z17" s="41">
        <f>VLOOKUP(B17,'Player Data'!$A1:$AE734,14,FALSE)*$Q17</f>
        <v>0.11582480092122356</v>
      </c>
      <c r="AA17" s="41">
        <f>VLOOKUP(B17,'Player Data'!$A1:$AE734,15,FALSE)*$Q17</f>
        <v>28.241123978259061</v>
      </c>
      <c r="AB17" s="41">
        <f>VLOOKUP(B17,'Player Data'!$A1:$AE734,16,FALSE)*$Q17</f>
        <v>24.741265478245186</v>
      </c>
      <c r="AC17" s="41">
        <f>VLOOKUP(B17,'Player Data'!$A1:$AE734,17,FALSE)*$Q17*IFERROR((VLOOKUP(P17,Settings!$E$28:$F$33,2,FALSE)+1),1)</f>
        <v>6.7250143339600337</v>
      </c>
      <c r="AD17" s="41">
        <f>VLOOKUP(B17,'Player Data'!$A1:$AE734,18,FALSE)*$Q17</f>
        <v>26.021145033789612</v>
      </c>
      <c r="AE17" s="41">
        <f>VLOOKUP(B17,'Player Data'!$A1:$AE734,19,FALSE)*$Q17*IFERROR((VLOOKUP(P17,Settings!$E$28:$F$33,2,FALSE)+1),1)</f>
        <v>6.1008454250704398</v>
      </c>
      <c r="AF17" s="41">
        <f>VLOOKUP(B17,'Player Data'!$A1:$AE734,20,FALSE)*$Q17</f>
        <v>28.03303661196037</v>
      </c>
      <c r="AG17" s="41">
        <f>VLOOKUP(B17,'Player Data'!$A1:$AE734,21,FALSE)*$Q17</f>
        <v>30.005396217518904</v>
      </c>
      <c r="AH17" s="42">
        <f>VLOOKUP(B17,'Player Data'!$A1:$AE734,22,FALSE)</f>
        <v>0.48300815934026398</v>
      </c>
      <c r="AI17" s="39"/>
      <c r="AJ17" s="41"/>
      <c r="AK17" s="41"/>
      <c r="AL17" s="41"/>
      <c r="AM17" s="41"/>
      <c r="AN17" s="41"/>
      <c r="AO17" s="41"/>
      <c r="AP17" s="41"/>
      <c r="AQ17" s="44"/>
      <c r="AR17" s="45"/>
      <c r="AS17" s="39"/>
    </row>
    <row r="18" spans="1:45" ht="21.25" customHeight="1" x14ac:dyDescent="0.15">
      <c r="A18" s="31">
        <f>RANK(K18,K$2:K$727)</f>
        <v>17</v>
      </c>
      <c r="B18" s="8" t="s">
        <v>122</v>
      </c>
      <c r="C18" s="32" t="s">
        <v>106</v>
      </c>
      <c r="D18" s="33" t="str">
        <f>VLOOKUP(B18,'Player Data'!A1:D734,4,FALSE)</f>
        <v>G</v>
      </c>
      <c r="E18" s="50">
        <f>VLOOKUP(B18,G!A1:D75,3,FALSE)</f>
        <v>2</v>
      </c>
      <c r="F18" s="35" t="str">
        <f>VLOOKUP(B18,'Player Data'!A1:B734,2,FALSE)</f>
        <v>NYI</v>
      </c>
      <c r="G18" s="9">
        <f>VLOOKUP(B18,'Player Data'!A1:D734,3,FALSE)</f>
        <v>28</v>
      </c>
      <c r="H18" s="36">
        <f>IFERROR(VLOOKUP(B18,ADP!A1:G728,7,FALSE)/1000000,VLOOKUP(B18,ADP!A1:G728,7,FALSE))</f>
        <v>4</v>
      </c>
      <c r="I18" s="37">
        <f>IF(Settings!$E$15="POINTS",(AJ18*Settings!$B$29)+(AK18*Settings!$B$21)+(AL18*Settings!$B$22)+(AN18*Settings!$B$24)+(AO18*Settings!$B$25)+(AP18*Settings!$B$27)+(AM18*Settings!$B$23),VLOOKUP(B18,'Standard Deviations'!A1:C728,3,FALSE))</f>
        <v>512.83387167443379</v>
      </c>
      <c r="J18" s="38">
        <f>IF(D18="G",I18/AJ18,I18/Q18)</f>
        <v>8.5472311945738966</v>
      </c>
      <c r="K18" s="37">
        <f>VLOOKUP(B18,G!A1:F75,6,FALSE)</f>
        <v>114.05820958511759</v>
      </c>
      <c r="L18" s="37">
        <f>IFERROR(K18/H18,"N/A")</f>
        <v>28.514552396279399</v>
      </c>
      <c r="M18" s="39">
        <f>IF(Settings!$E$9="YAHOO",VLOOKUP(B18,ADP!A1:E728,2,FALSE),IF(Settings!$E$9="ESPN",VLOOKUP(B18,ADP!A1:E728,3,FALSE),IF(Settings!$E$9="FANTRAX",VLOOKUP(B18,ADP!A1:E728,4,FALSE),VLOOKUP(B18,ADP!A1:E728,5,FALSE))))</f>
        <v>15.5</v>
      </c>
      <c r="N18" s="39">
        <f>IFERROR(M18-A18,"N/A")</f>
        <v>-1.5</v>
      </c>
      <c r="O18" s="39"/>
      <c r="P18" s="40" t="str">
        <f>IF(Settings!$E$27="ON",VLOOKUP(B18,ADP!A1:H728,8,FALSE)," ")</f>
        <v xml:space="preserve"> </v>
      </c>
      <c r="Q18" s="41"/>
      <c r="R18" s="5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2"/>
      <c r="AI18" s="39"/>
      <c r="AJ18" s="43">
        <f>VLOOKUP(B18,'Player Data'!$A1:$AE734,24,FALSE)</f>
        <v>60</v>
      </c>
      <c r="AK18" s="41">
        <f>VLOOKUP(B18,'Player Data'!$A1:$AE734,25,FALSE)*$AJ18*IFERROR((VLOOKUP(P18,Settings!$E$28:$F$33,2,FALSE)+1),1)</f>
        <v>31.771818057742557</v>
      </c>
      <c r="AL18" s="41">
        <f>AJ18-AK18-AM18</f>
        <v>20.728181942257443</v>
      </c>
      <c r="AM18" s="41">
        <f>VLOOKUP(B18,'Player Data'!$A1:$AE734,27,FALSE)*$AJ18</f>
        <v>7.5</v>
      </c>
      <c r="AN18" s="41">
        <f>VLOOKUP(B18,'Player Data'!$A1:$AE734,28,FALSE)*AJ18</f>
        <v>5.040228552580782</v>
      </c>
      <c r="AO18" s="41">
        <f>VLOOKUP(B18,'Player Data'!$A1:$AE734,29,FALSE)*$AJ18*IFERROR((VLOOKUP(P18,Settings!$E$28:$F$33,2,FALSE)/4)+1,1)</f>
        <v>1695.0673957202998</v>
      </c>
      <c r="AP18" s="41">
        <f>VLOOKUP(B18,'Player Data'!$A1:$AE734,31,FALSE)*$AJ18*(IFERROR(1-(VLOOKUP(P18,Settings!$E$28:$F$33,2,FALSE)/4),1))</f>
        <v>146.6985791547018</v>
      </c>
      <c r="AQ18" s="44">
        <f>1-(AP18/(AO18+AP18))</f>
        <v>0.92034895792628701</v>
      </c>
      <c r="AR18" s="45">
        <f>AP18/AJ18</f>
        <v>2.44497631924503</v>
      </c>
      <c r="AS18" s="39"/>
    </row>
    <row r="19" spans="1:45" ht="21.25" customHeight="1" x14ac:dyDescent="0.15">
      <c r="A19" s="31">
        <f>RANK(K19,K$2:K$727)</f>
        <v>18</v>
      </c>
      <c r="B19" s="8" t="s">
        <v>123</v>
      </c>
      <c r="C19" s="32" t="s">
        <v>106</v>
      </c>
      <c r="D19" s="33" t="str">
        <f>VLOOKUP(B19,'Player Data'!A1:D734,4,FALSE)</f>
        <v>G</v>
      </c>
      <c r="E19" s="50">
        <f>VLOOKUP(B19,G!A1:D75,3,FALSE)</f>
        <v>3</v>
      </c>
      <c r="F19" s="35" t="str">
        <f>VLOOKUP(B19,'Player Data'!A1:B734,2,FALSE)</f>
        <v>NYR</v>
      </c>
      <c r="G19" s="9">
        <f>VLOOKUP(B19,'Player Data'!A1:D734,3,FALSE)</f>
        <v>27</v>
      </c>
      <c r="H19" s="36">
        <f>IFERROR(VLOOKUP(B19,ADP!A1:G728,7,FALSE)/1000000,VLOOKUP(B19,ADP!A1:G728,7,FALSE))</f>
        <v>5.6666670000000003</v>
      </c>
      <c r="I19" s="37">
        <f>IF(Settings!$E$15="POINTS",(AJ19*Settings!$B$29)+(AK19*Settings!$B$21)+(AL19*Settings!$B$22)+(AN19*Settings!$B$24)+(AO19*Settings!$B$25)+(AP19*Settings!$B$27)+(AM19*Settings!$B$23),VLOOKUP(B19,'Standard Deviations'!A1:C728,3,FALSE))</f>
        <v>510.01013511524326</v>
      </c>
      <c r="J19" s="38">
        <f>IF(D19="G",I19/AJ19,I19/Q19)</f>
        <v>9.1073238413436304</v>
      </c>
      <c r="K19" s="37">
        <f>VLOOKUP(B19,G!A1:F75,6,FALSE)</f>
        <v>111.23447302592706</v>
      </c>
      <c r="L19" s="37">
        <f>IFERROR(K19/H19,"N/A")</f>
        <v>19.629611732245259</v>
      </c>
      <c r="M19" s="39">
        <f>IF(Settings!$E$9="YAHOO",VLOOKUP(B19,ADP!A1:E728,2,FALSE),IF(Settings!$E$9="ESPN",VLOOKUP(B19,ADP!A1:E728,3,FALSE),IF(Settings!$E$9="FANTRAX",VLOOKUP(B19,ADP!A1:E728,4,FALSE),VLOOKUP(B19,ADP!A1:E728,5,FALSE))))</f>
        <v>14.2</v>
      </c>
      <c r="N19" s="39">
        <f>IFERROR(M19-A19,"N/A")</f>
        <v>-3.8000000000000007</v>
      </c>
      <c r="O19" s="39"/>
      <c r="P19" s="40" t="str">
        <f>IF(Settings!$E$27="ON",VLOOKUP(B19,ADP!A1:H728,8,FALSE)," ")</f>
        <v>+</v>
      </c>
      <c r="Q19" s="41"/>
      <c r="R19" s="51"/>
      <c r="S19" s="41"/>
      <c r="T19" s="41"/>
      <c r="U19" s="41"/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2"/>
      <c r="AI19" s="39"/>
      <c r="AJ19" s="43">
        <f>VLOOKUP(B19,'Player Data'!$A1:$AE734,24,FALSE)</f>
        <v>56</v>
      </c>
      <c r="AK19" s="41">
        <f>VLOOKUP(B19,'Player Data'!$A1:$AE734,25,FALSE)*$AJ19*IFERROR((VLOOKUP(P19,Settings!$E$28:$F$33,2,FALSE)+1),1)</f>
        <v>36.505414975571981</v>
      </c>
      <c r="AL19" s="41">
        <f>AJ19-AK19-AM19</f>
        <v>12.494585024428019</v>
      </c>
      <c r="AM19" s="41">
        <f>VLOOKUP(B19,'Player Data'!$A1:$AE734,27,FALSE)*$AJ19</f>
        <v>7</v>
      </c>
      <c r="AN19" s="41">
        <f>VLOOKUP(B19,'Player Data'!$A1:$AE734,28,FALSE)*AJ19</f>
        <v>4.6618403945318798</v>
      </c>
      <c r="AO19" s="41">
        <f>VLOOKUP(B19,'Player Data'!$A1:$AE734,29,FALSE)*$AJ19*IFERROR((VLOOKUP(P19,Settings!$E$28:$F$33,2,FALSE)/4)+1,1)</f>
        <v>1596.8696813957674</v>
      </c>
      <c r="AP19" s="41">
        <f>VLOOKUP(B19,'Player Data'!$A1:$AE734,31,FALSE)*$AJ19*(IFERROR(1-(VLOOKUP(P19,Settings!$E$28:$F$33,2,FALSE)/4),1))</f>
        <v>135.75487709947339</v>
      </c>
      <c r="AQ19" s="44">
        <f>1-(AP19/(AO19+AP19))</f>
        <v>0.92164783972739339</v>
      </c>
      <c r="AR19" s="45">
        <f>AP19/AJ19</f>
        <v>2.4241942339191676</v>
      </c>
      <c r="AS19" s="39"/>
    </row>
    <row r="20" spans="1:45" ht="21.25" customHeight="1" x14ac:dyDescent="0.15">
      <c r="A20" s="31">
        <f>RANK(K20,K$2:K$727)</f>
        <v>19</v>
      </c>
      <c r="B20" s="8" t="s">
        <v>124</v>
      </c>
      <c r="C20" s="32" t="s">
        <v>106</v>
      </c>
      <c r="D20" s="33" t="str">
        <f>VLOOKUP(B20,'Player Data'!A1:D734,4,FALSE)</f>
        <v>G</v>
      </c>
      <c r="E20" s="50">
        <f>VLOOKUP(B20,G!A1:D75,3,FALSE)</f>
        <v>4</v>
      </c>
      <c r="F20" s="35" t="str">
        <f>VLOOKUP(B20,'Player Data'!A1:B734,2,FALSE)</f>
        <v>DAL</v>
      </c>
      <c r="G20" s="9">
        <f>VLOOKUP(B20,'Player Data'!A1:D734,3,FALSE)</f>
        <v>24</v>
      </c>
      <c r="H20" s="36">
        <f>IFERROR(VLOOKUP(B20,ADP!A1:G728,7,FALSE)/1000000,VLOOKUP(B20,ADP!A1:G728,7,FALSE))</f>
        <v>4</v>
      </c>
      <c r="I20" s="37">
        <f>IF(Settings!$E$15="POINTS",(AJ20*Settings!$B$29)+(AK20*Settings!$B$21)+(AL20*Settings!$B$22)+(AN20*Settings!$B$24)+(AO20*Settings!$B$25)+(AP20*Settings!$B$27)+(AM20*Settings!$B$23),VLOOKUP(B20,'Standard Deviations'!A1:C728,3,FALSE))</f>
        <v>506.55162125343043</v>
      </c>
      <c r="J20" s="38">
        <f>IF(D20="G",I20/AJ20,I20/Q20)</f>
        <v>8.1701874395714587</v>
      </c>
      <c r="K20" s="37">
        <f>VLOOKUP(B20,G!A1:F75,6,FALSE)</f>
        <v>107.77595916411423</v>
      </c>
      <c r="L20" s="37">
        <f>IFERROR(K20/H20,"N/A")</f>
        <v>26.943989791028557</v>
      </c>
      <c r="M20" s="39">
        <f>IF(Settings!$E$9="YAHOO",VLOOKUP(B20,ADP!A1:E728,2,FALSE),IF(Settings!$E$9="ESPN",VLOOKUP(B20,ADP!A1:E728,3,FALSE),IF(Settings!$E$9="FANTRAX",VLOOKUP(B20,ADP!A1:E728,4,FALSE),VLOOKUP(B20,ADP!A1:E728,5,FALSE))))</f>
        <v>20.399999999999999</v>
      </c>
      <c r="N20" s="39">
        <f>IFERROR(M20-A20,"N/A")</f>
        <v>1.3999999999999986</v>
      </c>
      <c r="O20" s="39"/>
      <c r="P20" s="40" t="str">
        <f>IF(Settings!$E$27="ON",VLOOKUP(B20,ADP!A1:H728,8,FALSE)," ")</f>
        <v xml:space="preserve"> </v>
      </c>
      <c r="Q20" s="41"/>
      <c r="R20" s="51"/>
      <c r="S20" s="41"/>
      <c r="T20" s="41"/>
      <c r="U20" s="41"/>
      <c r="V20" s="41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2"/>
      <c r="AI20" s="39"/>
      <c r="AJ20" s="43">
        <f>VLOOKUP(B20,'Player Data'!$A1:$AE734,24,FALSE)</f>
        <v>62</v>
      </c>
      <c r="AK20" s="41">
        <f>VLOOKUP(B20,'Player Data'!$A1:$AE734,25,FALSE)*$AJ20*IFERROR((VLOOKUP(P20,Settings!$E$28:$F$33,2,FALSE)+1),1)</f>
        <v>37.448629141680826</v>
      </c>
      <c r="AL20" s="41">
        <f>AJ20-AK20-AM20</f>
        <v>16.801370858319174</v>
      </c>
      <c r="AM20" s="41">
        <f>VLOOKUP(B20,'Player Data'!$A1:$AE734,27,FALSE)*$AJ20</f>
        <v>7.75</v>
      </c>
      <c r="AN20" s="41">
        <f>VLOOKUP(B20,'Player Data'!$A1:$AE734,28,FALSE)*AJ20</f>
        <v>5.2541448060053613</v>
      </c>
      <c r="AO20" s="41">
        <f>VLOOKUP(B20,'Player Data'!$A1:$AE734,29,FALSE)*$AJ20*IFERROR((VLOOKUP(P20,Settings!$E$28:$F$33,2,FALSE)/4)+1,1)</f>
        <v>1673.3206890082495</v>
      </c>
      <c r="AP20" s="41">
        <f>VLOOKUP(B20,'Player Data'!$A1:$AE734,31,FALSE)*$AJ20*(IFERROR(1-(VLOOKUP(P20,Settings!$E$28:$F$33,2,FALSE)/4),1))</f>
        <v>150.98763342924917</v>
      </c>
      <c r="AQ20" s="44">
        <f>1-(AP20/(AO20+AP20))</f>
        <v>0.91723568238316688</v>
      </c>
      <c r="AR20" s="45">
        <f>AP20/AJ20</f>
        <v>2.4352844101491802</v>
      </c>
      <c r="AS20" s="39"/>
    </row>
    <row r="21" spans="1:45" ht="21.25" customHeight="1" x14ac:dyDescent="0.15">
      <c r="A21" s="31">
        <f>RANK(K21,K$2:K$727)</f>
        <v>20</v>
      </c>
      <c r="B21" s="8" t="s">
        <v>125</v>
      </c>
      <c r="C21" s="32" t="s">
        <v>106</v>
      </c>
      <c r="D21" s="33" t="str">
        <f>VLOOKUP(B21,'Player Data'!A1:D734,4,FALSE)</f>
        <v>C</v>
      </c>
      <c r="E21" s="34">
        <f>VLOOKUP(B21,'C'!A1:C211,3,FALSE)</f>
        <v>6</v>
      </c>
      <c r="F21" s="35" t="str">
        <f>VLOOKUP(B21,'Player Data'!A1:B734,2,FALSE)</f>
        <v>BUF</v>
      </c>
      <c r="G21" s="9">
        <f>VLOOKUP(B21,'Player Data'!A1:D734,3,FALSE)</f>
        <v>25</v>
      </c>
      <c r="H21" s="36">
        <f>IFERROR(VLOOKUP(B21,ADP!A1:G728,7,FALSE)/1000000,VLOOKUP(B21,ADP!A1:G728,7,FALSE))</f>
        <v>7.14</v>
      </c>
      <c r="I21" s="37">
        <f>IF(Settings!$E$15="POINTS",((R21*Q21)*Settings!$B$12)+(S21*Settings!$B$2)+(T21*Settings!$B$3)+(U21*Settings!$B$4)+(V21*Settings!$B$5)+(X21*Settings!$B$9)+(AA21*Settings!$B$6)+(W21*Settings!$B$8)+(AB21*Settings!$B$7)+(AC21*Settings!$B$14)+(AD21*Settings!$B$15)+(AE21*Settings!$B$16)+(AF21*Settings!$B$17)+(AG21*Settings!$B$18)+(Y21*Settings!$B$10)+(Z21*Settings!$B$11),VLOOKUP(B21,'Standard Deviations'!A1:C728,3,FALSE))</f>
        <v>498.4069407922496</v>
      </c>
      <c r="J21" s="38">
        <f>IF(D21="G",I21/AJ21,I21/Q21)</f>
        <v>6.3499419135208264</v>
      </c>
      <c r="K21" s="37">
        <f>IF(Settings!$E$18="C/LW/RW",VLOOKUP(B21,'C'!A1:F211,6,FALSE),VLOOKUP(B21,F!A1:F430,6,FALSE))</f>
        <v>105.07813502603994</v>
      </c>
      <c r="L21" s="37">
        <f>IFERROR(K21/H21,"N/A")</f>
        <v>14.716825633899152</v>
      </c>
      <c r="M21" s="39">
        <f>IF(Settings!$E$9="YAHOO",VLOOKUP(B21,ADP!A1:E728,2,FALSE),IF(Settings!$E$9="ESPN",VLOOKUP(B21,ADP!A1:E728,3,FALSE),IF(Settings!$E$9="FANTRAX",VLOOKUP(B21,ADP!A1:E728,4,FALSE),VLOOKUP(B21,ADP!A1:E728,5,FALSE))))</f>
        <v>12.9</v>
      </c>
      <c r="N21" s="39">
        <f>IFERROR(M21-A21,"N/A")</f>
        <v>-7.1</v>
      </c>
      <c r="O21" s="39"/>
      <c r="P21" s="40" t="str">
        <f>IF(Settings!$E$27="ON",VLOOKUP(B21,ADP!A1:H728,8,FALSE)," ")</f>
        <v xml:space="preserve"> </v>
      </c>
      <c r="Q21" s="41">
        <f>IF(Settings!$E$12="YES",VLOOKUP(B21,'Player Data'!A1:E734,5,FALSE),82)</f>
        <v>78.489999999999995</v>
      </c>
      <c r="R21" s="39">
        <f>VLOOKUP(B21,'Player Data'!$A1:$AE734,6,FALSE)</f>
        <v>19.796520986965199</v>
      </c>
      <c r="S21" s="41">
        <f>VLOOKUP(B21,'Player Data'!$A1:$AE734,7,FALSE)*$Q21*IFERROR((VLOOKUP(P21,Settings!$E$28:$F$33,2,FALSE)+1),1)</f>
        <v>46.398339249558241</v>
      </c>
      <c r="T21" s="41">
        <f>VLOOKUP(B21,'Player Data'!$A1:$AE734,8,FALSE)*$Q21*IFERROR((VLOOKUP(P21,Settings!$E$28:$F$33,2,FALSE)+1),1)</f>
        <v>44.831290184146674</v>
      </c>
      <c r="U21" s="41">
        <f>SUM(S21:T21)</f>
        <v>91.229629433704915</v>
      </c>
      <c r="V21" s="41">
        <f>VLOOKUP(B21,'Player Data'!$A1:$AE734,10,FALSE)*$Q21*IFERROR(((VLOOKUP(P21,Settings!$E$28:$F$33,2,FALSE)/2)+1),1)</f>
        <v>307.40765259830368</v>
      </c>
      <c r="W21" s="41">
        <f>VLOOKUP(B21,'Player Data'!$A1:$AE734,11,FALSE)*$Q21*IFERROR((VLOOKUP(P21,Settings!$E$28:$F$33,2,FALSE)+1),1)</f>
        <v>18.627801721983602</v>
      </c>
      <c r="X21" s="41">
        <f>VLOOKUP(B21,'Player Data'!$A1:$AE734,12,FALSE)*$Q21*IFERROR((VLOOKUP(P21,Settings!$E$28:$F$33,2,FALSE)+1),1)</f>
        <v>32.120106282992502</v>
      </c>
      <c r="Y21" s="41">
        <f>VLOOKUP(B21,'Player Data'!$A1:$AE734,13,FALSE)*$Q21</f>
        <v>0.47170184356368439</v>
      </c>
      <c r="Z21" s="41">
        <f>VLOOKUP(B21,'Player Data'!$A1:$AE734,14,FALSE)*$Q21</f>
        <v>0.52042603207794313</v>
      </c>
      <c r="AA21" s="41">
        <f>VLOOKUP(B21,'Player Data'!$A1:$AE734,15,FALSE)*$Q21</f>
        <v>28.665807809210495</v>
      </c>
      <c r="AB21" s="41">
        <f>VLOOKUP(B21,'Player Data'!$A1:$AE734,16,FALSE)*$Q21</f>
        <v>64.081364295620105</v>
      </c>
      <c r="AC21" s="41">
        <f>VLOOKUP(B21,'Player Data'!$A1:$AE734,17,FALSE)*$Q21*IFERROR((VLOOKUP(P21,Settings!$E$28:$F$33,2,FALSE)+1),1)</f>
        <v>-0.65170617985638513</v>
      </c>
      <c r="AD21" s="41">
        <f>VLOOKUP(B21,'Player Data'!$A1:$AE734,18,FALSE)*$Q21</f>
        <v>38.585607892706875</v>
      </c>
      <c r="AE21" s="41">
        <f>VLOOKUP(B21,'Player Data'!$A1:$AE734,19,FALSE)*$Q21*IFERROR((VLOOKUP(P21,Settings!$E$28:$F$33,2,FALSE)+1),1)</f>
        <v>5.9792761663330118</v>
      </c>
      <c r="AF21" s="41">
        <f>VLOOKUP(B21,'Player Data'!$A1:$AE734,20,FALSE)*$Q21</f>
        <v>342.44151476334116</v>
      </c>
      <c r="AG21" s="41">
        <f>VLOOKUP(B21,'Player Data'!$A1:$AE734,21,FALSE)*$Q21</f>
        <v>512.74649789424882</v>
      </c>
      <c r="AH21" s="42">
        <f>VLOOKUP(B21,'Player Data'!$A1:$AE734,22,FALSE)</f>
        <v>0.40042833820736901</v>
      </c>
      <c r="AI21" s="39"/>
      <c r="AJ21" s="43"/>
      <c r="AK21" s="41"/>
      <c r="AL21" s="41"/>
      <c r="AM21" s="41"/>
      <c r="AN21" s="41"/>
      <c r="AO21" s="41"/>
      <c r="AP21" s="41"/>
      <c r="AQ21" s="44"/>
      <c r="AR21" s="45"/>
      <c r="AS21" s="43"/>
    </row>
    <row r="22" spans="1:45" ht="21.25" customHeight="1" x14ac:dyDescent="0.15">
      <c r="A22" s="31">
        <f>RANK(K22,K$2:K$727)</f>
        <v>21</v>
      </c>
      <c r="B22" s="8" t="s">
        <v>126</v>
      </c>
      <c r="C22" s="32" t="s">
        <v>106</v>
      </c>
      <c r="D22" s="33" t="str">
        <f>VLOOKUP(B22,'Player Data'!A1:D734,4,FALSE)</f>
        <v>D</v>
      </c>
      <c r="E22" s="49">
        <f>VLOOKUP(B22,D!A1:C227,3,FALSE)</f>
        <v>3</v>
      </c>
      <c r="F22" s="35" t="str">
        <f>VLOOKUP(B22,'Player Data'!A1:B734,2,FALSE)</f>
        <v>PIT</v>
      </c>
      <c r="G22" s="9">
        <f>VLOOKUP(B22,'Player Data'!A1:D734,3,FALSE)</f>
        <v>33</v>
      </c>
      <c r="H22" s="36">
        <f>IFERROR(VLOOKUP(B22,ADP!A1:G728,7,FALSE)/1000000,VLOOKUP(B22,ADP!A1:G728,7,FALSE))</f>
        <v>10</v>
      </c>
      <c r="I22" s="37">
        <f>IF(Settings!$E$15="POINTS",((R22*Q22)*Settings!$B$12)+(S22*Settings!$B$2)+(T22*Settings!$B$3)+(U22*Settings!$B$4)+(V22*Settings!$B$5)+(X22*Settings!$B$9)+(AA22*Settings!$B$6)+(W22*Settings!$B$8)+(AB22*Settings!$B$7)+(AC22*Settings!$B$14)+(AD22*Settings!$B$15)+(AE22*Settings!$B$16)+(AF22*Settings!$B$17)+(AG22*Settings!$B$18)+(U22*Settings!$B$13)+(Y22*Settings!$B$10)+(Z22*Settings!$B$11),VLOOKUP(B22,'Standard Deviations'!A1:C728,3,FALSE))</f>
        <v>414.00987995593869</v>
      </c>
      <c r="J22" s="38">
        <f>IF(D22="G",I22/AJ22,I22/Q22)</f>
        <v>5.3736610848891564</v>
      </c>
      <c r="K22" s="37">
        <f>VLOOKUP(B22,D!A1:F227,6,FALSE)</f>
        <v>102.44439832801123</v>
      </c>
      <c r="L22" s="37">
        <f>IFERROR(K22/H22,"N/A")</f>
        <v>10.244439832801124</v>
      </c>
      <c r="M22" s="39">
        <f>IF(Settings!$E$9="YAHOO",VLOOKUP(B22,ADP!A1:E728,2,FALSE),IF(Settings!$E$9="ESPN",VLOOKUP(B22,ADP!A1:E728,3,FALSE),IF(Settings!$E$9="FANTRAX",VLOOKUP(B22,ADP!A1:E728,4,FALSE),VLOOKUP(B22,ADP!A1:E728,5,FALSE))))</f>
        <v>41.1</v>
      </c>
      <c r="N22" s="39">
        <f>IFERROR(M22-A22,"N/A")</f>
        <v>20.100000000000001</v>
      </c>
      <c r="O22" s="39"/>
      <c r="P22" s="40" t="str">
        <f>IF(Settings!$E$27="ON",VLOOKUP(B22,ADP!A1:H728,8,FALSE)," ")</f>
        <v>+ +</v>
      </c>
      <c r="Q22" s="41">
        <f>IF(Settings!$E$12="YES",VLOOKUP(B22,'Player Data'!A1:E734,5,FALSE),82)</f>
        <v>77.044285714285706</v>
      </c>
      <c r="R22" s="39">
        <f>VLOOKUP(B22,'Player Data'!$A1:$AE734,6,FALSE)</f>
        <v>26.080562995426799</v>
      </c>
      <c r="S22" s="41">
        <f>VLOOKUP(B22,'Player Data'!$A1:$AE734,7,FALSE)*$Q22*IFERROR((VLOOKUP(P22,Settings!$E$28:$F$33,2,FALSE)+1),1)</f>
        <v>20.337022914159711</v>
      </c>
      <c r="T22" s="41">
        <f>VLOOKUP(B22,'Player Data'!$A1:$AE734,8,FALSE)*$Q22*IFERROR((VLOOKUP(P22,Settings!$E$28:$F$33,2,FALSE)+1),1)</f>
        <v>59.579187075038824</v>
      </c>
      <c r="U22" s="41">
        <f>SUM(S22:T22)</f>
        <v>79.916209989198535</v>
      </c>
      <c r="V22" s="41">
        <f>VLOOKUP(B22,'Player Data'!$A1:$AE734,10,FALSE)*$Q22*IFERROR(((VLOOKUP(P22,Settings!$E$28:$F$33,2,FALSE)/2)+1),1)</f>
        <v>209.2370624509629</v>
      </c>
      <c r="W22" s="41">
        <f>VLOOKUP(B22,'Player Data'!$A1:$AE734,11,FALSE)*$Q22*IFERROR((VLOOKUP(P22,Settings!$E$28:$F$33,2,FALSE)+1),1)</f>
        <v>4.3269720465135313</v>
      </c>
      <c r="X22" s="41">
        <f>VLOOKUP(B22,'Player Data'!$A1:$AE734,12,FALSE)*$Q22*IFERROR((VLOOKUP(P22,Settings!$E$28:$F$33,2,FALSE)+1),1)</f>
        <v>25.482005825072964</v>
      </c>
      <c r="Y22" s="41">
        <f>VLOOKUP(B22,'Player Data'!$A1:$AE734,13,FALSE)*$Q22</f>
        <v>1.5661884490459854E-2</v>
      </c>
      <c r="Z22" s="41">
        <f>VLOOKUP(B22,'Player Data'!$A1:$AE734,14,FALSE)*$Q22</f>
        <v>0.14184791194639476</v>
      </c>
      <c r="AA22" s="41">
        <f>VLOOKUP(B22,'Player Data'!$A1:$AE734,15,FALSE)*$Q22</f>
        <v>91.975056444114372</v>
      </c>
      <c r="AB22" s="41">
        <f>VLOOKUP(B22,'Player Data'!$A1:$AE734,16,FALSE)*$Q22</f>
        <v>44.666251667784877</v>
      </c>
      <c r="AC22" s="41">
        <f>VLOOKUP(B22,'Player Data'!$A1:$AE734,17,FALSE)*$Q22*IFERROR((VLOOKUP(P22,Settings!$E$28:$F$33,2,FALSE)+1),1)</f>
        <v>3.4145830833695654</v>
      </c>
      <c r="AD22" s="41">
        <f>VLOOKUP(B22,'Player Data'!$A1:$AE734,18,FALSE)*$Q22</f>
        <v>28.879137302312376</v>
      </c>
      <c r="AE22" s="41">
        <f>VLOOKUP(B22,'Player Data'!$A1:$AE734,19,FALSE)*$Q22*IFERROR((VLOOKUP(P22,Settings!$E$28:$F$33,2,FALSE)+1),1)</f>
        <v>3.2366242402663015</v>
      </c>
      <c r="AF22" s="41">
        <f>VLOOKUP(B22,'Player Data'!$A1:$AE734,20,FALSE)*$Q22</f>
        <v>0</v>
      </c>
      <c r="AG22" s="41">
        <f>VLOOKUP(B22,'Player Data'!$A1:$AE734,21,FALSE)*$Q22</f>
        <v>0.77419407881639646</v>
      </c>
      <c r="AH22" s="42">
        <f>VLOOKUP(B22,'Player Data'!$A1:$AE734,22,FALSE)</f>
        <v>0</v>
      </c>
      <c r="AI22" s="39"/>
      <c r="AJ22" s="43"/>
      <c r="AK22" s="41"/>
      <c r="AL22" s="41"/>
      <c r="AM22" s="41"/>
      <c r="AN22" s="41"/>
      <c r="AO22" s="41"/>
      <c r="AP22" s="41"/>
      <c r="AQ22" s="44"/>
      <c r="AR22" s="45"/>
      <c r="AS22" s="39"/>
    </row>
    <row r="23" spans="1:45" ht="21.25" customHeight="1" x14ac:dyDescent="0.15">
      <c r="A23" s="31">
        <f>RANK(K23,K$2:K$727)</f>
        <v>22</v>
      </c>
      <c r="B23" s="8" t="s">
        <v>127</v>
      </c>
      <c r="C23" s="32" t="s">
        <v>106</v>
      </c>
      <c r="D23" s="33" t="str">
        <f>VLOOKUP(B23,'Player Data'!A1:D734,4,FALSE)</f>
        <v>D</v>
      </c>
      <c r="E23" s="49">
        <f>VLOOKUP(B23,D!A1:C227,3,FALSE)</f>
        <v>4</v>
      </c>
      <c r="F23" s="35" t="str">
        <f>VLOOKUP(B23,'Player Data'!A1:B734,2,FALSE)</f>
        <v>BUF</v>
      </c>
      <c r="G23" s="9">
        <f>VLOOKUP(B23,'Player Data'!A1:D734,3,FALSE)</f>
        <v>23</v>
      </c>
      <c r="H23" s="36">
        <f>IFERROR(VLOOKUP(B23,ADP!A1:G728,7,FALSE)/1000000,VLOOKUP(B23,ADP!A1:G728,7,FALSE))</f>
        <v>6</v>
      </c>
      <c r="I23" s="37">
        <f>IF(Settings!$E$15="POINTS",((R23*Q23)*Settings!$B$12)+(S23*Settings!$B$2)+(T23*Settings!$B$3)+(U23*Settings!$B$4)+(V23*Settings!$B$5)+(X23*Settings!$B$9)+(AA23*Settings!$B$6)+(W23*Settings!$B$8)+(AB23*Settings!$B$7)+(AC23*Settings!$B$14)+(AD23*Settings!$B$15)+(AE23*Settings!$B$16)+(AF23*Settings!$B$17)+(AG23*Settings!$B$18)+(U23*Settings!$B$13)+(Y23*Settings!$B$10)+(Z23*Settings!$B$11),VLOOKUP(B23,'Standard Deviations'!A1:C728,3,FALSE))</f>
        <v>405.71016384920756</v>
      </c>
      <c r="J23" s="38">
        <f>IF(D23="G",I23/AJ23,I23/Q23)</f>
        <v>4.9792607247079967</v>
      </c>
      <c r="K23" s="37">
        <f>VLOOKUP(B23,D!A1:F227,6,FALSE)</f>
        <v>94.144682221280107</v>
      </c>
      <c r="L23" s="37">
        <f>IFERROR(K23/H23,"N/A")</f>
        <v>15.690780370213352</v>
      </c>
      <c r="M23" s="39">
        <f>IF(Settings!$E$9="YAHOO",VLOOKUP(B23,ADP!A1:E728,2,FALSE),IF(Settings!$E$9="ESPN",VLOOKUP(B23,ADP!A1:E728,3,FALSE),IF(Settings!$E$9="FANTRAX",VLOOKUP(B23,ADP!A1:E728,4,FALSE),VLOOKUP(B23,ADP!A1:E728,5,FALSE))))</f>
        <v>42.3</v>
      </c>
      <c r="N23" s="39">
        <f>IFERROR(M23-A23,"N/A")</f>
        <v>20.299999999999997</v>
      </c>
      <c r="O23" s="39"/>
      <c r="P23" s="40" t="str">
        <f>IF(Settings!$E$27="ON",VLOOKUP(B23,ADP!A1:H728,8,FALSE)," ")</f>
        <v>+</v>
      </c>
      <c r="Q23" s="41">
        <f>IF(Settings!$E$12="YES",VLOOKUP(B23,'Player Data'!A1:E734,5,FALSE),82)</f>
        <v>81.48</v>
      </c>
      <c r="R23" s="39">
        <f>VLOOKUP(B23,'Player Data'!$A1:$AE734,6,FALSE)</f>
        <v>25.612818272748601</v>
      </c>
      <c r="S23" s="41">
        <f>VLOOKUP(B23,'Player Data'!$A1:$AE734,7,FALSE)*$Q23*IFERROR((VLOOKUP(P23,Settings!$E$28:$F$33,2,FALSE)+1),1)</f>
        <v>15.183334803204186</v>
      </c>
      <c r="T23" s="41">
        <f>VLOOKUP(B23,'Player Data'!$A1:$AE734,8,FALSE)*$Q23*IFERROR((VLOOKUP(P23,Settings!$E$28:$F$33,2,FALSE)+1),1)</f>
        <v>55.761763485710418</v>
      </c>
      <c r="U23" s="41">
        <f>SUM(S23:T23)</f>
        <v>70.945098288914608</v>
      </c>
      <c r="V23" s="41">
        <f>VLOOKUP(B23,'Player Data'!$A1:$AE734,10,FALSE)*$Q23*IFERROR(((VLOOKUP(P23,Settings!$E$28:$F$33,2,FALSE)/2)+1),1)</f>
        <v>209.65953172095467</v>
      </c>
      <c r="W23" s="41">
        <f>VLOOKUP(B23,'Player Data'!$A1:$AE734,11,FALSE)*$Q23*IFERROR((VLOOKUP(P23,Settings!$E$28:$F$33,2,FALSE)+1),1)</f>
        <v>5.1996031891961749</v>
      </c>
      <c r="X23" s="41">
        <f>VLOOKUP(B23,'Player Data'!$A1:$AE734,12,FALSE)*$Q23*IFERROR((VLOOKUP(P23,Settings!$E$28:$F$33,2,FALSE)+1),1)</f>
        <v>31.475652336701959</v>
      </c>
      <c r="Y23" s="41">
        <f>VLOOKUP(B23,'Player Data'!$A1:$AE734,13,FALSE)*$Q23</f>
        <v>2.5204724181700552E-2</v>
      </c>
      <c r="Z23" s="41">
        <f>VLOOKUP(B23,'Player Data'!$A1:$AE734,14,FALSE)*$Q23</f>
        <v>0.31192377793379655</v>
      </c>
      <c r="AA23" s="41">
        <f>VLOOKUP(B23,'Player Data'!$A1:$AE734,15,FALSE)*$Q23</f>
        <v>122.34975446357446</v>
      </c>
      <c r="AB23" s="41">
        <f>VLOOKUP(B23,'Player Data'!$A1:$AE734,16,FALSE)*$Q23</f>
        <v>113.03994568512428</v>
      </c>
      <c r="AC23" s="41">
        <f>VLOOKUP(B23,'Player Data'!$A1:$AE734,17,FALSE)*$Q23*IFERROR((VLOOKUP(P23,Settings!$E$28:$F$33,2,FALSE)+1),1)</f>
        <v>-0.60800684799968552</v>
      </c>
      <c r="AD23" s="41">
        <f>VLOOKUP(B23,'Player Data'!$A1:$AE734,18,FALSE)*$Q23</f>
        <v>71.779059736881635</v>
      </c>
      <c r="AE23" s="41">
        <f>VLOOKUP(B23,'Player Data'!$A1:$AE734,19,FALSE)*$Q23*IFERROR((VLOOKUP(P23,Settings!$E$28:$F$33,2,FALSE)+1),1)</f>
        <v>1.9566508927389656</v>
      </c>
      <c r="AF23" s="41">
        <f>VLOOKUP(B23,'Player Data'!$A1:$AE734,20,FALSE)*$Q23</f>
        <v>0</v>
      </c>
      <c r="AG23" s="41">
        <f>VLOOKUP(B23,'Player Data'!$A1:$AE734,21,FALSE)*$Q23</f>
        <v>0</v>
      </c>
      <c r="AH23" s="42">
        <f>VLOOKUP(B23,'Player Data'!$A1:$AE734,22,FALSE)</f>
        <v>0</v>
      </c>
      <c r="AI23" s="39"/>
      <c r="AJ23" s="41"/>
      <c r="AK23" s="41"/>
      <c r="AL23" s="41"/>
      <c r="AM23" s="41"/>
      <c r="AN23" s="41"/>
      <c r="AO23" s="41"/>
      <c r="AP23" s="41"/>
      <c r="AQ23" s="44"/>
      <c r="AR23" s="45"/>
      <c r="AS23" s="39"/>
    </row>
    <row r="24" spans="1:45" ht="21.25" customHeight="1" x14ac:dyDescent="0.15">
      <c r="A24" s="31">
        <f>RANK(K24,K$2:K$727)</f>
        <v>23</v>
      </c>
      <c r="B24" s="8" t="s">
        <v>128</v>
      </c>
      <c r="C24" s="32" t="s">
        <v>106</v>
      </c>
      <c r="D24" s="33" t="str">
        <f>VLOOKUP(B24,'Player Data'!A1:D734,4,FALSE)</f>
        <v>G</v>
      </c>
      <c r="E24" s="50">
        <f>VLOOKUP(B24,G!A1:D75,3,FALSE)</f>
        <v>5</v>
      </c>
      <c r="F24" s="35" t="str">
        <f>VLOOKUP(B24,'Player Data'!A1:B734,2,FALSE)</f>
        <v>WPG</v>
      </c>
      <c r="G24" s="9">
        <f>VLOOKUP(B24,'Player Data'!A1:D734,3,FALSE)</f>
        <v>30</v>
      </c>
      <c r="H24" s="36">
        <f>IFERROR(VLOOKUP(B24,ADP!A1:G728,7,FALSE)/1000000,VLOOKUP(B24,ADP!A1:G728,7,FALSE))</f>
        <v>6.1666660000000002</v>
      </c>
      <c r="I24" s="37">
        <f>IF(Settings!$E$15="POINTS",(AJ24*Settings!$B$29)+(AK24*Settings!$B$21)+(AL24*Settings!$B$22)+(AN24*Settings!$B$24)+(AO24*Settings!$B$25)+(AP24*Settings!$B$27)+(AM24*Settings!$B$23),VLOOKUP(B24,'Standard Deviations'!A1:C728,3,FALSE))</f>
        <v>490.92440240067219</v>
      </c>
      <c r="J24" s="38">
        <f>IF(D24="G",I24/AJ24,I24/Q24)</f>
        <v>7.9181355225914869</v>
      </c>
      <c r="K24" s="37">
        <f>VLOOKUP(B24,G!A1:F75,6,FALSE)</f>
        <v>92.148740311355994</v>
      </c>
      <c r="L24" s="37">
        <f>IFERROR(K24/H24,"N/A")</f>
        <v>14.943040584872927</v>
      </c>
      <c r="M24" s="39">
        <f>IF(Settings!$E$9="YAHOO",VLOOKUP(B24,ADP!A1:E728,2,FALSE),IF(Settings!$E$9="ESPN",VLOOKUP(B24,ADP!A1:E728,3,FALSE),IF(Settings!$E$9="FANTRAX",VLOOKUP(B24,ADP!A1:E728,4,FALSE),VLOOKUP(B24,ADP!A1:E728,5,FALSE))))</f>
        <v>30.9</v>
      </c>
      <c r="N24" s="39">
        <f>IFERROR(M24-A24,"N/A")</f>
        <v>7.8999999999999986</v>
      </c>
      <c r="O24" s="39"/>
      <c r="P24" s="40" t="str">
        <f>IF(Settings!$E$27="ON",VLOOKUP(B24,ADP!A1:H728,8,FALSE)," ")</f>
        <v xml:space="preserve"> </v>
      </c>
      <c r="Q24" s="41"/>
      <c r="R24" s="5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2"/>
      <c r="AI24" s="39"/>
      <c r="AJ24" s="43">
        <f>VLOOKUP(B24,'Player Data'!$A1:$AE734,24,FALSE)</f>
        <v>62</v>
      </c>
      <c r="AK24" s="41">
        <f>VLOOKUP(B24,'Player Data'!$A1:$AE734,25,FALSE)*$AJ24*IFERROR((VLOOKUP(P24,Settings!$E$28:$F$33,2,FALSE)+1),1)</f>
        <v>33.596999324188687</v>
      </c>
      <c r="AL24" s="41">
        <f>AJ24-AK24-AM24</f>
        <v>20.653000675811313</v>
      </c>
      <c r="AM24" s="41">
        <f>VLOOKUP(B24,'Player Data'!$A1:$AE734,27,FALSE)*$AJ24</f>
        <v>7.75</v>
      </c>
      <c r="AN24" s="41">
        <f>VLOOKUP(B24,'Player Data'!$A1:$AE734,28,FALSE)*AJ24</f>
        <v>4.9462610634239139</v>
      </c>
      <c r="AO24" s="41">
        <f>VLOOKUP(B24,'Player Data'!$A1:$AE734,29,FALSE)*$AJ24*IFERROR((VLOOKUP(P24,Settings!$E$28:$F$33,2,FALSE)/4)+1,1)</f>
        <v>1690.5869166896441</v>
      </c>
      <c r="AP24" s="41">
        <f>VLOOKUP(B24,'Player Data'!$A1:$AE734,31,FALSE)*$AJ24*(IFERROR(1-(VLOOKUP(P24,Settings!$E$28:$F$33,2,FALSE)/4),1))</f>
        <v>155.01752534785456</v>
      </c>
      <c r="AQ24" s="44">
        <f>1-(AP24/(AO24+AP24))</f>
        <v>0.91600717801875287</v>
      </c>
      <c r="AR24" s="45">
        <f>AP24/AJ24</f>
        <v>2.5002826669008802</v>
      </c>
      <c r="AS24" s="39"/>
    </row>
    <row r="25" spans="1:45" ht="21.25" customHeight="1" x14ac:dyDescent="0.15">
      <c r="A25" s="31">
        <f>RANK(K25,K$2:K$727)</f>
        <v>24</v>
      </c>
      <c r="B25" s="8" t="s">
        <v>129</v>
      </c>
      <c r="C25" s="32" t="s">
        <v>106</v>
      </c>
      <c r="D25" s="33" t="str">
        <f>VLOOKUP(B25,'Player Data'!A1:D734,4,FALSE)</f>
        <v>D</v>
      </c>
      <c r="E25" s="49">
        <f>VLOOKUP(B25,D!A1:C227,3,FALSE)</f>
        <v>5</v>
      </c>
      <c r="F25" s="35" t="str">
        <f>VLOOKUP(B25,'Player Data'!A1:B734,2,FALSE)</f>
        <v>NJD</v>
      </c>
      <c r="G25" s="9">
        <f>VLOOKUP(B25,'Player Data'!A1:D734,3,FALSE)</f>
        <v>30</v>
      </c>
      <c r="H25" s="36">
        <f>IFERROR(VLOOKUP(B25,ADP!A1:G728,7,FALSE)/1000000,VLOOKUP(B25,ADP!A1:G728,7,FALSE))</f>
        <v>9</v>
      </c>
      <c r="I25" s="37">
        <f>IF(Settings!$E$15="POINTS",((R25*Q25)*Settings!$B$12)+(S25*Settings!$B$2)+(T25*Settings!$B$3)+(U25*Settings!$B$4)+(V25*Settings!$B$5)+(X25*Settings!$B$9)+(AA25*Settings!$B$6)+(W25*Settings!$B$8)+(AB25*Settings!$B$7)+(AC25*Settings!$B$14)+(AD25*Settings!$B$15)+(AE25*Settings!$B$16)+(AF25*Settings!$B$17)+(AG25*Settings!$B$18)+(U25*Settings!$B$13)+(Y25*Settings!$B$10)+(Z25*Settings!$B$11),VLOOKUP(B25,'Standard Deviations'!A1:C728,3,FALSE))</f>
        <v>398.34830834898315</v>
      </c>
      <c r="J25" s="38">
        <f>IF(D25="G",I25/AJ25,I25/Q25)</f>
        <v>5.0338724912541783</v>
      </c>
      <c r="K25" s="37">
        <f>VLOOKUP(B25,D!A1:F227,6,FALSE)</f>
        <v>86.782826721055699</v>
      </c>
      <c r="L25" s="37">
        <f>IFERROR(K25/H25,"N/A")</f>
        <v>9.6425363023395221</v>
      </c>
      <c r="M25" s="39">
        <f>IF(Settings!$E$9="YAHOO",VLOOKUP(B25,ADP!A1:E728,2,FALSE),IF(Settings!$E$9="ESPN",VLOOKUP(B25,ADP!A1:E728,3,FALSE),IF(Settings!$E$9="FANTRAX",VLOOKUP(B25,ADP!A1:E728,4,FALSE),VLOOKUP(B25,ADP!A1:E728,5,FALSE))))</f>
        <v>52.7</v>
      </c>
      <c r="N25" s="39">
        <f>IFERROR(M25-A25,"N/A")</f>
        <v>28.700000000000003</v>
      </c>
      <c r="O25" s="39"/>
      <c r="P25" s="40" t="str">
        <f>IF(Settings!$E$27="ON",VLOOKUP(B25,ADP!A1:H728,8,FALSE)," ")</f>
        <v>+</v>
      </c>
      <c r="Q25" s="41">
        <f>IF(Settings!$E$12="YES",VLOOKUP(B25,'Player Data'!A1:E734,5,FALSE),82)</f>
        <v>79.1335714285714</v>
      </c>
      <c r="R25" s="39">
        <f>VLOOKUP(B25,'Player Data'!$A1:$AE734,6,FALSE)</f>
        <v>22.454265594512201</v>
      </c>
      <c r="S25" s="41">
        <f>VLOOKUP(B25,'Player Data'!$A1:$AE734,7,FALSE)*$Q25*IFERROR((VLOOKUP(P25,Settings!$E$28:$F$33,2,FALSE)+1),1)</f>
        <v>17.50062791720185</v>
      </c>
      <c r="T25" s="41">
        <f>VLOOKUP(B25,'Player Data'!$A1:$AE734,8,FALSE)*$Q25*IFERROR((VLOOKUP(P25,Settings!$E$28:$F$33,2,FALSE)+1),1)</f>
        <v>46.726557364961508</v>
      </c>
      <c r="U25" s="41">
        <f>SUM(S25:T25)</f>
        <v>64.227185282163362</v>
      </c>
      <c r="V25" s="41">
        <f>VLOOKUP(B25,'Player Data'!$A1:$AE734,10,FALSE)*$Q25*IFERROR(((VLOOKUP(P25,Settings!$E$28:$F$33,2,FALSE)/2)+1),1)</f>
        <v>266.81015413923478</v>
      </c>
      <c r="W25" s="41">
        <f>VLOOKUP(B25,'Player Data'!$A1:$AE734,11,FALSE)*$Q25*IFERROR((VLOOKUP(P25,Settings!$E$28:$F$33,2,FALSE)+1),1)</f>
        <v>6.3711690773518859</v>
      </c>
      <c r="X25" s="41">
        <f>VLOOKUP(B25,'Player Data'!$A1:$AE734,12,FALSE)*$Q25*IFERROR((VLOOKUP(P25,Settings!$E$28:$F$33,2,FALSE)+1),1)</f>
        <v>26.231567008877114</v>
      </c>
      <c r="Y25" s="41">
        <f>VLOOKUP(B25,'Player Data'!$A1:$AE734,13,FALSE)*$Q25</f>
        <v>0.13015145800314715</v>
      </c>
      <c r="Z25" s="41">
        <f>VLOOKUP(B25,'Player Data'!$A1:$AE734,14,FALSE)*$Q25</f>
        <v>0.18741853967281324</v>
      </c>
      <c r="AA25" s="41">
        <f>VLOOKUP(B25,'Player Data'!$A1:$AE734,15,FALSE)*$Q25</f>
        <v>97.118521678879105</v>
      </c>
      <c r="AB25" s="41">
        <f>VLOOKUP(B25,'Player Data'!$A1:$AE734,16,FALSE)*$Q25</f>
        <v>76.26328894318506</v>
      </c>
      <c r="AC25" s="41">
        <f>VLOOKUP(B25,'Player Data'!$A1:$AE734,17,FALSE)*$Q25*IFERROR((VLOOKUP(P25,Settings!$E$28:$F$33,2,FALSE)+1),1)</f>
        <v>1.3973385264309353</v>
      </c>
      <c r="AD25" s="41">
        <f>VLOOKUP(B25,'Player Data'!$A1:$AE734,18,FALSE)*$Q25</f>
        <v>48.190966066029013</v>
      </c>
      <c r="AE25" s="41">
        <f>VLOOKUP(B25,'Player Data'!$A1:$AE734,19,FALSE)*$Q25*IFERROR((VLOOKUP(P25,Settings!$E$28:$F$33,2,FALSE)+1),1)</f>
        <v>2.5759280000724374</v>
      </c>
      <c r="AF25" s="41">
        <f>VLOOKUP(B25,'Player Data'!$A1:$AE734,20,FALSE)*$Q25</f>
        <v>0</v>
      </c>
      <c r="AG25" s="41">
        <f>VLOOKUP(B25,'Player Data'!$A1:$AE734,21,FALSE)*$Q25</f>
        <v>0</v>
      </c>
      <c r="AH25" s="42">
        <f>VLOOKUP(B25,'Player Data'!$A1:$AE734,22,FALSE)</f>
        <v>0</v>
      </c>
      <c r="AI25" s="39"/>
      <c r="AJ25" s="43"/>
      <c r="AK25" s="41"/>
      <c r="AL25" s="41"/>
      <c r="AM25" s="41"/>
      <c r="AN25" s="41"/>
      <c r="AO25" s="41"/>
      <c r="AP25" s="41"/>
      <c r="AQ25" s="44"/>
      <c r="AR25" s="45"/>
      <c r="AS25" s="43"/>
    </row>
    <row r="26" spans="1:45" ht="21.25" customHeight="1" x14ac:dyDescent="0.15">
      <c r="A26" s="31">
        <f>RANK(K26,K$2:K$727)</f>
        <v>25</v>
      </c>
      <c r="B26" s="8" t="s">
        <v>130</v>
      </c>
      <c r="C26" s="32" t="s">
        <v>106</v>
      </c>
      <c r="D26" s="33" t="str">
        <f>VLOOKUP(B26,'Player Data'!A1:D734,4,FALSE)</f>
        <v>D</v>
      </c>
      <c r="E26" s="49">
        <f>VLOOKUP(B26,D!A1:C227,3,FALSE)</f>
        <v>6</v>
      </c>
      <c r="F26" s="35" t="str">
        <f>VLOOKUP(B26,'Player Data'!A1:B734,2,FALSE)</f>
        <v>NYR</v>
      </c>
      <c r="G26" s="9">
        <f>VLOOKUP(B26,'Player Data'!A1:D734,3,FALSE)</f>
        <v>25</v>
      </c>
      <c r="H26" s="36">
        <f>IFERROR(VLOOKUP(B26,ADP!A1:G728,7,FALSE)/1000000,VLOOKUP(B26,ADP!A1:G728,7,FALSE))</f>
        <v>9.5</v>
      </c>
      <c r="I26" s="37">
        <f>IF(Settings!$E$15="POINTS",((R26*Q26)*Settings!$B$12)+(S26*Settings!$B$2)+(T26*Settings!$B$3)+(U26*Settings!$B$4)+(V26*Settings!$B$5)+(X26*Settings!$B$9)+(AA26*Settings!$B$6)+(W26*Settings!$B$8)+(AB26*Settings!$B$7)+(AC26*Settings!$B$14)+(AD26*Settings!$B$15)+(AE26*Settings!$B$16)+(AF26*Settings!$B$17)+(AG26*Settings!$B$18)+(U26*Settings!$B$13)+(Y26*Settings!$B$10)+(Z26*Settings!$B$11),VLOOKUP(B26,'Standard Deviations'!A1:C728,3,FALSE))</f>
        <v>397.65893614571775</v>
      </c>
      <c r="J26" s="38">
        <f>IF(D26="G",I26/AJ26,I26/Q26)</f>
        <v>4.889234902157825</v>
      </c>
      <c r="K26" s="37">
        <f>VLOOKUP(B26,D!A1:F227,6,FALSE)</f>
        <v>86.093454517790292</v>
      </c>
      <c r="L26" s="37">
        <f>IFERROR(K26/H26,"N/A")</f>
        <v>9.0624688966095039</v>
      </c>
      <c r="M26" s="39">
        <f>IF(Settings!$E$9="YAHOO",VLOOKUP(B26,ADP!A1:E728,2,FALSE),IF(Settings!$E$9="ESPN",VLOOKUP(B26,ADP!A1:E728,3,FALSE),IF(Settings!$E$9="FANTRAX",VLOOKUP(B26,ADP!A1:E728,4,FALSE),VLOOKUP(B26,ADP!A1:E728,5,FALSE))))</f>
        <v>34.299999999999997</v>
      </c>
      <c r="N26" s="39">
        <f>IFERROR(M26-A26,"N/A")</f>
        <v>9.2999999999999972</v>
      </c>
      <c r="O26" s="39"/>
      <c r="P26" s="40" t="str">
        <f>IF(Settings!$E$27="ON",VLOOKUP(B26,ADP!A1:H728,8,FALSE)," ")</f>
        <v xml:space="preserve"> </v>
      </c>
      <c r="Q26" s="41">
        <f>IF(Settings!$E$12="YES",VLOOKUP(B26,'Player Data'!A1:E734,5,FALSE),82)</f>
        <v>81.333571428571403</v>
      </c>
      <c r="R26" s="39">
        <f>VLOOKUP(B26,'Player Data'!$A1:$AE734,6,FALSE)</f>
        <v>24.462845880335401</v>
      </c>
      <c r="S26" s="41">
        <f>VLOOKUP(B26,'Player Data'!$A1:$AE734,7,FALSE)*$Q26*IFERROR((VLOOKUP(P26,Settings!$E$28:$F$33,2,FALSE)+1),1)</f>
        <v>11.080557933376536</v>
      </c>
      <c r="T26" s="41">
        <f>VLOOKUP(B26,'Player Data'!$A1:$AE734,8,FALSE)*$Q26*IFERROR((VLOOKUP(P26,Settings!$E$28:$F$33,2,FALSE)+1),1)</f>
        <v>62.760337879933296</v>
      </c>
      <c r="U26" s="41">
        <f>SUM(S26:T26)</f>
        <v>73.840895813309828</v>
      </c>
      <c r="V26" s="41">
        <f>VLOOKUP(B26,'Player Data'!$A1:$AE734,10,FALSE)*$Q26*IFERROR(((VLOOKUP(P26,Settings!$E$28:$F$33,2,FALSE)/2)+1),1)</f>
        <v>163.67523751151785</v>
      </c>
      <c r="W26" s="41">
        <f>VLOOKUP(B26,'Player Data'!$A1:$AE734,11,FALSE)*$Q26*IFERROR((VLOOKUP(P26,Settings!$E$28:$F$33,2,FALSE)+1),1)</f>
        <v>1.2714257080131603</v>
      </c>
      <c r="X26" s="41">
        <f>VLOOKUP(B26,'Player Data'!$A1:$AE734,12,FALSE)*$Q26*IFERROR((VLOOKUP(P26,Settings!$E$28:$F$33,2,FALSE)+1),1)</f>
        <v>31.83179219088931</v>
      </c>
      <c r="Y26" s="41">
        <f>VLOOKUP(B26,'Player Data'!$A1:$AE734,13,FALSE)*$Q26</f>
        <v>0.45618087857646006</v>
      </c>
      <c r="Z26" s="41">
        <f>VLOOKUP(B26,'Player Data'!$A1:$AE734,14,FALSE)*$Q26</f>
        <v>2.3999931598585209</v>
      </c>
      <c r="AA26" s="41">
        <f>VLOOKUP(B26,'Player Data'!$A1:$AE734,15,FALSE)*$Q26</f>
        <v>129.17529624266848</v>
      </c>
      <c r="AB26" s="41">
        <f>VLOOKUP(B26,'Player Data'!$A1:$AE734,16,FALSE)*$Q26</f>
        <v>39.525915506053401</v>
      </c>
      <c r="AC26" s="41">
        <f>VLOOKUP(B26,'Player Data'!$A1:$AE734,17,FALSE)*$Q26*IFERROR((VLOOKUP(P26,Settings!$E$28:$F$33,2,FALSE)+1),1)</f>
        <v>7.9173861933991816</v>
      </c>
      <c r="AD26" s="41">
        <f>VLOOKUP(B26,'Player Data'!$A1:$AE734,18,FALSE)*$Q26</f>
        <v>31.786959180714177</v>
      </c>
      <c r="AE26" s="41">
        <f>VLOOKUP(B26,'Player Data'!$A1:$AE734,19,FALSE)*$Q26*IFERROR((VLOOKUP(P26,Settings!$E$28:$F$33,2,FALSE)+1),1)</f>
        <v>1.8881063803074507</v>
      </c>
      <c r="AF26" s="41">
        <f>VLOOKUP(B26,'Player Data'!$A1:$AE734,20,FALSE)*$Q26</f>
        <v>0</v>
      </c>
      <c r="AG26" s="41">
        <f>VLOOKUP(B26,'Player Data'!$A1:$AE734,21,FALSE)*$Q26</f>
        <v>0.15387516176914795</v>
      </c>
      <c r="AH26" s="42">
        <f>VLOOKUP(B26,'Player Data'!$A1:$AE734,22,FALSE)</f>
        <v>0</v>
      </c>
      <c r="AI26" s="39"/>
      <c r="AJ26" s="43"/>
      <c r="AK26" s="41"/>
      <c r="AL26" s="41"/>
      <c r="AM26" s="41"/>
      <c r="AN26" s="41"/>
      <c r="AO26" s="41"/>
      <c r="AP26" s="41"/>
      <c r="AQ26" s="44"/>
      <c r="AR26" s="45"/>
      <c r="AS26" s="39"/>
    </row>
    <row r="27" spans="1:45" ht="21.25" customHeight="1" x14ac:dyDescent="0.15">
      <c r="A27" s="31">
        <f>RANK(K27,K$2:K$727)</f>
        <v>26</v>
      </c>
      <c r="B27" s="8" t="s">
        <v>131</v>
      </c>
      <c r="C27" s="32" t="s">
        <v>106</v>
      </c>
      <c r="D27" s="33" t="str">
        <f>VLOOKUP(B27,'Player Data'!A1:D734,4,FALSE)</f>
        <v>LW</v>
      </c>
      <c r="E27" s="47">
        <f>VLOOKUP(B27,LW!A1:C130,3,FALSE)</f>
        <v>5</v>
      </c>
      <c r="F27" s="35" t="str">
        <f>VLOOKUP(B27,'Player Data'!A1:B734,2,FALSE)</f>
        <v>WPG</v>
      </c>
      <c r="G27" s="9">
        <f>VLOOKUP(B27,'Player Data'!A1:D734,3,FALSE)</f>
        <v>26</v>
      </c>
      <c r="H27" s="36">
        <f>IFERROR(VLOOKUP(B27,ADP!A1:G728,7,FALSE)/1000000,VLOOKUP(B27,ADP!A1:G728,7,FALSE))</f>
        <v>7.1428570000000002</v>
      </c>
      <c r="I27" s="37">
        <f>IF(Settings!$E$15="POINTS",((R27*Q27)*Settings!$B$12)+(S27*Settings!$B$2)+(T27*Settings!$B$3)+(U27*Settings!$B$4)+(V27*Settings!$B$5)+(X27*Settings!$B$9)+(AA27*Settings!$B$6)+(W27*Settings!$B$8)+(AB27*Settings!$B$7)+(AC27*Settings!$B$14)+(AD27*Settings!$B$15)+(AE27*Settings!$B$16)+(AF27*Settings!$B$17)+(AG27*Settings!$B$18)+(Y27*Settings!$B$10)+(Z27*Settings!$B$11),VLOOKUP(B27,'Standard Deviations'!A1:C728,3,FALSE))</f>
        <v>449.47835150555562</v>
      </c>
      <c r="J27" s="38">
        <f>IF(D27="G",I27/AJ27,I27/Q27)</f>
        <v>5.5422731381696133</v>
      </c>
      <c r="K27" s="37">
        <f>IF(Settings!$E$18="C/LW/RW",VLOOKUP(B27,LW!A1:F130,6,FALSE),VLOOKUP(B27,F!A1:F430,6,FALSE))</f>
        <v>85.437746647905158</v>
      </c>
      <c r="L27" s="37">
        <f>IFERROR(K27/H27,"N/A")</f>
        <v>11.961284769932417</v>
      </c>
      <c r="M27" s="39">
        <f>IF(Settings!$E$9="YAHOO",VLOOKUP(B27,ADP!A1:E728,2,FALSE),IF(Settings!$E$9="ESPN",VLOOKUP(B27,ADP!A1:E728,3,FALSE),IF(Settings!$E$9="FANTRAX",VLOOKUP(B27,ADP!A1:E728,4,FALSE),VLOOKUP(B27,ADP!A1:E728,5,FALSE))))</f>
        <v>44.7</v>
      </c>
      <c r="N27" s="39">
        <f>IFERROR(M27-A27,"N/A")</f>
        <v>18.700000000000003</v>
      </c>
      <c r="O27" s="39"/>
      <c r="P27" s="40" t="str">
        <f>IF(Settings!$E$27="ON",VLOOKUP(B27,ADP!A1:H728,8,FALSE)," ")</f>
        <v xml:space="preserve"> </v>
      </c>
      <c r="Q27" s="41">
        <f>IF(Settings!$E$12="YES",VLOOKUP(B27,'Player Data'!A1:E734,5,FALSE),82)</f>
        <v>81.099999999999994</v>
      </c>
      <c r="R27" s="39">
        <f>VLOOKUP(B27,'Player Data'!$A1:$AE734,6,FALSE)</f>
        <v>20.319192130335299</v>
      </c>
      <c r="S27" s="41">
        <f>VLOOKUP(B27,'Player Data'!$A1:$AE734,7,FALSE)*$Q27*IFERROR((VLOOKUP(P27,Settings!$E$28:$F$33,2,FALSE)+1),1)</f>
        <v>37.460924482669064</v>
      </c>
      <c r="T27" s="41">
        <f>VLOOKUP(B27,'Player Data'!$A1:$AE734,8,FALSE)*$Q27*IFERROR((VLOOKUP(P27,Settings!$E$28:$F$33,2,FALSE)+1),1)</f>
        <v>47.340823439499097</v>
      </c>
      <c r="U27" s="41">
        <f>SUM(S27:T27)</f>
        <v>84.801747922168161</v>
      </c>
      <c r="V27" s="41">
        <f>VLOOKUP(B27,'Player Data'!$A1:$AE734,10,FALSE)*$Q27*IFERROR(((VLOOKUP(P27,Settings!$E$28:$F$33,2,FALSE)/2)+1),1)</f>
        <v>273.45813657610796</v>
      </c>
      <c r="W27" s="41">
        <f>VLOOKUP(B27,'Player Data'!$A1:$AE734,11,FALSE)*$Q27*IFERROR((VLOOKUP(P27,Settings!$E$28:$F$33,2,FALSE)+1),1)</f>
        <v>8.9039138482183073</v>
      </c>
      <c r="X27" s="41">
        <f>VLOOKUP(B27,'Player Data'!$A1:$AE734,12,FALSE)*$Q27*IFERROR((VLOOKUP(P27,Settings!$E$28:$F$33,2,FALSE)+1),1)</f>
        <v>26.415535841498137</v>
      </c>
      <c r="Y27" s="41">
        <f>VLOOKUP(B27,'Player Data'!$A1:$AE734,13,FALSE)*$Q27</f>
        <v>0.3045987742631181</v>
      </c>
      <c r="Z27" s="41">
        <f>VLOOKUP(B27,'Player Data'!$A1:$AE734,14,FALSE)*$Q27</f>
        <v>0.34548757853983519</v>
      </c>
      <c r="AA27" s="41">
        <f>VLOOKUP(B27,'Player Data'!$A1:$AE734,15,FALSE)*$Q27</f>
        <v>24.109963054606339</v>
      </c>
      <c r="AB27" s="41">
        <f>VLOOKUP(B27,'Player Data'!$A1:$AE734,16,FALSE)*$Q27</f>
        <v>40.919102154635638</v>
      </c>
      <c r="AC27" s="41">
        <f>VLOOKUP(B27,'Player Data'!$A1:$AE734,17,FALSE)*$Q27*IFERROR((VLOOKUP(P27,Settings!$E$28:$F$33,2,FALSE)+1),1)</f>
        <v>0.99664780858109792</v>
      </c>
      <c r="AD27" s="41">
        <f>VLOOKUP(B27,'Player Data'!$A1:$AE734,18,FALSE)*$Q27</f>
        <v>17.685463557609065</v>
      </c>
      <c r="AE27" s="41">
        <f>VLOOKUP(B27,'Player Data'!$A1:$AE734,19,FALSE)*$Q27*IFERROR((VLOOKUP(P27,Settings!$E$28:$F$33,2,FALSE)+1),1)</f>
        <v>5.8440296078292207</v>
      </c>
      <c r="AF27" s="41">
        <f>VLOOKUP(B27,'Player Data'!$A1:$AE734,20,FALSE)*$Q27</f>
        <v>2.2447513230436922</v>
      </c>
      <c r="AG27" s="41">
        <f>VLOOKUP(B27,'Player Data'!$A1:$AE734,21,FALSE)*$Q27</f>
        <v>6.1642391646742247</v>
      </c>
      <c r="AH27" s="42">
        <f>VLOOKUP(B27,'Player Data'!$A1:$AE734,22,FALSE)</f>
        <v>0.26694658845462499</v>
      </c>
      <c r="AI27" s="39"/>
      <c r="AJ27" s="43"/>
      <c r="AK27" s="41"/>
      <c r="AL27" s="41"/>
      <c r="AM27" s="41"/>
      <c r="AN27" s="41"/>
      <c r="AO27" s="41"/>
      <c r="AP27" s="41"/>
      <c r="AQ27" s="44"/>
      <c r="AR27" s="45"/>
      <c r="AS27" s="39"/>
    </row>
    <row r="28" spans="1:45" ht="21.25" customHeight="1" x14ac:dyDescent="0.15">
      <c r="A28" s="31">
        <f>RANK(K28,K$2:K$727)</f>
        <v>27</v>
      </c>
      <c r="B28" s="8" t="s">
        <v>132</v>
      </c>
      <c r="C28" s="32" t="s">
        <v>106</v>
      </c>
      <c r="D28" s="33" t="str">
        <f>VLOOKUP(B28,'Player Data'!A1:D734,4,FALSE)</f>
        <v>LW</v>
      </c>
      <c r="E28" s="47">
        <f>VLOOKUP(B28,LW!A1:C130,3,FALSE)</f>
        <v>6</v>
      </c>
      <c r="F28" s="35" t="str">
        <f>VLOOKUP(B28,'Player Data'!A1:B734,2,FALSE)</f>
        <v>WSH</v>
      </c>
      <c r="G28" s="9">
        <f>VLOOKUP(B28,'Player Data'!A1:D734,3,FALSE)</f>
        <v>37</v>
      </c>
      <c r="H28" s="36">
        <f>IFERROR(VLOOKUP(B28,ADP!A1:G728,7,FALSE)/1000000,VLOOKUP(B28,ADP!A1:G728,7,FALSE))</f>
        <v>9.5</v>
      </c>
      <c r="I28" s="37">
        <f>IF(Settings!$E$15="POINTS",((R28*Q28)*Settings!$B$12)+(S28*Settings!$B$2)+(T28*Settings!$B$3)+(U28*Settings!$B$4)+(V28*Settings!$B$5)+(X28*Settings!$B$9)+(AA28*Settings!$B$6)+(W28*Settings!$B$8)+(AB28*Settings!$B$7)+(AC28*Settings!$B$14)+(AD28*Settings!$B$15)+(AE28*Settings!$B$16)+(AF28*Settings!$B$17)+(AG28*Settings!$B$18)+(Y28*Settings!$B$10)+(Z28*Settings!$B$11),VLOOKUP(B28,'Standard Deviations'!A1:C728,3,FALSE))</f>
        <v>448.58563069126262</v>
      </c>
      <c r="J28" s="38">
        <f>IF(D28="G",I28/AJ28,I28/Q28)</f>
        <v>5.7412136885926044</v>
      </c>
      <c r="K28" s="37">
        <f>IF(Settings!$E$18="C/LW/RW",VLOOKUP(B28,LW!A1:F130,6,FALSE),VLOOKUP(B28,F!A1:F430,6,FALSE))</f>
        <v>84.545025833612158</v>
      </c>
      <c r="L28" s="37">
        <f>IFERROR(K28/H28,"N/A")</f>
        <v>8.899476403538122</v>
      </c>
      <c r="M28" s="39">
        <f>IF(Settings!$E$9="YAHOO",VLOOKUP(B28,ADP!A1:E728,2,FALSE),IF(Settings!$E$9="ESPN",VLOOKUP(B28,ADP!A1:E728,3,FALSE),IF(Settings!$E$9="FANTRAX",VLOOKUP(B28,ADP!A1:E728,4,FALSE),VLOOKUP(B28,ADP!A1:E728,5,FALSE))))</f>
        <v>18.399999999999999</v>
      </c>
      <c r="N28" s="39">
        <f>IFERROR(M28-A28,"N/A")</f>
        <v>-8.6000000000000014</v>
      </c>
      <c r="O28" s="39"/>
      <c r="P28" s="40" t="str">
        <f>IF(Settings!$E$27="ON",VLOOKUP(B28,ADP!A1:H728,8,FALSE)," ")</f>
        <v xml:space="preserve"> </v>
      </c>
      <c r="Q28" s="41">
        <f>IF(Settings!$E$12="YES",VLOOKUP(B28,'Player Data'!A1:E734,5,FALSE),82)</f>
        <v>78.134285714285696</v>
      </c>
      <c r="R28" s="39">
        <f>VLOOKUP(B28,'Player Data'!$A1:$AE734,6,FALSE)</f>
        <v>20.248997503357899</v>
      </c>
      <c r="S28" s="41">
        <f>VLOOKUP(B28,'Player Data'!$A1:$AE734,7,FALSE)*$Q28*IFERROR((VLOOKUP(P28,Settings!$E$28:$F$33,2,FALSE)+1),1)</f>
        <v>42.268662385206305</v>
      </c>
      <c r="T28" s="41">
        <f>VLOOKUP(B28,'Player Data'!$A1:$AE734,8,FALSE)*$Q28*IFERROR((VLOOKUP(P28,Settings!$E$28:$F$33,2,FALSE)+1),1)</f>
        <v>35.540851622747148</v>
      </c>
      <c r="U28" s="41">
        <f>SUM(S28:T28)</f>
        <v>77.809514007953453</v>
      </c>
      <c r="V28" s="41">
        <f>VLOOKUP(B28,'Player Data'!$A1:$AE734,10,FALSE)*$Q28*IFERROR(((VLOOKUP(P28,Settings!$E$28:$F$33,2,FALSE)/2)+1),1)</f>
        <v>315.78956956037376</v>
      </c>
      <c r="W28" s="41">
        <f>VLOOKUP(B28,'Player Data'!$A1:$AE734,11,FALSE)*$Q28*IFERROR((VLOOKUP(P28,Settings!$E$28:$F$33,2,FALSE)+1),1)</f>
        <v>14.554581959360757</v>
      </c>
      <c r="X28" s="41">
        <f>VLOOKUP(B28,'Player Data'!$A1:$AE734,12,FALSE)*$Q28*IFERROR((VLOOKUP(P28,Settings!$E$28:$F$33,2,FALSE)+1),1)</f>
        <v>25.956690642521686</v>
      </c>
      <c r="Y28" s="41">
        <f>VLOOKUP(B28,'Player Data'!$A1:$AE734,13,FALSE)*$Q28</f>
        <v>7.2401511401506613E-3</v>
      </c>
      <c r="Z28" s="41">
        <f>VLOOKUP(B28,'Player Data'!$A1:$AE734,14,FALSE)*$Q28</f>
        <v>8.8123953001027523E-3</v>
      </c>
      <c r="AA28" s="41">
        <f>VLOOKUP(B28,'Player Data'!$A1:$AE734,15,FALSE)*$Q28</f>
        <v>26.656489057858661</v>
      </c>
      <c r="AB28" s="41">
        <f>VLOOKUP(B28,'Player Data'!$A1:$AE734,16,FALSE)*$Q28</f>
        <v>174.56109690836146</v>
      </c>
      <c r="AC28" s="41">
        <f>VLOOKUP(B28,'Player Data'!$A1:$AE734,17,FALSE)*$Q28*IFERROR((VLOOKUP(P28,Settings!$E$28:$F$33,2,FALSE)+1),1)</f>
        <v>-2.4951401199187404</v>
      </c>
      <c r="AD28" s="41">
        <f>VLOOKUP(B28,'Player Data'!$A1:$AE734,18,FALSE)*$Q28</f>
        <v>30.915440108925598</v>
      </c>
      <c r="AE28" s="41">
        <f>VLOOKUP(B28,'Player Data'!$A1:$AE734,19,FALSE)*$Q28*IFERROR((VLOOKUP(P28,Settings!$E$28:$F$33,2,FALSE)+1),1)</f>
        <v>5.199294295994477</v>
      </c>
      <c r="AF28" s="41">
        <f>VLOOKUP(B28,'Player Data'!$A1:$AE734,20,FALSE)*$Q28</f>
        <v>3.0947080376298182</v>
      </c>
      <c r="AG28" s="41">
        <f>VLOOKUP(B28,'Player Data'!$A1:$AE734,21,FALSE)*$Q28</f>
        <v>6.5563517756031082</v>
      </c>
      <c r="AH28" s="42">
        <f>VLOOKUP(B28,'Player Data'!$A1:$AE734,22,FALSE)</f>
        <v>0.320659916891879</v>
      </c>
      <c r="AI28" s="39"/>
      <c r="AJ28" s="43"/>
      <c r="AK28" s="41"/>
      <c r="AL28" s="41"/>
      <c r="AM28" s="41"/>
      <c r="AN28" s="41"/>
      <c r="AO28" s="41"/>
      <c r="AP28" s="41"/>
      <c r="AQ28" s="44"/>
      <c r="AR28" s="45"/>
      <c r="AS28" s="39"/>
    </row>
    <row r="29" spans="1:45" ht="21.25" customHeight="1" x14ac:dyDescent="0.15">
      <c r="A29" s="31">
        <f>RANK(K29,K$2:K$727)</f>
        <v>28</v>
      </c>
      <c r="B29" s="8" t="s">
        <v>133</v>
      </c>
      <c r="C29" s="32" t="s">
        <v>106</v>
      </c>
      <c r="D29" s="33" t="str">
        <f>VLOOKUP(B29,'Player Data'!A1:D734,4,FALSE)</f>
        <v>LW</v>
      </c>
      <c r="E29" s="47">
        <f>VLOOKUP(B29,LW!A1:C130,3,FALSE)</f>
        <v>7</v>
      </c>
      <c r="F29" s="35" t="str">
        <f>VLOOKUP(B29,'Player Data'!A1:B734,2,FALSE)</f>
        <v>OTT</v>
      </c>
      <c r="G29" s="9">
        <f>VLOOKUP(B29,'Player Data'!A1:D734,3,FALSE)</f>
        <v>21</v>
      </c>
      <c r="H29" s="36">
        <f>IFERROR(VLOOKUP(B29,ADP!A1:G728,7,FALSE)/1000000,VLOOKUP(B29,ADP!A1:G728,7,FALSE))</f>
        <v>8.35</v>
      </c>
      <c r="I29" s="37">
        <f>IF(Settings!$E$15="POINTS",((R29*Q29)*Settings!$B$12)+(S29*Settings!$B$2)+(T29*Settings!$B$3)+(U29*Settings!$B$4)+(V29*Settings!$B$5)+(X29*Settings!$B$9)+(AA29*Settings!$B$6)+(W29*Settings!$B$8)+(AB29*Settings!$B$7)+(AC29*Settings!$B$14)+(AD29*Settings!$B$15)+(AE29*Settings!$B$16)+(AF29*Settings!$B$17)+(AG29*Settings!$B$18)+(Y29*Settings!$B$10)+(Z29*Settings!$B$11),VLOOKUP(B29,'Standard Deviations'!A1:C728,3,FALSE))</f>
        <v>448.55229294746431</v>
      </c>
      <c r="J29" s="38">
        <f>IF(D29="G",I29/AJ29,I29/Q29)</f>
        <v>5.5742791974333255</v>
      </c>
      <c r="K29" s="37">
        <f>IF(Settings!$E$18="C/LW/RW",VLOOKUP(B29,LW!A1:F130,6,FALSE),VLOOKUP(B29,F!A1:F430,6,FALSE))</f>
        <v>84.511688089813845</v>
      </c>
      <c r="L29" s="37">
        <f>IFERROR(K29/H29,"N/A")</f>
        <v>10.121160250277107</v>
      </c>
      <c r="M29" s="39">
        <f>IF(Settings!$E$9="YAHOO",VLOOKUP(B29,ADP!A1:E728,2,FALSE),IF(Settings!$E$9="ESPN",VLOOKUP(B29,ADP!A1:E728,3,FALSE),IF(Settings!$E$9="FANTRAX",VLOOKUP(B29,ADP!A1:E728,4,FALSE),VLOOKUP(B29,ADP!A1:E728,5,FALSE))))</f>
        <v>32.200000000000003</v>
      </c>
      <c r="N29" s="39">
        <f>IFERROR(M29-A29,"N/A")</f>
        <v>4.2000000000000028</v>
      </c>
      <c r="O29" s="39"/>
      <c r="P29" s="40" t="str">
        <f>IF(Settings!$E$27="ON",VLOOKUP(B29,ADP!A1:H728,8,FALSE)," ")</f>
        <v>+</v>
      </c>
      <c r="Q29" s="41">
        <f>IF(Settings!$E$12="YES",VLOOKUP(B29,'Player Data'!A1:E734,5,FALSE),82)</f>
        <v>80.468214285714296</v>
      </c>
      <c r="R29" s="39">
        <f>VLOOKUP(B29,'Player Data'!$A1:$AE734,6,FALSE)</f>
        <v>20.7365697379221</v>
      </c>
      <c r="S29" s="41">
        <f>VLOOKUP(B29,'Player Data'!$A1:$AE734,7,FALSE)*$Q29*IFERROR((VLOOKUP(P29,Settings!$E$28:$F$33,2,FALSE)+1),1)</f>
        <v>36.881631532761631</v>
      </c>
      <c r="T29" s="41">
        <f>VLOOKUP(B29,'Player Data'!$A1:$AE734,8,FALSE)*$Q29*IFERROR((VLOOKUP(P29,Settings!$E$28:$F$33,2,FALSE)+1),1)</f>
        <v>50.138693958447931</v>
      </c>
      <c r="U29" s="41">
        <f>SUM(S29:T29)</f>
        <v>87.020325491209562</v>
      </c>
      <c r="V29" s="41">
        <f>VLOOKUP(B29,'Player Data'!$A1:$AE734,10,FALSE)*$Q29*IFERROR(((VLOOKUP(P29,Settings!$E$28:$F$33,2,FALSE)/2)+1),1)</f>
        <v>229.34824769166715</v>
      </c>
      <c r="W29" s="41">
        <f>VLOOKUP(B29,'Player Data'!$A1:$AE734,11,FALSE)*$Q29*IFERROR((VLOOKUP(P29,Settings!$E$28:$F$33,2,FALSE)+1),1)</f>
        <v>9.6037502343451138</v>
      </c>
      <c r="X29" s="41">
        <f>VLOOKUP(B29,'Player Data'!$A1:$AE734,12,FALSE)*$Q29*IFERROR((VLOOKUP(P29,Settings!$E$28:$F$33,2,FALSE)+1),1)</f>
        <v>28.576074675305168</v>
      </c>
      <c r="Y29" s="41">
        <f>VLOOKUP(B29,'Player Data'!$A1:$AE734,13,FALSE)*$Q29</f>
        <v>2.6516527501488159</v>
      </c>
      <c r="Z29" s="41">
        <f>VLOOKUP(B29,'Player Data'!$A1:$AE734,14,FALSE)*$Q29</f>
        <v>2.7754957240036977</v>
      </c>
      <c r="AA29" s="41">
        <f>VLOOKUP(B29,'Player Data'!$A1:$AE734,15,FALSE)*$Q29</f>
        <v>50.570259146921551</v>
      </c>
      <c r="AB29" s="41">
        <f>VLOOKUP(B29,'Player Data'!$A1:$AE734,16,FALSE)*$Q29</f>
        <v>115.10822165480678</v>
      </c>
      <c r="AC29" s="41">
        <f>VLOOKUP(B29,'Player Data'!$A1:$AE734,17,FALSE)*$Q29*IFERROR((VLOOKUP(P29,Settings!$E$28:$F$33,2,FALSE)+1),1)</f>
        <v>1.3741245688387989</v>
      </c>
      <c r="AD29" s="41">
        <f>VLOOKUP(B29,'Player Data'!$A1:$AE734,18,FALSE)*$Q29</f>
        <v>45.780018444193274</v>
      </c>
      <c r="AE29" s="41">
        <f>VLOOKUP(B29,'Player Data'!$A1:$AE734,19,FALSE)*$Q29*IFERROR((VLOOKUP(P29,Settings!$E$28:$F$33,2,FALSE)+1),1)</f>
        <v>5.1228932755234204</v>
      </c>
      <c r="AF29" s="41">
        <f>VLOOKUP(B29,'Player Data'!$A1:$AE734,20,FALSE)*$Q29</f>
        <v>177.91618461911025</v>
      </c>
      <c r="AG29" s="41">
        <f>VLOOKUP(B29,'Player Data'!$A1:$AE734,21,FALSE)*$Q29</f>
        <v>283.51168009878671</v>
      </c>
      <c r="AH29" s="42">
        <f>VLOOKUP(B29,'Player Data'!$A1:$AE734,22,FALSE)</f>
        <v>0.385577461230875</v>
      </c>
      <c r="AI29" s="39"/>
      <c r="AJ29" s="43"/>
      <c r="AK29" s="41"/>
      <c r="AL29" s="41"/>
      <c r="AM29" s="41"/>
      <c r="AN29" s="41"/>
      <c r="AO29" s="41"/>
      <c r="AP29" s="41"/>
      <c r="AQ29" s="44"/>
      <c r="AR29" s="45"/>
      <c r="AS29" s="39"/>
    </row>
    <row r="30" spans="1:45" ht="21.25" customHeight="1" x14ac:dyDescent="0.15">
      <c r="A30" s="31">
        <f>RANK(K30,K$2:K$727)</f>
        <v>29</v>
      </c>
      <c r="B30" s="8" t="s">
        <v>134</v>
      </c>
      <c r="C30" s="32" t="s">
        <v>106</v>
      </c>
      <c r="D30" s="33" t="str">
        <f>VLOOKUP(B30,'Player Data'!A1:D734,4,FALSE)</f>
        <v>G</v>
      </c>
      <c r="E30" s="50">
        <f>VLOOKUP(B30,G!A1:D75,3,FALSE)</f>
        <v>6</v>
      </c>
      <c r="F30" s="35" t="str">
        <f>VLOOKUP(B30,'Player Data'!A1:B734,2,FALSE)</f>
        <v>NSH</v>
      </c>
      <c r="G30" s="9">
        <f>VLOOKUP(B30,'Player Data'!A1:D734,3,FALSE)</f>
        <v>28</v>
      </c>
      <c r="H30" s="36">
        <f>IFERROR(VLOOKUP(B30,ADP!A1:G728,7,FALSE)/1000000,VLOOKUP(B30,ADP!A1:G728,7,FALSE))</f>
        <v>5</v>
      </c>
      <c r="I30" s="37">
        <f>IF(Settings!$E$15="POINTS",(AJ30*Settings!$B$29)+(AK30*Settings!$B$21)+(AL30*Settings!$B$22)+(AN30*Settings!$B$24)+(AO30*Settings!$B$25)+(AP30*Settings!$B$27)+(AM30*Settings!$B$23),VLOOKUP(B30,'Standard Deviations'!A1:C728,3,FALSE))</f>
        <v>482.42546599173193</v>
      </c>
      <c r="J30" s="38">
        <f>IF(D30="G",I30/AJ30,I30/Q30)</f>
        <v>8.0404244331955326</v>
      </c>
      <c r="K30" s="37">
        <f>VLOOKUP(B30,G!A1:F75,6,FALSE)</f>
        <v>83.649803902415726</v>
      </c>
      <c r="L30" s="37">
        <f>IFERROR(K30/H30,"N/A")</f>
        <v>16.729960780483147</v>
      </c>
      <c r="M30" s="39">
        <f>IF(Settings!$E$9="YAHOO",VLOOKUP(B30,ADP!A1:E728,2,FALSE),IF(Settings!$E$9="ESPN",VLOOKUP(B30,ADP!A1:E728,3,FALSE),IF(Settings!$E$9="FANTRAX",VLOOKUP(B30,ADP!A1:E728,4,FALSE),VLOOKUP(B30,ADP!A1:E728,5,FALSE))))</f>
        <v>49.5</v>
      </c>
      <c r="N30" s="39">
        <f>IFERROR(M30-A30,"N/A")</f>
        <v>20.5</v>
      </c>
      <c r="O30" s="39"/>
      <c r="P30" s="40" t="str">
        <f>IF(Settings!$E$27="ON",VLOOKUP(B30,ADP!A1:H728,8,FALSE)," ")</f>
        <v>-</v>
      </c>
      <c r="Q30" s="41"/>
      <c r="R30" s="51"/>
      <c r="S30" s="4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2"/>
      <c r="AI30" s="39"/>
      <c r="AJ30" s="43">
        <f>VLOOKUP(B30,'Player Data'!$A1:$AE734,24,FALSE)</f>
        <v>60</v>
      </c>
      <c r="AK30" s="41">
        <f>VLOOKUP(B30,'Player Data'!$A1:$AE734,25,FALSE)*$AJ30*IFERROR((VLOOKUP(P30,Settings!$E$28:$F$33,2,FALSE)+1),1)</f>
        <v>28.235823173354344</v>
      </c>
      <c r="AL30" s="41">
        <f>AJ30-AK30-AM30</f>
        <v>24.264176826645656</v>
      </c>
      <c r="AM30" s="41">
        <f>VLOOKUP(B30,'Player Data'!$A1:$AE734,27,FALSE)*$AJ30</f>
        <v>7.5</v>
      </c>
      <c r="AN30" s="41">
        <f>VLOOKUP(B30,'Player Data'!$A1:$AE734,28,FALSE)*AJ30</f>
        <v>4.3796155509991319</v>
      </c>
      <c r="AO30" s="41">
        <f>VLOOKUP(B30,'Player Data'!$A1:$AE734,29,FALSE)*$AJ30*IFERROR((VLOOKUP(P30,Settings!$E$28:$F$33,2,FALSE)/4)+1,1)</f>
        <v>1721.6405088503395</v>
      </c>
      <c r="AP30" s="41">
        <f>VLOOKUP(B30,'Player Data'!$A1:$AE734,31,FALSE)*$AJ30*(IFERROR(1-(VLOOKUP(P30,Settings!$E$28:$F$33,2,FALSE)/4),1))</f>
        <v>157.28716301849968</v>
      </c>
      <c r="AQ30" s="44">
        <f>1-(AP30/(AO30+AP30))</f>
        <v>0.91628886764861095</v>
      </c>
      <c r="AR30" s="45">
        <f>AP30/AJ30</f>
        <v>2.6214527169749946</v>
      </c>
      <c r="AS30" s="39"/>
    </row>
    <row r="31" spans="1:45" ht="21.25" customHeight="1" x14ac:dyDescent="0.15">
      <c r="A31" s="31">
        <f>RANK(K31,K$2:K$727)</f>
        <v>30</v>
      </c>
      <c r="B31" s="8" t="s">
        <v>135</v>
      </c>
      <c r="C31" s="32" t="s">
        <v>106</v>
      </c>
      <c r="D31" s="33" t="str">
        <f>VLOOKUP(B31,'Player Data'!A1:D734,4,FALSE)</f>
        <v>D</v>
      </c>
      <c r="E31" s="49">
        <f>VLOOKUP(B31,D!A1:C227,3,FALSE)</f>
        <v>7</v>
      </c>
      <c r="F31" s="35" t="str">
        <f>VLOOKUP(B31,'Player Data'!A1:B734,2,FALSE)</f>
        <v>DAL</v>
      </c>
      <c r="G31" s="9">
        <f>VLOOKUP(B31,'Player Data'!A1:D734,3,FALSE)</f>
        <v>24</v>
      </c>
      <c r="H31" s="36">
        <f>IFERROR(VLOOKUP(B31,ADP!A1:G728,7,FALSE)/1000000,VLOOKUP(B31,ADP!A1:G728,7,FALSE))</f>
        <v>8.4499999999999993</v>
      </c>
      <c r="I31" s="37">
        <f>IF(Settings!$E$15="POINTS",((R31*Q31)*Settings!$B$12)+(S31*Settings!$B$2)+(T31*Settings!$B$3)+(U31*Settings!$B$4)+(V31*Settings!$B$5)+(X31*Settings!$B$9)+(AA31*Settings!$B$6)+(W31*Settings!$B$8)+(AB31*Settings!$B$7)+(AC31*Settings!$B$14)+(AD31*Settings!$B$15)+(AE31*Settings!$B$16)+(AF31*Settings!$B$17)+(AG31*Settings!$B$18)+(U31*Settings!$B$13)+(Y31*Settings!$B$10)+(Z31*Settings!$B$11),VLOOKUP(B31,'Standard Deviations'!A1:C728,3,FALSE))</f>
        <v>393.35811977267264</v>
      </c>
      <c r="J31" s="38">
        <f>IF(D31="G",I31/AJ31,I31/Q31)</f>
        <v>4.9354182161177427</v>
      </c>
      <c r="K31" s="37">
        <f>VLOOKUP(B31,D!A1:F227,6,FALSE)</f>
        <v>81.792638144745183</v>
      </c>
      <c r="L31" s="37">
        <f>IFERROR(K31/H31,"N/A")</f>
        <v>9.6796021473071239</v>
      </c>
      <c r="M31" s="39">
        <f>IF(Settings!$E$9="YAHOO",VLOOKUP(B31,ADP!A1:E728,2,FALSE),IF(Settings!$E$9="ESPN",VLOOKUP(B31,ADP!A1:E728,3,FALSE),IF(Settings!$E$9="FANTRAX",VLOOKUP(B31,ADP!A1:E728,4,FALSE),VLOOKUP(B31,ADP!A1:E728,5,FALSE))))</f>
        <v>72.5</v>
      </c>
      <c r="N31" s="39">
        <f>IFERROR(M31-A31,"N/A")</f>
        <v>42.5</v>
      </c>
      <c r="O31" s="39"/>
      <c r="P31" s="40" t="str">
        <f>IF(Settings!$E$27="ON",VLOOKUP(B31,ADP!A1:H728,8,FALSE)," ")</f>
        <v>+ +</v>
      </c>
      <c r="Q31" s="41">
        <f>IF(Settings!$E$12="YES",VLOOKUP(B31,'Player Data'!A1:E734,5,FALSE),82)</f>
        <v>79.701071428571396</v>
      </c>
      <c r="R31" s="39">
        <f>VLOOKUP(B31,'Player Data'!$A1:$AE734,6,FALSE)</f>
        <v>25.602225706960098</v>
      </c>
      <c r="S31" s="41">
        <f>VLOOKUP(B31,'Player Data'!$A1:$AE734,7,FALSE)*$Q31*IFERROR((VLOOKUP(P31,Settings!$E$28:$F$33,2,FALSE)+1),1)</f>
        <v>11.480985068504118</v>
      </c>
      <c r="T31" s="41">
        <f>VLOOKUP(B31,'Player Data'!$A1:$AE734,8,FALSE)*$Q31*IFERROR((VLOOKUP(P31,Settings!$E$28:$F$33,2,FALSE)+1),1)</f>
        <v>56.971585919766966</v>
      </c>
      <c r="U31" s="41">
        <f>SUM(S31:T31)</f>
        <v>68.452570988271077</v>
      </c>
      <c r="V31" s="41">
        <f>VLOOKUP(B31,'Player Data'!$A1:$AE734,10,FALSE)*$Q31*IFERROR(((VLOOKUP(P31,Settings!$E$28:$F$33,2,FALSE)/2)+1),1)</f>
        <v>208.734054561009</v>
      </c>
      <c r="W31" s="41">
        <f>VLOOKUP(B31,'Player Data'!$A1:$AE734,11,FALSE)*$Q31*IFERROR((VLOOKUP(P31,Settings!$E$28:$F$33,2,FALSE)+1),1)</f>
        <v>3.7190084045111118</v>
      </c>
      <c r="X31" s="41">
        <f>VLOOKUP(B31,'Player Data'!$A1:$AE734,12,FALSE)*$Q31*IFERROR((VLOOKUP(P31,Settings!$E$28:$F$33,2,FALSE)+1),1)</f>
        <v>30.753547280777585</v>
      </c>
      <c r="Y31" s="41">
        <f>VLOOKUP(B31,'Player Data'!$A1:$AE734,13,FALSE)*$Q31</f>
        <v>3.2056962072690938E-2</v>
      </c>
      <c r="Z31" s="41">
        <f>VLOOKUP(B31,'Player Data'!$A1:$AE734,14,FALSE)*$Q31</f>
        <v>0.60394608553202678</v>
      </c>
      <c r="AA31" s="41">
        <f>VLOOKUP(B31,'Player Data'!$A1:$AE734,15,FALSE)*$Q31</f>
        <v>104.59196397367833</v>
      </c>
      <c r="AB31" s="41">
        <f>VLOOKUP(B31,'Player Data'!$A1:$AE734,16,FALSE)*$Q31</f>
        <v>62.918139774927631</v>
      </c>
      <c r="AC31" s="41">
        <f>VLOOKUP(B31,'Player Data'!$A1:$AE734,17,FALSE)*$Q31*IFERROR((VLOOKUP(P31,Settings!$E$28:$F$33,2,FALSE)+1),1)</f>
        <v>7.8165695748551576</v>
      </c>
      <c r="AD31" s="41">
        <f>VLOOKUP(B31,'Player Data'!$A1:$AE734,18,FALSE)*$Q31</f>
        <v>31.025143064743716</v>
      </c>
      <c r="AE31" s="41">
        <f>VLOOKUP(B31,'Player Data'!$A1:$AE734,19,FALSE)*$Q31*IFERROR((VLOOKUP(P31,Settings!$E$28:$F$33,2,FALSE)+1),1)</f>
        <v>1.8368762216322709</v>
      </c>
      <c r="AF31" s="41">
        <f>VLOOKUP(B31,'Player Data'!$A1:$AE734,20,FALSE)*$Q31</f>
        <v>0</v>
      </c>
      <c r="AG31" s="41">
        <f>VLOOKUP(B31,'Player Data'!$A1:$AE734,21,FALSE)*$Q31</f>
        <v>0</v>
      </c>
      <c r="AH31" s="42">
        <f>VLOOKUP(B31,'Player Data'!$A1:$AE734,22,FALSE)</f>
        <v>0</v>
      </c>
      <c r="AI31" s="39"/>
      <c r="AJ31" s="43"/>
      <c r="AK31" s="41"/>
      <c r="AL31" s="41"/>
      <c r="AM31" s="41"/>
      <c r="AN31" s="41"/>
      <c r="AO31" s="41"/>
      <c r="AP31" s="41"/>
      <c r="AQ31" s="44"/>
      <c r="AR31" s="45"/>
      <c r="AS31" s="39"/>
    </row>
    <row r="32" spans="1:45" ht="21.25" customHeight="1" x14ac:dyDescent="0.15">
      <c r="A32" s="31">
        <f>RANK(K32,K$2:K$727)</f>
        <v>31</v>
      </c>
      <c r="B32" s="8" t="s">
        <v>136</v>
      </c>
      <c r="C32" s="32" t="s">
        <v>106</v>
      </c>
      <c r="D32" s="33" t="str">
        <f>VLOOKUP(B32,'Player Data'!A1:D734,4,FALSE)</f>
        <v>RW</v>
      </c>
      <c r="E32" s="46">
        <f>VLOOKUP(B32,RW!A1:F97,3,FALSE)</f>
        <v>6</v>
      </c>
      <c r="F32" s="35" t="str">
        <f>VLOOKUP(B32,'Player Data'!A1:B734,2,FALSE)</f>
        <v>NJD</v>
      </c>
      <c r="G32" s="9">
        <f>VLOOKUP(B32,'Player Data'!A1:D734,3,FALSE)</f>
        <v>26</v>
      </c>
      <c r="H32" s="36">
        <f>IFERROR(VLOOKUP(B32,ADP!A1:G728,7,FALSE)/1000000,VLOOKUP(B32,ADP!A1:G728,7,FALSE))</f>
        <v>8.8000000000000007</v>
      </c>
      <c r="I32" s="37">
        <f>IF(Settings!$E$15="POINTS",((R32*Q32)*Settings!$B$12)+(S32*Settings!$B$2)+(T32*Settings!$B$3)+(U32*Settings!$B$4)+(V32*Settings!$B$5)+(X32*Settings!$B$9)+(AA32*Settings!$B$6)+(W32*Settings!$B$8)+(AB32*Settings!$B$7)+(AC32*Settings!$B$14)+(AD32*Settings!$B$15)+(AE32*Settings!$B$16)+(AF32*Settings!$B$17)+(AG32*Settings!$B$18)+(Y32*Settings!$B$10)+(Z32*Settings!$B$11),VLOOKUP(B32,'Standard Deviations'!A1:C728,3,FALSE))</f>
        <v>431.53094114254554</v>
      </c>
      <c r="J32" s="38">
        <f>IF(D32="G",I32/AJ32,I32/Q32)</f>
        <v>5.3612988090762279</v>
      </c>
      <c r="K32" s="37">
        <f>IF(Settings!$E$18="C/LW/RW",VLOOKUP(B32,RW!A1:F97,6,FALSE),VLOOKUP(B32,F!A1:F430,6,FALSE))</f>
        <v>81.259400594655972</v>
      </c>
      <c r="L32" s="37">
        <f>IFERROR(K32/H32,"N/A")</f>
        <v>9.2340227948472684</v>
      </c>
      <c r="M32" s="39">
        <f>IF(Settings!$E$9="YAHOO",VLOOKUP(B32,ADP!A1:E728,2,FALSE),IF(Settings!$E$9="ESPN",VLOOKUP(B32,ADP!A1:E728,3,FALSE),IF(Settings!$E$9="FANTRAX",VLOOKUP(B32,ADP!A1:E728,4,FALSE),VLOOKUP(B32,ADP!A1:E728,5,FALSE))))</f>
        <v>36.799999999999997</v>
      </c>
      <c r="N32" s="39">
        <f>IFERROR(M32-A32,"N/A")</f>
        <v>5.7999999999999972</v>
      </c>
      <c r="O32" s="39"/>
      <c r="P32" s="40" t="str">
        <f>IF(Settings!$E$27="ON",VLOOKUP(B32,ADP!A1:H728,8,FALSE)," ")</f>
        <v xml:space="preserve"> </v>
      </c>
      <c r="Q32" s="41">
        <f>IF(Settings!$E$12="YES",VLOOKUP(B32,'Player Data'!A1:E734,5,FALSE),82)</f>
        <v>80.489999999999995</v>
      </c>
      <c r="R32" s="39">
        <f>VLOOKUP(B32,'Player Data'!$A1:$AE734,6,FALSE)</f>
        <v>18.546013432080802</v>
      </c>
      <c r="S32" s="41">
        <f>VLOOKUP(B32,'Player Data'!$A1:$AE734,7,FALSE)*$Q32*IFERROR((VLOOKUP(P32,Settings!$E$28:$F$33,2,FALSE)+1),1)</f>
        <v>37.459477233229514</v>
      </c>
      <c r="T32" s="41">
        <f>VLOOKUP(B32,'Player Data'!$A1:$AE734,8,FALSE)*$Q32*IFERROR((VLOOKUP(P32,Settings!$E$28:$F$33,2,FALSE)+1),1)</f>
        <v>34.361631143081937</v>
      </c>
      <c r="U32" s="41">
        <f>SUM(S32:T32)</f>
        <v>71.821108376311457</v>
      </c>
      <c r="V32" s="41">
        <f>VLOOKUP(B32,'Player Data'!$A1:$AE734,10,FALSE)*$Q32*IFERROR(((VLOOKUP(P32,Settings!$E$28:$F$33,2,FALSE)/2)+1),1)</f>
        <v>315.93313363681716</v>
      </c>
      <c r="W32" s="41">
        <f>VLOOKUP(B32,'Player Data'!$A1:$AE734,11,FALSE)*$Q32*IFERROR((VLOOKUP(P32,Settings!$E$28:$F$33,2,FALSE)+1),1)</f>
        <v>15.530767270534835</v>
      </c>
      <c r="X32" s="41">
        <f>VLOOKUP(B32,'Player Data'!$A1:$AE734,12,FALSE)*$Q32*IFERROR((VLOOKUP(P32,Settings!$E$28:$F$33,2,FALSE)+1),1)</f>
        <v>24.787456189794092</v>
      </c>
      <c r="Y32" s="41">
        <f>VLOOKUP(B32,'Player Data'!$A1:$AE734,13,FALSE)*$Q32</f>
        <v>4.634006069357987E-2</v>
      </c>
      <c r="Z32" s="41">
        <f>VLOOKUP(B32,'Player Data'!$A1:$AE734,14,FALSE)*$Q32</f>
        <v>8.4663057582190199E-2</v>
      </c>
      <c r="AA32" s="41">
        <f>VLOOKUP(B32,'Player Data'!$A1:$AE734,15,FALSE)*$Q32</f>
        <v>41.784053502250487</v>
      </c>
      <c r="AB32" s="41">
        <f>VLOOKUP(B32,'Player Data'!$A1:$AE734,16,FALSE)*$Q32</f>
        <v>142.3091012438698</v>
      </c>
      <c r="AC32" s="41">
        <f>VLOOKUP(B32,'Player Data'!$A1:$AE734,17,FALSE)*$Q32*IFERROR((VLOOKUP(P32,Settings!$E$28:$F$33,2,FALSE)+1),1)</f>
        <v>2.1900278865499843</v>
      </c>
      <c r="AD32" s="41">
        <f>VLOOKUP(B32,'Player Data'!$A1:$AE734,18,FALSE)*$Q32</f>
        <v>45.480764608800982</v>
      </c>
      <c r="AE32" s="41">
        <f>VLOOKUP(B32,'Player Data'!$A1:$AE734,19,FALSE)*$Q32*IFERROR((VLOOKUP(P32,Settings!$E$28:$F$33,2,FALSE)+1),1)</f>
        <v>5.5136830935252439</v>
      </c>
      <c r="AF32" s="41">
        <f>VLOOKUP(B32,'Player Data'!$A1:$AE734,20,FALSE)*$Q32</f>
        <v>20.78178185798285</v>
      </c>
      <c r="AG32" s="41">
        <f>VLOOKUP(B32,'Player Data'!$A1:$AE734,21,FALSE)*$Q32</f>
        <v>32.648840017107851</v>
      </c>
      <c r="AH32" s="42">
        <f>VLOOKUP(B32,'Player Data'!$A1:$AE734,22,FALSE)</f>
        <v>0.38894890474166999</v>
      </c>
      <c r="AI32" s="39"/>
      <c r="AJ32" s="43"/>
      <c r="AK32" s="41"/>
      <c r="AL32" s="41"/>
      <c r="AM32" s="41"/>
      <c r="AN32" s="41"/>
      <c r="AO32" s="41"/>
      <c r="AP32" s="41"/>
      <c r="AQ32" s="44"/>
      <c r="AR32" s="45"/>
      <c r="AS32" s="39"/>
    </row>
    <row r="33" spans="1:45" ht="21.25" customHeight="1" x14ac:dyDescent="0.15">
      <c r="A33" s="31">
        <f>RANK(K33,K$2:K$727)</f>
        <v>32</v>
      </c>
      <c r="B33" s="8" t="s">
        <v>137</v>
      </c>
      <c r="C33" s="32" t="s">
        <v>106</v>
      </c>
      <c r="D33" s="33" t="str">
        <f>VLOOKUP(B33,'Player Data'!A1:D734,4,FALSE)</f>
        <v>LW</v>
      </c>
      <c r="E33" s="47">
        <f>VLOOKUP(B33,LW!A1:C130,3,FALSE)</f>
        <v>8</v>
      </c>
      <c r="F33" s="35" t="str">
        <f>VLOOKUP(B33,'Player Data'!A1:B734,2,FALSE)</f>
        <v>NYR</v>
      </c>
      <c r="G33" s="9">
        <f>VLOOKUP(B33,'Player Data'!A1:D734,3,FALSE)</f>
        <v>31</v>
      </c>
      <c r="H33" s="36">
        <f>IFERROR(VLOOKUP(B33,ADP!A1:G728,7,FALSE)/1000000,VLOOKUP(B33,ADP!A1:G728,7,FALSE))</f>
        <v>11.642856999999999</v>
      </c>
      <c r="I33" s="37">
        <f>IF(Settings!$E$15="POINTS",((R33*Q33)*Settings!$B$12)+(S33*Settings!$B$2)+(T33*Settings!$B$3)+(U33*Settings!$B$4)+(V33*Settings!$B$5)+(X33*Settings!$B$9)+(AA33*Settings!$B$6)+(W33*Settings!$B$8)+(AB33*Settings!$B$7)+(AC33*Settings!$B$14)+(AD33*Settings!$B$15)+(AE33*Settings!$B$16)+(AF33*Settings!$B$17)+(AG33*Settings!$B$18)+(Y33*Settings!$B$10)+(Z33*Settings!$B$11),VLOOKUP(B33,'Standard Deviations'!A1:C728,3,FALSE))</f>
        <v>445.22945205924469</v>
      </c>
      <c r="J33" s="38">
        <f>IF(D33="G",I33/AJ33,I33/Q33)</f>
        <v>5.6673810089007723</v>
      </c>
      <c r="K33" s="37">
        <f>IF(Settings!$E$18="C/LW/RW",VLOOKUP(B33,LW!A1:F130,6,FALSE),VLOOKUP(B33,F!A1:F430,6,FALSE))</f>
        <v>81.188847201594228</v>
      </c>
      <c r="L33" s="37">
        <f>IFERROR(K33/H33,"N/A")</f>
        <v>6.9732753053304899</v>
      </c>
      <c r="M33" s="39">
        <f>IF(Settings!$E$9="YAHOO",VLOOKUP(B33,ADP!A1:E728,2,FALSE),IF(Settings!$E$9="ESPN",VLOOKUP(B33,ADP!A1:E728,3,FALSE),IF(Settings!$E$9="FANTRAX",VLOOKUP(B33,ADP!A1:E728,4,FALSE),VLOOKUP(B33,ADP!A1:E728,5,FALSE))))</f>
        <v>36.1</v>
      </c>
      <c r="N33" s="39">
        <f>IFERROR(M33-A33,"N/A")</f>
        <v>4.1000000000000014</v>
      </c>
      <c r="O33" s="39"/>
      <c r="P33" s="40" t="str">
        <f>IF(Settings!$E$27="ON",VLOOKUP(B33,ADP!A1:H728,8,FALSE)," ")</f>
        <v xml:space="preserve"> </v>
      </c>
      <c r="Q33" s="41">
        <f>IF(Settings!$E$12="YES",VLOOKUP(B33,'Player Data'!A1:E734,5,FALSE),82)</f>
        <v>78.56</v>
      </c>
      <c r="R33" s="39">
        <f>VLOOKUP(B33,'Player Data'!$A1:$AE734,6,FALSE)</f>
        <v>19.635147641958799</v>
      </c>
      <c r="S33" s="41">
        <f>VLOOKUP(B33,'Player Data'!$A1:$AE734,7,FALSE)*$Q33*IFERROR((VLOOKUP(P33,Settings!$E$28:$F$33,2,FALSE)+1),1)</f>
        <v>26.52827630106826</v>
      </c>
      <c r="T33" s="41">
        <f>VLOOKUP(B33,'Player Data'!$A1:$AE734,8,FALSE)*$Q33*IFERROR((VLOOKUP(P33,Settings!$E$28:$F$33,2,FALSE)+1),1)</f>
        <v>65.30206115136005</v>
      </c>
      <c r="U33" s="41">
        <f>SUM(S33:T33)</f>
        <v>91.83033745242831</v>
      </c>
      <c r="V33" s="41">
        <f>VLOOKUP(B33,'Player Data'!$A1:$AE734,10,FALSE)*$Q33*IFERROR(((VLOOKUP(P33,Settings!$E$28:$F$33,2,FALSE)/2)+1),1)</f>
        <v>198.67294874451377</v>
      </c>
      <c r="W33" s="41">
        <f>VLOOKUP(B33,'Player Data'!$A1:$AE734,11,FALSE)*$Q33*IFERROR((VLOOKUP(P33,Settings!$E$28:$F$33,2,FALSE)+1),1)</f>
        <v>7.4975153619439645</v>
      </c>
      <c r="X33" s="41">
        <f>VLOOKUP(B33,'Player Data'!$A1:$AE734,12,FALSE)*$Q33*IFERROR((VLOOKUP(P33,Settings!$E$28:$F$33,2,FALSE)+1),1)</f>
        <v>33.766704220427044</v>
      </c>
      <c r="Y33" s="41">
        <f>VLOOKUP(B33,'Player Data'!$A1:$AE734,13,FALSE)*$Q33</f>
        <v>7.4923036523149977E-3</v>
      </c>
      <c r="Z33" s="41">
        <f>VLOOKUP(B33,'Player Data'!$A1:$AE734,14,FALSE)*$Q33</f>
        <v>1.398628315396739E-2</v>
      </c>
      <c r="AA33" s="41">
        <f>VLOOKUP(B33,'Player Data'!$A1:$AE734,15,FALSE)*$Q33</f>
        <v>14.202921612704348</v>
      </c>
      <c r="AB33" s="41">
        <f>VLOOKUP(B33,'Player Data'!$A1:$AE734,16,FALSE)*$Q33</f>
        <v>27.581967386933616</v>
      </c>
      <c r="AC33" s="41">
        <f>VLOOKUP(B33,'Player Data'!$A1:$AE734,17,FALSE)*$Q33*IFERROR((VLOOKUP(P33,Settings!$E$28:$F$33,2,FALSE)+1),1)</f>
        <v>5.5990448706248284</v>
      </c>
      <c r="AD33" s="41">
        <f>VLOOKUP(B33,'Player Data'!$A1:$AE734,18,FALSE)*$Q33</f>
        <v>24.82607649426734</v>
      </c>
      <c r="AE33" s="41">
        <f>VLOOKUP(B33,'Player Data'!$A1:$AE734,19,FALSE)*$Q33*IFERROR((VLOOKUP(P33,Settings!$E$28:$F$33,2,FALSE)+1),1)</f>
        <v>4.5203687435026776</v>
      </c>
      <c r="AF33" s="41">
        <f>VLOOKUP(B33,'Player Data'!$A1:$AE734,20,FALSE)*$Q33</f>
        <v>5.0064613644661842</v>
      </c>
      <c r="AG33" s="41">
        <f>VLOOKUP(B33,'Player Data'!$A1:$AE734,21,FALSE)*$Q33</f>
        <v>9.8872465872396091</v>
      </c>
      <c r="AH33" s="42">
        <f>VLOOKUP(B33,'Player Data'!$A1:$AE734,22,FALSE)</f>
        <v>0.33614606790331197</v>
      </c>
      <c r="AI33" s="39"/>
      <c r="AJ33" s="43"/>
      <c r="AK33" s="41"/>
      <c r="AL33" s="41"/>
      <c r="AM33" s="41"/>
      <c r="AN33" s="41"/>
      <c r="AO33" s="41"/>
      <c r="AP33" s="41"/>
      <c r="AQ33" s="44"/>
      <c r="AR33" s="45"/>
      <c r="AS33" s="39"/>
    </row>
    <row r="34" spans="1:45" ht="21.25" customHeight="1" x14ac:dyDescent="0.15">
      <c r="A34" s="31">
        <f>RANK(K34,K$2:K$727)</f>
        <v>33</v>
      </c>
      <c r="B34" s="8" t="s">
        <v>138</v>
      </c>
      <c r="C34" s="32" t="s">
        <v>106</v>
      </c>
      <c r="D34" s="33" t="str">
        <f>VLOOKUP(B34,'Player Data'!A1:D734,4,FALSE)</f>
        <v>D</v>
      </c>
      <c r="E34" s="49">
        <f>VLOOKUP(B34,D!A1:C227,3,FALSE)</f>
        <v>8</v>
      </c>
      <c r="F34" s="35" t="str">
        <f>VLOOKUP(B34,'Player Data'!A1:B734,2,FALSE)</f>
        <v>VAN</v>
      </c>
      <c r="G34" s="9">
        <f>VLOOKUP(B34,'Player Data'!A1:D734,3,FALSE)</f>
        <v>23</v>
      </c>
      <c r="H34" s="36">
        <f>IFERROR(VLOOKUP(B34,ADP!A1:G728,7,FALSE)/1000000,VLOOKUP(B34,ADP!A1:G728,7,FALSE))</f>
        <v>7.85</v>
      </c>
      <c r="I34" s="37">
        <f>IF(Settings!$E$15="POINTS",((R34*Q34)*Settings!$B$12)+(S34*Settings!$B$2)+(T34*Settings!$B$3)+(U34*Settings!$B$4)+(V34*Settings!$B$5)+(X34*Settings!$B$9)+(AA34*Settings!$B$6)+(W34*Settings!$B$8)+(AB34*Settings!$B$7)+(AC34*Settings!$B$14)+(AD34*Settings!$B$15)+(AE34*Settings!$B$16)+(AF34*Settings!$B$17)+(AG34*Settings!$B$18)+(U34*Settings!$B$13)+(Y34*Settings!$B$10)+(Z34*Settings!$B$11),VLOOKUP(B34,'Standard Deviations'!A1:C728,3,FALSE))</f>
        <v>388.42076978686117</v>
      </c>
      <c r="J34" s="38">
        <f>IF(D34="G",I34/AJ34,I34/Q34)</f>
        <v>4.8254024447091268</v>
      </c>
      <c r="K34" s="37">
        <f>VLOOKUP(B34,D!A1:F227,6,FALSE)</f>
        <v>76.855288158933718</v>
      </c>
      <c r="L34" s="37">
        <f>IFERROR(K34/H34,"N/A")</f>
        <v>9.7904825680170351</v>
      </c>
      <c r="M34" s="39">
        <f>IF(Settings!$E$9="YAHOO",VLOOKUP(B34,ADP!A1:E728,2,FALSE),IF(Settings!$E$9="ESPN",VLOOKUP(B34,ADP!A1:E728,3,FALSE),IF(Settings!$E$9="FANTRAX",VLOOKUP(B34,ADP!A1:E728,4,FALSE),VLOOKUP(B34,ADP!A1:E728,5,FALSE))))</f>
        <v>60.6</v>
      </c>
      <c r="N34" s="39">
        <f>IFERROR(M34-A34,"N/A")</f>
        <v>27.6</v>
      </c>
      <c r="O34" s="39"/>
      <c r="P34" s="40" t="str">
        <f>IF(Settings!$E$27="ON",VLOOKUP(B34,ADP!A1:H728,8,FALSE)," ")</f>
        <v xml:space="preserve"> </v>
      </c>
      <c r="Q34" s="41">
        <f>IF(Settings!$E$12="YES",VLOOKUP(B34,'Player Data'!A1:E734,5,FALSE),82)</f>
        <v>80.495000000000005</v>
      </c>
      <c r="R34" s="39">
        <f>VLOOKUP(B34,'Player Data'!$A1:$AE734,6,FALSE)</f>
        <v>25.179356028181701</v>
      </c>
      <c r="S34" s="41">
        <f>VLOOKUP(B34,'Player Data'!$A1:$AE734,7,FALSE)*$Q34*IFERROR((VLOOKUP(P34,Settings!$E$28:$F$33,2,FALSE)+1),1)</f>
        <v>7.9960194994565592</v>
      </c>
      <c r="T34" s="41">
        <f>VLOOKUP(B34,'Player Data'!$A1:$AE734,8,FALSE)*$Q34*IFERROR((VLOOKUP(P34,Settings!$E$28:$F$33,2,FALSE)+1),1)</f>
        <v>66.580953476502671</v>
      </c>
      <c r="U34" s="41">
        <f>SUM(S34:T34)</f>
        <v>74.576972975959237</v>
      </c>
      <c r="V34" s="41">
        <f>VLOOKUP(B34,'Player Data'!$A1:$AE734,10,FALSE)*$Q34*IFERROR(((VLOOKUP(P34,Settings!$E$28:$F$33,2,FALSE)/2)+1),1)</f>
        <v>160.90308333964052</v>
      </c>
      <c r="W34" s="41">
        <f>VLOOKUP(B34,'Player Data'!$A1:$AE734,11,FALSE)*$Q34*IFERROR((VLOOKUP(P34,Settings!$E$28:$F$33,2,FALSE)+1),1)</f>
        <v>1.2929347424178999</v>
      </c>
      <c r="X34" s="41">
        <f>VLOOKUP(B34,'Player Data'!$A1:$AE734,12,FALSE)*$Q34*IFERROR((VLOOKUP(P34,Settings!$E$28:$F$33,2,FALSE)+1),1)</f>
        <v>33.643319665901068</v>
      </c>
      <c r="Y34" s="41">
        <f>VLOOKUP(B34,'Player Data'!$A1:$AE734,13,FALSE)*$Q34</f>
        <v>2.4214967938536364E-2</v>
      </c>
      <c r="Z34" s="41">
        <f>VLOOKUP(B34,'Player Data'!$A1:$AE734,14,FALSE)*$Q34</f>
        <v>0.654395437274641</v>
      </c>
      <c r="AA34" s="41">
        <f>VLOOKUP(B34,'Player Data'!$A1:$AE734,15,FALSE)*$Q34</f>
        <v>78.214394914058985</v>
      </c>
      <c r="AB34" s="41">
        <f>VLOOKUP(B34,'Player Data'!$A1:$AE734,16,FALSE)*$Q34</f>
        <v>40.76960503541757</v>
      </c>
      <c r="AC34" s="41">
        <f>VLOOKUP(B34,'Player Data'!$A1:$AE734,17,FALSE)*$Q34*IFERROR((VLOOKUP(P34,Settings!$E$28:$F$33,2,FALSE)+1),1)</f>
        <v>1.8367316559637299</v>
      </c>
      <c r="AD34" s="41">
        <f>VLOOKUP(B34,'Player Data'!$A1:$AE734,18,FALSE)*$Q34</f>
        <v>35.066667353363485</v>
      </c>
      <c r="AE34" s="41">
        <f>VLOOKUP(B34,'Player Data'!$A1:$AE734,19,FALSE)*$Q34*IFERROR((VLOOKUP(P34,Settings!$E$28:$F$33,2,FALSE)+1),1)</f>
        <v>1.1319137133723352</v>
      </c>
      <c r="AF34" s="41">
        <f>VLOOKUP(B34,'Player Data'!$A1:$AE734,20,FALSE)*$Q34</f>
        <v>0.35122788104271063</v>
      </c>
      <c r="AG34" s="41">
        <f>VLOOKUP(B34,'Player Data'!$A1:$AE734,21,FALSE)*$Q34</f>
        <v>0.41091029994914313</v>
      </c>
      <c r="AH34" s="42">
        <f>VLOOKUP(B34,'Player Data'!$A1:$AE734,22,FALSE)</f>
        <v>0.46084540809334501</v>
      </c>
      <c r="AI34" s="39"/>
      <c r="AJ34" s="43"/>
      <c r="AK34" s="41"/>
      <c r="AL34" s="41"/>
      <c r="AM34" s="41"/>
      <c r="AN34" s="41"/>
      <c r="AO34" s="41"/>
      <c r="AP34" s="41"/>
      <c r="AQ34" s="44"/>
      <c r="AR34" s="45"/>
      <c r="AS34" s="43"/>
    </row>
    <row r="35" spans="1:45" ht="21.25" customHeight="1" x14ac:dyDescent="0.15">
      <c r="A35" s="31">
        <f>RANK(K35,K$2:K$727)</f>
        <v>34</v>
      </c>
      <c r="B35" s="8" t="s">
        <v>139</v>
      </c>
      <c r="C35" s="32" t="s">
        <v>106</v>
      </c>
      <c r="D35" s="33" t="str">
        <f>VLOOKUP(B35,'Player Data'!A1:D734,4,FALSE)</f>
        <v>C</v>
      </c>
      <c r="E35" s="34">
        <f>VLOOKUP(B35,'C'!A1:C211,3,FALSE)</f>
        <v>7</v>
      </c>
      <c r="F35" s="35" t="str">
        <f>VLOOKUP(B35,'Player Data'!A1:B734,2,FALSE)</f>
        <v>NYR</v>
      </c>
      <c r="G35" s="9">
        <f>VLOOKUP(B35,'Player Data'!A1:D734,3,FALSE)</f>
        <v>30</v>
      </c>
      <c r="H35" s="36">
        <f>IFERROR(VLOOKUP(B35,ADP!A1:G728,7,FALSE)/1000000,VLOOKUP(B35,ADP!A1:G728,7,FALSE))</f>
        <v>8.5</v>
      </c>
      <c r="I35" s="37">
        <f>IF(Settings!$E$15="POINTS",((R35*Q35)*Settings!$B$12)+(S35*Settings!$B$2)+(T35*Settings!$B$3)+(U35*Settings!$B$4)+(V35*Settings!$B$5)+(X35*Settings!$B$9)+(AA35*Settings!$B$6)+(W35*Settings!$B$8)+(AB35*Settings!$B$7)+(AC35*Settings!$B$14)+(AD35*Settings!$B$15)+(AE35*Settings!$B$16)+(AF35*Settings!$B$17)+(AG35*Settings!$B$18)+(Y35*Settings!$B$10)+(Z35*Settings!$B$11),VLOOKUP(B35,'Standard Deviations'!A1:C728,3,FALSE))</f>
        <v>467.69528231964279</v>
      </c>
      <c r="J35" s="38">
        <f>IF(D35="G",I35/AJ35,I35/Q35)</f>
        <v>5.7110881011037984</v>
      </c>
      <c r="K35" s="37">
        <f>IF(Settings!$E$18="C/LW/RW",VLOOKUP(B35,'C'!A1:F211,6,FALSE),VLOOKUP(B35,F!A1:F430,6,FALSE))</f>
        <v>74.366476553433131</v>
      </c>
      <c r="L35" s="37">
        <f>IFERROR(K35/H35,"N/A")</f>
        <v>8.7489972415803692</v>
      </c>
      <c r="M35" s="39">
        <f>IF(Settings!$E$9="YAHOO",VLOOKUP(B35,ADP!A1:E728,2,FALSE),IF(Settings!$E$9="ESPN",VLOOKUP(B35,ADP!A1:E728,3,FALSE),IF(Settings!$E$9="FANTRAX",VLOOKUP(B35,ADP!A1:E728,4,FALSE),VLOOKUP(B35,ADP!A1:E728,5,FALSE))))</f>
        <v>26</v>
      </c>
      <c r="N35" s="39">
        <f>IFERROR(M35-A35,"N/A")</f>
        <v>-8</v>
      </c>
      <c r="O35" s="39"/>
      <c r="P35" s="40" t="str">
        <f>IF(Settings!$E$27="ON",VLOOKUP(B35,ADP!A1:H728,8,FALSE)," ")</f>
        <v xml:space="preserve"> </v>
      </c>
      <c r="Q35" s="41">
        <f>IF(Settings!$E$12="YES",VLOOKUP(B35,'Player Data'!A1:E734,5,FALSE),82)</f>
        <v>81.892499999999998</v>
      </c>
      <c r="R35" s="39">
        <f>VLOOKUP(B35,'Player Data'!$A1:$AE734,6,FALSE)</f>
        <v>20.7219889246484</v>
      </c>
      <c r="S35" s="41">
        <f>VLOOKUP(B35,'Player Data'!$A1:$AE734,7,FALSE)*$Q35*IFERROR((VLOOKUP(P35,Settings!$E$28:$F$33,2,FALSE)+1),1)</f>
        <v>35.433871495089299</v>
      </c>
      <c r="T35" s="41">
        <f>VLOOKUP(B35,'Player Data'!$A1:$AE734,8,FALSE)*$Q35*IFERROR((VLOOKUP(P35,Settings!$E$28:$F$33,2,FALSE)+1),1)</f>
        <v>50.935312786978727</v>
      </c>
      <c r="U35" s="41">
        <f>SUM(S35:T35)</f>
        <v>86.369184282068034</v>
      </c>
      <c r="V35" s="41">
        <f>VLOOKUP(B35,'Player Data'!$A1:$AE734,10,FALSE)*$Q35*IFERROR(((VLOOKUP(P35,Settings!$E$28:$F$33,2,FALSE)/2)+1),1)</f>
        <v>254.222596221066</v>
      </c>
      <c r="W35" s="41">
        <f>VLOOKUP(B35,'Player Data'!$A1:$AE734,11,FALSE)*$Q35*IFERROR((VLOOKUP(P35,Settings!$E$28:$F$33,2,FALSE)+1),1)</f>
        <v>16.725687105284731</v>
      </c>
      <c r="X35" s="41">
        <f>VLOOKUP(B35,'Player Data'!$A1:$AE734,12,FALSE)*$Q35*IFERROR((VLOOKUP(P35,Settings!$E$28:$F$33,2,FALSE)+1),1)</f>
        <v>32.477551179900694</v>
      </c>
      <c r="Y35" s="41">
        <f>VLOOKUP(B35,'Player Data'!$A1:$AE734,13,FALSE)*$Q35</f>
        <v>1.0922871146635278</v>
      </c>
      <c r="Z35" s="41">
        <f>VLOOKUP(B35,'Player Data'!$A1:$AE734,14,FALSE)*$Q35</f>
        <v>3.2199711173893402</v>
      </c>
      <c r="AA35" s="41">
        <f>VLOOKUP(B35,'Player Data'!$A1:$AE734,15,FALSE)*$Q35</f>
        <v>50.406933841628422</v>
      </c>
      <c r="AB35" s="41">
        <f>VLOOKUP(B35,'Player Data'!$A1:$AE734,16,FALSE)*$Q35</f>
        <v>75.604636041760159</v>
      </c>
      <c r="AC35" s="41">
        <f>VLOOKUP(B35,'Player Data'!$A1:$AE734,17,FALSE)*$Q35*IFERROR((VLOOKUP(P35,Settings!$E$28:$F$33,2,FALSE)+1),1)</f>
        <v>5.9657997876956603</v>
      </c>
      <c r="AD35" s="41">
        <f>VLOOKUP(B35,'Player Data'!$A1:$AE734,18,FALSE)*$Q35</f>
        <v>22.580975217346669</v>
      </c>
      <c r="AE35" s="41">
        <f>VLOOKUP(B35,'Player Data'!$A1:$AE734,19,FALSE)*$Q35*IFERROR((VLOOKUP(P35,Settings!$E$28:$F$33,2,FALSE)+1),1)</f>
        <v>6.0378655344916687</v>
      </c>
      <c r="AF35" s="41">
        <f>VLOOKUP(B35,'Player Data'!$A1:$AE734,20,FALSE)*$Q35</f>
        <v>727.8197526041854</v>
      </c>
      <c r="AG35" s="41">
        <f>VLOOKUP(B35,'Player Data'!$A1:$AE734,21,FALSE)*$Q35</f>
        <v>729.39958836242079</v>
      </c>
      <c r="AH35" s="42">
        <f>VLOOKUP(B35,'Player Data'!$A1:$AE734,22,FALSE)</f>
        <v>0.499457927947488</v>
      </c>
      <c r="AI35" s="39"/>
      <c r="AJ35" s="43"/>
      <c r="AK35" s="41"/>
      <c r="AL35" s="41"/>
      <c r="AM35" s="41"/>
      <c r="AN35" s="41"/>
      <c r="AO35" s="41"/>
      <c r="AP35" s="41"/>
      <c r="AQ35" s="44"/>
      <c r="AR35" s="45"/>
      <c r="AS35" s="39"/>
    </row>
    <row r="36" spans="1:45" ht="21.25" customHeight="1" x14ac:dyDescent="0.15">
      <c r="A36" s="31">
        <f>RANK(K36,K$2:K$727)</f>
        <v>35</v>
      </c>
      <c r="B36" s="8" t="s">
        <v>140</v>
      </c>
      <c r="C36" s="32" t="s">
        <v>106</v>
      </c>
      <c r="D36" s="33" t="str">
        <f>VLOOKUP(B36,'Player Data'!A1:D734,4,FALSE)</f>
        <v>C</v>
      </c>
      <c r="E36" s="34">
        <f>VLOOKUP(B36,'C'!A1:C211,3,FALSE)</f>
        <v>8</v>
      </c>
      <c r="F36" s="35" t="str">
        <f>VLOOKUP(B36,'Player Data'!A1:B734,2,FALSE)</f>
        <v>VAN</v>
      </c>
      <c r="G36" s="9">
        <f>VLOOKUP(B36,'Player Data'!A1:D734,3,FALSE)</f>
        <v>24</v>
      </c>
      <c r="H36" s="36">
        <f>IFERROR(VLOOKUP(B36,ADP!A1:G728,7,FALSE)/1000000,VLOOKUP(B36,ADP!A1:G728,7,FALSE))</f>
        <v>7.35</v>
      </c>
      <c r="I36" s="37">
        <f>IF(Settings!$E$15="POINTS",((R36*Q36)*Settings!$B$12)+(S36*Settings!$B$2)+(T36*Settings!$B$3)+(U36*Settings!$B$4)+(V36*Settings!$B$5)+(X36*Settings!$B$9)+(AA36*Settings!$B$6)+(W36*Settings!$B$8)+(AB36*Settings!$B$7)+(AC36*Settings!$B$14)+(AD36*Settings!$B$15)+(AE36*Settings!$B$16)+(AF36*Settings!$B$17)+(AG36*Settings!$B$18)+(Y36*Settings!$B$10)+(Z36*Settings!$B$11),VLOOKUP(B36,'Standard Deviations'!A1:C728,3,FALSE))</f>
        <v>464.07200653414577</v>
      </c>
      <c r="J36" s="38">
        <f>IF(D36="G",I36/AJ36,I36/Q36)</f>
        <v>6.0263501451424153</v>
      </c>
      <c r="K36" s="37">
        <f>IF(Settings!$E$18="C/LW/RW",VLOOKUP(B36,'C'!A1:F211,6,FALSE),VLOOKUP(B36,F!A1:F430,6,FALSE))</f>
        <v>70.743200767936116</v>
      </c>
      <c r="L36" s="37">
        <f>IFERROR(K36/H36,"N/A")</f>
        <v>9.6249252745491312</v>
      </c>
      <c r="M36" s="39">
        <f>IF(Settings!$E$9="YAHOO",VLOOKUP(B36,ADP!A1:E728,2,FALSE),IF(Settings!$E$9="ESPN",VLOOKUP(B36,ADP!A1:E728,3,FALSE),IF(Settings!$E$9="FANTRAX",VLOOKUP(B36,ADP!A1:E728,4,FALSE),VLOOKUP(B36,ADP!A1:E728,5,FALSE))))</f>
        <v>31.4</v>
      </c>
      <c r="N36" s="39">
        <f>IFERROR(M36-A36,"N/A")</f>
        <v>-3.6000000000000014</v>
      </c>
      <c r="O36" s="39"/>
      <c r="P36" s="40" t="str">
        <f>IF(Settings!$E$27="ON",VLOOKUP(B36,ADP!A1:H728,8,FALSE)," ")</f>
        <v>+</v>
      </c>
      <c r="Q36" s="41">
        <f>IF(Settings!$E$12="YES",VLOOKUP(B36,'Player Data'!A1:E734,5,FALSE),82)</f>
        <v>77.007142857142895</v>
      </c>
      <c r="R36" s="39">
        <f>VLOOKUP(B36,'Player Data'!$A1:$AE734,6,FALSE)</f>
        <v>20.2319840625</v>
      </c>
      <c r="S36" s="41">
        <f>VLOOKUP(B36,'Player Data'!$A1:$AE734,7,FALSE)*$Q36*IFERROR((VLOOKUP(P36,Settings!$E$28:$F$33,2,FALSE)+1),1)</f>
        <v>37.697176062052044</v>
      </c>
      <c r="T36" s="41">
        <f>VLOOKUP(B36,'Player Data'!$A1:$AE734,8,FALSE)*$Q36*IFERROR((VLOOKUP(P36,Settings!$E$28:$F$33,2,FALSE)+1),1)</f>
        <v>52.359227572091577</v>
      </c>
      <c r="U36" s="41">
        <f>SUM(S36:T36)</f>
        <v>90.056403634143621</v>
      </c>
      <c r="V36" s="41">
        <f>VLOOKUP(B36,'Player Data'!$A1:$AE734,10,FALSE)*$Q36*IFERROR(((VLOOKUP(P36,Settings!$E$28:$F$33,2,FALSE)/2)+1),1)</f>
        <v>239.02067882031241</v>
      </c>
      <c r="W36" s="41">
        <f>VLOOKUP(B36,'Player Data'!$A1:$AE734,11,FALSE)*$Q36*IFERROR((VLOOKUP(P36,Settings!$E$28:$F$33,2,FALSE)+1),1)</f>
        <v>9.0107112123150728</v>
      </c>
      <c r="X36" s="41">
        <f>VLOOKUP(B36,'Player Data'!$A1:$AE734,12,FALSE)*$Q36*IFERROR((VLOOKUP(P36,Settings!$E$28:$F$33,2,FALSE)+1),1)</f>
        <v>25.718761865024092</v>
      </c>
      <c r="Y36" s="41">
        <f>VLOOKUP(B36,'Player Data'!$A1:$AE734,13,FALSE)*$Q36</f>
        <v>2.1638566654353046</v>
      </c>
      <c r="Z36" s="41">
        <f>VLOOKUP(B36,'Player Data'!$A1:$AE734,14,FALSE)*$Q36</f>
        <v>4.5625065411750017</v>
      </c>
      <c r="AA36" s="41">
        <f>VLOOKUP(B36,'Player Data'!$A1:$AE734,15,FALSE)*$Q36</f>
        <v>69.149597045803091</v>
      </c>
      <c r="AB36" s="41">
        <f>VLOOKUP(B36,'Player Data'!$A1:$AE734,16,FALSE)*$Q36</f>
        <v>65.843315876937055</v>
      </c>
      <c r="AC36" s="41">
        <f>VLOOKUP(B36,'Player Data'!$A1:$AE734,17,FALSE)*$Q36*IFERROR((VLOOKUP(P36,Settings!$E$28:$F$33,2,FALSE)+1),1)</f>
        <v>2.607035384942531</v>
      </c>
      <c r="AD36" s="41">
        <f>VLOOKUP(B36,'Player Data'!$A1:$AE734,18,FALSE)*$Q36</f>
        <v>17.617308283971933</v>
      </c>
      <c r="AE36" s="41">
        <f>VLOOKUP(B36,'Player Data'!$A1:$AE734,19,FALSE)*$Q36*IFERROR((VLOOKUP(P36,Settings!$E$28:$F$33,2,FALSE)+1),1)</f>
        <v>5.3363990099008793</v>
      </c>
      <c r="AF36" s="41">
        <f>VLOOKUP(B36,'Player Data'!$A1:$AE734,20,FALSE)*$Q36</f>
        <v>382.72378643111779</v>
      </c>
      <c r="AG36" s="41">
        <f>VLOOKUP(B36,'Player Data'!$A1:$AE734,21,FALSE)*$Q36</f>
        <v>481.37110990828762</v>
      </c>
      <c r="AH36" s="42">
        <f>VLOOKUP(B36,'Player Data'!$A1:$AE734,22,FALSE)</f>
        <v>0.44291869799539801</v>
      </c>
      <c r="AI36" s="39"/>
      <c r="AJ36" s="43"/>
      <c r="AK36" s="41"/>
      <c r="AL36" s="41"/>
      <c r="AM36" s="41"/>
      <c r="AN36" s="41"/>
      <c r="AO36" s="41"/>
      <c r="AP36" s="41"/>
      <c r="AQ36" s="44"/>
      <c r="AR36" s="45"/>
      <c r="AS36" s="43"/>
    </row>
    <row r="37" spans="1:45" ht="21.25" customHeight="1" x14ac:dyDescent="0.15">
      <c r="A37" s="31">
        <f>RANK(K37,K$2:K$727)</f>
        <v>36</v>
      </c>
      <c r="B37" s="8" t="s">
        <v>141</v>
      </c>
      <c r="C37" s="32" t="s">
        <v>106</v>
      </c>
      <c r="D37" s="33" t="str">
        <f>VLOOKUP(B37,'Player Data'!A1:D734,4,FALSE)</f>
        <v>C</v>
      </c>
      <c r="E37" s="34">
        <f>VLOOKUP(B37,'C'!A1:C211,3,FALSE)</f>
        <v>9</v>
      </c>
      <c r="F37" s="35" t="str">
        <f>VLOOKUP(B37,'Player Data'!A1:B734,2,FALSE)</f>
        <v>FLA</v>
      </c>
      <c r="G37" s="9">
        <f>VLOOKUP(B37,'Player Data'!A1:D734,3,FALSE)</f>
        <v>27</v>
      </c>
      <c r="H37" s="36">
        <f>IFERROR(VLOOKUP(B37,ADP!A1:G728,7,FALSE)/1000000,VLOOKUP(B37,ADP!A1:G728,7,FALSE))</f>
        <v>10</v>
      </c>
      <c r="I37" s="37">
        <f>IF(Settings!$E$15="POINTS",((R37*Q37)*Settings!$B$12)+(S37*Settings!$B$2)+(T37*Settings!$B$3)+(U37*Settings!$B$4)+(V37*Settings!$B$5)+(X37*Settings!$B$9)+(AA37*Settings!$B$6)+(W37*Settings!$B$8)+(AB37*Settings!$B$7)+(AC37*Settings!$B$14)+(AD37*Settings!$B$15)+(AE37*Settings!$B$16)+(AF37*Settings!$B$17)+(AG37*Settings!$B$18)+(Y37*Settings!$B$10)+(Z37*Settings!$B$11),VLOOKUP(B37,'Standard Deviations'!A1:C728,3,FALSE))</f>
        <v>462.52556518566763</v>
      </c>
      <c r="J37" s="38">
        <f>IF(D37="G",I37/AJ37,I37/Q37)</f>
        <v>6.0378830930895422</v>
      </c>
      <c r="K37" s="37">
        <f>IF(Settings!$E$18="C/LW/RW",VLOOKUP(B37,'C'!A1:F211,6,FALSE),VLOOKUP(B37,F!A1:F430,6,FALSE))</f>
        <v>69.196759419457976</v>
      </c>
      <c r="L37" s="37">
        <f>IFERROR(K37/H37,"N/A")</f>
        <v>6.9196759419457976</v>
      </c>
      <c r="M37" s="39">
        <f>IF(Settings!$E$9="YAHOO",VLOOKUP(B37,ADP!A1:E728,2,FALSE),IF(Settings!$E$9="ESPN",VLOOKUP(B37,ADP!A1:E728,3,FALSE),IF(Settings!$E$9="FANTRAX",VLOOKUP(B37,ADP!A1:E728,4,FALSE),VLOOKUP(B37,ADP!A1:E728,5,FALSE))))</f>
        <v>60.2</v>
      </c>
      <c r="N37" s="39">
        <f>IFERROR(M37-A37,"N/A")</f>
        <v>24.200000000000003</v>
      </c>
      <c r="O37" s="39"/>
      <c r="P37" s="40" t="str">
        <f>IF(Settings!$E$27="ON",VLOOKUP(B37,ADP!A1:H728,8,FALSE)," ")</f>
        <v xml:space="preserve"> </v>
      </c>
      <c r="Q37" s="41">
        <f>IF(Settings!$E$12="YES",VLOOKUP(B37,'Player Data'!A1:E734,5,FALSE),82)</f>
        <v>76.603928571428597</v>
      </c>
      <c r="R37" s="39">
        <f>VLOOKUP(B37,'Player Data'!$A1:$AE734,6,FALSE)</f>
        <v>20.775562191900601</v>
      </c>
      <c r="S37" s="41">
        <f>VLOOKUP(B37,'Player Data'!$A1:$AE734,7,FALSE)*$Q37*IFERROR((VLOOKUP(P37,Settings!$E$28:$F$33,2,FALSE)+1),1)</f>
        <v>33.167031348603672</v>
      </c>
      <c r="T37" s="41">
        <f>VLOOKUP(B37,'Player Data'!$A1:$AE734,8,FALSE)*$Q37*IFERROR((VLOOKUP(P37,Settings!$E$28:$F$33,2,FALSE)+1),1)</f>
        <v>56.027894074615325</v>
      </c>
      <c r="U37" s="41">
        <f>SUM(S37:T37)</f>
        <v>89.19492542321899</v>
      </c>
      <c r="V37" s="41">
        <f>VLOOKUP(B37,'Player Data'!$A1:$AE734,10,FALSE)*$Q37*IFERROR(((VLOOKUP(P37,Settings!$E$28:$F$33,2,FALSE)/2)+1),1)</f>
        <v>238.65311055934657</v>
      </c>
      <c r="W37" s="41">
        <f>VLOOKUP(B37,'Player Data'!$A1:$AE734,11,FALSE)*$Q37*IFERROR((VLOOKUP(P37,Settings!$E$28:$F$33,2,FALSE)+1),1)</f>
        <v>10.236615962502167</v>
      </c>
      <c r="X37" s="41">
        <f>VLOOKUP(B37,'Player Data'!$A1:$AE734,12,FALSE)*$Q37*IFERROR((VLOOKUP(P37,Settings!$E$28:$F$33,2,FALSE)+1),1)</f>
        <v>29.665177001589189</v>
      </c>
      <c r="Y37" s="41">
        <f>VLOOKUP(B37,'Player Data'!$A1:$AE734,13,FALSE)*$Q37</f>
        <v>2.0683635412816561</v>
      </c>
      <c r="Z37" s="41">
        <f>VLOOKUP(B37,'Player Data'!$A1:$AE734,14,FALSE)*$Q37</f>
        <v>3.0192577998252808</v>
      </c>
      <c r="AA37" s="41">
        <f>VLOOKUP(B37,'Player Data'!$A1:$AE734,15,FALSE)*$Q37</f>
        <v>51.226820167541611</v>
      </c>
      <c r="AB37" s="41">
        <f>VLOOKUP(B37,'Player Data'!$A1:$AE734,16,FALSE)*$Q37</f>
        <v>60.201063893323287</v>
      </c>
      <c r="AC37" s="41">
        <f>VLOOKUP(B37,'Player Data'!$A1:$AE734,17,FALSE)*$Q37*IFERROR((VLOOKUP(P37,Settings!$E$28:$F$33,2,FALSE)+1),1)</f>
        <v>5.7450517969951953</v>
      </c>
      <c r="AD37" s="41">
        <f>VLOOKUP(B37,'Player Data'!$A1:$AE734,18,FALSE)*$Q37</f>
        <v>19.144262331765187</v>
      </c>
      <c r="AE37" s="41">
        <f>VLOOKUP(B37,'Player Data'!$A1:$AE734,19,FALSE)*$Q37*IFERROR((VLOOKUP(P37,Settings!$E$28:$F$33,2,FALSE)+1),1)</f>
        <v>4.7578863003839231</v>
      </c>
      <c r="AF37" s="41">
        <f>VLOOKUP(B37,'Player Data'!$A1:$AE734,20,FALSE)*$Q37</f>
        <v>822.10588347114174</v>
      </c>
      <c r="AG37" s="41">
        <f>VLOOKUP(B37,'Player Data'!$A1:$AE734,21,FALSE)*$Q37</f>
        <v>656.20899307238938</v>
      </c>
      <c r="AH37" s="42">
        <f>VLOOKUP(B37,'Player Data'!$A1:$AE734,22,FALSE)</f>
        <v>0.55611013358217598</v>
      </c>
      <c r="AI37" s="39"/>
      <c r="AJ37" s="43"/>
      <c r="AK37" s="41"/>
      <c r="AL37" s="41"/>
      <c r="AM37" s="41"/>
      <c r="AN37" s="41"/>
      <c r="AO37" s="41"/>
      <c r="AP37" s="41"/>
      <c r="AQ37" s="44"/>
      <c r="AR37" s="45"/>
      <c r="AS37" s="43"/>
    </row>
    <row r="38" spans="1:45" ht="21.25" customHeight="1" x14ac:dyDescent="0.15">
      <c r="A38" s="31">
        <f>RANK(K38,K$2:K$727)</f>
        <v>37</v>
      </c>
      <c r="B38" s="8" t="s">
        <v>142</v>
      </c>
      <c r="C38" s="32" t="s">
        <v>106</v>
      </c>
      <c r="D38" s="33" t="str">
        <f>VLOOKUP(B38,'Player Data'!A1:D734,4,FALSE)</f>
        <v>D</v>
      </c>
      <c r="E38" s="49">
        <f>VLOOKUP(B38,D!A1:C227,3,FALSE)</f>
        <v>9</v>
      </c>
      <c r="F38" s="35" t="str">
        <f>VLOOKUP(B38,'Player Data'!A1:B734,2,FALSE)</f>
        <v>EDM</v>
      </c>
      <c r="G38" s="9">
        <f>VLOOKUP(B38,'Player Data'!A1:D734,3,FALSE)</f>
        <v>23</v>
      </c>
      <c r="H38" s="36">
        <f>IFERROR(VLOOKUP(B38,ADP!A1:G728,7,FALSE)/1000000,VLOOKUP(B38,ADP!A1:G728,7,FALSE))</f>
        <v>0</v>
      </c>
      <c r="I38" s="37">
        <f>IF(Settings!$E$15="POINTS",((R38*Q38)*Settings!$B$12)+(S38*Settings!$B$2)+(T38*Settings!$B$3)+(U38*Settings!$B$4)+(V38*Settings!$B$5)+(X38*Settings!$B$9)+(AA38*Settings!$B$6)+(W38*Settings!$B$8)+(AB38*Settings!$B$7)+(AC38*Settings!$B$14)+(AD38*Settings!$B$15)+(AE38*Settings!$B$16)+(AF38*Settings!$B$17)+(AG38*Settings!$B$18)+(U38*Settings!$B$13)+(Y38*Settings!$B$10)+(Z38*Settings!$B$11),VLOOKUP(B38,'Standard Deviations'!A1:C728,3,FALSE))</f>
        <v>380.0559121507091</v>
      </c>
      <c r="J38" s="38">
        <f>IF(D38="G",I38/AJ38,I38/Q38)</f>
        <v>4.65227422530476</v>
      </c>
      <c r="K38" s="37">
        <f>VLOOKUP(B38,D!A1:F227,6,FALSE)</f>
        <v>68.490430522781651</v>
      </c>
      <c r="L38" s="52" t="str">
        <f>IFERROR(K38/H38,"N/A")</f>
        <v>N/A</v>
      </c>
      <c r="M38" s="39">
        <f>IF(Settings!$E$9="YAHOO",VLOOKUP(B38,ADP!A1:E728,2,FALSE),IF(Settings!$E$9="ESPN",VLOOKUP(B38,ADP!A1:E728,3,FALSE),IF(Settings!$E$9="FANTRAX",VLOOKUP(B38,ADP!A1:E728,4,FALSE),VLOOKUP(B38,ADP!A1:E728,5,FALSE))))</f>
        <v>84.7</v>
      </c>
      <c r="N38" s="39">
        <f>IFERROR(M38-A38,"N/A")</f>
        <v>47.7</v>
      </c>
      <c r="O38" s="39"/>
      <c r="P38" s="40" t="str">
        <f>IF(Settings!$E$27="ON",VLOOKUP(B38,ADP!A1:H728,8,FALSE)," ")</f>
        <v>+ + +</v>
      </c>
      <c r="Q38" s="41">
        <f>IF(Settings!$E$12="YES",VLOOKUP(B38,'Player Data'!A1:E734,5,FALSE),82)</f>
        <v>81.692499999999995</v>
      </c>
      <c r="R38" s="39">
        <f>VLOOKUP(B38,'Player Data'!$A1:$AE734,6,FALSE)</f>
        <v>21.535958311964301</v>
      </c>
      <c r="S38" s="41">
        <f>VLOOKUP(B38,'Player Data'!$A1:$AE734,7,FALSE)*$Q38*IFERROR((VLOOKUP(P38,Settings!$E$28:$F$33,2,FALSE)+1),1)</f>
        <v>14.956560961357846</v>
      </c>
      <c r="T38" s="41">
        <f>VLOOKUP(B38,'Player Data'!$A1:$AE734,8,FALSE)*$Q38*IFERROR((VLOOKUP(P38,Settings!$E$28:$F$33,2,FALSE)+1),1)</f>
        <v>50.010306854080447</v>
      </c>
      <c r="U38" s="41">
        <f>SUM(S38:T38)</f>
        <v>64.966867815438292</v>
      </c>
      <c r="V38" s="41">
        <f>VLOOKUP(B38,'Player Data'!$A1:$AE734,10,FALSE)*$Q38*IFERROR(((VLOOKUP(P38,Settings!$E$28:$F$33,2,FALSE)/2)+1),1)</f>
        <v>223.53708937934275</v>
      </c>
      <c r="W38" s="41">
        <f>VLOOKUP(B38,'Player Data'!$A1:$AE734,11,FALSE)*$Q38*IFERROR((VLOOKUP(P38,Settings!$E$28:$F$33,2,FALSE)+1),1)</f>
        <v>5.3708107852316243</v>
      </c>
      <c r="X38" s="41">
        <f>VLOOKUP(B38,'Player Data'!$A1:$AE734,12,FALSE)*$Q38*IFERROR((VLOOKUP(P38,Settings!$E$28:$F$33,2,FALSE)+1),1)</f>
        <v>26.781996422893346</v>
      </c>
      <c r="Y38" s="41">
        <f>VLOOKUP(B38,'Player Data'!$A1:$AE734,13,FALSE)*$Q38</f>
        <v>7.7222376762474051E-3</v>
      </c>
      <c r="Z38" s="41">
        <f>VLOOKUP(B38,'Player Data'!$A1:$AE734,14,FALSE)*$Q38</f>
        <v>0.21331653835515704</v>
      </c>
      <c r="AA38" s="41">
        <f>VLOOKUP(B38,'Player Data'!$A1:$AE734,15,FALSE)*$Q38</f>
        <v>96.980690461129441</v>
      </c>
      <c r="AB38" s="41">
        <f>VLOOKUP(B38,'Player Data'!$A1:$AE734,16,FALSE)*$Q38</f>
        <v>105.70794010859176</v>
      </c>
      <c r="AC38" s="41">
        <f>VLOOKUP(B38,'Player Data'!$A1:$AE734,17,FALSE)*$Q38*IFERROR((VLOOKUP(P38,Settings!$E$28:$F$33,2,FALSE)+1),1)</f>
        <v>9.0859322452428906</v>
      </c>
      <c r="AD38" s="41">
        <f>VLOOKUP(B38,'Player Data'!$A1:$AE734,18,FALSE)*$Q38</f>
        <v>33.271702459876778</v>
      </c>
      <c r="AE38" s="41">
        <f>VLOOKUP(B38,'Player Data'!$A1:$AE734,19,FALSE)*$Q38*IFERROR((VLOOKUP(P38,Settings!$E$28:$F$33,2,FALSE)+1),1)</f>
        <v>2.3674630321839758</v>
      </c>
      <c r="AF38" s="41">
        <f>VLOOKUP(B38,'Player Data'!$A1:$AE734,20,FALSE)*$Q38</f>
        <v>0</v>
      </c>
      <c r="AG38" s="41">
        <f>VLOOKUP(B38,'Player Data'!$A1:$AE734,21,FALSE)*$Q38</f>
        <v>0</v>
      </c>
      <c r="AH38" s="42">
        <f>VLOOKUP(B38,'Player Data'!$A1:$AE734,22,FALSE)</f>
        <v>0</v>
      </c>
      <c r="AI38" s="39"/>
      <c r="AJ38" s="43"/>
      <c r="AK38" s="41"/>
      <c r="AL38" s="41"/>
      <c r="AM38" s="41"/>
      <c r="AN38" s="41"/>
      <c r="AO38" s="41"/>
      <c r="AP38" s="41"/>
      <c r="AQ38" s="44"/>
      <c r="AR38" s="45"/>
      <c r="AS38" s="39"/>
    </row>
    <row r="39" spans="1:45" ht="21.25" customHeight="1" x14ac:dyDescent="0.15">
      <c r="A39" s="31">
        <f>RANK(K39,K$2:K$727)</f>
        <v>38</v>
      </c>
      <c r="B39" s="8" t="s">
        <v>143</v>
      </c>
      <c r="C39" s="32" t="s">
        <v>106</v>
      </c>
      <c r="D39" s="33" t="str">
        <f>VLOOKUP(B39,'Player Data'!A1:D734,4,FALSE)</f>
        <v>C,RW</v>
      </c>
      <c r="E39" s="48">
        <f>VLOOKUP(B39,RW!A1:F97,3,FALSE)</f>
        <v>7</v>
      </c>
      <c r="F39" s="35" t="str">
        <f>VLOOKUP(B39,'Player Data'!A1:B734,2,FALSE)</f>
        <v>VAN</v>
      </c>
      <c r="G39" s="9">
        <f>VLOOKUP(B39,'Player Data'!A1:D734,3,FALSE)</f>
        <v>30</v>
      </c>
      <c r="H39" s="36">
        <f>IFERROR(VLOOKUP(B39,ADP!A1:G728,7,FALSE)/1000000,VLOOKUP(B39,ADP!A1:G728,7,FALSE))</f>
        <v>8</v>
      </c>
      <c r="I39" s="37">
        <f>IF(Settings!$E$15="POINTS",((R39*Q39)*Settings!$B$12)+(S39*Settings!$B$2)+(T39*Settings!$B$3)+(U39*Settings!$B$4)+(V39*Settings!$B$5)+(X39*Settings!$B$9)+(AA39*Settings!$B$6)+(W39*Settings!$B$8)+(AB39*Settings!$B$7)+(AC39*Settings!$B$14)+(AD39*Settings!$B$15)+(AE39*Settings!$B$16)+(AF39*Settings!$B$17)+(AG39*Settings!$B$18)+(Y39*Settings!$B$10)+(Z39*Settings!$B$11),VLOOKUP(B39,'Standard Deviations'!A1:C728,3,FALSE))</f>
        <v>416.4138573570396</v>
      </c>
      <c r="J39" s="38">
        <f>IF(D39="G",I39/AJ39,I39/Q39)</f>
        <v>5.1321545713430377</v>
      </c>
      <c r="K39" s="37">
        <f>IF(Settings!$E$18="C/LW/RW",VLOOKUP(B39,RW!A1:F97,6,FALSE),VLOOKUP(B39,F!A1:F430,6,FALSE))</f>
        <v>66.142316809150032</v>
      </c>
      <c r="L39" s="37">
        <f>IFERROR(K39/H39,"N/A")</f>
        <v>8.2677896011437539</v>
      </c>
      <c r="M39" s="39">
        <f>IF(Settings!$E$9="YAHOO",VLOOKUP(B39,ADP!A1:E728,2,FALSE),IF(Settings!$E$9="ESPN",VLOOKUP(B39,ADP!A1:E728,3,FALSE),IF(Settings!$E$9="FANTRAX",VLOOKUP(B39,ADP!A1:E728,4,FALSE),VLOOKUP(B39,ADP!A1:E728,5,FALSE))))</f>
        <v>38.700000000000003</v>
      </c>
      <c r="N39" s="39">
        <f>IFERROR(M39-A39,"N/A")</f>
        <v>0.70000000000000284</v>
      </c>
      <c r="O39" s="39"/>
      <c r="P39" s="40" t="str">
        <f>IF(Settings!$E$27="ON",VLOOKUP(B39,ADP!A1:H728,8,FALSE)," ")</f>
        <v>-</v>
      </c>
      <c r="Q39" s="41">
        <f>IF(Settings!$E$12="YES",VLOOKUP(B39,'Player Data'!A1:E734,5,FALSE),82)</f>
        <v>81.138214285714298</v>
      </c>
      <c r="R39" s="39">
        <f>VLOOKUP(B39,'Player Data'!$A1:$AE734,6,FALSE)</f>
        <v>20.0875351690473</v>
      </c>
      <c r="S39" s="41">
        <f>VLOOKUP(B39,'Player Data'!$A1:$AE734,7,FALSE)*$Q39*IFERROR((VLOOKUP(P39,Settings!$E$28:$F$33,2,FALSE)+1),1)</f>
        <v>27.971759890870505</v>
      </c>
      <c r="T39" s="41">
        <f>VLOOKUP(B39,'Player Data'!$A1:$AE734,8,FALSE)*$Q39*IFERROR((VLOOKUP(P39,Settings!$E$28:$F$33,2,FALSE)+1),1)</f>
        <v>51.18636834314448</v>
      </c>
      <c r="U39" s="41">
        <f>SUM(S39:T39)</f>
        <v>79.158128234014981</v>
      </c>
      <c r="V39" s="41">
        <f>VLOOKUP(B39,'Player Data'!$A1:$AE734,10,FALSE)*$Q39*IFERROR(((VLOOKUP(P39,Settings!$E$28:$F$33,2,FALSE)/2)+1),1)</f>
        <v>207.85354257536247</v>
      </c>
      <c r="W39" s="41">
        <f>VLOOKUP(B39,'Player Data'!$A1:$AE734,11,FALSE)*$Q39*IFERROR((VLOOKUP(P39,Settings!$E$28:$F$33,2,FALSE)+1),1)</f>
        <v>8.9359610156266402</v>
      </c>
      <c r="X39" s="41">
        <f>VLOOKUP(B39,'Player Data'!$A1:$AE734,12,FALSE)*$Q39*IFERROR((VLOOKUP(P39,Settings!$E$28:$F$33,2,FALSE)+1),1)</f>
        <v>30.127389297797496</v>
      </c>
      <c r="Y39" s="41">
        <f>VLOOKUP(B39,'Player Data'!$A1:$AE734,13,FALSE)*$Q39</f>
        <v>1.4583650200133051</v>
      </c>
      <c r="Z39" s="41">
        <f>VLOOKUP(B39,'Player Data'!$A1:$AE734,14,FALSE)*$Q39</f>
        <v>2.5652491200803311</v>
      </c>
      <c r="AA39" s="41">
        <f>VLOOKUP(B39,'Player Data'!$A1:$AE734,15,FALSE)*$Q39</f>
        <v>48.137122657788801</v>
      </c>
      <c r="AB39" s="41">
        <f>VLOOKUP(B39,'Player Data'!$A1:$AE734,16,FALSE)*$Q39</f>
        <v>174.97684068946259</v>
      </c>
      <c r="AC39" s="41">
        <f>VLOOKUP(B39,'Player Data'!$A1:$AE734,17,FALSE)*$Q39*IFERROR((VLOOKUP(P39,Settings!$E$28:$F$33,2,FALSE)+1),1)</f>
        <v>-0.57073351153286711</v>
      </c>
      <c r="AD39" s="41">
        <f>VLOOKUP(B39,'Player Data'!$A1:$AE734,18,FALSE)*$Q39</f>
        <v>52.949049374278694</v>
      </c>
      <c r="AE39" s="41">
        <f>VLOOKUP(B39,'Player Data'!$A1:$AE734,19,FALSE)*$Q39*IFERROR((VLOOKUP(P39,Settings!$E$28:$F$33,2,FALSE)+1),1)</f>
        <v>3.9596725107769482</v>
      </c>
      <c r="AF39" s="41">
        <f>VLOOKUP(B39,'Player Data'!$A1:$AE734,20,FALSE)*$Q39</f>
        <v>489.77703118665983</v>
      </c>
      <c r="AG39" s="41">
        <f>VLOOKUP(B39,'Player Data'!$A1:$AE734,21,FALSE)*$Q39</f>
        <v>413.39631286599894</v>
      </c>
      <c r="AH39" s="42">
        <f>VLOOKUP(B39,'Player Data'!$A1:$AE734,22,FALSE)</f>
        <v>0.54228463939044702</v>
      </c>
      <c r="AI39" s="39"/>
      <c r="AJ39" s="43"/>
      <c r="AK39" s="41"/>
      <c r="AL39" s="41"/>
      <c r="AM39" s="41"/>
      <c r="AN39" s="41"/>
      <c r="AO39" s="41"/>
      <c r="AP39" s="41"/>
      <c r="AQ39" s="44"/>
      <c r="AR39" s="45"/>
      <c r="AS39" s="39"/>
    </row>
    <row r="40" spans="1:45" ht="21.25" customHeight="1" x14ac:dyDescent="0.15">
      <c r="A40" s="31">
        <f>RANK(K40,K$2:K$727)</f>
        <v>39</v>
      </c>
      <c r="B40" s="8" t="s">
        <v>144</v>
      </c>
      <c r="C40" s="32" t="s">
        <v>106</v>
      </c>
      <c r="D40" s="33" t="str">
        <f>VLOOKUP(B40,'Player Data'!A1:D734,4,FALSE)</f>
        <v>LW</v>
      </c>
      <c r="E40" s="47">
        <f>VLOOKUP(B40,LW!A1:C130,3,FALSE)</f>
        <v>9</v>
      </c>
      <c r="F40" s="35" t="str">
        <f>VLOOKUP(B40,'Player Data'!A1:B734,2,FALSE)</f>
        <v>OTT</v>
      </c>
      <c r="G40" s="9">
        <f>VLOOKUP(B40,'Player Data'!A1:D734,3,FALSE)</f>
        <v>23</v>
      </c>
      <c r="H40" s="36">
        <f>IFERROR(VLOOKUP(B40,ADP!A1:G728,7,FALSE)/1000000,VLOOKUP(B40,ADP!A1:G728,7,FALSE))</f>
        <v>8.2057140000000004</v>
      </c>
      <c r="I40" s="37">
        <f>IF(Settings!$E$15="POINTS",((R40*Q40)*Settings!$B$12)+(S40*Settings!$B$2)+(T40*Settings!$B$3)+(U40*Settings!$B$4)+(V40*Settings!$B$5)+(X40*Settings!$B$9)+(AA40*Settings!$B$6)+(W40*Settings!$B$8)+(AB40*Settings!$B$7)+(AC40*Settings!$B$14)+(AD40*Settings!$B$15)+(AE40*Settings!$B$16)+(AF40*Settings!$B$17)+(AG40*Settings!$B$18)+(Y40*Settings!$B$10)+(Z40*Settings!$B$11),VLOOKUP(B40,'Standard Deviations'!A1:C728,3,FALSE))</f>
        <v>429.38088289787777</v>
      </c>
      <c r="J40" s="38">
        <f>IF(D40="G",I40/AJ40,I40/Q40)</f>
        <v>5.2608923686449316</v>
      </c>
      <c r="K40" s="37">
        <f>IF(Settings!$E$18="C/LW/RW",VLOOKUP(B40,LW!A1:F130,6,FALSE),VLOOKUP(B40,F!A1:F430,6,FALSE))</f>
        <v>65.340278040227304</v>
      </c>
      <c r="L40" s="37">
        <f>IFERROR(K40/H40,"N/A")</f>
        <v>7.9627778935784628</v>
      </c>
      <c r="M40" s="39">
        <f>IF(Settings!$E$9="YAHOO",VLOOKUP(B40,ADP!A1:E728,2,FALSE),IF(Settings!$E$9="ESPN",VLOOKUP(B40,ADP!A1:E728,3,FALSE),IF(Settings!$E$9="FANTRAX",VLOOKUP(B40,ADP!A1:E728,4,FALSE),VLOOKUP(B40,ADP!A1:E728,5,FALSE))))</f>
        <v>12.4</v>
      </c>
      <c r="N40" s="39">
        <f>IFERROR(M40-A40,"N/A")</f>
        <v>-26.6</v>
      </c>
      <c r="O40" s="39"/>
      <c r="P40" s="40" t="str">
        <f>IF(Settings!$E$27="ON",VLOOKUP(B40,ADP!A1:H728,8,FALSE)," ")</f>
        <v xml:space="preserve"> </v>
      </c>
      <c r="Q40" s="41">
        <f>IF(Settings!$E$12="YES",VLOOKUP(B40,'Player Data'!A1:E734,5,FALSE),82)</f>
        <v>81.617500000000007</v>
      </c>
      <c r="R40" s="39">
        <f>VLOOKUP(B40,'Player Data'!$A1:$AE734,6,FALSE)</f>
        <v>18.1165430692073</v>
      </c>
      <c r="S40" s="41">
        <f>VLOOKUP(B40,'Player Data'!$A1:$AE734,7,FALSE)*$Q40*IFERROR((VLOOKUP(P40,Settings!$E$28:$F$33,2,FALSE)+1),1)</f>
        <v>31.962560249226083</v>
      </c>
      <c r="T40" s="41">
        <f>VLOOKUP(B40,'Player Data'!$A1:$AE734,8,FALSE)*$Q40*IFERROR((VLOOKUP(P40,Settings!$E$28:$F$33,2,FALSE)+1),1)</f>
        <v>42.471852116990718</v>
      </c>
      <c r="U40" s="41">
        <f>SUM(S40:T40)</f>
        <v>74.434412366216804</v>
      </c>
      <c r="V40" s="41">
        <f>VLOOKUP(B40,'Player Data'!$A1:$AE734,10,FALSE)*$Q40*IFERROR(((VLOOKUP(P40,Settings!$E$28:$F$33,2,FALSE)/2)+1),1)</f>
        <v>314.17661267339452</v>
      </c>
      <c r="W40" s="41">
        <f>VLOOKUP(B40,'Player Data'!$A1:$AE734,11,FALSE)*$Q40*IFERROR((VLOOKUP(P40,Settings!$E$28:$F$33,2,FALSE)+1),1)</f>
        <v>9.4944227460129991</v>
      </c>
      <c r="X40" s="41">
        <f>VLOOKUP(B40,'Player Data'!$A1:$AE734,12,FALSE)*$Q40*IFERROR((VLOOKUP(P40,Settings!$E$28:$F$33,2,FALSE)+1),1)</f>
        <v>22.813246918237134</v>
      </c>
      <c r="Y40" s="41">
        <f>VLOOKUP(B40,'Player Data'!$A1:$AE734,13,FALSE)*$Q40</f>
        <v>2.5403618522563762E-2</v>
      </c>
      <c r="Z40" s="41">
        <f>VLOOKUP(B40,'Player Data'!$A1:$AE734,14,FALSE)*$Q40</f>
        <v>4.622432124015461E-2</v>
      </c>
      <c r="AA40" s="41">
        <f>VLOOKUP(B40,'Player Data'!$A1:$AE734,15,FALSE)*$Q40</f>
        <v>16.351984917877687</v>
      </c>
      <c r="AB40" s="41">
        <f>VLOOKUP(B40,'Player Data'!$A1:$AE734,16,FALSE)*$Q40</f>
        <v>232.64375577986203</v>
      </c>
      <c r="AC40" s="41">
        <f>VLOOKUP(B40,'Player Data'!$A1:$AE734,17,FALSE)*$Q40*IFERROR((VLOOKUP(P40,Settings!$E$28:$F$33,2,FALSE)+1),1)</f>
        <v>2.6249372792276837</v>
      </c>
      <c r="AD40" s="41">
        <f>VLOOKUP(B40,'Player Data'!$A1:$AE734,18,FALSE)*$Q40</f>
        <v>86.829289782254506</v>
      </c>
      <c r="AE40" s="41">
        <f>VLOOKUP(B40,'Player Data'!$A1:$AE734,19,FALSE)*$Q40*IFERROR((VLOOKUP(P40,Settings!$E$28:$F$33,2,FALSE)+1),1)</f>
        <v>4.4396296520619769</v>
      </c>
      <c r="AF40" s="41">
        <f>VLOOKUP(B40,'Player Data'!$A1:$AE734,20,FALSE)*$Q40</f>
        <v>320.02704558671638</v>
      </c>
      <c r="AG40" s="41">
        <f>VLOOKUP(B40,'Player Data'!$A1:$AE734,21,FALSE)*$Q40</f>
        <v>335.32745607159251</v>
      </c>
      <c r="AH40" s="42">
        <f>VLOOKUP(B40,'Player Data'!$A1:$AE734,22,FALSE)</f>
        <v>0.48832661525467502</v>
      </c>
      <c r="AI40" s="39"/>
      <c r="AJ40" s="41"/>
      <c r="AK40" s="41"/>
      <c r="AL40" s="41"/>
      <c r="AM40" s="41"/>
      <c r="AN40" s="41"/>
      <c r="AO40" s="41"/>
      <c r="AP40" s="41"/>
      <c r="AQ40" s="44"/>
      <c r="AR40" s="45"/>
      <c r="AS40" s="39"/>
    </row>
    <row r="41" spans="1:45" ht="21.25" customHeight="1" x14ac:dyDescent="0.15">
      <c r="A41" s="31">
        <f>RANK(K41,K$2:K$727)</f>
        <v>40</v>
      </c>
      <c r="B41" s="8" t="s">
        <v>145</v>
      </c>
      <c r="C41" s="32" t="s">
        <v>106</v>
      </c>
      <c r="D41" s="33" t="str">
        <f>VLOOKUP(B41,'Player Data'!A1:D734,4,FALSE)</f>
        <v>LW</v>
      </c>
      <c r="E41" s="47">
        <f>VLOOKUP(B41,LW!A1:C130,3,FALSE)</f>
        <v>10</v>
      </c>
      <c r="F41" s="35" t="str">
        <f>VLOOKUP(B41,'Player Data'!A1:B734,2,FALSE)</f>
        <v>PIT</v>
      </c>
      <c r="G41" s="9">
        <f>VLOOKUP(B41,'Player Data'!A1:D734,3,FALSE)</f>
        <v>28</v>
      </c>
      <c r="H41" s="36">
        <f>IFERROR(VLOOKUP(B41,ADP!A1:G728,7,FALSE)/1000000,VLOOKUP(B41,ADP!A1:G728,7,FALSE))</f>
        <v>6</v>
      </c>
      <c r="I41" s="37">
        <f>IF(Settings!$E$15="POINTS",((R41*Q41)*Settings!$B$12)+(S41*Settings!$B$2)+(T41*Settings!$B$3)+(U41*Settings!$B$4)+(V41*Settings!$B$5)+(X41*Settings!$B$9)+(AA41*Settings!$B$6)+(W41*Settings!$B$8)+(AB41*Settings!$B$7)+(AC41*Settings!$B$14)+(AD41*Settings!$B$15)+(AE41*Settings!$B$16)+(AF41*Settings!$B$17)+(AG41*Settings!$B$18)+(Y41*Settings!$B$10)+(Z41*Settings!$B$11),VLOOKUP(B41,'Standard Deviations'!A1:C728,3,FALSE))</f>
        <v>422.82266221369161</v>
      </c>
      <c r="J41" s="38">
        <f>IF(D41="G",I41/AJ41,I41/Q41)</f>
        <v>5.25278169095834</v>
      </c>
      <c r="K41" s="37">
        <f>IF(Settings!$E$18="C/LW/RW",VLOOKUP(B41,LW!A1:F130,6,FALSE),VLOOKUP(B41,F!A1:F430,6,FALSE))</f>
        <v>58.78205735604115</v>
      </c>
      <c r="L41" s="37">
        <f>IFERROR(K41/H41,"N/A")</f>
        <v>9.7970095593401911</v>
      </c>
      <c r="M41" s="39">
        <f>IF(Settings!$E$9="YAHOO",VLOOKUP(B41,ADP!A1:E728,2,FALSE),IF(Settings!$E$9="ESPN",VLOOKUP(B41,ADP!A1:E728,3,FALSE),IF(Settings!$E$9="FANTRAX",VLOOKUP(B41,ADP!A1:E728,4,FALSE),VLOOKUP(B41,ADP!A1:E728,5,FALSE))))</f>
        <v>54</v>
      </c>
      <c r="N41" s="39">
        <f>IFERROR(M41-A41,"N/A")</f>
        <v>14</v>
      </c>
      <c r="O41" s="39"/>
      <c r="P41" s="40" t="str">
        <f>IF(Settings!$E$27="ON",VLOOKUP(B41,ADP!A1:H728,8,FALSE)," ")</f>
        <v xml:space="preserve"> </v>
      </c>
      <c r="Q41" s="41">
        <f>IF(Settings!$E$12="YES",VLOOKUP(B41,'Player Data'!A1:E734,5,FALSE),82)</f>
        <v>80.495000000000005</v>
      </c>
      <c r="R41" s="39">
        <f>VLOOKUP(B41,'Player Data'!$A1:$AE734,6,FALSE)</f>
        <v>19.958875669915798</v>
      </c>
      <c r="S41" s="41">
        <f>VLOOKUP(B41,'Player Data'!$A1:$AE734,7,FALSE)*$Q41*IFERROR((VLOOKUP(P41,Settings!$E$28:$F$33,2,FALSE)+1),1)</f>
        <v>37.336374120964649</v>
      </c>
      <c r="T41" s="41">
        <f>VLOOKUP(B41,'Player Data'!$A1:$AE734,8,FALSE)*$Q41*IFERROR((VLOOKUP(P41,Settings!$E$28:$F$33,2,FALSE)+1),1)</f>
        <v>43.0821786015781</v>
      </c>
      <c r="U41" s="41">
        <f>SUM(S41:T41)</f>
        <v>80.418552722542756</v>
      </c>
      <c r="V41" s="41">
        <f>VLOOKUP(B41,'Player Data'!$A1:$AE734,10,FALSE)*$Q41*IFERROR(((VLOOKUP(P41,Settings!$E$28:$F$33,2,FALSE)/2)+1),1)</f>
        <v>248.78614924558323</v>
      </c>
      <c r="W41" s="41">
        <f>VLOOKUP(B41,'Player Data'!$A1:$AE734,11,FALSE)*$Q41*IFERROR((VLOOKUP(P41,Settings!$E$28:$F$33,2,FALSE)+1),1)</f>
        <v>9.8775700817026717</v>
      </c>
      <c r="X41" s="41">
        <f>VLOOKUP(B41,'Player Data'!$A1:$AE734,12,FALSE)*$Q41*IFERROR((VLOOKUP(P41,Settings!$E$28:$F$33,2,FALSE)+1),1)</f>
        <v>24.139926448736894</v>
      </c>
      <c r="Y41" s="41">
        <f>VLOOKUP(B41,'Player Data'!$A1:$AE734,13,FALSE)*$Q41</f>
        <v>1.7549416124344446E-2</v>
      </c>
      <c r="Z41" s="41">
        <f>VLOOKUP(B41,'Player Data'!$A1:$AE734,14,FALSE)*$Q41</f>
        <v>3.2078946702003328E-2</v>
      </c>
      <c r="AA41" s="41">
        <f>VLOOKUP(B41,'Player Data'!$A1:$AE734,15,FALSE)*$Q41</f>
        <v>44.149593161969875</v>
      </c>
      <c r="AB41" s="41">
        <f>VLOOKUP(B41,'Player Data'!$A1:$AE734,16,FALSE)*$Q41</f>
        <v>78.905578096443037</v>
      </c>
      <c r="AC41" s="41">
        <f>VLOOKUP(B41,'Player Data'!$A1:$AE734,17,FALSE)*$Q41*IFERROR((VLOOKUP(P41,Settings!$E$28:$F$33,2,FALSE)+1),1)</f>
        <v>3.7717784502556757</v>
      </c>
      <c r="AD41" s="41">
        <f>VLOOKUP(B41,'Player Data'!$A1:$AE734,18,FALSE)*$Q41</f>
        <v>44.662693233644745</v>
      </c>
      <c r="AE41" s="41">
        <f>VLOOKUP(B41,'Player Data'!$A1:$AE734,19,FALSE)*$Q41*IFERROR((VLOOKUP(P41,Settings!$E$28:$F$33,2,FALSE)+1),1)</f>
        <v>5.9420601547057075</v>
      </c>
      <c r="AF41" s="41">
        <f>VLOOKUP(B41,'Player Data'!$A1:$AE734,20,FALSE)*$Q41</f>
        <v>8.2368732356386509</v>
      </c>
      <c r="AG41" s="41">
        <f>VLOOKUP(B41,'Player Data'!$A1:$AE734,21,FALSE)*$Q41</f>
        <v>9.6852416103557051</v>
      </c>
      <c r="AH41" s="42">
        <f>VLOOKUP(B41,'Player Data'!$A1:$AE734,22,FALSE)</f>
        <v>0.45959270467902602</v>
      </c>
      <c r="AI41" s="39"/>
      <c r="AJ41" s="43"/>
      <c r="AK41" s="41"/>
      <c r="AL41" s="41"/>
      <c r="AM41" s="41"/>
      <c r="AN41" s="41"/>
      <c r="AO41" s="41"/>
      <c r="AP41" s="41"/>
      <c r="AQ41" s="44"/>
      <c r="AR41" s="45"/>
      <c r="AS41" s="39"/>
    </row>
    <row r="42" spans="1:45" ht="21.25" customHeight="1" x14ac:dyDescent="0.15">
      <c r="A42" s="31">
        <f>RANK(K42,K$2:K$727)</f>
        <v>41</v>
      </c>
      <c r="B42" s="8" t="s">
        <v>146</v>
      </c>
      <c r="C42" s="32" t="s">
        <v>106</v>
      </c>
      <c r="D42" s="33" t="str">
        <f>VLOOKUP(B42,'Player Data'!A1:D734,4,FALSE)</f>
        <v>LW</v>
      </c>
      <c r="E42" s="47">
        <f>VLOOKUP(B42,LW!A1:C130,3,FALSE)</f>
        <v>11</v>
      </c>
      <c r="F42" s="35" t="str">
        <f>VLOOKUP(B42,'Player Data'!A1:B734,2,FALSE)</f>
        <v>MIN</v>
      </c>
      <c r="G42" s="9">
        <f>VLOOKUP(B42,'Player Data'!A1:D734,3,FALSE)</f>
        <v>22</v>
      </c>
      <c r="H42" s="36">
        <f>IFERROR(VLOOKUP(B42,ADP!A1:G728,7,FALSE)/1000000,VLOOKUP(B42,ADP!A1:G728,7,FALSE))</f>
        <v>7</v>
      </c>
      <c r="I42" s="37">
        <f>IF(Settings!$E$15="POINTS",((R42*Q42)*Settings!$B$12)+(S42*Settings!$B$2)+(T42*Settings!$B$3)+(U42*Settings!$B$4)+(V42*Settings!$B$5)+(X42*Settings!$B$9)+(AA42*Settings!$B$6)+(W42*Settings!$B$8)+(AB42*Settings!$B$7)+(AC42*Settings!$B$14)+(AD42*Settings!$B$15)+(AE42*Settings!$B$16)+(AF42*Settings!$B$17)+(AG42*Settings!$B$18)+(Y42*Settings!$B$10)+(Z42*Settings!$B$11),VLOOKUP(B42,'Standard Deviations'!A1:C728,3,FALSE))</f>
        <v>421.74067572524592</v>
      </c>
      <c r="J42" s="38">
        <f>IF(D42="G",I42/AJ42,I42/Q42)</f>
        <v>5.3317405274999485</v>
      </c>
      <c r="K42" s="37">
        <f>IF(Settings!$E$18="C/LW/RW",VLOOKUP(B42,LW!A1:F130,6,FALSE),VLOOKUP(B42,F!A1:F430,6,FALSE))</f>
        <v>57.700070867595457</v>
      </c>
      <c r="L42" s="37">
        <f>IFERROR(K42/H42,"N/A")</f>
        <v>8.242867266799351</v>
      </c>
      <c r="M42" s="39">
        <f>IF(Settings!$E$9="YAHOO",VLOOKUP(B42,ADP!A1:E728,2,FALSE),IF(Settings!$E$9="ESPN",VLOOKUP(B42,ADP!A1:E728,3,FALSE),IF(Settings!$E$9="FANTRAX",VLOOKUP(B42,ADP!A1:E728,4,FALSE),VLOOKUP(B42,ADP!A1:E728,5,FALSE))))</f>
        <v>59.4</v>
      </c>
      <c r="N42" s="39">
        <f>IFERROR(M42-A42,"N/A")</f>
        <v>18.399999999999999</v>
      </c>
      <c r="O42" s="39"/>
      <c r="P42" s="40" t="str">
        <f>IF(Settings!$E$27="ON",VLOOKUP(B42,ADP!A1:H728,8,FALSE)," ")</f>
        <v>+</v>
      </c>
      <c r="Q42" s="41">
        <f>IF(Settings!$E$12="YES",VLOOKUP(B42,'Player Data'!A1:E734,5,FALSE),82)</f>
        <v>79.099999999999994</v>
      </c>
      <c r="R42" s="39">
        <f>VLOOKUP(B42,'Player Data'!$A1:$AE734,6,FALSE)</f>
        <v>19.0849791416092</v>
      </c>
      <c r="S42" s="41">
        <f>VLOOKUP(B42,'Player Data'!$A1:$AE734,7,FALSE)*$Q42*IFERROR((VLOOKUP(P42,Settings!$E$28:$F$33,2,FALSE)+1),1)</f>
        <v>34.271191839515119</v>
      </c>
      <c r="T42" s="41">
        <f>VLOOKUP(B42,'Player Data'!$A1:$AE734,8,FALSE)*$Q42*IFERROR((VLOOKUP(P42,Settings!$E$28:$F$33,2,FALSE)+1),1)</f>
        <v>42.383865507256772</v>
      </c>
      <c r="U42" s="41">
        <f>SUM(S42:T42)</f>
        <v>76.655057346771883</v>
      </c>
      <c r="V42" s="41">
        <f>VLOOKUP(B42,'Player Data'!$A1:$AE734,10,FALSE)*$Q42*IFERROR(((VLOOKUP(P42,Settings!$E$28:$F$33,2,FALSE)/2)+1),1)</f>
        <v>258.08384498587606</v>
      </c>
      <c r="W42" s="41">
        <f>VLOOKUP(B42,'Player Data'!$A1:$AE734,11,FALSE)*$Q42*IFERROR((VLOOKUP(P42,Settings!$E$28:$F$33,2,FALSE)+1),1)</f>
        <v>8.9345773866487797</v>
      </c>
      <c r="X42" s="41">
        <f>VLOOKUP(B42,'Player Data'!$A1:$AE734,12,FALSE)*$Q42*IFERROR((VLOOKUP(P42,Settings!$E$28:$F$33,2,FALSE)+1),1)</f>
        <v>28.120611099297253</v>
      </c>
      <c r="Y42" s="41">
        <f>VLOOKUP(B42,'Player Data'!$A1:$AE734,13,FALSE)*$Q42</f>
        <v>6.4389128471687956E-2</v>
      </c>
      <c r="Z42" s="41">
        <f>VLOOKUP(B42,'Player Data'!$A1:$AE734,14,FALSE)*$Q42</f>
        <v>0.11729556719481954</v>
      </c>
      <c r="AA42" s="41">
        <f>VLOOKUP(B42,'Player Data'!$A1:$AE734,15,FALSE)*$Q42</f>
        <v>31.288839295040042</v>
      </c>
      <c r="AB42" s="41">
        <f>VLOOKUP(B42,'Player Data'!$A1:$AE734,16,FALSE)*$Q42</f>
        <v>64.654945644859993</v>
      </c>
      <c r="AC42" s="41">
        <f>VLOOKUP(B42,'Player Data'!$A1:$AE734,17,FALSE)*$Q42*IFERROR((VLOOKUP(P42,Settings!$E$28:$F$33,2,FALSE)+1),1)</f>
        <v>4.3258694501514432</v>
      </c>
      <c r="AD42" s="41">
        <f>VLOOKUP(B42,'Player Data'!$A1:$AE734,18,FALSE)*$Q42</f>
        <v>35.306082979409744</v>
      </c>
      <c r="AE42" s="41">
        <f>VLOOKUP(B42,'Player Data'!$A1:$AE734,19,FALSE)*$Q42*IFERROR((VLOOKUP(P42,Settings!$E$28:$F$33,2,FALSE)+1),1)</f>
        <v>5.50314514168935</v>
      </c>
      <c r="AF42" s="41">
        <f>VLOOKUP(B42,'Player Data'!$A1:$AE734,20,FALSE)*$Q42</f>
        <v>66.494346567905311</v>
      </c>
      <c r="AG42" s="41">
        <f>VLOOKUP(B42,'Player Data'!$A1:$AE734,21,FALSE)*$Q42</f>
        <v>67.244553236004975</v>
      </c>
      <c r="AH42" s="42">
        <f>VLOOKUP(B42,'Player Data'!$A1:$AE734,22,FALSE)</f>
        <v>0.49719525631959099</v>
      </c>
      <c r="AI42" s="39"/>
      <c r="AJ42" s="43"/>
      <c r="AK42" s="41"/>
      <c r="AL42" s="41"/>
      <c r="AM42" s="41"/>
      <c r="AN42" s="41"/>
      <c r="AO42" s="41"/>
      <c r="AP42" s="41"/>
      <c r="AQ42" s="44"/>
      <c r="AR42" s="45"/>
      <c r="AS42" s="39"/>
    </row>
    <row r="43" spans="1:45" ht="21.25" customHeight="1" x14ac:dyDescent="0.15">
      <c r="A43" s="31">
        <f>RANK(K43,K$2:K$727)</f>
        <v>42</v>
      </c>
      <c r="B43" s="8" t="s">
        <v>147</v>
      </c>
      <c r="C43" s="32" t="s">
        <v>106</v>
      </c>
      <c r="D43" s="33" t="str">
        <f>VLOOKUP(B43,'Player Data'!A1:D734,4,FALSE)</f>
        <v>C</v>
      </c>
      <c r="E43" s="34">
        <f>VLOOKUP(B43,'C'!A1:C211,3,FALSE)</f>
        <v>10</v>
      </c>
      <c r="F43" s="35" t="str">
        <f>VLOOKUP(B43,'Player Data'!A1:B734,2,FALSE)</f>
        <v>PIT</v>
      </c>
      <c r="G43" s="9">
        <f>VLOOKUP(B43,'Player Data'!A1:D734,3,FALSE)</f>
        <v>36</v>
      </c>
      <c r="H43" s="36">
        <f>IFERROR(VLOOKUP(B43,ADP!A1:G728,7,FALSE)/1000000,VLOOKUP(B43,ADP!A1:G728,7,FALSE))</f>
        <v>8.6999999999999993</v>
      </c>
      <c r="I43" s="37">
        <f>IF(Settings!$E$15="POINTS",((R43*Q43)*Settings!$B$12)+(S43*Settings!$B$2)+(T43*Settings!$B$3)+(U43*Settings!$B$4)+(V43*Settings!$B$5)+(X43*Settings!$B$9)+(AA43*Settings!$B$6)+(W43*Settings!$B$8)+(AB43*Settings!$B$7)+(AC43*Settings!$B$14)+(AD43*Settings!$B$15)+(AE43*Settings!$B$16)+(AF43*Settings!$B$17)+(AG43*Settings!$B$18)+(Y43*Settings!$B$10)+(Z43*Settings!$B$11),VLOOKUP(B43,'Standard Deviations'!A1:C728,3,FALSE))</f>
        <v>450.60359760830181</v>
      </c>
      <c r="J43" s="38">
        <f>IF(D43="G",I43/AJ43,I43/Q43)</f>
        <v>5.6257890002775479</v>
      </c>
      <c r="K43" s="37">
        <f>IF(Settings!$E$18="C/LW/RW",VLOOKUP(B43,'C'!A1:F211,6,FALSE),VLOOKUP(B43,F!A1:F430,6,FALSE))</f>
        <v>57.274791842092156</v>
      </c>
      <c r="L43" s="37">
        <f>IFERROR(K43/H43,"N/A")</f>
        <v>6.5833094071370297</v>
      </c>
      <c r="M43" s="39">
        <f>IF(Settings!$E$9="YAHOO",VLOOKUP(B43,ADP!A1:E728,2,FALSE),IF(Settings!$E$9="ESPN",VLOOKUP(B43,ADP!A1:E728,3,FALSE),IF(Settings!$E$9="FANTRAX",VLOOKUP(B43,ADP!A1:E728,4,FALSE),VLOOKUP(B43,ADP!A1:E728,5,FALSE))))</f>
        <v>19</v>
      </c>
      <c r="N43" s="39">
        <f>IFERROR(M43-A43,"N/A")</f>
        <v>-23</v>
      </c>
      <c r="O43" s="39"/>
      <c r="P43" s="40" t="str">
        <f>IF(Settings!$E$27="ON",VLOOKUP(B43,ADP!A1:H728,8,FALSE)," ")</f>
        <v xml:space="preserve"> </v>
      </c>
      <c r="Q43" s="41">
        <f>IF(Settings!$E$12="YES",VLOOKUP(B43,'Player Data'!A1:E734,5,FALSE),82)</f>
        <v>80.096071428571406</v>
      </c>
      <c r="R43" s="39">
        <f>VLOOKUP(B43,'Player Data'!$A1:$AE734,6,FALSE)</f>
        <v>20.013263798018301</v>
      </c>
      <c r="S43" s="41">
        <f>VLOOKUP(B43,'Player Data'!$A1:$AE734,7,FALSE)*$Q43*IFERROR((VLOOKUP(P43,Settings!$E$28:$F$33,2,FALSE)+1),1)</f>
        <v>31.203001759239665</v>
      </c>
      <c r="T43" s="41">
        <f>VLOOKUP(B43,'Player Data'!$A1:$AE734,8,FALSE)*$Q43*IFERROR((VLOOKUP(P43,Settings!$E$28:$F$33,2,FALSE)+1),1)</f>
        <v>56.067192602708339</v>
      </c>
      <c r="U43" s="41">
        <f>SUM(S43:T43)</f>
        <v>87.270194361948001</v>
      </c>
      <c r="V43" s="41">
        <f>VLOOKUP(B43,'Player Data'!$A1:$AE734,10,FALSE)*$Q43*IFERROR(((VLOOKUP(P43,Settings!$E$28:$F$33,2,FALSE)/2)+1),1)</f>
        <v>245.09775907120621</v>
      </c>
      <c r="W43" s="41">
        <f>VLOOKUP(B43,'Player Data'!$A1:$AE734,11,FALSE)*$Q43*IFERROR((VLOOKUP(P43,Settings!$E$28:$F$33,2,FALSE)+1),1)</f>
        <v>8.51131349985749</v>
      </c>
      <c r="X43" s="41">
        <f>VLOOKUP(B43,'Player Data'!$A1:$AE734,12,FALSE)*$Q43*IFERROR((VLOOKUP(P43,Settings!$E$28:$F$33,2,FALSE)+1),1)</f>
        <v>28.688168908664789</v>
      </c>
      <c r="Y43" s="41">
        <f>VLOOKUP(B43,'Player Data'!$A1:$AE734,13,FALSE)*$Q43</f>
        <v>2.1316545931945211E-2</v>
      </c>
      <c r="Z43" s="41">
        <f>VLOOKUP(B43,'Player Data'!$A1:$AE734,14,FALSE)*$Q43</f>
        <v>3.9740159171835591E-2</v>
      </c>
      <c r="AA43" s="41">
        <f>VLOOKUP(B43,'Player Data'!$A1:$AE734,15,FALSE)*$Q43</f>
        <v>43.941584255907266</v>
      </c>
      <c r="AB43" s="41">
        <f>VLOOKUP(B43,'Player Data'!$A1:$AE734,16,FALSE)*$Q43</f>
        <v>64.967322276594317</v>
      </c>
      <c r="AC43" s="41">
        <f>VLOOKUP(B43,'Player Data'!$A1:$AE734,17,FALSE)*$Q43*IFERROR((VLOOKUP(P43,Settings!$E$28:$F$33,2,FALSE)+1),1)</f>
        <v>5.2534230336756469</v>
      </c>
      <c r="AD43" s="41">
        <f>VLOOKUP(B43,'Player Data'!$A1:$AE734,18,FALSE)*$Q43</f>
        <v>35.643077714847969</v>
      </c>
      <c r="AE43" s="41">
        <f>VLOOKUP(B43,'Player Data'!$A1:$AE734,19,FALSE)*$Q43*IFERROR((VLOOKUP(P43,Settings!$E$28:$F$33,2,FALSE)+1),1)</f>
        <v>4.9659378508498779</v>
      </c>
      <c r="AF43" s="41">
        <f>VLOOKUP(B43,'Player Data'!$A1:$AE734,20,FALSE)*$Q43</f>
        <v>940.62953976469157</v>
      </c>
      <c r="AG43" s="41">
        <f>VLOOKUP(B43,'Player Data'!$A1:$AE734,21,FALSE)*$Q43</f>
        <v>837.76834259273801</v>
      </c>
      <c r="AH43" s="42">
        <f>VLOOKUP(B43,'Player Data'!$A1:$AE734,22,FALSE)</f>
        <v>0.52891962428441397</v>
      </c>
      <c r="AI43" s="39"/>
      <c r="AJ43" s="43"/>
      <c r="AK43" s="41"/>
      <c r="AL43" s="41"/>
      <c r="AM43" s="41"/>
      <c r="AN43" s="41"/>
      <c r="AO43" s="41"/>
      <c r="AP43" s="41"/>
      <c r="AQ43" s="44"/>
      <c r="AR43" s="45"/>
      <c r="AS43" s="39"/>
    </row>
    <row r="44" spans="1:45" ht="21.25" customHeight="1" x14ac:dyDescent="0.15">
      <c r="A44" s="31">
        <f>RANK(K44,K$2:K$727)</f>
        <v>43</v>
      </c>
      <c r="B44" s="8" t="s">
        <v>148</v>
      </c>
      <c r="C44" s="32" t="s">
        <v>106</v>
      </c>
      <c r="D44" s="33" t="str">
        <f>VLOOKUP(B44,'Player Data'!A1:D734,4,FALSE)</f>
        <v>RW</v>
      </c>
      <c r="E44" s="46">
        <f>VLOOKUP(B44,RW!A1:F97,3,FALSE)</f>
        <v>8</v>
      </c>
      <c r="F44" s="35" t="str">
        <f>VLOOKUP(B44,'Player Data'!A1:B734,2,FALSE)</f>
        <v>ARI</v>
      </c>
      <c r="G44" s="9">
        <f>VLOOKUP(B44,'Player Data'!A1:D734,3,FALSE)</f>
        <v>25</v>
      </c>
      <c r="H44" s="36">
        <f>IFERROR(VLOOKUP(B44,ADP!A1:G728,7,FALSE)/1000000,VLOOKUP(B44,ADP!A1:G728,7,FALSE))</f>
        <v>7.15</v>
      </c>
      <c r="I44" s="37">
        <f>IF(Settings!$E$15="POINTS",((R44*Q44)*Settings!$B$12)+(S44*Settings!$B$2)+(T44*Settings!$B$3)+(U44*Settings!$B$4)+(V44*Settings!$B$5)+(X44*Settings!$B$9)+(AA44*Settings!$B$6)+(W44*Settings!$B$8)+(AB44*Settings!$B$7)+(AC44*Settings!$B$14)+(AD44*Settings!$B$15)+(AE44*Settings!$B$16)+(AF44*Settings!$B$17)+(AG44*Settings!$B$18)+(Y44*Settings!$B$10)+(Z44*Settings!$B$11),VLOOKUP(B44,'Standard Deviations'!A1:C728,3,FALSE))</f>
        <v>407.18405519098843</v>
      </c>
      <c r="J44" s="38">
        <f>IF(D44="G",I44/AJ44,I44/Q44)</f>
        <v>5.091869261774951</v>
      </c>
      <c r="K44" s="37">
        <f>IF(Settings!$E$18="C/LW/RW",VLOOKUP(B44,RW!A1:F97,6,FALSE),VLOOKUP(B44,F!A1:F430,6,FALSE))</f>
        <v>56.912514643098859</v>
      </c>
      <c r="L44" s="37">
        <f>IFERROR(K44/H44,"N/A")</f>
        <v>7.9597922577760638</v>
      </c>
      <c r="M44" s="39">
        <f>IF(Settings!$E$9="YAHOO",VLOOKUP(B44,ADP!A1:E728,2,FALSE),IF(Settings!$E$9="ESPN",VLOOKUP(B44,ADP!A1:E728,3,FALSE),IF(Settings!$E$9="FANTRAX",VLOOKUP(B44,ADP!A1:E728,4,FALSE),VLOOKUP(B44,ADP!A1:E728,5,FALSE))))</f>
        <v>64.3</v>
      </c>
      <c r="N44" s="39">
        <f>IFERROR(M44-A44,"N/A")</f>
        <v>21.299999999999997</v>
      </c>
      <c r="O44" s="39"/>
      <c r="P44" s="40" t="str">
        <f>IF(Settings!$E$27="ON",VLOOKUP(B44,ADP!A1:H728,8,FALSE)," ")</f>
        <v xml:space="preserve"> </v>
      </c>
      <c r="Q44" s="41">
        <f>IF(Settings!$E$12="YES",VLOOKUP(B44,'Player Data'!A1:E734,5,FALSE),82)</f>
        <v>79.967500000000001</v>
      </c>
      <c r="R44" s="39">
        <f>VLOOKUP(B44,'Player Data'!$A1:$AE734,6,FALSE)</f>
        <v>20.752997566882598</v>
      </c>
      <c r="S44" s="41">
        <f>VLOOKUP(B44,'Player Data'!$A1:$AE734,7,FALSE)*$Q44*IFERROR((VLOOKUP(P44,Settings!$E$28:$F$33,2,FALSE)+1),1)</f>
        <v>35.325662578699166</v>
      </c>
      <c r="T44" s="41">
        <f>VLOOKUP(B44,'Player Data'!$A1:$AE734,8,FALSE)*$Q44*IFERROR((VLOOKUP(P44,Settings!$E$28:$F$33,2,FALSE)+1),1)</f>
        <v>47.47375414616517</v>
      </c>
      <c r="U44" s="41">
        <f>SUM(S44:T44)</f>
        <v>82.799416724864329</v>
      </c>
      <c r="V44" s="41">
        <f>VLOOKUP(B44,'Player Data'!$A1:$AE734,10,FALSE)*$Q44*IFERROR(((VLOOKUP(P44,Settings!$E$28:$F$33,2,FALSE)/2)+1),1)</f>
        <v>221.7252114446799</v>
      </c>
      <c r="W44" s="41">
        <f>VLOOKUP(B44,'Player Data'!$A1:$AE734,11,FALSE)*$Q44*IFERROR((VLOOKUP(P44,Settings!$E$28:$F$33,2,FALSE)+1),1)</f>
        <v>7.1264655358222537</v>
      </c>
      <c r="X44" s="41">
        <f>VLOOKUP(B44,'Player Data'!$A1:$AE734,12,FALSE)*$Q44*IFERROR((VLOOKUP(P44,Settings!$E$28:$F$33,2,FALSE)+1),1)</f>
        <v>19.674569493487589</v>
      </c>
      <c r="Y44" s="41">
        <f>VLOOKUP(B44,'Player Data'!$A1:$AE734,13,FALSE)*$Q44</f>
        <v>0.61152793515962078</v>
      </c>
      <c r="Z44" s="41">
        <f>VLOOKUP(B44,'Player Data'!$A1:$AE734,14,FALSE)*$Q44</f>
        <v>0.8707266647159273</v>
      </c>
      <c r="AA44" s="41">
        <f>VLOOKUP(B44,'Player Data'!$A1:$AE734,15,FALSE)*$Q44</f>
        <v>34.163034888242258</v>
      </c>
      <c r="AB44" s="41">
        <f>VLOOKUP(B44,'Player Data'!$A1:$AE734,16,FALSE)*$Q44</f>
        <v>23.403114898646372</v>
      </c>
      <c r="AC44" s="41">
        <f>VLOOKUP(B44,'Player Data'!$A1:$AE734,17,FALSE)*$Q44*IFERROR((VLOOKUP(P44,Settings!$E$28:$F$33,2,FALSE)+1),1)</f>
        <v>-2.5771984939823245</v>
      </c>
      <c r="AD44" s="41">
        <f>VLOOKUP(B44,'Player Data'!$A1:$AE734,18,FALSE)*$Q44</f>
        <v>37.690796541882008</v>
      </c>
      <c r="AE44" s="41">
        <f>VLOOKUP(B44,'Player Data'!$A1:$AE734,19,FALSE)*$Q44*IFERROR((VLOOKUP(P44,Settings!$E$28:$F$33,2,FALSE)+1),1)</f>
        <v>4.3538877638631819</v>
      </c>
      <c r="AF44" s="41">
        <f>VLOOKUP(B44,'Player Data'!$A1:$AE734,20,FALSE)*$Q44</f>
        <v>25.694539084685879</v>
      </c>
      <c r="AG44" s="41">
        <f>VLOOKUP(B44,'Player Data'!$A1:$AE734,21,FALSE)*$Q44</f>
        <v>39.607896179884357</v>
      </c>
      <c r="AH44" s="42">
        <f>VLOOKUP(B44,'Player Data'!$A1:$AE734,22,FALSE)</f>
        <v>0.39346984504613702</v>
      </c>
      <c r="AI44" s="39"/>
      <c r="AJ44" s="43"/>
      <c r="AK44" s="41"/>
      <c r="AL44" s="41"/>
      <c r="AM44" s="41"/>
      <c r="AN44" s="41"/>
      <c r="AO44" s="41"/>
      <c r="AP44" s="41"/>
      <c r="AQ44" s="44"/>
      <c r="AR44" s="45"/>
      <c r="AS44" s="43"/>
    </row>
    <row r="45" spans="1:45" ht="21.25" customHeight="1" x14ac:dyDescent="0.15">
      <c r="A45" s="31">
        <f>RANK(K45,K$2:K$727)</f>
        <v>44</v>
      </c>
      <c r="B45" s="8" t="s">
        <v>149</v>
      </c>
      <c r="C45" s="32" t="s">
        <v>106</v>
      </c>
      <c r="D45" s="33" t="str">
        <f>VLOOKUP(B45,'Player Data'!A1:D734,4,FALSE)</f>
        <v>C</v>
      </c>
      <c r="E45" s="34">
        <f>VLOOKUP(B45,'C'!A1:C211,3,FALSE)</f>
        <v>11</v>
      </c>
      <c r="F45" s="35" t="str">
        <f>VLOOKUP(B45,'Player Data'!A1:B734,2,FALSE)</f>
        <v>TBL</v>
      </c>
      <c r="G45" s="9">
        <f>VLOOKUP(B45,'Player Data'!A1:D734,3,FALSE)</f>
        <v>27</v>
      </c>
      <c r="H45" s="36">
        <f>IFERROR(VLOOKUP(B45,ADP!A1:G728,7,FALSE)/1000000,VLOOKUP(B45,ADP!A1:G728,7,FALSE))</f>
        <v>9.5</v>
      </c>
      <c r="I45" s="37">
        <f>IF(Settings!$E$15="POINTS",((R45*Q45)*Settings!$B$12)+(S45*Settings!$B$2)+(T45*Settings!$B$3)+(U45*Settings!$B$4)+(V45*Settings!$B$5)+(X45*Settings!$B$9)+(AA45*Settings!$B$6)+(W45*Settings!$B$8)+(AB45*Settings!$B$7)+(AC45*Settings!$B$14)+(AD45*Settings!$B$15)+(AE45*Settings!$B$16)+(AF45*Settings!$B$17)+(AG45*Settings!$B$18)+(Y45*Settings!$B$10)+(Z45*Settings!$B$11),VLOOKUP(B45,'Standard Deviations'!A1:C728,3,FALSE))</f>
        <v>450.17435705189615</v>
      </c>
      <c r="J45" s="38">
        <f>IF(D45="G",I45/AJ45,I45/Q45)</f>
        <v>5.5991835454215932</v>
      </c>
      <c r="K45" s="37">
        <f>IF(Settings!$E$18="C/LW/RW",VLOOKUP(B45,'C'!A1:F211,6,FALSE),VLOOKUP(B45,F!A1:F430,6,FALSE))</f>
        <v>56.845551285686497</v>
      </c>
      <c r="L45" s="37">
        <f>IFERROR(K45/H45,"N/A")</f>
        <v>5.9837422405985787</v>
      </c>
      <c r="M45" s="39">
        <f>IF(Settings!$E$9="YAHOO",VLOOKUP(B45,ADP!A1:E728,2,FALSE),IF(Settings!$E$9="ESPN",VLOOKUP(B45,ADP!A1:E728,3,FALSE),IF(Settings!$E$9="FANTRAX",VLOOKUP(B45,ADP!A1:E728,4,FALSE),VLOOKUP(B45,ADP!A1:E728,5,FALSE))))</f>
        <v>30.2</v>
      </c>
      <c r="N45" s="39">
        <f>IFERROR(M45-A45,"N/A")</f>
        <v>-13.8</v>
      </c>
      <c r="O45" s="39"/>
      <c r="P45" s="40" t="str">
        <f>IF(Settings!$E$27="ON",VLOOKUP(B45,ADP!A1:H728,8,FALSE)," ")</f>
        <v>+</v>
      </c>
      <c r="Q45" s="41">
        <f>IF(Settings!$E$12="YES",VLOOKUP(B45,'Player Data'!A1:E734,5,FALSE),82)</f>
        <v>80.400000000000006</v>
      </c>
      <c r="R45" s="39">
        <f>VLOOKUP(B45,'Player Data'!$A1:$AE734,6,FALSE)</f>
        <v>19.7562834912348</v>
      </c>
      <c r="S45" s="41">
        <f>VLOOKUP(B45,'Player Data'!$A1:$AE734,7,FALSE)*$Q45*IFERROR((VLOOKUP(P45,Settings!$E$28:$F$33,2,FALSE)+1),1)</f>
        <v>44.867123636404067</v>
      </c>
      <c r="T45" s="41">
        <f>VLOOKUP(B45,'Player Data'!$A1:$AE734,8,FALSE)*$Q45*IFERROR((VLOOKUP(P45,Settings!$E$28:$F$33,2,FALSE)+1),1)</f>
        <v>43.887314709467766</v>
      </c>
      <c r="U45" s="41">
        <f>SUM(S45:T45)</f>
        <v>88.754438345871833</v>
      </c>
      <c r="V45" s="41">
        <f>VLOOKUP(B45,'Player Data'!$A1:$AE734,10,FALSE)*$Q45*IFERROR(((VLOOKUP(P45,Settings!$E$28:$F$33,2,FALSE)/2)+1),1)</f>
        <v>233.65951382325164</v>
      </c>
      <c r="W45" s="41">
        <f>VLOOKUP(B45,'Player Data'!$A1:$AE734,11,FALSE)*$Q45*IFERROR((VLOOKUP(P45,Settings!$E$28:$F$33,2,FALSE)+1),1)</f>
        <v>16.533227559155151</v>
      </c>
      <c r="X45" s="41">
        <f>VLOOKUP(B45,'Player Data'!$A1:$AE734,12,FALSE)*$Q45*IFERROR((VLOOKUP(P45,Settings!$E$28:$F$33,2,FALSE)+1),1)</f>
        <v>29.949388521343025</v>
      </c>
      <c r="Y45" s="41">
        <f>VLOOKUP(B45,'Player Data'!$A1:$AE734,13,FALSE)*$Q45</f>
        <v>1.790776286297684E-2</v>
      </c>
      <c r="Z45" s="41">
        <f>VLOOKUP(B45,'Player Data'!$A1:$AE734,14,FALSE)*$Q45</f>
        <v>3.2686690731461902E-2</v>
      </c>
      <c r="AA45" s="41">
        <f>VLOOKUP(B45,'Player Data'!$A1:$AE734,15,FALSE)*$Q45</f>
        <v>35.585673392529259</v>
      </c>
      <c r="AB45" s="41">
        <f>VLOOKUP(B45,'Player Data'!$A1:$AE734,16,FALSE)*$Q45</f>
        <v>52.140332699520286</v>
      </c>
      <c r="AC45" s="41">
        <f>VLOOKUP(B45,'Player Data'!$A1:$AE734,17,FALSE)*$Q45*IFERROR((VLOOKUP(P45,Settings!$E$28:$F$33,2,FALSE)+1),1)</f>
        <v>1.3461353888644394</v>
      </c>
      <c r="AD45" s="41">
        <f>VLOOKUP(B45,'Player Data'!$A1:$AE734,18,FALSE)*$Q45</f>
        <v>22.028048987991628</v>
      </c>
      <c r="AE45" s="41">
        <f>VLOOKUP(B45,'Player Data'!$A1:$AE734,19,FALSE)*$Q45*IFERROR((VLOOKUP(P45,Settings!$E$28:$F$33,2,FALSE)+1),1)</f>
        <v>7.0217211471079262</v>
      </c>
      <c r="AF45" s="41">
        <f>VLOOKUP(B45,'Player Data'!$A1:$AE734,20,FALSE)*$Q45</f>
        <v>413.49969336044637</v>
      </c>
      <c r="AG45" s="41">
        <f>VLOOKUP(B45,'Player Data'!$A1:$AE734,21,FALSE)*$Q45</f>
        <v>404.80682047318516</v>
      </c>
      <c r="AH45" s="42">
        <f>VLOOKUP(B45,'Player Data'!$A1:$AE734,22,FALSE)</f>
        <v>0.50531150170523298</v>
      </c>
      <c r="AI45" s="39"/>
      <c r="AJ45" s="43"/>
      <c r="AK45" s="41"/>
      <c r="AL45" s="41"/>
      <c r="AM45" s="41"/>
      <c r="AN45" s="41"/>
      <c r="AO45" s="41"/>
      <c r="AP45" s="41"/>
      <c r="AQ45" s="44"/>
      <c r="AR45" s="45"/>
      <c r="AS45" s="39"/>
    </row>
    <row r="46" spans="1:45" ht="21.25" customHeight="1" x14ac:dyDescent="0.15">
      <c r="A46" s="31">
        <f>RANK(K46,K$2:K$727)</f>
        <v>45</v>
      </c>
      <c r="B46" s="8" t="s">
        <v>150</v>
      </c>
      <c r="C46" s="32" t="s">
        <v>106</v>
      </c>
      <c r="D46" s="33" t="str">
        <f>VLOOKUP(B46,'Player Data'!A1:D734,4,FALSE)</f>
        <v>LW</v>
      </c>
      <c r="E46" s="47">
        <f>VLOOKUP(B46,LW!A1:C130,3,FALSE)</f>
        <v>12</v>
      </c>
      <c r="F46" s="35" t="str">
        <f>VLOOKUP(B46,'Player Data'!A1:B734,2,FALSE)</f>
        <v>CBJ</v>
      </c>
      <c r="G46" s="9">
        <f>VLOOKUP(B46,'Player Data'!A1:D734,3,FALSE)</f>
        <v>30</v>
      </c>
      <c r="H46" s="36">
        <f>IFERROR(VLOOKUP(B46,ADP!A1:G728,7,FALSE)/1000000,VLOOKUP(B46,ADP!A1:G728,7,FALSE))</f>
        <v>9.75</v>
      </c>
      <c r="I46" s="37">
        <f>IF(Settings!$E$15="POINTS",((R46*Q46)*Settings!$B$12)+(S46*Settings!$B$2)+(T46*Settings!$B$3)+(U46*Settings!$B$4)+(V46*Settings!$B$5)+(X46*Settings!$B$9)+(AA46*Settings!$B$6)+(W46*Settings!$B$8)+(AB46*Settings!$B$7)+(AC46*Settings!$B$14)+(AD46*Settings!$B$15)+(AE46*Settings!$B$16)+(AF46*Settings!$B$17)+(AG46*Settings!$B$18)+(Y46*Settings!$B$10)+(Z46*Settings!$B$11),VLOOKUP(B46,'Standard Deviations'!A1:C728,3,FALSE))</f>
        <v>417.17011899222427</v>
      </c>
      <c r="J46" s="38">
        <f>IF(D46="G",I46/AJ46,I46/Q46)</f>
        <v>5.1076843464000525</v>
      </c>
      <c r="K46" s="37">
        <f>IF(Settings!$E$18="C/LW/RW",VLOOKUP(B46,LW!A1:F130,6,FALSE),VLOOKUP(B46,F!A1:F430,6,FALSE))</f>
        <v>53.12951413457381</v>
      </c>
      <c r="L46" s="37">
        <f>IFERROR(K46/H46,"N/A")</f>
        <v>5.4491809368793653</v>
      </c>
      <c r="M46" s="39">
        <f>IF(Settings!$E$9="YAHOO",VLOOKUP(B46,ADP!A1:E728,2,FALSE),IF(Settings!$E$9="ESPN",VLOOKUP(B46,ADP!A1:E728,3,FALSE),IF(Settings!$E$9="FANTRAX",VLOOKUP(B46,ADP!A1:E728,4,FALSE),VLOOKUP(B46,ADP!A1:E728,5,FALSE))))</f>
        <v>74.5</v>
      </c>
      <c r="N46" s="39">
        <f>IFERROR(M46-A46,"N/A")</f>
        <v>29.5</v>
      </c>
      <c r="O46" s="39"/>
      <c r="P46" s="40" t="str">
        <f>IF(Settings!$E$27="ON",VLOOKUP(B46,ADP!A1:H728,8,FALSE)," ")</f>
        <v>-</v>
      </c>
      <c r="Q46" s="41">
        <f>IF(Settings!$E$12="YES",VLOOKUP(B46,'Player Data'!A1:E734,5,FALSE),82)</f>
        <v>81.674999999999997</v>
      </c>
      <c r="R46" s="39">
        <f>VLOOKUP(B46,'Player Data'!$A1:$AE734,6,FALSE)</f>
        <v>19.5911503528963</v>
      </c>
      <c r="S46" s="41">
        <f>VLOOKUP(B46,'Player Data'!$A1:$AE734,7,FALSE)*$Q46*IFERROR((VLOOKUP(P46,Settings!$E$28:$F$33,2,FALSE)+1),1)</f>
        <v>27.468678478581335</v>
      </c>
      <c r="T46" s="41">
        <f>VLOOKUP(B46,'Player Data'!$A1:$AE734,8,FALSE)*$Q46*IFERROR((VLOOKUP(P46,Settings!$E$28:$F$33,2,FALSE)+1),1)</f>
        <v>56.764667535495867</v>
      </c>
      <c r="U46" s="41">
        <f>SUM(S46:T46)</f>
        <v>84.233346014077199</v>
      </c>
      <c r="V46" s="41">
        <f>VLOOKUP(B46,'Player Data'!$A1:$AE734,10,FALSE)*$Q46*IFERROR(((VLOOKUP(P46,Settings!$E$28:$F$33,2,FALSE)/2)+1),1)</f>
        <v>226.39382038074999</v>
      </c>
      <c r="W46" s="41">
        <f>VLOOKUP(B46,'Player Data'!$A1:$AE734,11,FALSE)*$Q46*IFERROR((VLOOKUP(P46,Settings!$E$28:$F$33,2,FALSE)+1),1)</f>
        <v>5.2533859224665544</v>
      </c>
      <c r="X46" s="41">
        <f>VLOOKUP(B46,'Player Data'!$A1:$AE734,12,FALSE)*$Q46*IFERROR((VLOOKUP(P46,Settings!$E$28:$F$33,2,FALSE)+1),1)</f>
        <v>23.82117621436597</v>
      </c>
      <c r="Y46" s="41">
        <f>VLOOKUP(B46,'Player Data'!$A1:$AE734,13,FALSE)*$Q46</f>
        <v>6.6134307029094208E-3</v>
      </c>
      <c r="Z46" s="41">
        <f>VLOOKUP(B46,'Player Data'!$A1:$AE734,14,FALSE)*$Q46</f>
        <v>1.2245701673873212E-2</v>
      </c>
      <c r="AA46" s="41">
        <f>VLOOKUP(B46,'Player Data'!$A1:$AE734,15,FALSE)*$Q46</f>
        <v>18.031634637690193</v>
      </c>
      <c r="AB46" s="41">
        <f>VLOOKUP(B46,'Player Data'!$A1:$AE734,16,FALSE)*$Q46</f>
        <v>12.05514701338387</v>
      </c>
      <c r="AC46" s="41">
        <f>VLOOKUP(B46,'Player Data'!$A1:$AE734,17,FALSE)*$Q46*IFERROR((VLOOKUP(P46,Settings!$E$28:$F$33,2,FALSE)+1),1)</f>
        <v>-2.5275018646957852</v>
      </c>
      <c r="AD46" s="41">
        <f>VLOOKUP(B46,'Player Data'!$A1:$AE734,18,FALSE)*$Q46</f>
        <v>21.455865820328803</v>
      </c>
      <c r="AE46" s="41">
        <f>VLOOKUP(B46,'Player Data'!$A1:$AE734,19,FALSE)*$Q46*IFERROR((VLOOKUP(P46,Settings!$E$28:$F$33,2,FALSE)+1),1)</f>
        <v>2.9434580259752758</v>
      </c>
      <c r="AF46" s="41">
        <f>VLOOKUP(B46,'Player Data'!$A1:$AE734,20,FALSE)*$Q46</f>
        <v>0.11694497129761133</v>
      </c>
      <c r="AG46" s="41">
        <f>VLOOKUP(B46,'Player Data'!$A1:$AE734,21,FALSE)*$Q46</f>
        <v>0.19994635027726429</v>
      </c>
      <c r="AH46" s="42">
        <f>VLOOKUP(B46,'Player Data'!$A1:$AE734,22,FALSE)</f>
        <v>0.36903810024339501</v>
      </c>
      <c r="AI46" s="39"/>
      <c r="AJ46" s="43"/>
      <c r="AK46" s="41"/>
      <c r="AL46" s="41"/>
      <c r="AM46" s="41"/>
      <c r="AN46" s="41"/>
      <c r="AO46" s="41"/>
      <c r="AP46" s="41"/>
      <c r="AQ46" s="44"/>
      <c r="AR46" s="45"/>
      <c r="AS46" s="39"/>
    </row>
    <row r="47" spans="1:45" ht="21.25" customHeight="1" x14ac:dyDescent="0.15">
      <c r="A47" s="31">
        <f>RANK(K47,K$2:K$727)</f>
        <v>46</v>
      </c>
      <c r="B47" s="8" t="s">
        <v>151</v>
      </c>
      <c r="C47" s="32" t="s">
        <v>106</v>
      </c>
      <c r="D47" s="33" t="str">
        <f>VLOOKUP(B47,'Player Data'!A1:D734,4,FALSE)</f>
        <v>D</v>
      </c>
      <c r="E47" s="49">
        <f>VLOOKUP(B47,D!A1:C227,3,FALSE)</f>
        <v>10</v>
      </c>
      <c r="F47" s="35" t="str">
        <f>VLOOKUP(B47,'Player Data'!A1:B734,2,FALSE)</f>
        <v>TBL</v>
      </c>
      <c r="G47" s="9">
        <f>VLOOKUP(B47,'Player Data'!A1:D734,3,FALSE)</f>
        <v>32</v>
      </c>
      <c r="H47" s="36">
        <f>IFERROR(VLOOKUP(B47,ADP!A1:G728,7,FALSE)/1000000,VLOOKUP(B47,ADP!A1:G728,7,FALSE))</f>
        <v>7.875</v>
      </c>
      <c r="I47" s="37">
        <f>IF(Settings!$E$15="POINTS",((R47*Q47)*Settings!$B$12)+(S47*Settings!$B$2)+(T47*Settings!$B$3)+(U47*Settings!$B$4)+(V47*Settings!$B$5)+(X47*Settings!$B$9)+(AA47*Settings!$B$6)+(W47*Settings!$B$8)+(AB47*Settings!$B$7)+(AC47*Settings!$B$14)+(AD47*Settings!$B$15)+(AE47*Settings!$B$16)+(AF47*Settings!$B$17)+(AG47*Settings!$B$18)+(U47*Settings!$B$13)+(Y47*Settings!$B$10)+(Z47*Settings!$B$11),VLOOKUP(B47,'Standard Deviations'!A1:C728,3,FALSE))</f>
        <v>361.25383926034351</v>
      </c>
      <c r="J47" s="38">
        <f>IF(D47="G",I47/AJ47,I47/Q47)</f>
        <v>4.4380078533211726</v>
      </c>
      <c r="K47" s="37">
        <f>VLOOKUP(B47,D!A1:F227,6,FALSE)</f>
        <v>49.688357632416057</v>
      </c>
      <c r="L47" s="37">
        <f>IFERROR(K47/H47,"N/A")</f>
        <v>6.3096327152274361</v>
      </c>
      <c r="M47" s="39">
        <f>IF(Settings!$E$9="YAHOO",VLOOKUP(B47,ADP!A1:E728,2,FALSE),IF(Settings!$E$9="ESPN",VLOOKUP(B47,ADP!A1:E728,3,FALSE),IF(Settings!$E$9="FANTRAX",VLOOKUP(B47,ADP!A1:E728,4,FALSE),VLOOKUP(B47,ADP!A1:E728,5,FALSE))))</f>
        <v>68.8</v>
      </c>
      <c r="N47" s="39">
        <f>IFERROR(M47-A47,"N/A")</f>
        <v>22.799999999999997</v>
      </c>
      <c r="O47" s="39"/>
      <c r="P47" s="40" t="str">
        <f>IF(Settings!$E$27="ON",VLOOKUP(B47,ADP!A1:H728,8,FALSE)," ")</f>
        <v xml:space="preserve"> </v>
      </c>
      <c r="Q47" s="41">
        <f>IF(Settings!$E$12="YES",VLOOKUP(B47,'Player Data'!A1:E734,5,FALSE),82)</f>
        <v>81.400000000000006</v>
      </c>
      <c r="R47" s="39">
        <f>VLOOKUP(B47,'Player Data'!$A1:$AE734,6,FALSE)</f>
        <v>23.9259320894176</v>
      </c>
      <c r="S47" s="41">
        <f>VLOOKUP(B47,'Player Data'!$A1:$AE734,7,FALSE)*$Q47*IFERROR((VLOOKUP(P47,Settings!$E$28:$F$33,2,FALSE)+1),1)</f>
        <v>12.996728919652469</v>
      </c>
      <c r="T47" s="41">
        <f>VLOOKUP(B47,'Player Data'!$A1:$AE734,8,FALSE)*$Q47*IFERROR((VLOOKUP(P47,Settings!$E$28:$F$33,2,FALSE)+1),1)</f>
        <v>49.099568459926282</v>
      </c>
      <c r="U47" s="41">
        <f>SUM(S47:T47)</f>
        <v>62.096297379578751</v>
      </c>
      <c r="V47" s="41">
        <f>VLOOKUP(B47,'Player Data'!$A1:$AE734,10,FALSE)*$Q47*IFERROR(((VLOOKUP(P47,Settings!$E$28:$F$33,2,FALSE)/2)+1),1)</f>
        <v>199.86989473716224</v>
      </c>
      <c r="W47" s="41">
        <f>VLOOKUP(B47,'Player Data'!$A1:$AE734,11,FALSE)*$Q47*IFERROR((VLOOKUP(P47,Settings!$E$28:$F$33,2,FALSE)+1),1)</f>
        <v>2.5757816857450671</v>
      </c>
      <c r="X47" s="41">
        <f>VLOOKUP(B47,'Player Data'!$A1:$AE734,12,FALSE)*$Q47*IFERROR((VLOOKUP(P47,Settings!$E$28:$F$33,2,FALSE)+1),1)</f>
        <v>22.979120909507561</v>
      </c>
      <c r="Y47" s="41">
        <f>VLOOKUP(B47,'Player Data'!$A1:$AE734,13,FALSE)*$Q47</f>
        <v>0.43000342897279792</v>
      </c>
      <c r="Z47" s="41">
        <f>VLOOKUP(B47,'Player Data'!$A1:$AE734,14,FALSE)*$Q47</f>
        <v>0.92706545398361506</v>
      </c>
      <c r="AA47" s="41">
        <f>VLOOKUP(B47,'Player Data'!$A1:$AE734,15,FALSE)*$Q47</f>
        <v>136.08813513021883</v>
      </c>
      <c r="AB47" s="41">
        <f>VLOOKUP(B47,'Player Data'!$A1:$AE734,16,FALSE)*$Q47</f>
        <v>97.140043063995748</v>
      </c>
      <c r="AC47" s="41">
        <f>VLOOKUP(B47,'Player Data'!$A1:$AE734,17,FALSE)*$Q47*IFERROR((VLOOKUP(P47,Settings!$E$28:$F$33,2,FALSE)+1),1)</f>
        <v>-1.8340230561787567E-2</v>
      </c>
      <c r="AD47" s="41">
        <f>VLOOKUP(B47,'Player Data'!$A1:$AE734,18,FALSE)*$Q47</f>
        <v>37.155254684264449</v>
      </c>
      <c r="AE47" s="41">
        <f>VLOOKUP(B47,'Player Data'!$A1:$AE734,19,FALSE)*$Q47*IFERROR((VLOOKUP(P47,Settings!$E$28:$F$33,2,FALSE)+1),1)</f>
        <v>2.0339927969955069</v>
      </c>
      <c r="AF47" s="41">
        <f>VLOOKUP(B47,'Player Data'!$A1:$AE734,20,FALSE)*$Q47</f>
        <v>0</v>
      </c>
      <c r="AG47" s="41">
        <f>VLOOKUP(B47,'Player Data'!$A1:$AE734,21,FALSE)*$Q47</f>
        <v>0</v>
      </c>
      <c r="AH47" s="42">
        <f>VLOOKUP(B47,'Player Data'!$A1:$AE734,22,FALSE)</f>
        <v>0</v>
      </c>
      <c r="AI47" s="39"/>
      <c r="AJ47" s="43"/>
      <c r="AK47" s="41"/>
      <c r="AL47" s="41"/>
      <c r="AM47" s="41"/>
      <c r="AN47" s="41"/>
      <c r="AO47" s="41"/>
      <c r="AP47" s="41"/>
      <c r="AQ47" s="44"/>
      <c r="AR47" s="45"/>
      <c r="AS47" s="39"/>
    </row>
    <row r="48" spans="1:45" ht="21.25" customHeight="1" x14ac:dyDescent="0.15">
      <c r="A48" s="31">
        <f>RANK(K48,K$2:K$727)</f>
        <v>47</v>
      </c>
      <c r="B48" s="8" t="s">
        <v>152</v>
      </c>
      <c r="C48" s="32" t="s">
        <v>106</v>
      </c>
      <c r="D48" s="33" t="str">
        <f>VLOOKUP(B48,'Player Data'!A1:D734,4,FALSE)</f>
        <v>G</v>
      </c>
      <c r="E48" s="50">
        <f>VLOOKUP(B48,G!A1:D75,3,FALSE)</f>
        <v>7</v>
      </c>
      <c r="F48" s="35" t="str">
        <f>VLOOKUP(B48,'Player Data'!A1:B734,2,FALSE)</f>
        <v>COL</v>
      </c>
      <c r="G48" s="9">
        <f>VLOOKUP(B48,'Player Data'!A1:D734,3,FALSE)</f>
        <v>27</v>
      </c>
      <c r="H48" s="36">
        <f>IFERROR(VLOOKUP(B48,ADP!A1:G728,7,FALSE)/1000000,VLOOKUP(B48,ADP!A1:G728,7,FALSE))</f>
        <v>3.4</v>
      </c>
      <c r="I48" s="37">
        <f>IF(Settings!$E$15="POINTS",(AJ48*Settings!$B$29)+(AK48*Settings!$B$21)+(AL48*Settings!$B$22)+(AN48*Settings!$B$24)+(AO48*Settings!$B$25)+(AP48*Settings!$B$27)+(AM48*Settings!$B$23),VLOOKUP(B48,'Standard Deviations'!A1:C728,3,FALSE))</f>
        <v>446.50597842215399</v>
      </c>
      <c r="J48" s="38">
        <f>IF(D48="G",I48/AJ48,I48/Q48)</f>
        <v>7.9733210432527502</v>
      </c>
      <c r="K48" s="37">
        <f>VLOOKUP(B48,G!A1:F75,6,FALSE)</f>
        <v>47.730316332837788</v>
      </c>
      <c r="L48" s="37">
        <f>IFERROR(K48/H48,"N/A")</f>
        <v>14.038328333187586</v>
      </c>
      <c r="M48" s="39">
        <f>IF(Settings!$E$9="YAHOO",VLOOKUP(B48,ADP!A1:E728,2,FALSE),IF(Settings!$E$9="ESPN",VLOOKUP(B48,ADP!A1:E728,3,FALSE),IF(Settings!$E$9="FANTRAX",VLOOKUP(B48,ADP!A1:E728,4,FALSE),VLOOKUP(B48,ADP!A1:E728,5,FALSE))))</f>
        <v>25.5</v>
      </c>
      <c r="N48" s="39">
        <f>IFERROR(M48-A48,"N/A")</f>
        <v>-21.5</v>
      </c>
      <c r="O48" s="39"/>
      <c r="P48" s="40" t="str">
        <f>IF(Settings!$E$27="ON",VLOOKUP(B48,ADP!A1:H728,8,FALSE)," ")</f>
        <v xml:space="preserve"> </v>
      </c>
      <c r="Q48" s="41"/>
      <c r="R48" s="5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2"/>
      <c r="AI48" s="39"/>
      <c r="AJ48" s="43">
        <f>VLOOKUP(B48,'Player Data'!$A1:$AE734,24,FALSE)</f>
        <v>56</v>
      </c>
      <c r="AK48" s="41">
        <f>VLOOKUP(B48,'Player Data'!$A1:$AE734,25,FALSE)*$AJ48*IFERROR((VLOOKUP(P48,Settings!$E$28:$F$33,2,FALSE)+1),1)</f>
        <v>33.319795954682441</v>
      </c>
      <c r="AL48" s="41">
        <f>AJ48-AK48-AM48</f>
        <v>15.680204045317559</v>
      </c>
      <c r="AM48" s="41">
        <f>VLOOKUP(B48,'Player Data'!$A1:$AE734,27,FALSE)*$AJ48</f>
        <v>7</v>
      </c>
      <c r="AN48" s="41">
        <f>VLOOKUP(B48,'Player Data'!$A1:$AE734,28,FALSE)*AJ48</f>
        <v>3.9740870240115633</v>
      </c>
      <c r="AO48" s="41">
        <f>VLOOKUP(B48,'Player Data'!$A1:$AE734,29,FALSE)*$AJ48*IFERROR((VLOOKUP(P48,Settings!$E$28:$F$33,2,FALSE)/4)+1,1)</f>
        <v>1556.0486374171649</v>
      </c>
      <c r="AP48" s="41">
        <f>VLOOKUP(B48,'Player Data'!$A1:$AE734,31,FALSE)*$AJ48*(IFERROR(1-(VLOOKUP(P48,Settings!$E$28:$F$33,2,FALSE)/4),1))</f>
        <v>146.47530073283298</v>
      </c>
      <c r="AQ48" s="44">
        <f>1-(AP48/(AO48+AP48))</f>
        <v>0.91396579075886797</v>
      </c>
      <c r="AR48" s="45">
        <f>AP48/AJ48</f>
        <v>2.6156303702291601</v>
      </c>
      <c r="AS48" s="39"/>
    </row>
    <row r="49" spans="1:45" ht="21.25" customHeight="1" x14ac:dyDescent="0.15">
      <c r="A49" s="31">
        <f>RANK(K49,K$2:K$727)</f>
        <v>48</v>
      </c>
      <c r="B49" s="8" t="s">
        <v>153</v>
      </c>
      <c r="C49" s="32" t="s">
        <v>106</v>
      </c>
      <c r="D49" s="33" t="str">
        <f>VLOOKUP(B49,'Player Data'!A1:D734,4,FALSE)</f>
        <v>RW</v>
      </c>
      <c r="E49" s="46">
        <f>VLOOKUP(B49,RW!A1:F97,3,FALSE)</f>
        <v>9</v>
      </c>
      <c r="F49" s="35" t="str">
        <f>VLOOKUP(B49,'Player Data'!A1:B734,2,FALSE)</f>
        <v>CAR</v>
      </c>
      <c r="G49" s="9">
        <f>VLOOKUP(B49,'Player Data'!A1:D734,3,FALSE)</f>
        <v>23</v>
      </c>
      <c r="H49" s="36">
        <f>IFERROR(VLOOKUP(B49,ADP!A1:G728,7,FALSE)/1000000,VLOOKUP(B49,ADP!A1:G728,7,FALSE))</f>
        <v>7.75</v>
      </c>
      <c r="I49" s="37">
        <f>IF(Settings!$E$15="POINTS",((R49*Q49)*Settings!$B$12)+(S49*Settings!$B$2)+(T49*Settings!$B$3)+(U49*Settings!$B$4)+(V49*Settings!$B$5)+(X49*Settings!$B$9)+(AA49*Settings!$B$6)+(W49*Settings!$B$8)+(AB49*Settings!$B$7)+(AC49*Settings!$B$14)+(AD49*Settings!$B$15)+(AE49*Settings!$B$16)+(AF49*Settings!$B$17)+(AG49*Settings!$B$18)+(Y49*Settings!$B$10)+(Z49*Settings!$B$11),VLOOKUP(B49,'Standard Deviations'!A1:C728,3,FALSE))</f>
        <v>397.91721760147755</v>
      </c>
      <c r="J49" s="38">
        <f>IF(D49="G",I49/AJ49,I49/Q49)</f>
        <v>5.092455752985253</v>
      </c>
      <c r="K49" s="37">
        <f>IF(Settings!$E$18="C/LW/RW",VLOOKUP(B49,RW!A1:F97,6,FALSE),VLOOKUP(B49,F!A1:F430,6,FALSE))</f>
        <v>47.645677053587974</v>
      </c>
      <c r="L49" s="37">
        <f>IFERROR(K49/H49,"N/A")</f>
        <v>6.1478292972371582</v>
      </c>
      <c r="M49" s="39">
        <f>IF(Settings!$E$9="YAHOO",VLOOKUP(B49,ADP!A1:E728,2,FALSE),IF(Settings!$E$9="ESPN",VLOOKUP(B49,ADP!A1:E728,3,FALSE),IF(Settings!$E$9="FANTRAX",VLOOKUP(B49,ADP!A1:E728,4,FALSE),VLOOKUP(B49,ADP!A1:E728,5,FALSE))))</f>
        <v>68</v>
      </c>
      <c r="N49" s="39">
        <f>IFERROR(M49-A49,"N/A")</f>
        <v>20</v>
      </c>
      <c r="O49" s="39"/>
      <c r="P49" s="40" t="str">
        <f>IF(Settings!$E$27="ON",VLOOKUP(B49,ADP!A1:H728,8,FALSE)," ")</f>
        <v>+</v>
      </c>
      <c r="Q49" s="41">
        <f>IF(Settings!$E$12="YES",VLOOKUP(B49,'Player Data'!A1:E734,5,FALSE),82)</f>
        <v>78.138571428571396</v>
      </c>
      <c r="R49" s="39">
        <f>VLOOKUP(B49,'Player Data'!$A1:$AE734,6,FALSE)</f>
        <v>17.9701293610518</v>
      </c>
      <c r="S49" s="41">
        <f>VLOOKUP(B49,'Player Data'!$A1:$AE734,7,FALSE)*$Q49*IFERROR((VLOOKUP(P49,Settings!$E$28:$F$33,2,FALSE)+1),1)</f>
        <v>31.073584606028263</v>
      </c>
      <c r="T49" s="41">
        <f>VLOOKUP(B49,'Player Data'!$A1:$AE734,8,FALSE)*$Q49*IFERROR((VLOOKUP(P49,Settings!$E$28:$F$33,2,FALSE)+1),1)</f>
        <v>43.461361650109041</v>
      </c>
      <c r="U49" s="41">
        <f>SUM(S49:T49)</f>
        <v>74.534946256137303</v>
      </c>
      <c r="V49" s="41">
        <f>VLOOKUP(B49,'Player Data'!$A1:$AE734,10,FALSE)*$Q49*IFERROR(((VLOOKUP(P49,Settings!$E$28:$F$33,2,FALSE)/2)+1),1)</f>
        <v>249.49674003922581</v>
      </c>
      <c r="W49" s="41">
        <f>VLOOKUP(B49,'Player Data'!$A1:$AE734,11,FALSE)*$Q49*IFERROR((VLOOKUP(P49,Settings!$E$28:$F$33,2,FALSE)+1),1)</f>
        <v>7.2888692076165844</v>
      </c>
      <c r="X49" s="41">
        <f>VLOOKUP(B49,'Player Data'!$A1:$AE734,12,FALSE)*$Q49*IFERROR((VLOOKUP(P49,Settings!$E$28:$F$33,2,FALSE)+1),1)</f>
        <v>22.599059942879684</v>
      </c>
      <c r="Y49" s="41">
        <f>VLOOKUP(B49,'Player Data'!$A1:$AE734,13,FALSE)*$Q49</f>
        <v>1.4689155845514121E-2</v>
      </c>
      <c r="Z49" s="41">
        <f>VLOOKUP(B49,'Player Data'!$A1:$AE734,14,FALSE)*$Q49</f>
        <v>2.6701864748715734E-2</v>
      </c>
      <c r="AA49" s="41">
        <f>VLOOKUP(B49,'Player Data'!$A1:$AE734,15,FALSE)*$Q49</f>
        <v>21.562425990979509</v>
      </c>
      <c r="AB49" s="41">
        <f>VLOOKUP(B49,'Player Data'!$A1:$AE734,16,FALSE)*$Q49</f>
        <v>165.17023570865356</v>
      </c>
      <c r="AC49" s="41">
        <f>VLOOKUP(B49,'Player Data'!$A1:$AE734,17,FALSE)*$Q49*IFERROR((VLOOKUP(P49,Settings!$E$28:$F$33,2,FALSE)+1),1)</f>
        <v>9.3032263634434926</v>
      </c>
      <c r="AD49" s="41">
        <f>VLOOKUP(B49,'Player Data'!$A1:$AE734,18,FALSE)*$Q49</f>
        <v>68.730555255579034</v>
      </c>
      <c r="AE49" s="41">
        <f>VLOOKUP(B49,'Player Data'!$A1:$AE734,19,FALSE)*$Q49*IFERROR((VLOOKUP(P49,Settings!$E$28:$F$33,2,FALSE)+1),1)</f>
        <v>5.5752968684990361</v>
      </c>
      <c r="AF49" s="41">
        <f>VLOOKUP(B49,'Player Data'!$A1:$AE734,20,FALSE)*$Q49</f>
        <v>2.4433265813984049</v>
      </c>
      <c r="AG49" s="41">
        <f>VLOOKUP(B49,'Player Data'!$A1:$AE734,21,FALSE)*$Q49</f>
        <v>7.4299967761283829</v>
      </c>
      <c r="AH49" s="42">
        <f>VLOOKUP(B49,'Player Data'!$A1:$AE734,22,FALSE)</f>
        <v>0.24746749325654099</v>
      </c>
      <c r="AI49" s="39"/>
      <c r="AJ49" s="43"/>
      <c r="AK49" s="41"/>
      <c r="AL49" s="41"/>
      <c r="AM49" s="41"/>
      <c r="AN49" s="41"/>
      <c r="AO49" s="41"/>
      <c r="AP49" s="41"/>
      <c r="AQ49" s="44"/>
      <c r="AR49" s="45"/>
      <c r="AS49" s="39"/>
    </row>
    <row r="50" spans="1:45" ht="21.25" customHeight="1" x14ac:dyDescent="0.15">
      <c r="A50" s="31">
        <f>RANK(K50,K$2:K$727)</f>
        <v>49</v>
      </c>
      <c r="B50" s="8" t="s">
        <v>154</v>
      </c>
      <c r="C50" s="32" t="s">
        <v>106</v>
      </c>
      <c r="D50" s="33" t="str">
        <f>VLOOKUP(B50,'Player Data'!A1:D734,4,FALSE)</f>
        <v>RW</v>
      </c>
      <c r="E50" s="46">
        <f>VLOOKUP(B50,RW!A1:F97,3,FALSE)</f>
        <v>10</v>
      </c>
      <c r="F50" s="35" t="str">
        <f>VLOOKUP(B50,'Player Data'!A1:B734,2,FALSE)</f>
        <v>BUF</v>
      </c>
      <c r="G50" s="9">
        <f>VLOOKUP(B50,'Player Data'!A1:D734,3,FALSE)</f>
        <v>27</v>
      </c>
      <c r="H50" s="36">
        <f>IFERROR(VLOOKUP(B50,ADP!A1:G728,7,FALSE)/1000000,VLOOKUP(B50,ADP!A1:G728,7,FALSE))</f>
        <v>4.75</v>
      </c>
      <c r="I50" s="37">
        <f>IF(Settings!$E$15="POINTS",((R50*Q50)*Settings!$B$12)+(S50*Settings!$B$2)+(T50*Settings!$B$3)+(U50*Settings!$B$4)+(V50*Settings!$B$5)+(X50*Settings!$B$9)+(AA50*Settings!$B$6)+(W50*Settings!$B$8)+(AB50*Settings!$B$7)+(AC50*Settings!$B$14)+(AD50*Settings!$B$15)+(AE50*Settings!$B$16)+(AF50*Settings!$B$17)+(AG50*Settings!$B$18)+(Y50*Settings!$B$10)+(Z50*Settings!$B$11),VLOOKUP(B50,'Standard Deviations'!A1:C728,3,FALSE))</f>
        <v>392.69361410971499</v>
      </c>
      <c r="J50" s="38">
        <f>IF(D50="G",I50/AJ50,I50/Q50)</f>
        <v>5.1339209584222125</v>
      </c>
      <c r="K50" s="37">
        <f>IF(Settings!$E$18="C/LW/RW",VLOOKUP(B50,RW!A1:F97,6,FALSE),VLOOKUP(B50,F!A1:F430,6,FALSE))</f>
        <v>42.422073561825414</v>
      </c>
      <c r="L50" s="37">
        <f>IFERROR(K50/H50,"N/A")</f>
        <v>8.9309628551211393</v>
      </c>
      <c r="M50" s="39">
        <f>IF(Settings!$E$9="YAHOO",VLOOKUP(B50,ADP!A1:E728,2,FALSE),IF(Settings!$E$9="ESPN",VLOOKUP(B50,ADP!A1:E728,3,FALSE),IF(Settings!$E$9="FANTRAX",VLOOKUP(B50,ADP!A1:E728,4,FALSE),VLOOKUP(B50,ADP!A1:E728,5,FALSE))))</f>
        <v>50.8</v>
      </c>
      <c r="N50" s="39">
        <f>IFERROR(M50-A50,"N/A")</f>
        <v>1.7999999999999972</v>
      </c>
      <c r="O50" s="39"/>
      <c r="P50" s="40" t="str">
        <f>IF(Settings!$E$27="ON",VLOOKUP(B50,ADP!A1:H728,8,FALSE)," ")</f>
        <v xml:space="preserve"> </v>
      </c>
      <c r="Q50" s="41">
        <f>IF(Settings!$E$12="YES",VLOOKUP(B50,'Player Data'!A1:E734,5,FALSE),82)</f>
        <v>76.489999999999995</v>
      </c>
      <c r="R50" s="39">
        <f>VLOOKUP(B50,'Player Data'!$A1:$AE734,6,FALSE)</f>
        <v>19.9730849972836</v>
      </c>
      <c r="S50" s="41">
        <f>VLOOKUP(B50,'Player Data'!$A1:$AE734,7,FALSE)*$Q50*IFERROR((VLOOKUP(P50,Settings!$E$28:$F$33,2,FALSE)+1),1)</f>
        <v>32.244312615224644</v>
      </c>
      <c r="T50" s="41">
        <f>VLOOKUP(B50,'Player Data'!$A1:$AE734,8,FALSE)*$Q50*IFERROR((VLOOKUP(P50,Settings!$E$28:$F$33,2,FALSE)+1),1)</f>
        <v>42.625896072424176</v>
      </c>
      <c r="U50" s="41">
        <f>SUM(S50:T50)</f>
        <v>74.870208687648812</v>
      </c>
      <c r="V50" s="41">
        <f>VLOOKUP(B50,'Player Data'!$A1:$AE734,10,FALSE)*$Q50*IFERROR(((VLOOKUP(P50,Settings!$E$28:$F$33,2,FALSE)/2)+1),1)</f>
        <v>232.8915525209942</v>
      </c>
      <c r="W50" s="41">
        <f>VLOOKUP(B50,'Player Data'!$A1:$AE734,11,FALSE)*$Q50*IFERROR((VLOOKUP(P50,Settings!$E$28:$F$33,2,FALSE)+1),1)</f>
        <v>7.289161244408195</v>
      </c>
      <c r="X50" s="41">
        <f>VLOOKUP(B50,'Player Data'!$A1:$AE734,12,FALSE)*$Q50*IFERROR((VLOOKUP(P50,Settings!$E$28:$F$33,2,FALSE)+1),1)</f>
        <v>19.231937499468128</v>
      </c>
      <c r="Y50" s="41">
        <f>VLOOKUP(B50,'Player Data'!$A1:$AE734,13,FALSE)*$Q50</f>
        <v>1.0585634148238963</v>
      </c>
      <c r="Z50" s="41">
        <f>VLOOKUP(B50,'Player Data'!$A1:$AE734,14,FALSE)*$Q50</f>
        <v>1.1697452797900698</v>
      </c>
      <c r="AA50" s="41">
        <f>VLOOKUP(B50,'Player Data'!$A1:$AE734,15,FALSE)*$Q50</f>
        <v>54.169231138775082</v>
      </c>
      <c r="AB50" s="41">
        <f>VLOOKUP(B50,'Player Data'!$A1:$AE734,16,FALSE)*$Q50</f>
        <v>60.803515408499592</v>
      </c>
      <c r="AC50" s="41">
        <f>VLOOKUP(B50,'Player Data'!$A1:$AE734,17,FALSE)*$Q50*IFERROR((VLOOKUP(P50,Settings!$E$28:$F$33,2,FALSE)+1),1)</f>
        <v>1.5977068943960022</v>
      </c>
      <c r="AD50" s="41">
        <f>VLOOKUP(B50,'Player Data'!$A1:$AE734,18,FALSE)*$Q50</f>
        <v>29.094836738474829</v>
      </c>
      <c r="AE50" s="41">
        <f>VLOOKUP(B50,'Player Data'!$A1:$AE734,19,FALSE)*$Q50*IFERROR((VLOOKUP(P50,Settings!$E$28:$F$33,2,FALSE)+1),1)</f>
        <v>4.1552704911057612</v>
      </c>
      <c r="AF50" s="41">
        <f>VLOOKUP(B50,'Player Data'!$A1:$AE734,20,FALSE)*$Q50</f>
        <v>29.831986185484503</v>
      </c>
      <c r="AG50" s="41">
        <f>VLOOKUP(B50,'Player Data'!$A1:$AE734,21,FALSE)*$Q50</f>
        <v>43.564479211234115</v>
      </c>
      <c r="AH50" s="42">
        <f>VLOOKUP(B50,'Player Data'!$A1:$AE734,22,FALSE)</f>
        <v>0.40644990224308802</v>
      </c>
      <c r="AI50" s="39"/>
      <c r="AJ50" s="41"/>
      <c r="AK50" s="41"/>
      <c r="AL50" s="41"/>
      <c r="AM50" s="41"/>
      <c r="AN50" s="41"/>
      <c r="AO50" s="41"/>
      <c r="AP50" s="41"/>
      <c r="AQ50" s="44"/>
      <c r="AR50" s="45"/>
      <c r="AS50" s="39"/>
    </row>
    <row r="51" spans="1:45" ht="21.25" customHeight="1" x14ac:dyDescent="0.15">
      <c r="A51" s="31">
        <f>RANK(K51,K$2:K$727)</f>
        <v>50</v>
      </c>
      <c r="B51" s="8" t="s">
        <v>155</v>
      </c>
      <c r="C51" s="32" t="s">
        <v>106</v>
      </c>
      <c r="D51" s="33" t="str">
        <f>VLOOKUP(B51,'Player Data'!A1:D734,4,FALSE)</f>
        <v>G</v>
      </c>
      <c r="E51" s="50">
        <f>VLOOKUP(B51,G!A1:D75,3,FALSE)</f>
        <v>8</v>
      </c>
      <c r="F51" s="35" t="str">
        <f>VLOOKUP(B51,'Player Data'!A1:B734,2,FALSE)</f>
        <v>VAN</v>
      </c>
      <c r="G51" s="9">
        <f>VLOOKUP(B51,'Player Data'!A1:D734,3,FALSE)</f>
        <v>27</v>
      </c>
      <c r="H51" s="36">
        <f>IFERROR(VLOOKUP(B51,ADP!A1:G728,7,FALSE)/1000000,VLOOKUP(B51,ADP!A1:G728,7,FALSE))</f>
        <v>5</v>
      </c>
      <c r="I51" s="37">
        <f>IF(Settings!$E$15="POINTS",(AJ51*Settings!$B$29)+(AK51*Settings!$B$21)+(AL51*Settings!$B$22)+(AN51*Settings!$B$24)+(AO51*Settings!$B$25)+(AP51*Settings!$B$27)+(AM51*Settings!$B$23),VLOOKUP(B51,'Standard Deviations'!A1:C728,3,FALSE))</f>
        <v>440.93521406808941</v>
      </c>
      <c r="J51" s="38">
        <f>IF(D51="G",I51/AJ51,I51/Q51)</f>
        <v>8.0170038921470805</v>
      </c>
      <c r="K51" s="37">
        <f>VLOOKUP(B51,G!A1:F75,6,FALSE)</f>
        <v>42.159551978773209</v>
      </c>
      <c r="L51" s="37">
        <f>IFERROR(K51/H51,"N/A")</f>
        <v>8.4319103957546417</v>
      </c>
      <c r="M51" s="39">
        <f>IF(Settings!$E$9="YAHOO",VLOOKUP(B51,ADP!A1:E728,2,FALSE),IF(Settings!$E$9="ESPN",VLOOKUP(B51,ADP!A1:E728,3,FALSE),IF(Settings!$E$9="FANTRAX",VLOOKUP(B51,ADP!A1:E728,4,FALSE),VLOOKUP(B51,ADP!A1:E728,5,FALSE))))</f>
        <v>96.4</v>
      </c>
      <c r="N51" s="39">
        <f>IFERROR(M51-A51,"N/A")</f>
        <v>46.400000000000006</v>
      </c>
      <c r="O51" s="39"/>
      <c r="P51" s="40" t="str">
        <f>IF(Settings!$E$27="ON",VLOOKUP(B51,ADP!A1:H728,8,FALSE)," ")</f>
        <v>+</v>
      </c>
      <c r="Q51" s="41"/>
      <c r="R51" s="5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2"/>
      <c r="AI51" s="39"/>
      <c r="AJ51" s="43">
        <f>VLOOKUP(B51,'Player Data'!$A1:$AE734,24,FALSE)</f>
        <v>55</v>
      </c>
      <c r="AK51" s="41">
        <f>VLOOKUP(B51,'Player Data'!$A1:$AE734,25,FALSE)*$AJ51*IFERROR((VLOOKUP(P51,Settings!$E$28:$F$33,2,FALSE)+1),1)</f>
        <v>29.971821527655205</v>
      </c>
      <c r="AL51" s="41">
        <f>AJ51-AK51-AM51</f>
        <v>18.153178472344795</v>
      </c>
      <c r="AM51" s="41">
        <f>VLOOKUP(B51,'Player Data'!$A1:$AE734,27,FALSE)*$AJ51</f>
        <v>6.875</v>
      </c>
      <c r="AN51" s="41">
        <f>VLOOKUP(B51,'Player Data'!$A1:$AE734,28,FALSE)*AJ51</f>
        <v>3.6583330373474889</v>
      </c>
      <c r="AO51" s="41">
        <f>VLOOKUP(B51,'Player Data'!$A1:$AE734,29,FALSE)*$AJ51*IFERROR((VLOOKUP(P51,Settings!$E$28:$F$33,2,FALSE)/4)+1,1)</f>
        <v>1558.7586112412259</v>
      </c>
      <c r="AP51" s="41">
        <f>VLOOKUP(B51,'Player Data'!$A1:$AE734,31,FALSE)*$AJ51*(IFERROR(1-(VLOOKUP(P51,Settings!$E$28:$F$33,2,FALSE)/4),1))</f>
        <v>145.22540740339471</v>
      </c>
      <c r="AQ51" s="44">
        <f>1-(AP51/(AO51+AP51))</f>
        <v>0.91477302262558213</v>
      </c>
      <c r="AR51" s="45">
        <f>AP51/AJ51</f>
        <v>2.640461952788995</v>
      </c>
      <c r="AS51" s="39"/>
    </row>
    <row r="52" spans="1:45" ht="21.25" customHeight="1" x14ac:dyDescent="0.15">
      <c r="A52" s="31">
        <f>RANK(K52,K$2:K$727)</f>
        <v>51</v>
      </c>
      <c r="B52" s="8" t="s">
        <v>156</v>
      </c>
      <c r="C52" s="32" t="s">
        <v>106</v>
      </c>
      <c r="D52" s="33" t="str">
        <f>VLOOKUP(B52,'Player Data'!A1:D734,4,FALSE)</f>
        <v>LW</v>
      </c>
      <c r="E52" s="47">
        <f>VLOOKUP(B52,LW!A1:C130,3,FALSE)</f>
        <v>13</v>
      </c>
      <c r="F52" s="35" t="str">
        <f>VLOOKUP(B52,'Player Data'!A1:B734,2,FALSE)</f>
        <v>LAK</v>
      </c>
      <c r="G52" s="9">
        <f>VLOOKUP(B52,'Player Data'!A1:D734,3,FALSE)</f>
        <v>27</v>
      </c>
      <c r="H52" s="36">
        <f>IFERROR(VLOOKUP(B52,ADP!A1:G728,7,FALSE)/1000000,VLOOKUP(B52,ADP!A1:G728,7,FALSE))</f>
        <v>7.875</v>
      </c>
      <c r="I52" s="37">
        <f>IF(Settings!$E$15="POINTS",((R52*Q52)*Settings!$B$12)+(S52*Settings!$B$2)+(T52*Settings!$B$3)+(U52*Settings!$B$4)+(V52*Settings!$B$5)+(X52*Settings!$B$9)+(AA52*Settings!$B$6)+(W52*Settings!$B$8)+(AB52*Settings!$B$7)+(AC52*Settings!$B$14)+(AD52*Settings!$B$15)+(AE52*Settings!$B$16)+(AF52*Settings!$B$17)+(AG52*Settings!$B$18)+(Y52*Settings!$B$10)+(Z52*Settings!$B$11),VLOOKUP(B52,'Standard Deviations'!A1:C728,3,FALSE))</f>
        <v>403.99314653060344</v>
      </c>
      <c r="J52" s="38">
        <f>IF(D52="G",I52/AJ52,I52/Q52)</f>
        <v>5.1239601304824136</v>
      </c>
      <c r="K52" s="37">
        <f>IF(Settings!$E$18="C/LW/RW",VLOOKUP(B52,LW!A1:F130,6,FALSE),VLOOKUP(B52,F!A1:F430,6,FALSE))</f>
        <v>39.952541672952975</v>
      </c>
      <c r="L52" s="37">
        <f>IFERROR(K52/H52,"N/A")</f>
        <v>5.0733386251368859</v>
      </c>
      <c r="M52" s="39">
        <f>IF(Settings!$E$9="YAHOO",VLOOKUP(B52,ADP!A1:E728,2,FALSE),IF(Settings!$E$9="ESPN",VLOOKUP(B52,ADP!A1:E728,3,FALSE),IF(Settings!$E$9="FANTRAX",VLOOKUP(B52,ADP!A1:E728,4,FALSE),VLOOKUP(B52,ADP!A1:E728,5,FALSE))))</f>
        <v>76.400000000000006</v>
      </c>
      <c r="N52" s="39">
        <f>IFERROR(M52-A52,"N/A")</f>
        <v>25.400000000000006</v>
      </c>
      <c r="O52" s="39"/>
      <c r="P52" s="40" t="str">
        <f>IF(Settings!$E$27="ON",VLOOKUP(B52,ADP!A1:H728,8,FALSE)," ")</f>
        <v xml:space="preserve"> </v>
      </c>
      <c r="Q52" s="41">
        <f>IF(Settings!$E$12="YES",VLOOKUP(B52,'Player Data'!A1:E734,5,FALSE),82)</f>
        <v>78.843928571428606</v>
      </c>
      <c r="R52" s="39">
        <f>VLOOKUP(B52,'Player Data'!$A1:$AE734,6,FALSE)</f>
        <v>17.532561107430901</v>
      </c>
      <c r="S52" s="41">
        <f>VLOOKUP(B52,'Player Data'!$A1:$AE734,7,FALSE)*$Q52*IFERROR((VLOOKUP(P52,Settings!$E$28:$F$33,2,FALSE)+1),1)</f>
        <v>28.560070061109187</v>
      </c>
      <c r="T52" s="41">
        <f>VLOOKUP(B52,'Player Data'!$A1:$AE734,8,FALSE)*$Q52*IFERROR((VLOOKUP(P52,Settings!$E$28:$F$33,2,FALSE)+1),1)</f>
        <v>49.55381333838077</v>
      </c>
      <c r="U52" s="41">
        <f>SUM(S52:T52)</f>
        <v>78.113883399489964</v>
      </c>
      <c r="V52" s="41">
        <f>VLOOKUP(B52,'Player Data'!$A1:$AE734,10,FALSE)*$Q52*IFERROR(((VLOOKUP(P52,Settings!$E$28:$F$33,2,FALSE)/2)+1),1)</f>
        <v>240.4256650264156</v>
      </c>
      <c r="W52" s="41">
        <f>VLOOKUP(B52,'Player Data'!$A1:$AE734,11,FALSE)*$Q52*IFERROR((VLOOKUP(P52,Settings!$E$28:$F$33,2,FALSE)+1),1)</f>
        <v>6.7187235153180209</v>
      </c>
      <c r="X52" s="41">
        <f>VLOOKUP(B52,'Player Data'!$A1:$AE734,12,FALSE)*$Q52*IFERROR((VLOOKUP(P52,Settings!$E$28:$F$33,2,FALSE)+1),1)</f>
        <v>22.473942390595397</v>
      </c>
      <c r="Y52" s="41">
        <f>VLOOKUP(B52,'Player Data'!$A1:$AE734,13,FALSE)*$Q52</f>
        <v>1.6339186011004821E-2</v>
      </c>
      <c r="Z52" s="41">
        <f>VLOOKUP(B52,'Player Data'!$A1:$AE734,14,FALSE)*$Q52</f>
        <v>2.0095019017545894E-2</v>
      </c>
      <c r="AA52" s="41">
        <f>VLOOKUP(B52,'Player Data'!$A1:$AE734,15,FALSE)*$Q52</f>
        <v>22.252944998499476</v>
      </c>
      <c r="AB52" s="41">
        <f>VLOOKUP(B52,'Player Data'!$A1:$AE734,16,FALSE)*$Q52</f>
        <v>60.078463520630457</v>
      </c>
      <c r="AC52" s="41">
        <f>VLOOKUP(B52,'Player Data'!$A1:$AE734,17,FALSE)*$Q52*IFERROR((VLOOKUP(P52,Settings!$E$28:$F$33,2,FALSE)+1),1)</f>
        <v>1.2297240446568185</v>
      </c>
      <c r="AD52" s="41">
        <f>VLOOKUP(B52,'Player Data'!$A1:$AE734,18,FALSE)*$Q52</f>
        <v>48.312567431658692</v>
      </c>
      <c r="AE52" s="41">
        <f>VLOOKUP(B52,'Player Data'!$A1:$AE734,19,FALSE)*$Q52*IFERROR((VLOOKUP(P52,Settings!$E$28:$F$33,2,FALSE)+1),1)</f>
        <v>4.240137414398518</v>
      </c>
      <c r="AF52" s="41">
        <f>VLOOKUP(B52,'Player Data'!$A1:$AE734,20,FALSE)*$Q52</f>
        <v>6.7586521878424302</v>
      </c>
      <c r="AG52" s="41">
        <f>VLOOKUP(B52,'Player Data'!$A1:$AE734,21,FALSE)*$Q52</f>
        <v>10.604733247891495</v>
      </c>
      <c r="AH52" s="42">
        <f>VLOOKUP(B52,'Player Data'!$A1:$AE734,22,FALSE)</f>
        <v>0.38924737418620697</v>
      </c>
      <c r="AI52" s="39"/>
      <c r="AJ52" s="41"/>
      <c r="AK52" s="41"/>
      <c r="AL52" s="41"/>
      <c r="AM52" s="41"/>
      <c r="AN52" s="41"/>
      <c r="AO52" s="41"/>
      <c r="AP52" s="41"/>
      <c r="AQ52" s="44"/>
      <c r="AR52" s="45"/>
      <c r="AS52" s="39"/>
    </row>
    <row r="53" spans="1:45" ht="21.25" customHeight="1" x14ac:dyDescent="0.15">
      <c r="A53" s="31">
        <f>RANK(K53,K$2:K$727)</f>
        <v>52</v>
      </c>
      <c r="B53" s="8" t="s">
        <v>157</v>
      </c>
      <c r="C53" s="32" t="s">
        <v>106</v>
      </c>
      <c r="D53" s="33" t="str">
        <f>VLOOKUP(B53,'Player Data'!A1:D734,4,FALSE)</f>
        <v>D</v>
      </c>
      <c r="E53" s="49">
        <f>VLOOKUP(B53,D!A1:C227,3,FALSE)</f>
        <v>11</v>
      </c>
      <c r="F53" s="35" t="str">
        <f>VLOOKUP(B53,'Player Data'!A1:B734,2,FALSE)</f>
        <v>DET</v>
      </c>
      <c r="G53" s="9">
        <f>VLOOKUP(B53,'Player Data'!A1:D734,3,FALSE)</f>
        <v>22</v>
      </c>
      <c r="H53" s="36">
        <f>IFERROR(VLOOKUP(B53,ADP!A1:G728,7,FALSE)/1000000,VLOOKUP(B53,ADP!A1:G728,7,FALSE))</f>
        <v>0.86299999999999999</v>
      </c>
      <c r="I53" s="37">
        <f>IF(Settings!$E$15="POINTS",((R53*Q53)*Settings!$B$12)+(S53*Settings!$B$2)+(T53*Settings!$B$3)+(U53*Settings!$B$4)+(V53*Settings!$B$5)+(X53*Settings!$B$9)+(AA53*Settings!$B$6)+(W53*Settings!$B$8)+(AB53*Settings!$B$7)+(AC53*Settings!$B$14)+(AD53*Settings!$B$15)+(AE53*Settings!$B$16)+(AF53*Settings!$B$17)+(AG53*Settings!$B$18)+(U53*Settings!$B$13)+(Y53*Settings!$B$10)+(Z53*Settings!$B$11),VLOOKUP(B53,'Standard Deviations'!A1:C728,3,FALSE))</f>
        <v>350.86975552358314</v>
      </c>
      <c r="J53" s="38">
        <f>IF(D53="G",I53/AJ53,I53/Q53)</f>
        <v>4.2773345791001232</v>
      </c>
      <c r="K53" s="37">
        <f>VLOOKUP(B53,D!A1:F227,6,FALSE)</f>
        <v>39.304273895655683</v>
      </c>
      <c r="L53" s="37">
        <f>IFERROR(K53/H53,"N/A")</f>
        <v>45.543770446877964</v>
      </c>
      <c r="M53" s="39">
        <f>IF(Settings!$E$9="YAHOO",VLOOKUP(B53,ADP!A1:E728,2,FALSE),IF(Settings!$E$9="ESPN",VLOOKUP(B53,ADP!A1:E728,3,FALSE),IF(Settings!$E$9="FANTRAX",VLOOKUP(B53,ADP!A1:E728,4,FALSE),VLOOKUP(B53,ADP!A1:E728,5,FALSE))))</f>
        <v>86</v>
      </c>
      <c r="N53" s="39">
        <f>IFERROR(M53-A53,"N/A")</f>
        <v>34</v>
      </c>
      <c r="O53" s="39"/>
      <c r="P53" s="40" t="str">
        <f>IF(Settings!$E$27="ON",VLOOKUP(B53,ADP!A1:H728,8,FALSE)," ")</f>
        <v>+ +</v>
      </c>
      <c r="Q53" s="41">
        <f>IF(Settings!$E$12="YES",VLOOKUP(B53,'Player Data'!A1:E734,5,FALSE),82)</f>
        <v>82.03</v>
      </c>
      <c r="R53" s="39">
        <f>VLOOKUP(B53,'Player Data'!$A1:$AE734,6,FALSE)</f>
        <v>25.530220788457001</v>
      </c>
      <c r="S53" s="41">
        <f>VLOOKUP(B53,'Player Data'!$A1:$AE734,7,FALSE)*$Q53*IFERROR((VLOOKUP(P53,Settings!$E$28:$F$33,2,FALSE)+1),1)</f>
        <v>8.3253310833321787</v>
      </c>
      <c r="T53" s="41">
        <f>VLOOKUP(B53,'Player Data'!$A1:$AE734,8,FALSE)*$Q53*IFERROR((VLOOKUP(P53,Settings!$E$28:$F$33,2,FALSE)+1),1)</f>
        <v>49.704477389743232</v>
      </c>
      <c r="U53" s="41">
        <f>SUM(S53:T53)</f>
        <v>58.029808473075413</v>
      </c>
      <c r="V53" s="41">
        <f>VLOOKUP(B53,'Player Data'!$A1:$AE734,10,FALSE)*$Q53*IFERROR(((VLOOKUP(P53,Settings!$E$28:$F$33,2,FALSE)/2)+1),1)</f>
        <v>180.79256708777811</v>
      </c>
      <c r="W53" s="41">
        <f>VLOOKUP(B53,'Player Data'!$A1:$AE734,11,FALSE)*$Q53*IFERROR((VLOOKUP(P53,Settings!$E$28:$F$33,2,FALSE)+1),1)</f>
        <v>2.4283984408582668</v>
      </c>
      <c r="X53" s="41">
        <f>VLOOKUP(B53,'Player Data'!$A1:$AE734,12,FALSE)*$Q53*IFERROR((VLOOKUP(P53,Settings!$E$28:$F$33,2,FALSE)+1),1)</f>
        <v>22.457527493822678</v>
      </c>
      <c r="Y53" s="41">
        <f>VLOOKUP(B53,'Player Data'!$A1:$AE734,13,FALSE)*$Q53</f>
        <v>0.61916739541136434</v>
      </c>
      <c r="Z53" s="41">
        <f>VLOOKUP(B53,'Player Data'!$A1:$AE734,14,FALSE)*$Q53</f>
        <v>1.9808957482581293</v>
      </c>
      <c r="AA53" s="41">
        <f>VLOOKUP(B53,'Player Data'!$A1:$AE734,15,FALSE)*$Q53</f>
        <v>187.53600038153101</v>
      </c>
      <c r="AB53" s="41">
        <f>VLOOKUP(B53,'Player Data'!$A1:$AE734,16,FALSE)*$Q53</f>
        <v>191.08570986955678</v>
      </c>
      <c r="AC53" s="41">
        <f>VLOOKUP(B53,'Player Data'!$A1:$AE734,17,FALSE)*$Q53*IFERROR((VLOOKUP(P53,Settings!$E$28:$F$33,2,FALSE)+1),1)</f>
        <v>-3.9596690721545911</v>
      </c>
      <c r="AD53" s="41">
        <f>VLOOKUP(B53,'Player Data'!$A1:$AE734,18,FALSE)*$Q53</f>
        <v>43.103576491121487</v>
      </c>
      <c r="AE53" s="41">
        <f>VLOOKUP(B53,'Player Data'!$A1:$AE734,19,FALSE)*$Q53*IFERROR((VLOOKUP(P53,Settings!$E$28:$F$33,2,FALSE)+1),1)</f>
        <v>1.0748947869388636</v>
      </c>
      <c r="AF53" s="41">
        <f>VLOOKUP(B53,'Player Data'!$A1:$AE734,20,FALSE)*$Q53</f>
        <v>0</v>
      </c>
      <c r="AG53" s="41">
        <f>VLOOKUP(B53,'Player Data'!$A1:$AE734,21,FALSE)*$Q53</f>
        <v>0</v>
      </c>
      <c r="AH53" s="42">
        <f>VLOOKUP(B53,'Player Data'!$A1:$AE734,22,FALSE)</f>
        <v>0</v>
      </c>
      <c r="AI53" s="39"/>
      <c r="AJ53" s="41"/>
      <c r="AK53" s="41"/>
      <c r="AL53" s="41"/>
      <c r="AM53" s="41"/>
      <c r="AN53" s="41"/>
      <c r="AO53" s="41"/>
      <c r="AP53" s="41"/>
      <c r="AQ53" s="44"/>
      <c r="AR53" s="45"/>
      <c r="AS53" s="39"/>
    </row>
    <row r="54" spans="1:45" ht="21.25" customHeight="1" x14ac:dyDescent="0.15">
      <c r="A54" s="31">
        <f>RANK(K54,K$2:K$727)</f>
        <v>53</v>
      </c>
      <c r="B54" s="8" t="s">
        <v>158</v>
      </c>
      <c r="C54" s="32" t="s">
        <v>106</v>
      </c>
      <c r="D54" s="33" t="str">
        <f>VLOOKUP(B54,'Player Data'!A1:D734,4,FALSE)</f>
        <v>LW</v>
      </c>
      <c r="E54" s="47">
        <f>VLOOKUP(B54,LW!A1:C130,3,FALSE)</f>
        <v>14</v>
      </c>
      <c r="F54" s="35" t="str">
        <f>VLOOKUP(B54,'Player Data'!A1:B734,2,FALSE)</f>
        <v>EDM</v>
      </c>
      <c r="G54" s="9">
        <f>VLOOKUP(B54,'Player Data'!A1:D734,3,FALSE)</f>
        <v>31</v>
      </c>
      <c r="H54" s="36">
        <f>IFERROR(VLOOKUP(B54,ADP!A1:G728,7,FALSE)/1000000,VLOOKUP(B54,ADP!A1:G728,7,FALSE))</f>
        <v>5.5</v>
      </c>
      <c r="I54" s="37">
        <f>IF(Settings!$E$15="POINTS",((R54*Q54)*Settings!$B$12)+(S54*Settings!$B$2)+(T54*Settings!$B$3)+(U54*Settings!$B$4)+(V54*Settings!$B$5)+(X54*Settings!$B$9)+(AA54*Settings!$B$6)+(W54*Settings!$B$8)+(AB54*Settings!$B$7)+(AC54*Settings!$B$14)+(AD54*Settings!$B$15)+(AE54*Settings!$B$16)+(AF54*Settings!$B$17)+(AG54*Settings!$B$18)+(Y54*Settings!$B$10)+(Z54*Settings!$B$11),VLOOKUP(B54,'Standard Deviations'!A1:C728,3,FALSE))</f>
        <v>402.87078699991486</v>
      </c>
      <c r="J54" s="38">
        <f>IF(D54="G",I54/AJ54,I54/Q54)</f>
        <v>5.1145901601871708</v>
      </c>
      <c r="K54" s="37">
        <f>IF(Settings!$E$18="C/LW/RW",VLOOKUP(B54,LW!A1:F130,6,FALSE),VLOOKUP(B54,F!A1:F430,6,FALSE))</f>
        <v>38.830182142264391</v>
      </c>
      <c r="L54" s="37">
        <f>IFERROR(K54/H54,"N/A")</f>
        <v>7.0600331167753438</v>
      </c>
      <c r="M54" s="39">
        <f>IF(Settings!$E$9="YAHOO",VLOOKUP(B54,ADP!A1:E728,2,FALSE),IF(Settings!$E$9="ESPN",VLOOKUP(B54,ADP!A1:E728,3,FALSE),IF(Settings!$E$9="FANTRAX",VLOOKUP(B54,ADP!A1:E728,4,FALSE),VLOOKUP(B54,ADP!A1:E728,5,FALSE))))</f>
        <v>41.4</v>
      </c>
      <c r="N54" s="39">
        <f>IFERROR(M54-A54,"N/A")</f>
        <v>-11.600000000000001</v>
      </c>
      <c r="O54" s="39"/>
      <c r="P54" s="40" t="str">
        <f>IF(Settings!$E$27="ON",VLOOKUP(B54,ADP!A1:H728,8,FALSE)," ")</f>
        <v xml:space="preserve"> </v>
      </c>
      <c r="Q54" s="41">
        <f>IF(Settings!$E$12="YES",VLOOKUP(B54,'Player Data'!A1:E734,5,FALSE),82)</f>
        <v>78.768928571428603</v>
      </c>
      <c r="R54" s="39">
        <f>VLOOKUP(B54,'Player Data'!$A1:$AE734,6,FALSE)</f>
        <v>20.099493205368201</v>
      </c>
      <c r="S54" s="41">
        <f>VLOOKUP(B54,'Player Data'!$A1:$AE734,7,FALSE)*$Q54*IFERROR((VLOOKUP(P54,Settings!$E$28:$F$33,2,FALSE)+1),1)</f>
        <v>33.289530940623131</v>
      </c>
      <c r="T54" s="41">
        <f>VLOOKUP(B54,'Player Data'!$A1:$AE734,8,FALSE)*$Q54*IFERROR((VLOOKUP(P54,Settings!$E$28:$F$33,2,FALSE)+1),1)</f>
        <v>40.433432412863489</v>
      </c>
      <c r="U54" s="41">
        <f>SUM(S54:T54)</f>
        <v>73.72296335348662</v>
      </c>
      <c r="V54" s="41">
        <f>VLOOKUP(B54,'Player Data'!$A1:$AE734,10,FALSE)*$Q54*IFERROR(((VLOOKUP(P54,Settings!$E$28:$F$33,2,FALSE)/2)+1),1)</f>
        <v>262.46022113152424</v>
      </c>
      <c r="W54" s="41">
        <f>VLOOKUP(B54,'Player Data'!$A1:$AE734,11,FALSE)*$Q54*IFERROR((VLOOKUP(P54,Settings!$E$28:$F$33,2,FALSE)+1),1)</f>
        <v>11.962521215116469</v>
      </c>
      <c r="X54" s="41">
        <f>VLOOKUP(B54,'Player Data'!$A1:$AE734,12,FALSE)*$Q54*IFERROR((VLOOKUP(P54,Settings!$E$28:$F$33,2,FALSE)+1),1)</f>
        <v>22.292272892478568</v>
      </c>
      <c r="Y54" s="41">
        <f>VLOOKUP(B54,'Player Data'!$A1:$AE734,13,FALSE)*$Q54</f>
        <v>0.17266503886827961</v>
      </c>
      <c r="Z54" s="41">
        <f>VLOOKUP(B54,'Player Data'!$A1:$AE734,14,FALSE)*$Q54</f>
        <v>0.59465907658553774</v>
      </c>
      <c r="AA54" s="41">
        <f>VLOOKUP(B54,'Player Data'!$A1:$AE734,15,FALSE)*$Q54</f>
        <v>23.489612177823222</v>
      </c>
      <c r="AB54" s="41">
        <f>VLOOKUP(B54,'Player Data'!$A1:$AE734,16,FALSE)*$Q54</f>
        <v>77.078505158282439</v>
      </c>
      <c r="AC54" s="41">
        <f>VLOOKUP(B54,'Player Data'!$A1:$AE734,17,FALSE)*$Q54*IFERROR((VLOOKUP(P54,Settings!$E$28:$F$33,2,FALSE)+1),1)</f>
        <v>8.0208179747440926</v>
      </c>
      <c r="AD54" s="41">
        <f>VLOOKUP(B54,'Player Data'!$A1:$AE734,18,FALSE)*$Q54</f>
        <v>40.788463433276249</v>
      </c>
      <c r="AE54" s="41">
        <f>VLOOKUP(B54,'Player Data'!$A1:$AE734,19,FALSE)*$Q54*IFERROR((VLOOKUP(P54,Settings!$E$28:$F$33,2,FALSE)+1),1)</f>
        <v>5.2693753640486065</v>
      </c>
      <c r="AF54" s="41">
        <f>VLOOKUP(B54,'Player Data'!$A1:$AE734,20,FALSE)*$Q54</f>
        <v>14.625311350700496</v>
      </c>
      <c r="AG54" s="41">
        <f>VLOOKUP(B54,'Player Data'!$A1:$AE734,21,FALSE)*$Q54</f>
        <v>16.633001373153345</v>
      </c>
      <c r="AH54" s="42">
        <f>VLOOKUP(B54,'Player Data'!$A1:$AE734,22,FALSE)</f>
        <v>0.46788550232718201</v>
      </c>
      <c r="AI54" s="39"/>
      <c r="AJ54" s="43"/>
      <c r="AK54" s="41"/>
      <c r="AL54" s="41"/>
      <c r="AM54" s="41"/>
      <c r="AN54" s="41"/>
      <c r="AO54" s="41"/>
      <c r="AP54" s="41"/>
      <c r="AQ54" s="44"/>
      <c r="AR54" s="45"/>
      <c r="AS54" s="39"/>
    </row>
    <row r="55" spans="1:45" ht="21.25" customHeight="1" x14ac:dyDescent="0.15">
      <c r="A55" s="31">
        <f>RANK(K55,K$2:K$727)</f>
        <v>54</v>
      </c>
      <c r="B55" s="8" t="s">
        <v>159</v>
      </c>
      <c r="C55" s="32" t="s">
        <v>106</v>
      </c>
      <c r="D55" s="33" t="str">
        <f>VLOOKUP(B55,'Player Data'!A1:D734,4,FALSE)</f>
        <v>C</v>
      </c>
      <c r="E55" s="34">
        <f>VLOOKUP(B55,'C'!A1:C211,3,FALSE)</f>
        <v>12</v>
      </c>
      <c r="F55" s="35" t="str">
        <f>VLOOKUP(B55,'Player Data'!A1:B734,2,FALSE)</f>
        <v>TBL</v>
      </c>
      <c r="G55" s="9">
        <f>VLOOKUP(B55,'Player Data'!A1:D734,3,FALSE)</f>
        <v>33</v>
      </c>
      <c r="H55" s="36">
        <f>IFERROR(VLOOKUP(B55,ADP!A1:G728,7,FALSE)/1000000,VLOOKUP(B55,ADP!A1:G728,7,FALSE))</f>
        <v>8.5</v>
      </c>
      <c r="I55" s="37">
        <f>IF(Settings!$E$15="POINTS",((R55*Q55)*Settings!$B$12)+(S55*Settings!$B$2)+(T55*Settings!$B$3)+(U55*Settings!$B$4)+(V55*Settings!$B$5)+(X55*Settings!$B$9)+(AA55*Settings!$B$6)+(W55*Settings!$B$8)+(AB55*Settings!$B$7)+(AC55*Settings!$B$14)+(AD55*Settings!$B$15)+(AE55*Settings!$B$16)+(AF55*Settings!$B$17)+(AG55*Settings!$B$18)+(Y55*Settings!$B$10)+(Z55*Settings!$B$11),VLOOKUP(B55,'Standard Deviations'!A1:C728,3,FALSE))</f>
        <v>430.2150728063657</v>
      </c>
      <c r="J55" s="38">
        <f>IF(D55="G",I55/AJ55,I55/Q55)</f>
        <v>5.4183258539844541</v>
      </c>
      <c r="K55" s="37">
        <f>IF(Settings!$E$18="C/LW/RW",VLOOKUP(B55,'C'!A1:F211,6,FALSE),VLOOKUP(B55,F!A1:F430,6,FALSE))</f>
        <v>36.886267040156042</v>
      </c>
      <c r="L55" s="37">
        <f>IFERROR(K55/H55,"N/A")</f>
        <v>4.339560828253652</v>
      </c>
      <c r="M55" s="39">
        <f>IF(Settings!$E$9="YAHOO",VLOOKUP(B55,ADP!A1:E728,2,FALSE),IF(Settings!$E$9="ESPN",VLOOKUP(B55,ADP!A1:E728,3,FALSE),IF(Settings!$E$9="FANTRAX",VLOOKUP(B55,ADP!A1:E728,4,FALSE),VLOOKUP(B55,ADP!A1:E728,5,FALSE))))</f>
        <v>35.200000000000003</v>
      </c>
      <c r="N55" s="39">
        <f>IFERROR(M55-A55,"N/A")</f>
        <v>-18.799999999999997</v>
      </c>
      <c r="O55" s="39"/>
      <c r="P55" s="40" t="str">
        <f>IF(Settings!$E$27="ON",VLOOKUP(B55,ADP!A1:H728,8,FALSE)," ")</f>
        <v>-</v>
      </c>
      <c r="Q55" s="41">
        <f>IF(Settings!$E$12="YES",VLOOKUP(B55,'Player Data'!A1:E734,5,FALSE),82)</f>
        <v>79.400000000000006</v>
      </c>
      <c r="R55" s="39">
        <f>VLOOKUP(B55,'Player Data'!$A1:$AE734,6,FALSE)</f>
        <v>18.999190690615599</v>
      </c>
      <c r="S55" s="41">
        <f>VLOOKUP(B55,'Player Data'!$A1:$AE734,7,FALSE)*$Q55*IFERROR((VLOOKUP(P55,Settings!$E$28:$F$33,2,FALSE)+1),1)</f>
        <v>32.529208791713522</v>
      </c>
      <c r="T55" s="41">
        <f>VLOOKUP(B55,'Player Data'!$A1:$AE734,8,FALSE)*$Q55*IFERROR((VLOOKUP(P55,Settings!$E$28:$F$33,2,FALSE)+1),1)</f>
        <v>49.300801851368227</v>
      </c>
      <c r="U55" s="41">
        <f>SUM(S55:T55)</f>
        <v>81.830010643081749</v>
      </c>
      <c r="V55" s="41">
        <f>VLOOKUP(B55,'Player Data'!$A1:$AE734,10,FALSE)*$Q55*IFERROR(((VLOOKUP(P55,Settings!$E$28:$F$33,2,FALSE)/2)+1),1)</f>
        <v>228.65657078207599</v>
      </c>
      <c r="W55" s="41">
        <f>VLOOKUP(B55,'Player Data'!$A1:$AE734,11,FALSE)*$Q55*IFERROR((VLOOKUP(P55,Settings!$E$28:$F$33,2,FALSE)+1),1)</f>
        <v>12.737120480301758</v>
      </c>
      <c r="X55" s="41">
        <f>VLOOKUP(B55,'Player Data'!$A1:$AE734,12,FALSE)*$Q55*IFERROR((VLOOKUP(P55,Settings!$E$28:$F$33,2,FALSE)+1),1)</f>
        <v>30.695698658995937</v>
      </c>
      <c r="Y55" s="41">
        <f>VLOOKUP(B55,'Player Data'!$A1:$AE734,13,FALSE)*$Q55</f>
        <v>6.0137466888113555E-2</v>
      </c>
      <c r="Z55" s="41">
        <f>VLOOKUP(B55,'Player Data'!$A1:$AE734,14,FALSE)*$Q55</f>
        <v>0.21076632814357363</v>
      </c>
      <c r="AA55" s="41">
        <f>VLOOKUP(B55,'Player Data'!$A1:$AE734,15,FALSE)*$Q55</f>
        <v>42.919127559016978</v>
      </c>
      <c r="AB55" s="41">
        <f>VLOOKUP(B55,'Player Data'!$A1:$AE734,16,FALSE)*$Q55</f>
        <v>89.487346987800933</v>
      </c>
      <c r="AC55" s="41">
        <f>VLOOKUP(B55,'Player Data'!$A1:$AE734,17,FALSE)*$Q55*IFERROR((VLOOKUP(P55,Settings!$E$28:$F$33,2,FALSE)+1),1)</f>
        <v>1.2008248653144806</v>
      </c>
      <c r="AD55" s="41">
        <f>VLOOKUP(B55,'Player Data'!$A1:$AE734,18,FALSE)*$Q55</f>
        <v>40.15562456277258</v>
      </c>
      <c r="AE55" s="41">
        <f>VLOOKUP(B55,'Player Data'!$A1:$AE734,19,FALSE)*$Q55*IFERROR((VLOOKUP(P55,Settings!$E$28:$F$33,2,FALSE)+1),1)</f>
        <v>5.0908329921585871</v>
      </c>
      <c r="AF55" s="41">
        <f>VLOOKUP(B55,'Player Data'!$A1:$AE734,20,FALSE)*$Q55</f>
        <v>497.89691303511745</v>
      </c>
      <c r="AG55" s="41">
        <f>VLOOKUP(B55,'Player Data'!$A1:$AE734,21,FALSE)*$Q55</f>
        <v>438.61934166267952</v>
      </c>
      <c r="AH55" s="42">
        <f>VLOOKUP(B55,'Player Data'!$A1:$AE734,22,FALSE)</f>
        <v>0.53164791378424403</v>
      </c>
      <c r="AI55" s="39"/>
      <c r="AJ55" s="43"/>
      <c r="AK55" s="41"/>
      <c r="AL55" s="41"/>
      <c r="AM55" s="41"/>
      <c r="AN55" s="41"/>
      <c r="AO55" s="41"/>
      <c r="AP55" s="41"/>
      <c r="AQ55" s="44"/>
      <c r="AR55" s="45"/>
      <c r="AS55" s="39"/>
    </row>
    <row r="56" spans="1:45" ht="21.25" customHeight="1" x14ac:dyDescent="0.15">
      <c r="A56" s="31">
        <f>RANK(K56,K$2:K$727)</f>
        <v>55</v>
      </c>
      <c r="B56" s="8" t="s">
        <v>160</v>
      </c>
      <c r="C56" s="32" t="s">
        <v>106</v>
      </c>
      <c r="D56" s="33" t="str">
        <f>VLOOKUP(B56,'Player Data'!A1:D734,4,FALSE)</f>
        <v>C</v>
      </c>
      <c r="E56" s="34">
        <f>VLOOKUP(B56,'C'!A1:C211,3,FALSE)</f>
        <v>13</v>
      </c>
      <c r="F56" s="35" t="str">
        <f>VLOOKUP(B56,'Player Data'!A1:B734,2,FALSE)</f>
        <v>TOR</v>
      </c>
      <c r="G56" s="9">
        <f>VLOOKUP(B56,'Player Data'!A1:D734,3,FALSE)</f>
        <v>32</v>
      </c>
      <c r="H56" s="36">
        <f>IFERROR(VLOOKUP(B56,ADP!A1:G728,7,FALSE)/1000000,VLOOKUP(B56,ADP!A1:G728,7,FALSE))</f>
        <v>11</v>
      </c>
      <c r="I56" s="37">
        <f>IF(Settings!$E$15="POINTS",((R56*Q56)*Settings!$B$12)+(S56*Settings!$B$2)+(T56*Settings!$B$3)+(U56*Settings!$B$4)+(V56*Settings!$B$5)+(X56*Settings!$B$9)+(AA56*Settings!$B$6)+(W56*Settings!$B$8)+(AB56*Settings!$B$7)+(AC56*Settings!$B$14)+(AD56*Settings!$B$15)+(AE56*Settings!$B$16)+(AF56*Settings!$B$17)+(AG56*Settings!$B$18)+(Y56*Settings!$B$10)+(Z56*Settings!$B$11),VLOOKUP(B56,'Standard Deviations'!A1:C728,3,FALSE))</f>
        <v>428.75740533170483</v>
      </c>
      <c r="J56" s="38">
        <f>IF(D56="G",I56/AJ56,I56/Q56)</f>
        <v>5.2762024960062126</v>
      </c>
      <c r="K56" s="37">
        <f>IF(Settings!$E$18="C/LW/RW",VLOOKUP(B56,'C'!A1:F211,6,FALSE),VLOOKUP(B56,F!A1:F430,6,FALSE))</f>
        <v>35.428599565495176</v>
      </c>
      <c r="L56" s="37">
        <f>IFERROR(K56/H56,"N/A")</f>
        <v>3.2207817786813795</v>
      </c>
      <c r="M56" s="39">
        <f>IF(Settings!$E$9="YAHOO",VLOOKUP(B56,ADP!A1:E728,2,FALSE),IF(Settings!$E$9="ESPN",VLOOKUP(B56,ADP!A1:E728,3,FALSE),IF(Settings!$E$9="FANTRAX",VLOOKUP(B56,ADP!A1:E728,4,FALSE),VLOOKUP(B56,ADP!A1:E728,5,FALSE))))</f>
        <v>38.200000000000003</v>
      </c>
      <c r="N56" s="39">
        <f>IFERROR(M56-A56,"N/A")</f>
        <v>-16.799999999999997</v>
      </c>
      <c r="O56" s="39"/>
      <c r="P56" s="40" t="str">
        <f>IF(Settings!$E$27="ON",VLOOKUP(B56,ADP!A1:H728,8,FALSE)," ")</f>
        <v xml:space="preserve"> </v>
      </c>
      <c r="Q56" s="41">
        <f>IF(Settings!$E$12="YES",VLOOKUP(B56,'Player Data'!A1:E734,5,FALSE),82)</f>
        <v>81.262500000000003</v>
      </c>
      <c r="R56" s="39">
        <f>VLOOKUP(B56,'Player Data'!$A1:$AE734,6,FALSE)</f>
        <v>17.589665453734799</v>
      </c>
      <c r="S56" s="41">
        <f>VLOOKUP(B56,'Player Data'!$A1:$AE734,7,FALSE)*$Q56*IFERROR((VLOOKUP(P56,Settings!$E$28:$F$33,2,FALSE)+1),1)</f>
        <v>30.537516093726943</v>
      </c>
      <c r="T56" s="41">
        <f>VLOOKUP(B56,'Player Data'!$A1:$AE734,8,FALSE)*$Q56*IFERROR((VLOOKUP(P56,Settings!$E$28:$F$33,2,FALSE)+1),1)</f>
        <v>44.499887133749098</v>
      </c>
      <c r="U56" s="41">
        <f>SUM(S56:T56)</f>
        <v>75.037403227476034</v>
      </c>
      <c r="V56" s="41">
        <f>VLOOKUP(B56,'Player Data'!$A1:$AE734,10,FALSE)*$Q56*IFERROR(((VLOOKUP(P56,Settings!$E$28:$F$33,2,FALSE)/2)+1),1)</f>
        <v>262.55305121605988</v>
      </c>
      <c r="W56" s="41">
        <f>VLOOKUP(B56,'Player Data'!$A1:$AE734,11,FALSE)*$Q56*IFERROR((VLOOKUP(P56,Settings!$E$28:$F$33,2,FALSE)+1),1)</f>
        <v>13.973425226061279</v>
      </c>
      <c r="X56" s="41">
        <f>VLOOKUP(B56,'Player Data'!$A1:$AE734,12,FALSE)*$Q56*IFERROR((VLOOKUP(P56,Settings!$E$28:$F$33,2,FALSE)+1),1)</f>
        <v>32.371858179658119</v>
      </c>
      <c r="Y56" s="41">
        <f>VLOOKUP(B56,'Player Data'!$A1:$AE734,13,FALSE)*$Q56</f>
        <v>5.7695421841652359E-3</v>
      </c>
      <c r="Z56" s="41">
        <f>VLOOKUP(B56,'Player Data'!$A1:$AE734,14,FALSE)*$Q56</f>
        <v>1.0629863811944631E-2</v>
      </c>
      <c r="AA56" s="41">
        <f>VLOOKUP(B56,'Player Data'!$A1:$AE734,15,FALSE)*$Q56</f>
        <v>38.01846977153324</v>
      </c>
      <c r="AB56" s="41">
        <f>VLOOKUP(B56,'Player Data'!$A1:$AE734,16,FALSE)*$Q56</f>
        <v>101.57956546312431</v>
      </c>
      <c r="AC56" s="41">
        <f>VLOOKUP(B56,'Player Data'!$A1:$AE734,17,FALSE)*$Q56*IFERROR((VLOOKUP(P56,Settings!$E$28:$F$33,2,FALSE)+1),1)</f>
        <v>5.1965553434757705</v>
      </c>
      <c r="AD56" s="41">
        <f>VLOOKUP(B56,'Player Data'!$A1:$AE734,18,FALSE)*$Q56</f>
        <v>31.544194997489004</v>
      </c>
      <c r="AE56" s="41">
        <f>VLOOKUP(B56,'Player Data'!$A1:$AE734,19,FALSE)*$Q56*IFERROR((VLOOKUP(P56,Settings!$E$28:$F$33,2,FALSE)+1),1)</f>
        <v>4.9058438437084906</v>
      </c>
      <c r="AF56" s="41">
        <f>VLOOKUP(B56,'Player Data'!$A1:$AE734,20,FALSE)*$Q56</f>
        <v>741.89778681786811</v>
      </c>
      <c r="AG56" s="41">
        <f>VLOOKUP(B56,'Player Data'!$A1:$AE734,21,FALSE)*$Q56</f>
        <v>523.69532428451021</v>
      </c>
      <c r="AH56" s="42">
        <f>VLOOKUP(B56,'Player Data'!$A1:$AE734,22,FALSE)</f>
        <v>0.58620561403945004</v>
      </c>
      <c r="AI56" s="39"/>
      <c r="AJ56" s="41"/>
      <c r="AK56" s="41"/>
      <c r="AL56" s="41"/>
      <c r="AM56" s="41"/>
      <c r="AN56" s="41"/>
      <c r="AO56" s="41"/>
      <c r="AP56" s="41"/>
      <c r="AQ56" s="44"/>
      <c r="AR56" s="45"/>
      <c r="AS56" s="39"/>
    </row>
    <row r="57" spans="1:45" ht="21.25" customHeight="1" x14ac:dyDescent="0.15">
      <c r="A57" s="31">
        <f>RANK(K57,K$2:K$727)</f>
        <v>56</v>
      </c>
      <c r="B57" s="8" t="s">
        <v>161</v>
      </c>
      <c r="C57" s="32" t="s">
        <v>106</v>
      </c>
      <c r="D57" s="33" t="str">
        <f>VLOOKUP(B57,'Player Data'!A1:D734,4,FALSE)</f>
        <v>RW</v>
      </c>
      <c r="E57" s="46">
        <f>VLOOKUP(B57,RW!A1:F97,3,FALSE)</f>
        <v>11</v>
      </c>
      <c r="F57" s="35" t="str">
        <f>VLOOKUP(B57,'Player Data'!A1:B734,2,FALSE)</f>
        <v>DET</v>
      </c>
      <c r="G57" s="9">
        <f>VLOOKUP(B57,'Player Data'!A1:D734,3,FALSE)</f>
        <v>25</v>
      </c>
      <c r="H57" s="36">
        <f>IFERROR(VLOOKUP(B57,ADP!A1:G728,7,FALSE)/1000000,VLOOKUP(B57,ADP!A1:G728,7,FALSE))</f>
        <v>7.875</v>
      </c>
      <c r="I57" s="37">
        <f>IF(Settings!$E$15="POINTS",((R57*Q57)*Settings!$B$12)+(S57*Settings!$B$2)+(T57*Settings!$B$3)+(U57*Settings!$B$4)+(V57*Settings!$B$5)+(X57*Settings!$B$9)+(AA57*Settings!$B$6)+(W57*Settings!$B$8)+(AB57*Settings!$B$7)+(AC57*Settings!$B$14)+(AD57*Settings!$B$15)+(AE57*Settings!$B$16)+(AF57*Settings!$B$17)+(AG57*Settings!$B$18)+(Y57*Settings!$B$10)+(Z57*Settings!$B$11),VLOOKUP(B57,'Standard Deviations'!A1:C728,3,FALSE))</f>
        <v>385.48351192549001</v>
      </c>
      <c r="J57" s="38">
        <f>IF(D57="G",I57/AJ57,I57/Q57)</f>
        <v>4.7330946369620435</v>
      </c>
      <c r="K57" s="37">
        <f>IF(Settings!$E$18="C/LW/RW",VLOOKUP(B57,RW!A1:F97,6,FALSE),VLOOKUP(B57,F!A1:F430,6,FALSE))</f>
        <v>35.211971377600435</v>
      </c>
      <c r="L57" s="37">
        <f>IFERROR(K57/H57,"N/A")</f>
        <v>4.4713614447746588</v>
      </c>
      <c r="M57" s="39">
        <f>IF(Settings!$E$9="YAHOO",VLOOKUP(B57,ADP!A1:E728,2,FALSE),IF(Settings!$E$9="ESPN",VLOOKUP(B57,ADP!A1:E728,3,FALSE),IF(Settings!$E$9="FANTRAX",VLOOKUP(B57,ADP!A1:E728,4,FALSE),VLOOKUP(B57,ADP!A1:E728,5,FALSE))))</f>
        <v>57.5</v>
      </c>
      <c r="N57" s="39">
        <f>IFERROR(M57-A57,"N/A")</f>
        <v>1.5</v>
      </c>
      <c r="O57" s="39"/>
      <c r="P57" s="40" t="str">
        <f>IF(Settings!$E$27="ON",VLOOKUP(B57,ADP!A1:H728,8,FALSE)," ")</f>
        <v xml:space="preserve"> </v>
      </c>
      <c r="Q57" s="41">
        <f>IF(Settings!$E$12="YES",VLOOKUP(B57,'Player Data'!A1:E734,5,FALSE),82)</f>
        <v>81.444285714285698</v>
      </c>
      <c r="R57" s="39">
        <f>VLOOKUP(B57,'Player Data'!$A1:$AE734,6,FALSE)</f>
        <v>18.349452822980201</v>
      </c>
      <c r="S57" s="41">
        <f>VLOOKUP(B57,'Player Data'!$A1:$AE734,7,FALSE)*$Q57*IFERROR((VLOOKUP(P57,Settings!$E$28:$F$33,2,FALSE)+1),1)</f>
        <v>31.857388852848057</v>
      </c>
      <c r="T57" s="41">
        <f>VLOOKUP(B57,'Player Data'!$A1:$AE734,8,FALSE)*$Q57*IFERROR((VLOOKUP(P57,Settings!$E$28:$F$33,2,FALSE)+1),1)</f>
        <v>36.714122428085986</v>
      </c>
      <c r="U57" s="41">
        <f>SUM(S57:T57)</f>
        <v>68.571511280934047</v>
      </c>
      <c r="V57" s="41">
        <f>VLOOKUP(B57,'Player Data'!$A1:$AE734,10,FALSE)*$Q57*IFERROR(((VLOOKUP(P57,Settings!$E$28:$F$33,2,FALSE)/2)+1),1)</f>
        <v>241.47055914047914</v>
      </c>
      <c r="W57" s="41">
        <f>VLOOKUP(B57,'Player Data'!$A1:$AE734,11,FALSE)*$Q57*IFERROR((VLOOKUP(P57,Settings!$E$28:$F$33,2,FALSE)+1),1)</f>
        <v>10.7587323380227</v>
      </c>
      <c r="X57" s="41">
        <f>VLOOKUP(B57,'Player Data'!$A1:$AE734,12,FALSE)*$Q57*IFERROR((VLOOKUP(P57,Settings!$E$28:$F$33,2,FALSE)+1),1)</f>
        <v>25.971383935940306</v>
      </c>
      <c r="Y57" s="41">
        <f>VLOOKUP(B57,'Player Data'!$A1:$AE734,13,FALSE)*$Q57</f>
        <v>2.0963171208180992E-2</v>
      </c>
      <c r="Z57" s="41">
        <f>VLOOKUP(B57,'Player Data'!$A1:$AE734,14,FALSE)*$Q57</f>
        <v>2.7619165495783006E-2</v>
      </c>
      <c r="AA57" s="41">
        <f>VLOOKUP(B57,'Player Data'!$A1:$AE734,15,FALSE)*$Q57</f>
        <v>35.178461547880673</v>
      </c>
      <c r="AB57" s="41">
        <f>VLOOKUP(B57,'Player Data'!$A1:$AE734,16,FALSE)*$Q57</f>
        <v>99.237071734946852</v>
      </c>
      <c r="AC57" s="41">
        <f>VLOOKUP(B57,'Player Data'!$A1:$AE734,17,FALSE)*$Q57*IFERROR((VLOOKUP(P57,Settings!$E$28:$F$33,2,FALSE)+1),1)</f>
        <v>-2.4598752474023908</v>
      </c>
      <c r="AD57" s="41">
        <f>VLOOKUP(B57,'Player Data'!$A1:$AE734,18,FALSE)*$Q57</f>
        <v>23.238844305222322</v>
      </c>
      <c r="AE57" s="41">
        <f>VLOOKUP(B57,'Player Data'!$A1:$AE734,19,FALSE)*$Q57*IFERROR((VLOOKUP(P57,Settings!$E$28:$F$33,2,FALSE)+1),1)</f>
        <v>4.1131506796129678</v>
      </c>
      <c r="AF57" s="41">
        <f>VLOOKUP(B57,'Player Data'!$A1:$AE734,20,FALSE)*$Q57</f>
        <v>12.609655713469119</v>
      </c>
      <c r="AG57" s="41">
        <f>VLOOKUP(B57,'Player Data'!$A1:$AE734,21,FALSE)*$Q57</f>
        <v>15.740972618093393</v>
      </c>
      <c r="AH57" s="42">
        <f>VLOOKUP(B57,'Player Data'!$A1:$AE734,22,FALSE)</f>
        <v>0.44477517626764101</v>
      </c>
      <c r="AI57" s="39"/>
      <c r="AJ57" s="43"/>
      <c r="AK57" s="41"/>
      <c r="AL57" s="41"/>
      <c r="AM57" s="41"/>
      <c r="AN57" s="41"/>
      <c r="AO57" s="41"/>
      <c r="AP57" s="41"/>
      <c r="AQ57" s="44"/>
      <c r="AR57" s="45"/>
      <c r="AS57" s="39"/>
    </row>
    <row r="58" spans="1:45" ht="21.25" customHeight="1" x14ac:dyDescent="0.15">
      <c r="A58" s="31">
        <f>RANK(K58,K$2:K$727)</f>
        <v>57</v>
      </c>
      <c r="B58" s="8" t="s">
        <v>162</v>
      </c>
      <c r="C58" s="32" t="s">
        <v>106</v>
      </c>
      <c r="D58" s="33" t="str">
        <f>VLOOKUP(B58,'Player Data'!A1:D734,4,FALSE)</f>
        <v>C</v>
      </c>
      <c r="E58" s="34">
        <f>VLOOKUP(B58,'C'!A1:C211,3,FALSE)</f>
        <v>14</v>
      </c>
      <c r="F58" s="35" t="str">
        <f>VLOOKUP(B58,'Player Data'!A1:B734,2,FALSE)</f>
        <v>NJD</v>
      </c>
      <c r="G58" s="9">
        <f>VLOOKUP(B58,'Player Data'!A1:D734,3,FALSE)</f>
        <v>24</v>
      </c>
      <c r="H58" s="36">
        <f>IFERROR(VLOOKUP(B58,ADP!A1:G728,7,FALSE)/1000000,VLOOKUP(B58,ADP!A1:G728,7,FALSE))</f>
        <v>7.25</v>
      </c>
      <c r="I58" s="37">
        <f>IF(Settings!$E$15="POINTS",((R58*Q58)*Settings!$B$12)+(S58*Settings!$B$2)+(T58*Settings!$B$3)+(U58*Settings!$B$4)+(V58*Settings!$B$5)+(X58*Settings!$B$9)+(AA58*Settings!$B$6)+(W58*Settings!$B$8)+(AB58*Settings!$B$7)+(AC58*Settings!$B$14)+(AD58*Settings!$B$15)+(AE58*Settings!$B$16)+(AF58*Settings!$B$17)+(AG58*Settings!$B$18)+(Y58*Settings!$B$10)+(Z58*Settings!$B$11),VLOOKUP(B58,'Standard Deviations'!A1:C728,3,FALSE))</f>
        <v>427.63964562746742</v>
      </c>
      <c r="J58" s="38">
        <f>IF(D58="G",I58/AJ58,I58/Q58)</f>
        <v>5.4497214939144571</v>
      </c>
      <c r="K58" s="37">
        <f>IF(Settings!$E$18="C/LW/RW",VLOOKUP(B58,'C'!A1:F211,6,FALSE),VLOOKUP(B58,F!A1:F430,6,FALSE))</f>
        <v>34.310839861257762</v>
      </c>
      <c r="L58" s="37">
        <f>IFERROR(K58/H58,"N/A")</f>
        <v>4.7325296360355535</v>
      </c>
      <c r="M58" s="39">
        <f>IF(Settings!$E$9="YAHOO",VLOOKUP(B58,ADP!A1:E728,2,FALSE),IF(Settings!$E$9="ESPN",VLOOKUP(B58,ADP!A1:E728,3,FALSE),IF(Settings!$E$9="FANTRAX",VLOOKUP(B58,ADP!A1:E728,4,FALSE),VLOOKUP(B58,ADP!A1:E728,5,FALSE))))</f>
        <v>69.099999999999994</v>
      </c>
      <c r="N58" s="39">
        <f>IFERROR(M58-A58,"N/A")</f>
        <v>12.099999999999994</v>
      </c>
      <c r="O58" s="39"/>
      <c r="P58" s="40" t="str">
        <f>IF(Settings!$E$27="ON",VLOOKUP(B58,ADP!A1:H728,8,FALSE)," ")</f>
        <v>+</v>
      </c>
      <c r="Q58" s="41">
        <f>IF(Settings!$E$12="YES",VLOOKUP(B58,'Player Data'!A1:E734,5,FALSE),82)</f>
        <v>78.47</v>
      </c>
      <c r="R58" s="39">
        <f>VLOOKUP(B58,'Player Data'!$A1:$AE734,6,FALSE)</f>
        <v>20.2532768230359</v>
      </c>
      <c r="S58" s="41">
        <f>VLOOKUP(B58,'Player Data'!$A1:$AE734,7,FALSE)*$Q58*IFERROR((VLOOKUP(P58,Settings!$E$28:$F$33,2,FALSE)+1),1)</f>
        <v>31.353639720704226</v>
      </c>
      <c r="T58" s="41">
        <f>VLOOKUP(B58,'Player Data'!$A1:$AE734,8,FALSE)*$Q58*IFERROR((VLOOKUP(P58,Settings!$E$28:$F$33,2,FALSE)+1),1)</f>
        <v>49.631534851585208</v>
      </c>
      <c r="U58" s="41">
        <f>SUM(S58:T58)</f>
        <v>80.985174572289438</v>
      </c>
      <c r="V58" s="41">
        <f>VLOOKUP(B58,'Player Data'!$A1:$AE734,10,FALSE)*$Q58*IFERROR(((VLOOKUP(P58,Settings!$E$28:$F$33,2,FALSE)/2)+1),1)</f>
        <v>245.00135328630839</v>
      </c>
      <c r="W58" s="41">
        <f>VLOOKUP(B58,'Player Data'!$A1:$AE734,11,FALSE)*$Q58*IFERROR((VLOOKUP(P58,Settings!$E$28:$F$33,2,FALSE)+1),1)</f>
        <v>8.1901950603197058</v>
      </c>
      <c r="X58" s="41">
        <f>VLOOKUP(B58,'Player Data'!$A1:$AE734,12,FALSE)*$Q58*IFERROR((VLOOKUP(P58,Settings!$E$28:$F$33,2,FALSE)+1),1)</f>
        <v>21.476664356779825</v>
      </c>
      <c r="Y58" s="41">
        <f>VLOOKUP(B58,'Player Data'!$A1:$AE734,13,FALSE)*$Q58</f>
        <v>2.2575339748506709</v>
      </c>
      <c r="Z58" s="41">
        <f>VLOOKUP(B58,'Player Data'!$A1:$AE734,14,FALSE)*$Q58</f>
        <v>3.7455261213327868</v>
      </c>
      <c r="AA58" s="41">
        <f>VLOOKUP(B58,'Player Data'!$A1:$AE734,15,FALSE)*$Q58</f>
        <v>58.695321556098854</v>
      </c>
      <c r="AB58" s="41">
        <f>VLOOKUP(B58,'Player Data'!$A1:$AE734,16,FALSE)*$Q58</f>
        <v>45.177214494265485</v>
      </c>
      <c r="AC58" s="41">
        <f>VLOOKUP(B58,'Player Data'!$A1:$AE734,17,FALSE)*$Q58*IFERROR((VLOOKUP(P58,Settings!$E$28:$F$33,2,FALSE)+1),1)</f>
        <v>2.0086181611445526</v>
      </c>
      <c r="AD58" s="41">
        <f>VLOOKUP(B58,'Player Data'!$A1:$AE734,18,FALSE)*$Q58</f>
        <v>18.490932276055212</v>
      </c>
      <c r="AE58" s="41">
        <f>VLOOKUP(B58,'Player Data'!$A1:$AE734,19,FALSE)*$Q58*IFERROR((VLOOKUP(P58,Settings!$E$28:$F$33,2,FALSE)+1),1)</f>
        <v>4.6149611798419672</v>
      </c>
      <c r="AF58" s="41">
        <f>VLOOKUP(B58,'Player Data'!$A1:$AE734,20,FALSE)*$Q58</f>
        <v>890.55835778377502</v>
      </c>
      <c r="AG58" s="41">
        <f>VLOOKUP(B58,'Player Data'!$A1:$AE734,21,FALSE)*$Q58</f>
        <v>778.38060324873186</v>
      </c>
      <c r="AH58" s="42">
        <f>VLOOKUP(B58,'Player Data'!$A1:$AE734,22,FALSE)</f>
        <v>0.533607506671678</v>
      </c>
      <c r="AI58" s="39"/>
      <c r="AJ58" s="43"/>
      <c r="AK58" s="41"/>
      <c r="AL58" s="41"/>
      <c r="AM58" s="41"/>
      <c r="AN58" s="41"/>
      <c r="AO58" s="41"/>
      <c r="AP58" s="41"/>
      <c r="AQ58" s="44"/>
      <c r="AR58" s="45"/>
      <c r="AS58" s="39"/>
    </row>
    <row r="59" spans="1:45" ht="21.25" customHeight="1" x14ac:dyDescent="0.15">
      <c r="A59" s="31">
        <f>RANK(K59,K$2:K$727)</f>
        <v>58</v>
      </c>
      <c r="B59" s="8" t="s">
        <v>163</v>
      </c>
      <c r="C59" s="32" t="s">
        <v>106</v>
      </c>
      <c r="D59" s="33" t="str">
        <f>VLOOKUP(B59,'Player Data'!A1:D734,4,FALSE)</f>
        <v>C</v>
      </c>
      <c r="E59" s="34">
        <f>VLOOKUP(B59,'C'!A1:C211,3,FALSE)</f>
        <v>15</v>
      </c>
      <c r="F59" s="35" t="str">
        <f>VLOOKUP(B59,'Player Data'!A1:B734,2,FALSE)</f>
        <v>EDM</v>
      </c>
      <c r="G59" s="9">
        <f>VLOOKUP(B59,'Player Data'!A1:D734,3,FALSE)</f>
        <v>30</v>
      </c>
      <c r="H59" s="36">
        <f>IFERROR(VLOOKUP(B59,ADP!A1:G728,7,FALSE)/1000000,VLOOKUP(B59,ADP!A1:G728,7,FALSE))</f>
        <v>5.125</v>
      </c>
      <c r="I59" s="37">
        <f>IF(Settings!$E$15="POINTS",((R59*Q59)*Settings!$B$12)+(S59*Settings!$B$2)+(T59*Settings!$B$3)+(U59*Settings!$B$4)+(V59*Settings!$B$5)+(X59*Settings!$B$9)+(AA59*Settings!$B$6)+(W59*Settings!$B$8)+(AB59*Settings!$B$7)+(AC59*Settings!$B$14)+(AD59*Settings!$B$15)+(AE59*Settings!$B$16)+(AF59*Settings!$B$17)+(AG59*Settings!$B$18)+(Y59*Settings!$B$10)+(Z59*Settings!$B$11),VLOOKUP(B59,'Standard Deviations'!A1:C728,3,FALSE))</f>
        <v>425.95168931598198</v>
      </c>
      <c r="J59" s="38">
        <f>IF(D59="G",I59/AJ59,I59/Q59)</f>
        <v>5.4032987513410093</v>
      </c>
      <c r="K59" s="37">
        <f>IF(Settings!$E$18="C/LW/RW",VLOOKUP(B59,'C'!A1:F211,6,FALSE),VLOOKUP(B59,F!A1:F430,6,FALSE))</f>
        <v>32.622883549772325</v>
      </c>
      <c r="L59" s="37">
        <f>IFERROR(K59/H59,"N/A")</f>
        <v>6.3654406926385025</v>
      </c>
      <c r="M59" s="39">
        <f>IF(Settings!$E$9="YAHOO",VLOOKUP(B59,ADP!A1:E728,2,FALSE),IF(Settings!$E$9="ESPN",VLOOKUP(B59,ADP!A1:E728,3,FALSE),IF(Settings!$E$9="FANTRAX",VLOOKUP(B59,ADP!A1:E728,4,FALSE),VLOOKUP(B59,ADP!A1:E728,5,FALSE))))</f>
        <v>33</v>
      </c>
      <c r="N59" s="39">
        <f>IFERROR(M59-A59,"N/A")</f>
        <v>-25</v>
      </c>
      <c r="O59" s="39"/>
      <c r="P59" s="40" t="str">
        <f>IF(Settings!$E$27="ON",VLOOKUP(B59,ADP!A1:H728,8,FALSE)," ")</f>
        <v xml:space="preserve"> </v>
      </c>
      <c r="Q59" s="41">
        <f>IF(Settings!$E$12="YES",VLOOKUP(B59,'Player Data'!A1:E734,5,FALSE),82)</f>
        <v>78.831785714285701</v>
      </c>
      <c r="R59" s="39">
        <f>VLOOKUP(B59,'Player Data'!$A1:$AE734,6,FALSE)</f>
        <v>19.651690682164698</v>
      </c>
      <c r="S59" s="41">
        <f>VLOOKUP(B59,'Player Data'!$A1:$AE734,7,FALSE)*$Q59*IFERROR((VLOOKUP(P59,Settings!$E$28:$F$33,2,FALSE)+1),1)</f>
        <v>26.650630397312796</v>
      </c>
      <c r="T59" s="41">
        <f>VLOOKUP(B59,'Player Data'!$A1:$AE734,8,FALSE)*$Q59*IFERROR((VLOOKUP(P59,Settings!$E$28:$F$33,2,FALSE)+1),1)</f>
        <v>52.498910845892922</v>
      </c>
      <c r="U59" s="41">
        <f>SUM(S59:T59)</f>
        <v>79.149541243205718</v>
      </c>
      <c r="V59" s="41">
        <f>VLOOKUP(B59,'Player Data'!$A1:$AE734,10,FALSE)*$Q59*IFERROR(((VLOOKUP(P59,Settings!$E$28:$F$33,2,FALSE)/2)+1),1)</f>
        <v>194.18954457557356</v>
      </c>
      <c r="W59" s="41">
        <f>VLOOKUP(B59,'Player Data'!$A1:$AE734,11,FALSE)*$Q59*IFERROR((VLOOKUP(P59,Settings!$E$28:$F$33,2,FALSE)+1),1)</f>
        <v>10.010049414259047</v>
      </c>
      <c r="X59" s="41">
        <f>VLOOKUP(B59,'Player Data'!$A1:$AE734,12,FALSE)*$Q59*IFERROR((VLOOKUP(P59,Settings!$E$28:$F$33,2,FALSE)+1),1)</f>
        <v>39.016570921146815</v>
      </c>
      <c r="Y59" s="41">
        <f>VLOOKUP(B59,'Player Data'!$A1:$AE734,13,FALSE)*$Q59</f>
        <v>1.4263392638751535</v>
      </c>
      <c r="Z59" s="41">
        <f>VLOOKUP(B59,'Player Data'!$A1:$AE734,14,FALSE)*$Q59</f>
        <v>3.5721316304321</v>
      </c>
      <c r="AA59" s="41">
        <f>VLOOKUP(B59,'Player Data'!$A1:$AE734,15,FALSE)*$Q59</f>
        <v>31.154440977100975</v>
      </c>
      <c r="AB59" s="41">
        <f>VLOOKUP(B59,'Player Data'!$A1:$AE734,16,FALSE)*$Q59</f>
        <v>51.216522728041809</v>
      </c>
      <c r="AC59" s="41">
        <f>VLOOKUP(B59,'Player Data'!$A1:$AE734,17,FALSE)*$Q59*IFERROR((VLOOKUP(P59,Settings!$E$28:$F$33,2,FALSE)+1),1)</f>
        <v>6.0907988843093337</v>
      </c>
      <c r="AD59" s="41">
        <f>VLOOKUP(B59,'Player Data'!$A1:$AE734,18,FALSE)*$Q59</f>
        <v>30.84090853063957</v>
      </c>
      <c r="AE59" s="41">
        <f>VLOOKUP(B59,'Player Data'!$A1:$AE734,19,FALSE)*$Q59*IFERROR((VLOOKUP(P59,Settings!$E$28:$F$33,2,FALSE)+1),1)</f>
        <v>4.2185086807755541</v>
      </c>
      <c r="AF59" s="41">
        <f>VLOOKUP(B59,'Player Data'!$A1:$AE734,20,FALSE)*$Q59</f>
        <v>261.45191912424156</v>
      </c>
      <c r="AG59" s="41">
        <f>VLOOKUP(B59,'Player Data'!$A1:$AE734,21,FALSE)*$Q59</f>
        <v>333.34792886943103</v>
      </c>
      <c r="AH59" s="42">
        <f>VLOOKUP(B59,'Player Data'!$A1:$AE734,22,FALSE)</f>
        <v>0.439562854641185</v>
      </c>
      <c r="AI59" s="39"/>
      <c r="AJ59" s="41"/>
      <c r="AK59" s="41"/>
      <c r="AL59" s="41"/>
      <c r="AM59" s="41"/>
      <c r="AN59" s="41"/>
      <c r="AO59" s="41"/>
      <c r="AP59" s="41"/>
      <c r="AQ59" s="44"/>
      <c r="AR59" s="45"/>
      <c r="AS59" s="39"/>
    </row>
    <row r="60" spans="1:45" ht="21.25" customHeight="1" x14ac:dyDescent="0.15">
      <c r="A60" s="31">
        <f>RANK(K60,K$2:K$727)</f>
        <v>59</v>
      </c>
      <c r="B60" s="8" t="s">
        <v>164</v>
      </c>
      <c r="C60" s="32" t="s">
        <v>106</v>
      </c>
      <c r="D60" s="33" t="str">
        <f>VLOOKUP(B60,'Player Data'!A1:D734,4,FALSE)</f>
        <v>C</v>
      </c>
      <c r="E60" s="34">
        <f>VLOOKUP(B60,'C'!A1:C211,3,FALSE)</f>
        <v>16</v>
      </c>
      <c r="F60" s="35" t="str">
        <f>VLOOKUP(B60,'Player Data'!A1:B734,2,FALSE)</f>
        <v>DET</v>
      </c>
      <c r="G60" s="9">
        <f>VLOOKUP(B60,'Player Data'!A1:D734,3,FALSE)</f>
        <v>27</v>
      </c>
      <c r="H60" s="36">
        <f>IFERROR(VLOOKUP(B60,ADP!A1:G728,7,FALSE)/1000000,VLOOKUP(B60,ADP!A1:G728,7,FALSE))</f>
        <v>8.6999999999999993</v>
      </c>
      <c r="I60" s="37">
        <f>IF(Settings!$E$15="POINTS",((R60*Q60)*Settings!$B$12)+(S60*Settings!$B$2)+(T60*Settings!$B$3)+(U60*Settings!$B$4)+(V60*Settings!$B$5)+(X60*Settings!$B$9)+(AA60*Settings!$B$6)+(W60*Settings!$B$8)+(AB60*Settings!$B$7)+(AC60*Settings!$B$14)+(AD60*Settings!$B$15)+(AE60*Settings!$B$16)+(AF60*Settings!$B$17)+(AG60*Settings!$B$18)+(Y60*Settings!$B$10)+(Z60*Settings!$B$11),VLOOKUP(B60,'Standard Deviations'!A1:C728,3,FALSE))</f>
        <v>425.20343924739086</v>
      </c>
      <c r="J60" s="38">
        <f>IF(D60="G",I60/AJ60,I60/Q60)</f>
        <v>5.4231426874653019</v>
      </c>
      <c r="K60" s="37">
        <f>IF(Settings!$E$18="C/LW/RW",VLOOKUP(B60,'C'!A1:F211,6,FALSE),VLOOKUP(B60,F!A1:F430,6,FALSE))</f>
        <v>31.874633481181206</v>
      </c>
      <c r="L60" s="37">
        <f>IFERROR(K60/H60,"N/A")</f>
        <v>3.6637509748484147</v>
      </c>
      <c r="M60" s="39">
        <f>IF(Settings!$E$9="YAHOO",VLOOKUP(B60,ADP!A1:E728,2,FALSE),IF(Settings!$E$9="ESPN",VLOOKUP(B60,ADP!A1:E728,3,FALSE),IF(Settings!$E$9="FANTRAX",VLOOKUP(B60,ADP!A1:E728,4,FALSE),VLOOKUP(B60,ADP!A1:E728,5,FALSE))))</f>
        <v>70.599999999999994</v>
      </c>
      <c r="N60" s="39">
        <f>IFERROR(M60-A60,"N/A")</f>
        <v>11.599999999999994</v>
      </c>
      <c r="O60" s="39"/>
      <c r="P60" s="40" t="str">
        <f>IF(Settings!$E$27="ON",VLOOKUP(B60,ADP!A1:H728,8,FALSE)," ")</f>
        <v>+ +</v>
      </c>
      <c r="Q60" s="41">
        <f>IF(Settings!$E$12="YES",VLOOKUP(B60,'Player Data'!A1:E734,5,FALSE),82)</f>
        <v>78.405357142857099</v>
      </c>
      <c r="R60" s="39">
        <f>VLOOKUP(B60,'Player Data'!$A1:$AE734,6,FALSE)</f>
        <v>19.803300616979701</v>
      </c>
      <c r="S60" s="41">
        <f>VLOOKUP(B60,'Player Data'!$A1:$AE734,7,FALSE)*$Q60*IFERROR((VLOOKUP(P60,Settings!$E$28:$F$33,2,FALSE)+1),1)</f>
        <v>33.296182896339864</v>
      </c>
      <c r="T60" s="41">
        <f>VLOOKUP(B60,'Player Data'!$A1:$AE734,8,FALSE)*$Q60*IFERROR((VLOOKUP(P60,Settings!$E$28:$F$33,2,FALSE)+1),1)</f>
        <v>45.951161746953858</v>
      </c>
      <c r="U60" s="41">
        <f>SUM(S60:T60)</f>
        <v>79.247344643293729</v>
      </c>
      <c r="V60" s="41">
        <f>VLOOKUP(B60,'Player Data'!$A1:$AE734,10,FALSE)*$Q60*IFERROR(((VLOOKUP(P60,Settings!$E$28:$F$33,2,FALSE)/2)+1),1)</f>
        <v>248.46552998327147</v>
      </c>
      <c r="W60" s="41">
        <f>VLOOKUP(B60,'Player Data'!$A1:$AE734,11,FALSE)*$Q60*IFERROR((VLOOKUP(P60,Settings!$E$28:$F$33,2,FALSE)+1),1)</f>
        <v>12.77832186141865</v>
      </c>
      <c r="X60" s="41">
        <f>VLOOKUP(B60,'Player Data'!$A1:$AE734,12,FALSE)*$Q60*IFERROR((VLOOKUP(P60,Settings!$E$28:$F$33,2,FALSE)+1),1)</f>
        <v>27.297816030622755</v>
      </c>
      <c r="Y60" s="41">
        <f>VLOOKUP(B60,'Player Data'!$A1:$AE734,13,FALSE)*$Q60</f>
        <v>0.84927380973564859</v>
      </c>
      <c r="Z60" s="41">
        <f>VLOOKUP(B60,'Player Data'!$A1:$AE734,14,FALSE)*$Q60</f>
        <v>1.364674356193414</v>
      </c>
      <c r="AA60" s="41">
        <f>VLOOKUP(B60,'Player Data'!$A1:$AE734,15,FALSE)*$Q60</f>
        <v>29.518297761208345</v>
      </c>
      <c r="AB60" s="41">
        <f>VLOOKUP(B60,'Player Data'!$A1:$AE734,16,FALSE)*$Q60</f>
        <v>59.218345541161113</v>
      </c>
      <c r="AC60" s="41">
        <f>VLOOKUP(B60,'Player Data'!$A1:$AE734,17,FALSE)*$Q60*IFERROR((VLOOKUP(P60,Settings!$E$28:$F$33,2,FALSE)+1),1)</f>
        <v>-3.1498450234860202</v>
      </c>
      <c r="AD60" s="41">
        <f>VLOOKUP(B60,'Player Data'!$A1:$AE734,18,FALSE)*$Q60</f>
        <v>41.491653921846193</v>
      </c>
      <c r="AE60" s="41">
        <f>VLOOKUP(B60,'Player Data'!$A1:$AE734,19,FALSE)*$Q60*IFERROR((VLOOKUP(P60,Settings!$E$28:$F$33,2,FALSE)+1),1)</f>
        <v>4.29891532985304</v>
      </c>
      <c r="AF60" s="41">
        <f>VLOOKUP(B60,'Player Data'!$A1:$AE734,20,FALSE)*$Q60</f>
        <v>706.4374871728769</v>
      </c>
      <c r="AG60" s="41">
        <f>VLOOKUP(B60,'Player Data'!$A1:$AE734,21,FALSE)*$Q60</f>
        <v>630.17166665633931</v>
      </c>
      <c r="AH60" s="42">
        <f>VLOOKUP(B60,'Player Data'!$A1:$AE734,22,FALSE)</f>
        <v>0.52852958933359295</v>
      </c>
      <c r="AI60" s="39"/>
      <c r="AJ60" s="43"/>
      <c r="AK60" s="41"/>
      <c r="AL60" s="41"/>
      <c r="AM60" s="41"/>
      <c r="AN60" s="41"/>
      <c r="AO60" s="41"/>
      <c r="AP60" s="41"/>
      <c r="AQ60" s="44"/>
      <c r="AR60" s="45"/>
      <c r="AS60" s="39"/>
    </row>
    <row r="61" spans="1:45" ht="21.25" customHeight="1" x14ac:dyDescent="0.15">
      <c r="A61" s="31">
        <f>RANK(K61,K$2:K$727)</f>
        <v>60</v>
      </c>
      <c r="B61" s="8" t="s">
        <v>165</v>
      </c>
      <c r="C61" s="32" t="s">
        <v>106</v>
      </c>
      <c r="D61" s="33" t="str">
        <f>VLOOKUP(B61,'Player Data'!A1:D734,4,FALSE)</f>
        <v>RW</v>
      </c>
      <c r="E61" s="46">
        <f>VLOOKUP(B61,RW!A1:F97,3,FALSE)</f>
        <v>12</v>
      </c>
      <c r="F61" s="35" t="str">
        <f>VLOOKUP(B61,'Player Data'!A1:B734,2,FALSE)</f>
        <v>PHI</v>
      </c>
      <c r="G61" s="9">
        <f>VLOOKUP(B61,'Player Data'!A1:D734,3,FALSE)</f>
        <v>26</v>
      </c>
      <c r="H61" s="36">
        <f>IFERROR(VLOOKUP(B61,ADP!A1:G728,7,FALSE)/1000000,VLOOKUP(B61,ADP!A1:G728,7,FALSE))</f>
        <v>5.5</v>
      </c>
      <c r="I61" s="37">
        <f>IF(Settings!$E$15="POINTS",((R61*Q61)*Settings!$B$12)+(S61*Settings!$B$2)+(T61*Settings!$B$3)+(U61*Settings!$B$4)+(V61*Settings!$B$5)+(X61*Settings!$B$9)+(AA61*Settings!$B$6)+(W61*Settings!$B$8)+(AB61*Settings!$B$7)+(AC61*Settings!$B$14)+(AD61*Settings!$B$15)+(AE61*Settings!$B$16)+(AF61*Settings!$B$17)+(AG61*Settings!$B$18)+(Y61*Settings!$B$10)+(Z61*Settings!$B$11),VLOOKUP(B61,'Standard Deviations'!A1:C728,3,FALSE))</f>
        <v>381.57110654800204</v>
      </c>
      <c r="J61" s="38">
        <f>IF(D61="G",I61/AJ61,I61/Q61)</f>
        <v>4.9661798328231352</v>
      </c>
      <c r="K61" s="37">
        <f>IF(Settings!$E$18="C/LW/RW",VLOOKUP(B61,RW!A1:F97,6,FALSE),VLOOKUP(B61,F!A1:F430,6,FALSE))</f>
        <v>31.299566000112463</v>
      </c>
      <c r="L61" s="37">
        <f>IFERROR(K61/H61,"N/A")</f>
        <v>5.6908301818386295</v>
      </c>
      <c r="M61" s="39">
        <f>IF(Settings!$E$9="YAHOO",VLOOKUP(B61,ADP!A1:E728,2,FALSE),IF(Settings!$E$9="ESPN",VLOOKUP(B61,ADP!A1:E728,3,FALSE),IF(Settings!$E$9="FANTRAX",VLOOKUP(B61,ADP!A1:E728,4,FALSE),VLOOKUP(B61,ADP!A1:E728,5,FALSE))))</f>
        <v>93.6</v>
      </c>
      <c r="N61" s="39">
        <f>IFERROR(M61-A61,"N/A")</f>
        <v>33.599999999999994</v>
      </c>
      <c r="O61" s="39"/>
      <c r="P61" s="40" t="str">
        <f>IF(Settings!$E$27="ON",VLOOKUP(B61,ADP!A1:H728,8,FALSE)," ")</f>
        <v xml:space="preserve"> </v>
      </c>
      <c r="Q61" s="41">
        <f>IF(Settings!$E$12="YES",VLOOKUP(B61,'Player Data'!A1:E734,5,FALSE),82)</f>
        <v>76.833928571428601</v>
      </c>
      <c r="R61" s="39">
        <f>VLOOKUP(B61,'Player Data'!$A1:$AE734,6,FALSE)</f>
        <v>20.043401772103699</v>
      </c>
      <c r="S61" s="41">
        <f>VLOOKUP(B61,'Player Data'!$A1:$AE734,7,FALSE)*$Q61*IFERROR((VLOOKUP(P61,Settings!$E$28:$F$33,2,FALSE)+1),1)</f>
        <v>29.695033868975941</v>
      </c>
      <c r="T61" s="41">
        <f>VLOOKUP(B61,'Player Data'!$A1:$AE734,8,FALSE)*$Q61*IFERROR((VLOOKUP(P61,Settings!$E$28:$F$33,2,FALSE)+1),1)</f>
        <v>40.538725249270563</v>
      </c>
      <c r="U61" s="41">
        <f>SUM(S61:T61)</f>
        <v>70.233759118246496</v>
      </c>
      <c r="V61" s="41">
        <f>VLOOKUP(B61,'Player Data'!$A1:$AE734,10,FALSE)*$Q61*IFERROR(((VLOOKUP(P61,Settings!$E$28:$F$33,2,FALSE)/2)+1),1)</f>
        <v>235.32877229859457</v>
      </c>
      <c r="W61" s="41">
        <f>VLOOKUP(B61,'Player Data'!$A1:$AE734,11,FALSE)*$Q61*IFERROR((VLOOKUP(P61,Settings!$E$28:$F$33,2,FALSE)+1),1)</f>
        <v>4.9252552586660627</v>
      </c>
      <c r="X61" s="41">
        <f>VLOOKUP(B61,'Player Data'!$A1:$AE734,12,FALSE)*$Q61*IFERROR((VLOOKUP(P61,Settings!$E$28:$F$33,2,FALSE)+1),1)</f>
        <v>16.251266362804923</v>
      </c>
      <c r="Y61" s="41">
        <f>VLOOKUP(B61,'Player Data'!$A1:$AE734,13,FALSE)*$Q61</f>
        <v>2.9377272124084821</v>
      </c>
      <c r="Z61" s="41">
        <f>VLOOKUP(B61,'Player Data'!$A1:$AE734,14,FALSE)*$Q61</f>
        <v>5.8400409487681992</v>
      </c>
      <c r="AA61" s="41">
        <f>VLOOKUP(B61,'Player Data'!$A1:$AE734,15,FALSE)*$Q61</f>
        <v>45.114142104095073</v>
      </c>
      <c r="AB61" s="41">
        <f>VLOOKUP(B61,'Player Data'!$A1:$AE734,16,FALSE)*$Q61</f>
        <v>78.189453280596823</v>
      </c>
      <c r="AC61" s="41">
        <f>VLOOKUP(B61,'Player Data'!$A1:$AE734,17,FALSE)*$Q61*IFERROR((VLOOKUP(P61,Settings!$E$28:$F$33,2,FALSE)+1),1)</f>
        <v>-5.6287190631191129</v>
      </c>
      <c r="AD61" s="41">
        <f>VLOOKUP(B61,'Player Data'!$A1:$AE734,18,FALSE)*$Q61</f>
        <v>57.262037524906454</v>
      </c>
      <c r="AE61" s="41">
        <f>VLOOKUP(B61,'Player Data'!$A1:$AE734,19,FALSE)*$Q61*IFERROR((VLOOKUP(P61,Settings!$E$28:$F$33,2,FALSE)+1),1)</f>
        <v>3.4905218323003231</v>
      </c>
      <c r="AF61" s="41">
        <f>VLOOKUP(B61,'Player Data'!$A1:$AE734,20,FALSE)*$Q61</f>
        <v>27.711082728563031</v>
      </c>
      <c r="AG61" s="41">
        <f>VLOOKUP(B61,'Player Data'!$A1:$AE734,21,FALSE)*$Q61</f>
        <v>37.442755185044696</v>
      </c>
      <c r="AH61" s="42">
        <f>VLOOKUP(B61,'Player Data'!$A1:$AE734,22,FALSE)</f>
        <v>0.42531773439512799</v>
      </c>
      <c r="AI61" s="39"/>
      <c r="AJ61" s="43"/>
      <c r="AK61" s="41"/>
      <c r="AL61" s="41"/>
      <c r="AM61" s="41"/>
      <c r="AN61" s="41"/>
      <c r="AO61" s="41"/>
      <c r="AP61" s="41"/>
      <c r="AQ61" s="44"/>
      <c r="AR61" s="45"/>
      <c r="AS61" s="39"/>
    </row>
    <row r="62" spans="1:45" ht="21.25" customHeight="1" x14ac:dyDescent="0.15">
      <c r="A62" s="31">
        <f>RANK(K62,K$2:K$727)</f>
        <v>61</v>
      </c>
      <c r="B62" s="8" t="s">
        <v>166</v>
      </c>
      <c r="C62" s="32" t="s">
        <v>106</v>
      </c>
      <c r="D62" s="33" t="str">
        <f>VLOOKUP(B62,'Player Data'!A1:D734,4,FALSE)</f>
        <v>G</v>
      </c>
      <c r="E62" s="50">
        <f>VLOOKUP(B62,G!A1:D75,3,FALSE)</f>
        <v>9</v>
      </c>
      <c r="F62" s="35" t="str">
        <f>VLOOKUP(B62,'Player Data'!A1:B734,2,FALSE)</f>
        <v>MIN</v>
      </c>
      <c r="G62" s="9">
        <f>VLOOKUP(B62,'Player Data'!A1:D734,3,FALSE)</f>
        <v>25</v>
      </c>
      <c r="H62" s="36">
        <f>IFERROR(VLOOKUP(B62,ADP!A1:G728,7,FALSE)/1000000,VLOOKUP(B62,ADP!A1:G728,7,FALSE))</f>
        <v>0</v>
      </c>
      <c r="I62" s="37">
        <f>IF(Settings!$E$15="POINTS",(AJ62*Settings!$B$29)+(AK62*Settings!$B$21)+(AL62*Settings!$B$22)+(AN62*Settings!$B$24)+(AO62*Settings!$B$25)+(AP62*Settings!$B$27)+(AM62*Settings!$B$23),VLOOKUP(B62,'Standard Deviations'!A1:C728,3,FALSE))</f>
        <v>428.97171225334819</v>
      </c>
      <c r="J62" s="38">
        <f>IF(D62="G",I62/AJ62,I62/Q62)</f>
        <v>8.24945600487208</v>
      </c>
      <c r="K62" s="37">
        <f>VLOOKUP(B62,G!A1:F75,6,FALSE)</f>
        <v>30.196050164031988</v>
      </c>
      <c r="L62" s="52" t="str">
        <f>IFERROR(K62/H62,"N/A")</f>
        <v>N/A</v>
      </c>
      <c r="M62" s="39">
        <f>IF(Settings!$E$9="YAHOO",VLOOKUP(B62,ADP!A1:E728,2,FALSE),IF(Settings!$E$9="ESPN",VLOOKUP(B62,ADP!A1:E728,3,FALSE),IF(Settings!$E$9="FANTRAX",VLOOKUP(B62,ADP!A1:E728,4,FALSE),VLOOKUP(B62,ADP!A1:E728,5,FALSE))))</f>
        <v>63.5</v>
      </c>
      <c r="N62" s="39">
        <f>IFERROR(M62-A62,"N/A")</f>
        <v>2.5</v>
      </c>
      <c r="O62" s="39"/>
      <c r="P62" s="40" t="str">
        <f>IF(Settings!$E$27="ON",VLOOKUP(B62,ADP!A1:H728,8,FALSE)," ")</f>
        <v xml:space="preserve"> </v>
      </c>
      <c r="Q62" s="41"/>
      <c r="R62" s="5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2"/>
      <c r="AI62" s="39"/>
      <c r="AJ62" s="43">
        <f>VLOOKUP(B62,'Player Data'!$A1:$AE734,24,FALSE)</f>
        <v>52</v>
      </c>
      <c r="AK62" s="41">
        <f>VLOOKUP(B62,'Player Data'!$A1:$AE734,25,FALSE)*$AJ62*IFERROR((VLOOKUP(P62,Settings!$E$28:$F$33,2,FALSE)+1),1)</f>
        <v>28.640094612132948</v>
      </c>
      <c r="AL62" s="41">
        <f>AJ62-AK62-AM62</f>
        <v>16.859905387867052</v>
      </c>
      <c r="AM62" s="41">
        <f>VLOOKUP(B62,'Player Data'!$A1:$AE734,27,FALSE)*$AJ62</f>
        <v>6.5</v>
      </c>
      <c r="AN62" s="41">
        <f>VLOOKUP(B62,'Player Data'!$A1:$AE734,28,FALSE)*AJ62</f>
        <v>3.2434124156317989</v>
      </c>
      <c r="AO62" s="41">
        <f>VLOOKUP(B62,'Player Data'!$A1:$AE734,29,FALSE)*$AJ62*IFERROR((VLOOKUP(P62,Settings!$E$28:$F$33,2,FALSE)/4)+1,1)</f>
        <v>1524.2957713887695</v>
      </c>
      <c r="AP62" s="41">
        <f>VLOOKUP(B62,'Player Data'!$A1:$AE734,31,FALSE)*$AJ62*(IFERROR(1-(VLOOKUP(P62,Settings!$E$28:$F$33,2,FALSE)/4),1))</f>
        <v>141.861094036233</v>
      </c>
      <c r="AQ62" s="44">
        <f>1-(AP62/(AO62+AP62))</f>
        <v>0.91485730006577315</v>
      </c>
      <c r="AR62" s="45">
        <f>AP62/AJ62</f>
        <v>2.7280979622352501</v>
      </c>
      <c r="AS62" s="39"/>
    </row>
    <row r="63" spans="1:45" ht="21.25" customHeight="1" x14ac:dyDescent="0.15">
      <c r="A63" s="31">
        <f>RANK(K63,K$2:K$727)</f>
        <v>62</v>
      </c>
      <c r="B63" s="8" t="s">
        <v>167</v>
      </c>
      <c r="C63" s="32" t="s">
        <v>106</v>
      </c>
      <c r="D63" s="33" t="str">
        <f>VLOOKUP(B63,'Player Data'!A1:D734,4,FALSE)</f>
        <v>D</v>
      </c>
      <c r="E63" s="49">
        <f>VLOOKUP(B63,D!A1:C227,3,FALSE)</f>
        <v>12</v>
      </c>
      <c r="F63" s="35" t="str">
        <f>VLOOKUP(B63,'Player Data'!A1:B734,2,FALSE)</f>
        <v>WPG</v>
      </c>
      <c r="G63" s="9">
        <f>VLOOKUP(B63,'Player Data'!A1:D734,3,FALSE)</f>
        <v>28</v>
      </c>
      <c r="H63" s="36">
        <f>IFERROR(VLOOKUP(B63,ADP!A1:G728,7,FALSE)/1000000,VLOOKUP(B63,ADP!A1:G728,7,FALSE))</f>
        <v>6.25</v>
      </c>
      <c r="I63" s="37">
        <f>IF(Settings!$E$15="POINTS",((R63*Q63)*Settings!$B$12)+(S63*Settings!$B$2)+(T63*Settings!$B$3)+(U63*Settings!$B$4)+(V63*Settings!$B$5)+(X63*Settings!$B$9)+(AA63*Settings!$B$6)+(W63*Settings!$B$8)+(AB63*Settings!$B$7)+(AC63*Settings!$B$14)+(AD63*Settings!$B$15)+(AE63*Settings!$B$16)+(AF63*Settings!$B$17)+(AG63*Settings!$B$18)+(U63*Settings!$B$13)+(Y63*Settings!$B$10)+(Z63*Settings!$B$11),VLOOKUP(B63,'Standard Deviations'!A1:C728,3,FALSE))</f>
        <v>341.69719378807514</v>
      </c>
      <c r="J63" s="38">
        <f>IF(D63="G",I63/AJ63,I63/Q63)</f>
        <v>4.2436313187788768</v>
      </c>
      <c r="K63" s="37">
        <f>VLOOKUP(B63,D!A1:F227,6,FALSE)</f>
        <v>30.131712160147686</v>
      </c>
      <c r="L63" s="37">
        <f>IFERROR(K63/H63,"N/A")</f>
        <v>4.8210739456236293</v>
      </c>
      <c r="M63" s="39">
        <f>IF(Settings!$E$9="YAHOO",VLOOKUP(B63,ADP!A1:E728,2,FALSE),IF(Settings!$E$9="ESPN",VLOOKUP(B63,ADP!A1:E728,3,FALSE),IF(Settings!$E$9="FANTRAX",VLOOKUP(B63,ADP!A1:E728,4,FALSE),VLOOKUP(B63,ADP!A1:E728,5,FALSE))))</f>
        <v>71.900000000000006</v>
      </c>
      <c r="N63" s="39">
        <f>IFERROR(M63-A63,"N/A")</f>
        <v>9.9000000000000057</v>
      </c>
      <c r="O63" s="39"/>
      <c r="P63" s="40" t="str">
        <f>IF(Settings!$E$27="ON",VLOOKUP(B63,ADP!A1:H728,8,FALSE)," ")</f>
        <v>+</v>
      </c>
      <c r="Q63" s="41">
        <f>IF(Settings!$E$12="YES",VLOOKUP(B63,'Player Data'!A1:E734,5,FALSE),82)</f>
        <v>80.52</v>
      </c>
      <c r="R63" s="39">
        <f>VLOOKUP(B63,'Player Data'!$A1:$AE734,6,FALSE)</f>
        <v>24.028812280166299</v>
      </c>
      <c r="S63" s="41">
        <f>VLOOKUP(B63,'Player Data'!$A1:$AE734,7,FALSE)*$Q63*IFERROR((VLOOKUP(P63,Settings!$E$28:$F$33,2,FALSE)+1),1)</f>
        <v>13.291744526363265</v>
      </c>
      <c r="T63" s="41">
        <f>VLOOKUP(B63,'Player Data'!$A1:$AE734,8,FALSE)*$Q63*IFERROR((VLOOKUP(P63,Settings!$E$28:$F$33,2,FALSE)+1),1)</f>
        <v>46.002120912840759</v>
      </c>
      <c r="U63" s="41">
        <f>SUM(S63:T63)</f>
        <v>59.293865439204026</v>
      </c>
      <c r="V63" s="41">
        <f>VLOOKUP(B63,'Player Data'!$A1:$AE734,10,FALSE)*$Q63*IFERROR(((VLOOKUP(P63,Settings!$E$28:$F$33,2,FALSE)/2)+1),1)</f>
        <v>182.74357467246904</v>
      </c>
      <c r="W63" s="41">
        <f>VLOOKUP(B63,'Player Data'!$A1:$AE734,11,FALSE)*$Q63*IFERROR((VLOOKUP(P63,Settings!$E$28:$F$33,2,FALSE)+1),1)</f>
        <v>3.8337783812715363</v>
      </c>
      <c r="X63" s="41">
        <f>VLOOKUP(B63,'Player Data'!$A1:$AE734,12,FALSE)*$Q63*IFERROR((VLOOKUP(P63,Settings!$E$28:$F$33,2,FALSE)+1),1)</f>
        <v>24.576432165074859</v>
      </c>
      <c r="Y63" s="41">
        <f>VLOOKUP(B63,'Player Data'!$A1:$AE734,13,FALSE)*$Q63</f>
        <v>1.0973868940558152E-2</v>
      </c>
      <c r="Z63" s="41">
        <f>VLOOKUP(B63,'Player Data'!$A1:$AE734,14,FALSE)*$Q63</f>
        <v>4.081149906427211E-2</v>
      </c>
      <c r="AA63" s="41">
        <f>VLOOKUP(B63,'Player Data'!$A1:$AE734,15,FALSE)*$Q63</f>
        <v>116.04661402975132</v>
      </c>
      <c r="AB63" s="41">
        <f>VLOOKUP(B63,'Player Data'!$A1:$AE734,16,FALSE)*$Q63</f>
        <v>108.00342978847219</v>
      </c>
      <c r="AC63" s="41">
        <f>VLOOKUP(B63,'Player Data'!$A1:$AE734,17,FALSE)*$Q63*IFERROR((VLOOKUP(P63,Settings!$E$28:$F$33,2,FALSE)+1),1)</f>
        <v>2.5972908366052274</v>
      </c>
      <c r="AD63" s="41">
        <f>VLOOKUP(B63,'Player Data'!$A1:$AE734,18,FALSE)*$Q63</f>
        <v>47.99038356603026</v>
      </c>
      <c r="AE63" s="41">
        <f>VLOOKUP(B63,'Player Data'!$A1:$AE734,19,FALSE)*$Q63*IFERROR((VLOOKUP(P63,Settings!$E$28:$F$33,2,FALSE)+1),1)</f>
        <v>2.0735566360009576</v>
      </c>
      <c r="AF63" s="41">
        <f>VLOOKUP(B63,'Player Data'!$A1:$AE734,20,FALSE)*$Q63</f>
        <v>0</v>
      </c>
      <c r="AG63" s="41">
        <f>VLOOKUP(B63,'Player Data'!$A1:$AE734,21,FALSE)*$Q63</f>
        <v>0</v>
      </c>
      <c r="AH63" s="42">
        <f>VLOOKUP(B63,'Player Data'!$A1:$AE734,22,FALSE)</f>
        <v>0</v>
      </c>
      <c r="AI63" s="39"/>
      <c r="AJ63" s="43"/>
      <c r="AK63" s="41"/>
      <c r="AL63" s="41"/>
      <c r="AM63" s="41"/>
      <c r="AN63" s="41"/>
      <c r="AO63" s="41"/>
      <c r="AP63" s="41"/>
      <c r="AQ63" s="44"/>
      <c r="AR63" s="45"/>
      <c r="AS63" s="43"/>
    </row>
    <row r="64" spans="1:45" ht="21.25" customHeight="1" x14ac:dyDescent="0.15">
      <c r="A64" s="31">
        <f>RANK(K64,K$2:K$727)</f>
        <v>63</v>
      </c>
      <c r="B64" s="8" t="s">
        <v>168</v>
      </c>
      <c r="C64" s="32" t="s">
        <v>106</v>
      </c>
      <c r="D64" s="33" t="str">
        <f>VLOOKUP(B64,'Player Data'!A1:D734,4,FALSE)</f>
        <v>G</v>
      </c>
      <c r="E64" s="50">
        <f>VLOOKUP(B64,G!A1:D75,3,FALSE)</f>
        <v>10</v>
      </c>
      <c r="F64" s="35" t="str">
        <f>VLOOKUP(B64,'Player Data'!A1:B734,2,FALSE)</f>
        <v>PIT</v>
      </c>
      <c r="G64" s="9">
        <f>VLOOKUP(B64,'Player Data'!A1:D734,3,FALSE)</f>
        <v>28</v>
      </c>
      <c r="H64" s="36">
        <f>IFERROR(VLOOKUP(B64,ADP!A1:G728,7,FALSE)/1000000,VLOOKUP(B64,ADP!A1:G728,7,FALSE))</f>
        <v>0</v>
      </c>
      <c r="I64" s="37">
        <f>IF(Settings!$E$15="POINTS",(AJ64*Settings!$B$29)+(AK64*Settings!$B$21)+(AL64*Settings!$B$22)+(AN64*Settings!$B$24)+(AO64*Settings!$B$25)+(AP64*Settings!$B$27)+(AM64*Settings!$B$23),VLOOKUP(B64,'Standard Deviations'!A1:C728,3,FALSE))</f>
        <v>428.62086968135486</v>
      </c>
      <c r="J64" s="38">
        <f>IF(D64="G",I64/AJ64,I64/Q64)</f>
        <v>7.9374235126176824</v>
      </c>
      <c r="K64" s="37">
        <f>VLOOKUP(B64,G!A1:F75,6,FALSE)</f>
        <v>29.845207592038662</v>
      </c>
      <c r="L64" s="52" t="str">
        <f>IFERROR(K64/H64,"N/A")</f>
        <v>N/A</v>
      </c>
      <c r="M64" s="39">
        <f>IF(Settings!$E$9="YAHOO",VLOOKUP(B64,ADP!A1:E728,2,FALSE),IF(Settings!$E$9="ESPN",VLOOKUP(B64,ADP!A1:E728,3,FALSE),IF(Settings!$E$9="FANTRAX",VLOOKUP(B64,ADP!A1:E728,4,FALSE),VLOOKUP(B64,ADP!A1:E728,5,FALSE))))</f>
        <v>91.3</v>
      </c>
      <c r="N64" s="39">
        <f>IFERROR(M64-A64,"N/A")</f>
        <v>28.299999999999997</v>
      </c>
      <c r="O64" s="39"/>
      <c r="P64" s="40" t="str">
        <f>IF(Settings!$E$27="ON",VLOOKUP(B64,ADP!A1:H728,8,FALSE)," ")</f>
        <v xml:space="preserve"> </v>
      </c>
      <c r="Q64" s="41"/>
      <c r="R64" s="5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2"/>
      <c r="AI64" s="39"/>
      <c r="AJ64" s="43">
        <f>VLOOKUP(B64,'Player Data'!$A1:$AE734,24,FALSE)</f>
        <v>54</v>
      </c>
      <c r="AK64" s="41">
        <f>VLOOKUP(B64,'Player Data'!$A1:$AE734,25,FALSE)*$AJ64*IFERROR((VLOOKUP(P64,Settings!$E$28:$F$33,2,FALSE)+1),1)</f>
        <v>29.554839013315355</v>
      </c>
      <c r="AL64" s="41">
        <f>AJ64-AK64-AM64</f>
        <v>17.695160986684645</v>
      </c>
      <c r="AM64" s="41">
        <f>VLOOKUP(B64,'Player Data'!$A1:$AE734,27,FALSE)*$AJ64</f>
        <v>6.75</v>
      </c>
      <c r="AN64" s="41">
        <f>VLOOKUP(B64,'Player Data'!$A1:$AE734,28,FALSE)*AJ64</f>
        <v>3.7961549302784472</v>
      </c>
      <c r="AO64" s="41">
        <f>VLOOKUP(B64,'Player Data'!$A1:$AE734,29,FALSE)*$AJ64*IFERROR((VLOOKUP(P64,Settings!$E$28:$F$33,2,FALSE)/4)+1,1)</f>
        <v>1515.0195831838157</v>
      </c>
      <c r="AP64" s="41">
        <f>VLOOKUP(B64,'Player Data'!$A1:$AE734,31,FALSE)*$AJ64*(IFERROR(1-(VLOOKUP(P64,Settings!$E$28:$F$33,2,FALSE)/4),1))</f>
        <v>141.71524960368529</v>
      </c>
      <c r="AQ64" s="44">
        <f>1-(AP64/(AO64+AP64))</f>
        <v>0.91446111544281017</v>
      </c>
      <c r="AR64" s="45">
        <f>AP64/AJ64</f>
        <v>2.6243564741423202</v>
      </c>
      <c r="AS64" s="39"/>
    </row>
    <row r="65" spans="1:45" ht="21.25" customHeight="1" x14ac:dyDescent="0.15">
      <c r="A65" s="31">
        <f>RANK(K65,K$2:K$727)</f>
        <v>64</v>
      </c>
      <c r="B65" s="8" t="s">
        <v>169</v>
      </c>
      <c r="C65" s="32" t="s">
        <v>106</v>
      </c>
      <c r="D65" s="33" t="str">
        <f>VLOOKUP(B65,'Player Data'!A1:D734,4,FALSE)</f>
        <v>LW</v>
      </c>
      <c r="E65" s="47">
        <f>VLOOKUP(B65,LW!A1:C130,3,FALSE)</f>
        <v>15</v>
      </c>
      <c r="F65" s="35" t="str">
        <f>VLOOKUP(B65,'Player Data'!A1:B734,2,FALSE)</f>
        <v>STL</v>
      </c>
      <c r="G65" s="9">
        <f>VLOOKUP(B65,'Player Data'!A1:D734,3,FALSE)</f>
        <v>28</v>
      </c>
      <c r="H65" s="36">
        <f>IFERROR(VLOOKUP(B65,ADP!A1:G728,7,FALSE)/1000000,VLOOKUP(B65,ADP!A1:G728,7,FALSE))</f>
        <v>5.8</v>
      </c>
      <c r="I65" s="37">
        <f>IF(Settings!$E$15="POINTS",((R65*Q65)*Settings!$B$12)+(S65*Settings!$B$2)+(T65*Settings!$B$3)+(U65*Settings!$B$4)+(V65*Settings!$B$5)+(X65*Settings!$B$9)+(AA65*Settings!$B$6)+(W65*Settings!$B$8)+(AB65*Settings!$B$7)+(AC65*Settings!$B$14)+(AD65*Settings!$B$15)+(AE65*Settings!$B$16)+(AF65*Settings!$B$17)+(AG65*Settings!$B$18)+(Y65*Settings!$B$10)+(Z65*Settings!$B$11),VLOOKUP(B65,'Standard Deviations'!A1:C728,3,FALSE))</f>
        <v>390.67202095519838</v>
      </c>
      <c r="J65" s="38">
        <f>IF(D65="G",I65/AJ65,I65/Q65)</f>
        <v>4.983061491775489</v>
      </c>
      <c r="K65" s="37">
        <f>IF(Settings!$E$18="C/LW/RW",VLOOKUP(B65,LW!A1:F130,6,FALSE),VLOOKUP(B65,F!A1:F430,6,FALSE))</f>
        <v>26.631416097547913</v>
      </c>
      <c r="L65" s="37">
        <f>IFERROR(K65/H65,"N/A")</f>
        <v>4.5916234650944681</v>
      </c>
      <c r="M65" s="39">
        <f>IF(Settings!$E$9="YAHOO",VLOOKUP(B65,ADP!A1:E728,2,FALSE),IF(Settings!$E$9="ESPN",VLOOKUP(B65,ADP!A1:E728,3,FALSE),IF(Settings!$E$9="FANTRAX",VLOOKUP(B65,ADP!A1:E728,4,FALSE),VLOOKUP(B65,ADP!A1:E728,5,FALSE))))</f>
        <v>139</v>
      </c>
      <c r="N65" s="39">
        <f>IFERROR(M65-A65,"N/A")</f>
        <v>75</v>
      </c>
      <c r="O65" s="39"/>
      <c r="P65" s="40" t="str">
        <f>IF(Settings!$E$27="ON",VLOOKUP(B65,ADP!A1:H728,8,FALSE)," ")</f>
        <v>-</v>
      </c>
      <c r="Q65" s="41">
        <f>IF(Settings!$E$12="YES",VLOOKUP(B65,'Player Data'!A1:E734,5,FALSE),82)</f>
        <v>78.400000000000006</v>
      </c>
      <c r="R65" s="39">
        <f>VLOOKUP(B65,'Player Data'!$A1:$AE734,6,FALSE)</f>
        <v>20.309462079894299</v>
      </c>
      <c r="S65" s="41">
        <f>VLOOKUP(B65,'Player Data'!$A1:$AE734,7,FALSE)*$Q65*IFERROR((VLOOKUP(P65,Settings!$E$28:$F$33,2,FALSE)+1),1)</f>
        <v>31.727291704414249</v>
      </c>
      <c r="T65" s="41">
        <f>VLOOKUP(B65,'Player Data'!$A1:$AE734,8,FALSE)*$Q65*IFERROR((VLOOKUP(P65,Settings!$E$28:$F$33,2,FALSE)+1),1)</f>
        <v>48.87565472261447</v>
      </c>
      <c r="U65" s="41">
        <f>SUM(S65:T65)</f>
        <v>80.602946427028712</v>
      </c>
      <c r="V65" s="41">
        <f>VLOOKUP(B65,'Player Data'!$A1:$AE734,10,FALSE)*$Q65*IFERROR(((VLOOKUP(P65,Settings!$E$28:$F$33,2,FALSE)/2)+1),1)</f>
        <v>181.20122605687033</v>
      </c>
      <c r="W65" s="41">
        <f>VLOOKUP(B65,'Player Data'!$A1:$AE734,11,FALSE)*$Q65*IFERROR((VLOOKUP(P65,Settings!$E$28:$F$33,2,FALSE)+1),1)</f>
        <v>8.7574719933181306</v>
      </c>
      <c r="X65" s="41">
        <f>VLOOKUP(B65,'Player Data'!$A1:$AE734,12,FALSE)*$Q65*IFERROR((VLOOKUP(P65,Settings!$E$28:$F$33,2,FALSE)+1),1)</f>
        <v>23.510053996257845</v>
      </c>
      <c r="Y65" s="41">
        <f>VLOOKUP(B65,'Player Data'!$A1:$AE734,13,FALSE)*$Q65</f>
        <v>0.68948275684615201</v>
      </c>
      <c r="Z65" s="41">
        <f>VLOOKUP(B65,'Player Data'!$A1:$AE734,14,FALSE)*$Q65</f>
        <v>2.6643263948396876</v>
      </c>
      <c r="AA65" s="41">
        <f>VLOOKUP(B65,'Player Data'!$A1:$AE734,15,FALSE)*$Q65</f>
        <v>29.569039317409807</v>
      </c>
      <c r="AB65" s="41">
        <f>VLOOKUP(B65,'Player Data'!$A1:$AE734,16,FALSE)*$Q65</f>
        <v>70.819935748166145</v>
      </c>
      <c r="AC65" s="41">
        <f>VLOOKUP(B65,'Player Data'!$A1:$AE734,17,FALSE)*$Q65*IFERROR((VLOOKUP(P65,Settings!$E$28:$F$33,2,FALSE)+1),1)</f>
        <v>-0.10996274529177064</v>
      </c>
      <c r="AD65" s="41">
        <f>VLOOKUP(B65,'Player Data'!$A1:$AE734,18,FALSE)*$Q65</f>
        <v>36.291768631770751</v>
      </c>
      <c r="AE65" s="41">
        <f>VLOOKUP(B65,'Player Data'!$A1:$AE734,19,FALSE)*$Q65*IFERROR((VLOOKUP(P65,Settings!$E$28:$F$33,2,FALSE)+1),1)</f>
        <v>3.6509461247295394</v>
      </c>
      <c r="AF65" s="41">
        <f>VLOOKUP(B65,'Player Data'!$A1:$AE734,20,FALSE)*$Q65</f>
        <v>62.35085188139854</v>
      </c>
      <c r="AG65" s="41">
        <f>VLOOKUP(B65,'Player Data'!$A1:$AE734,21,FALSE)*$Q65</f>
        <v>147.99179854370971</v>
      </c>
      <c r="AH65" s="42">
        <f>VLOOKUP(B65,'Player Data'!$A1:$AE734,22,FALSE)</f>
        <v>0.29642515084499399</v>
      </c>
      <c r="AI65" s="39"/>
      <c r="AJ65" s="43"/>
      <c r="AK65" s="41"/>
      <c r="AL65" s="41"/>
      <c r="AM65" s="41"/>
      <c r="AN65" s="41"/>
      <c r="AO65" s="41"/>
      <c r="AP65" s="41"/>
      <c r="AQ65" s="44"/>
      <c r="AR65" s="45"/>
      <c r="AS65" s="39"/>
    </row>
    <row r="66" spans="1:45" ht="21.25" customHeight="1" x14ac:dyDescent="0.15">
      <c r="A66" s="31">
        <f>RANK(K66,K$2:K$727)</f>
        <v>65</v>
      </c>
      <c r="B66" s="8" t="s">
        <v>170</v>
      </c>
      <c r="C66" s="32" t="s">
        <v>106</v>
      </c>
      <c r="D66" s="33" t="str">
        <f>VLOOKUP(B66,'Player Data'!A1:D734,4,FALSE)</f>
        <v>D</v>
      </c>
      <c r="E66" s="49">
        <f>VLOOKUP(B66,D!A1:C227,3,FALSE)</f>
        <v>13</v>
      </c>
      <c r="F66" s="35" t="str">
        <f>VLOOKUP(B66,'Player Data'!A1:B734,2,FALSE)</f>
        <v>TBL</v>
      </c>
      <c r="G66" s="9">
        <f>VLOOKUP(B66,'Player Data'!A1:D734,3,FALSE)</f>
        <v>25</v>
      </c>
      <c r="H66" s="36">
        <f>IFERROR(VLOOKUP(B66,ADP!A1:G728,7,FALSE)/1000000,VLOOKUP(B66,ADP!A1:G728,7,FALSE))</f>
        <v>8.0889000000000006</v>
      </c>
      <c r="I66" s="37">
        <f>IF(Settings!$E$15="POINTS",((R66*Q66)*Settings!$B$12)+(S66*Settings!$B$2)+(T66*Settings!$B$3)+(U66*Settings!$B$4)+(V66*Settings!$B$5)+(X66*Settings!$B$9)+(AA66*Settings!$B$6)+(W66*Settings!$B$8)+(AB66*Settings!$B$7)+(AC66*Settings!$B$14)+(AD66*Settings!$B$15)+(AE66*Settings!$B$16)+(AF66*Settings!$B$17)+(AG66*Settings!$B$18)+(U66*Settings!$B$13)+(Y66*Settings!$B$10)+(Z66*Settings!$B$11),VLOOKUP(B66,'Standard Deviations'!A1:C728,3,FALSE))</f>
        <v>336.69074222939281</v>
      </c>
      <c r="J66" s="38">
        <f>IF(D66="G",I66/AJ66,I66/Q66)</f>
        <v>4.1413375427969594</v>
      </c>
      <c r="K66" s="37">
        <f>VLOOKUP(B66,D!A1:F227,6,FALSE)</f>
        <v>25.125260601465357</v>
      </c>
      <c r="L66" s="37">
        <f>IFERROR(K66/H66,"N/A")</f>
        <v>3.1061405879001289</v>
      </c>
      <c r="M66" s="39">
        <f>IF(Settings!$E$9="YAHOO",VLOOKUP(B66,ADP!A1:E728,2,FALSE),IF(Settings!$E$9="ESPN",VLOOKUP(B66,ADP!A1:E728,3,FALSE),IF(Settings!$E$9="FANTRAX",VLOOKUP(B66,ADP!A1:E728,4,FALSE),VLOOKUP(B66,ADP!A1:E728,5,FALSE))))</f>
        <v>86.9</v>
      </c>
      <c r="N66" s="39">
        <f>IFERROR(M66-A66,"N/A")</f>
        <v>21.900000000000006</v>
      </c>
      <c r="O66" s="39"/>
      <c r="P66" s="40" t="str">
        <f>IF(Settings!$E$27="ON",VLOOKUP(B66,ADP!A1:H728,8,FALSE)," ")</f>
        <v xml:space="preserve"> </v>
      </c>
      <c r="Q66" s="41">
        <f>IF(Settings!$E$12="YES",VLOOKUP(B66,'Player Data'!A1:E734,5,FALSE),82)</f>
        <v>81.3</v>
      </c>
      <c r="R66" s="39">
        <f>VLOOKUP(B66,'Player Data'!$A1:$AE734,6,FALSE)</f>
        <v>24.086123848892399</v>
      </c>
      <c r="S66" s="41">
        <f>VLOOKUP(B66,'Player Data'!$A1:$AE734,7,FALSE)*$Q66*IFERROR((VLOOKUP(P66,Settings!$E$28:$F$33,2,FALSE)+1),1)</f>
        <v>9.586905978724845</v>
      </c>
      <c r="T66" s="41">
        <f>VLOOKUP(B66,'Player Data'!$A1:$AE734,8,FALSE)*$Q66*IFERROR((VLOOKUP(P66,Settings!$E$28:$F$33,2,FALSE)+1),1)</f>
        <v>49.465923312456738</v>
      </c>
      <c r="U66" s="41">
        <f>SUM(S66:T66)</f>
        <v>59.052829291181581</v>
      </c>
      <c r="V66" s="41">
        <f>VLOOKUP(B66,'Player Data'!$A1:$AE734,10,FALSE)*$Q66*IFERROR(((VLOOKUP(P66,Settings!$E$28:$F$33,2,FALSE)/2)+1),1)</f>
        <v>167.31722397189668</v>
      </c>
      <c r="W66" s="41">
        <f>VLOOKUP(B66,'Player Data'!$A1:$AE734,11,FALSE)*$Q66*IFERROR((VLOOKUP(P66,Settings!$E$28:$F$33,2,FALSE)+1),1)</f>
        <v>2.5899604006548969</v>
      </c>
      <c r="X66" s="41">
        <f>VLOOKUP(B66,'Player Data'!$A1:$AE734,12,FALSE)*$Q66*IFERROR((VLOOKUP(P66,Settings!$E$28:$F$33,2,FALSE)+1),1)</f>
        <v>22.602931214965746</v>
      </c>
      <c r="Y66" s="41">
        <f>VLOOKUP(B66,'Player Data'!$A1:$AE734,13,FALSE)*$Q66</f>
        <v>2.5384561620775799E-2</v>
      </c>
      <c r="Z66" s="41">
        <f>VLOOKUP(B66,'Player Data'!$A1:$AE734,14,FALSE)*$Q66</f>
        <v>0.91864148062407658</v>
      </c>
      <c r="AA66" s="41">
        <f>VLOOKUP(B66,'Player Data'!$A1:$AE734,15,FALSE)*$Q66</f>
        <v>144.1524848936007</v>
      </c>
      <c r="AB66" s="41">
        <f>VLOOKUP(B66,'Player Data'!$A1:$AE734,16,FALSE)*$Q66</f>
        <v>127.31683725991347</v>
      </c>
      <c r="AC66" s="41">
        <f>VLOOKUP(B66,'Player Data'!$A1:$AE734,17,FALSE)*$Q66*IFERROR((VLOOKUP(P66,Settings!$E$28:$F$33,2,FALSE)+1),1)</f>
        <v>1.005272955489624</v>
      </c>
      <c r="AD66" s="41">
        <f>VLOOKUP(B66,'Player Data'!$A1:$AE734,18,FALSE)*$Q66</f>
        <v>56.323627321332012</v>
      </c>
      <c r="AE66" s="41">
        <f>VLOOKUP(B66,'Player Data'!$A1:$AE734,19,FALSE)*$Q66*IFERROR((VLOOKUP(P66,Settings!$E$28:$F$33,2,FALSE)+1),1)</f>
        <v>1.5003542681200299</v>
      </c>
      <c r="AF66" s="41">
        <f>VLOOKUP(B66,'Player Data'!$A1:$AE734,20,FALSE)*$Q66</f>
        <v>0</v>
      </c>
      <c r="AG66" s="41">
        <f>VLOOKUP(B66,'Player Data'!$A1:$AE734,21,FALSE)*$Q66</f>
        <v>0</v>
      </c>
      <c r="AH66" s="42">
        <f>VLOOKUP(B66,'Player Data'!$A1:$AE734,22,FALSE)</f>
        <v>0</v>
      </c>
      <c r="AI66" s="39"/>
      <c r="AJ66" s="43"/>
      <c r="AK66" s="41"/>
      <c r="AL66" s="41"/>
      <c r="AM66" s="41"/>
      <c r="AN66" s="41"/>
      <c r="AO66" s="41"/>
      <c r="AP66" s="41"/>
      <c r="AQ66" s="44"/>
      <c r="AR66" s="45"/>
      <c r="AS66" s="39"/>
    </row>
    <row r="67" spans="1:45" ht="21.25" customHeight="1" x14ac:dyDescent="0.15">
      <c r="A67" s="31">
        <f>RANK(K67,K$2:K$727)</f>
        <v>66</v>
      </c>
      <c r="B67" s="8" t="s">
        <v>171</v>
      </c>
      <c r="C67" s="32" t="s">
        <v>106</v>
      </c>
      <c r="D67" s="33" t="str">
        <f>VLOOKUP(B67,'Player Data'!A1:D734,4,FALSE)</f>
        <v>LW</v>
      </c>
      <c r="E67" s="47">
        <f>VLOOKUP(B67,LW!A1:C130,3,FALSE)</f>
        <v>16</v>
      </c>
      <c r="F67" s="35" t="str">
        <f>VLOOKUP(B67,'Player Data'!A1:B734,2,FALSE)</f>
        <v>BOS</v>
      </c>
      <c r="G67" s="9">
        <f>VLOOKUP(B67,'Player Data'!A1:D734,3,FALSE)</f>
        <v>35</v>
      </c>
      <c r="H67" s="36">
        <f>IFERROR(VLOOKUP(B67,ADP!A1:G728,7,FALSE)/1000000,VLOOKUP(B67,ADP!A1:G728,7,FALSE))</f>
        <v>6.125</v>
      </c>
      <c r="I67" s="37">
        <f>IF(Settings!$E$15="POINTS",((R67*Q67)*Settings!$B$12)+(S67*Settings!$B$2)+(T67*Settings!$B$3)+(U67*Settings!$B$4)+(V67*Settings!$B$5)+(X67*Settings!$B$9)+(AA67*Settings!$B$6)+(W67*Settings!$B$8)+(AB67*Settings!$B$7)+(AC67*Settings!$B$14)+(AD67*Settings!$B$15)+(AE67*Settings!$B$16)+(AF67*Settings!$B$17)+(AG67*Settings!$B$18)+(Y67*Settings!$B$10)+(Z67*Settings!$B$11),VLOOKUP(B67,'Standard Deviations'!A1:C728,3,FALSE))</f>
        <v>388.89618898511213</v>
      </c>
      <c r="J67" s="38">
        <f>IF(D67="G",I67/AJ67,I67/Q67)</f>
        <v>4.9640060409932207</v>
      </c>
      <c r="K67" s="37">
        <f>IF(Settings!$E$18="C/LW/RW",VLOOKUP(B67,LW!A1:F130,6,FALSE),VLOOKUP(B67,F!A1:F430,6,FALSE))</f>
        <v>24.855584127461668</v>
      </c>
      <c r="L67" s="37">
        <f>IFERROR(K67/H67,"N/A")</f>
        <v>4.0580545514223134</v>
      </c>
      <c r="M67" s="39">
        <f>IF(Settings!$E$9="YAHOO",VLOOKUP(B67,ADP!A1:E728,2,FALSE),IF(Settings!$E$9="ESPN",VLOOKUP(B67,ADP!A1:E728,3,FALSE),IF(Settings!$E$9="FANTRAX",VLOOKUP(B67,ADP!A1:E728,4,FALSE),VLOOKUP(B67,ADP!A1:E728,5,FALSE))))</f>
        <v>35.799999999999997</v>
      </c>
      <c r="N67" s="39">
        <f>IFERROR(M67-A67,"N/A")</f>
        <v>-30.200000000000003</v>
      </c>
      <c r="O67" s="39"/>
      <c r="P67" s="40" t="str">
        <f>IF(Settings!$E$27="ON",VLOOKUP(B67,ADP!A1:H728,8,FALSE)," ")</f>
        <v xml:space="preserve"> </v>
      </c>
      <c r="Q67" s="41">
        <f>IF(Settings!$E$12="YES",VLOOKUP(B67,'Player Data'!A1:E734,5,FALSE),82)</f>
        <v>78.343214285714296</v>
      </c>
      <c r="R67" s="39">
        <f>VLOOKUP(B67,'Player Data'!$A1:$AE734,6,FALSE)</f>
        <v>18.701640587913499</v>
      </c>
      <c r="S67" s="41">
        <f>VLOOKUP(B67,'Player Data'!$A1:$AE734,7,FALSE)*$Q67*IFERROR((VLOOKUP(P67,Settings!$E$28:$F$33,2,FALSE)+1),1)</f>
        <v>26.140290489224757</v>
      </c>
      <c r="T67" s="41">
        <f>VLOOKUP(B67,'Player Data'!$A1:$AE734,8,FALSE)*$Q67*IFERROR((VLOOKUP(P67,Settings!$E$28:$F$33,2,FALSE)+1),1)</f>
        <v>47.471672197267615</v>
      </c>
      <c r="U67" s="41">
        <f>SUM(S67:T67)</f>
        <v>73.611962686492376</v>
      </c>
      <c r="V67" s="41">
        <f>VLOOKUP(B67,'Player Data'!$A1:$AE734,10,FALSE)*$Q67*IFERROR(((VLOOKUP(P67,Settings!$E$28:$F$33,2,FALSE)/2)+1),1)</f>
        <v>212.02337815290105</v>
      </c>
      <c r="W67" s="41">
        <f>VLOOKUP(B67,'Player Data'!$A1:$AE734,11,FALSE)*$Q67*IFERROR((VLOOKUP(P67,Settings!$E$28:$F$33,2,FALSE)+1),1)</f>
        <v>7.2870016813959504</v>
      </c>
      <c r="X67" s="41">
        <f>VLOOKUP(B67,'Player Data'!$A1:$AE734,12,FALSE)*$Q67*IFERROR((VLOOKUP(P67,Settings!$E$28:$F$33,2,FALSE)+1),1)</f>
        <v>26.477898262535209</v>
      </c>
      <c r="Y67" s="41">
        <f>VLOOKUP(B67,'Player Data'!$A1:$AE734,13,FALSE)*$Q67</f>
        <v>1.042934896010377</v>
      </c>
      <c r="Z67" s="41">
        <f>VLOOKUP(B67,'Player Data'!$A1:$AE734,14,FALSE)*$Q67</f>
        <v>2.065323351889595</v>
      </c>
      <c r="AA67" s="41">
        <f>VLOOKUP(B67,'Player Data'!$A1:$AE734,15,FALSE)*$Q67</f>
        <v>24.81084310167461</v>
      </c>
      <c r="AB67" s="41">
        <f>VLOOKUP(B67,'Player Data'!$A1:$AE734,16,FALSE)*$Q67</f>
        <v>86.773502331178278</v>
      </c>
      <c r="AC67" s="41">
        <f>VLOOKUP(B67,'Player Data'!$A1:$AE734,17,FALSE)*$Q67*IFERROR((VLOOKUP(P67,Settings!$E$28:$F$33,2,FALSE)+1),1)</f>
        <v>7.409039562516937</v>
      </c>
      <c r="AD67" s="41">
        <f>VLOOKUP(B67,'Player Data'!$A1:$AE734,18,FALSE)*$Q67</f>
        <v>68.992497922394335</v>
      </c>
      <c r="AE67" s="41">
        <f>VLOOKUP(B67,'Player Data'!$A1:$AE734,19,FALSE)*$Q67*IFERROR((VLOOKUP(P67,Settings!$E$28:$F$33,2,FALSE)+1),1)</f>
        <v>4.3884403484204526</v>
      </c>
      <c r="AF67" s="41">
        <f>VLOOKUP(B67,'Player Data'!$A1:$AE734,20,FALSE)*$Q67</f>
        <v>20.624473387144008</v>
      </c>
      <c r="AG67" s="41">
        <f>VLOOKUP(B67,'Player Data'!$A1:$AE734,21,FALSE)*$Q67</f>
        <v>37.325226746369914</v>
      </c>
      <c r="AH67" s="42">
        <f>VLOOKUP(B67,'Player Data'!$A1:$AE734,22,FALSE)</f>
        <v>0.355903021752071</v>
      </c>
      <c r="AI67" s="39"/>
      <c r="AJ67" s="43"/>
      <c r="AK67" s="41"/>
      <c r="AL67" s="41"/>
      <c r="AM67" s="41"/>
      <c r="AN67" s="41"/>
      <c r="AO67" s="41"/>
      <c r="AP67" s="41"/>
      <c r="AQ67" s="44"/>
      <c r="AR67" s="45"/>
      <c r="AS67" s="43"/>
    </row>
    <row r="68" spans="1:45" ht="21.25" customHeight="1" x14ac:dyDescent="0.15">
      <c r="A68" s="31">
        <f>RANK(K68,K$2:K$727)</f>
        <v>67</v>
      </c>
      <c r="B68" s="8" t="s">
        <v>172</v>
      </c>
      <c r="C68" s="32" t="s">
        <v>106</v>
      </c>
      <c r="D68" s="33" t="str">
        <f>VLOOKUP(B68,'Player Data'!A1:D734,4,FALSE)</f>
        <v>C</v>
      </c>
      <c r="E68" s="34">
        <f>VLOOKUP(B68,'C'!A1:C211,3,FALSE)</f>
        <v>18</v>
      </c>
      <c r="F68" s="35" t="str">
        <f>VLOOKUP(B68,'Player Data'!A1:B734,2,FALSE)</f>
        <v>CAR</v>
      </c>
      <c r="G68" s="9">
        <f>VLOOKUP(B68,'Player Data'!A1:D734,3,FALSE)</f>
        <v>26</v>
      </c>
      <c r="H68" s="36">
        <f>IFERROR(VLOOKUP(B68,ADP!A1:G728,7,FALSE)/1000000,VLOOKUP(B68,ADP!A1:G728,7,FALSE))</f>
        <v>9.6066000000000003</v>
      </c>
      <c r="I68" s="37">
        <f>IF(Settings!$E$15="POINTS",((R68*Q68)*Settings!$B$12)+(S68*Settings!$B$2)+(T68*Settings!$B$3)+(U68*Settings!$B$4)+(V68*Settings!$B$5)+(X68*Settings!$B$9)+(AA68*Settings!$B$6)+(W68*Settings!$B$8)+(AB68*Settings!$B$7)+(AC68*Settings!$B$14)+(AD68*Settings!$B$15)+(AE68*Settings!$B$16)+(AF68*Settings!$B$17)+(AG68*Settings!$B$18)+(Y68*Settings!$B$10)+(Z68*Settings!$B$11),VLOOKUP(B68,'Standard Deviations'!A1:C728,3,FALSE))</f>
        <v>411.92844306428276</v>
      </c>
      <c r="J68" s="38">
        <f>IF(D68="G",I68/AJ68,I68/Q68)</f>
        <v>5.1250817177515744</v>
      </c>
      <c r="K68" s="37">
        <f>IF(Settings!$E$18="C/LW/RW",VLOOKUP(B68,'C'!A1:F211,6,FALSE),VLOOKUP(B68,F!A1:F430,6,FALSE))</f>
        <v>18.599637298073105</v>
      </c>
      <c r="L68" s="37">
        <f>IFERROR(K68/H68,"N/A")</f>
        <v>1.9361311283985079</v>
      </c>
      <c r="M68" s="39">
        <f>IF(Settings!$E$9="YAHOO",VLOOKUP(B68,ADP!A1:E728,2,FALSE),IF(Settings!$E$9="ESPN",VLOOKUP(B68,ADP!A1:E728,3,FALSE),IF(Settings!$E$9="FANTRAX",VLOOKUP(B68,ADP!A1:E728,4,FALSE),VLOOKUP(B68,ADP!A1:E728,5,FALSE))))</f>
        <v>43.8</v>
      </c>
      <c r="N68" s="39">
        <f>IFERROR(M68-A68,"N/A")</f>
        <v>-23.200000000000003</v>
      </c>
      <c r="O68" s="39"/>
      <c r="P68" s="40" t="str">
        <f>IF(Settings!$E$27="ON",VLOOKUP(B68,ADP!A1:H728,8,FALSE)," ")</f>
        <v xml:space="preserve"> </v>
      </c>
      <c r="Q68" s="41">
        <f>IF(Settings!$E$12="YES",VLOOKUP(B68,'Player Data'!A1:E734,5,FALSE),82)</f>
        <v>80.375</v>
      </c>
      <c r="R68" s="39">
        <f>VLOOKUP(B68,'Player Data'!$A1:$AE734,6,FALSE)</f>
        <v>19.979980394414699</v>
      </c>
      <c r="S68" s="41">
        <f>VLOOKUP(B68,'Player Data'!$A1:$AE734,7,FALSE)*$Q68*IFERROR((VLOOKUP(P68,Settings!$E$28:$F$33,2,FALSE)+1),1)</f>
        <v>38.044387554568473</v>
      </c>
      <c r="T68" s="41">
        <f>VLOOKUP(B68,'Player Data'!$A1:$AE734,8,FALSE)*$Q68*IFERROR((VLOOKUP(P68,Settings!$E$28:$F$33,2,FALSE)+1),1)</f>
        <v>41.444031774356269</v>
      </c>
      <c r="U68" s="41">
        <f>SUM(S68:T68)</f>
        <v>79.488419328924749</v>
      </c>
      <c r="V68" s="41">
        <f>VLOOKUP(B68,'Player Data'!$A1:$AE734,10,FALSE)*$Q68*IFERROR(((VLOOKUP(P68,Settings!$E$28:$F$33,2,FALSE)/2)+1),1)</f>
        <v>236.14586986065208</v>
      </c>
      <c r="W68" s="41">
        <f>VLOOKUP(B68,'Player Data'!$A1:$AE734,11,FALSE)*$Q68*IFERROR((VLOOKUP(P68,Settings!$E$28:$F$33,2,FALSE)+1),1)</f>
        <v>9.6334402784546249</v>
      </c>
      <c r="X68" s="41">
        <f>VLOOKUP(B68,'Player Data'!$A1:$AE734,12,FALSE)*$Q68*IFERROR((VLOOKUP(P68,Settings!$E$28:$F$33,2,FALSE)+1),1)</f>
        <v>21.677132184348501</v>
      </c>
      <c r="Y68" s="41">
        <f>VLOOKUP(B68,'Player Data'!$A1:$AE734,13,FALSE)*$Q68</f>
        <v>2.2116547850403165</v>
      </c>
      <c r="Z68" s="41">
        <f>VLOOKUP(B68,'Player Data'!$A1:$AE734,14,FALSE)*$Q68</f>
        <v>3.366384358315555</v>
      </c>
      <c r="AA68" s="41">
        <f>VLOOKUP(B68,'Player Data'!$A1:$AE734,15,FALSE)*$Q68</f>
        <v>26.516085309271993</v>
      </c>
      <c r="AB68" s="41">
        <f>VLOOKUP(B68,'Player Data'!$A1:$AE734,16,FALSE)*$Q68</f>
        <v>70.730257718698297</v>
      </c>
      <c r="AC68" s="41">
        <f>VLOOKUP(B68,'Player Data'!$A1:$AE734,17,FALSE)*$Q68*IFERROR((VLOOKUP(P68,Settings!$E$28:$F$33,2,FALSE)+1),1)</f>
        <v>8.5511761497254248</v>
      </c>
      <c r="AD68" s="41">
        <f>VLOOKUP(B68,'Player Data'!$A1:$AE734,18,FALSE)*$Q68</f>
        <v>43.912079427270335</v>
      </c>
      <c r="AE68" s="41">
        <f>VLOOKUP(B68,'Player Data'!$A1:$AE734,19,FALSE)*$Q68*IFERROR((VLOOKUP(P68,Settings!$E$28:$F$33,2,FALSE)+1),1)</f>
        <v>6.8260150055491424</v>
      </c>
      <c r="AF68" s="41">
        <f>VLOOKUP(B68,'Player Data'!$A1:$AE734,20,FALSE)*$Q68</f>
        <v>584.94025066414065</v>
      </c>
      <c r="AG68" s="41">
        <f>VLOOKUP(B68,'Player Data'!$A1:$AE734,21,FALSE)*$Q68</f>
        <v>538.33099346250208</v>
      </c>
      <c r="AH68" s="42">
        <f>VLOOKUP(B68,'Player Data'!$A1:$AE734,22,FALSE)</f>
        <v>0.52074710691889803</v>
      </c>
      <c r="AI68" s="39"/>
      <c r="AJ68" s="43"/>
      <c r="AK68" s="41"/>
      <c r="AL68" s="41"/>
      <c r="AM68" s="41"/>
      <c r="AN68" s="41"/>
      <c r="AO68" s="41"/>
      <c r="AP68" s="41"/>
      <c r="AQ68" s="44"/>
      <c r="AR68" s="45"/>
      <c r="AS68" s="39"/>
    </row>
    <row r="69" spans="1:45" ht="21.25" customHeight="1" x14ac:dyDescent="0.15">
      <c r="A69" s="31">
        <f>RANK(K69,K$2:K$727)</f>
        <v>68</v>
      </c>
      <c r="B69" s="8" t="s">
        <v>173</v>
      </c>
      <c r="C69" s="32" t="s">
        <v>106</v>
      </c>
      <c r="D69" s="33" t="str">
        <f>VLOOKUP(B69,'Player Data'!A1:D734,4,FALSE)</f>
        <v>RW</v>
      </c>
      <c r="E69" s="46">
        <f>VLOOKUP(B69,RW!A1:F97,3,FALSE)</f>
        <v>13</v>
      </c>
      <c r="F69" s="35" t="str">
        <f>VLOOKUP(B69,'Player Data'!A1:B734,2,FALSE)</f>
        <v>ANA</v>
      </c>
      <c r="G69" s="9">
        <f>VLOOKUP(B69,'Player Data'!A1:D734,3,FALSE)</f>
        <v>25</v>
      </c>
      <c r="H69" s="36">
        <f>IFERROR(VLOOKUP(B69,ADP!A1:G728,7,FALSE)/1000000,VLOOKUP(B69,ADP!A1:G728,7,FALSE))</f>
        <v>7</v>
      </c>
      <c r="I69" s="37">
        <f>IF(Settings!$E$15="POINTS",((R69*Q69)*Settings!$B$12)+(S69*Settings!$B$2)+(T69*Settings!$B$3)+(U69*Settings!$B$4)+(V69*Settings!$B$5)+(X69*Settings!$B$9)+(AA69*Settings!$B$6)+(W69*Settings!$B$8)+(AB69*Settings!$B$7)+(AC69*Settings!$B$14)+(AD69*Settings!$B$15)+(AE69*Settings!$B$16)+(AF69*Settings!$B$17)+(AG69*Settings!$B$18)+(Y69*Settings!$B$10)+(Z69*Settings!$B$11),VLOOKUP(B69,'Standard Deviations'!A1:C728,3,FALSE))</f>
        <v>367.41759376116539</v>
      </c>
      <c r="J69" s="38">
        <f>IF(D69="G",I69/AJ69,I69/Q69)</f>
        <v>4.6822683033154764</v>
      </c>
      <c r="K69" s="37">
        <f>IF(Settings!$E$18="C/LW/RW",VLOOKUP(B69,RW!A1:F97,6,FALSE),VLOOKUP(B69,F!A1:F430,6,FALSE))</f>
        <v>17.14605321327582</v>
      </c>
      <c r="L69" s="37">
        <f>IFERROR(K69/H69,"N/A")</f>
        <v>2.4494361733251173</v>
      </c>
      <c r="M69" s="39">
        <f>IF(Settings!$E$9="YAHOO",VLOOKUP(B69,ADP!A1:E728,2,FALSE),IF(Settings!$E$9="ESPN",VLOOKUP(B69,ADP!A1:E728,3,FALSE),IF(Settings!$E$9="FANTRAX",VLOOKUP(B69,ADP!A1:E728,4,FALSE),VLOOKUP(B69,ADP!A1:E728,5,FALSE))))</f>
        <v>131.5</v>
      </c>
      <c r="N69" s="39">
        <f>IFERROR(M69-A69,"N/A")</f>
        <v>63.5</v>
      </c>
      <c r="O69" s="39"/>
      <c r="P69" s="40" t="str">
        <f>IF(Settings!$E$27="ON",VLOOKUP(B69,ADP!A1:H728,8,FALSE)," ")</f>
        <v xml:space="preserve"> </v>
      </c>
      <c r="Q69" s="41">
        <f>IF(Settings!$E$12="YES",VLOOKUP(B69,'Player Data'!A1:E734,5,FALSE),82)</f>
        <v>78.47</v>
      </c>
      <c r="R69" s="39">
        <f>VLOOKUP(B69,'Player Data'!$A1:$AE734,6,FALSE)</f>
        <v>19.746723321483</v>
      </c>
      <c r="S69" s="41">
        <f>VLOOKUP(B69,'Player Data'!$A1:$AE734,7,FALSE)*$Q69*IFERROR((VLOOKUP(P69,Settings!$E$28:$F$33,2,FALSE)+1),1)</f>
        <v>32.557098445519479</v>
      </c>
      <c r="T69" s="41">
        <f>VLOOKUP(B69,'Player Data'!$A1:$AE734,8,FALSE)*$Q69*IFERROR((VLOOKUP(P69,Settings!$E$28:$F$33,2,FALSE)+1),1)</f>
        <v>40.910154304413751</v>
      </c>
      <c r="U69" s="41">
        <f>SUM(S69:T69)</f>
        <v>73.467252749933238</v>
      </c>
      <c r="V69" s="41">
        <f>VLOOKUP(B69,'Player Data'!$A1:$AE734,10,FALSE)*$Q69*IFERROR(((VLOOKUP(P69,Settings!$E$28:$F$33,2,FALSE)/2)+1),1)</f>
        <v>214.52619182652549</v>
      </c>
      <c r="W69" s="41">
        <f>VLOOKUP(B69,'Player Data'!$A1:$AE734,11,FALSE)*$Q69*IFERROR((VLOOKUP(P69,Settings!$E$28:$F$33,2,FALSE)+1),1)</f>
        <v>7.5598382955680723</v>
      </c>
      <c r="X69" s="41">
        <f>VLOOKUP(B69,'Player Data'!$A1:$AE734,12,FALSE)*$Q69*IFERROR((VLOOKUP(P69,Settings!$E$28:$F$33,2,FALSE)+1),1)</f>
        <v>16.924137289682754</v>
      </c>
      <c r="Y69" s="41">
        <f>VLOOKUP(B69,'Player Data'!$A1:$AE734,13,FALSE)*$Q69</f>
        <v>7.2659166506318484E-2</v>
      </c>
      <c r="Z69" s="41">
        <f>VLOOKUP(B69,'Player Data'!$A1:$AE734,14,FALSE)*$Q69</f>
        <v>0.13257067490926305</v>
      </c>
      <c r="AA69" s="41">
        <f>VLOOKUP(B69,'Player Data'!$A1:$AE734,15,FALSE)*$Q69</f>
        <v>28.196618344594523</v>
      </c>
      <c r="AB69" s="41">
        <f>VLOOKUP(B69,'Player Data'!$A1:$AE734,16,FALSE)*$Q69</f>
        <v>17.034240837913611</v>
      </c>
      <c r="AC69" s="41">
        <f>VLOOKUP(B69,'Player Data'!$A1:$AE734,17,FALSE)*$Q69*IFERROR((VLOOKUP(P69,Settings!$E$28:$F$33,2,FALSE)+1),1)</f>
        <v>-6.6303455778059623</v>
      </c>
      <c r="AD69" s="41">
        <f>VLOOKUP(B69,'Player Data'!$A1:$AE734,18,FALSE)*$Q69</f>
        <v>30.565028617180626</v>
      </c>
      <c r="AE69" s="41">
        <f>VLOOKUP(B69,'Player Data'!$A1:$AE734,19,FALSE)*$Q69*IFERROR((VLOOKUP(P69,Settings!$E$28:$F$33,2,FALSE)+1),1)</f>
        <v>3.5294966224115067</v>
      </c>
      <c r="AF69" s="41">
        <f>VLOOKUP(B69,'Player Data'!$A1:$AE734,20,FALSE)*$Q69</f>
        <v>2.3636044010598383</v>
      </c>
      <c r="AG69" s="41">
        <f>VLOOKUP(B69,'Player Data'!$A1:$AE734,21,FALSE)*$Q69</f>
        <v>1.7008475110245806</v>
      </c>
      <c r="AH69" s="42">
        <f>VLOOKUP(B69,'Player Data'!$A1:$AE734,22,FALSE)</f>
        <v>0.58153090556499798</v>
      </c>
      <c r="AI69" s="39"/>
      <c r="AJ69" s="43"/>
      <c r="AK69" s="41"/>
      <c r="AL69" s="41"/>
      <c r="AM69" s="41"/>
      <c r="AN69" s="41"/>
      <c r="AO69" s="41"/>
      <c r="AP69" s="41"/>
      <c r="AQ69" s="44"/>
      <c r="AR69" s="45"/>
      <c r="AS69" s="43"/>
    </row>
    <row r="70" spans="1:45" ht="21.25" customHeight="1" x14ac:dyDescent="0.15">
      <c r="A70" s="31">
        <f>RANK(K70,K$2:K$727)</f>
        <v>69</v>
      </c>
      <c r="B70" s="8" t="s">
        <v>174</v>
      </c>
      <c r="C70" s="32" t="s">
        <v>106</v>
      </c>
      <c r="D70" s="33" t="str">
        <f>VLOOKUP(B70,'Player Data'!A1:D734,4,FALSE)</f>
        <v>RW</v>
      </c>
      <c r="E70" s="46">
        <f>VLOOKUP(B70,RW!A1:F97,3,FALSE)</f>
        <v>14</v>
      </c>
      <c r="F70" s="35" t="str">
        <f>VLOOKUP(B70,'Player Data'!A1:B734,2,FALSE)</f>
        <v>VGK</v>
      </c>
      <c r="G70" s="9">
        <f>VLOOKUP(B70,'Player Data'!A1:D734,3,FALSE)</f>
        <v>32</v>
      </c>
      <c r="H70" s="36">
        <f>IFERROR(VLOOKUP(B70,ADP!A1:G728,7,FALSE)/1000000,VLOOKUP(B70,ADP!A1:G728,7,FALSE))</f>
        <v>5</v>
      </c>
      <c r="I70" s="37">
        <f>IF(Settings!$E$15="POINTS",((R70*Q70)*Settings!$B$12)+(S70*Settings!$B$2)+(T70*Settings!$B$3)+(U70*Settings!$B$4)+(V70*Settings!$B$5)+(X70*Settings!$B$9)+(AA70*Settings!$B$6)+(W70*Settings!$B$8)+(AB70*Settings!$B$7)+(AC70*Settings!$B$14)+(AD70*Settings!$B$15)+(AE70*Settings!$B$16)+(AF70*Settings!$B$17)+(AG70*Settings!$B$18)+(Y70*Settings!$B$10)+(Z70*Settings!$B$11),VLOOKUP(B70,'Standard Deviations'!A1:C728,3,FALSE))</f>
        <v>365.62213145941126</v>
      </c>
      <c r="J70" s="38">
        <f>IF(D70="G",I70/AJ70,I70/Q70)</f>
        <v>4.5706439271296437</v>
      </c>
      <c r="K70" s="37">
        <f>IF(Settings!$E$18="C/LW/RW",VLOOKUP(B70,RW!A1:F97,6,FALSE),VLOOKUP(B70,F!A1:F430,6,FALSE))</f>
        <v>15.350590911521692</v>
      </c>
      <c r="L70" s="37">
        <f>IFERROR(K70/H70,"N/A")</f>
        <v>3.0701181823043386</v>
      </c>
      <c r="M70" s="39">
        <f>IF(Settings!$E$9="YAHOO",VLOOKUP(B70,ADP!A1:E728,2,FALSE),IF(Settings!$E$9="ESPN",VLOOKUP(B70,ADP!A1:E728,3,FALSE),IF(Settings!$E$9="FANTRAX",VLOOKUP(B70,ADP!A1:E728,4,FALSE),VLOOKUP(B70,ADP!A1:E728,5,FALSE))))</f>
        <v>93.7</v>
      </c>
      <c r="N70" s="39">
        <f>IFERROR(M70-A70,"N/A")</f>
        <v>24.700000000000003</v>
      </c>
      <c r="O70" s="39"/>
      <c r="P70" s="40" t="str">
        <f>IF(Settings!$E$27="ON",VLOOKUP(B70,ADP!A1:H728,8,FALSE)," ")</f>
        <v xml:space="preserve"> </v>
      </c>
      <c r="Q70" s="41">
        <f>IF(Settings!$E$12="YES",VLOOKUP(B70,'Player Data'!A1:E734,5,FALSE),82)</f>
        <v>79.9935714285714</v>
      </c>
      <c r="R70" s="39">
        <f>VLOOKUP(B70,'Player Data'!$A1:$AE734,6,FALSE)</f>
        <v>17.643185033847399</v>
      </c>
      <c r="S70" s="41">
        <f>VLOOKUP(B70,'Player Data'!$A1:$AE734,7,FALSE)*$Q70*IFERROR((VLOOKUP(P70,Settings!$E$28:$F$33,2,FALSE)+1),1)</f>
        <v>29.337330162457981</v>
      </c>
      <c r="T70" s="41">
        <f>VLOOKUP(B70,'Player Data'!$A1:$AE734,8,FALSE)*$Q70*IFERROR((VLOOKUP(P70,Settings!$E$28:$F$33,2,FALSE)+1),1)</f>
        <v>34.522751638080692</v>
      </c>
      <c r="U70" s="41">
        <f>SUM(S70:T70)</f>
        <v>63.860081800538673</v>
      </c>
      <c r="V70" s="41">
        <f>VLOOKUP(B70,'Player Data'!$A1:$AE734,10,FALSE)*$Q70*IFERROR(((VLOOKUP(P70,Settings!$E$28:$F$33,2,FALSE)/2)+1),1)</f>
        <v>260.29499967723001</v>
      </c>
      <c r="W70" s="41">
        <f>VLOOKUP(B70,'Player Data'!$A1:$AE734,11,FALSE)*$Q70*IFERROR((VLOOKUP(P70,Settings!$E$28:$F$33,2,FALSE)+1),1)</f>
        <v>8.5085700506805324</v>
      </c>
      <c r="X70" s="41">
        <f>VLOOKUP(B70,'Player Data'!$A1:$AE734,12,FALSE)*$Q70*IFERROR((VLOOKUP(P70,Settings!$E$28:$F$33,2,FALSE)+1),1)</f>
        <v>19.951868372189821</v>
      </c>
      <c r="Y70" s="41">
        <f>VLOOKUP(B70,'Player Data'!$A1:$AE734,13,FALSE)*$Q70</f>
        <v>7.0881037683015078E-4</v>
      </c>
      <c r="Z70" s="41">
        <f>VLOOKUP(B70,'Player Data'!$A1:$AE734,14,FALSE)*$Q70</f>
        <v>1.2998973525968501E-3</v>
      </c>
      <c r="AA70" s="41">
        <f>VLOOKUP(B70,'Player Data'!$A1:$AE734,15,FALSE)*$Q70</f>
        <v>19.940248400477145</v>
      </c>
      <c r="AB70" s="41">
        <f>VLOOKUP(B70,'Player Data'!$A1:$AE734,16,FALSE)*$Q70</f>
        <v>75.280433864853165</v>
      </c>
      <c r="AC70" s="41">
        <f>VLOOKUP(B70,'Player Data'!$A1:$AE734,17,FALSE)*$Q70*IFERROR((VLOOKUP(P70,Settings!$E$28:$F$33,2,FALSE)+1),1)</f>
        <v>4.9911852096165399</v>
      </c>
      <c r="AD70" s="41">
        <f>VLOOKUP(B70,'Player Data'!$A1:$AE734,18,FALSE)*$Q70</f>
        <v>29.520984644720993</v>
      </c>
      <c r="AE70" s="41">
        <f>VLOOKUP(B70,'Player Data'!$A1:$AE734,19,FALSE)*$Q70*IFERROR((VLOOKUP(P70,Settings!$E$28:$F$33,2,FALSE)+1),1)</f>
        <v>4.7945202104969979</v>
      </c>
      <c r="AF70" s="41">
        <f>VLOOKUP(B70,'Player Data'!$A1:$AE734,20,FALSE)*$Q70</f>
        <v>31.08256464761174</v>
      </c>
      <c r="AG70" s="41">
        <f>VLOOKUP(B70,'Player Data'!$A1:$AE734,21,FALSE)*$Q70</f>
        <v>44.230288611206277</v>
      </c>
      <c r="AH70" s="42">
        <f>VLOOKUP(B70,'Player Data'!$A1:$AE734,22,FALSE)</f>
        <v>0.41271261547871901</v>
      </c>
      <c r="AI70" s="39"/>
      <c r="AJ70" s="43"/>
      <c r="AK70" s="41"/>
      <c r="AL70" s="41"/>
      <c r="AM70" s="41"/>
      <c r="AN70" s="41"/>
      <c r="AO70" s="41"/>
      <c r="AP70" s="41"/>
      <c r="AQ70" s="44"/>
      <c r="AR70" s="45"/>
      <c r="AS70" s="43"/>
    </row>
    <row r="71" spans="1:45" ht="21.25" customHeight="1" x14ac:dyDescent="0.15">
      <c r="A71" s="31">
        <f>RANK(K71,K$2:K$727)</f>
        <v>70</v>
      </c>
      <c r="B71" s="8" t="s">
        <v>175</v>
      </c>
      <c r="C71" s="32" t="s">
        <v>106</v>
      </c>
      <c r="D71" s="33" t="str">
        <f>VLOOKUP(B71,'Player Data'!A1:D734,4,FALSE)</f>
        <v>LW</v>
      </c>
      <c r="E71" s="47">
        <f>VLOOKUP(B71,LW!A1:C130,3,FALSE)</f>
        <v>17</v>
      </c>
      <c r="F71" s="35" t="str">
        <f>VLOOKUP(B71,'Player Data'!A1:B734,2,FALSE)</f>
        <v>BUF</v>
      </c>
      <c r="G71" s="9">
        <f>VLOOKUP(B71,'Player Data'!A1:D734,3,FALSE)</f>
        <v>31</v>
      </c>
      <c r="H71" s="36">
        <f>IFERROR(VLOOKUP(B71,ADP!A1:G728,7,FALSE)/1000000,VLOOKUP(B71,ADP!A1:G728,7,FALSE))</f>
        <v>9</v>
      </c>
      <c r="I71" s="37">
        <f>IF(Settings!$E$15="POINTS",((R71*Q71)*Settings!$B$12)+(S71*Settings!$B$2)+(T71*Settings!$B$3)+(U71*Settings!$B$4)+(V71*Settings!$B$5)+(X71*Settings!$B$9)+(AA71*Settings!$B$6)+(W71*Settings!$B$8)+(AB71*Settings!$B$7)+(AC71*Settings!$B$14)+(AD71*Settings!$B$15)+(AE71*Settings!$B$16)+(AF71*Settings!$B$17)+(AG71*Settings!$B$18)+(Y71*Settings!$B$10)+(Z71*Settings!$B$11),VLOOKUP(B71,'Standard Deviations'!A1:C728,3,FALSE))</f>
        <v>378.99830546695591</v>
      </c>
      <c r="J71" s="38">
        <f>IF(D71="G",I71/AJ71,I71/Q71)</f>
        <v>4.7086384080874142</v>
      </c>
      <c r="K71" s="37">
        <f>IF(Settings!$E$18="C/LW/RW",VLOOKUP(B71,LW!A1:F130,6,FALSE),VLOOKUP(B71,F!A1:F430,6,FALSE))</f>
        <v>14.957700609305448</v>
      </c>
      <c r="L71" s="37">
        <f>IFERROR(K71/H71,"N/A")</f>
        <v>1.6619667343672719</v>
      </c>
      <c r="M71" s="39">
        <f>IF(Settings!$E$9="YAHOO",VLOOKUP(B71,ADP!A1:E728,2,FALSE),IF(Settings!$E$9="ESPN",VLOOKUP(B71,ADP!A1:E728,3,FALSE),IF(Settings!$E$9="FANTRAX",VLOOKUP(B71,ADP!A1:E728,4,FALSE),VLOOKUP(B71,ADP!A1:E728,5,FALSE))))</f>
        <v>56.1</v>
      </c>
      <c r="N71" s="39">
        <f>IFERROR(M71-A71,"N/A")</f>
        <v>-13.899999999999999</v>
      </c>
      <c r="O71" s="39"/>
      <c r="P71" s="40" t="str">
        <f>IF(Settings!$E$27="ON",VLOOKUP(B71,ADP!A1:H728,8,FALSE)," ")</f>
        <v xml:space="preserve"> </v>
      </c>
      <c r="Q71" s="41">
        <f>IF(Settings!$E$12="YES",VLOOKUP(B71,'Player Data'!A1:E734,5,FALSE),82)</f>
        <v>80.489999999999995</v>
      </c>
      <c r="R71" s="39">
        <f>VLOOKUP(B71,'Player Data'!$A1:$AE734,6,FALSE)</f>
        <v>18.052546359164801</v>
      </c>
      <c r="S71" s="41">
        <f>VLOOKUP(B71,'Player Data'!$A1:$AE734,7,FALSE)*$Q71*IFERROR((VLOOKUP(P71,Settings!$E$28:$F$33,2,FALSE)+1),1)</f>
        <v>31.485497285332201</v>
      </c>
      <c r="T71" s="41">
        <f>VLOOKUP(B71,'Player Data'!$A1:$AE734,8,FALSE)*$Q71*IFERROR((VLOOKUP(P71,Settings!$E$28:$F$33,2,FALSE)+1),1)</f>
        <v>38.877871594617439</v>
      </c>
      <c r="U71" s="41">
        <f>SUM(S71:T71)</f>
        <v>70.363368879949633</v>
      </c>
      <c r="V71" s="41">
        <f>VLOOKUP(B71,'Player Data'!$A1:$AE734,10,FALSE)*$Q71*IFERROR(((VLOOKUP(P71,Settings!$E$28:$F$33,2,FALSE)/2)+1),1)</f>
        <v>252.3299315335947</v>
      </c>
      <c r="W71" s="41">
        <f>VLOOKUP(B71,'Player Data'!$A1:$AE734,11,FALSE)*$Q71*IFERROR((VLOOKUP(P71,Settings!$E$28:$F$33,2,FALSE)+1),1)</f>
        <v>7.5856170563264778</v>
      </c>
      <c r="X71" s="41">
        <f>VLOOKUP(B71,'Player Data'!$A1:$AE734,12,FALSE)*$Q71*IFERROR((VLOOKUP(P71,Settings!$E$28:$F$33,2,FALSE)+1),1)</f>
        <v>18.976266633557515</v>
      </c>
      <c r="Y71" s="41">
        <f>VLOOKUP(B71,'Player Data'!$A1:$AE734,13,FALSE)*$Q71</f>
        <v>1.4303220613374381E-2</v>
      </c>
      <c r="Z71" s="41">
        <f>VLOOKUP(B71,'Player Data'!$A1:$AE734,14,FALSE)*$Q71</f>
        <v>2.6233077164676464E-2</v>
      </c>
      <c r="AA71" s="41">
        <f>VLOOKUP(B71,'Player Data'!$A1:$AE734,15,FALSE)*$Q71</f>
        <v>18.691168194326377</v>
      </c>
      <c r="AB71" s="41">
        <f>VLOOKUP(B71,'Player Data'!$A1:$AE734,16,FALSE)*$Q71</f>
        <v>31.36925740020871</v>
      </c>
      <c r="AC71" s="41">
        <f>VLOOKUP(B71,'Player Data'!$A1:$AE734,17,FALSE)*$Q71*IFERROR((VLOOKUP(P71,Settings!$E$28:$F$33,2,FALSE)+1),1)</f>
        <v>0.93670704782656988</v>
      </c>
      <c r="AD71" s="41">
        <f>VLOOKUP(B71,'Player Data'!$A1:$AE734,18,FALSE)*$Q71</f>
        <v>32.094337110835923</v>
      </c>
      <c r="AE71" s="41">
        <f>VLOOKUP(B71,'Player Data'!$A1:$AE734,19,FALSE)*$Q71*IFERROR((VLOOKUP(P71,Settings!$E$28:$F$33,2,FALSE)+1),1)</f>
        <v>4.0574832321206813</v>
      </c>
      <c r="AF71" s="41">
        <f>VLOOKUP(B71,'Player Data'!$A1:$AE734,20,FALSE)*$Q71</f>
        <v>128.26986345097203</v>
      </c>
      <c r="AG71" s="41">
        <f>VLOOKUP(B71,'Player Data'!$A1:$AE734,21,FALSE)*$Q71</f>
        <v>158.92740762071327</v>
      </c>
      <c r="AH71" s="42">
        <f>VLOOKUP(B71,'Player Data'!$A1:$AE734,22,FALSE)</f>
        <v>0.44662633099656301</v>
      </c>
      <c r="AI71" s="39"/>
      <c r="AJ71" s="41"/>
      <c r="AK71" s="41"/>
      <c r="AL71" s="41"/>
      <c r="AM71" s="41"/>
      <c r="AN71" s="41"/>
      <c r="AO71" s="41"/>
      <c r="AP71" s="41"/>
      <c r="AQ71" s="44"/>
      <c r="AR71" s="45"/>
      <c r="AS71" s="39"/>
    </row>
    <row r="72" spans="1:45" ht="21.25" customHeight="1" x14ac:dyDescent="0.15">
      <c r="A72" s="31">
        <f>RANK(K72,K$2:K$727)</f>
        <v>71</v>
      </c>
      <c r="B72" s="8" t="s">
        <v>176</v>
      </c>
      <c r="C72" s="32" t="s">
        <v>106</v>
      </c>
      <c r="D72" s="33" t="str">
        <f>VLOOKUP(B72,'Player Data'!A1:D734,4,FALSE)</f>
        <v>LW</v>
      </c>
      <c r="E72" s="47">
        <f>VLOOKUP(B72,LW!A1:C130,3,FALSE)</f>
        <v>18</v>
      </c>
      <c r="F72" s="35" t="str">
        <f>VLOOKUP(B72,'Player Data'!A1:B734,2,FALSE)</f>
        <v>NJD</v>
      </c>
      <c r="G72" s="9">
        <f>VLOOKUP(B72,'Player Data'!A1:D734,3,FALSE)</f>
        <v>25</v>
      </c>
      <c r="H72" s="36">
        <f>IFERROR(VLOOKUP(B72,ADP!A1:G728,7,FALSE)/1000000,VLOOKUP(B72,ADP!A1:G728,7,FALSE))</f>
        <v>7.85</v>
      </c>
      <c r="I72" s="37">
        <f>IF(Settings!$E$15="POINTS",((R72*Q72)*Settings!$B$12)+(S72*Settings!$B$2)+(T72*Settings!$B$3)+(U72*Settings!$B$4)+(V72*Settings!$B$5)+(X72*Settings!$B$9)+(AA72*Settings!$B$6)+(W72*Settings!$B$8)+(AB72*Settings!$B$7)+(AC72*Settings!$B$14)+(AD72*Settings!$B$15)+(AE72*Settings!$B$16)+(AF72*Settings!$B$17)+(AG72*Settings!$B$18)+(Y72*Settings!$B$10)+(Z72*Settings!$B$11),VLOOKUP(B72,'Standard Deviations'!A1:C728,3,FALSE))</f>
        <v>378.79732042132815</v>
      </c>
      <c r="J72" s="38">
        <f>IF(D72="G",I72/AJ72,I72/Q72)</f>
        <v>4.7143412622442833</v>
      </c>
      <c r="K72" s="37">
        <f>IF(Settings!$E$18="C/LW/RW",VLOOKUP(B72,LW!A1:F130,6,FALSE),VLOOKUP(B72,F!A1:F430,6,FALSE))</f>
        <v>14.756715563677687</v>
      </c>
      <c r="L72" s="37">
        <f>IFERROR(K72/H72,"N/A")</f>
        <v>1.8798363775385589</v>
      </c>
      <c r="M72" s="39">
        <f>IF(Settings!$E$9="YAHOO",VLOOKUP(B72,ADP!A1:E728,2,FALSE),IF(Settings!$E$9="ESPN",VLOOKUP(B72,ADP!A1:E728,3,FALSE),IF(Settings!$E$9="FANTRAX",VLOOKUP(B72,ADP!A1:E728,4,FALSE),VLOOKUP(B72,ADP!A1:E728,5,FALSE))))</f>
        <v>88.6</v>
      </c>
      <c r="N72" s="39">
        <f>IFERROR(M72-A72,"N/A")</f>
        <v>17.599999999999994</v>
      </c>
      <c r="O72" s="39"/>
      <c r="P72" s="40" t="str">
        <f>IF(Settings!$E$27="ON",VLOOKUP(B72,ADP!A1:H728,8,FALSE)," ")</f>
        <v xml:space="preserve"> </v>
      </c>
      <c r="Q72" s="41">
        <f>IF(Settings!$E$12="YES",VLOOKUP(B72,'Player Data'!A1:E734,5,FALSE),82)</f>
        <v>80.349999999999994</v>
      </c>
      <c r="R72" s="39">
        <f>VLOOKUP(B72,'Player Data'!$A1:$AE734,6,FALSE)</f>
        <v>17.6488646323171</v>
      </c>
      <c r="S72" s="41">
        <f>VLOOKUP(B72,'Player Data'!$A1:$AE734,7,FALSE)*$Q72*IFERROR((VLOOKUP(P72,Settings!$E$28:$F$33,2,FALSE)+1),1)</f>
        <v>29.377632399810228</v>
      </c>
      <c r="T72" s="41">
        <f>VLOOKUP(B72,'Player Data'!$A1:$AE734,8,FALSE)*$Q72*IFERROR((VLOOKUP(P72,Settings!$E$28:$F$33,2,FALSE)+1),1)</f>
        <v>45.045576392668636</v>
      </c>
      <c r="U72" s="41">
        <f>SUM(S72:T72)</f>
        <v>74.42320879247886</v>
      </c>
      <c r="V72" s="41">
        <f>VLOOKUP(B72,'Player Data'!$A1:$AE734,10,FALSE)*$Q72*IFERROR(((VLOOKUP(P72,Settings!$E$28:$F$33,2,FALSE)/2)+1),1)</f>
        <v>209.11094188637961</v>
      </c>
      <c r="W72" s="41">
        <f>VLOOKUP(B72,'Player Data'!$A1:$AE734,11,FALSE)*$Q72*IFERROR((VLOOKUP(P72,Settings!$E$28:$F$33,2,FALSE)+1),1)</f>
        <v>7.0903854258022339</v>
      </c>
      <c r="X72" s="41">
        <f>VLOOKUP(B72,'Player Data'!$A1:$AE734,12,FALSE)*$Q72*IFERROR((VLOOKUP(P72,Settings!$E$28:$F$33,2,FALSE)+1),1)</f>
        <v>22.776850221440146</v>
      </c>
      <c r="Y72" s="41">
        <f>VLOOKUP(B72,'Player Data'!$A1:$AE734,13,FALSE)*$Q72</f>
        <v>1.5314085756534883E-2</v>
      </c>
      <c r="Z72" s="41">
        <f>VLOOKUP(B72,'Player Data'!$A1:$AE734,14,FALSE)*$Q72</f>
        <v>5.2984539567677923E-2</v>
      </c>
      <c r="AA72" s="41">
        <f>VLOOKUP(B72,'Player Data'!$A1:$AE734,15,FALSE)*$Q72</f>
        <v>26.562767893430195</v>
      </c>
      <c r="AB72" s="41">
        <f>VLOOKUP(B72,'Player Data'!$A1:$AE734,16,FALSE)*$Q72</f>
        <v>32.219127920059101</v>
      </c>
      <c r="AC72" s="41">
        <f>VLOOKUP(B72,'Player Data'!$A1:$AE734,17,FALSE)*$Q72*IFERROR((VLOOKUP(P72,Settings!$E$28:$F$33,2,FALSE)+1),1)</f>
        <v>1.9633604714810124</v>
      </c>
      <c r="AD72" s="41">
        <f>VLOOKUP(B72,'Player Data'!$A1:$AE734,18,FALSE)*$Q72</f>
        <v>15.270385095428868</v>
      </c>
      <c r="AE72" s="41">
        <f>VLOOKUP(B72,'Player Data'!$A1:$AE734,19,FALSE)*$Q72*IFERROR((VLOOKUP(P72,Settings!$E$28:$F$33,2,FALSE)+1),1)</f>
        <v>4.3241114680304413</v>
      </c>
      <c r="AF72" s="41">
        <f>VLOOKUP(B72,'Player Data'!$A1:$AE734,20,FALSE)*$Q72</f>
        <v>9.2883547350597048E-2</v>
      </c>
      <c r="AG72" s="41">
        <f>VLOOKUP(B72,'Player Data'!$A1:$AE734,21,FALSE)*$Q72</f>
        <v>1.8018590924412738</v>
      </c>
      <c r="AH72" s="42">
        <f>VLOOKUP(B72,'Player Data'!$A1:$AE734,22,FALSE)</f>
        <v>4.9021722211729797E-2</v>
      </c>
      <c r="AI72" s="39"/>
      <c r="AJ72" s="43"/>
      <c r="AK72" s="41"/>
      <c r="AL72" s="41"/>
      <c r="AM72" s="41"/>
      <c r="AN72" s="41"/>
      <c r="AO72" s="41"/>
      <c r="AP72" s="41"/>
      <c r="AQ72" s="44"/>
      <c r="AR72" s="45"/>
      <c r="AS72" s="39"/>
    </row>
    <row r="73" spans="1:45" ht="21.25" customHeight="1" x14ac:dyDescent="0.15">
      <c r="A73" s="31">
        <f>RANK(K73,K$2:K$727)</f>
        <v>72</v>
      </c>
      <c r="B73" s="8" t="s">
        <v>177</v>
      </c>
      <c r="C73" s="32" t="s">
        <v>106</v>
      </c>
      <c r="D73" s="33" t="str">
        <f>VLOOKUP(B73,'Player Data'!A1:D734,4,FALSE)</f>
        <v>C</v>
      </c>
      <c r="E73" s="34">
        <f>VLOOKUP(B73,'C'!A1:C211,3,FALSE)</f>
        <v>19</v>
      </c>
      <c r="F73" s="35" t="str">
        <f>VLOOKUP(B73,'Player Data'!A1:B734,2,FALSE)</f>
        <v>BUF</v>
      </c>
      <c r="G73" s="9">
        <f>VLOOKUP(B73,'Player Data'!A1:D734,3,FALSE)</f>
        <v>22</v>
      </c>
      <c r="H73" s="36">
        <f>IFERROR(VLOOKUP(B73,ADP!A1:G728,7,FALSE)/1000000,VLOOKUP(B73,ADP!A1:G728,7,FALSE))</f>
        <v>7.1</v>
      </c>
      <c r="I73" s="37">
        <f>IF(Settings!$E$15="POINTS",((R73*Q73)*Settings!$B$12)+(S73*Settings!$B$2)+(T73*Settings!$B$3)+(U73*Settings!$B$4)+(V73*Settings!$B$5)+(X73*Settings!$B$9)+(AA73*Settings!$B$6)+(W73*Settings!$B$8)+(AB73*Settings!$B$7)+(AC73*Settings!$B$14)+(AD73*Settings!$B$15)+(AE73*Settings!$B$16)+(AF73*Settings!$B$17)+(AG73*Settings!$B$18)+(Y73*Settings!$B$10)+(Z73*Settings!$B$11),VLOOKUP(B73,'Standard Deviations'!A1:C728,3,FALSE))</f>
        <v>407.67256026988247</v>
      </c>
      <c r="J73" s="38">
        <f>IF(D73="G",I73/AJ73,I73/Q73)</f>
        <v>5.0027311359661617</v>
      </c>
      <c r="K73" s="37">
        <f>IF(Settings!$E$18="C/LW/RW",VLOOKUP(B73,'C'!A1:F211,6,FALSE),VLOOKUP(B73,F!A1:F430,6,FALSE))</f>
        <v>14.343754503672812</v>
      </c>
      <c r="L73" s="37">
        <f>IFERROR(K73/H73,"N/A")</f>
        <v>2.0202471131933541</v>
      </c>
      <c r="M73" s="39">
        <f>IF(Settings!$E$9="YAHOO",VLOOKUP(B73,ADP!A1:E728,2,FALSE),IF(Settings!$E$9="ESPN",VLOOKUP(B73,ADP!A1:E728,3,FALSE),IF(Settings!$E$9="FANTRAX",VLOOKUP(B73,ADP!A1:E728,4,FALSE),VLOOKUP(B73,ADP!A1:E728,5,FALSE))))</f>
        <v>141</v>
      </c>
      <c r="N73" s="39">
        <f>IFERROR(M73-A73,"N/A")</f>
        <v>69</v>
      </c>
      <c r="O73" s="39"/>
      <c r="P73" s="40" t="str">
        <f>IF(Settings!$E$27="ON",VLOOKUP(B73,ADP!A1:H728,8,FALSE)," ")</f>
        <v>+ +</v>
      </c>
      <c r="Q73" s="41">
        <f>IF(Settings!$E$12="YES",VLOOKUP(B73,'Player Data'!A1:E734,5,FALSE),82)</f>
        <v>81.489999999999995</v>
      </c>
      <c r="R73" s="39">
        <f>VLOOKUP(B73,'Player Data'!$A1:$AE734,6,FALSE)</f>
        <v>18.9416748033175</v>
      </c>
      <c r="S73" s="41">
        <f>VLOOKUP(B73,'Player Data'!$A1:$AE734,7,FALSE)*$Q73*IFERROR((VLOOKUP(P73,Settings!$E$28:$F$33,2,FALSE)+1),1)</f>
        <v>31.132703309154195</v>
      </c>
      <c r="T73" s="41">
        <f>VLOOKUP(B73,'Player Data'!$A1:$AE734,8,FALSE)*$Q73*IFERROR((VLOOKUP(P73,Settings!$E$28:$F$33,2,FALSE)+1),1)</f>
        <v>44.95169059938069</v>
      </c>
      <c r="U73" s="41">
        <f>SUM(S73:T73)</f>
        <v>76.084393908534878</v>
      </c>
      <c r="V73" s="41">
        <f>VLOOKUP(B73,'Player Data'!$A1:$AE734,10,FALSE)*$Q73*IFERROR(((VLOOKUP(P73,Settings!$E$28:$F$33,2,FALSE)/2)+1),1)</f>
        <v>238.54644784904619</v>
      </c>
      <c r="W73" s="41">
        <f>VLOOKUP(B73,'Player Data'!$A1:$AE734,11,FALSE)*$Q73*IFERROR((VLOOKUP(P73,Settings!$E$28:$F$33,2,FALSE)+1),1)</f>
        <v>7.4020501669393681</v>
      </c>
      <c r="X73" s="41">
        <f>VLOOKUP(B73,'Player Data'!$A1:$AE734,12,FALSE)*$Q73*IFERROR((VLOOKUP(P73,Settings!$E$28:$F$33,2,FALSE)+1),1)</f>
        <v>24.840414574302908</v>
      </c>
      <c r="Y73" s="41">
        <f>VLOOKUP(B73,'Player Data'!$A1:$AE734,13,FALSE)*$Q73</f>
        <v>0.80890862678172737</v>
      </c>
      <c r="Z73" s="41">
        <f>VLOOKUP(B73,'Player Data'!$A1:$AE734,14,FALSE)*$Q73</f>
        <v>1.9725668662416995</v>
      </c>
      <c r="AA73" s="41">
        <f>VLOOKUP(B73,'Player Data'!$A1:$AE734,15,FALSE)*$Q73</f>
        <v>32.600958693327485</v>
      </c>
      <c r="AB73" s="41">
        <f>VLOOKUP(B73,'Player Data'!$A1:$AE734,16,FALSE)*$Q73</f>
        <v>59.542417976573041</v>
      </c>
      <c r="AC73" s="41">
        <f>VLOOKUP(B73,'Player Data'!$A1:$AE734,17,FALSE)*$Q73*IFERROR((VLOOKUP(P73,Settings!$E$28:$F$33,2,FALSE)+1),1)</f>
        <v>-2.8502011493475301</v>
      </c>
      <c r="AD73" s="41">
        <f>VLOOKUP(B73,'Player Data'!$A1:$AE734,18,FALSE)*$Q73</f>
        <v>44.744931117813643</v>
      </c>
      <c r="AE73" s="41">
        <f>VLOOKUP(B73,'Player Data'!$A1:$AE734,19,FALSE)*$Q73*IFERROR((VLOOKUP(P73,Settings!$E$28:$F$33,2,FALSE)+1),1)</f>
        <v>4.0120192640669785</v>
      </c>
      <c r="AF73" s="41">
        <f>VLOOKUP(B73,'Player Data'!$A1:$AE734,20,FALSE)*$Q73</f>
        <v>589.29335718423272</v>
      </c>
      <c r="AG73" s="41">
        <f>VLOOKUP(B73,'Player Data'!$A1:$AE734,21,FALSE)*$Q73</f>
        <v>660.65353444362427</v>
      </c>
      <c r="AH73" s="42">
        <f>VLOOKUP(B73,'Player Data'!$A1:$AE734,22,FALSE)</f>
        <v>0.47145471630140401</v>
      </c>
      <c r="AI73" s="39"/>
      <c r="AJ73" s="41"/>
      <c r="AK73" s="41"/>
      <c r="AL73" s="41"/>
      <c r="AM73" s="41"/>
      <c r="AN73" s="41"/>
      <c r="AO73" s="41"/>
      <c r="AP73" s="41"/>
      <c r="AQ73" s="44"/>
      <c r="AR73" s="45"/>
      <c r="AS73" s="39"/>
    </row>
    <row r="74" spans="1:45" ht="21.25" customHeight="1" x14ac:dyDescent="0.15">
      <c r="A74" s="31">
        <f>RANK(K74,K$2:K$727)</f>
        <v>73</v>
      </c>
      <c r="B74" s="8" t="s">
        <v>178</v>
      </c>
      <c r="C74" s="32" t="s">
        <v>106</v>
      </c>
      <c r="D74" s="33" t="str">
        <f>VLOOKUP(B74,'Player Data'!A1:D734,4,FALSE)</f>
        <v>LW</v>
      </c>
      <c r="E74" s="47">
        <f>VLOOKUP(B74,LW!A1:C130,3,FALSE)</f>
        <v>19</v>
      </c>
      <c r="F74" s="35" t="str">
        <f>VLOOKUP(B74,'Player Data'!A1:B734,2,FALSE)</f>
        <v>CBJ</v>
      </c>
      <c r="G74" s="9">
        <f>VLOOKUP(B74,'Player Data'!A1:D734,3,FALSE)</f>
        <v>25</v>
      </c>
      <c r="H74" s="36">
        <f>IFERROR(VLOOKUP(B74,ADP!A1:G728,7,FALSE)/1000000,VLOOKUP(B74,ADP!A1:G728,7,FALSE))</f>
        <v>8.6999999999999993</v>
      </c>
      <c r="I74" s="37">
        <f>IF(Settings!$E$15="POINTS",((R74*Q74)*Settings!$B$12)+(S74*Settings!$B$2)+(T74*Settings!$B$3)+(U74*Settings!$B$4)+(V74*Settings!$B$5)+(X74*Settings!$B$9)+(AA74*Settings!$B$6)+(W74*Settings!$B$8)+(AB74*Settings!$B$7)+(AC74*Settings!$B$14)+(AD74*Settings!$B$15)+(AE74*Settings!$B$16)+(AF74*Settings!$B$17)+(AG74*Settings!$B$18)+(Y74*Settings!$B$10)+(Z74*Settings!$B$11),VLOOKUP(B74,'Standard Deviations'!A1:C728,3,FALSE))</f>
        <v>378.17820461222209</v>
      </c>
      <c r="J74" s="38">
        <f>IF(D74="G",I74/AJ74,I74/Q74)</f>
        <v>5.0844071606913435</v>
      </c>
      <c r="K74" s="37">
        <f>IF(Settings!$E$18="C/LW/RW",VLOOKUP(B74,LW!A1:F130,6,FALSE),VLOOKUP(B74,F!A1:F430,6,FALSE))</f>
        <v>14.137599754571625</v>
      </c>
      <c r="L74" s="37">
        <f>IFERROR(K74/H74,"N/A")</f>
        <v>1.6250114660427155</v>
      </c>
      <c r="M74" s="39">
        <f>IF(Settings!$E$9="YAHOO",VLOOKUP(B74,ADP!A1:E728,2,FALSE),IF(Settings!$E$9="ESPN",VLOOKUP(B74,ADP!A1:E728,3,FALSE),IF(Settings!$E$9="FANTRAX",VLOOKUP(B74,ADP!A1:E728,4,FALSE),VLOOKUP(B74,ADP!A1:E728,5,FALSE))))</f>
        <v>161.4</v>
      </c>
      <c r="N74" s="39">
        <f>IFERROR(M74-A74,"N/A")</f>
        <v>88.4</v>
      </c>
      <c r="O74" s="39"/>
      <c r="P74" s="40" t="str">
        <f>IF(Settings!$E$27="ON",VLOOKUP(B74,ADP!A1:H728,8,FALSE)," ")</f>
        <v xml:space="preserve"> </v>
      </c>
      <c r="Q74" s="41">
        <f>IF(Settings!$E$12="YES",VLOOKUP(B74,'Player Data'!A1:E734,5,FALSE),82)</f>
        <v>74.38</v>
      </c>
      <c r="R74" s="39">
        <f>VLOOKUP(B74,'Player Data'!$A1:$AE734,6,FALSE)</f>
        <v>19.1773035172879</v>
      </c>
      <c r="S74" s="41">
        <f>VLOOKUP(B74,'Player Data'!$A1:$AE734,7,FALSE)*$Q74*IFERROR((VLOOKUP(P74,Settings!$E$28:$F$33,2,FALSE)+1),1)</f>
        <v>31.565587494736231</v>
      </c>
      <c r="T74" s="41">
        <f>VLOOKUP(B74,'Player Data'!$A1:$AE734,8,FALSE)*$Q74*IFERROR((VLOOKUP(P74,Settings!$E$28:$F$33,2,FALSE)+1),1)</f>
        <v>39.951952635655729</v>
      </c>
      <c r="U74" s="41">
        <f>SUM(S74:T74)</f>
        <v>71.517540130391964</v>
      </c>
      <c r="V74" s="41">
        <f>VLOOKUP(B74,'Player Data'!$A1:$AE734,10,FALSE)*$Q74*IFERROR(((VLOOKUP(P74,Settings!$E$28:$F$33,2,FALSE)/2)+1),1)</f>
        <v>231.43777631095907</v>
      </c>
      <c r="W74" s="41">
        <f>VLOOKUP(B74,'Player Data'!$A1:$AE734,11,FALSE)*$Q74*IFERROR((VLOOKUP(P74,Settings!$E$28:$F$33,2,FALSE)+1),1)</f>
        <v>9.5290001328416363</v>
      </c>
      <c r="X74" s="41">
        <f>VLOOKUP(B74,'Player Data'!$A1:$AE734,12,FALSE)*$Q74*IFERROR((VLOOKUP(P74,Settings!$E$28:$F$33,2,FALSE)+1),1)</f>
        <v>20.791262250144044</v>
      </c>
      <c r="Y74" s="41">
        <f>VLOOKUP(B74,'Player Data'!$A1:$AE734,13,FALSE)*$Q74</f>
        <v>3.4951431709857547E-3</v>
      </c>
      <c r="Z74" s="41">
        <f>VLOOKUP(B74,'Player Data'!$A1:$AE734,14,FALSE)*$Q74</f>
        <v>6.3748710876775343E-3</v>
      </c>
      <c r="AA74" s="41">
        <f>VLOOKUP(B74,'Player Data'!$A1:$AE734,15,FALSE)*$Q74</f>
        <v>31.557109115516038</v>
      </c>
      <c r="AB74" s="41">
        <f>VLOOKUP(B74,'Player Data'!$A1:$AE734,16,FALSE)*$Q74</f>
        <v>45.401158808049033</v>
      </c>
      <c r="AC74" s="41">
        <f>VLOOKUP(B74,'Player Data'!$A1:$AE734,17,FALSE)*$Q74*IFERROR((VLOOKUP(P74,Settings!$E$28:$F$33,2,FALSE)+1),1)</f>
        <v>-4.2359274679200869</v>
      </c>
      <c r="AD74" s="41">
        <f>VLOOKUP(B74,'Player Data'!$A1:$AE734,18,FALSE)*$Q74</f>
        <v>28.217785574620379</v>
      </c>
      <c r="AE74" s="41">
        <f>VLOOKUP(B74,'Player Data'!$A1:$AE734,19,FALSE)*$Q74*IFERROR((VLOOKUP(P74,Settings!$E$28:$F$33,2,FALSE)+1),1)</f>
        <v>3.3824700350420627</v>
      </c>
      <c r="AF74" s="41">
        <f>VLOOKUP(B74,'Player Data'!$A1:$AE734,20,FALSE)*$Q74</f>
        <v>30.989055283303784</v>
      </c>
      <c r="AG74" s="41">
        <f>VLOOKUP(B74,'Player Data'!$A1:$AE734,21,FALSE)*$Q74</f>
        <v>61.494995600802739</v>
      </c>
      <c r="AH74" s="42">
        <f>VLOOKUP(B74,'Player Data'!$A1:$AE734,22,FALSE)</f>
        <v>0.335074588397266</v>
      </c>
      <c r="AI74" s="39"/>
      <c r="AJ74" s="43"/>
      <c r="AK74" s="41"/>
      <c r="AL74" s="41"/>
      <c r="AM74" s="41"/>
      <c r="AN74" s="41"/>
      <c r="AO74" s="41"/>
      <c r="AP74" s="41"/>
      <c r="AQ74" s="44"/>
      <c r="AR74" s="45"/>
      <c r="AS74" s="43"/>
    </row>
    <row r="75" spans="1:45" ht="21.25" customHeight="1" x14ac:dyDescent="0.15">
      <c r="A75" s="31">
        <f>RANK(K75,K$2:K$727)</f>
        <v>74</v>
      </c>
      <c r="B75" s="8" t="s">
        <v>179</v>
      </c>
      <c r="C75" s="32" t="s">
        <v>106</v>
      </c>
      <c r="D75" s="33" t="str">
        <f>VLOOKUP(B75,'Player Data'!A1:D734,4,FALSE)</f>
        <v>C</v>
      </c>
      <c r="E75" s="34">
        <f>VLOOKUP(B75,'C'!A1:C211,3,FALSE)</f>
        <v>20</v>
      </c>
      <c r="F75" s="35" t="str">
        <f>VLOOKUP(B75,'Player Data'!A1:B734,2,FALSE)</f>
        <v>STL</v>
      </c>
      <c r="G75" s="9">
        <f>VLOOKUP(B75,'Player Data'!A1:D734,3,FALSE)</f>
        <v>25</v>
      </c>
      <c r="H75" s="36">
        <f>IFERROR(VLOOKUP(B75,ADP!A1:G728,7,FALSE)/1000000,VLOOKUP(B75,ADP!A1:G728,7,FALSE))</f>
        <v>8.125</v>
      </c>
      <c r="I75" s="37">
        <f>IF(Settings!$E$15="POINTS",((R75*Q75)*Settings!$B$12)+(S75*Settings!$B$2)+(T75*Settings!$B$3)+(U75*Settings!$B$4)+(V75*Settings!$B$5)+(X75*Settings!$B$9)+(AA75*Settings!$B$6)+(W75*Settings!$B$8)+(AB75*Settings!$B$7)+(AC75*Settings!$B$14)+(AD75*Settings!$B$15)+(AE75*Settings!$B$16)+(AF75*Settings!$B$17)+(AG75*Settings!$B$18)+(Y75*Settings!$B$10)+(Z75*Settings!$B$11),VLOOKUP(B75,'Standard Deviations'!A1:C728,3,FALSE))</f>
        <v>406.90297739626266</v>
      </c>
      <c r="J75" s="38">
        <f>IF(D75="G",I75/AJ75,I75/Q75)</f>
        <v>5.0578368849752966</v>
      </c>
      <c r="K75" s="37">
        <f>IF(Settings!$E$18="C/LW/RW",VLOOKUP(B75,'C'!A1:F211,6,FALSE),VLOOKUP(B75,F!A1:F430,6,FALSE))</f>
        <v>13.574171630053002</v>
      </c>
      <c r="L75" s="37">
        <f>IFERROR(K75/H75,"N/A")</f>
        <v>1.6706672775449849</v>
      </c>
      <c r="M75" s="39">
        <f>IF(Settings!$E$9="YAHOO",VLOOKUP(B75,ADP!A1:E728,2,FALSE),IF(Settings!$E$9="ESPN",VLOOKUP(B75,ADP!A1:E728,3,FALSE),IF(Settings!$E$9="FANTRAX",VLOOKUP(B75,ADP!A1:E728,4,FALSE),VLOOKUP(B75,ADP!A1:E728,5,FALSE))))</f>
        <v>129.5</v>
      </c>
      <c r="N75" s="39">
        <f>IFERROR(M75-A75,"N/A")</f>
        <v>55.5</v>
      </c>
      <c r="O75" s="39"/>
      <c r="P75" s="40" t="str">
        <f>IF(Settings!$E$27="ON",VLOOKUP(B75,ADP!A1:H728,8,FALSE)," ")</f>
        <v>-</v>
      </c>
      <c r="Q75" s="41">
        <f>IF(Settings!$E$12="YES",VLOOKUP(B75,'Player Data'!A1:E734,5,FALSE),82)</f>
        <v>80.45</v>
      </c>
      <c r="R75" s="39">
        <f>VLOOKUP(B75,'Player Data'!$A1:$AE734,6,FALSE)</f>
        <v>18.080849106690401</v>
      </c>
      <c r="S75" s="41">
        <f>VLOOKUP(B75,'Player Data'!$A1:$AE734,7,FALSE)*$Q75*IFERROR((VLOOKUP(P75,Settings!$E$28:$F$33,2,FALSE)+1),1)</f>
        <v>33.433566771300875</v>
      </c>
      <c r="T75" s="41">
        <f>VLOOKUP(B75,'Player Data'!$A1:$AE734,8,FALSE)*$Q75*IFERROR((VLOOKUP(P75,Settings!$E$28:$F$33,2,FALSE)+1),1)</f>
        <v>42.718829375969939</v>
      </c>
      <c r="U75" s="41">
        <f>SUM(S75:T75)</f>
        <v>76.152396147270821</v>
      </c>
      <c r="V75" s="41">
        <f>VLOOKUP(B75,'Player Data'!$A1:$AE734,10,FALSE)*$Q75*IFERROR(((VLOOKUP(P75,Settings!$E$28:$F$33,2,FALSE)/2)+1),1)</f>
        <v>249.70592898274634</v>
      </c>
      <c r="W75" s="41">
        <f>VLOOKUP(B75,'Player Data'!$A1:$AE734,11,FALSE)*$Q75*IFERROR((VLOOKUP(P75,Settings!$E$28:$F$33,2,FALSE)+1),1)</f>
        <v>9.4037613565638871</v>
      </c>
      <c r="X75" s="41">
        <f>VLOOKUP(B75,'Player Data'!$A1:$AE734,12,FALSE)*$Q75*IFERROR((VLOOKUP(P75,Settings!$E$28:$F$33,2,FALSE)+1),1)</f>
        <v>23.457422615654913</v>
      </c>
      <c r="Y75" s="41">
        <f>VLOOKUP(B75,'Player Data'!$A1:$AE734,13,FALSE)*$Q75</f>
        <v>1.5788268987461433E-2</v>
      </c>
      <c r="Z75" s="41">
        <f>VLOOKUP(B75,'Player Data'!$A1:$AE734,14,FALSE)*$Q75</f>
        <v>2.8781634684959E-2</v>
      </c>
      <c r="AA75" s="41">
        <f>VLOOKUP(B75,'Player Data'!$A1:$AE734,15,FALSE)*$Q75</f>
        <v>33.102079811986755</v>
      </c>
      <c r="AB75" s="41">
        <f>VLOOKUP(B75,'Player Data'!$A1:$AE734,16,FALSE)*$Q75</f>
        <v>19.581127251488919</v>
      </c>
      <c r="AC75" s="41">
        <f>VLOOKUP(B75,'Player Data'!$A1:$AE734,17,FALSE)*$Q75*IFERROR((VLOOKUP(P75,Settings!$E$28:$F$33,2,FALSE)+1),1)</f>
        <v>-5.2271506257925004</v>
      </c>
      <c r="AD75" s="41">
        <f>VLOOKUP(B75,'Player Data'!$A1:$AE734,18,FALSE)*$Q75</f>
        <v>26.009025383834828</v>
      </c>
      <c r="AE75" s="41">
        <f>VLOOKUP(B75,'Player Data'!$A1:$AE734,19,FALSE)*$Q75*IFERROR((VLOOKUP(P75,Settings!$E$28:$F$33,2,FALSE)+1),1)</f>
        <v>3.847291857646467</v>
      </c>
      <c r="AF75" s="41">
        <f>VLOOKUP(B75,'Player Data'!$A1:$AE734,20,FALSE)*$Q75</f>
        <v>6.1149570560527877</v>
      </c>
      <c r="AG75" s="41">
        <f>VLOOKUP(B75,'Player Data'!$A1:$AE734,21,FALSE)*$Q75</f>
        <v>9.3626852653850339</v>
      </c>
      <c r="AH75" s="42">
        <f>VLOOKUP(B75,'Player Data'!$A1:$AE734,22,FALSE)</f>
        <v>0.39508323871673001</v>
      </c>
      <c r="AI75" s="39"/>
      <c r="AJ75" s="43"/>
      <c r="AK75" s="41"/>
      <c r="AL75" s="41"/>
      <c r="AM75" s="41"/>
      <c r="AN75" s="41"/>
      <c r="AO75" s="41"/>
      <c r="AP75" s="41"/>
      <c r="AQ75" s="44"/>
      <c r="AR75" s="45"/>
      <c r="AS75" s="39"/>
    </row>
    <row r="76" spans="1:45" ht="21.25" customHeight="1" x14ac:dyDescent="0.15">
      <c r="A76" s="31">
        <f>RANK(K76,K$2:K$727)</f>
        <v>75</v>
      </c>
      <c r="B76" s="8" t="s">
        <v>180</v>
      </c>
      <c r="C76" s="32" t="s">
        <v>106</v>
      </c>
      <c r="D76" s="33" t="str">
        <f>VLOOKUP(B76,'Player Data'!A1:D734,4,FALSE)</f>
        <v>RW</v>
      </c>
      <c r="E76" s="46">
        <f>VLOOKUP(B76,RW!A1:F97,3,FALSE)</f>
        <v>15</v>
      </c>
      <c r="F76" s="35" t="str">
        <f>VLOOKUP(B76,'Player Data'!A1:B734,2,FALSE)</f>
        <v>COL</v>
      </c>
      <c r="G76" s="9">
        <f>VLOOKUP(B76,'Player Data'!A1:D734,3,FALSE)</f>
        <v>28</v>
      </c>
      <c r="H76" s="36">
        <f>IFERROR(VLOOKUP(B76,ADP!A1:G728,7,FALSE)/1000000,VLOOKUP(B76,ADP!A1:G728,7,FALSE))</f>
        <v>6.125</v>
      </c>
      <c r="I76" s="37">
        <f>IF(Settings!$E$15="POINTS",((R76*Q76)*Settings!$B$12)+(S76*Settings!$B$2)+(T76*Settings!$B$3)+(U76*Settings!$B$4)+(V76*Settings!$B$5)+(X76*Settings!$B$9)+(AA76*Settings!$B$6)+(W76*Settings!$B$8)+(AB76*Settings!$B$7)+(AC76*Settings!$B$14)+(AD76*Settings!$B$15)+(AE76*Settings!$B$16)+(AF76*Settings!$B$17)+(AG76*Settings!$B$18)+(Y76*Settings!$B$10)+(Z76*Settings!$B$11),VLOOKUP(B76,'Standard Deviations'!A1:C728,3,FALSE))</f>
        <v>361.45643405605426</v>
      </c>
      <c r="J76" s="38">
        <f>IF(D76="G",I76/AJ76,I76/Q76)</f>
        <v>4.8854659678074164</v>
      </c>
      <c r="K76" s="37">
        <f>IF(Settings!$E$18="C/LW/RW",VLOOKUP(B76,RW!A1:F97,6,FALSE),VLOOKUP(B76,F!A1:F430,6,FALSE))</f>
        <v>11.184893508164691</v>
      </c>
      <c r="L76" s="37">
        <f>IFERROR(K76/H76,"N/A")</f>
        <v>1.8261050625575006</v>
      </c>
      <c r="M76" s="39">
        <f>IF(Settings!$E$9="YAHOO",VLOOKUP(B76,ADP!A1:E728,2,FALSE),IF(Settings!$E$9="ESPN",VLOOKUP(B76,ADP!A1:E728,3,FALSE),IF(Settings!$E$9="FANTRAX",VLOOKUP(B76,ADP!A1:E728,4,FALSE),VLOOKUP(B76,ADP!A1:E728,5,FALSE))))</f>
        <v>135.80000000000001</v>
      </c>
      <c r="N76" s="39">
        <f>IFERROR(M76-A76,"N/A")</f>
        <v>60.800000000000011</v>
      </c>
      <c r="O76" s="39"/>
      <c r="P76" s="40" t="str">
        <f>IF(Settings!$E$27="ON",VLOOKUP(B76,ADP!A1:H728,8,FALSE)," ")</f>
        <v xml:space="preserve"> </v>
      </c>
      <c r="Q76" s="41">
        <f>IF(Settings!$E$12="YES",VLOOKUP(B76,'Player Data'!A1:E734,5,FALSE),82)</f>
        <v>73.986071428571407</v>
      </c>
      <c r="R76" s="39">
        <f>VLOOKUP(B76,'Player Data'!$A1:$AE734,6,FALSE)</f>
        <v>20.4072528168251</v>
      </c>
      <c r="S76" s="41">
        <f>VLOOKUP(B76,'Player Data'!$A1:$AE734,7,FALSE)*$Q76*IFERROR((VLOOKUP(P76,Settings!$E$28:$F$33,2,FALSE)+1),1)</f>
        <v>27.78423706760432</v>
      </c>
      <c r="T76" s="41">
        <f>VLOOKUP(B76,'Player Data'!$A1:$AE734,8,FALSE)*$Q76*IFERROR((VLOOKUP(P76,Settings!$E$28:$F$33,2,FALSE)+1),1)</f>
        <v>37.565212703059856</v>
      </c>
      <c r="U76" s="41">
        <f>SUM(S76:T76)</f>
        <v>65.349449770664179</v>
      </c>
      <c r="V76" s="41">
        <f>VLOOKUP(B76,'Player Data'!$A1:$AE734,10,FALSE)*$Q76*IFERROR(((VLOOKUP(P76,Settings!$E$28:$F$33,2,FALSE)/2)+1),1)</f>
        <v>220.78245981312952</v>
      </c>
      <c r="W76" s="41">
        <f>VLOOKUP(B76,'Player Data'!$A1:$AE734,11,FALSE)*$Q76*IFERROR((VLOOKUP(P76,Settings!$E$28:$F$33,2,FALSE)+1),1)</f>
        <v>11.287505750814935</v>
      </c>
      <c r="X76" s="41">
        <f>VLOOKUP(B76,'Player Data'!$A1:$AE734,12,FALSE)*$Q76*IFERROR((VLOOKUP(P76,Settings!$E$28:$F$33,2,FALSE)+1),1)</f>
        <v>20.395133270770337</v>
      </c>
      <c r="Y76" s="41">
        <f>VLOOKUP(B76,'Player Data'!$A1:$AE734,13,FALSE)*$Q76</f>
        <v>1.1231580390546454</v>
      </c>
      <c r="Z76" s="41">
        <f>VLOOKUP(B76,'Player Data'!$A1:$AE734,14,FALSE)*$Q76</f>
        <v>2.5483060551180992</v>
      </c>
      <c r="AA76" s="41">
        <f>VLOOKUP(B76,'Player Data'!$A1:$AE734,15,FALSE)*$Q76</f>
        <v>45.649880928600403</v>
      </c>
      <c r="AB76" s="41">
        <f>VLOOKUP(B76,'Player Data'!$A1:$AE734,16,FALSE)*$Q76</f>
        <v>85.173025959412186</v>
      </c>
      <c r="AC76" s="41">
        <f>VLOOKUP(B76,'Player Data'!$A1:$AE734,17,FALSE)*$Q76*IFERROR((VLOOKUP(P76,Settings!$E$28:$F$33,2,FALSE)+1),1)</f>
        <v>6.1453010458166446</v>
      </c>
      <c r="AD76" s="41">
        <f>VLOOKUP(B76,'Player Data'!$A1:$AE734,18,FALSE)*$Q76</f>
        <v>14.666735823688564</v>
      </c>
      <c r="AE76" s="41">
        <f>VLOOKUP(B76,'Player Data'!$A1:$AE734,19,FALSE)*$Q76*IFERROR((VLOOKUP(P76,Settings!$E$28:$F$33,2,FALSE)+1),1)</f>
        <v>4.395884921967812</v>
      </c>
      <c r="AF76" s="41">
        <f>VLOOKUP(B76,'Player Data'!$A1:$AE734,20,FALSE)*$Q76</f>
        <v>0.3495651914122615</v>
      </c>
      <c r="AG76" s="41">
        <f>VLOOKUP(B76,'Player Data'!$A1:$AE734,21,FALSE)*$Q76</f>
        <v>5.4267884587574233</v>
      </c>
      <c r="AH76" s="42">
        <f>VLOOKUP(B76,'Player Data'!$A1:$AE734,22,FALSE)</f>
        <v>6.0516584091417698E-2</v>
      </c>
      <c r="AI76" s="39"/>
      <c r="AJ76" s="41"/>
      <c r="AK76" s="41"/>
      <c r="AL76" s="41"/>
      <c r="AM76" s="41"/>
      <c r="AN76" s="41"/>
      <c r="AO76" s="41"/>
      <c r="AP76" s="41"/>
      <c r="AQ76" s="44"/>
      <c r="AR76" s="45"/>
      <c r="AS76" s="39"/>
    </row>
    <row r="77" spans="1:45" ht="21.25" customHeight="1" x14ac:dyDescent="0.15">
      <c r="A77" s="31">
        <f>RANK(K77,K$2:K$727)</f>
        <v>76</v>
      </c>
      <c r="B77" s="8" t="s">
        <v>181</v>
      </c>
      <c r="C77" s="32" t="s">
        <v>106</v>
      </c>
      <c r="D77" s="33" t="str">
        <f>VLOOKUP(B77,'Player Data'!A1:D734,4,FALSE)</f>
        <v>C</v>
      </c>
      <c r="E77" s="34">
        <f>VLOOKUP(B77,'C'!A1:C211,3,FALSE)</f>
        <v>21</v>
      </c>
      <c r="F77" s="35" t="str">
        <f>VLOOKUP(B77,'Player Data'!A1:B734,2,FALSE)</f>
        <v>DAL</v>
      </c>
      <c r="G77" s="9">
        <f>VLOOKUP(B77,'Player Data'!A1:D734,3,FALSE)</f>
        <v>26</v>
      </c>
      <c r="H77" s="36">
        <f>IFERROR(VLOOKUP(B77,ADP!A1:G728,7,FALSE)/1000000,VLOOKUP(B77,ADP!A1:G728,7,FALSE))</f>
        <v>8</v>
      </c>
      <c r="I77" s="37">
        <f>IF(Settings!$E$15="POINTS",((R77*Q77)*Settings!$B$12)+(S77*Settings!$B$2)+(T77*Settings!$B$3)+(U77*Settings!$B$4)+(V77*Settings!$B$5)+(X77*Settings!$B$9)+(AA77*Settings!$B$6)+(W77*Settings!$B$8)+(AB77*Settings!$B$7)+(AC77*Settings!$B$14)+(AD77*Settings!$B$15)+(AE77*Settings!$B$16)+(AF77*Settings!$B$17)+(AG77*Settings!$B$18)+(Y77*Settings!$B$10)+(Z77*Settings!$B$11),VLOOKUP(B77,'Standard Deviations'!A1:C728,3,FALSE))</f>
        <v>404.08132670734426</v>
      </c>
      <c r="J77" s="38">
        <f>IF(D77="G",I77/AJ77,I77/Q77)</f>
        <v>5.1831166414582563</v>
      </c>
      <c r="K77" s="37">
        <f>IF(Settings!$E$18="C/LW/RW",VLOOKUP(B77,'C'!A1:F211,6,FALSE),VLOOKUP(B77,F!A1:F430,6,FALSE))</f>
        <v>10.752520941134605</v>
      </c>
      <c r="L77" s="37">
        <f>IFERROR(K77/H77,"N/A")</f>
        <v>1.3440651176418257</v>
      </c>
      <c r="M77" s="39">
        <f>IF(Settings!$E$9="YAHOO",VLOOKUP(B77,ADP!A1:E728,2,FALSE),IF(Settings!$E$9="ESPN",VLOOKUP(B77,ADP!A1:E728,3,FALSE),IF(Settings!$E$9="FANTRAX",VLOOKUP(B77,ADP!A1:E728,4,FALSE),VLOOKUP(B77,ADP!A1:E728,5,FALSE))))</f>
        <v>25.8</v>
      </c>
      <c r="N77" s="39">
        <f>IFERROR(M77-A77,"N/A")</f>
        <v>-50.2</v>
      </c>
      <c r="O77" s="39"/>
      <c r="P77" s="40" t="str">
        <f>IF(Settings!$E$27="ON",VLOOKUP(B77,ADP!A1:H728,8,FALSE)," ")</f>
        <v xml:space="preserve"> </v>
      </c>
      <c r="Q77" s="41">
        <f>IF(Settings!$E$12="YES",VLOOKUP(B77,'Player Data'!A1:E734,5,FALSE),82)</f>
        <v>77.961071428571401</v>
      </c>
      <c r="R77" s="39">
        <f>VLOOKUP(B77,'Player Data'!$A1:$AE734,6,FALSE)</f>
        <v>18.4257263157517</v>
      </c>
      <c r="S77" s="41">
        <f>VLOOKUP(B77,'Player Data'!$A1:$AE734,7,FALSE)*$Q77*IFERROR((VLOOKUP(P77,Settings!$E$28:$F$33,2,FALSE)+1),1)</f>
        <v>36.960210357983087</v>
      </c>
      <c r="T77" s="41">
        <f>VLOOKUP(B77,'Player Data'!$A1:$AE734,8,FALSE)*$Q77*IFERROR((VLOOKUP(P77,Settings!$E$28:$F$33,2,FALSE)+1),1)</f>
        <v>41.054014607731602</v>
      </c>
      <c r="U77" s="41">
        <f>SUM(S77:T77)</f>
        <v>78.014224965714689</v>
      </c>
      <c r="V77" s="41">
        <f>VLOOKUP(B77,'Player Data'!$A1:$AE734,10,FALSE)*$Q77*IFERROR(((VLOOKUP(P77,Settings!$E$28:$F$33,2,FALSE)/2)+1),1)</f>
        <v>203.30441949866463</v>
      </c>
      <c r="W77" s="41">
        <f>VLOOKUP(B77,'Player Data'!$A1:$AE734,11,FALSE)*$Q77*IFERROR((VLOOKUP(P77,Settings!$E$28:$F$33,2,FALSE)+1),1)</f>
        <v>10.309731933745073</v>
      </c>
      <c r="X77" s="41">
        <f>VLOOKUP(B77,'Player Data'!$A1:$AE734,12,FALSE)*$Q77*IFERROR((VLOOKUP(P77,Settings!$E$28:$F$33,2,FALSE)+1),1)</f>
        <v>25.85151858176172</v>
      </c>
      <c r="Y77" s="41">
        <f>VLOOKUP(B77,'Player Data'!$A1:$AE734,13,FALSE)*$Q77</f>
        <v>3.0069689103770956</v>
      </c>
      <c r="Z77" s="41">
        <f>VLOOKUP(B77,'Player Data'!$A1:$AE734,14,FALSE)*$Q77</f>
        <v>3.4810519258215793</v>
      </c>
      <c r="AA77" s="41">
        <f>VLOOKUP(B77,'Player Data'!$A1:$AE734,15,FALSE)*$Q77</f>
        <v>48.606505228506194</v>
      </c>
      <c r="AB77" s="41">
        <f>VLOOKUP(B77,'Player Data'!$A1:$AE734,16,FALSE)*$Q77</f>
        <v>63.918875560121272</v>
      </c>
      <c r="AC77" s="41">
        <f>VLOOKUP(B77,'Player Data'!$A1:$AE734,17,FALSE)*$Q77*IFERROR((VLOOKUP(P77,Settings!$E$28:$F$33,2,FALSE)+1),1)</f>
        <v>8.5706586920661287</v>
      </c>
      <c r="AD77" s="41">
        <f>VLOOKUP(B77,'Player Data'!$A1:$AE734,18,FALSE)*$Q77</f>
        <v>28.852452802700121</v>
      </c>
      <c r="AE77" s="41">
        <f>VLOOKUP(B77,'Player Data'!$A1:$AE734,19,FALSE)*$Q77*IFERROR((VLOOKUP(P77,Settings!$E$28:$F$33,2,FALSE)+1),1)</f>
        <v>5.9133716443332709</v>
      </c>
      <c r="AF77" s="41">
        <f>VLOOKUP(B77,'Player Data'!$A1:$AE734,20,FALSE)*$Q77</f>
        <v>307.8183056739702</v>
      </c>
      <c r="AG77" s="41">
        <f>VLOOKUP(B77,'Player Data'!$A1:$AE734,21,FALSE)*$Q77</f>
        <v>284.41644201789097</v>
      </c>
      <c r="AH77" s="42">
        <f>VLOOKUP(B77,'Player Data'!$A1:$AE734,22,FALSE)</f>
        <v>0.51975725313930299</v>
      </c>
      <c r="AI77" s="39"/>
      <c r="AJ77" s="43"/>
      <c r="AK77" s="41"/>
      <c r="AL77" s="41"/>
      <c r="AM77" s="41"/>
      <c r="AN77" s="41"/>
      <c r="AO77" s="41"/>
      <c r="AP77" s="41"/>
      <c r="AQ77" s="44"/>
      <c r="AR77" s="45"/>
      <c r="AS77" s="39"/>
    </row>
    <row r="78" spans="1:45" ht="21.25" customHeight="1" x14ac:dyDescent="0.15">
      <c r="A78" s="31">
        <f>RANK(K78,K$2:K$727)</f>
        <v>77</v>
      </c>
      <c r="B78" s="8" t="s">
        <v>182</v>
      </c>
      <c r="C78" s="32" t="s">
        <v>106</v>
      </c>
      <c r="D78" s="33" t="str">
        <f>VLOOKUP(B78,'Player Data'!A1:D734,4,FALSE)</f>
        <v>LW</v>
      </c>
      <c r="E78" s="47">
        <f>VLOOKUP(B78,LW!A1:C130,3,FALSE)</f>
        <v>20</v>
      </c>
      <c r="F78" s="35" t="str">
        <f>VLOOKUP(B78,'Player Data'!A1:B734,2,FALSE)</f>
        <v>NSH</v>
      </c>
      <c r="G78" s="9">
        <f>VLOOKUP(B78,'Player Data'!A1:D734,3,FALSE)</f>
        <v>29</v>
      </c>
      <c r="H78" s="36">
        <f>IFERROR(VLOOKUP(B78,ADP!A1:G728,7,FALSE)/1000000,VLOOKUP(B78,ADP!A1:G728,7,FALSE))</f>
        <v>8.5</v>
      </c>
      <c r="I78" s="37">
        <f>IF(Settings!$E$15="POINTS",((R78*Q78)*Settings!$B$12)+(S78*Settings!$B$2)+(T78*Settings!$B$3)+(U78*Settings!$B$4)+(V78*Settings!$B$5)+(X78*Settings!$B$9)+(AA78*Settings!$B$6)+(W78*Settings!$B$8)+(AB78*Settings!$B$7)+(AC78*Settings!$B$14)+(AD78*Settings!$B$15)+(AE78*Settings!$B$16)+(AF78*Settings!$B$17)+(AG78*Settings!$B$18)+(Y78*Settings!$B$10)+(Z78*Settings!$B$11),VLOOKUP(B78,'Standard Deviations'!A1:C728,3,FALSE))</f>
        <v>366.90918120641453</v>
      </c>
      <c r="J78" s="38">
        <f>IF(D78="G",I78/AJ78,I78/Q78)</f>
        <v>5.0907842093999678</v>
      </c>
      <c r="K78" s="37">
        <f>IF(Settings!$E$18="C/LW/RW",VLOOKUP(B78,LW!A1:F130,6,FALSE),VLOOKUP(B78,F!A1:F430,6,FALSE))</f>
        <v>2.8685763487640656</v>
      </c>
      <c r="L78" s="37">
        <f>IFERROR(K78/H78,"N/A")</f>
        <v>0.33747957044283128</v>
      </c>
      <c r="M78" s="39">
        <f>IF(Settings!$E$9="YAHOO",VLOOKUP(B78,ADP!A1:E728,2,FALSE),IF(Settings!$E$9="ESPN",VLOOKUP(B78,ADP!A1:E728,3,FALSE),IF(Settings!$E$9="FANTRAX",VLOOKUP(B78,ADP!A1:E728,4,FALSE),VLOOKUP(B78,ADP!A1:E728,5,FALSE))))</f>
        <v>135.6</v>
      </c>
      <c r="N78" s="39">
        <f>IFERROR(M78-A78,"N/A")</f>
        <v>58.599999999999994</v>
      </c>
      <c r="O78" s="39"/>
      <c r="P78" s="40" t="str">
        <f>IF(Settings!$E$27="ON",VLOOKUP(B78,ADP!A1:H728,8,FALSE)," ")</f>
        <v>+</v>
      </c>
      <c r="Q78" s="41">
        <f>IF(Settings!$E$12="YES",VLOOKUP(B78,'Player Data'!A1:E734,5,FALSE),82)</f>
        <v>72.0732142857143</v>
      </c>
      <c r="R78" s="39">
        <f>VLOOKUP(B78,'Player Data'!$A1:$AE734,6,FALSE)</f>
        <v>17.382366269817101</v>
      </c>
      <c r="S78" s="41">
        <f>VLOOKUP(B78,'Player Data'!$A1:$AE734,7,FALSE)*$Q78*IFERROR((VLOOKUP(P78,Settings!$E$28:$F$33,2,FALSE)+1),1)</f>
        <v>31.445375946531115</v>
      </c>
      <c r="T78" s="41">
        <f>VLOOKUP(B78,'Player Data'!$A1:$AE734,8,FALSE)*$Q78*IFERROR((VLOOKUP(P78,Settings!$E$28:$F$33,2,FALSE)+1),1)</f>
        <v>37.440073669864773</v>
      </c>
      <c r="U78" s="41">
        <f>SUM(S78:T78)</f>
        <v>68.885449616395888</v>
      </c>
      <c r="V78" s="41">
        <f>VLOOKUP(B78,'Player Data'!$A1:$AE734,10,FALSE)*$Q78*IFERROR(((VLOOKUP(P78,Settings!$E$28:$F$33,2,FALSE)/2)+1),1)</f>
        <v>225.21034220773277</v>
      </c>
      <c r="W78" s="41">
        <f>VLOOKUP(B78,'Player Data'!$A1:$AE734,11,FALSE)*$Q78*IFERROR((VLOOKUP(P78,Settings!$E$28:$F$33,2,FALSE)+1),1)</f>
        <v>6.8436962917260269</v>
      </c>
      <c r="X78" s="41">
        <f>VLOOKUP(B78,'Player Data'!$A1:$AE734,12,FALSE)*$Q78*IFERROR((VLOOKUP(P78,Settings!$E$28:$F$33,2,FALSE)+1),1)</f>
        <v>20.3126666341727</v>
      </c>
      <c r="Y78" s="41">
        <f>VLOOKUP(B78,'Player Data'!$A1:$AE734,13,FALSE)*$Q78</f>
        <v>1.0075381426911008E-2</v>
      </c>
      <c r="Z78" s="41">
        <f>VLOOKUP(B78,'Player Data'!$A1:$AE734,14,FALSE)*$Q78</f>
        <v>1.8428374181822072E-2</v>
      </c>
      <c r="AA78" s="41">
        <f>VLOOKUP(B78,'Player Data'!$A1:$AE734,15,FALSE)*$Q78</f>
        <v>34.927356183257281</v>
      </c>
      <c r="AB78" s="41">
        <f>VLOOKUP(B78,'Player Data'!$A1:$AE734,16,FALSE)*$Q78</f>
        <v>111.09592939877756</v>
      </c>
      <c r="AC78" s="41">
        <f>VLOOKUP(B78,'Player Data'!$A1:$AE734,17,FALSE)*$Q78*IFERROR((VLOOKUP(P78,Settings!$E$28:$F$33,2,FALSE)+1),1)</f>
        <v>0.24225085031161084</v>
      </c>
      <c r="AD78" s="41">
        <f>VLOOKUP(B78,'Player Data'!$A1:$AE734,18,FALSE)*$Q78</f>
        <v>27.028692617111993</v>
      </c>
      <c r="AE78" s="41">
        <f>VLOOKUP(B78,'Player Data'!$A1:$AE734,19,FALSE)*$Q78*IFERROR((VLOOKUP(P78,Settings!$E$28:$F$33,2,FALSE)+1),1)</f>
        <v>4.5918473129871415</v>
      </c>
      <c r="AF78" s="41">
        <f>VLOOKUP(B78,'Player Data'!$A1:$AE734,20,FALSE)*$Q78</f>
        <v>1.4344393931289916</v>
      </c>
      <c r="AG78" s="41">
        <f>VLOOKUP(B78,'Player Data'!$A1:$AE734,21,FALSE)*$Q78</f>
        <v>1.3647256358506541</v>
      </c>
      <c r="AH78" s="42">
        <f>VLOOKUP(B78,'Player Data'!$A1:$AE734,22,FALSE)</f>
        <v>0.51245259864220005</v>
      </c>
      <c r="AI78" s="39"/>
      <c r="AJ78" s="43"/>
      <c r="AK78" s="41"/>
      <c r="AL78" s="41"/>
      <c r="AM78" s="41"/>
      <c r="AN78" s="41"/>
      <c r="AO78" s="41"/>
      <c r="AP78" s="41"/>
      <c r="AQ78" s="44"/>
      <c r="AR78" s="45"/>
      <c r="AS78" s="43"/>
    </row>
    <row r="79" spans="1:45" ht="21.25" customHeight="1" x14ac:dyDescent="0.15">
      <c r="A79" s="31">
        <f>RANK(K79,K$2:K$727)</f>
        <v>78</v>
      </c>
      <c r="B79" s="8" t="s">
        <v>183</v>
      </c>
      <c r="C79" s="32" t="s">
        <v>106</v>
      </c>
      <c r="D79" s="33" t="str">
        <f>VLOOKUP(B79,'Player Data'!A1:D734,4,FALSE)</f>
        <v>RW</v>
      </c>
      <c r="E79" s="46">
        <f>VLOOKUP(B79,RW!A1:F97,3,FALSE)</f>
        <v>16</v>
      </c>
      <c r="F79" s="35" t="str">
        <f>VLOOKUP(B79,'Player Data'!A1:B734,2,FALSE)</f>
        <v>MIN</v>
      </c>
      <c r="G79" s="9">
        <f>VLOOKUP(B79,'Player Data'!A1:D734,3,FALSE)</f>
        <v>35</v>
      </c>
      <c r="H79" s="36">
        <f>IFERROR(VLOOKUP(B79,ADP!A1:G728,7,FALSE)/1000000,VLOOKUP(B79,ADP!A1:G728,7,FALSE))</f>
        <v>6</v>
      </c>
      <c r="I79" s="37">
        <f>IF(Settings!$E$15="POINTS",((R79*Q79)*Settings!$B$12)+(S79*Settings!$B$2)+(T79*Settings!$B$3)+(U79*Settings!$B$4)+(V79*Settings!$B$5)+(X79*Settings!$B$9)+(AA79*Settings!$B$6)+(W79*Settings!$B$8)+(AB79*Settings!$B$7)+(AC79*Settings!$B$14)+(AD79*Settings!$B$15)+(AE79*Settings!$B$16)+(AF79*Settings!$B$17)+(AG79*Settings!$B$18)+(Y79*Settings!$B$10)+(Z79*Settings!$B$11),VLOOKUP(B79,'Standard Deviations'!A1:C728,3,FALSE))</f>
        <v>352.82746573939971</v>
      </c>
      <c r="J79" s="38">
        <f>IF(D79="G",I79/AJ79,I79/Q79)</f>
        <v>4.5118601756956487</v>
      </c>
      <c r="K79" s="37">
        <f>IF(Settings!$E$18="C/LW/RW",VLOOKUP(B79,RW!A1:F97,6,FALSE),VLOOKUP(B79,F!A1:F430,6,FALSE))</f>
        <v>2.5559251915101413</v>
      </c>
      <c r="L79" s="37">
        <f>IFERROR(K79/H79,"N/A")</f>
        <v>0.42598753191835687</v>
      </c>
      <c r="M79" s="39">
        <f>IF(Settings!$E$9="YAHOO",VLOOKUP(B79,ADP!A1:E728,2,FALSE),IF(Settings!$E$9="ESPN",VLOOKUP(B79,ADP!A1:E728,3,FALSE),IF(Settings!$E$9="FANTRAX",VLOOKUP(B79,ADP!A1:E728,4,FALSE),VLOOKUP(B79,ADP!A1:E728,5,FALSE))))</f>
        <v>93.8</v>
      </c>
      <c r="N79" s="39">
        <f>IFERROR(M79-A79,"N/A")</f>
        <v>15.799999999999997</v>
      </c>
      <c r="O79" s="39"/>
      <c r="P79" s="40" t="str">
        <f>IF(Settings!$E$27="ON",VLOOKUP(B79,ADP!A1:H728,8,FALSE)," ")</f>
        <v>-</v>
      </c>
      <c r="Q79" s="41">
        <f>IF(Settings!$E$12="YES",VLOOKUP(B79,'Player Data'!A1:E734,5,FALSE),82)</f>
        <v>78.2</v>
      </c>
      <c r="R79" s="39">
        <f>VLOOKUP(B79,'Player Data'!$A1:$AE734,6,FALSE)</f>
        <v>18.960344154642801</v>
      </c>
      <c r="S79" s="41">
        <f>VLOOKUP(B79,'Player Data'!$A1:$AE734,7,FALSE)*$Q79*IFERROR((VLOOKUP(P79,Settings!$E$28:$F$33,2,FALSE)+1),1)</f>
        <v>21.132376572554495</v>
      </c>
      <c r="T79" s="41">
        <f>VLOOKUP(B79,'Player Data'!$A1:$AE734,8,FALSE)*$Q79*IFERROR((VLOOKUP(P79,Settings!$E$28:$F$33,2,FALSE)+1),1)</f>
        <v>45.25910012810094</v>
      </c>
      <c r="U79" s="41">
        <f>SUM(S79:T79)</f>
        <v>66.391476700655431</v>
      </c>
      <c r="V79" s="41">
        <f>VLOOKUP(B79,'Player Data'!$A1:$AE734,10,FALSE)*$Q79*IFERROR(((VLOOKUP(P79,Settings!$E$28:$F$33,2,FALSE)/2)+1),1)</f>
        <v>183.60416870721261</v>
      </c>
      <c r="W79" s="41">
        <f>VLOOKUP(B79,'Player Data'!$A1:$AE734,11,FALSE)*$Q79*IFERROR((VLOOKUP(P79,Settings!$E$28:$F$33,2,FALSE)+1),1)</f>
        <v>7.6266758985326835</v>
      </c>
      <c r="X79" s="41">
        <f>VLOOKUP(B79,'Player Data'!$A1:$AE734,12,FALSE)*$Q79*IFERROR((VLOOKUP(P79,Settings!$E$28:$F$33,2,FALSE)+1),1)</f>
        <v>26.458346611200728</v>
      </c>
      <c r="Y79" s="41">
        <f>VLOOKUP(B79,'Player Data'!$A1:$AE734,13,FALSE)*$Q79</f>
        <v>4.1819252581192894E-2</v>
      </c>
      <c r="Z79" s="41">
        <f>VLOOKUP(B79,'Player Data'!$A1:$AE734,14,FALSE)*$Q79</f>
        <v>7.9061785354455627E-2</v>
      </c>
      <c r="AA79" s="41">
        <f>VLOOKUP(B79,'Player Data'!$A1:$AE734,15,FALSE)*$Q79</f>
        <v>43.880672453583514</v>
      </c>
      <c r="AB79" s="41">
        <f>VLOOKUP(B79,'Player Data'!$A1:$AE734,16,FALSE)*$Q79</f>
        <v>48.421739683925566</v>
      </c>
      <c r="AC79" s="41">
        <f>VLOOKUP(B79,'Player Data'!$A1:$AE734,17,FALSE)*$Q79*IFERROR((VLOOKUP(P79,Settings!$E$28:$F$33,2,FALSE)+1),1)</f>
        <v>2.1670400799258536</v>
      </c>
      <c r="AD79" s="41">
        <f>VLOOKUP(B79,'Player Data'!$A1:$AE734,18,FALSE)*$Q79</f>
        <v>26.442110536228498</v>
      </c>
      <c r="AE79" s="41">
        <f>VLOOKUP(B79,'Player Data'!$A1:$AE734,19,FALSE)*$Q79*IFERROR((VLOOKUP(P79,Settings!$E$28:$F$33,2,FALSE)+1),1)</f>
        <v>3.3933612817490055</v>
      </c>
      <c r="AF79" s="41">
        <f>VLOOKUP(B79,'Player Data'!$A1:$AE734,20,FALSE)*$Q79</f>
        <v>22.447698030935946</v>
      </c>
      <c r="AG79" s="41">
        <f>VLOOKUP(B79,'Player Data'!$A1:$AE734,21,FALSE)*$Q79</f>
        <v>35.701241233283803</v>
      </c>
      <c r="AH79" s="42">
        <f>VLOOKUP(B79,'Player Data'!$A1:$AE734,22,FALSE)</f>
        <v>0.386037962428465</v>
      </c>
      <c r="AI79" s="39"/>
      <c r="AJ79" s="43"/>
      <c r="AK79" s="41"/>
      <c r="AL79" s="41"/>
      <c r="AM79" s="41"/>
      <c r="AN79" s="41"/>
      <c r="AO79" s="41"/>
      <c r="AP79" s="41"/>
      <c r="AQ79" s="44"/>
      <c r="AR79" s="45"/>
      <c r="AS79" s="39"/>
    </row>
    <row r="80" spans="1:45" ht="21.25" customHeight="1" x14ac:dyDescent="0.15">
      <c r="A80" s="31">
        <f>RANK(K80,K$2:K$727)</f>
        <v>79</v>
      </c>
      <c r="B80" s="8" t="s">
        <v>184</v>
      </c>
      <c r="C80" s="32" t="s">
        <v>106</v>
      </c>
      <c r="D80" s="33" t="str">
        <f>VLOOKUP(B80,'Player Data'!A1:D734,4,FALSE)</f>
        <v>D</v>
      </c>
      <c r="E80" s="49">
        <f>VLOOKUP(B80,D!A1:C227,3,FALSE)</f>
        <v>14</v>
      </c>
      <c r="F80" s="35" t="str">
        <f>VLOOKUP(B80,'Player Data'!A1:B734,2,FALSE)</f>
        <v>NYI</v>
      </c>
      <c r="G80" s="9">
        <f>VLOOKUP(B80,'Player Data'!A1:D734,3,FALSE)</f>
        <v>23</v>
      </c>
      <c r="H80" s="36">
        <f>IFERROR(VLOOKUP(B80,ADP!A1:G728,7,FALSE)/1000000,VLOOKUP(B80,ADP!A1:G728,7,FALSE))</f>
        <v>4</v>
      </c>
      <c r="I80" s="37">
        <f>IF(Settings!$E$15="POINTS",((R80*Q80)*Settings!$B$12)+(S80*Settings!$B$2)+(T80*Settings!$B$3)+(U80*Settings!$B$4)+(V80*Settings!$B$5)+(X80*Settings!$B$9)+(AA80*Settings!$B$6)+(W80*Settings!$B$8)+(AB80*Settings!$B$7)+(AC80*Settings!$B$14)+(AD80*Settings!$B$15)+(AE80*Settings!$B$16)+(AF80*Settings!$B$17)+(AG80*Settings!$B$18)+(U80*Settings!$B$13)+(Y80*Settings!$B$10)+(Z80*Settings!$B$11),VLOOKUP(B80,'Standard Deviations'!A1:C728,3,FALSE))</f>
        <v>313.4167363542054</v>
      </c>
      <c r="J80" s="38">
        <f>IF(D80="G",I80/AJ80,I80/Q80)</f>
        <v>3.9383503800803092</v>
      </c>
      <c r="K80" s="37">
        <f>VLOOKUP(B80,D!A1:F227,6,FALSE)</f>
        <v>1.8512547262779435</v>
      </c>
      <c r="L80" s="37">
        <f>IFERROR(K80/H80,"N/A")</f>
        <v>0.46281368156948588</v>
      </c>
      <c r="M80" s="39">
        <f>IF(Settings!$E$9="YAHOO",VLOOKUP(B80,ADP!A1:E728,2,FALSE),IF(Settings!$E$9="ESPN",VLOOKUP(B80,ADP!A1:E728,3,FALSE),IF(Settings!$E$9="FANTRAX",VLOOKUP(B80,ADP!A1:E728,4,FALSE),VLOOKUP(B80,ADP!A1:E728,5,FALSE))))</f>
        <v>112.4</v>
      </c>
      <c r="N80" s="39">
        <f>IFERROR(M80-A80,"N/A")</f>
        <v>33.400000000000006</v>
      </c>
      <c r="O80" s="39"/>
      <c r="P80" s="40" t="str">
        <f>IF(Settings!$E$27="ON",VLOOKUP(B80,ADP!A1:H728,8,FALSE)," ")</f>
        <v xml:space="preserve"> </v>
      </c>
      <c r="Q80" s="41">
        <f>IF(Settings!$E$12="YES",VLOOKUP(B80,'Player Data'!A1:E734,5,FALSE),82)</f>
        <v>79.580714285714294</v>
      </c>
      <c r="R80" s="39">
        <f>VLOOKUP(B80,'Player Data'!$A1:$AE734,6,FALSE)</f>
        <v>20.527266647634299</v>
      </c>
      <c r="S80" s="41">
        <f>VLOOKUP(B80,'Player Data'!$A1:$AE734,7,FALSE)*$Q80*IFERROR((VLOOKUP(P80,Settings!$E$28:$F$33,2,FALSE)+1),1)</f>
        <v>11.997910464013973</v>
      </c>
      <c r="T80" s="41">
        <f>VLOOKUP(B80,'Player Data'!$A1:$AE734,8,FALSE)*$Q80*IFERROR((VLOOKUP(P80,Settings!$E$28:$F$33,2,FALSE)+1),1)</f>
        <v>37.780337185948007</v>
      </c>
      <c r="U80" s="41">
        <f>SUM(S80:T80)</f>
        <v>49.778247649961983</v>
      </c>
      <c r="V80" s="41">
        <f>VLOOKUP(B80,'Player Data'!$A1:$AE734,10,FALSE)*$Q80*IFERROR(((VLOOKUP(P80,Settings!$E$28:$F$33,2,FALSE)/2)+1),1)</f>
        <v>194.44828067108048</v>
      </c>
      <c r="W80" s="41">
        <f>VLOOKUP(B80,'Player Data'!$A1:$AE734,11,FALSE)*$Q80*IFERROR((VLOOKUP(P80,Settings!$E$28:$F$33,2,FALSE)+1),1)</f>
        <v>3.7531723810753719</v>
      </c>
      <c r="X80" s="41">
        <f>VLOOKUP(B80,'Player Data'!$A1:$AE734,12,FALSE)*$Q80*IFERROR((VLOOKUP(P80,Settings!$E$28:$F$33,2,FALSE)+1),1)</f>
        <v>21.91334011570374</v>
      </c>
      <c r="Y80" s="41">
        <f>VLOOKUP(B80,'Player Data'!$A1:$AE734,13,FALSE)*$Q80</f>
        <v>1.9906932685056455E-2</v>
      </c>
      <c r="Z80" s="41">
        <f>VLOOKUP(B80,'Player Data'!$A1:$AE734,14,FALSE)*$Q80</f>
        <v>7.3678817040644176E-2</v>
      </c>
      <c r="AA80" s="41">
        <f>VLOOKUP(B80,'Player Data'!$A1:$AE734,15,FALSE)*$Q80</f>
        <v>114.41907601645227</v>
      </c>
      <c r="AB80" s="41">
        <f>VLOOKUP(B80,'Player Data'!$A1:$AE734,16,FALSE)*$Q80</f>
        <v>74.851019387398679</v>
      </c>
      <c r="AC80" s="41">
        <f>VLOOKUP(B80,'Player Data'!$A1:$AE734,17,FALSE)*$Q80*IFERROR((VLOOKUP(P80,Settings!$E$28:$F$33,2,FALSE)+1),1)</f>
        <v>1.0192714911742469</v>
      </c>
      <c r="AD80" s="41">
        <f>VLOOKUP(B80,'Player Data'!$A1:$AE734,18,FALSE)*$Q80</f>
        <v>22.081891546433173</v>
      </c>
      <c r="AE80" s="41">
        <f>VLOOKUP(B80,'Player Data'!$A1:$AE734,19,FALSE)*$Q80*IFERROR((VLOOKUP(P80,Settings!$E$28:$F$33,2,FALSE)+1),1)</f>
        <v>1.8539394091295183</v>
      </c>
      <c r="AF80" s="41">
        <f>VLOOKUP(B80,'Player Data'!$A1:$AE734,20,FALSE)*$Q80</f>
        <v>0</v>
      </c>
      <c r="AG80" s="41">
        <f>VLOOKUP(B80,'Player Data'!$A1:$AE734,21,FALSE)*$Q80</f>
        <v>0</v>
      </c>
      <c r="AH80" s="42">
        <f>VLOOKUP(B80,'Player Data'!$A1:$AE734,22,FALSE)</f>
        <v>0</v>
      </c>
      <c r="AI80" s="39"/>
      <c r="AJ80" s="43"/>
      <c r="AK80" s="41"/>
      <c r="AL80" s="41"/>
      <c r="AM80" s="41"/>
      <c r="AN80" s="41"/>
      <c r="AO80" s="41"/>
      <c r="AP80" s="41"/>
      <c r="AQ80" s="44"/>
      <c r="AR80" s="45"/>
      <c r="AS80" s="39"/>
    </row>
    <row r="81" spans="1:45" ht="21.25" customHeight="1" x14ac:dyDescent="0.15">
      <c r="A81" s="31">
        <f>RANK(K81,K$2:K$727)</f>
        <v>80</v>
      </c>
      <c r="B81" s="8" t="s">
        <v>185</v>
      </c>
      <c r="C81" s="32" t="s">
        <v>106</v>
      </c>
      <c r="D81" s="33" t="str">
        <f>VLOOKUP(B81,'Player Data'!A1:D734,4,FALSE)</f>
        <v>D</v>
      </c>
      <c r="E81" s="49">
        <f>VLOOKUP(B81,D!A1:C227,3,FALSE)</f>
        <v>15</v>
      </c>
      <c r="F81" s="35" t="str">
        <f>VLOOKUP(B81,'Player Data'!A1:B734,2,FALSE)</f>
        <v>CAR</v>
      </c>
      <c r="G81" s="9">
        <f>VLOOKUP(B81,'Player Data'!A1:D734,3,FALSE)</f>
        <v>38</v>
      </c>
      <c r="H81" s="36">
        <f>IFERROR(VLOOKUP(B81,ADP!A1:G728,7,FALSE)/1000000,VLOOKUP(B81,ADP!A1:G728,7,FALSE))</f>
        <v>5.28</v>
      </c>
      <c r="I81" s="37">
        <f>IF(Settings!$E$15="POINTS",((R81*Q81)*Settings!$B$12)+(S81*Settings!$B$2)+(T81*Settings!$B$3)+(U81*Settings!$B$4)+(V81*Settings!$B$5)+(X81*Settings!$B$9)+(AA81*Settings!$B$6)+(W81*Settings!$B$8)+(AB81*Settings!$B$7)+(AC81*Settings!$B$14)+(AD81*Settings!$B$15)+(AE81*Settings!$B$16)+(AF81*Settings!$B$17)+(AG81*Settings!$B$18)+(U81*Settings!$B$13)+(Y81*Settings!$B$10)+(Z81*Settings!$B$11),VLOOKUP(B81,'Standard Deviations'!A1:C728,3,FALSE))</f>
        <v>313.11476127150513</v>
      </c>
      <c r="J81" s="38">
        <f>IF(D81="G",I81/AJ81,I81/Q81)</f>
        <v>3.8184726984329895</v>
      </c>
      <c r="K81" s="37">
        <f>VLOOKUP(B81,D!A1:F227,6,FALSE)</f>
        <v>1.5492796435776768</v>
      </c>
      <c r="L81" s="37">
        <f>IFERROR(K81/H81,"N/A")</f>
        <v>0.29342417492001455</v>
      </c>
      <c r="M81" s="39">
        <f>IF(Settings!$E$9="YAHOO",VLOOKUP(B81,ADP!A1:E728,2,FALSE),IF(Settings!$E$9="ESPN",VLOOKUP(B81,ADP!A1:E728,3,FALSE),IF(Settings!$E$9="FANTRAX",VLOOKUP(B81,ADP!A1:E728,4,FALSE),VLOOKUP(B81,ADP!A1:E728,5,FALSE))))</f>
        <v>83.4</v>
      </c>
      <c r="N81" s="39">
        <f>IFERROR(M81-A81,"N/A")</f>
        <v>3.4000000000000057</v>
      </c>
      <c r="O81" s="39"/>
      <c r="P81" s="40" t="str">
        <f>IF(Settings!$E$27="ON",VLOOKUP(B81,ADP!A1:H728,8,FALSE)," ")</f>
        <v>+</v>
      </c>
      <c r="Q81" s="41">
        <f>IF(Settings!$E$12="YES",VLOOKUP(B81,'Player Data'!A1:E734,5,FALSE),82)</f>
        <v>82</v>
      </c>
      <c r="R81" s="39">
        <f>VLOOKUP(B81,'Player Data'!$A1:$AE734,6,FALSE)</f>
        <v>21.3844034327164</v>
      </c>
      <c r="S81" s="41">
        <f>VLOOKUP(B81,'Player Data'!$A1:$AE734,7,FALSE)*$Q81*IFERROR((VLOOKUP(P81,Settings!$E$28:$F$33,2,FALSE)+1),1)</f>
        <v>11.215199012069457</v>
      </c>
      <c r="T81" s="41">
        <f>VLOOKUP(B81,'Player Data'!$A1:$AE734,8,FALSE)*$Q81*IFERROR((VLOOKUP(P81,Settings!$E$28:$F$33,2,FALSE)+1),1)</f>
        <v>38.025252129072584</v>
      </c>
      <c r="U81" s="41">
        <f>SUM(S81:T81)</f>
        <v>49.240451141142039</v>
      </c>
      <c r="V81" s="41">
        <f>VLOOKUP(B81,'Player Data'!$A1:$AE734,10,FALSE)*$Q81*IFERROR(((VLOOKUP(P81,Settings!$E$28:$F$33,2,FALSE)/2)+1),1)</f>
        <v>214.49495471006102</v>
      </c>
      <c r="W81" s="41">
        <f>VLOOKUP(B81,'Player Data'!$A1:$AE734,11,FALSE)*$Q81*IFERROR((VLOOKUP(P81,Settings!$E$28:$F$33,2,FALSE)+1),1)</f>
        <v>3.6935809165269418</v>
      </c>
      <c r="X81" s="41">
        <f>VLOOKUP(B81,'Player Data'!$A1:$AE734,12,FALSE)*$Q81*IFERROR((VLOOKUP(P81,Settings!$E$28:$F$33,2,FALSE)+1),1)</f>
        <v>19.019623880244023</v>
      </c>
      <c r="Y81" s="41">
        <f>VLOOKUP(B81,'Player Data'!$A1:$AE734,13,FALSE)*$Q81</f>
        <v>1.4875568358393012E-2</v>
      </c>
      <c r="Z81" s="41">
        <f>VLOOKUP(B81,'Player Data'!$A1:$AE734,14,FALSE)*$Q81</f>
        <v>0.27276603973046931</v>
      </c>
      <c r="AA81" s="41">
        <f>VLOOKUP(B81,'Player Data'!$A1:$AE734,15,FALSE)*$Q81</f>
        <v>97.805753265497657</v>
      </c>
      <c r="AB81" s="41">
        <f>VLOOKUP(B81,'Player Data'!$A1:$AE734,16,FALSE)*$Q81</f>
        <v>53.775897701001966</v>
      </c>
      <c r="AC81" s="41">
        <f>VLOOKUP(B81,'Player Data'!$A1:$AE734,17,FALSE)*$Q81*IFERROR((VLOOKUP(P81,Settings!$E$28:$F$33,2,FALSE)+1),1)</f>
        <v>8.6968926563444526</v>
      </c>
      <c r="AD81" s="41">
        <f>VLOOKUP(B81,'Player Data'!$A1:$AE734,18,FALSE)*$Q81</f>
        <v>39.96309004146314</v>
      </c>
      <c r="AE81" s="41">
        <f>VLOOKUP(B81,'Player Data'!$A1:$AE734,19,FALSE)*$Q81*IFERROR((VLOOKUP(P81,Settings!$E$28:$F$33,2,FALSE)+1),1)</f>
        <v>2.0122578300623215</v>
      </c>
      <c r="AF81" s="41">
        <f>VLOOKUP(B81,'Player Data'!$A1:$AE734,20,FALSE)*$Q81</f>
        <v>0.33478693468991616</v>
      </c>
      <c r="AG81" s="41">
        <f>VLOOKUP(B81,'Player Data'!$A1:$AE734,21,FALSE)*$Q81</f>
        <v>0.46408936700471187</v>
      </c>
      <c r="AH81" s="42">
        <f>VLOOKUP(B81,'Player Data'!$A1:$AE734,22,FALSE)</f>
        <v>0.419072306913779</v>
      </c>
      <c r="AI81" s="39"/>
      <c r="AJ81" s="43"/>
      <c r="AK81" s="41"/>
      <c r="AL81" s="41"/>
      <c r="AM81" s="41"/>
      <c r="AN81" s="41"/>
      <c r="AO81" s="41"/>
      <c r="AP81" s="41"/>
      <c r="AQ81" s="44"/>
      <c r="AR81" s="45"/>
      <c r="AS81" s="39"/>
    </row>
    <row r="82" spans="1:45" ht="21.25" customHeight="1" x14ac:dyDescent="0.15">
      <c r="A82" s="31">
        <f>RANK(K82,K$2:K$727)</f>
        <v>81</v>
      </c>
      <c r="B82" s="8" t="s">
        <v>186</v>
      </c>
      <c r="C82" s="32" t="s">
        <v>106</v>
      </c>
      <c r="D82" s="33" t="str">
        <f>VLOOKUP(B82,'Player Data'!A1:D734,4,FALSE)</f>
        <v>D</v>
      </c>
      <c r="E82" s="49">
        <f>VLOOKUP(B82,D!A1:C227,3,FALSE)</f>
        <v>16</v>
      </c>
      <c r="F82" s="35" t="str">
        <f>VLOOKUP(B82,'Player Data'!A1:B734,2,FALSE)</f>
        <v>WSH</v>
      </c>
      <c r="G82" s="9">
        <f>VLOOKUP(B82,'Player Data'!A1:D734,3,FALSE)</f>
        <v>33</v>
      </c>
      <c r="H82" s="36">
        <f>IFERROR(VLOOKUP(B82,ADP!A1:G728,7,FALSE)/1000000,VLOOKUP(B82,ADP!A1:G728,7,FALSE))</f>
        <v>8</v>
      </c>
      <c r="I82" s="37">
        <f>IF(Settings!$E$15="POINTS",((R82*Q82)*Settings!$B$12)+(S82*Settings!$B$2)+(T82*Settings!$B$3)+(U82*Settings!$B$4)+(V82*Settings!$B$5)+(X82*Settings!$B$9)+(AA82*Settings!$B$6)+(W82*Settings!$B$8)+(AB82*Settings!$B$7)+(AC82*Settings!$B$14)+(AD82*Settings!$B$15)+(AE82*Settings!$B$16)+(AF82*Settings!$B$17)+(AG82*Settings!$B$18)+(U82*Settings!$B$13)+(Y82*Settings!$B$10)+(Z82*Settings!$B$11),VLOOKUP(B82,'Standard Deviations'!A1:C728,3,FALSE))</f>
        <v>312.88798831943132</v>
      </c>
      <c r="J82" s="38">
        <f>IF(D82="G",I82/AJ82,I82/Q82)</f>
        <v>4.3097519052263271</v>
      </c>
      <c r="K82" s="37">
        <f>VLOOKUP(B82,D!A1:F227,6,FALSE)</f>
        <v>1.322506691503861</v>
      </c>
      <c r="L82" s="37">
        <f>IFERROR(K82/H82,"N/A")</f>
        <v>0.16531333643798263</v>
      </c>
      <c r="M82" s="39">
        <f>IF(Settings!$E$9="YAHOO",VLOOKUP(B82,ADP!A1:E728,2,FALSE),IF(Settings!$E$9="ESPN",VLOOKUP(B82,ADP!A1:E728,3,FALSE),IF(Settings!$E$9="FANTRAX",VLOOKUP(B82,ADP!A1:E728,4,FALSE),VLOOKUP(B82,ADP!A1:E728,5,FALSE))))</f>
        <v>93.6</v>
      </c>
      <c r="N82" s="39">
        <f>IFERROR(M82-A82,"N/A")</f>
        <v>12.599999999999994</v>
      </c>
      <c r="O82" s="39"/>
      <c r="P82" s="40" t="str">
        <f>IF(Settings!$E$27="ON",VLOOKUP(B82,ADP!A1:H728,8,FALSE)," ")</f>
        <v>-</v>
      </c>
      <c r="Q82" s="41">
        <f>IF(Settings!$E$12="YES",VLOOKUP(B82,'Player Data'!A1:E734,5,FALSE),82)</f>
        <v>72.599999999999994</v>
      </c>
      <c r="R82" s="39">
        <f>VLOOKUP(B82,'Player Data'!$A1:$AE734,6,FALSE)</f>
        <v>23.060303365091499</v>
      </c>
      <c r="S82" s="41">
        <f>VLOOKUP(B82,'Player Data'!$A1:$AE734,7,FALSE)*$Q82*IFERROR((VLOOKUP(P82,Settings!$E$28:$F$33,2,FALSE)+1),1)</f>
        <v>12.68226933467006</v>
      </c>
      <c r="T82" s="41">
        <f>VLOOKUP(B82,'Player Data'!$A1:$AE734,8,FALSE)*$Q82*IFERROR((VLOOKUP(P82,Settings!$E$28:$F$33,2,FALSE)+1),1)</f>
        <v>39.070932347195708</v>
      </c>
      <c r="U82" s="41">
        <f>SUM(S82:T82)</f>
        <v>51.753201681865768</v>
      </c>
      <c r="V82" s="41">
        <f>VLOOKUP(B82,'Player Data'!$A1:$AE734,10,FALSE)*$Q82*IFERROR(((VLOOKUP(P82,Settings!$E$28:$F$33,2,FALSE)/2)+1),1)</f>
        <v>184.29948918195009</v>
      </c>
      <c r="W82" s="41">
        <f>VLOOKUP(B82,'Player Data'!$A1:$AE734,11,FALSE)*$Q82*IFERROR((VLOOKUP(P82,Settings!$E$28:$F$33,2,FALSE)+1),1)</f>
        <v>4.2343362206949475</v>
      </c>
      <c r="X82" s="41">
        <f>VLOOKUP(B82,'Player Data'!$A1:$AE734,12,FALSE)*$Q82*IFERROR((VLOOKUP(P82,Settings!$E$28:$F$33,2,FALSE)+1),1)</f>
        <v>18.63966368083517</v>
      </c>
      <c r="Y82" s="41">
        <f>VLOOKUP(B82,'Player Data'!$A1:$AE734,13,FALSE)*$Q82</f>
        <v>0.49372426651867063</v>
      </c>
      <c r="Z82" s="41">
        <f>VLOOKUP(B82,'Player Data'!$A1:$AE734,14,FALSE)*$Q82</f>
        <v>1.3952686008366673</v>
      </c>
      <c r="AA82" s="41">
        <f>VLOOKUP(B82,'Player Data'!$A1:$AE734,15,FALSE)*$Q82</f>
        <v>127.04387059757626</v>
      </c>
      <c r="AB82" s="41">
        <f>VLOOKUP(B82,'Player Data'!$A1:$AE734,16,FALSE)*$Q82</f>
        <v>84.267943300185806</v>
      </c>
      <c r="AC82" s="41">
        <f>VLOOKUP(B82,'Player Data'!$A1:$AE734,17,FALSE)*$Q82*IFERROR((VLOOKUP(P82,Settings!$E$28:$F$33,2,FALSE)+1),1)</f>
        <v>-2.4164586694734207</v>
      </c>
      <c r="AD82" s="41">
        <f>VLOOKUP(B82,'Player Data'!$A1:$AE734,18,FALSE)*$Q82</f>
        <v>22.369146854058489</v>
      </c>
      <c r="AE82" s="41">
        <f>VLOOKUP(B82,'Player Data'!$A1:$AE734,19,FALSE)*$Q82*IFERROR((VLOOKUP(P82,Settings!$E$28:$F$33,2,FALSE)+1),1)</f>
        <v>1.5599937847830654</v>
      </c>
      <c r="AF82" s="41">
        <f>VLOOKUP(B82,'Player Data'!$A1:$AE734,20,FALSE)*$Q82</f>
        <v>0</v>
      </c>
      <c r="AG82" s="41">
        <f>VLOOKUP(B82,'Player Data'!$A1:$AE734,21,FALSE)*$Q82</f>
        <v>0</v>
      </c>
      <c r="AH82" s="42">
        <f>VLOOKUP(B82,'Player Data'!$A1:$AE734,22,FALSE)</f>
        <v>0</v>
      </c>
      <c r="AI82" s="39"/>
      <c r="AJ82" s="43"/>
      <c r="AK82" s="41"/>
      <c r="AL82" s="41"/>
      <c r="AM82" s="41"/>
      <c r="AN82" s="41"/>
      <c r="AO82" s="41"/>
      <c r="AP82" s="41"/>
      <c r="AQ82" s="44"/>
      <c r="AR82" s="45"/>
      <c r="AS82" s="39"/>
    </row>
    <row r="83" spans="1:45" ht="21.25" customHeight="1" x14ac:dyDescent="0.15">
      <c r="A83" s="31">
        <f>RANK(K83,K$2:K$727)</f>
        <v>82</v>
      </c>
      <c r="B83" s="8" t="s">
        <v>187</v>
      </c>
      <c r="C83" s="32" t="s">
        <v>106</v>
      </c>
      <c r="D83" s="33" t="str">
        <f>VLOOKUP(B83,'Player Data'!A1:D734,4,FALSE)</f>
        <v>RW</v>
      </c>
      <c r="E83" s="46">
        <f>VLOOKUP(B83,RW!A1:F97,3,FALSE)</f>
        <v>17</v>
      </c>
      <c r="F83" s="35" t="str">
        <f>VLOOKUP(B83,'Player Data'!A1:B734,2,FALSE)</f>
        <v>MTL</v>
      </c>
      <c r="G83" s="9">
        <f>VLOOKUP(B83,'Player Data'!A1:D734,3,FALSE)</f>
        <v>22</v>
      </c>
      <c r="H83" s="36">
        <f>IFERROR(VLOOKUP(B83,ADP!A1:G728,7,FALSE)/1000000,VLOOKUP(B83,ADP!A1:G728,7,FALSE))</f>
        <v>7.85</v>
      </c>
      <c r="I83" s="37">
        <f>IF(Settings!$E$15="POINTS",((R83*Q83)*Settings!$B$12)+(S83*Settings!$B$2)+(T83*Settings!$B$3)+(U83*Settings!$B$4)+(V83*Settings!$B$5)+(X83*Settings!$B$9)+(AA83*Settings!$B$6)+(W83*Settings!$B$8)+(AB83*Settings!$B$7)+(AC83*Settings!$B$14)+(AD83*Settings!$B$15)+(AE83*Settings!$B$16)+(AF83*Settings!$B$17)+(AG83*Settings!$B$18)+(Y83*Settings!$B$10)+(Z83*Settings!$B$11),VLOOKUP(B83,'Standard Deviations'!A1:C728,3,FALSE))</f>
        <v>351.03672528289479</v>
      </c>
      <c r="J83" s="38">
        <f>IF(D83="G",I83/AJ83,I83/Q83)</f>
        <v>4.8067468887155247</v>
      </c>
      <c r="K83" s="37">
        <f>IF(Settings!$E$18="C/LW/RW",VLOOKUP(B83,RW!A1:F97,6,FALSE),VLOOKUP(B83,F!A1:F430,6,FALSE))</f>
        <v>0.76518473500522077</v>
      </c>
      <c r="L83" s="37">
        <f>IFERROR(K83/H83,"N/A")</f>
        <v>9.7475762421047232E-2</v>
      </c>
      <c r="M83" s="39">
        <f>IF(Settings!$E$9="YAHOO",VLOOKUP(B83,ADP!A1:E728,2,FALSE),IF(Settings!$E$9="ESPN",VLOOKUP(B83,ADP!A1:E728,3,FALSE),IF(Settings!$E$9="FANTRAX",VLOOKUP(B83,ADP!A1:E728,4,FALSE),VLOOKUP(B83,ADP!A1:E728,5,FALSE))))</f>
        <v>142</v>
      </c>
      <c r="N83" s="39">
        <f>IFERROR(M83-A83,"N/A")</f>
        <v>60</v>
      </c>
      <c r="O83" s="39"/>
      <c r="P83" s="40" t="str">
        <f>IF(Settings!$E$27="ON",VLOOKUP(B83,ADP!A1:H728,8,FALSE)," ")</f>
        <v>+</v>
      </c>
      <c r="Q83" s="41">
        <f>IF(Settings!$E$12="YES",VLOOKUP(B83,'Player Data'!A1:E734,5,FALSE),82)</f>
        <v>73.03</v>
      </c>
      <c r="R83" s="39">
        <f>VLOOKUP(B83,'Player Data'!$A1:$AE734,6,FALSE)</f>
        <v>18.109720833755301</v>
      </c>
      <c r="S83" s="41">
        <f>VLOOKUP(B83,'Player Data'!$A1:$AE734,7,FALSE)*$Q83*IFERROR((VLOOKUP(P83,Settings!$E$28:$F$33,2,FALSE)+1),1)</f>
        <v>36.379477754011489</v>
      </c>
      <c r="T83" s="41">
        <f>VLOOKUP(B83,'Player Data'!$A1:$AE734,8,FALSE)*$Q83*IFERROR((VLOOKUP(P83,Settings!$E$28:$F$33,2,FALSE)+1),1)</f>
        <v>25.897295431771276</v>
      </c>
      <c r="U83" s="41">
        <f>SUM(S83:T83)</f>
        <v>62.276773185782766</v>
      </c>
      <c r="V83" s="41">
        <f>VLOOKUP(B83,'Player Data'!$A1:$AE734,10,FALSE)*$Q83*IFERROR(((VLOOKUP(P83,Settings!$E$28:$F$33,2,FALSE)/2)+1),1)</f>
        <v>245.71196884129401</v>
      </c>
      <c r="W83" s="41">
        <f>VLOOKUP(B83,'Player Data'!$A1:$AE734,11,FALSE)*$Q83*IFERROR((VLOOKUP(P83,Settings!$E$28:$F$33,2,FALSE)+1),1)</f>
        <v>9.7939750219012609</v>
      </c>
      <c r="X83" s="41">
        <f>VLOOKUP(B83,'Player Data'!$A1:$AE734,12,FALSE)*$Q83*IFERROR((VLOOKUP(P83,Settings!$E$28:$F$33,2,FALSE)+1),1)</f>
        <v>18.869252135437868</v>
      </c>
      <c r="Y83" s="41">
        <f>VLOOKUP(B83,'Player Data'!$A1:$AE734,13,FALSE)*$Q83</f>
        <v>3.347358591954877E-3</v>
      </c>
      <c r="Z83" s="41">
        <f>VLOOKUP(B83,'Player Data'!$A1:$AE734,14,FALSE)*$Q83</f>
        <v>6.164523287942556E-3</v>
      </c>
      <c r="AA83" s="41">
        <f>VLOOKUP(B83,'Player Data'!$A1:$AE734,15,FALSE)*$Q83</f>
        <v>17.997939937239384</v>
      </c>
      <c r="AB83" s="41">
        <f>VLOOKUP(B83,'Player Data'!$A1:$AE734,16,FALSE)*$Q83</f>
        <v>33.092224922443769</v>
      </c>
      <c r="AC83" s="41">
        <f>VLOOKUP(B83,'Player Data'!$A1:$AE734,17,FALSE)*$Q83*IFERROR((VLOOKUP(P83,Settings!$E$28:$F$33,2,FALSE)+1),1)</f>
        <v>-7.3743562734207666</v>
      </c>
      <c r="AD83" s="41">
        <f>VLOOKUP(B83,'Player Data'!$A1:$AE734,18,FALSE)*$Q83</f>
        <v>14.206979223574194</v>
      </c>
      <c r="AE83" s="41">
        <f>VLOOKUP(B83,'Player Data'!$A1:$AE734,19,FALSE)*$Q83*IFERROR((VLOOKUP(P83,Settings!$E$28:$F$33,2,FALSE)+1),1)</f>
        <v>3.9424111648348603</v>
      </c>
      <c r="AF83" s="41">
        <f>VLOOKUP(B83,'Player Data'!$A1:$AE734,20,FALSE)*$Q83</f>
        <v>0.6300854674307943</v>
      </c>
      <c r="AG83" s="41">
        <f>VLOOKUP(B83,'Player Data'!$A1:$AE734,21,FALSE)*$Q83</f>
        <v>1.8704519471048116</v>
      </c>
      <c r="AH83" s="42">
        <f>VLOOKUP(B83,'Player Data'!$A1:$AE734,22,FALSE)</f>
        <v>0.251980019882171</v>
      </c>
      <c r="AI83" s="39"/>
      <c r="AJ83" s="43"/>
      <c r="AK83" s="41"/>
      <c r="AL83" s="41"/>
      <c r="AM83" s="41"/>
      <c r="AN83" s="41"/>
      <c r="AO83" s="41"/>
      <c r="AP83" s="41"/>
      <c r="AQ83" s="44"/>
      <c r="AR83" s="45"/>
      <c r="AS83" s="39"/>
    </row>
    <row r="84" spans="1:45" ht="21.25" customHeight="1" x14ac:dyDescent="0.15">
      <c r="A84" s="31">
        <f>RANK(K84,K$2:K$727)</f>
        <v>83</v>
      </c>
      <c r="B84" s="8" t="s">
        <v>188</v>
      </c>
      <c r="C84" s="32" t="s">
        <v>106</v>
      </c>
      <c r="D84" s="33" t="str">
        <f>VLOOKUP(B84,'Player Data'!A1:D734,4,FALSE)</f>
        <v>D</v>
      </c>
      <c r="E84" s="49">
        <f>VLOOKUP(B84,D!A1:C227,3,FALSE)</f>
        <v>17</v>
      </c>
      <c r="F84" s="35" t="str">
        <f>VLOOKUP(B84,'Player Data'!A1:B734,2,FALSE)</f>
        <v>TOR</v>
      </c>
      <c r="G84" s="9">
        <f>VLOOKUP(B84,'Player Data'!A1:D734,3,FALSE)</f>
        <v>29</v>
      </c>
      <c r="H84" s="36">
        <f>IFERROR(VLOOKUP(B84,ADP!A1:G728,7,FALSE)/1000000,VLOOKUP(B84,ADP!A1:G728,7,FALSE))</f>
        <v>7.5</v>
      </c>
      <c r="I84" s="37">
        <f>IF(Settings!$E$15="POINTS",((R84*Q84)*Settings!$B$12)+(S84*Settings!$B$2)+(T84*Settings!$B$3)+(U84*Settings!$B$4)+(V84*Settings!$B$5)+(X84*Settings!$B$9)+(AA84*Settings!$B$6)+(W84*Settings!$B$8)+(AB84*Settings!$B$7)+(AC84*Settings!$B$14)+(AD84*Settings!$B$15)+(AE84*Settings!$B$16)+(AF84*Settings!$B$17)+(AG84*Settings!$B$18)+(U84*Settings!$B$13)+(Y84*Settings!$B$10)+(Z84*Settings!$B$11),VLOOKUP(B84,'Standard Deviations'!A1:C728,3,FALSE))</f>
        <v>312.03734389194881</v>
      </c>
      <c r="J84" s="38">
        <f>IF(D84="G",I84/AJ84,I84/Q84)</f>
        <v>3.9565473243403462</v>
      </c>
      <c r="K84" s="37">
        <f>VLOOKUP(B84,D!A1:F227,6,FALSE)</f>
        <v>0.47186226402135389</v>
      </c>
      <c r="L84" s="37">
        <f>IFERROR(K84/H84,"N/A")</f>
        <v>6.2914968536180518E-2</v>
      </c>
      <c r="M84" s="39">
        <f>IF(Settings!$E$9="YAHOO",VLOOKUP(B84,ADP!A1:E728,2,FALSE),IF(Settings!$E$9="ESPN",VLOOKUP(B84,ADP!A1:E728,3,FALSE),IF(Settings!$E$9="FANTRAX",VLOOKUP(B84,ADP!A1:E728,4,FALSE),VLOOKUP(B84,ADP!A1:E728,5,FALSE))))</f>
        <v>130.4</v>
      </c>
      <c r="N84" s="39">
        <f>IFERROR(M84-A84,"N/A")</f>
        <v>47.400000000000006</v>
      </c>
      <c r="O84" s="39"/>
      <c r="P84" s="40" t="str">
        <f>IF(Settings!$E$27="ON",VLOOKUP(B84,ADP!A1:H728,8,FALSE)," ")</f>
        <v>+</v>
      </c>
      <c r="Q84" s="41">
        <f>IF(Settings!$E$12="YES",VLOOKUP(B84,'Player Data'!A1:E734,5,FALSE),82)</f>
        <v>78.866071428571402</v>
      </c>
      <c r="R84" s="39">
        <f>VLOOKUP(B84,'Player Data'!$A1:$AE734,6,FALSE)</f>
        <v>21.730165249765498</v>
      </c>
      <c r="S84" s="41">
        <f>VLOOKUP(B84,'Player Data'!$A1:$AE734,7,FALSE)*$Q84*IFERROR((VLOOKUP(P84,Settings!$E$28:$F$33,2,FALSE)+1),1)</f>
        <v>7.3452915391669293</v>
      </c>
      <c r="T84" s="41">
        <f>VLOOKUP(B84,'Player Data'!$A1:$AE734,8,FALSE)*$Q84*IFERROR((VLOOKUP(P84,Settings!$E$28:$F$33,2,FALSE)+1),1)</f>
        <v>47.699631105788868</v>
      </c>
      <c r="U84" s="41">
        <f>SUM(S84:T84)</f>
        <v>55.044922644955797</v>
      </c>
      <c r="V84" s="41">
        <f>VLOOKUP(B84,'Player Data'!$A1:$AE734,10,FALSE)*$Q84*IFERROR(((VLOOKUP(P84,Settings!$E$28:$F$33,2,FALSE)/2)+1),1)</f>
        <v>166.80454616084111</v>
      </c>
      <c r="W84" s="41">
        <f>VLOOKUP(B84,'Player Data'!$A1:$AE734,11,FALSE)*$Q84*IFERROR((VLOOKUP(P84,Settings!$E$28:$F$33,2,FALSE)+1),1)</f>
        <v>1.7055630986478687</v>
      </c>
      <c r="X84" s="41">
        <f>VLOOKUP(B84,'Player Data'!$A1:$AE734,12,FALSE)*$Q84*IFERROR((VLOOKUP(P84,Settings!$E$28:$F$33,2,FALSE)+1),1)</f>
        <v>21.005080199109223</v>
      </c>
      <c r="Y84" s="41">
        <f>VLOOKUP(B84,'Player Data'!$A1:$AE734,13,FALSE)*$Q84</f>
        <v>2.4168721759840108E-2</v>
      </c>
      <c r="Z84" s="41">
        <f>VLOOKUP(B84,'Player Data'!$A1:$AE734,14,FALSE)*$Q84</f>
        <v>0.86374396535586762</v>
      </c>
      <c r="AA84" s="41">
        <f>VLOOKUP(B84,'Player Data'!$A1:$AE734,15,FALSE)*$Q84</f>
        <v>98.813272738653367</v>
      </c>
      <c r="AB84" s="41">
        <f>VLOOKUP(B84,'Player Data'!$A1:$AE734,16,FALSE)*$Q84</f>
        <v>91.588312848198868</v>
      </c>
      <c r="AC84" s="41">
        <f>VLOOKUP(B84,'Player Data'!$A1:$AE734,17,FALSE)*$Q84*IFERROR((VLOOKUP(P84,Settings!$E$28:$F$33,2,FALSE)+1),1)</f>
        <v>5.0730535260220995</v>
      </c>
      <c r="AD84" s="41">
        <f>VLOOKUP(B84,'Player Data'!$A1:$AE734,18,FALSE)*$Q84</f>
        <v>29.91680754913186</v>
      </c>
      <c r="AE84" s="41">
        <f>VLOOKUP(B84,'Player Data'!$A1:$AE734,19,FALSE)*$Q84*IFERROR((VLOOKUP(P84,Settings!$E$28:$F$33,2,FALSE)+1),1)</f>
        <v>1.1800191334182659</v>
      </c>
      <c r="AF84" s="41">
        <f>VLOOKUP(B84,'Player Data'!$A1:$AE734,20,FALSE)*$Q84</f>
        <v>0</v>
      </c>
      <c r="AG84" s="41">
        <f>VLOOKUP(B84,'Player Data'!$A1:$AE734,21,FALSE)*$Q84</f>
        <v>0</v>
      </c>
      <c r="AH84" s="42">
        <f>VLOOKUP(B84,'Player Data'!$A1:$AE734,22,FALSE)</f>
        <v>0</v>
      </c>
      <c r="AI84" s="39"/>
      <c r="AJ84" s="41"/>
      <c r="AK84" s="41"/>
      <c r="AL84" s="41"/>
      <c r="AM84" s="41"/>
      <c r="AN84" s="41"/>
      <c r="AO84" s="41"/>
      <c r="AP84" s="41"/>
      <c r="AQ84" s="44"/>
      <c r="AR84" s="45"/>
      <c r="AS84" s="39"/>
    </row>
    <row r="85" spans="1:45" ht="21.25" customHeight="1" x14ac:dyDescent="0.15">
      <c r="A85" s="31">
        <f>RANK(K85,K$2:K$727)</f>
        <v>84</v>
      </c>
      <c r="B85" s="8" t="s">
        <v>189</v>
      </c>
      <c r="C85" s="32" t="s">
        <v>106</v>
      </c>
      <c r="D85" s="33" t="str">
        <f>VLOOKUP(B85,'Player Data'!A1:D734,4,FALSE)</f>
        <v>D</v>
      </c>
      <c r="E85" s="49">
        <f>VLOOKUP(B85,D!A1:C227,3,FALSE)</f>
        <v>18</v>
      </c>
      <c r="F85" s="35" t="str">
        <f>VLOOKUP(B85,'Player Data'!A1:B734,2,FALSE)</f>
        <v>BOS</v>
      </c>
      <c r="G85" s="9">
        <f>VLOOKUP(B85,'Player Data'!A1:D734,3,FALSE)</f>
        <v>25</v>
      </c>
      <c r="H85" s="36">
        <f>IFERROR(VLOOKUP(B85,ADP!A1:G728,7,FALSE)/1000000,VLOOKUP(B85,ADP!A1:G728,7,FALSE))</f>
        <v>9.5</v>
      </c>
      <c r="I85" s="37">
        <f>IF(Settings!$E$15="POINTS",((R85*Q85)*Settings!$B$12)+(S85*Settings!$B$2)+(T85*Settings!$B$3)+(U85*Settings!$B$4)+(V85*Settings!$B$5)+(X85*Settings!$B$9)+(AA85*Settings!$B$6)+(W85*Settings!$B$8)+(AB85*Settings!$B$7)+(AC85*Settings!$B$14)+(AD85*Settings!$B$15)+(AE85*Settings!$B$16)+(AF85*Settings!$B$17)+(AG85*Settings!$B$18)+(U85*Settings!$B$13)+(Y85*Settings!$B$10)+(Z85*Settings!$B$11),VLOOKUP(B85,'Standard Deviations'!A1:C728,3,FALSE))</f>
        <v>311.56548162792745</v>
      </c>
      <c r="J85" s="38">
        <f>IF(D85="G",I85/AJ85,I85/Q85)</f>
        <v>3.9900628367226219</v>
      </c>
      <c r="K85" s="37">
        <f>VLOOKUP(B85,D!A1:F227,6,FALSE)</f>
        <v>0</v>
      </c>
      <c r="L85" s="37">
        <f>IFERROR(K85/H85,"N/A")</f>
        <v>0</v>
      </c>
      <c r="M85" s="39">
        <f>IF(Settings!$E$9="YAHOO",VLOOKUP(B85,ADP!A1:E728,2,FALSE),IF(Settings!$E$9="ESPN",VLOOKUP(B85,ADP!A1:E728,3,FALSE),IF(Settings!$E$9="FANTRAX",VLOOKUP(B85,ADP!A1:E728,4,FALSE),VLOOKUP(B85,ADP!A1:E728,5,FALSE))))</f>
        <v>61.5</v>
      </c>
      <c r="N85" s="39">
        <f>IFERROR(M85-A85,"N/A")</f>
        <v>-22.5</v>
      </c>
      <c r="O85" s="39"/>
      <c r="P85" s="40" t="str">
        <f>IF(Settings!$E$27="ON",VLOOKUP(B85,ADP!A1:H728,8,FALSE)," ")</f>
        <v xml:space="preserve"> </v>
      </c>
      <c r="Q85" s="41">
        <f>IF(Settings!$E$12="YES",VLOOKUP(B85,'Player Data'!A1:E734,5,FALSE),82)</f>
        <v>78.085357142857106</v>
      </c>
      <c r="R85" s="39">
        <f>VLOOKUP(B85,'Player Data'!$A1:$AE734,6,FALSE)</f>
        <v>23.335087774509699</v>
      </c>
      <c r="S85" s="41">
        <f>VLOOKUP(B85,'Player Data'!$A1:$AE734,7,FALSE)*$Q85*IFERROR((VLOOKUP(P85,Settings!$E$28:$F$33,2,FALSE)+1),1)</f>
        <v>9.2005523399076132</v>
      </c>
      <c r="T85" s="41">
        <f>VLOOKUP(B85,'Player Data'!$A1:$AE734,8,FALSE)*$Q85*IFERROR((VLOOKUP(P85,Settings!$E$28:$F$33,2,FALSE)+1),1)</f>
        <v>47.646285165566361</v>
      </c>
      <c r="U85" s="41">
        <f>SUM(S85:T85)</f>
        <v>56.846837505473971</v>
      </c>
      <c r="V85" s="41">
        <f>VLOOKUP(B85,'Player Data'!$A1:$AE734,10,FALSE)*$Q85*IFERROR(((VLOOKUP(P85,Settings!$E$28:$F$33,2,FALSE)/2)+1),1)</f>
        <v>141.73133623912528</v>
      </c>
      <c r="W85" s="41">
        <f>VLOOKUP(B85,'Player Data'!$A1:$AE734,11,FALSE)*$Q85*IFERROR((VLOOKUP(P85,Settings!$E$28:$F$33,2,FALSE)+1),1)</f>
        <v>2.9645919307709097</v>
      </c>
      <c r="X85" s="41">
        <f>VLOOKUP(B85,'Player Data'!$A1:$AE734,12,FALSE)*$Q85*IFERROR((VLOOKUP(P85,Settings!$E$28:$F$33,2,FALSE)+1),1)</f>
        <v>20.790657643552706</v>
      </c>
      <c r="Y85" s="41">
        <f>VLOOKUP(B85,'Player Data'!$A1:$AE734,13,FALSE)*$Q85</f>
        <v>3.102710897104511E-2</v>
      </c>
      <c r="Z85" s="41">
        <f>VLOOKUP(B85,'Player Data'!$A1:$AE734,14,FALSE)*$Q85</f>
        <v>0.28027402140052549</v>
      </c>
      <c r="AA85" s="41">
        <f>VLOOKUP(B85,'Player Data'!$A1:$AE734,15,FALSE)*$Q85</f>
        <v>140.087188310182</v>
      </c>
      <c r="AB85" s="41">
        <f>VLOOKUP(B85,'Player Data'!$A1:$AE734,16,FALSE)*$Q85</f>
        <v>110.81430974050976</v>
      </c>
      <c r="AC85" s="41">
        <f>VLOOKUP(B85,'Player Data'!$A1:$AE734,17,FALSE)*$Q85*IFERROR((VLOOKUP(P85,Settings!$E$28:$F$33,2,FALSE)+1),1)</f>
        <v>7.7651891105641253</v>
      </c>
      <c r="AD85" s="41">
        <f>VLOOKUP(B85,'Player Data'!$A1:$AE734,18,FALSE)*$Q85</f>
        <v>60.499777783287698</v>
      </c>
      <c r="AE85" s="41">
        <f>VLOOKUP(B85,'Player Data'!$A1:$AE734,19,FALSE)*$Q85*IFERROR((VLOOKUP(P85,Settings!$E$28:$F$33,2,FALSE)+1),1)</f>
        <v>1.5445916767010703</v>
      </c>
      <c r="AF85" s="41">
        <f>VLOOKUP(B85,'Player Data'!$A1:$AE734,20,FALSE)*$Q85</f>
        <v>0</v>
      </c>
      <c r="AG85" s="41">
        <f>VLOOKUP(B85,'Player Data'!$A1:$AE734,21,FALSE)*$Q85</f>
        <v>0</v>
      </c>
      <c r="AH85" s="42">
        <f>VLOOKUP(B85,'Player Data'!$A1:$AE734,22,FALSE)</f>
        <v>0</v>
      </c>
      <c r="AI85" s="39"/>
      <c r="AJ85" s="41"/>
      <c r="AK85" s="41"/>
      <c r="AL85" s="41"/>
      <c r="AM85" s="41"/>
      <c r="AN85" s="41"/>
      <c r="AO85" s="41"/>
      <c r="AP85" s="41"/>
      <c r="AQ85" s="44"/>
      <c r="AR85" s="45"/>
      <c r="AS85" s="39"/>
    </row>
    <row r="86" spans="1:45" ht="21.25" customHeight="1" x14ac:dyDescent="0.15">
      <c r="A86" s="31">
        <f>RANK(K86,K$2:K$727)</f>
        <v>84</v>
      </c>
      <c r="B86" s="8" t="s">
        <v>191</v>
      </c>
      <c r="C86" s="32" t="s">
        <v>106</v>
      </c>
      <c r="D86" s="33" t="str">
        <f>VLOOKUP(B86,'Player Data'!A1:D734,4,FALSE)</f>
        <v>RW</v>
      </c>
      <c r="E86" s="46">
        <f>VLOOKUP(B86,RW!A1:F97,3,FALSE)</f>
        <v>18</v>
      </c>
      <c r="F86" s="35" t="str">
        <f>VLOOKUP(B86,'Player Data'!A1:B734,2,FALSE)</f>
        <v>OTT</v>
      </c>
      <c r="G86" s="9">
        <f>VLOOKUP(B86,'Player Data'!A1:D734,3,FALSE)</f>
        <v>25</v>
      </c>
      <c r="H86" s="36">
        <f>IFERROR(VLOOKUP(B86,ADP!A1:G728,7,FALSE)/1000000,VLOOKUP(B86,ADP!A1:G728,7,FALSE))</f>
        <v>4.9749999999999996</v>
      </c>
      <c r="I86" s="37">
        <f>IF(Settings!$E$15="POINTS",((R86*Q86)*Settings!$B$12)+(S86*Settings!$B$2)+(T86*Settings!$B$3)+(U86*Settings!$B$4)+(V86*Settings!$B$5)+(X86*Settings!$B$9)+(AA86*Settings!$B$6)+(W86*Settings!$B$8)+(AB86*Settings!$B$7)+(AC86*Settings!$B$14)+(AD86*Settings!$B$15)+(AE86*Settings!$B$16)+(AF86*Settings!$B$17)+(AG86*Settings!$B$18)+(Y86*Settings!$B$10)+(Z86*Settings!$B$11),VLOOKUP(B86,'Standard Deviations'!A1:C728,3,FALSE))</f>
        <v>350.27154054788957</v>
      </c>
      <c r="J86" s="38">
        <f>IF(D86="G",I86/AJ86,I86/Q86)</f>
        <v>4.5442597372585567</v>
      </c>
      <c r="K86" s="37">
        <f>IF(Settings!$E$18="C/LW/RW",VLOOKUP(B86,RW!A1:F97,6,FALSE),VLOOKUP(B86,F!A1:F430,6,FALSE))</f>
        <v>0</v>
      </c>
      <c r="L86" s="37">
        <f>IFERROR(K86/H86,"N/A")</f>
        <v>0</v>
      </c>
      <c r="M86" s="39">
        <f>IF(Settings!$E$9="YAHOO",VLOOKUP(B86,ADP!A1:E728,2,FALSE),IF(Settings!$E$9="ESPN",VLOOKUP(B86,ADP!A1:E728,3,FALSE),IF(Settings!$E$9="FANTRAX",VLOOKUP(B86,ADP!A1:E728,4,FALSE),VLOOKUP(B86,ADP!A1:E728,5,FALSE))))</f>
        <v>84.1</v>
      </c>
      <c r="N86" s="39">
        <f>IFERROR(M86-A86,"N/A")</f>
        <v>9.9999999999994316E-2</v>
      </c>
      <c r="O86" s="39"/>
      <c r="P86" s="40" t="str">
        <f>IF(Settings!$E$27="ON",VLOOKUP(B86,ADP!A1:H728,8,FALSE)," ")</f>
        <v xml:space="preserve"> </v>
      </c>
      <c r="Q86" s="41">
        <f>IF(Settings!$E$12="YES",VLOOKUP(B86,'Player Data'!A1:E734,5,FALSE),82)</f>
        <v>77.08</v>
      </c>
      <c r="R86" s="39">
        <f>VLOOKUP(B86,'Player Data'!$A1:$AE734,6,FALSE)</f>
        <v>18.2517564047637</v>
      </c>
      <c r="S86" s="41">
        <f>VLOOKUP(B86,'Player Data'!$A1:$AE734,7,FALSE)*$Q86*IFERROR((VLOOKUP(P86,Settings!$E$28:$F$33,2,FALSE)+1),1)</f>
        <v>24.154824276914205</v>
      </c>
      <c r="T86" s="41">
        <f>VLOOKUP(B86,'Player Data'!$A1:$AE734,8,FALSE)*$Q86*IFERROR((VLOOKUP(P86,Settings!$E$28:$F$33,2,FALSE)+1),1)</f>
        <v>38.420379573010685</v>
      </c>
      <c r="U86" s="41">
        <f>SUM(S86:T86)</f>
        <v>62.57520384992489</v>
      </c>
      <c r="V86" s="41">
        <f>VLOOKUP(B86,'Player Data'!$A1:$AE734,10,FALSE)*$Q86*IFERROR(((VLOOKUP(P86,Settings!$E$28:$F$33,2,FALSE)/2)+1),1)</f>
        <v>215.46566314302586</v>
      </c>
      <c r="W86" s="41">
        <f>VLOOKUP(B86,'Player Data'!$A1:$AE734,11,FALSE)*$Q86*IFERROR((VLOOKUP(P86,Settings!$E$28:$F$33,2,FALSE)+1),1)</f>
        <v>9.6719799337111567</v>
      </c>
      <c r="X86" s="41">
        <f>VLOOKUP(B86,'Player Data'!$A1:$AE734,12,FALSE)*$Q86*IFERROR((VLOOKUP(P86,Settings!$E$28:$F$33,2,FALSE)+1),1)</f>
        <v>24.153647216198678</v>
      </c>
      <c r="Y86" s="41">
        <f>VLOOKUP(B86,'Player Data'!$A1:$AE734,13,FALSE)*$Q86</f>
        <v>1.9587325967615157E-2</v>
      </c>
      <c r="Z86" s="41">
        <f>VLOOKUP(B86,'Player Data'!$A1:$AE734,14,FALSE)*$Q86</f>
        <v>3.5674261411332356E-2</v>
      </c>
      <c r="AA86" s="41">
        <f>VLOOKUP(B86,'Player Data'!$A1:$AE734,15,FALSE)*$Q86</f>
        <v>32.172272356909488</v>
      </c>
      <c r="AB86" s="41">
        <f>VLOOKUP(B86,'Player Data'!$A1:$AE734,16,FALSE)*$Q86</f>
        <v>111.01502898723933</v>
      </c>
      <c r="AC86" s="41">
        <f>VLOOKUP(B86,'Player Data'!$A1:$AE734,17,FALSE)*$Q86*IFERROR((VLOOKUP(P86,Settings!$E$28:$F$33,2,FALSE)+1),1)</f>
        <v>0.30288827385760908</v>
      </c>
      <c r="AD86" s="41">
        <f>VLOOKUP(B86,'Player Data'!$A1:$AE734,18,FALSE)*$Q86</f>
        <v>29.272643916534008</v>
      </c>
      <c r="AE86" s="41">
        <f>VLOOKUP(B86,'Player Data'!$A1:$AE734,19,FALSE)*$Q86*IFERROR((VLOOKUP(P86,Settings!$E$28:$F$33,2,FALSE)+1),1)</f>
        <v>3.3551277890115574</v>
      </c>
      <c r="AF86" s="41">
        <f>VLOOKUP(B86,'Player Data'!$A1:$AE734,20,FALSE)*$Q86</f>
        <v>13.612343229735332</v>
      </c>
      <c r="AG86" s="41">
        <f>VLOOKUP(B86,'Player Data'!$A1:$AE734,21,FALSE)*$Q86</f>
        <v>23.160855690637515</v>
      </c>
      <c r="AH86" s="42">
        <f>VLOOKUP(B86,'Player Data'!$A1:$AE734,22,FALSE)</f>
        <v>0.37017022259093901</v>
      </c>
      <c r="AI86" s="39"/>
      <c r="AJ86" s="43"/>
      <c r="AK86" s="41"/>
      <c r="AL86" s="41"/>
      <c r="AM86" s="41"/>
      <c r="AN86" s="41"/>
      <c r="AO86" s="41"/>
      <c r="AP86" s="41"/>
      <c r="AQ86" s="44"/>
      <c r="AR86" s="45"/>
      <c r="AS86" s="39"/>
    </row>
    <row r="87" spans="1:45" ht="21.25" customHeight="1" x14ac:dyDescent="0.15">
      <c r="A87" s="31">
        <f>RANK(K87,K$2:K$727)</f>
        <v>84</v>
      </c>
      <c r="B87" s="8" t="s">
        <v>190</v>
      </c>
      <c r="C87" s="32" t="s">
        <v>106</v>
      </c>
      <c r="D87" s="33" t="str">
        <f>VLOOKUP(B87,'Player Data'!A1:D734,4,FALSE)</f>
        <v>LW</v>
      </c>
      <c r="E87" s="47">
        <f>VLOOKUP(B87,LW!A1:C130,3,FALSE)</f>
        <v>21</v>
      </c>
      <c r="F87" s="35" t="str">
        <f>VLOOKUP(B87,'Player Data'!A1:B734,2,FALSE)</f>
        <v>CGY</v>
      </c>
      <c r="G87" s="9">
        <f>VLOOKUP(B87,'Player Data'!A1:D734,3,FALSE)</f>
        <v>30</v>
      </c>
      <c r="H87" s="36">
        <f>IFERROR(VLOOKUP(B87,ADP!A1:G728,7,FALSE)/1000000,VLOOKUP(B87,ADP!A1:G728,7,FALSE))</f>
        <v>10.5</v>
      </c>
      <c r="I87" s="37">
        <f>IF(Settings!$E$15="POINTS",((R87*Q87)*Settings!$B$12)+(S87*Settings!$B$2)+(T87*Settings!$B$3)+(U87*Settings!$B$4)+(V87*Settings!$B$5)+(X87*Settings!$B$9)+(AA87*Settings!$B$6)+(W87*Settings!$B$8)+(AB87*Settings!$B$7)+(AC87*Settings!$B$14)+(AD87*Settings!$B$15)+(AE87*Settings!$B$16)+(AF87*Settings!$B$17)+(AG87*Settings!$B$18)+(Y87*Settings!$B$10)+(Z87*Settings!$B$11),VLOOKUP(B87,'Standard Deviations'!A1:C728,3,FALSE))</f>
        <v>364.04060485765046</v>
      </c>
      <c r="J87" s="38">
        <f>IF(D87="G",I87/AJ87,I87/Q87)</f>
        <v>4.5110359957577506</v>
      </c>
      <c r="K87" s="37">
        <f>IF(Settings!$E$18="C/LW/RW",VLOOKUP(B87,LW!A1:F130,6,FALSE),VLOOKUP(B87,F!A1:F430,6,FALSE))</f>
        <v>0</v>
      </c>
      <c r="L87" s="37">
        <f>IFERROR(K87/H87,"N/A")</f>
        <v>0</v>
      </c>
      <c r="M87" s="39">
        <f>IF(Settings!$E$9="YAHOO",VLOOKUP(B87,ADP!A1:E728,2,FALSE),IF(Settings!$E$9="ESPN",VLOOKUP(B87,ADP!A1:E728,3,FALSE),IF(Settings!$E$9="FANTRAX",VLOOKUP(B87,ADP!A1:E728,4,FALSE),VLOOKUP(B87,ADP!A1:E728,5,FALSE))))</f>
        <v>123.7</v>
      </c>
      <c r="N87" s="39">
        <f>IFERROR(M87-A87,"N/A")</f>
        <v>39.700000000000003</v>
      </c>
      <c r="O87" s="39"/>
      <c r="P87" s="40" t="str">
        <f>IF(Settings!$E$27="ON",VLOOKUP(B87,ADP!A1:H728,8,FALSE)," ")</f>
        <v xml:space="preserve"> </v>
      </c>
      <c r="Q87" s="41">
        <f>IF(Settings!$E$12="YES",VLOOKUP(B87,'Player Data'!A1:E734,5,FALSE),82)</f>
        <v>80.7</v>
      </c>
      <c r="R87" s="39">
        <f>VLOOKUP(B87,'Player Data'!$A1:$AE734,6,FALSE)</f>
        <v>18.0033008230162</v>
      </c>
      <c r="S87" s="41">
        <f>VLOOKUP(B87,'Player Data'!$A1:$AE734,7,FALSE)*$Q87*IFERROR((VLOOKUP(P87,Settings!$E$28:$F$33,2,FALSE)+1),1)</f>
        <v>21.561064585726427</v>
      </c>
      <c r="T87" s="41">
        <f>VLOOKUP(B87,'Player Data'!$A1:$AE734,8,FALSE)*$Q87*IFERROR((VLOOKUP(P87,Settings!$E$28:$F$33,2,FALSE)+1),1)</f>
        <v>55.055777734311597</v>
      </c>
      <c r="U87" s="41">
        <f>SUM(S87:T87)</f>
        <v>76.616842320038018</v>
      </c>
      <c r="V87" s="41">
        <f>VLOOKUP(B87,'Player Data'!$A1:$AE734,10,FALSE)*$Q87*IFERROR(((VLOOKUP(P87,Settings!$E$28:$F$33,2,FALSE)/2)+1),1)</f>
        <v>162.79028688810857</v>
      </c>
      <c r="W87" s="41">
        <f>VLOOKUP(B87,'Player Data'!$A1:$AE734,11,FALSE)*$Q87*IFERROR((VLOOKUP(P87,Settings!$E$28:$F$33,2,FALSE)+1),1)</f>
        <v>4.9305532419595242</v>
      </c>
      <c r="X87" s="41">
        <f>VLOOKUP(B87,'Player Data'!$A1:$AE734,12,FALSE)*$Q87*IFERROR((VLOOKUP(P87,Settings!$E$28:$F$33,2,FALSE)+1),1)</f>
        <v>23.282577795211942</v>
      </c>
      <c r="Y87" s="41">
        <f>VLOOKUP(B87,'Player Data'!$A1:$AE734,13,FALSE)*$Q87</f>
        <v>0.17907951437424321</v>
      </c>
      <c r="Z87" s="41">
        <f>VLOOKUP(B87,'Player Data'!$A1:$AE734,14,FALSE)*$Q87</f>
        <v>0.30996481687946353</v>
      </c>
      <c r="AA87" s="41">
        <f>VLOOKUP(B87,'Player Data'!$A1:$AE734,15,FALSE)*$Q87</f>
        <v>28.049246146496305</v>
      </c>
      <c r="AB87" s="41">
        <f>VLOOKUP(B87,'Player Data'!$A1:$AE734,16,FALSE)*$Q87</f>
        <v>78.831687436688114</v>
      </c>
      <c r="AC87" s="41">
        <f>VLOOKUP(B87,'Player Data'!$A1:$AE734,17,FALSE)*$Q87*IFERROR((VLOOKUP(P87,Settings!$E$28:$F$33,2,FALSE)+1),1)</f>
        <v>3.6745920055119887</v>
      </c>
      <c r="AD87" s="41">
        <f>VLOOKUP(B87,'Player Data'!$A1:$AE734,18,FALSE)*$Q87</f>
        <v>36.212364440241444</v>
      </c>
      <c r="AE87" s="41">
        <f>VLOOKUP(B87,'Player Data'!$A1:$AE734,19,FALSE)*$Q87*IFERROR((VLOOKUP(P87,Settings!$E$28:$F$33,2,FALSE)+1),1)</f>
        <v>3.602816161719105</v>
      </c>
      <c r="AF87" s="41">
        <f>VLOOKUP(B87,'Player Data'!$A1:$AE734,20,FALSE)*$Q87</f>
        <v>9.3943034353722492</v>
      </c>
      <c r="AG87" s="41">
        <f>VLOOKUP(B87,'Player Data'!$A1:$AE734,21,FALSE)*$Q87</f>
        <v>17.26950625974704</v>
      </c>
      <c r="AH87" s="42">
        <f>VLOOKUP(B87,'Player Data'!$A1:$AE734,22,FALSE)</f>
        <v>0.35232412557654302</v>
      </c>
      <c r="AI87" s="39"/>
      <c r="AJ87" s="43"/>
      <c r="AK87" s="41"/>
      <c r="AL87" s="41"/>
      <c r="AM87" s="41"/>
      <c r="AN87" s="41"/>
      <c r="AO87" s="41"/>
      <c r="AP87" s="41"/>
      <c r="AQ87" s="44"/>
      <c r="AR87" s="45"/>
      <c r="AS87" s="39"/>
    </row>
    <row r="88" spans="1:45" ht="21.25" customHeight="1" x14ac:dyDescent="0.15">
      <c r="A88" s="31">
        <f>RANK(K88,K$2:K$727)</f>
        <v>84</v>
      </c>
      <c r="B88" s="8" t="s">
        <v>192</v>
      </c>
      <c r="C88" s="32" t="s">
        <v>106</v>
      </c>
      <c r="D88" s="33" t="str">
        <f>VLOOKUP(B88,'Player Data'!A1:D734,4,FALSE)</f>
        <v>C</v>
      </c>
      <c r="E88" s="34">
        <f>VLOOKUP(B88,'C'!A1:C211,3,FALSE)</f>
        <v>22</v>
      </c>
      <c r="F88" s="35" t="str">
        <f>VLOOKUP(B88,'Player Data'!A1:B734,2,FALSE)</f>
        <v>NYI</v>
      </c>
      <c r="G88" s="9">
        <f>VLOOKUP(B88,'Player Data'!A1:D734,3,FALSE)</f>
        <v>28</v>
      </c>
      <c r="H88" s="36">
        <f>IFERROR(VLOOKUP(B88,ADP!A1:G728,7,FALSE)/1000000,VLOOKUP(B88,ADP!A1:G728,7,FALSE))</f>
        <v>8.5</v>
      </c>
      <c r="I88" s="37">
        <f>IF(Settings!$E$15="POINTS",((R88*Q88)*Settings!$B$12)+(S88*Settings!$B$2)+(T88*Settings!$B$3)+(U88*Settings!$B$4)+(V88*Settings!$B$5)+(X88*Settings!$B$9)+(AA88*Settings!$B$6)+(W88*Settings!$B$8)+(AB88*Settings!$B$7)+(AC88*Settings!$B$14)+(AD88*Settings!$B$15)+(AE88*Settings!$B$16)+(AF88*Settings!$B$17)+(AG88*Settings!$B$18)+(Y88*Settings!$B$10)+(Z88*Settings!$B$11),VLOOKUP(B88,'Standard Deviations'!A1:C728,3,FALSE))</f>
        <v>393.32880576620965</v>
      </c>
      <c r="J88" s="38">
        <f>IF(D88="G",I88/AJ88,I88/Q88)</f>
        <v>4.9260002600733861</v>
      </c>
      <c r="K88" s="37">
        <f>IF(Settings!$E$18="C/LW/RW",VLOOKUP(B88,'C'!A1:F211,6,FALSE),VLOOKUP(B88,F!A1:F430,6,FALSE))</f>
        <v>0</v>
      </c>
      <c r="L88" s="37">
        <f>IFERROR(K88/H88,"N/A")</f>
        <v>0</v>
      </c>
      <c r="M88" s="39">
        <f>IF(Settings!$E$9="YAHOO",VLOOKUP(B88,ADP!A1:E728,2,FALSE),IF(Settings!$E$9="ESPN",VLOOKUP(B88,ADP!A1:E728,3,FALSE),IF(Settings!$E$9="FANTRAX",VLOOKUP(B88,ADP!A1:E728,4,FALSE),VLOOKUP(B88,ADP!A1:E728,5,FALSE))))</f>
        <v>140.80000000000001</v>
      </c>
      <c r="N88" s="39">
        <f>IFERROR(M88-A88,"N/A")</f>
        <v>56.800000000000011</v>
      </c>
      <c r="O88" s="39"/>
      <c r="P88" s="40" t="str">
        <f>IF(Settings!$E$27="ON",VLOOKUP(B88,ADP!A1:H728,8,FALSE)," ")</f>
        <v>+</v>
      </c>
      <c r="Q88" s="41">
        <f>IF(Settings!$E$12="YES",VLOOKUP(B88,'Player Data'!A1:E734,5,FALSE),82)</f>
        <v>79.847499999999997</v>
      </c>
      <c r="R88" s="39">
        <f>VLOOKUP(B88,'Player Data'!$A1:$AE734,6,FALSE)</f>
        <v>21.007786944391601</v>
      </c>
      <c r="S88" s="41">
        <f>VLOOKUP(B88,'Player Data'!$A1:$AE734,7,FALSE)*$Q88*IFERROR((VLOOKUP(P88,Settings!$E$28:$F$33,2,FALSE)+1),1)</f>
        <v>37.895033046592573</v>
      </c>
      <c r="T88" s="41">
        <f>VLOOKUP(B88,'Player Data'!$A1:$AE734,8,FALSE)*$Q88*IFERROR((VLOOKUP(P88,Settings!$E$28:$F$33,2,FALSE)+1),1)</f>
        <v>33.445268783592454</v>
      </c>
      <c r="U88" s="41">
        <f>SUM(S88:T88)</f>
        <v>71.340301830185027</v>
      </c>
      <c r="V88" s="41">
        <f>VLOOKUP(B88,'Player Data'!$A1:$AE734,10,FALSE)*$Q88*IFERROR(((VLOOKUP(P88,Settings!$E$28:$F$33,2,FALSE)/2)+1),1)</f>
        <v>236.45143587620638</v>
      </c>
      <c r="W88" s="41">
        <f>VLOOKUP(B88,'Player Data'!$A1:$AE734,11,FALSE)*$Q88*IFERROR((VLOOKUP(P88,Settings!$E$28:$F$33,2,FALSE)+1),1)</f>
        <v>12.573379529001182</v>
      </c>
      <c r="X88" s="41">
        <f>VLOOKUP(B88,'Player Data'!$A1:$AE734,12,FALSE)*$Q88*IFERROR((VLOOKUP(P88,Settings!$E$28:$F$33,2,FALSE)+1),1)</f>
        <v>22.015506255431436</v>
      </c>
      <c r="Y88" s="41">
        <f>VLOOKUP(B88,'Player Data'!$A1:$AE734,13,FALSE)*$Q88</f>
        <v>2.1690422071810476</v>
      </c>
      <c r="Z88" s="41">
        <f>VLOOKUP(B88,'Player Data'!$A1:$AE734,14,FALSE)*$Q88</f>
        <v>2.9908290840495284</v>
      </c>
      <c r="AA88" s="41">
        <f>VLOOKUP(B88,'Player Data'!$A1:$AE734,15,FALSE)*$Q88</f>
        <v>55.347558292947497</v>
      </c>
      <c r="AB88" s="41">
        <f>VLOOKUP(B88,'Player Data'!$A1:$AE734,16,FALSE)*$Q88</f>
        <v>74.388011118517724</v>
      </c>
      <c r="AC88" s="41">
        <f>VLOOKUP(B88,'Player Data'!$A1:$AE734,17,FALSE)*$Q88*IFERROR((VLOOKUP(P88,Settings!$E$28:$F$33,2,FALSE)+1),1)</f>
        <v>0.34917968971051383</v>
      </c>
      <c r="AD88" s="41">
        <f>VLOOKUP(B88,'Player Data'!$A1:$AE734,18,FALSE)*$Q88</f>
        <v>32.623537123115327</v>
      </c>
      <c r="AE88" s="41">
        <f>VLOOKUP(B88,'Player Data'!$A1:$AE734,19,FALSE)*$Q88*IFERROR((VLOOKUP(P88,Settings!$E$28:$F$33,2,FALSE)+1),1)</f>
        <v>5.8556108904182542</v>
      </c>
      <c r="AF88" s="41">
        <f>VLOOKUP(B88,'Player Data'!$A1:$AE734,20,FALSE)*$Q88</f>
        <v>985.87466254366007</v>
      </c>
      <c r="AG88" s="41">
        <f>VLOOKUP(B88,'Player Data'!$A1:$AE734,21,FALSE)*$Q88</f>
        <v>769.02720802048907</v>
      </c>
      <c r="AH88" s="42">
        <f>VLOOKUP(B88,'Player Data'!$A1:$AE734,22,FALSE)</f>
        <v>0.56178335614100705</v>
      </c>
      <c r="AI88" s="39"/>
      <c r="AJ88" s="43"/>
      <c r="AK88" s="41"/>
      <c r="AL88" s="41"/>
      <c r="AM88" s="41"/>
      <c r="AN88" s="41"/>
      <c r="AO88" s="41"/>
      <c r="AP88" s="41"/>
      <c r="AQ88" s="44"/>
      <c r="AR88" s="45"/>
      <c r="AS88" s="39"/>
    </row>
    <row r="89" spans="1:45" ht="21.25" customHeight="1" x14ac:dyDescent="0.15">
      <c r="A89" s="31">
        <f>RANK(K89,K$2:K$727)</f>
        <v>84</v>
      </c>
      <c r="B89" s="8" t="s">
        <v>193</v>
      </c>
      <c r="C89" s="32" t="s">
        <v>106</v>
      </c>
      <c r="D89" s="33" t="str">
        <f>VLOOKUP(B89,'Player Data'!A1:D734,4,FALSE)</f>
        <v>G</v>
      </c>
      <c r="E89" s="50">
        <f>VLOOKUP(B89,G!A1:D75,3,FALSE)</f>
        <v>11</v>
      </c>
      <c r="F89" s="35" t="str">
        <f>VLOOKUP(B89,'Player Data'!A1:B734,2,FALSE)</f>
        <v>WSH</v>
      </c>
      <c r="G89" s="9">
        <f>VLOOKUP(B89,'Player Data'!A1:D734,3,FALSE)</f>
        <v>33</v>
      </c>
      <c r="H89" s="36">
        <f>IFERROR(VLOOKUP(B89,ADP!A1:G728,7,FALSE)/1000000,VLOOKUP(B89,ADP!A1:G728,7,FALSE))</f>
        <v>5.25</v>
      </c>
      <c r="I89" s="37">
        <f>IF(Settings!$E$15="POINTS",(AJ89*Settings!$B$29)+(AK89*Settings!$B$21)+(AL89*Settings!$B$22)+(AN89*Settings!$B$24)+(AO89*Settings!$B$25)+(AP89*Settings!$B$27)+(AM89*Settings!$B$23),VLOOKUP(B89,'Standard Deviations'!A1:C728,3,FALSE))</f>
        <v>398.7756620893162</v>
      </c>
      <c r="J89" s="38">
        <f>IF(D89="G",I89/AJ89,I89/Q89)</f>
        <v>7.3847344831354853</v>
      </c>
      <c r="K89" s="37">
        <f>VLOOKUP(B89,G!A1:F75,6,FALSE)</f>
        <v>0</v>
      </c>
      <c r="L89" s="37">
        <f>IFERROR(K89/H89,"N/A")</f>
        <v>0</v>
      </c>
      <c r="M89" s="39">
        <f>IF(Settings!$E$9="YAHOO",VLOOKUP(B89,ADP!A1:E728,2,FALSE),IF(Settings!$E$9="ESPN",VLOOKUP(B89,ADP!A1:E728,3,FALSE),IF(Settings!$E$9="FANTRAX",VLOOKUP(B89,ADP!A1:E728,4,FALSE),VLOOKUP(B89,ADP!A1:E728,5,FALSE))))</f>
        <v>100.7</v>
      </c>
      <c r="N89" s="39">
        <f>IFERROR(M89-A89,"N/A")</f>
        <v>16.700000000000003</v>
      </c>
      <c r="O89" s="39"/>
      <c r="P89" s="40" t="str">
        <f>IF(Settings!$E$27="ON",VLOOKUP(B89,ADP!A1:H728,8,FALSE)," ")</f>
        <v>-</v>
      </c>
      <c r="Q89" s="41"/>
      <c r="R89" s="5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2"/>
      <c r="AI89" s="39"/>
      <c r="AJ89" s="43">
        <f>VLOOKUP(B89,'Player Data'!$A1:$AE734,24,FALSE)</f>
        <v>54</v>
      </c>
      <c r="AK89" s="41">
        <f>VLOOKUP(B89,'Player Data'!$A1:$AE734,25,FALSE)*$AJ89*IFERROR((VLOOKUP(P89,Settings!$E$28:$F$33,2,FALSE)+1),1)</f>
        <v>23.855421222189058</v>
      </c>
      <c r="AL89" s="41">
        <f>AJ89-AK89-AM89</f>
        <v>23.394578777810942</v>
      </c>
      <c r="AM89" s="41">
        <f>VLOOKUP(B89,'Player Data'!$A1:$AE734,27,FALSE)*$AJ89</f>
        <v>6.75</v>
      </c>
      <c r="AN89" s="41">
        <f>VLOOKUP(B89,'Player Data'!$A1:$AE734,28,FALSE)*AJ89</f>
        <v>2.9908930422830795</v>
      </c>
      <c r="AO89" s="41">
        <f>VLOOKUP(B89,'Player Data'!$A1:$AE734,29,FALSE)*$AJ89*IFERROR((VLOOKUP(P89,Settings!$E$28:$F$33,2,FALSE)/4)+1,1)</f>
        <v>1567.4063342068666</v>
      </c>
      <c r="AP89" s="41">
        <f>VLOOKUP(B89,'Player Data'!$A1:$AE734,31,FALSE)*$AJ89*(IFERROR(1-(VLOOKUP(P89,Settings!$E$28:$F$33,2,FALSE)/4),1))</f>
        <v>154.15851825508349</v>
      </c>
      <c r="AQ89" s="44">
        <f>1-(AP89/(AO89+AP89))</f>
        <v>0.91045442288472211</v>
      </c>
      <c r="AR89" s="45">
        <f>AP89/AJ89</f>
        <v>2.8547873750941388</v>
      </c>
      <c r="AS89" s="39"/>
    </row>
    <row r="90" spans="1:45" ht="21.25" customHeight="1" x14ac:dyDescent="0.15">
      <c r="A90" s="31">
        <f>RANK(K90,K$2:K$727)</f>
        <v>89</v>
      </c>
      <c r="B90" s="8" t="s">
        <v>194</v>
      </c>
      <c r="C90" s="32" t="s">
        <v>106</v>
      </c>
      <c r="D90" s="33" t="str">
        <f>VLOOKUP(B90,'Player Data'!A1:D734,4,FALSE)</f>
        <v>D</v>
      </c>
      <c r="E90" s="49">
        <f>VLOOKUP(B90,D!A1:C227,3,FALSE)</f>
        <v>19</v>
      </c>
      <c r="F90" s="35" t="str">
        <f>VLOOKUP(B90,'Player Data'!A1:B734,2,FALSE)</f>
        <v>CHI</v>
      </c>
      <c r="G90" s="9">
        <f>VLOOKUP(B90,'Player Data'!A1:D734,3,FALSE)</f>
        <v>28</v>
      </c>
      <c r="H90" s="36">
        <f>IFERROR(VLOOKUP(B90,ADP!A1:G728,7,FALSE)/1000000,VLOOKUP(B90,ADP!A1:G728,7,FALSE))</f>
        <v>9.5</v>
      </c>
      <c r="I90" s="37">
        <f>IF(Settings!$E$15="POINTS",((R90*Q90)*Settings!$B$12)+(S90*Settings!$B$2)+(T90*Settings!$B$3)+(U90*Settings!$B$4)+(V90*Settings!$B$5)+(X90*Settings!$B$9)+(AA90*Settings!$B$6)+(W90*Settings!$B$8)+(AB90*Settings!$B$7)+(AC90*Settings!$B$14)+(AD90*Settings!$B$15)+(AE90*Settings!$B$16)+(AF90*Settings!$B$17)+(AG90*Settings!$B$18)+(U90*Settings!$B$13)+(Y90*Settings!$B$10)+(Z90*Settings!$B$11),VLOOKUP(B90,'Standard Deviations'!A1:C728,3,FALSE))</f>
        <v>310.57565631728943</v>
      </c>
      <c r="J90" s="38">
        <f>IF(D90="G",I90/AJ90,I90/Q90)</f>
        <v>3.8965642847661934</v>
      </c>
      <c r="K90" s="37">
        <f>VLOOKUP(B90,D!A1:F227,6,FALSE)</f>
        <v>-0.98982531063802526</v>
      </c>
      <c r="L90" s="37">
        <f>IFERROR(K90/H90,"N/A")</f>
        <v>-0.1041921379618974</v>
      </c>
      <c r="M90" s="39">
        <f>IF(Settings!$E$9="YAHOO",VLOOKUP(B90,ADP!A1:E728,2,FALSE),IF(Settings!$E$9="ESPN",VLOOKUP(B90,ADP!A1:E728,3,FALSE),IF(Settings!$E$9="FANTRAX",VLOOKUP(B90,ADP!A1:E728,4,FALSE),VLOOKUP(B90,ADP!A1:E728,5,FALSE))))</f>
        <v>112.1</v>
      </c>
      <c r="N90" s="39">
        <f>IFERROR(M90-A90,"N/A")</f>
        <v>23.099999999999994</v>
      </c>
      <c r="O90" s="39"/>
      <c r="P90" s="40" t="str">
        <f>IF(Settings!$E$27="ON",VLOOKUP(B90,ADP!A1:H728,8,FALSE)," ")</f>
        <v>+</v>
      </c>
      <c r="Q90" s="41">
        <f>IF(Settings!$E$12="YES",VLOOKUP(B90,'Player Data'!A1:E734,5,FALSE),82)</f>
        <v>79.704999999999998</v>
      </c>
      <c r="R90" s="39">
        <f>VLOOKUP(B90,'Player Data'!$A1:$AE734,6,FALSE)</f>
        <v>24.778621880504801</v>
      </c>
      <c r="S90" s="41">
        <f>VLOOKUP(B90,'Player Data'!$A1:$AE734,7,FALSE)*$Q90*IFERROR((VLOOKUP(P90,Settings!$E$28:$F$33,2,FALSE)+1),1)</f>
        <v>9.1686469264387043</v>
      </c>
      <c r="T90" s="41">
        <f>VLOOKUP(B90,'Player Data'!$A1:$AE734,8,FALSE)*$Q90*IFERROR((VLOOKUP(P90,Settings!$E$28:$F$33,2,FALSE)+1),1)</f>
        <v>39.126210499355736</v>
      </c>
      <c r="U90" s="41">
        <f>SUM(S90:T90)</f>
        <v>48.29485742579444</v>
      </c>
      <c r="V90" s="41">
        <f>VLOOKUP(B90,'Player Data'!$A1:$AE734,10,FALSE)*$Q90*IFERROR(((VLOOKUP(P90,Settings!$E$28:$F$33,2,FALSE)/2)+1),1)</f>
        <v>199.39468928863107</v>
      </c>
      <c r="W90" s="41">
        <f>VLOOKUP(B90,'Player Data'!$A1:$AE734,11,FALSE)*$Q90*IFERROR((VLOOKUP(P90,Settings!$E$28:$F$33,2,FALSE)+1),1)</f>
        <v>1.9086166038230106</v>
      </c>
      <c r="X90" s="41">
        <f>VLOOKUP(B90,'Player Data'!$A1:$AE734,12,FALSE)*$Q90*IFERROR((VLOOKUP(P90,Settings!$E$28:$F$33,2,FALSE)+1),1)</f>
        <v>17.858488793491404</v>
      </c>
      <c r="Y90" s="41">
        <f>VLOOKUP(B90,'Player Data'!$A1:$AE734,13,FALSE)*$Q90</f>
        <v>2.6732477714959499E-2</v>
      </c>
      <c r="Z90" s="41">
        <f>VLOOKUP(B90,'Player Data'!$A1:$AE734,14,FALSE)*$Q90</f>
        <v>0.98123733866364027</v>
      </c>
      <c r="AA90" s="41">
        <f>VLOOKUP(B90,'Player Data'!$A1:$AE734,15,FALSE)*$Q90</f>
        <v>141.57143565640249</v>
      </c>
      <c r="AB90" s="41">
        <f>VLOOKUP(B90,'Player Data'!$A1:$AE734,16,FALSE)*$Q90</f>
        <v>108.70227937644114</v>
      </c>
      <c r="AC90" s="41">
        <f>VLOOKUP(B90,'Player Data'!$A1:$AE734,17,FALSE)*$Q90*IFERROR((VLOOKUP(P90,Settings!$E$28:$F$33,2,FALSE)+1),1)</f>
        <v>-9.1478886858667909</v>
      </c>
      <c r="AD90" s="41">
        <f>VLOOKUP(B90,'Player Data'!$A1:$AE734,18,FALSE)*$Q90</f>
        <v>33.974175884642158</v>
      </c>
      <c r="AE90" s="41">
        <f>VLOOKUP(B90,'Player Data'!$A1:$AE734,19,FALSE)*$Q90*IFERROR((VLOOKUP(P90,Settings!$E$28:$F$33,2,FALSE)+1),1)</f>
        <v>1.0743962761399113</v>
      </c>
      <c r="AF90" s="41">
        <f>VLOOKUP(B90,'Player Data'!$A1:$AE734,20,FALSE)*$Q90</f>
        <v>0</v>
      </c>
      <c r="AG90" s="41">
        <f>VLOOKUP(B90,'Player Data'!$A1:$AE734,21,FALSE)*$Q90</f>
        <v>0</v>
      </c>
      <c r="AH90" s="42">
        <f>VLOOKUP(B90,'Player Data'!$A1:$AE734,22,FALSE)</f>
        <v>0</v>
      </c>
      <c r="AI90" s="39"/>
      <c r="AJ90" s="43"/>
      <c r="AK90" s="41"/>
      <c r="AL90" s="41"/>
      <c r="AM90" s="41"/>
      <c r="AN90" s="41"/>
      <c r="AO90" s="41"/>
      <c r="AP90" s="41"/>
      <c r="AQ90" s="44"/>
      <c r="AR90" s="45"/>
      <c r="AS90" s="39"/>
    </row>
    <row r="91" spans="1:45" ht="21.25" customHeight="1" x14ac:dyDescent="0.15">
      <c r="A91" s="31">
        <f>RANK(K91,K$2:K$727)</f>
        <v>90</v>
      </c>
      <c r="B91" s="8" t="s">
        <v>195</v>
      </c>
      <c r="C91" s="32" t="s">
        <v>106</v>
      </c>
      <c r="D91" s="33" t="str">
        <f>VLOOKUP(B91,'Player Data'!A1:D734,4,FALSE)</f>
        <v>C</v>
      </c>
      <c r="E91" s="34">
        <f>VLOOKUP(B91,'C'!A1:C211,3,FALSE)</f>
        <v>23</v>
      </c>
      <c r="F91" s="35" t="str">
        <f>VLOOKUP(B91,'Player Data'!A1:B734,2,FALSE)</f>
        <v>VGK</v>
      </c>
      <c r="G91" s="9">
        <f>VLOOKUP(B91,'Player Data'!A1:D734,3,FALSE)</f>
        <v>26</v>
      </c>
      <c r="H91" s="36">
        <f>IFERROR(VLOOKUP(B91,ADP!A1:G728,7,FALSE)/1000000,VLOOKUP(B91,ADP!A1:G728,7,FALSE))</f>
        <v>10</v>
      </c>
      <c r="I91" s="37">
        <f>IF(Settings!$E$15="POINTS",((R91*Q91)*Settings!$B$12)+(S91*Settings!$B$2)+(T91*Settings!$B$3)+(U91*Settings!$B$4)+(V91*Settings!$B$5)+(X91*Settings!$B$9)+(AA91*Settings!$B$6)+(W91*Settings!$B$8)+(AB91*Settings!$B$7)+(AC91*Settings!$B$14)+(AD91*Settings!$B$15)+(AE91*Settings!$B$16)+(AF91*Settings!$B$17)+(AG91*Settings!$B$18)+(Y91*Settings!$B$10)+(Z91*Settings!$B$11),VLOOKUP(B91,'Standard Deviations'!A1:C728,3,FALSE))</f>
        <v>391.32381749292205</v>
      </c>
      <c r="J91" s="38">
        <f>IF(D91="G",I91/AJ91,I91/Q91)</f>
        <v>5.4027863798553364</v>
      </c>
      <c r="K91" s="37">
        <f>IF(Settings!$E$18="C/LW/RW",VLOOKUP(B91,'C'!A1:F211,6,FALSE),VLOOKUP(B91,F!A1:F430,6,FALSE))</f>
        <v>-2.0049882732876085</v>
      </c>
      <c r="L91" s="37">
        <f>IFERROR(K91/H91,"N/A")</f>
        <v>-0.20049882732876084</v>
      </c>
      <c r="M91" s="39">
        <f>IF(Settings!$E$9="YAHOO",VLOOKUP(B91,ADP!A1:E728,2,FALSE),IF(Settings!$E$9="ESPN",VLOOKUP(B91,ADP!A1:E728,3,FALSE),IF(Settings!$E$9="FANTRAX",VLOOKUP(B91,ADP!A1:E728,4,FALSE),VLOOKUP(B91,ADP!A1:E728,5,FALSE))))</f>
        <v>61.5</v>
      </c>
      <c r="N91" s="39">
        <f>IFERROR(M91-A91,"N/A")</f>
        <v>-28.5</v>
      </c>
      <c r="O91" s="39"/>
      <c r="P91" s="40" t="str">
        <f>IF(Settings!$E$27="ON",VLOOKUP(B91,ADP!A1:H728,8,FALSE)," ")</f>
        <v>+</v>
      </c>
      <c r="Q91" s="41">
        <f>IF(Settings!$E$12="YES",VLOOKUP(B91,'Player Data'!A1:E734,5,FALSE),82)</f>
        <v>72.430000000000007</v>
      </c>
      <c r="R91" s="39">
        <f>VLOOKUP(B91,'Player Data'!$A1:$AE734,6,FALSE)</f>
        <v>19.265506524987501</v>
      </c>
      <c r="S91" s="41">
        <f>VLOOKUP(B91,'Player Data'!$A1:$AE734,7,FALSE)*$Q91*IFERROR((VLOOKUP(P91,Settings!$E$28:$F$33,2,FALSE)+1),1)</f>
        <v>29.059349225405185</v>
      </c>
      <c r="T91" s="41">
        <f>VLOOKUP(B91,'Player Data'!$A1:$AE734,8,FALSE)*$Q91*IFERROR((VLOOKUP(P91,Settings!$E$28:$F$33,2,FALSE)+1),1)</f>
        <v>42.366677575413398</v>
      </c>
      <c r="U91" s="41">
        <f>SUM(S91:T91)</f>
        <v>71.42602680081859</v>
      </c>
      <c r="V91" s="41">
        <f>VLOOKUP(B91,'Player Data'!$A1:$AE734,10,FALSE)*$Q91*IFERROR(((VLOOKUP(P91,Settings!$E$28:$F$33,2,FALSE)/2)+1),1)</f>
        <v>250.10992400576453</v>
      </c>
      <c r="W91" s="41">
        <f>VLOOKUP(B91,'Player Data'!$A1:$AE734,11,FALSE)*$Q91*IFERROR((VLOOKUP(P91,Settings!$E$28:$F$33,2,FALSE)+1),1)</f>
        <v>4.4794249438453484</v>
      </c>
      <c r="X91" s="41">
        <f>VLOOKUP(B91,'Player Data'!$A1:$AE734,12,FALSE)*$Q91*IFERROR((VLOOKUP(P91,Settings!$E$28:$F$33,2,FALSE)+1),1)</f>
        <v>19.80516342925657</v>
      </c>
      <c r="Y91" s="41">
        <f>VLOOKUP(B91,'Player Data'!$A1:$AE734,13,FALSE)*$Q91</f>
        <v>0.1355342383411817</v>
      </c>
      <c r="Z91" s="41">
        <f>VLOOKUP(B91,'Player Data'!$A1:$AE734,14,FALSE)*$Q91</f>
        <v>0.24741291580525882</v>
      </c>
      <c r="AA91" s="41">
        <f>VLOOKUP(B91,'Player Data'!$A1:$AE734,15,FALSE)*$Q91</f>
        <v>59.428111987302096</v>
      </c>
      <c r="AB91" s="41">
        <f>VLOOKUP(B91,'Player Data'!$A1:$AE734,16,FALSE)*$Q91</f>
        <v>69.718347828018366</v>
      </c>
      <c r="AC91" s="41">
        <f>VLOOKUP(B91,'Player Data'!$A1:$AE734,17,FALSE)*$Q91*IFERROR((VLOOKUP(P91,Settings!$E$28:$F$33,2,FALSE)+1),1)</f>
        <v>6.2300001208795432</v>
      </c>
      <c r="AD91" s="41">
        <f>VLOOKUP(B91,'Player Data'!$A1:$AE734,18,FALSE)*$Q91</f>
        <v>16.899294658809993</v>
      </c>
      <c r="AE91" s="41">
        <f>VLOOKUP(B91,'Player Data'!$A1:$AE734,19,FALSE)*$Q91*IFERROR((VLOOKUP(P91,Settings!$E$28:$F$33,2,FALSE)+1),1)</f>
        <v>4.7490905407400001</v>
      </c>
      <c r="AF91" s="41">
        <f>VLOOKUP(B91,'Player Data'!$A1:$AE734,20,FALSE)*$Q91</f>
        <v>418.49644233445247</v>
      </c>
      <c r="AG91" s="41">
        <f>VLOOKUP(B91,'Player Data'!$A1:$AE734,21,FALSE)*$Q91</f>
        <v>477.77776468133203</v>
      </c>
      <c r="AH91" s="42">
        <f>VLOOKUP(B91,'Player Data'!$A1:$AE734,22,FALSE)</f>
        <v>0.46692902580324103</v>
      </c>
      <c r="AI91" s="39"/>
      <c r="AJ91" s="41"/>
      <c r="AK91" s="41"/>
      <c r="AL91" s="41"/>
      <c r="AM91" s="41"/>
      <c r="AN91" s="41"/>
      <c r="AO91" s="41"/>
      <c r="AP91" s="41"/>
      <c r="AQ91" s="44"/>
      <c r="AR91" s="45"/>
      <c r="AS91" s="39"/>
    </row>
    <row r="92" spans="1:45" ht="21.25" customHeight="1" x14ac:dyDescent="0.15">
      <c r="A92" s="31">
        <f>RANK(K92,K$2:K$727)</f>
        <v>91</v>
      </c>
      <c r="B92" s="8" t="s">
        <v>196</v>
      </c>
      <c r="C92" s="32" t="s">
        <v>106</v>
      </c>
      <c r="D92" s="33" t="str">
        <f>VLOOKUP(B92,'Player Data'!A1:D734,4,FALSE)</f>
        <v>G</v>
      </c>
      <c r="E92" s="50">
        <f>VLOOKUP(B92,G!A1:D75,3,FALSE)</f>
        <v>12</v>
      </c>
      <c r="F92" s="35" t="str">
        <f>VLOOKUP(B92,'Player Data'!A1:B734,2,FALSE)</f>
        <v>ANA</v>
      </c>
      <c r="G92" s="9">
        <f>VLOOKUP(B92,'Player Data'!A1:D734,3,FALSE)</f>
        <v>30</v>
      </c>
      <c r="H92" s="36">
        <f>IFERROR(VLOOKUP(B92,ADP!A1:G728,7,FALSE)/1000000,VLOOKUP(B92,ADP!A1:G728,7,FALSE))</f>
        <v>6.4</v>
      </c>
      <c r="I92" s="37">
        <f>IF(Settings!$E$15="POINTS",(AJ92*Settings!$B$29)+(AK92*Settings!$B$21)+(AL92*Settings!$B$22)+(AN92*Settings!$B$24)+(AO92*Settings!$B$25)+(AP92*Settings!$B$27)+(AM92*Settings!$B$23),VLOOKUP(B92,'Standard Deviations'!A1:C728,3,FALSE))</f>
        <v>395.87576573777699</v>
      </c>
      <c r="J92" s="38">
        <f>IF(D92="G",I92/AJ92,I92/Q92)</f>
        <v>7.1977411952323092</v>
      </c>
      <c r="K92" s="37">
        <f>VLOOKUP(B92,G!A1:F75,6,FALSE)</f>
        <v>-2.899896351539212</v>
      </c>
      <c r="L92" s="37">
        <f>IFERROR(K92/H92,"N/A")</f>
        <v>-0.45310880492800187</v>
      </c>
      <c r="M92" s="39">
        <f>IF(Settings!$E$9="YAHOO",VLOOKUP(B92,ADP!A1:E728,2,FALSE),IF(Settings!$E$9="ESPN",VLOOKUP(B92,ADP!A1:E728,3,FALSE),IF(Settings!$E$9="FANTRAX",VLOOKUP(B92,ADP!A1:E728,4,FALSE),VLOOKUP(B92,ADP!A1:E728,5,FALSE))))</f>
        <v>182.4</v>
      </c>
      <c r="N92" s="39">
        <f>IFERROR(M92-A92,"N/A")</f>
        <v>91.4</v>
      </c>
      <c r="O92" s="39"/>
      <c r="P92" s="40" t="str">
        <f>IF(Settings!$E$27="ON",VLOOKUP(B92,ADP!A1:H728,8,FALSE)," ")</f>
        <v xml:space="preserve"> </v>
      </c>
      <c r="Q92" s="41"/>
      <c r="R92" s="5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2"/>
      <c r="AI92" s="39"/>
      <c r="AJ92" s="43">
        <f>VLOOKUP(B92,'Player Data'!$A1:$AE734,24,FALSE)</f>
        <v>55</v>
      </c>
      <c r="AK92" s="41">
        <f>VLOOKUP(B92,'Player Data'!$A1:$AE734,25,FALSE)*$AJ92*IFERROR((VLOOKUP(P92,Settings!$E$28:$F$33,2,FALSE)+1),1)</f>
        <v>19.032494961853669</v>
      </c>
      <c r="AL92" s="41">
        <f>AJ92-AK92-AM92</f>
        <v>29.092505038146328</v>
      </c>
      <c r="AM92" s="41">
        <f>VLOOKUP(B92,'Player Data'!$A1:$AE734,27,FALSE)*$AJ92</f>
        <v>6.875</v>
      </c>
      <c r="AN92" s="41">
        <f>VLOOKUP(B92,'Player Data'!$A1:$AE734,28,FALSE)*AJ92</f>
        <v>1.7107077627033955</v>
      </c>
      <c r="AO92" s="41">
        <f>VLOOKUP(B92,'Player Data'!$A1:$AE734,29,FALSE)*$AJ92*IFERROR((VLOOKUP(P92,Settings!$E$28:$F$33,2,FALSE)/4)+1,1)</f>
        <v>1706.0508173523044</v>
      </c>
      <c r="AP92" s="41">
        <f>VLOOKUP(B92,'Player Data'!$A1:$AE734,31,FALSE)*$AJ92*(IFERROR(1-(VLOOKUP(P92,Settings!$E$28:$F$33,2,FALSE)/4),1))</f>
        <v>172.5561811164477</v>
      </c>
      <c r="AQ92" s="44">
        <f>1-(AP92/(AO92+AP92))</f>
        <v>0.90814673784506406</v>
      </c>
      <c r="AR92" s="45">
        <f>AP92/AJ92</f>
        <v>3.1373851112081401</v>
      </c>
      <c r="AS92" s="39"/>
    </row>
    <row r="93" spans="1:45" ht="21.25" customHeight="1" x14ac:dyDescent="0.15">
      <c r="A93" s="31">
        <f>RANK(K93,K$2:K$727)</f>
        <v>92</v>
      </c>
      <c r="B93" s="8" t="s">
        <v>197</v>
      </c>
      <c r="C93" s="32" t="s">
        <v>106</v>
      </c>
      <c r="D93" s="33" t="str">
        <f>VLOOKUP(B93,'Player Data'!A1:D734,4,FALSE)</f>
        <v>D</v>
      </c>
      <c r="E93" s="49">
        <f>VLOOKUP(B93,D!A1:C227,3,FALSE)</f>
        <v>20</v>
      </c>
      <c r="F93" s="35" t="str">
        <f>VLOOKUP(B93,'Player Data'!A1:B734,2,FALSE)</f>
        <v>VGK</v>
      </c>
      <c r="G93" s="9">
        <f>VLOOKUP(B93,'Player Data'!A1:D734,3,FALSE)</f>
        <v>28</v>
      </c>
      <c r="H93" s="36">
        <f>IFERROR(VLOOKUP(B93,ADP!A1:G728,7,FALSE)/1000000,VLOOKUP(B93,ADP!A1:G728,7,FALSE))</f>
        <v>5.2</v>
      </c>
      <c r="I93" s="37">
        <f>IF(Settings!$E$15="POINTS",((R93*Q93)*Settings!$B$12)+(S93*Settings!$B$2)+(T93*Settings!$B$3)+(U93*Settings!$B$4)+(V93*Settings!$B$5)+(X93*Settings!$B$9)+(AA93*Settings!$B$6)+(W93*Settings!$B$8)+(AB93*Settings!$B$7)+(AC93*Settings!$B$14)+(AD93*Settings!$B$15)+(AE93*Settings!$B$16)+(AF93*Settings!$B$17)+(AG93*Settings!$B$18)+(U93*Settings!$B$13)+(Y93*Settings!$B$10)+(Z93*Settings!$B$11),VLOOKUP(B93,'Standard Deviations'!A1:C728,3,FALSE))</f>
        <v>307.34699116689205</v>
      </c>
      <c r="J93" s="38">
        <f>IF(D93="G",I93/AJ93,I93/Q93)</f>
        <v>4.0308746118986285</v>
      </c>
      <c r="K93" s="37">
        <f>VLOOKUP(B93,D!A1:F227,6,FALSE)</f>
        <v>-4.218490461035401</v>
      </c>
      <c r="L93" s="37">
        <f>IFERROR(K93/H93,"N/A")</f>
        <v>-0.81124816558373092</v>
      </c>
      <c r="M93" s="39">
        <f>IF(Settings!$E$9="YAHOO",VLOOKUP(B93,ADP!A1:E728,2,FALSE),IF(Settings!$E$9="ESPN",VLOOKUP(B93,ADP!A1:E728,3,FALSE),IF(Settings!$E$9="FANTRAX",VLOOKUP(B93,ADP!A1:E728,4,FALSE),VLOOKUP(B93,ADP!A1:E728,5,FALSE))))</f>
        <v>143.80000000000001</v>
      </c>
      <c r="N93" s="39">
        <f>IFERROR(M93-A93,"N/A")</f>
        <v>51.800000000000011</v>
      </c>
      <c r="O93" s="39"/>
      <c r="P93" s="40" t="str">
        <f>IF(Settings!$E$27="ON",VLOOKUP(B93,ADP!A1:H728,8,FALSE)," ")</f>
        <v xml:space="preserve"> </v>
      </c>
      <c r="Q93" s="41">
        <f>IF(Settings!$E$12="YES",VLOOKUP(B93,'Player Data'!A1:E734,5,FALSE),82)</f>
        <v>76.248214285714297</v>
      </c>
      <c r="R93" s="39">
        <f>VLOOKUP(B93,'Player Data'!$A1:$AE734,6,FALSE)</f>
        <v>21.820197713934299</v>
      </c>
      <c r="S93" s="41">
        <f>VLOOKUP(B93,'Player Data'!$A1:$AE734,7,FALSE)*$Q93*IFERROR((VLOOKUP(P93,Settings!$E$28:$F$33,2,FALSE)+1),1)</f>
        <v>11.689637321071976</v>
      </c>
      <c r="T93" s="41">
        <f>VLOOKUP(B93,'Player Data'!$A1:$AE734,8,FALSE)*$Q93*IFERROR((VLOOKUP(P93,Settings!$E$28:$F$33,2,FALSE)+1),1)</f>
        <v>41.52716947083961</v>
      </c>
      <c r="U93" s="41">
        <f>SUM(S93:T93)</f>
        <v>53.216806791911587</v>
      </c>
      <c r="V93" s="41">
        <f>VLOOKUP(B93,'Player Data'!$A1:$AE734,10,FALSE)*$Q93*IFERROR(((VLOOKUP(P93,Settings!$E$28:$F$33,2,FALSE)/2)+1),1)</f>
        <v>192.25939270896217</v>
      </c>
      <c r="W93" s="41">
        <f>VLOOKUP(B93,'Player Data'!$A1:$AE734,11,FALSE)*$Q93*IFERROR((VLOOKUP(P93,Settings!$E$28:$F$33,2,FALSE)+1),1)</f>
        <v>1.7170917254923153</v>
      </c>
      <c r="X93" s="41">
        <f>VLOOKUP(B93,'Player Data'!$A1:$AE734,12,FALSE)*$Q93*IFERROR((VLOOKUP(P93,Settings!$E$28:$F$33,2,FALSE)+1),1)</f>
        <v>15.353642941779764</v>
      </c>
      <c r="Y93" s="41">
        <f>VLOOKUP(B93,'Player Data'!$A1:$AE734,13,FALSE)*$Q93</f>
        <v>2.6871565121613971E-3</v>
      </c>
      <c r="Z93" s="41">
        <f>VLOOKUP(B93,'Player Data'!$A1:$AE734,14,FALSE)*$Q93</f>
        <v>9.9863934861828055E-3</v>
      </c>
      <c r="AA93" s="41">
        <f>VLOOKUP(B93,'Player Data'!$A1:$AE734,15,FALSE)*$Q93</f>
        <v>104.1980788307216</v>
      </c>
      <c r="AB93" s="41">
        <f>VLOOKUP(B93,'Player Data'!$A1:$AE734,16,FALSE)*$Q93</f>
        <v>38.460009379723651</v>
      </c>
      <c r="AC93" s="41">
        <f>VLOOKUP(B93,'Player Data'!$A1:$AE734,17,FALSE)*$Q93*IFERROR((VLOOKUP(P93,Settings!$E$28:$F$33,2,FALSE)+1),1)</f>
        <v>6.9543787834106929</v>
      </c>
      <c r="AD93" s="41">
        <f>VLOOKUP(B93,'Player Data'!$A1:$AE734,18,FALSE)*$Q93</f>
        <v>26.52545882867987</v>
      </c>
      <c r="AE93" s="41">
        <f>VLOOKUP(B93,'Player Data'!$A1:$AE734,19,FALSE)*$Q93*IFERROR((VLOOKUP(P93,Settings!$E$28:$F$33,2,FALSE)+1),1)</f>
        <v>1.9104056871875885</v>
      </c>
      <c r="AF93" s="41">
        <f>VLOOKUP(B93,'Player Data'!$A1:$AE734,20,FALSE)*$Q93</f>
        <v>0</v>
      </c>
      <c r="AG93" s="41">
        <f>VLOOKUP(B93,'Player Data'!$A1:$AE734,21,FALSE)*$Q93</f>
        <v>0</v>
      </c>
      <c r="AH93" s="42">
        <f>VLOOKUP(B93,'Player Data'!$A1:$AE734,22,FALSE)</f>
        <v>0</v>
      </c>
      <c r="AI93" s="39"/>
      <c r="AJ93" s="43"/>
      <c r="AK93" s="41"/>
      <c r="AL93" s="41"/>
      <c r="AM93" s="41"/>
      <c r="AN93" s="41"/>
      <c r="AO93" s="41"/>
      <c r="AP93" s="41"/>
      <c r="AQ93" s="44"/>
      <c r="AR93" s="45"/>
      <c r="AS93" s="39"/>
    </row>
    <row r="94" spans="1:45" ht="21.25" customHeight="1" x14ac:dyDescent="0.15">
      <c r="A94" s="31">
        <f>RANK(K94,K$2:K$727)</f>
        <v>93</v>
      </c>
      <c r="B94" s="8" t="s">
        <v>198</v>
      </c>
      <c r="C94" s="32" t="s">
        <v>106</v>
      </c>
      <c r="D94" s="33" t="str">
        <f>VLOOKUP(B94,'Player Data'!A1:D734,4,FALSE)</f>
        <v>D</v>
      </c>
      <c r="E94" s="49">
        <f>VLOOKUP(B94,D!A1:C227,3,FALSE)</f>
        <v>21</v>
      </c>
      <c r="F94" s="35" t="str">
        <f>VLOOKUP(B94,'Player Data'!A1:B734,2,FALSE)</f>
        <v>CBJ</v>
      </c>
      <c r="G94" s="9">
        <f>VLOOKUP(B94,'Player Data'!A1:D734,3,FALSE)</f>
        <v>26</v>
      </c>
      <c r="H94" s="36">
        <f>IFERROR(VLOOKUP(B94,ADP!A1:G728,7,FALSE)/1000000,VLOOKUP(B94,ADP!A1:G728,7,FALSE))</f>
        <v>9.5833300000000001</v>
      </c>
      <c r="I94" s="37">
        <f>IF(Settings!$E$15="POINTS",((R94*Q94)*Settings!$B$12)+(S94*Settings!$B$2)+(T94*Settings!$B$3)+(U94*Settings!$B$4)+(V94*Settings!$B$5)+(X94*Settings!$B$9)+(AA94*Settings!$B$6)+(W94*Settings!$B$8)+(AB94*Settings!$B$7)+(AC94*Settings!$B$14)+(AD94*Settings!$B$15)+(AE94*Settings!$B$16)+(AF94*Settings!$B$17)+(AG94*Settings!$B$18)+(U94*Settings!$B$13)+(Y94*Settings!$B$10)+(Z94*Settings!$B$11),VLOOKUP(B94,'Standard Deviations'!A1:C728,3,FALSE))</f>
        <v>306.51589338994074</v>
      </c>
      <c r="J94" s="38">
        <f>IF(D94="G",I94/AJ94,I94/Q94)</f>
        <v>4.2348147746606903</v>
      </c>
      <c r="K94" s="37">
        <f>VLOOKUP(B94,D!A1:F227,6,FALSE)</f>
        <v>-5.0495882379867112</v>
      </c>
      <c r="L94" s="37">
        <f>IFERROR(K94/H94,"N/A")</f>
        <v>-0.52691373854252244</v>
      </c>
      <c r="M94" s="39">
        <f>IF(Settings!$E$9="YAHOO",VLOOKUP(B94,ADP!A1:E728,2,FALSE),IF(Settings!$E$9="ESPN",VLOOKUP(B94,ADP!A1:E728,3,FALSE),IF(Settings!$E$9="FANTRAX",VLOOKUP(B94,ADP!A1:E728,4,FALSE),VLOOKUP(B94,ADP!A1:E728,5,FALSE))))</f>
        <v>155.19999999999999</v>
      </c>
      <c r="N94" s="39">
        <f>IFERROR(M94-A94,"N/A")</f>
        <v>62.199999999999989</v>
      </c>
      <c r="O94" s="39"/>
      <c r="P94" s="40" t="str">
        <f>IF(Settings!$E$27="ON",VLOOKUP(B94,ADP!A1:H728,8,FALSE)," ")</f>
        <v>+</v>
      </c>
      <c r="Q94" s="41">
        <f>IF(Settings!$E$12="YES",VLOOKUP(B94,'Player Data'!A1:E734,5,FALSE),82)</f>
        <v>72.38</v>
      </c>
      <c r="R94" s="39">
        <f>VLOOKUP(B94,'Player Data'!$A1:$AE734,6,FALSE)</f>
        <v>23.705320885905302</v>
      </c>
      <c r="S94" s="41">
        <f>VLOOKUP(B94,'Player Data'!$A1:$AE734,7,FALSE)*$Q94*IFERROR((VLOOKUP(P94,Settings!$E$28:$F$33,2,FALSE)+1),1)</f>
        <v>12.669877611053973</v>
      </c>
      <c r="T94" s="41">
        <f>VLOOKUP(B94,'Player Data'!$A1:$AE734,8,FALSE)*$Q94*IFERROR((VLOOKUP(P94,Settings!$E$28:$F$33,2,FALSE)+1),1)</f>
        <v>37.721598631733492</v>
      </c>
      <c r="U94" s="41">
        <f>SUM(S94:T94)</f>
        <v>50.391476242787462</v>
      </c>
      <c r="V94" s="41">
        <f>VLOOKUP(B94,'Player Data'!$A1:$AE734,10,FALSE)*$Q94*IFERROR(((VLOOKUP(P94,Settings!$E$28:$F$33,2,FALSE)/2)+1),1)</f>
        <v>204.96176199944927</v>
      </c>
      <c r="W94" s="41">
        <f>VLOOKUP(B94,'Player Data'!$A1:$AE734,11,FALSE)*$Q94*IFERROR((VLOOKUP(P94,Settings!$E$28:$F$33,2,FALSE)+1),1)</f>
        <v>3.0040509439705274</v>
      </c>
      <c r="X94" s="41">
        <f>VLOOKUP(B94,'Player Data'!$A1:$AE734,12,FALSE)*$Q94*IFERROR((VLOOKUP(P94,Settings!$E$28:$F$33,2,FALSE)+1),1)</f>
        <v>15.775169512510018</v>
      </c>
      <c r="Y94" s="41">
        <f>VLOOKUP(B94,'Player Data'!$A1:$AE734,13,FALSE)*$Q94</f>
        <v>2.9265630642248897E-2</v>
      </c>
      <c r="Z94" s="41">
        <f>VLOOKUP(B94,'Player Data'!$A1:$AE734,14,FALSE)*$Q94</f>
        <v>0.36414777275500293</v>
      </c>
      <c r="AA94" s="41">
        <f>VLOOKUP(B94,'Player Data'!$A1:$AE734,15,FALSE)*$Q94</f>
        <v>102.9097454566183</v>
      </c>
      <c r="AB94" s="41">
        <f>VLOOKUP(B94,'Player Data'!$A1:$AE734,16,FALSE)*$Q94</f>
        <v>52.616351465948362</v>
      </c>
      <c r="AC94" s="41">
        <f>VLOOKUP(B94,'Player Data'!$A1:$AE734,17,FALSE)*$Q94*IFERROR((VLOOKUP(P94,Settings!$E$28:$F$33,2,FALSE)+1),1)</f>
        <v>-5.2829545298821019</v>
      </c>
      <c r="AD94" s="41">
        <f>VLOOKUP(B94,'Player Data'!$A1:$AE734,18,FALSE)*$Q94</f>
        <v>24.569500043493381</v>
      </c>
      <c r="AE94" s="41">
        <f>VLOOKUP(B94,'Player Data'!$A1:$AE734,19,FALSE)*$Q94*IFERROR((VLOOKUP(P94,Settings!$E$28:$F$33,2,FALSE)+1),1)</f>
        <v>1.3576646205044283</v>
      </c>
      <c r="AF94" s="41">
        <f>VLOOKUP(B94,'Player Data'!$A1:$AE734,20,FALSE)*$Q94</f>
        <v>0</v>
      </c>
      <c r="AG94" s="41">
        <f>VLOOKUP(B94,'Player Data'!$A1:$AE734,21,FALSE)*$Q94</f>
        <v>0</v>
      </c>
      <c r="AH94" s="42">
        <f>VLOOKUP(B94,'Player Data'!$A1:$AE734,22,FALSE)</f>
        <v>0</v>
      </c>
      <c r="AI94" s="39"/>
      <c r="AJ94" s="43"/>
      <c r="AK94" s="41"/>
      <c r="AL94" s="41"/>
      <c r="AM94" s="41"/>
      <c r="AN94" s="41"/>
      <c r="AO94" s="41"/>
      <c r="AP94" s="41"/>
      <c r="AQ94" s="44"/>
      <c r="AR94" s="45"/>
      <c r="AS94" s="39"/>
    </row>
    <row r="95" spans="1:45" ht="21.25" customHeight="1" x14ac:dyDescent="0.15">
      <c r="A95" s="31">
        <f>RANK(K95,K$2:K$727)</f>
        <v>94</v>
      </c>
      <c r="B95" s="8" t="s">
        <v>199</v>
      </c>
      <c r="C95" s="32" t="s">
        <v>106</v>
      </c>
      <c r="D95" s="33" t="str">
        <f>VLOOKUP(B95,'Player Data'!A1:D734,4,FALSE)</f>
        <v>D</v>
      </c>
      <c r="E95" s="49">
        <f>VLOOKUP(B95,D!A1:C227,3,FALSE)</f>
        <v>22</v>
      </c>
      <c r="F95" s="35" t="str">
        <f>VLOOKUP(B95,'Player Data'!A1:B734,2,FALSE)</f>
        <v>CGY</v>
      </c>
      <c r="G95" s="9">
        <f>VLOOKUP(B95,'Player Data'!A1:D734,3,FALSE)</f>
        <v>26</v>
      </c>
      <c r="H95" s="36">
        <f>IFERROR(VLOOKUP(B95,ADP!A1:G728,7,FALSE)/1000000,VLOOKUP(B95,ADP!A1:G728,7,FALSE))</f>
        <v>4.55</v>
      </c>
      <c r="I95" s="37">
        <f>IF(Settings!$E$15="POINTS",((R95*Q95)*Settings!$B$12)+(S95*Settings!$B$2)+(T95*Settings!$B$3)+(U95*Settings!$B$4)+(V95*Settings!$B$5)+(X95*Settings!$B$9)+(AA95*Settings!$B$6)+(W95*Settings!$B$8)+(AB95*Settings!$B$7)+(AC95*Settings!$B$14)+(AD95*Settings!$B$15)+(AE95*Settings!$B$16)+(AF95*Settings!$B$17)+(AG95*Settings!$B$18)+(U95*Settings!$B$13)+(Y95*Settings!$B$10)+(Z95*Settings!$B$11),VLOOKUP(B95,'Standard Deviations'!A1:C728,3,FALSE))</f>
        <v>304.65739229805763</v>
      </c>
      <c r="J95" s="38">
        <f>IF(D95="G",I95/AJ95,I95/Q95)</f>
        <v>3.770512280916555</v>
      </c>
      <c r="K95" s="37">
        <f>VLOOKUP(B95,D!A1:F227,6,FALSE)</f>
        <v>-6.9080893298698243</v>
      </c>
      <c r="L95" s="37">
        <f>IFERROR(K95/H95,"N/A")</f>
        <v>-1.5182613911801812</v>
      </c>
      <c r="M95" s="39">
        <f>IF(Settings!$E$9="YAHOO",VLOOKUP(B95,ADP!A1:E728,2,FALSE),IF(Settings!$E$9="ESPN",VLOOKUP(B95,ADP!A1:E728,3,FALSE),IF(Settings!$E$9="FANTRAX",VLOOKUP(B95,ADP!A1:E728,4,FALSE),VLOOKUP(B95,ADP!A1:E728,5,FALSE))))</f>
        <v>127.9</v>
      </c>
      <c r="N95" s="39">
        <f>IFERROR(M95-A95,"N/A")</f>
        <v>33.900000000000006</v>
      </c>
      <c r="O95" s="39"/>
      <c r="P95" s="40" t="str">
        <f>IF(Settings!$E$27="ON",VLOOKUP(B95,ADP!A1:H728,8,FALSE)," ")</f>
        <v xml:space="preserve"> </v>
      </c>
      <c r="Q95" s="41">
        <f>IF(Settings!$E$12="YES",VLOOKUP(B95,'Player Data'!A1:E734,5,FALSE),82)</f>
        <v>80.8</v>
      </c>
      <c r="R95" s="39">
        <f>VLOOKUP(B95,'Player Data'!$A1:$AE734,6,FALSE)</f>
        <v>24.048825563445501</v>
      </c>
      <c r="S95" s="41">
        <f>VLOOKUP(B95,'Player Data'!$A1:$AE734,7,FALSE)*$Q95*IFERROR((VLOOKUP(P95,Settings!$E$28:$F$33,2,FALSE)+1),1)</f>
        <v>8.3422947055698291</v>
      </c>
      <c r="T95" s="41">
        <f>VLOOKUP(B95,'Player Data'!$A1:$AE734,8,FALSE)*$Q95*IFERROR((VLOOKUP(P95,Settings!$E$28:$F$33,2,FALSE)+1),1)</f>
        <v>42.244712599270656</v>
      </c>
      <c r="U95" s="41">
        <f>SUM(S95:T95)</f>
        <v>50.587007304840483</v>
      </c>
      <c r="V95" s="41">
        <f>VLOOKUP(B95,'Player Data'!$A1:$AE734,10,FALSE)*$Q95*IFERROR(((VLOOKUP(P95,Settings!$E$28:$F$33,2,FALSE)/2)+1),1)</f>
        <v>163.84962884354073</v>
      </c>
      <c r="W95" s="41">
        <f>VLOOKUP(B95,'Player Data'!$A1:$AE734,11,FALSE)*$Q95*IFERROR((VLOOKUP(P95,Settings!$E$28:$F$33,2,FALSE)+1),1)</f>
        <v>1.6822915937535292</v>
      </c>
      <c r="X95" s="41">
        <f>VLOOKUP(B95,'Player Data'!$A1:$AE734,12,FALSE)*$Q95*IFERROR((VLOOKUP(P95,Settings!$E$28:$F$33,2,FALSE)+1),1)</f>
        <v>20.625923619732625</v>
      </c>
      <c r="Y95" s="41">
        <f>VLOOKUP(B95,'Player Data'!$A1:$AE734,13,FALSE)*$Q95</f>
        <v>0.51862846442606236</v>
      </c>
      <c r="Z95" s="41">
        <f>VLOOKUP(B95,'Player Data'!$A1:$AE734,14,FALSE)*$Q95</f>
        <v>1.4076270003122868</v>
      </c>
      <c r="AA95" s="41">
        <f>VLOOKUP(B95,'Player Data'!$A1:$AE734,15,FALSE)*$Q95</f>
        <v>134.52227360838006</v>
      </c>
      <c r="AB95" s="41">
        <f>VLOOKUP(B95,'Player Data'!$A1:$AE734,16,FALSE)*$Q95</f>
        <v>63.361775767674388</v>
      </c>
      <c r="AC95" s="41">
        <f>VLOOKUP(B95,'Player Data'!$A1:$AE734,17,FALSE)*$Q95*IFERROR((VLOOKUP(P95,Settings!$E$28:$F$33,2,FALSE)+1),1)</f>
        <v>3.3506881003826625</v>
      </c>
      <c r="AD95" s="41">
        <f>VLOOKUP(B95,'Player Data'!$A1:$AE734,18,FALSE)*$Q95</f>
        <v>36.377195411817269</v>
      </c>
      <c r="AE95" s="41">
        <f>VLOOKUP(B95,'Player Data'!$A1:$AE734,19,FALSE)*$Q95*IFERROR((VLOOKUP(P95,Settings!$E$28:$F$33,2,FALSE)+1),1)</f>
        <v>1.3939828467907851</v>
      </c>
      <c r="AF95" s="41">
        <f>VLOOKUP(B95,'Player Data'!$A1:$AE734,20,FALSE)*$Q95</f>
        <v>0</v>
      </c>
      <c r="AG95" s="41">
        <f>VLOOKUP(B95,'Player Data'!$A1:$AE734,21,FALSE)*$Q95</f>
        <v>0</v>
      </c>
      <c r="AH95" s="42">
        <f>VLOOKUP(B95,'Player Data'!$A1:$AE734,22,FALSE)</f>
        <v>0</v>
      </c>
      <c r="AI95" s="39"/>
      <c r="AJ95" s="43"/>
      <c r="AK95" s="41"/>
      <c r="AL95" s="41"/>
      <c r="AM95" s="41"/>
      <c r="AN95" s="41"/>
      <c r="AO95" s="41"/>
      <c r="AP95" s="41"/>
      <c r="AQ95" s="44"/>
      <c r="AR95" s="45"/>
      <c r="AS95" s="39"/>
    </row>
    <row r="96" spans="1:45" ht="21.25" customHeight="1" x14ac:dyDescent="0.15">
      <c r="A96" s="31">
        <f>RANK(K96,K$2:K$727)</f>
        <v>95</v>
      </c>
      <c r="B96" s="8" t="s">
        <v>200</v>
      </c>
      <c r="C96" s="32" t="s">
        <v>106</v>
      </c>
      <c r="D96" s="33" t="str">
        <f>VLOOKUP(B96,'Player Data'!A1:D734,4,FALSE)</f>
        <v>C</v>
      </c>
      <c r="E96" s="34">
        <f>VLOOKUP(B96,'C'!A1:C211,3,FALSE)</f>
        <v>24</v>
      </c>
      <c r="F96" s="35" t="str">
        <f>VLOOKUP(B96,'Player Data'!A1:B734,2,FALSE)</f>
        <v>WPG</v>
      </c>
      <c r="G96" s="9">
        <f>VLOOKUP(B96,'Player Data'!A1:D734,3,FALSE)</f>
        <v>30</v>
      </c>
      <c r="H96" s="36">
        <f>IFERROR(VLOOKUP(B96,ADP!A1:G728,7,FALSE)/1000000,VLOOKUP(B96,ADP!A1:G728,7,FALSE))</f>
        <v>6.125</v>
      </c>
      <c r="I96" s="37">
        <f>IF(Settings!$E$15="POINTS",((R96*Q96)*Settings!$B$12)+(S96*Settings!$B$2)+(T96*Settings!$B$3)+(U96*Settings!$B$4)+(V96*Settings!$B$5)+(X96*Settings!$B$9)+(AA96*Settings!$B$6)+(W96*Settings!$B$8)+(AB96*Settings!$B$7)+(AC96*Settings!$B$14)+(AD96*Settings!$B$15)+(AE96*Settings!$B$16)+(AF96*Settings!$B$17)+(AG96*Settings!$B$18)+(Y96*Settings!$B$10)+(Z96*Settings!$B$11),VLOOKUP(B96,'Standard Deviations'!A1:C728,3,FALSE))</f>
        <v>385.11624783871372</v>
      </c>
      <c r="J96" s="38">
        <f>IF(D96="G",I96/AJ96,I96/Q96)</f>
        <v>4.8411847622717001</v>
      </c>
      <c r="K96" s="37">
        <f>IF(Settings!$E$18="C/LW/RW",VLOOKUP(B96,'C'!A1:F211,6,FALSE),VLOOKUP(B96,F!A1:F430,6,FALSE))</f>
        <v>-8.2125579274959364</v>
      </c>
      <c r="L96" s="37">
        <f>IFERROR(K96/H96,"N/A")</f>
        <v>-1.3408257840809692</v>
      </c>
      <c r="M96" s="39">
        <f>IF(Settings!$E$9="YAHOO",VLOOKUP(B96,ADP!A1:E728,2,FALSE),IF(Settings!$E$9="ESPN",VLOOKUP(B96,ADP!A1:E728,3,FALSE),IF(Settings!$E$9="FANTRAX",VLOOKUP(B96,ADP!A1:E728,4,FALSE),VLOOKUP(B96,ADP!A1:E728,5,FALSE))))</f>
        <v>145.69999999999999</v>
      </c>
      <c r="N96" s="39">
        <f>IFERROR(M96-A96,"N/A")</f>
        <v>50.699999999999989</v>
      </c>
      <c r="O96" s="39"/>
      <c r="P96" s="40" t="str">
        <f>IF(Settings!$E$27="ON",VLOOKUP(B96,ADP!A1:H728,8,FALSE)," ")</f>
        <v>+</v>
      </c>
      <c r="Q96" s="41">
        <f>IF(Settings!$E$12="YES",VLOOKUP(B96,'Player Data'!A1:E734,5,FALSE),82)</f>
        <v>79.55</v>
      </c>
      <c r="R96" s="39">
        <f>VLOOKUP(B96,'Player Data'!$A1:$AE734,6,FALSE)</f>
        <v>20.337313943889701</v>
      </c>
      <c r="S96" s="41">
        <f>VLOOKUP(B96,'Player Data'!$A1:$AE734,7,FALSE)*$Q96*IFERROR((VLOOKUP(P96,Settings!$E$28:$F$33,2,FALSE)+1),1)</f>
        <v>37.39619621032935</v>
      </c>
      <c r="T96" s="41">
        <f>VLOOKUP(B96,'Player Data'!$A1:$AE734,8,FALSE)*$Q96*IFERROR((VLOOKUP(P96,Settings!$E$28:$F$33,2,FALSE)+1),1)</f>
        <v>39.204362434902343</v>
      </c>
      <c r="U96" s="41">
        <f>SUM(S96:T96)</f>
        <v>76.6005586452317</v>
      </c>
      <c r="V96" s="41">
        <f>VLOOKUP(B96,'Player Data'!$A1:$AE734,10,FALSE)*$Q96*IFERROR(((VLOOKUP(P96,Settings!$E$28:$F$33,2,FALSE)/2)+1),1)</f>
        <v>202.98005225723094</v>
      </c>
      <c r="W96" s="41">
        <f>VLOOKUP(B96,'Player Data'!$A1:$AE734,11,FALSE)*$Q96*IFERROR((VLOOKUP(P96,Settings!$E$28:$F$33,2,FALSE)+1),1)</f>
        <v>10.035966135603868</v>
      </c>
      <c r="X96" s="41">
        <f>VLOOKUP(B96,'Player Data'!$A1:$AE734,12,FALSE)*$Q96*IFERROR((VLOOKUP(P96,Settings!$E$28:$F$33,2,FALSE)+1),1)</f>
        <v>22.669192791035385</v>
      </c>
      <c r="Y96" s="41">
        <f>VLOOKUP(B96,'Player Data'!$A1:$AE734,13,FALSE)*$Q96</f>
        <v>4.0313399276879096E-2</v>
      </c>
      <c r="Z96" s="41">
        <f>VLOOKUP(B96,'Player Data'!$A1:$AE734,14,FALSE)*$Q96</f>
        <v>7.3700331353159565E-2</v>
      </c>
      <c r="AA96" s="41">
        <f>VLOOKUP(B96,'Player Data'!$A1:$AE734,15,FALSE)*$Q96</f>
        <v>41.693797648130555</v>
      </c>
      <c r="AB96" s="41">
        <f>VLOOKUP(B96,'Player Data'!$A1:$AE734,16,FALSE)*$Q96</f>
        <v>47.509887417456447</v>
      </c>
      <c r="AC96" s="41">
        <f>VLOOKUP(B96,'Player Data'!$A1:$AE734,17,FALSE)*$Q96*IFERROR((VLOOKUP(P96,Settings!$E$28:$F$33,2,FALSE)+1),1)</f>
        <v>1.0192337992978278</v>
      </c>
      <c r="AD96" s="41">
        <f>VLOOKUP(B96,'Player Data'!$A1:$AE734,18,FALSE)*$Q96</f>
        <v>25.01506645870532</v>
      </c>
      <c r="AE96" s="41">
        <f>VLOOKUP(B96,'Player Data'!$A1:$AE734,19,FALSE)*$Q96*IFERROR((VLOOKUP(P96,Settings!$E$28:$F$33,2,FALSE)+1),1)</f>
        <v>5.8339317806869158</v>
      </c>
      <c r="AF96" s="41">
        <f>VLOOKUP(B96,'Player Data'!$A1:$AE734,20,FALSE)*$Q96</f>
        <v>555.25249793724163</v>
      </c>
      <c r="AG96" s="41">
        <f>VLOOKUP(B96,'Player Data'!$A1:$AE734,21,FALSE)*$Q96</f>
        <v>571.53469033949227</v>
      </c>
      <c r="AH96" s="42">
        <f>VLOOKUP(B96,'Player Data'!$A1:$AE734,22,FALSE)</f>
        <v>0.49277494784656201</v>
      </c>
      <c r="AI96" s="39"/>
      <c r="AJ96" s="43"/>
      <c r="AK96" s="41"/>
      <c r="AL96" s="41"/>
      <c r="AM96" s="41"/>
      <c r="AN96" s="41"/>
      <c r="AO96" s="41"/>
      <c r="AP96" s="41"/>
      <c r="AQ96" s="44"/>
      <c r="AR96" s="45"/>
      <c r="AS96" s="39"/>
    </row>
    <row r="97" spans="1:45" ht="21.25" customHeight="1" x14ac:dyDescent="0.15">
      <c r="A97" s="31">
        <f>RANK(K97,K$2:K$727)</f>
        <v>96</v>
      </c>
      <c r="B97" s="8" t="s">
        <v>201</v>
      </c>
      <c r="C97" s="32" t="s">
        <v>106</v>
      </c>
      <c r="D97" s="33" t="str">
        <f>VLOOKUP(B97,'Player Data'!A1:D734,4,FALSE)</f>
        <v>LW</v>
      </c>
      <c r="E97" s="47">
        <f>VLOOKUP(B97,LW!A1:C130,3,FALSE)</f>
        <v>22</v>
      </c>
      <c r="F97" s="35" t="str">
        <f>VLOOKUP(B97,'Player Data'!A1:B734,2,FALSE)</f>
        <v>NYR</v>
      </c>
      <c r="G97" s="9">
        <f>VLOOKUP(B97,'Player Data'!A1:D734,3,FALSE)</f>
        <v>32</v>
      </c>
      <c r="H97" s="36">
        <f>IFERROR(VLOOKUP(B97,ADP!A1:G728,7,FALSE)/1000000,VLOOKUP(B97,ADP!A1:G728,7,FALSE))</f>
        <v>6.5</v>
      </c>
      <c r="I97" s="37">
        <f>IF(Settings!$E$15="POINTS",((R97*Q97)*Settings!$B$12)+(S97*Settings!$B$2)+(T97*Settings!$B$3)+(U97*Settings!$B$4)+(V97*Settings!$B$5)+(X97*Settings!$B$9)+(AA97*Settings!$B$6)+(W97*Settings!$B$8)+(AB97*Settings!$B$7)+(AC97*Settings!$B$14)+(AD97*Settings!$B$15)+(AE97*Settings!$B$16)+(AF97*Settings!$B$17)+(AG97*Settings!$B$18)+(Y97*Settings!$B$10)+(Z97*Settings!$B$11),VLOOKUP(B97,'Standard Deviations'!A1:C728,3,FALSE))</f>
        <v>354.73574334384506</v>
      </c>
      <c r="J97" s="38">
        <f>IF(D97="G",I97/AJ97,I97/Q97)</f>
        <v>4.4076720510622058</v>
      </c>
      <c r="K97" s="37">
        <f>IF(Settings!$E$18="C/LW/RW",VLOOKUP(B97,LW!A1:F130,6,FALSE),VLOOKUP(B97,F!A1:F430,6,FALSE))</f>
        <v>-9.304861513805406</v>
      </c>
      <c r="L97" s="37">
        <f>IFERROR(K97/H97,"N/A")</f>
        <v>-1.4315171559700626</v>
      </c>
      <c r="M97" s="39">
        <f>IF(Settings!$E$9="YAHOO",VLOOKUP(B97,ADP!A1:E728,2,FALSE),IF(Settings!$E$9="ESPN",VLOOKUP(B97,ADP!A1:E728,3,FALSE),IF(Settings!$E$9="FANTRAX",VLOOKUP(B97,ADP!A1:E728,4,FALSE),VLOOKUP(B97,ADP!A1:E728,5,FALSE))))</f>
        <v>73.3</v>
      </c>
      <c r="N97" s="39">
        <f>IFERROR(M97-A97,"N/A")</f>
        <v>-22.700000000000003</v>
      </c>
      <c r="O97" s="39"/>
      <c r="P97" s="40" t="str">
        <f>IF(Settings!$E$27="ON",VLOOKUP(B97,ADP!A1:H728,8,FALSE)," ")</f>
        <v xml:space="preserve"> </v>
      </c>
      <c r="Q97" s="41">
        <f>IF(Settings!$E$12="YES",VLOOKUP(B97,'Player Data'!A1:E734,5,FALSE),82)</f>
        <v>80.481428571428594</v>
      </c>
      <c r="R97" s="39">
        <f>VLOOKUP(B97,'Player Data'!$A1:$AE734,6,FALSE)</f>
        <v>18.537301632870399</v>
      </c>
      <c r="S97" s="41">
        <f>VLOOKUP(B97,'Player Data'!$A1:$AE734,7,FALSE)*$Q97*IFERROR((VLOOKUP(P97,Settings!$E$28:$F$33,2,FALSE)+1),1)</f>
        <v>38.270854399829368</v>
      </c>
      <c r="T97" s="41">
        <f>VLOOKUP(B97,'Player Data'!$A1:$AE734,8,FALSE)*$Q97*IFERROR((VLOOKUP(P97,Settings!$E$28:$F$33,2,FALSE)+1),1)</f>
        <v>21.526943802609967</v>
      </c>
      <c r="U97" s="41">
        <f>SUM(S97:T97)</f>
        <v>59.797798202439338</v>
      </c>
      <c r="V97" s="41">
        <f>VLOOKUP(B97,'Player Data'!$A1:$AE734,10,FALSE)*$Q97*IFERROR(((VLOOKUP(P97,Settings!$E$28:$F$33,2,FALSE)/2)+1),1)</f>
        <v>230.19598657274307</v>
      </c>
      <c r="W97" s="41">
        <f>VLOOKUP(B97,'Player Data'!$A1:$AE734,11,FALSE)*$Q97*IFERROR((VLOOKUP(P97,Settings!$E$28:$F$33,2,FALSE)+1),1)</f>
        <v>14.327193313642084</v>
      </c>
      <c r="X97" s="41">
        <f>VLOOKUP(B97,'Player Data'!$A1:$AE734,12,FALSE)*$Q97*IFERROR((VLOOKUP(P97,Settings!$E$28:$F$33,2,FALSE)+1),1)</f>
        <v>23.518726334029171</v>
      </c>
      <c r="Y97" s="41">
        <f>VLOOKUP(B97,'Player Data'!$A1:$AE734,13,FALSE)*$Q97</f>
        <v>3.3413855082298225</v>
      </c>
      <c r="Z97" s="41">
        <f>VLOOKUP(B97,'Player Data'!$A1:$AE734,14,FALSE)*$Q97</f>
        <v>3.4201560031106912</v>
      </c>
      <c r="AA97" s="41">
        <f>VLOOKUP(B97,'Player Data'!$A1:$AE734,15,FALSE)*$Q97</f>
        <v>31.832953879379094</v>
      </c>
      <c r="AB97" s="41">
        <f>VLOOKUP(B97,'Player Data'!$A1:$AE734,16,FALSE)*$Q97</f>
        <v>129.38996711506925</v>
      </c>
      <c r="AC97" s="41">
        <f>VLOOKUP(B97,'Player Data'!$A1:$AE734,17,FALSE)*$Q97*IFERROR((VLOOKUP(P97,Settings!$E$28:$F$33,2,FALSE)+1),1)</f>
        <v>6.3315634154294331</v>
      </c>
      <c r="AD97" s="41">
        <f>VLOOKUP(B97,'Player Data'!$A1:$AE734,18,FALSE)*$Q97</f>
        <v>31.874351440180465</v>
      </c>
      <c r="AE97" s="41">
        <f>VLOOKUP(B97,'Player Data'!$A1:$AE734,19,FALSE)*$Q97*IFERROR((VLOOKUP(P97,Settings!$E$28:$F$33,2,FALSE)+1),1)</f>
        <v>6.5212821237527665</v>
      </c>
      <c r="AF97" s="41">
        <f>VLOOKUP(B97,'Player Data'!$A1:$AE734,20,FALSE)*$Q97</f>
        <v>44.856421696290958</v>
      </c>
      <c r="AG97" s="41">
        <f>VLOOKUP(B97,'Player Data'!$A1:$AE734,21,FALSE)*$Q97</f>
        <v>53.002384256475032</v>
      </c>
      <c r="AH97" s="42">
        <f>VLOOKUP(B97,'Player Data'!$A1:$AE734,22,FALSE)</f>
        <v>0.45837900084272398</v>
      </c>
      <c r="AI97" s="39"/>
      <c r="AJ97" s="43"/>
      <c r="AK97" s="41"/>
      <c r="AL97" s="41"/>
      <c r="AM97" s="41"/>
      <c r="AN97" s="41"/>
      <c r="AO97" s="41"/>
      <c r="AP97" s="41"/>
      <c r="AQ97" s="44"/>
      <c r="AR97" s="45"/>
      <c r="AS97" s="39"/>
    </row>
    <row r="98" spans="1:45" ht="21.25" customHeight="1" x14ac:dyDescent="0.15">
      <c r="A98" s="31">
        <f>RANK(K98,K$2:K$727)</f>
        <v>97</v>
      </c>
      <c r="B98" s="8" t="s">
        <v>202</v>
      </c>
      <c r="C98" s="32" t="s">
        <v>106</v>
      </c>
      <c r="D98" s="33" t="str">
        <f>VLOOKUP(B98,'Player Data'!A1:D734,4,FALSE)</f>
        <v>D</v>
      </c>
      <c r="E98" s="49">
        <f>VLOOKUP(B98,D!A1:C227,3,FALSE)</f>
        <v>23</v>
      </c>
      <c r="F98" s="35" t="str">
        <f>VLOOKUP(B98,'Player Data'!A1:B734,2,FALSE)</f>
        <v>VGK</v>
      </c>
      <c r="G98" s="9">
        <f>VLOOKUP(B98,'Player Data'!A1:D734,3,FALSE)</f>
        <v>33</v>
      </c>
      <c r="H98" s="36">
        <f>IFERROR(VLOOKUP(B98,ADP!A1:G728,7,FALSE)/1000000,VLOOKUP(B98,ADP!A1:G728,7,FALSE))</f>
        <v>8.8000000000000007</v>
      </c>
      <c r="I98" s="37">
        <f>IF(Settings!$E$15="POINTS",((R98*Q98)*Settings!$B$12)+(S98*Settings!$B$2)+(T98*Settings!$B$3)+(U98*Settings!$B$4)+(V98*Settings!$B$5)+(X98*Settings!$B$9)+(AA98*Settings!$B$6)+(W98*Settings!$B$8)+(AB98*Settings!$B$7)+(AC98*Settings!$B$14)+(AD98*Settings!$B$15)+(AE98*Settings!$B$16)+(AF98*Settings!$B$17)+(AG98*Settings!$B$18)+(U98*Settings!$B$13)+(Y98*Settings!$B$10)+(Z98*Settings!$B$11),VLOOKUP(B98,'Standard Deviations'!A1:C728,3,FALSE))</f>
        <v>302.21130674569895</v>
      </c>
      <c r="J98" s="38">
        <f>IF(D98="G",I98/AJ98,I98/Q98)</f>
        <v>3.8764386020860107</v>
      </c>
      <c r="K98" s="37">
        <f>VLOOKUP(B98,D!A1:F227,6,FALSE)</f>
        <v>-9.3541748822285058</v>
      </c>
      <c r="L98" s="37">
        <f>IFERROR(K98/H98,"N/A")</f>
        <v>-1.0629744184350574</v>
      </c>
      <c r="M98" s="39">
        <f>IF(Settings!$E$9="YAHOO",VLOOKUP(B98,ADP!A1:E728,2,FALSE),IF(Settings!$E$9="ESPN",VLOOKUP(B98,ADP!A1:E728,3,FALSE),IF(Settings!$E$9="FANTRAX",VLOOKUP(B98,ADP!A1:E728,4,FALSE),VLOOKUP(B98,ADP!A1:E728,5,FALSE))))</f>
        <v>111.6</v>
      </c>
      <c r="N98" s="39">
        <f>IFERROR(M98-A98,"N/A")</f>
        <v>14.599999999999994</v>
      </c>
      <c r="O98" s="39"/>
      <c r="P98" s="40" t="str">
        <f>IF(Settings!$E$27="ON",VLOOKUP(B98,ADP!A1:H728,8,FALSE)," ")</f>
        <v xml:space="preserve"> </v>
      </c>
      <c r="Q98" s="41">
        <f>IF(Settings!$E$12="YES",VLOOKUP(B98,'Player Data'!A1:E734,5,FALSE),82)</f>
        <v>77.961071428571401</v>
      </c>
      <c r="R98" s="39">
        <f>VLOOKUP(B98,'Player Data'!$A1:$AE734,6,FALSE)</f>
        <v>24.516015218530701</v>
      </c>
      <c r="S98" s="41">
        <f>VLOOKUP(B98,'Player Data'!$A1:$AE734,7,FALSE)*$Q98*IFERROR((VLOOKUP(P98,Settings!$E$28:$F$33,2,FALSE)+1),1)</f>
        <v>11.03457126278092</v>
      </c>
      <c r="T98" s="41">
        <f>VLOOKUP(B98,'Player Data'!$A1:$AE734,8,FALSE)*$Q98*IFERROR((VLOOKUP(P98,Settings!$E$28:$F$33,2,FALSE)+1),1)</f>
        <v>35.887921210968145</v>
      </c>
      <c r="U98" s="41">
        <f>SUM(S98:T98)</f>
        <v>46.922492473749067</v>
      </c>
      <c r="V98" s="41">
        <f>VLOOKUP(B98,'Player Data'!$A1:$AE734,10,FALSE)*$Q98*IFERROR(((VLOOKUP(P98,Settings!$E$28:$F$33,2,FALSE)/2)+1),1)</f>
        <v>195.94117829731945</v>
      </c>
      <c r="W98" s="41">
        <f>VLOOKUP(B98,'Player Data'!$A1:$AE734,11,FALSE)*$Q98*IFERROR((VLOOKUP(P98,Settings!$E$28:$F$33,2,FALSE)+1),1)</f>
        <v>1.6574771824167345</v>
      </c>
      <c r="X98" s="41">
        <f>VLOOKUP(B98,'Player Data'!$A1:$AE734,12,FALSE)*$Q98*IFERROR((VLOOKUP(P98,Settings!$E$28:$F$33,2,FALSE)+1),1)</f>
        <v>12.001204275625192</v>
      </c>
      <c r="Y98" s="41">
        <f>VLOOKUP(B98,'Player Data'!$A1:$AE734,13,FALSE)*$Q98</f>
        <v>0.33230379474875915</v>
      </c>
      <c r="Z98" s="41">
        <f>VLOOKUP(B98,'Player Data'!$A1:$AE734,14,FALSE)*$Q98</f>
        <v>2.3652710845985285</v>
      </c>
      <c r="AA98" s="41">
        <f>VLOOKUP(B98,'Player Data'!$A1:$AE734,15,FALSE)*$Q98</f>
        <v>173.70144727672312</v>
      </c>
      <c r="AB98" s="41">
        <f>VLOOKUP(B98,'Player Data'!$A1:$AE734,16,FALSE)*$Q98</f>
        <v>72.852884203329452</v>
      </c>
      <c r="AC98" s="41">
        <f>VLOOKUP(B98,'Player Data'!$A1:$AE734,17,FALSE)*$Q98*IFERROR((VLOOKUP(P98,Settings!$E$28:$F$33,2,FALSE)+1),1)</f>
        <v>5.4404224430872024</v>
      </c>
      <c r="AD98" s="41">
        <f>VLOOKUP(B98,'Player Data'!$A1:$AE734,18,FALSE)*$Q98</f>
        <v>27.678536906979655</v>
      </c>
      <c r="AE98" s="41">
        <f>VLOOKUP(B98,'Player Data'!$A1:$AE734,19,FALSE)*$Q98*IFERROR((VLOOKUP(P98,Settings!$E$28:$F$33,2,FALSE)+1),1)</f>
        <v>1.8033500199440144</v>
      </c>
      <c r="AF98" s="41">
        <f>VLOOKUP(B98,'Player Data'!$A1:$AE734,20,FALSE)*$Q98</f>
        <v>0.35619134661260354</v>
      </c>
      <c r="AG98" s="41">
        <f>VLOOKUP(B98,'Player Data'!$A1:$AE734,21,FALSE)*$Q98</f>
        <v>0.45267341892035445</v>
      </c>
      <c r="AH98" s="42">
        <f>VLOOKUP(B98,'Player Data'!$A1:$AE734,22,FALSE)</f>
        <v>0.44035957775699403</v>
      </c>
      <c r="AI98" s="39"/>
      <c r="AJ98" s="43"/>
      <c r="AK98" s="41"/>
      <c r="AL98" s="41"/>
      <c r="AM98" s="41"/>
      <c r="AN98" s="41"/>
      <c r="AO98" s="41"/>
      <c r="AP98" s="41"/>
      <c r="AQ98" s="44"/>
      <c r="AR98" s="45"/>
      <c r="AS98" s="39"/>
    </row>
    <row r="99" spans="1:45" ht="21.25" customHeight="1" x14ac:dyDescent="0.15">
      <c r="A99" s="31">
        <f>RANK(K99,K$2:K$727)</f>
        <v>98</v>
      </c>
      <c r="B99" s="8" t="s">
        <v>203</v>
      </c>
      <c r="C99" s="32" t="s">
        <v>106</v>
      </c>
      <c r="D99" s="33" t="str">
        <f>VLOOKUP(B99,'Player Data'!A1:D734,4,FALSE)</f>
        <v>G</v>
      </c>
      <c r="E99" s="50">
        <f>VLOOKUP(B99,G!A1:D75,3,FALSE)</f>
        <v>13</v>
      </c>
      <c r="F99" s="35" t="str">
        <f>VLOOKUP(B99,'Player Data'!A1:B734,2,FALSE)</f>
        <v>STL</v>
      </c>
      <c r="G99" s="9">
        <f>VLOOKUP(B99,'Player Data'!A1:D734,3,FALSE)</f>
        <v>30</v>
      </c>
      <c r="H99" s="36">
        <f>IFERROR(VLOOKUP(B99,ADP!A1:G728,7,FALSE)/1000000,VLOOKUP(B99,ADP!A1:G728,7,FALSE))</f>
        <v>6</v>
      </c>
      <c r="I99" s="37">
        <f>IF(Settings!$E$15="POINTS",(AJ99*Settings!$B$29)+(AK99*Settings!$B$21)+(AL99*Settings!$B$22)+(AN99*Settings!$B$24)+(AO99*Settings!$B$25)+(AP99*Settings!$B$27)+(AM99*Settings!$B$23),VLOOKUP(B99,'Standard Deviations'!A1:C728,3,FALSE))</f>
        <v>388.79042858736409</v>
      </c>
      <c r="J99" s="38">
        <f>IF(D99="G",I99/AJ99,I99/Q99)</f>
        <v>6.4798404764560678</v>
      </c>
      <c r="K99" s="37">
        <f>VLOOKUP(B99,G!A1:F75,6,FALSE)</f>
        <v>-9.9852335019521092</v>
      </c>
      <c r="L99" s="37">
        <f>IFERROR(K99/H99,"N/A")</f>
        <v>-1.6642055836586849</v>
      </c>
      <c r="M99" s="39">
        <f>IF(Settings!$E$9="YAHOO",VLOOKUP(B99,ADP!A1:E728,2,FALSE),IF(Settings!$E$9="ESPN",VLOOKUP(B99,ADP!A1:E728,3,FALSE),IF(Settings!$E$9="FANTRAX",VLOOKUP(B99,ADP!A1:E728,4,FALSE),VLOOKUP(B99,ADP!A1:E728,5,FALSE))))</f>
        <v>167.6</v>
      </c>
      <c r="N99" s="39">
        <f>IFERROR(M99-A99,"N/A")</f>
        <v>69.599999999999994</v>
      </c>
      <c r="O99" s="39"/>
      <c r="P99" s="40" t="str">
        <f>IF(Settings!$E$27="ON",VLOOKUP(B99,ADP!A1:H728,8,FALSE)," ")</f>
        <v>-</v>
      </c>
      <c r="Q99" s="41"/>
      <c r="R99" s="5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2"/>
      <c r="AI99" s="39"/>
      <c r="AJ99" s="43">
        <f>VLOOKUP(B99,'Player Data'!$A1:$AE734,24,FALSE)</f>
        <v>60</v>
      </c>
      <c r="AK99" s="41">
        <f>VLOOKUP(B99,'Player Data'!$A1:$AE734,25,FALSE)*$AJ99*IFERROR((VLOOKUP(P99,Settings!$E$28:$F$33,2,FALSE)+1),1)</f>
        <v>24.162983704163501</v>
      </c>
      <c r="AL99" s="41">
        <f>AJ99-AK99-AM99</f>
        <v>28.337016295836499</v>
      </c>
      <c r="AM99" s="41">
        <f>VLOOKUP(B99,'Player Data'!$A1:$AE734,27,FALSE)*$AJ99</f>
        <v>7.5</v>
      </c>
      <c r="AN99" s="41">
        <f>VLOOKUP(B99,'Player Data'!$A1:$AE734,28,FALSE)*AJ99</f>
        <v>2.8080266478612117</v>
      </c>
      <c r="AO99" s="41">
        <f>VLOOKUP(B99,'Player Data'!$A1:$AE734,29,FALSE)*$AJ99*IFERROR((VLOOKUP(P99,Settings!$E$28:$F$33,2,FALSE)/4)+1,1)</f>
        <v>1690.0598289112227</v>
      </c>
      <c r="AP99" s="41">
        <f>VLOOKUP(B99,'Player Data'!$A1:$AE734,31,FALSE)*$AJ99*(IFERROR(1-(VLOOKUP(P99,Settings!$E$28:$F$33,2,FALSE)/4),1))</f>
        <v>178.1148300921534</v>
      </c>
      <c r="AQ99" s="44">
        <f>1-(AP99/(AO99+AP99))</f>
        <v>0.90465836305307068</v>
      </c>
      <c r="AR99" s="45">
        <f>AP99/AJ99</f>
        <v>2.9685805015358899</v>
      </c>
      <c r="AS99" s="39"/>
    </row>
    <row r="100" spans="1:45" ht="21.25" customHeight="1" x14ac:dyDescent="0.15">
      <c r="A100" s="31">
        <f>RANK(K100,K$2:K$727)</f>
        <v>99</v>
      </c>
      <c r="B100" s="8" t="s">
        <v>204</v>
      </c>
      <c r="C100" s="32" t="s">
        <v>106</v>
      </c>
      <c r="D100" s="33" t="str">
        <f>VLOOKUP(B100,'Player Data'!A1:D734,4,FALSE)</f>
        <v>C</v>
      </c>
      <c r="E100" s="34">
        <f>VLOOKUP(B100,'C'!A1:C211,3,FALSE)</f>
        <v>25</v>
      </c>
      <c r="F100" s="35" t="str">
        <f>VLOOKUP(B100,'Player Data'!A1:B734,2,FALSE)</f>
        <v>MIN</v>
      </c>
      <c r="G100" s="9">
        <f>VLOOKUP(B100,'Player Data'!A1:D734,3,FALSE)</f>
        <v>26</v>
      </c>
      <c r="H100" s="36">
        <f>IFERROR(VLOOKUP(B100,ADP!A1:G728,7,FALSE)/1000000,VLOOKUP(B100,ADP!A1:G728,7,FALSE))</f>
        <v>5.25</v>
      </c>
      <c r="I100" s="37">
        <f>IF(Settings!$E$15="POINTS",((R100*Q100)*Settings!$B$12)+(S100*Settings!$B$2)+(T100*Settings!$B$3)+(U100*Settings!$B$4)+(V100*Settings!$B$5)+(X100*Settings!$B$9)+(AA100*Settings!$B$6)+(W100*Settings!$B$8)+(AB100*Settings!$B$7)+(AC100*Settings!$B$14)+(AD100*Settings!$B$15)+(AE100*Settings!$B$16)+(AF100*Settings!$B$17)+(AG100*Settings!$B$18)+(Y100*Settings!$B$10)+(Z100*Settings!$B$11),VLOOKUP(B100,'Standard Deviations'!A1:C728,3,FALSE))</f>
        <v>383.00920620826975</v>
      </c>
      <c r="J100" s="38">
        <f>IF(D100="G",I100/AJ100,I100/Q100)</f>
        <v>4.7500599163894188</v>
      </c>
      <c r="K100" s="37">
        <f>IF(Settings!$E$18="C/LW/RW",VLOOKUP(B100,'C'!A1:F211,6,FALSE),VLOOKUP(B100,F!A1:F430,6,FALSE))</f>
        <v>-10.31959955793991</v>
      </c>
      <c r="L100" s="37">
        <f>IFERROR(K100/H100,"N/A")</f>
        <v>-1.9656380110361733</v>
      </c>
      <c r="M100" s="39">
        <f>IF(Settings!$E$9="YAHOO",VLOOKUP(B100,ADP!A1:E728,2,FALSE),IF(Settings!$E$9="ESPN",VLOOKUP(B100,ADP!A1:E728,3,FALSE),IF(Settings!$E$9="FANTRAX",VLOOKUP(B100,ADP!A1:E728,4,FALSE),VLOOKUP(B100,ADP!A1:E728,5,FALSE))))</f>
        <v>155</v>
      </c>
      <c r="N100" s="39">
        <f>IFERROR(M100-A100,"N/A")</f>
        <v>56</v>
      </c>
      <c r="O100" s="39"/>
      <c r="P100" s="40" t="str">
        <f>IF(Settings!$E$27="ON",VLOOKUP(B100,ADP!A1:H728,8,FALSE)," ")</f>
        <v>+</v>
      </c>
      <c r="Q100" s="41">
        <f>IF(Settings!$E$12="YES",VLOOKUP(B100,'Player Data'!A1:E734,5,FALSE),82)</f>
        <v>80.632499999999993</v>
      </c>
      <c r="R100" s="39">
        <f>VLOOKUP(B100,'Player Data'!$A1:$AE734,6,FALSE)</f>
        <v>19.401363434911801</v>
      </c>
      <c r="S100" s="41">
        <f>VLOOKUP(B100,'Player Data'!$A1:$AE734,7,FALSE)*$Q100*IFERROR((VLOOKUP(P100,Settings!$E$28:$F$33,2,FALSE)+1),1)</f>
        <v>29.08524227509767</v>
      </c>
      <c r="T100" s="41">
        <f>VLOOKUP(B100,'Player Data'!$A1:$AE734,8,FALSE)*$Q100*IFERROR((VLOOKUP(P100,Settings!$E$28:$F$33,2,FALSE)+1),1)</f>
        <v>35.850494420439752</v>
      </c>
      <c r="U100" s="41">
        <f>SUM(S100:T100)</f>
        <v>64.935736695537429</v>
      </c>
      <c r="V100" s="41">
        <f>VLOOKUP(B100,'Player Data'!$A1:$AE734,10,FALSE)*$Q100*IFERROR(((VLOOKUP(P100,Settings!$E$28:$F$33,2,FALSE)/2)+1),1)</f>
        <v>254.99694231648942</v>
      </c>
      <c r="W100" s="41">
        <f>VLOOKUP(B100,'Player Data'!$A1:$AE734,11,FALSE)*$Q100*IFERROR((VLOOKUP(P100,Settings!$E$28:$F$33,2,FALSE)+1),1)</f>
        <v>12.678236676797091</v>
      </c>
      <c r="X100" s="41">
        <f>VLOOKUP(B100,'Player Data'!$A1:$AE734,12,FALSE)*$Q100*IFERROR((VLOOKUP(P100,Settings!$E$28:$F$33,2,FALSE)+1),1)</f>
        <v>23.228709661869985</v>
      </c>
      <c r="Y100" s="41">
        <f>VLOOKUP(B100,'Player Data'!$A1:$AE734,13,FALSE)*$Q100</f>
        <v>1.1264579934131433</v>
      </c>
      <c r="Z100" s="41">
        <f>VLOOKUP(B100,'Player Data'!$A1:$AE734,14,FALSE)*$Q100</f>
        <v>1.7454212527435218</v>
      </c>
      <c r="AA100" s="41">
        <f>VLOOKUP(B100,'Player Data'!$A1:$AE734,15,FALSE)*$Q100</f>
        <v>53.776315670929115</v>
      </c>
      <c r="AB100" s="41">
        <f>VLOOKUP(B100,'Player Data'!$A1:$AE734,16,FALSE)*$Q100</f>
        <v>128.13926651873322</v>
      </c>
      <c r="AC100" s="41">
        <f>VLOOKUP(B100,'Player Data'!$A1:$AE734,17,FALSE)*$Q100*IFERROR((VLOOKUP(P100,Settings!$E$28:$F$33,2,FALSE)+1),1)</f>
        <v>4.1266247375176777</v>
      </c>
      <c r="AD100" s="41">
        <f>VLOOKUP(B100,'Player Data'!$A1:$AE734,18,FALSE)*$Q100</f>
        <v>38.769531317070481</v>
      </c>
      <c r="AE100" s="41">
        <f>VLOOKUP(B100,'Player Data'!$A1:$AE734,19,FALSE)*$Q100*IFERROR((VLOOKUP(P100,Settings!$E$28:$F$33,2,FALSE)+1),1)</f>
        <v>4.6704039494917717</v>
      </c>
      <c r="AF100" s="41">
        <f>VLOOKUP(B100,'Player Data'!$A1:$AE734,20,FALSE)*$Q100</f>
        <v>712.36149688257478</v>
      </c>
      <c r="AG100" s="41">
        <f>VLOOKUP(B100,'Player Data'!$A1:$AE734,21,FALSE)*$Q100</f>
        <v>762.37846006773577</v>
      </c>
      <c r="AH100" s="42">
        <f>VLOOKUP(B100,'Player Data'!$A1:$AE734,22,FALSE)</f>
        <v>0.48304210754260901</v>
      </c>
      <c r="AI100" s="39"/>
      <c r="AJ100" s="43"/>
      <c r="AK100" s="41"/>
      <c r="AL100" s="41"/>
      <c r="AM100" s="41"/>
      <c r="AN100" s="41"/>
      <c r="AO100" s="41"/>
      <c r="AP100" s="41"/>
      <c r="AQ100" s="44"/>
      <c r="AR100" s="45"/>
      <c r="AS100" s="39"/>
    </row>
    <row r="101" spans="1:45" ht="21.25" customHeight="1" x14ac:dyDescent="0.15">
      <c r="A101" s="31">
        <f>RANK(K101,K$2:K$727)</f>
        <v>100</v>
      </c>
      <c r="B101" s="8" t="s">
        <v>205</v>
      </c>
      <c r="C101" s="32" t="s">
        <v>106</v>
      </c>
      <c r="D101" s="33" t="str">
        <f>VLOOKUP(B101,'Player Data'!A1:D734,4,FALSE)</f>
        <v>C</v>
      </c>
      <c r="E101" s="34">
        <f>VLOOKUP(B101,'C'!A1:C211,3,FALSE)</f>
        <v>26</v>
      </c>
      <c r="F101" s="35" t="str">
        <f>VLOOKUP(B101,'Player Data'!A1:B734,2,FALSE)</f>
        <v>ANA</v>
      </c>
      <c r="G101" s="9">
        <f>VLOOKUP(B101,'Player Data'!A1:D734,3,FALSE)</f>
        <v>22</v>
      </c>
      <c r="H101" s="36">
        <f>IFERROR(VLOOKUP(B101,ADP!A1:G728,7,FALSE)/1000000,VLOOKUP(B101,ADP!A1:G728,7,FALSE))</f>
        <v>0</v>
      </c>
      <c r="I101" s="37">
        <f>IF(Settings!$E$15="POINTS",((R101*Q101)*Settings!$B$12)+(S101*Settings!$B$2)+(T101*Settings!$B$3)+(U101*Settings!$B$4)+(V101*Settings!$B$5)+(X101*Settings!$B$9)+(AA101*Settings!$B$6)+(W101*Settings!$B$8)+(AB101*Settings!$B$7)+(AC101*Settings!$B$14)+(AD101*Settings!$B$15)+(AE101*Settings!$B$16)+(AF101*Settings!$B$17)+(AG101*Settings!$B$18)+(Y101*Settings!$B$10)+(Z101*Settings!$B$11),VLOOKUP(B101,'Standard Deviations'!A1:C728,3,FALSE))</f>
        <v>382.98390994240623</v>
      </c>
      <c r="J101" s="38">
        <f>IF(D101="G",I101/AJ101,I101/Q101)</f>
        <v>4.7113286990085648</v>
      </c>
      <c r="K101" s="37">
        <f>IF(Settings!$E$18="C/LW/RW",VLOOKUP(B101,'C'!A1:F211,6,FALSE),VLOOKUP(B101,F!A1:F430,6,FALSE))</f>
        <v>-10.344895823803427</v>
      </c>
      <c r="L101" s="52" t="str">
        <f>IFERROR(K101/H101,"N/A")</f>
        <v>N/A</v>
      </c>
      <c r="M101" s="39">
        <f>IF(Settings!$E$9="YAHOO",VLOOKUP(B101,ADP!A1:E728,2,FALSE),IF(Settings!$E$9="ESPN",VLOOKUP(B101,ADP!A1:E728,3,FALSE),IF(Settings!$E$9="FANTRAX",VLOOKUP(B101,ADP!A1:E728,4,FALSE),VLOOKUP(B101,ADP!A1:E728,5,FALSE))))</f>
        <v>152.9</v>
      </c>
      <c r="N101" s="39">
        <f>IFERROR(M101-A101,"N/A")</f>
        <v>52.900000000000006</v>
      </c>
      <c r="O101" s="39"/>
      <c r="P101" s="40" t="str">
        <f>IF(Settings!$E$27="ON",VLOOKUP(B101,ADP!A1:H728,8,FALSE)," ")</f>
        <v>+</v>
      </c>
      <c r="Q101" s="41">
        <f>IF(Settings!$E$12="YES",VLOOKUP(B101,'Player Data'!A1:E734,5,FALSE),82)</f>
        <v>81.290000000000006</v>
      </c>
      <c r="R101" s="39">
        <f>VLOOKUP(B101,'Player Data'!$A1:$AE734,6,FALSE)</f>
        <v>19.251722162930999</v>
      </c>
      <c r="S101" s="41">
        <f>VLOOKUP(B101,'Player Data'!$A1:$AE734,7,FALSE)*$Q101*IFERROR((VLOOKUP(P101,Settings!$E$28:$F$33,2,FALSE)+1),1)</f>
        <v>28.139586797888825</v>
      </c>
      <c r="T101" s="41">
        <f>VLOOKUP(B101,'Player Data'!$A1:$AE734,8,FALSE)*$Q101*IFERROR((VLOOKUP(P101,Settings!$E$28:$F$33,2,FALSE)+1),1)</f>
        <v>48.697101645161908</v>
      </c>
      <c r="U101" s="41">
        <f>SUM(S101:T101)</f>
        <v>76.836688443050733</v>
      </c>
      <c r="V101" s="41">
        <f>VLOOKUP(B101,'Player Data'!$A1:$AE734,10,FALSE)*$Q101*IFERROR(((VLOOKUP(P101,Settings!$E$28:$F$33,2,FALSE)/2)+1),1)</f>
        <v>204.95130404673674</v>
      </c>
      <c r="W101" s="41">
        <f>VLOOKUP(B101,'Player Data'!$A1:$AE734,11,FALSE)*$Q101*IFERROR((VLOOKUP(P101,Settings!$E$28:$F$33,2,FALSE)+1),1)</f>
        <v>7.4699100983290228</v>
      </c>
      <c r="X101" s="41">
        <f>VLOOKUP(B101,'Player Data'!$A1:$AE734,12,FALSE)*$Q101*IFERROR((VLOOKUP(P101,Settings!$E$28:$F$33,2,FALSE)+1),1)</f>
        <v>21.899084737518603</v>
      </c>
      <c r="Y101" s="41">
        <f>VLOOKUP(B101,'Player Data'!$A1:$AE734,13,FALSE)*$Q101</f>
        <v>2.5310275643500382E-2</v>
      </c>
      <c r="Z101" s="41">
        <f>VLOOKUP(B101,'Player Data'!$A1:$AE734,14,FALSE)*$Q101</f>
        <v>4.5671388778022647E-2</v>
      </c>
      <c r="AA101" s="41">
        <f>VLOOKUP(B101,'Player Data'!$A1:$AE734,15,FALSE)*$Q101</f>
        <v>30.543401686462008</v>
      </c>
      <c r="AB101" s="41">
        <f>VLOOKUP(B101,'Player Data'!$A1:$AE734,16,FALSE)*$Q101</f>
        <v>54.644209661536244</v>
      </c>
      <c r="AC101" s="41">
        <f>VLOOKUP(B101,'Player Data'!$A1:$AE734,17,FALSE)*$Q101*IFERROR((VLOOKUP(P101,Settings!$E$28:$F$33,2,FALSE)+1),1)</f>
        <v>-9.7607191989506035</v>
      </c>
      <c r="AD101" s="41">
        <f>VLOOKUP(B101,'Player Data'!$A1:$AE734,18,FALSE)*$Q101</f>
        <v>51.694642215003668</v>
      </c>
      <c r="AE101" s="41">
        <f>VLOOKUP(B101,'Player Data'!$A1:$AE734,19,FALSE)*$Q101*IFERROR((VLOOKUP(P101,Settings!$E$28:$F$33,2,FALSE)+1),1)</f>
        <v>3.0505966840196859</v>
      </c>
      <c r="AF101" s="41">
        <f>VLOOKUP(B101,'Player Data'!$A1:$AE734,20,FALSE)*$Q101</f>
        <v>241.24476161837805</v>
      </c>
      <c r="AG101" s="41">
        <f>VLOOKUP(B101,'Player Data'!$A1:$AE734,21,FALSE)*$Q101</f>
        <v>346.81600323912733</v>
      </c>
      <c r="AH101" s="42">
        <f>VLOOKUP(B101,'Player Data'!$A1:$AE734,22,FALSE)</f>
        <v>0.41023781220438099</v>
      </c>
      <c r="AI101" s="39"/>
      <c r="AJ101" s="43"/>
      <c r="AK101" s="41"/>
      <c r="AL101" s="41"/>
      <c r="AM101" s="41"/>
      <c r="AN101" s="41"/>
      <c r="AO101" s="41"/>
      <c r="AP101" s="41"/>
      <c r="AQ101" s="44"/>
      <c r="AR101" s="45"/>
      <c r="AS101" s="39"/>
    </row>
    <row r="102" spans="1:45" ht="21.25" customHeight="1" x14ac:dyDescent="0.15">
      <c r="A102" s="31">
        <f>RANK(K102,K$2:K$727)</f>
        <v>101</v>
      </c>
      <c r="B102" s="8" t="s">
        <v>206</v>
      </c>
      <c r="C102" s="32" t="s">
        <v>106</v>
      </c>
      <c r="D102" s="33" t="str">
        <f>VLOOKUP(B102,'Player Data'!A1:D734,4,FALSE)</f>
        <v>C</v>
      </c>
      <c r="E102" s="34">
        <f>VLOOKUP(B102,'C'!A1:C211,3,FALSE)</f>
        <v>27</v>
      </c>
      <c r="F102" s="35" t="str">
        <f>VLOOKUP(B102,'Player Data'!A1:B734,2,FALSE)</f>
        <v>FLA</v>
      </c>
      <c r="G102" s="9">
        <f>VLOOKUP(B102,'Player Data'!A1:D734,3,FALSE)</f>
        <v>28</v>
      </c>
      <c r="H102" s="36">
        <f>IFERROR(VLOOKUP(B102,ADP!A1:G728,7,FALSE)/1000000,VLOOKUP(B102,ADP!A1:G728,7,FALSE))</f>
        <v>4.1666999999999996</v>
      </c>
      <c r="I102" s="37">
        <f>IF(Settings!$E$15="POINTS",((R102*Q102)*Settings!$B$12)+(S102*Settings!$B$2)+(T102*Settings!$B$3)+(U102*Settings!$B$4)+(V102*Settings!$B$5)+(X102*Settings!$B$9)+(AA102*Settings!$B$6)+(W102*Settings!$B$8)+(AB102*Settings!$B$7)+(AC102*Settings!$B$14)+(AD102*Settings!$B$15)+(AE102*Settings!$B$16)+(AF102*Settings!$B$17)+(AG102*Settings!$B$18)+(Y102*Settings!$B$10)+(Z102*Settings!$B$11),VLOOKUP(B102,'Standard Deviations'!A1:C728,3,FALSE))</f>
        <v>382.8834734849176</v>
      </c>
      <c r="J102" s="38">
        <f>IF(D102="G",I102/AJ102,I102/Q102)</f>
        <v>4.8222750655944839</v>
      </c>
      <c r="K102" s="37">
        <f>IF(Settings!$E$18="C/LW/RW",VLOOKUP(B102,'C'!A1:F211,6,FALSE),VLOOKUP(B102,F!A1:F430,6,FALSE))</f>
        <v>-10.445332281292053</v>
      </c>
      <c r="L102" s="37">
        <f>IFERROR(K102/H102,"N/A")</f>
        <v>-2.5068596926325522</v>
      </c>
      <c r="M102" s="39">
        <f>IF(Settings!$E$9="YAHOO",VLOOKUP(B102,ADP!A1:E728,2,FALSE),IF(Settings!$E$9="ESPN",VLOOKUP(B102,ADP!A1:E728,3,FALSE),IF(Settings!$E$9="FANTRAX",VLOOKUP(B102,ADP!A1:E728,4,FALSE),VLOOKUP(B102,ADP!A1:E728,5,FALSE))))</f>
        <v>75.400000000000006</v>
      </c>
      <c r="N102" s="39">
        <f>IFERROR(M102-A102,"N/A")</f>
        <v>-25.599999999999994</v>
      </c>
      <c r="O102" s="39"/>
      <c r="P102" s="40" t="str">
        <f>IF(Settings!$E$27="ON",VLOOKUP(B102,ADP!A1:H728,8,FALSE)," ")</f>
        <v xml:space="preserve"> </v>
      </c>
      <c r="Q102" s="41">
        <f>IF(Settings!$E$12="YES",VLOOKUP(B102,'Player Data'!A1:E734,5,FALSE),82)</f>
        <v>79.398928571428598</v>
      </c>
      <c r="R102" s="39">
        <f>VLOOKUP(B102,'Player Data'!$A1:$AE734,6,FALSE)</f>
        <v>18.2777310597683</v>
      </c>
      <c r="S102" s="41">
        <f>VLOOKUP(B102,'Player Data'!$A1:$AE734,7,FALSE)*$Q102*IFERROR((VLOOKUP(P102,Settings!$E$28:$F$33,2,FALSE)+1),1)</f>
        <v>36.25387330291543</v>
      </c>
      <c r="T102" s="41">
        <f>VLOOKUP(B102,'Player Data'!$A1:$AE734,8,FALSE)*$Q102*IFERROR((VLOOKUP(P102,Settings!$E$28:$F$33,2,FALSE)+1),1)</f>
        <v>35.365030705152698</v>
      </c>
      <c r="U102" s="41">
        <f>SUM(S102:T102)</f>
        <v>71.618904008068128</v>
      </c>
      <c r="V102" s="41">
        <f>VLOOKUP(B102,'Player Data'!$A1:$AE734,10,FALSE)*$Q102*IFERROR(((VLOOKUP(P102,Settings!$E$28:$F$33,2,FALSE)/2)+1),1)</f>
        <v>264.32061317981572</v>
      </c>
      <c r="W102" s="41">
        <f>VLOOKUP(B102,'Player Data'!$A1:$AE734,11,FALSE)*$Q102*IFERROR((VLOOKUP(P102,Settings!$E$28:$F$33,2,FALSE)+1),1)</f>
        <v>7.1562797053773197</v>
      </c>
      <c r="X102" s="41">
        <f>VLOOKUP(B102,'Player Data'!$A1:$AE734,12,FALSE)*$Q102*IFERROR((VLOOKUP(P102,Settings!$E$28:$F$33,2,FALSE)+1),1)</f>
        <v>15.00506022701583</v>
      </c>
      <c r="Y102" s="41">
        <f>VLOOKUP(B102,'Player Data'!$A1:$AE734,13,FALSE)*$Q102</f>
        <v>1.8320621889619318E-2</v>
      </c>
      <c r="Z102" s="41">
        <f>VLOOKUP(B102,'Player Data'!$A1:$AE734,14,FALSE)*$Q102</f>
        <v>2.4132800771435755E-2</v>
      </c>
      <c r="AA102" s="41">
        <f>VLOOKUP(B102,'Player Data'!$A1:$AE734,15,FALSE)*$Q102</f>
        <v>29.040344076153893</v>
      </c>
      <c r="AB102" s="41">
        <f>VLOOKUP(B102,'Player Data'!$A1:$AE734,16,FALSE)*$Q102</f>
        <v>41.077848815700399</v>
      </c>
      <c r="AC102" s="41">
        <f>VLOOKUP(B102,'Player Data'!$A1:$AE734,17,FALSE)*$Q102*IFERROR((VLOOKUP(P102,Settings!$E$28:$F$33,2,FALSE)+1),1)</f>
        <v>7.464721234038918</v>
      </c>
      <c r="AD102" s="41">
        <f>VLOOKUP(B102,'Player Data'!$A1:$AE734,18,FALSE)*$Q102</f>
        <v>49.262693719306</v>
      </c>
      <c r="AE102" s="41">
        <f>VLOOKUP(B102,'Player Data'!$A1:$AE734,19,FALSE)*$Q102*IFERROR((VLOOKUP(P102,Settings!$E$28:$F$33,2,FALSE)+1),1)</f>
        <v>5.200700819763223</v>
      </c>
      <c r="AF102" s="41">
        <f>VLOOKUP(B102,'Player Data'!$A1:$AE734,20,FALSE)*$Q102</f>
        <v>24.623362084724867</v>
      </c>
      <c r="AG102" s="41">
        <f>VLOOKUP(B102,'Player Data'!$A1:$AE734,21,FALSE)*$Q102</f>
        <v>20.573068633105198</v>
      </c>
      <c r="AH102" s="42">
        <f>VLOOKUP(B102,'Player Data'!$A1:$AE734,22,FALSE)</f>
        <v>0.54480766940321501</v>
      </c>
      <c r="AI102" s="39"/>
      <c r="AJ102" s="43"/>
      <c r="AK102" s="41"/>
      <c r="AL102" s="41"/>
      <c r="AM102" s="41"/>
      <c r="AN102" s="41"/>
      <c r="AO102" s="41"/>
      <c r="AP102" s="41"/>
      <c r="AQ102" s="44"/>
      <c r="AR102" s="45"/>
      <c r="AS102" s="43"/>
    </row>
    <row r="103" spans="1:45" ht="21.25" customHeight="1" x14ac:dyDescent="0.15">
      <c r="A103" s="31">
        <f>RANK(K103,K$2:K$727)</f>
        <v>102</v>
      </c>
      <c r="B103" s="8" t="s">
        <v>207</v>
      </c>
      <c r="C103" s="32" t="s">
        <v>106</v>
      </c>
      <c r="D103" s="33" t="str">
        <f>VLOOKUP(B103,'Player Data'!A1:D734,4,FALSE)</f>
        <v>G</v>
      </c>
      <c r="E103" s="50">
        <f>VLOOKUP(B103,G!A1:D75,3,FALSE)</f>
        <v>14</v>
      </c>
      <c r="F103" s="35" t="str">
        <f>VLOOKUP(B103,'Player Data'!A1:B734,2,FALSE)</f>
        <v>VGK</v>
      </c>
      <c r="G103" s="9">
        <f>VLOOKUP(B103,'Player Data'!A1:D734,3,FALSE)</f>
        <v>27</v>
      </c>
      <c r="H103" s="36">
        <f>IFERROR(VLOOKUP(B103,ADP!A1:G728,7,FALSE)/1000000,VLOOKUP(B103,ADP!A1:G728,7,FALSE))</f>
        <v>0</v>
      </c>
      <c r="I103" s="37">
        <f>IF(Settings!$E$15="POINTS",(AJ103*Settings!$B$29)+(AK103*Settings!$B$21)+(AL103*Settings!$B$22)+(AN103*Settings!$B$24)+(AO103*Settings!$B$25)+(AP103*Settings!$B$27)+(AM103*Settings!$B$23),VLOOKUP(B103,'Standard Deviations'!A1:C728,3,FALSE))</f>
        <v>387.005148518319</v>
      </c>
      <c r="J103" s="38">
        <f>IF(D103="G",I103/AJ103,I103/Q103)</f>
        <v>8.0626072607983126</v>
      </c>
      <c r="K103" s="37">
        <f>VLOOKUP(B103,G!A1:F75,6,FALSE)</f>
        <v>-11.770513570997196</v>
      </c>
      <c r="L103" s="52" t="str">
        <f>IFERROR(K103/H103,"N/A")</f>
        <v>N/A</v>
      </c>
      <c r="M103" s="39">
        <f>IF(Settings!$E$9="YAHOO",VLOOKUP(B103,ADP!A1:E728,2,FALSE),IF(Settings!$E$9="ESPN",VLOOKUP(B103,ADP!A1:E728,3,FALSE),IF(Settings!$E$9="FANTRAX",VLOOKUP(B103,ADP!A1:E728,4,FALSE),VLOOKUP(B103,ADP!A1:E728,5,FALSE))))</f>
        <v>152.80000000000001</v>
      </c>
      <c r="N103" s="39">
        <f>IFERROR(M103-A103,"N/A")</f>
        <v>50.800000000000011</v>
      </c>
      <c r="O103" s="39"/>
      <c r="P103" s="40" t="str">
        <f>IF(Settings!$E$27="ON",VLOOKUP(B103,ADP!A1:H728,8,FALSE)," ")</f>
        <v>+</v>
      </c>
      <c r="Q103" s="41"/>
      <c r="R103" s="5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2"/>
      <c r="AI103" s="39"/>
      <c r="AJ103" s="43">
        <f>VLOOKUP(B103,'Player Data'!$A1:$AE734,24,FALSE)</f>
        <v>48</v>
      </c>
      <c r="AK103" s="41">
        <f>VLOOKUP(B103,'Player Data'!$A1:$AE734,25,FALSE)*$AJ103*IFERROR((VLOOKUP(P103,Settings!$E$28:$F$33,2,FALSE)+1),1)</f>
        <v>29.89506996723588</v>
      </c>
      <c r="AL103" s="41">
        <f>AJ103-AK103-AM103</f>
        <v>12.10493003276412</v>
      </c>
      <c r="AM103" s="41">
        <f>VLOOKUP(B103,'Player Data'!$A1:$AE734,27,FALSE)*$AJ103</f>
        <v>6</v>
      </c>
      <c r="AN103" s="41">
        <f>VLOOKUP(B103,'Player Data'!$A1:$AE734,28,FALSE)*AJ103</f>
        <v>2.8838678249685361</v>
      </c>
      <c r="AO103" s="41">
        <f>VLOOKUP(B103,'Player Data'!$A1:$AE734,29,FALSE)*$AJ103*IFERROR((VLOOKUP(P103,Settings!$E$28:$F$33,2,FALSE)/4)+1,1)</f>
        <v>1367.5102061566656</v>
      </c>
      <c r="AP103" s="41">
        <f>VLOOKUP(B103,'Player Data'!$A1:$AE734,31,FALSE)*$AJ103*(IFERROR(1-(VLOOKUP(P103,Settings!$E$28:$F$33,2,FALSE)/4),1))</f>
        <v>130.7343000372195</v>
      </c>
      <c r="AQ103" s="44">
        <f>1-(AP103/(AO103+AP103))</f>
        <v>0.91274167901383818</v>
      </c>
      <c r="AR103" s="45">
        <f>AP103/AJ103</f>
        <v>2.7236312507754064</v>
      </c>
      <c r="AS103" s="39"/>
    </row>
    <row r="104" spans="1:45" ht="21.25" customHeight="1" x14ac:dyDescent="0.15">
      <c r="A104" s="31">
        <f>RANK(K104,K$2:K$727)</f>
        <v>103</v>
      </c>
      <c r="B104" s="8" t="s">
        <v>208</v>
      </c>
      <c r="C104" s="32" t="s">
        <v>106</v>
      </c>
      <c r="D104" s="33" t="str">
        <f>VLOOKUP(B104,'Player Data'!A1:D734,4,FALSE)</f>
        <v>LW</v>
      </c>
      <c r="E104" s="47">
        <f>VLOOKUP(B104,LW!A1:C130,3,FALSE)</f>
        <v>23</v>
      </c>
      <c r="F104" s="35" t="str">
        <f>VLOOKUP(B104,'Player Data'!A1:B734,2,FALSE)</f>
        <v>LAK</v>
      </c>
      <c r="G104" s="9">
        <f>VLOOKUP(B104,'Player Data'!A1:D734,3,FALSE)</f>
        <v>25</v>
      </c>
      <c r="H104" s="36">
        <f>IFERROR(VLOOKUP(B104,ADP!A1:G728,7,FALSE)/1000000,VLOOKUP(B104,ADP!A1:G728,7,FALSE))</f>
        <v>8.5</v>
      </c>
      <c r="I104" s="37">
        <f>IF(Settings!$E$15="POINTS",((R104*Q104)*Settings!$B$12)+(S104*Settings!$B$2)+(T104*Settings!$B$3)+(U104*Settings!$B$4)+(V104*Settings!$B$5)+(X104*Settings!$B$9)+(AA104*Settings!$B$6)+(W104*Settings!$B$8)+(AB104*Settings!$B$7)+(AC104*Settings!$B$14)+(AD104*Settings!$B$15)+(AE104*Settings!$B$16)+(AF104*Settings!$B$17)+(AG104*Settings!$B$18)+(Y104*Settings!$B$10)+(Z104*Settings!$B$11),VLOOKUP(B104,'Standard Deviations'!A1:C728,3,FALSE))</f>
        <v>351.79261849203982</v>
      </c>
      <c r="J104" s="38">
        <f>IF(D104="G",I104/AJ104,I104/Q104)</f>
        <v>4.4626339070961798</v>
      </c>
      <c r="K104" s="37">
        <f>IF(Settings!$E$18="C/LW/RW",VLOOKUP(B104,LW!A1:F130,6,FALSE),VLOOKUP(B104,F!A1:F430,6,FALSE))</f>
        <v>-12.247986365610643</v>
      </c>
      <c r="L104" s="37">
        <f>IFERROR(K104/H104,"N/A")</f>
        <v>-1.4409395724247815</v>
      </c>
      <c r="M104" s="39">
        <f>IF(Settings!$E$9="YAHOO",VLOOKUP(B104,ADP!A1:E728,2,FALSE),IF(Settings!$E$9="ESPN",VLOOKUP(B104,ADP!A1:E728,3,FALSE),IF(Settings!$E$9="FANTRAX",VLOOKUP(B104,ADP!A1:E728,4,FALSE),VLOOKUP(B104,ADP!A1:E728,5,FALSE))))</f>
        <v>100.2</v>
      </c>
      <c r="N104" s="39">
        <f>IFERROR(M104-A104,"N/A")</f>
        <v>-2.7999999999999972</v>
      </c>
      <c r="O104" s="39"/>
      <c r="P104" s="40" t="str">
        <f>IF(Settings!$E$27="ON",VLOOKUP(B104,ADP!A1:H728,8,FALSE)," ")</f>
        <v xml:space="preserve"> </v>
      </c>
      <c r="Q104" s="41">
        <f>IF(Settings!$E$12="YES",VLOOKUP(B104,'Player Data'!A1:E734,5,FALSE),82)</f>
        <v>78.830714285714294</v>
      </c>
      <c r="R104" s="39">
        <f>VLOOKUP(B104,'Player Data'!$A1:$AE734,6,FALSE)</f>
        <v>18.589084141255402</v>
      </c>
      <c r="S104" s="41">
        <f>VLOOKUP(B104,'Player Data'!$A1:$AE734,7,FALSE)*$Q104*IFERROR((VLOOKUP(P104,Settings!$E$28:$F$33,2,FALSE)+1),1)</f>
        <v>27.746206184972579</v>
      </c>
      <c r="T104" s="41">
        <f>VLOOKUP(B104,'Player Data'!$A1:$AE734,8,FALSE)*$Q104*IFERROR((VLOOKUP(P104,Settings!$E$28:$F$33,2,FALSE)+1),1)</f>
        <v>36.796159224444224</v>
      </c>
      <c r="U104" s="41">
        <f>SUM(S104:T104)</f>
        <v>64.542365409416803</v>
      </c>
      <c r="V104" s="41">
        <f>VLOOKUP(B104,'Player Data'!$A1:$AE734,10,FALSE)*$Q104*IFERROR(((VLOOKUP(P104,Settings!$E$28:$F$33,2,FALSE)/2)+1),1)</f>
        <v>215.06327807003319</v>
      </c>
      <c r="W104" s="41">
        <f>VLOOKUP(B104,'Player Data'!$A1:$AE734,11,FALSE)*$Q104*IFERROR((VLOOKUP(P104,Settings!$E$28:$F$33,2,FALSE)+1),1)</f>
        <v>10.825845320271682</v>
      </c>
      <c r="X104" s="41">
        <f>VLOOKUP(B104,'Player Data'!$A1:$AE734,12,FALSE)*$Q104*IFERROR((VLOOKUP(P104,Settings!$E$28:$F$33,2,FALSE)+1),1)</f>
        <v>20.525920753477486</v>
      </c>
      <c r="Y104" s="41">
        <f>VLOOKUP(B104,'Player Data'!$A1:$AE734,13,FALSE)*$Q104</f>
        <v>3.3510952354709765E-2</v>
      </c>
      <c r="Z104" s="41">
        <f>VLOOKUP(B104,'Player Data'!$A1:$AE734,14,FALSE)*$Q104</f>
        <v>6.1140394459256939E-2</v>
      </c>
      <c r="AA104" s="41">
        <f>VLOOKUP(B104,'Player Data'!$A1:$AE734,15,FALSE)*$Q104</f>
        <v>47.298804664496693</v>
      </c>
      <c r="AB104" s="41">
        <f>VLOOKUP(B104,'Player Data'!$A1:$AE734,16,FALSE)*$Q104</f>
        <v>87.65772193592592</v>
      </c>
      <c r="AC104" s="41">
        <f>VLOOKUP(B104,'Player Data'!$A1:$AE734,17,FALSE)*$Q104*IFERROR((VLOOKUP(P104,Settings!$E$28:$F$33,2,FALSE)+1),1)</f>
        <v>1.0762686713489895</v>
      </c>
      <c r="AD104" s="41">
        <f>VLOOKUP(B104,'Player Data'!$A1:$AE734,18,FALSE)*$Q104</f>
        <v>73.377605502365725</v>
      </c>
      <c r="AE104" s="41">
        <f>VLOOKUP(B104,'Player Data'!$A1:$AE734,19,FALSE)*$Q104*IFERROR((VLOOKUP(P104,Settings!$E$28:$F$33,2,FALSE)+1),1)</f>
        <v>4.1193080654490579</v>
      </c>
      <c r="AF104" s="41">
        <f>VLOOKUP(B104,'Player Data'!$A1:$AE734,20,FALSE)*$Q104</f>
        <v>499.79739115608521</v>
      </c>
      <c r="AG104" s="41">
        <f>VLOOKUP(B104,'Player Data'!$A1:$AE734,21,FALSE)*$Q104</f>
        <v>555.13989973771311</v>
      </c>
      <c r="AH104" s="42">
        <f>VLOOKUP(B104,'Player Data'!$A1:$AE734,22,FALSE)</f>
        <v>0.47376976382419</v>
      </c>
      <c r="AI104" s="39"/>
      <c r="AJ104" s="43"/>
      <c r="AK104" s="41"/>
      <c r="AL104" s="41"/>
      <c r="AM104" s="41"/>
      <c r="AN104" s="41"/>
      <c r="AO104" s="41"/>
      <c r="AP104" s="41"/>
      <c r="AQ104" s="44"/>
      <c r="AR104" s="45"/>
      <c r="AS104" s="39"/>
    </row>
    <row r="105" spans="1:45" ht="21.25" customHeight="1" x14ac:dyDescent="0.15">
      <c r="A105" s="31">
        <f>RANK(K105,K$2:K$727)</f>
        <v>104</v>
      </c>
      <c r="B105" s="8" t="s">
        <v>209</v>
      </c>
      <c r="C105" s="32" t="s">
        <v>106</v>
      </c>
      <c r="D105" s="33" t="str">
        <f>VLOOKUP(B105,'Player Data'!A1:D734,4,FALSE)</f>
        <v>C</v>
      </c>
      <c r="E105" s="34">
        <f>VLOOKUP(B105,'C'!A1:C211,3,FALSE)</f>
        <v>28</v>
      </c>
      <c r="F105" s="35" t="str">
        <f>VLOOKUP(B105,'Player Data'!A1:B734,2,FALSE)</f>
        <v>CHI</v>
      </c>
      <c r="G105" s="9">
        <f>VLOOKUP(B105,'Player Data'!A1:D734,3,FALSE)</f>
        <v>18</v>
      </c>
      <c r="H105" s="36">
        <f>IFERROR(VLOOKUP(B105,ADP!A1:G728,7,FALSE)/1000000,VLOOKUP(B105,ADP!A1:G728,7,FALSE))</f>
        <v>0</v>
      </c>
      <c r="I105" s="37">
        <f>IF(Settings!$E$15="POINTS",((R105*Q105)*Settings!$B$12)+(S105*Settings!$B$2)+(T105*Settings!$B$3)+(U105*Settings!$B$4)+(V105*Settings!$B$5)+(X105*Settings!$B$9)+(AA105*Settings!$B$6)+(W105*Settings!$B$8)+(AB105*Settings!$B$7)+(AC105*Settings!$B$14)+(AD105*Settings!$B$15)+(AE105*Settings!$B$16)+(AF105*Settings!$B$17)+(AG105*Settings!$B$18)+(Y105*Settings!$B$10)+(Z105*Settings!$B$11),VLOOKUP(B105,'Standard Deviations'!A1:C728,3,FALSE))</f>
        <v>380.42792343629969</v>
      </c>
      <c r="J105" s="38">
        <f>IF(D105="G",I105/AJ105,I105/Q105)</f>
        <v>4.8772810696961502</v>
      </c>
      <c r="K105" s="37">
        <f>IF(Settings!$E$18="C/LW/RW",VLOOKUP(B105,'C'!A1:F211,6,FALSE),VLOOKUP(B105,F!A1:F430,6,FALSE))</f>
        <v>-12.900882329909962</v>
      </c>
      <c r="L105" s="52" t="str">
        <f>IFERROR(K105/H105,"N/A")</f>
        <v>N/A</v>
      </c>
      <c r="M105" s="39">
        <f>IF(Settings!$E$9="YAHOO",VLOOKUP(B105,ADP!A1:E728,2,FALSE),IF(Settings!$E$9="ESPN",VLOOKUP(B105,ADP!A1:E728,3,FALSE),IF(Settings!$E$9="FANTRAX",VLOOKUP(B105,ADP!A1:E728,4,FALSE),VLOOKUP(B105,ADP!A1:E728,5,FALSE))))</f>
        <v>42</v>
      </c>
      <c r="N105" s="39">
        <f>IFERROR(M105-A105,"N/A")</f>
        <v>-62</v>
      </c>
      <c r="O105" s="39"/>
      <c r="P105" s="40" t="str">
        <f>IF(Settings!$E$27="ON",VLOOKUP(B105,ADP!A1:H728,8,FALSE)," ")</f>
        <v>-</v>
      </c>
      <c r="Q105" s="41">
        <f>IF(Settings!$E$12="YES",VLOOKUP(B105,'Player Data'!A1:E734,5,FALSE),82)</f>
        <v>78</v>
      </c>
      <c r="R105" s="39">
        <f>VLOOKUP(B105,'Player Data'!$A1:$AE734,6,FALSE)</f>
        <v>19</v>
      </c>
      <c r="S105" s="41">
        <f>VLOOKUP(B105,'Player Data'!$A1:$AE734,7,FALSE)*$Q105*IFERROR((VLOOKUP(P105,Settings!$E$28:$F$33,2,FALSE)+1),1)</f>
        <v>31.266713018707112</v>
      </c>
      <c r="T105" s="41">
        <f>VLOOKUP(B105,'Player Data'!$A1:$AE734,8,FALSE)*$Q105*IFERROR((VLOOKUP(P105,Settings!$E$28:$F$33,2,FALSE)+1),1)</f>
        <v>42.769949291104737</v>
      </c>
      <c r="U105" s="41">
        <f>SUM(S105:T105)</f>
        <v>74.036662309811845</v>
      </c>
      <c r="V105" s="41">
        <f>VLOOKUP(B105,'Player Data'!$A1:$AE734,10,FALSE)*$Q105*IFERROR(((VLOOKUP(P105,Settings!$E$28:$F$33,2,FALSE)/2)+1),1)</f>
        <v>209.24940843998053</v>
      </c>
      <c r="W105" s="41">
        <f>VLOOKUP(B105,'Player Data'!$A1:$AE734,11,FALSE)*$Q105*IFERROR((VLOOKUP(P105,Settings!$E$28:$F$33,2,FALSE)+1),1)</f>
        <v>9.8352921605541486</v>
      </c>
      <c r="X105" s="41">
        <f>VLOOKUP(B105,'Player Data'!$A1:$AE734,12,FALSE)*$Q105*IFERROR((VLOOKUP(P105,Settings!$E$28:$F$33,2,FALSE)+1),1)</f>
        <v>23.289055167827204</v>
      </c>
      <c r="Y105" s="41">
        <f>VLOOKUP(B105,'Player Data'!$A1:$AE734,13,FALSE)*$Q105</f>
        <v>0</v>
      </c>
      <c r="Z105" s="41">
        <f>VLOOKUP(B105,'Player Data'!$A1:$AE734,14,FALSE)*$Q105</f>
        <v>0</v>
      </c>
      <c r="AA105" s="41">
        <f>VLOOKUP(B105,'Player Data'!$A1:$AE734,15,FALSE)*$Q105</f>
        <v>35.575609756097577</v>
      </c>
      <c r="AB105" s="41">
        <f>VLOOKUP(B105,'Player Data'!$A1:$AE734,16,FALSE)*$Q105</f>
        <v>42.804878048780481</v>
      </c>
      <c r="AC105" s="41">
        <f>VLOOKUP(B105,'Player Data'!$A1:$AE734,17,FALSE)*$Q105*IFERROR((VLOOKUP(P105,Settings!$E$28:$F$33,2,FALSE)+1),1)</f>
        <v>0.5873780487804876</v>
      </c>
      <c r="AD105" s="41">
        <f>VLOOKUP(B105,'Player Data'!$A1:$AE734,18,FALSE)*$Q105</f>
        <v>22.829268292682904</v>
      </c>
      <c r="AE105" s="41">
        <f>VLOOKUP(B105,'Player Data'!$A1:$AE734,19,FALSE)*$Q105*IFERROR((VLOOKUP(P105,Settings!$E$28:$F$33,2,FALSE)+1),1)</f>
        <v>3.6638819559695506</v>
      </c>
      <c r="AF105" s="41">
        <f>VLOOKUP(B105,'Player Data'!$A1:$AE734,20,FALSE)*$Q105</f>
        <v>256.67782815951745</v>
      </c>
      <c r="AG105" s="41">
        <f>VLOOKUP(B105,'Player Data'!$A1:$AE734,21,FALSE)*$Q105</f>
        <v>369.3656551563779</v>
      </c>
      <c r="AH105" s="42">
        <f>VLOOKUP(B105,'Player Data'!$A1:$AE734,22,FALSE)</f>
        <v>0.41</v>
      </c>
      <c r="AI105" s="39"/>
      <c r="AJ105" s="43"/>
      <c r="AK105" s="41"/>
      <c r="AL105" s="41"/>
      <c r="AM105" s="41"/>
      <c r="AN105" s="41"/>
      <c r="AO105" s="41"/>
      <c r="AP105" s="41"/>
      <c r="AQ105" s="44"/>
      <c r="AR105" s="45"/>
      <c r="AS105" s="43"/>
    </row>
    <row r="106" spans="1:45" ht="21.25" customHeight="1" x14ac:dyDescent="0.15">
      <c r="A106" s="31">
        <f>RANK(K106,K$2:K$727)</f>
        <v>105</v>
      </c>
      <c r="B106" s="8" t="s">
        <v>210</v>
      </c>
      <c r="C106" s="32" t="s">
        <v>106</v>
      </c>
      <c r="D106" s="33" t="str">
        <f>VLOOKUP(B106,'Player Data'!A1:D734,4,FALSE)</f>
        <v>C</v>
      </c>
      <c r="E106" s="34">
        <f>VLOOKUP(B106,'C'!A1:C211,3,FALSE)</f>
        <v>29</v>
      </c>
      <c r="F106" s="35" t="str">
        <f>VLOOKUP(B106,'Player Data'!A1:B734,2,FALSE)</f>
        <v>PIT</v>
      </c>
      <c r="G106" s="9">
        <f>VLOOKUP(B106,'Player Data'!A1:D734,3,FALSE)</f>
        <v>37</v>
      </c>
      <c r="H106" s="36">
        <f>IFERROR(VLOOKUP(B106,ADP!A1:G728,7,FALSE)/1000000,VLOOKUP(B106,ADP!A1:G728,7,FALSE))</f>
        <v>6.1</v>
      </c>
      <c r="I106" s="37">
        <f>IF(Settings!$E$15="POINTS",((R106*Q106)*Settings!$B$12)+(S106*Settings!$B$2)+(T106*Settings!$B$3)+(U106*Settings!$B$4)+(V106*Settings!$B$5)+(X106*Settings!$B$9)+(AA106*Settings!$B$6)+(W106*Settings!$B$8)+(AB106*Settings!$B$7)+(AC106*Settings!$B$14)+(AD106*Settings!$B$15)+(AE106*Settings!$B$16)+(AF106*Settings!$B$17)+(AG106*Settings!$B$18)+(Y106*Settings!$B$10)+(Z106*Settings!$B$11),VLOOKUP(B106,'Standard Deviations'!A1:C728,3,FALSE))</f>
        <v>379.2995926176057</v>
      </c>
      <c r="J106" s="38">
        <f>IF(D106="G",I106/AJ106,I106/Q106)</f>
        <v>5.1941314298465562</v>
      </c>
      <c r="K106" s="37">
        <f>IF(Settings!$E$18="C/LW/RW",VLOOKUP(B106,'C'!A1:F211,6,FALSE),VLOOKUP(B106,F!A1:F430,6,FALSE))</f>
        <v>-14.029213148603958</v>
      </c>
      <c r="L106" s="37">
        <f>IFERROR(K106/H106,"N/A")</f>
        <v>-2.2998710079678619</v>
      </c>
      <c r="M106" s="39">
        <f>IF(Settings!$E$9="YAHOO",VLOOKUP(B106,ADP!A1:E728,2,FALSE),IF(Settings!$E$9="ESPN",VLOOKUP(B106,ADP!A1:E728,3,FALSE),IF(Settings!$E$9="FANTRAX",VLOOKUP(B106,ADP!A1:E728,4,FALSE),VLOOKUP(B106,ADP!A1:E728,5,FALSE))))</f>
        <v>107.4</v>
      </c>
      <c r="N106" s="39">
        <f>IFERROR(M106-A106,"N/A")</f>
        <v>2.4000000000000057</v>
      </c>
      <c r="O106" s="39"/>
      <c r="P106" s="40" t="str">
        <f>IF(Settings!$E$27="ON",VLOOKUP(B106,ADP!A1:H728,8,FALSE)," ")</f>
        <v>+</v>
      </c>
      <c r="Q106" s="41">
        <f>IF(Settings!$E$12="YES",VLOOKUP(B106,'Player Data'!A1:E734,5,FALSE),82)</f>
        <v>73.024642857142894</v>
      </c>
      <c r="R106" s="39">
        <f>VLOOKUP(B106,'Player Data'!$A1:$AE734,6,FALSE)</f>
        <v>18.329727075647899</v>
      </c>
      <c r="S106" s="41">
        <f>VLOOKUP(B106,'Player Data'!$A1:$AE734,7,FALSE)*$Q106*IFERROR((VLOOKUP(P106,Settings!$E$28:$F$33,2,FALSE)+1),1)</f>
        <v>24.63223696199233</v>
      </c>
      <c r="T106" s="41">
        <f>VLOOKUP(B106,'Player Data'!$A1:$AE734,8,FALSE)*$Q106*IFERROR((VLOOKUP(P106,Settings!$E$28:$F$33,2,FALSE)+1),1)</f>
        <v>44.811238005221178</v>
      </c>
      <c r="U106" s="41">
        <f>SUM(S106:T106)</f>
        <v>69.443474967213504</v>
      </c>
      <c r="V106" s="41">
        <f>VLOOKUP(B106,'Player Data'!$A1:$AE734,10,FALSE)*$Q106*IFERROR(((VLOOKUP(P106,Settings!$E$28:$F$33,2,FALSE)/2)+1),1)</f>
        <v>212.41191710370438</v>
      </c>
      <c r="W106" s="41">
        <f>VLOOKUP(B106,'Player Data'!$A1:$AE734,11,FALSE)*$Q106*IFERROR((VLOOKUP(P106,Settings!$E$28:$F$33,2,FALSE)+1),1)</f>
        <v>10.114012828930093</v>
      </c>
      <c r="X106" s="41">
        <f>VLOOKUP(B106,'Player Data'!$A1:$AE734,12,FALSE)*$Q106*IFERROR((VLOOKUP(P106,Settings!$E$28:$F$33,2,FALSE)+1),1)</f>
        <v>29.363700797234419</v>
      </c>
      <c r="Y106" s="41">
        <f>VLOOKUP(B106,'Player Data'!$A1:$AE734,13,FALSE)*$Q106</f>
        <v>6.2259467496398775E-3</v>
      </c>
      <c r="Z106" s="41">
        <f>VLOOKUP(B106,'Player Data'!$A1:$AE734,14,FALSE)*$Q106</f>
        <v>1.1645951733125263E-2</v>
      </c>
      <c r="AA106" s="41">
        <f>VLOOKUP(B106,'Player Data'!$A1:$AE734,15,FALSE)*$Q106</f>
        <v>30.062578330889451</v>
      </c>
      <c r="AB106" s="41">
        <f>VLOOKUP(B106,'Player Data'!$A1:$AE734,16,FALSE)*$Q106</f>
        <v>48.834802046637279</v>
      </c>
      <c r="AC106" s="41">
        <f>VLOOKUP(B106,'Player Data'!$A1:$AE734,17,FALSE)*$Q106*IFERROR((VLOOKUP(P106,Settings!$E$28:$F$33,2,FALSE)+1),1)</f>
        <v>2.8056771493967898</v>
      </c>
      <c r="AD106" s="41">
        <f>VLOOKUP(B106,'Player Data'!$A1:$AE734,18,FALSE)*$Q106</f>
        <v>45.85302194784169</v>
      </c>
      <c r="AE106" s="41">
        <f>VLOOKUP(B106,'Player Data'!$A1:$AE734,19,FALSE)*$Q106*IFERROR((VLOOKUP(P106,Settings!$E$28:$F$33,2,FALSE)+1),1)</f>
        <v>3.9202048195391979</v>
      </c>
      <c r="AF106" s="41">
        <f>VLOOKUP(B106,'Player Data'!$A1:$AE734,20,FALSE)*$Q106</f>
        <v>351.70172415023279</v>
      </c>
      <c r="AG106" s="41">
        <f>VLOOKUP(B106,'Player Data'!$A1:$AE734,21,FALSE)*$Q106</f>
        <v>397.68808853657464</v>
      </c>
      <c r="AH106" s="42">
        <f>VLOOKUP(B106,'Player Data'!$A1:$AE734,22,FALSE)</f>
        <v>0.46931746094768401</v>
      </c>
      <c r="AI106" s="39"/>
      <c r="AJ106" s="43"/>
      <c r="AK106" s="41"/>
      <c r="AL106" s="41"/>
      <c r="AM106" s="41"/>
      <c r="AN106" s="41"/>
      <c r="AO106" s="41"/>
      <c r="AP106" s="41"/>
      <c r="AQ106" s="44"/>
      <c r="AR106" s="45"/>
      <c r="AS106" s="43"/>
    </row>
    <row r="107" spans="1:45" ht="21.25" customHeight="1" x14ac:dyDescent="0.15">
      <c r="A107" s="31">
        <f>RANK(K107,K$2:K$727)</f>
        <v>106</v>
      </c>
      <c r="B107" s="8" t="s">
        <v>211</v>
      </c>
      <c r="C107" s="32" t="s">
        <v>106</v>
      </c>
      <c r="D107" s="33" t="str">
        <f>VLOOKUP(B107,'Player Data'!A1:D734,4,FALSE)</f>
        <v>G</v>
      </c>
      <c r="E107" s="50">
        <f>VLOOKUP(B107,G!A1:D75,3,FALSE)</f>
        <v>15</v>
      </c>
      <c r="F107" s="35" t="str">
        <f>VLOOKUP(B107,'Player Data'!A1:B734,2,FALSE)</f>
        <v>FLA</v>
      </c>
      <c r="G107" s="9">
        <f>VLOOKUP(B107,'Player Data'!A1:D734,3,FALSE)</f>
        <v>34</v>
      </c>
      <c r="H107" s="36">
        <f>IFERROR(VLOOKUP(B107,ADP!A1:G728,7,FALSE)/1000000,VLOOKUP(B107,ADP!A1:G728,7,FALSE))</f>
        <v>10</v>
      </c>
      <c r="I107" s="37">
        <f>IF(Settings!$E$15="POINTS",(AJ107*Settings!$B$29)+(AK107*Settings!$B$21)+(AL107*Settings!$B$22)+(AN107*Settings!$B$24)+(AO107*Settings!$B$25)+(AP107*Settings!$B$27)+(AM107*Settings!$B$23),VLOOKUP(B107,'Standard Deviations'!A1:C728,3,FALSE))</f>
        <v>383.9131315670013</v>
      </c>
      <c r="J107" s="38">
        <f>IF(D107="G",I107/AJ107,I107/Q107)</f>
        <v>7.3829448378269484</v>
      </c>
      <c r="K107" s="37">
        <f>VLOOKUP(B107,G!A1:F75,6,FALSE)</f>
        <v>-14.862530522314898</v>
      </c>
      <c r="L107" s="37">
        <f>IFERROR(K107/H107,"N/A")</f>
        <v>-1.4862530522314898</v>
      </c>
      <c r="M107" s="39">
        <f>IF(Settings!$E$9="YAHOO",VLOOKUP(B107,ADP!A1:E728,2,FALSE),IF(Settings!$E$9="ESPN",VLOOKUP(B107,ADP!A1:E728,3,FALSE),IF(Settings!$E$9="FANTRAX",VLOOKUP(B107,ADP!A1:E728,4,FALSE),VLOOKUP(B107,ADP!A1:E728,5,FALSE))))</f>
        <v>74.7</v>
      </c>
      <c r="N107" s="39">
        <f>IFERROR(M107-A107,"N/A")</f>
        <v>-31.299999999999997</v>
      </c>
      <c r="O107" s="39"/>
      <c r="P107" s="40" t="str">
        <f>IF(Settings!$E$27="ON",VLOOKUP(B107,ADP!A1:H728,8,FALSE)," ")</f>
        <v xml:space="preserve"> </v>
      </c>
      <c r="Q107" s="41"/>
      <c r="R107" s="5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2"/>
      <c r="AI107" s="39"/>
      <c r="AJ107" s="43">
        <f>VLOOKUP(B107,'Player Data'!$A1:$AE734,24,FALSE)</f>
        <v>52</v>
      </c>
      <c r="AK107" s="41">
        <f>VLOOKUP(B107,'Player Data'!$A1:$AE734,25,FALSE)*$AJ107*IFERROR((VLOOKUP(P107,Settings!$E$28:$F$33,2,FALSE)+1),1)</f>
        <v>30.236162068056824</v>
      </c>
      <c r="AL107" s="41">
        <f>AJ107-AK107-AM107</f>
        <v>15.263837931943176</v>
      </c>
      <c r="AM107" s="41">
        <f>VLOOKUP(B107,'Player Data'!$A1:$AE734,27,FALSE)*$AJ107</f>
        <v>6.5</v>
      </c>
      <c r="AN107" s="41">
        <f>VLOOKUP(B107,'Player Data'!$A1:$AE734,28,FALSE)*AJ107</f>
        <v>2.4424155597255077</v>
      </c>
      <c r="AO107" s="41">
        <f>VLOOKUP(B107,'Player Data'!$A1:$AE734,29,FALSE)*$AJ107*IFERROR((VLOOKUP(P107,Settings!$E$28:$F$33,2,FALSE)/4)+1,1)</f>
        <v>1490.7117049481071</v>
      </c>
      <c r="AP107" s="41">
        <f>VLOOKUP(B107,'Player Data'!$A1:$AE734,31,FALSE)*$AJ107*(IFERROR(1-(VLOOKUP(P107,Settings!$E$28:$F$33,2,FALSE)/4),1))</f>
        <v>152.34534607689125</v>
      </c>
      <c r="AQ107" s="44">
        <f>1-(AP107/(AO107+AP107))</f>
        <v>0.90727933276458494</v>
      </c>
      <c r="AR107" s="45">
        <f>AP107/AJ107</f>
        <v>2.9297181937863703</v>
      </c>
      <c r="AS107" s="39"/>
    </row>
    <row r="108" spans="1:45" ht="21.25" customHeight="1" x14ac:dyDescent="0.15">
      <c r="A108" s="31">
        <f>RANK(K108,K$2:K$727)</f>
        <v>107</v>
      </c>
      <c r="B108" s="8" t="s">
        <v>212</v>
      </c>
      <c r="C108" s="32" t="s">
        <v>106</v>
      </c>
      <c r="D108" s="33" t="str">
        <f>VLOOKUP(B108,'Player Data'!A1:D734,4,FALSE)</f>
        <v>G</v>
      </c>
      <c r="E108" s="50">
        <f>VLOOKUP(B108,G!A1:D75,3,FALSE)</f>
        <v>16</v>
      </c>
      <c r="F108" s="35" t="str">
        <f>VLOOKUP(B108,'Player Data'!A1:B734,2,FALSE)</f>
        <v>CGY</v>
      </c>
      <c r="G108" s="9">
        <f>VLOOKUP(B108,'Player Data'!A1:D734,3,FALSE)</f>
        <v>33</v>
      </c>
      <c r="H108" s="36">
        <f>IFERROR(VLOOKUP(B108,ADP!A1:G728,7,FALSE)/1000000,VLOOKUP(B108,ADP!A1:G728,7,FALSE))</f>
        <v>6</v>
      </c>
      <c r="I108" s="37">
        <f>IF(Settings!$E$15="POINTS",(AJ108*Settings!$B$29)+(AK108*Settings!$B$21)+(AL108*Settings!$B$22)+(AN108*Settings!$B$24)+(AO108*Settings!$B$25)+(AP108*Settings!$B$27)+(AM108*Settings!$B$23),VLOOKUP(B108,'Standard Deviations'!A1:C728,3,FALSE))</f>
        <v>383.88019465813812</v>
      </c>
      <c r="J108" s="38">
        <f>IF(D108="G",I108/AJ108,I108/Q108)</f>
        <v>7.1088924936692246</v>
      </c>
      <c r="K108" s="37">
        <f>VLOOKUP(B108,G!A1:F75,6,FALSE)</f>
        <v>-14.895467431178076</v>
      </c>
      <c r="L108" s="37">
        <f>IFERROR(K108/H108,"N/A")</f>
        <v>-2.4825779051963459</v>
      </c>
      <c r="M108" s="39">
        <f>IF(Settings!$E$9="YAHOO",VLOOKUP(B108,ADP!A1:E728,2,FALSE),IF(Settings!$E$9="ESPN",VLOOKUP(B108,ADP!A1:E728,3,FALSE),IF(Settings!$E$9="FANTRAX",VLOOKUP(B108,ADP!A1:E728,4,FALSE),VLOOKUP(B108,ADP!A1:E728,5,FALSE))))</f>
        <v>136.69999999999999</v>
      </c>
      <c r="N108" s="39">
        <f>IFERROR(M108-A108,"N/A")</f>
        <v>29.699999999999989</v>
      </c>
      <c r="O108" s="39"/>
      <c r="P108" s="40" t="str">
        <f>IF(Settings!$E$27="ON",VLOOKUP(B108,ADP!A1:H728,8,FALSE)," ")</f>
        <v xml:space="preserve"> </v>
      </c>
      <c r="Q108" s="41"/>
      <c r="R108" s="5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2"/>
      <c r="AI108" s="39"/>
      <c r="AJ108" s="43">
        <f>VLOOKUP(B108,'Player Data'!$A1:$AE734,24,FALSE)</f>
        <v>54</v>
      </c>
      <c r="AK108" s="41">
        <f>VLOOKUP(B108,'Player Data'!$A1:$AE734,25,FALSE)*$AJ108*IFERROR((VLOOKUP(P108,Settings!$E$28:$F$33,2,FALSE)+1),1)</f>
        <v>30.039336133255208</v>
      </c>
      <c r="AL108" s="41">
        <f>AJ108-AK108-AM108</f>
        <v>17.210663866744792</v>
      </c>
      <c r="AM108" s="41">
        <f>VLOOKUP(B108,'Player Data'!$A1:$AE734,27,FALSE)*$AJ108</f>
        <v>6.75</v>
      </c>
      <c r="AN108" s="41">
        <f>VLOOKUP(B108,'Player Data'!$A1:$AE734,28,FALSE)*AJ108</f>
        <v>3.3841124084475251</v>
      </c>
      <c r="AO108" s="41">
        <f>VLOOKUP(B108,'Player Data'!$A1:$AE734,29,FALSE)*$AJ108*IFERROR((VLOOKUP(P108,Settings!$E$28:$F$33,2,FALSE)/4)+1,1)</f>
        <v>1456.6387808582801</v>
      </c>
      <c r="AP108" s="41">
        <f>VLOOKUP(B108,'Player Data'!$A1:$AE734,31,FALSE)*$AJ108*(IFERROR(1-(VLOOKUP(P108,Settings!$E$28:$F$33,2,FALSE)/4),1))</f>
        <v>147.10847632922088</v>
      </c>
      <c r="AQ108" s="44">
        <f>1-(AP108/(AO108+AP108))</f>
        <v>0.90827203247274402</v>
      </c>
      <c r="AR108" s="45">
        <f>AP108/AJ108</f>
        <v>2.7242310431337198</v>
      </c>
      <c r="AS108" s="39"/>
    </row>
    <row r="109" spans="1:45" ht="21.25" customHeight="1" x14ac:dyDescent="0.15">
      <c r="A109" s="31">
        <f>RANK(K109,K$2:K$727)</f>
        <v>108</v>
      </c>
      <c r="B109" s="8" t="s">
        <v>213</v>
      </c>
      <c r="C109" s="32" t="s">
        <v>106</v>
      </c>
      <c r="D109" s="33" t="str">
        <f>VLOOKUP(B109,'Player Data'!A1:D734,4,FALSE)</f>
        <v>D</v>
      </c>
      <c r="E109" s="49">
        <f>VLOOKUP(B109,D!A1:C227,3,FALSE)</f>
        <v>24</v>
      </c>
      <c r="F109" s="35" t="str">
        <f>VLOOKUP(B109,'Player Data'!A1:B734,2,FALSE)</f>
        <v>SEA</v>
      </c>
      <c r="G109" s="9">
        <f>VLOOKUP(B109,'Player Data'!A1:D734,3,FALSE)</f>
        <v>26</v>
      </c>
      <c r="H109" s="36">
        <f>IFERROR(VLOOKUP(B109,ADP!A1:G728,7,FALSE)/1000000,VLOOKUP(B109,ADP!A1:G728,7,FALSE))</f>
        <v>7.35</v>
      </c>
      <c r="I109" s="37">
        <f>IF(Settings!$E$15="POINTS",((R109*Q109)*Settings!$B$12)+(S109*Settings!$B$2)+(T109*Settings!$B$3)+(U109*Settings!$B$4)+(V109*Settings!$B$5)+(X109*Settings!$B$9)+(AA109*Settings!$B$6)+(W109*Settings!$B$8)+(AB109*Settings!$B$7)+(AC109*Settings!$B$14)+(AD109*Settings!$B$15)+(AE109*Settings!$B$16)+(AF109*Settings!$B$17)+(AG109*Settings!$B$18)+(U109*Settings!$B$13)+(Y109*Settings!$B$10)+(Z109*Settings!$B$11),VLOOKUP(B109,'Standard Deviations'!A1:C728,3,FALSE))</f>
        <v>296.24081699177509</v>
      </c>
      <c r="J109" s="38">
        <f>IF(D109="G",I109/AJ109,I109/Q109)</f>
        <v>3.7636315636546245</v>
      </c>
      <c r="K109" s="37">
        <f>VLOOKUP(B109,D!A1:F227,6,FALSE)</f>
        <v>-15.324664636152363</v>
      </c>
      <c r="L109" s="37">
        <f>IFERROR(K109/H109,"N/A")</f>
        <v>-2.0849883858710698</v>
      </c>
      <c r="M109" s="39">
        <f>IF(Settings!$E$9="YAHOO",VLOOKUP(B109,ADP!A1:E728,2,FALSE),IF(Settings!$E$9="ESPN",VLOOKUP(B109,ADP!A1:E728,3,FALSE),IF(Settings!$E$9="FANTRAX",VLOOKUP(B109,ADP!A1:E728,4,FALSE),VLOOKUP(B109,ADP!A1:E728,5,FALSE))))</f>
        <v>98.9</v>
      </c>
      <c r="N109" s="39">
        <f>IFERROR(M109-A109,"N/A")</f>
        <v>-9.0999999999999943</v>
      </c>
      <c r="O109" s="39"/>
      <c r="P109" s="40" t="str">
        <f>IF(Settings!$E$27="ON",VLOOKUP(B109,ADP!A1:H728,8,FALSE)," ")</f>
        <v>+</v>
      </c>
      <c r="Q109" s="41">
        <f>IF(Settings!$E$12="YES",VLOOKUP(B109,'Player Data'!A1:E734,5,FALSE),82)</f>
        <v>78.711428571428598</v>
      </c>
      <c r="R109" s="39">
        <f>VLOOKUP(B109,'Player Data'!$A1:$AE734,6,FALSE)</f>
        <v>23.553831382584299</v>
      </c>
      <c r="S109" s="41">
        <f>VLOOKUP(B109,'Player Data'!$A1:$AE734,7,FALSE)*$Q109*IFERROR((VLOOKUP(P109,Settings!$E$28:$F$33,2,FALSE)+1),1)</f>
        <v>11.909449860693329</v>
      </c>
      <c r="T109" s="41">
        <f>VLOOKUP(B109,'Player Data'!$A1:$AE734,8,FALSE)*$Q109*IFERROR((VLOOKUP(P109,Settings!$E$28:$F$33,2,FALSE)+1),1)</f>
        <v>44.258235123733222</v>
      </c>
      <c r="U109" s="41">
        <f>SUM(S109:T109)</f>
        <v>56.16768498442655</v>
      </c>
      <c r="V109" s="41">
        <f>VLOOKUP(B109,'Player Data'!$A1:$AE734,10,FALSE)*$Q109*IFERROR(((VLOOKUP(P109,Settings!$E$28:$F$33,2,FALSE)/2)+1),1)</f>
        <v>152.77656566731676</v>
      </c>
      <c r="W109" s="41">
        <f>VLOOKUP(B109,'Player Data'!$A1:$AE734,11,FALSE)*$Q109*IFERROR((VLOOKUP(P109,Settings!$E$28:$F$33,2,FALSE)+1),1)</f>
        <v>1.6326170591235436</v>
      </c>
      <c r="X109" s="41">
        <f>VLOOKUP(B109,'Player Data'!$A1:$AE734,12,FALSE)*$Q109*IFERROR((VLOOKUP(P109,Settings!$E$28:$F$33,2,FALSE)+1),1)</f>
        <v>16.672008019054676</v>
      </c>
      <c r="Y109" s="41">
        <f>VLOOKUP(B109,'Player Data'!$A1:$AE734,13,FALSE)*$Q109</f>
        <v>2.2166540745265025E-2</v>
      </c>
      <c r="Z109" s="41">
        <f>VLOOKUP(B109,'Player Data'!$A1:$AE734,14,FALSE)*$Q109</f>
        <v>8.2142566027740588E-2</v>
      </c>
      <c r="AA109" s="41">
        <f>VLOOKUP(B109,'Player Data'!$A1:$AE734,15,FALSE)*$Q109</f>
        <v>89.205890173361169</v>
      </c>
      <c r="AB109" s="41">
        <f>VLOOKUP(B109,'Player Data'!$A1:$AE734,16,FALSE)*$Q109</f>
        <v>103.9328406289272</v>
      </c>
      <c r="AC109" s="41">
        <f>VLOOKUP(B109,'Player Data'!$A1:$AE734,17,FALSE)*$Q109*IFERROR((VLOOKUP(P109,Settings!$E$28:$F$33,2,FALSE)+1),1)</f>
        <v>2.2450203641547835</v>
      </c>
      <c r="AD109" s="41">
        <f>VLOOKUP(B109,'Player Data'!$A1:$AE734,18,FALSE)*$Q109</f>
        <v>58.211813674001853</v>
      </c>
      <c r="AE109" s="41">
        <f>VLOOKUP(B109,'Player Data'!$A1:$AE734,19,FALSE)*$Q109*IFERROR((VLOOKUP(P109,Settings!$E$28:$F$33,2,FALSE)+1),1)</f>
        <v>1.6740038980326732</v>
      </c>
      <c r="AF109" s="41">
        <f>VLOOKUP(B109,'Player Data'!$A1:$AE734,20,FALSE)*$Q109</f>
        <v>0</v>
      </c>
      <c r="AG109" s="41">
        <f>VLOOKUP(B109,'Player Data'!$A1:$AE734,21,FALSE)*$Q109</f>
        <v>0</v>
      </c>
      <c r="AH109" s="42">
        <f>VLOOKUP(B109,'Player Data'!$A1:$AE734,22,FALSE)</f>
        <v>0</v>
      </c>
      <c r="AI109" s="39"/>
      <c r="AJ109" s="43"/>
      <c r="AK109" s="41"/>
      <c r="AL109" s="41"/>
      <c r="AM109" s="41"/>
      <c r="AN109" s="41"/>
      <c r="AO109" s="41"/>
      <c r="AP109" s="41"/>
      <c r="AQ109" s="44"/>
      <c r="AR109" s="45"/>
      <c r="AS109" s="43"/>
    </row>
    <row r="110" spans="1:45" ht="21.25" customHeight="1" x14ac:dyDescent="0.15">
      <c r="A110" s="31">
        <f>RANK(K110,K$2:K$727)</f>
        <v>109</v>
      </c>
      <c r="B110" s="8" t="s">
        <v>214</v>
      </c>
      <c r="C110" s="32" t="s">
        <v>106</v>
      </c>
      <c r="D110" s="33" t="str">
        <f>VLOOKUP(B110,'Player Data'!A1:D734,4,FALSE)</f>
        <v>C</v>
      </c>
      <c r="E110" s="34">
        <f>VLOOKUP(B110,'C'!A1:C211,3,FALSE)</f>
        <v>30</v>
      </c>
      <c r="F110" s="35" t="str">
        <f>VLOOKUP(B110,'Player Data'!A1:B734,2,FALSE)</f>
        <v>FLA</v>
      </c>
      <c r="G110" s="9">
        <f>VLOOKUP(B110,'Player Data'!A1:D734,3,FALSE)</f>
        <v>27</v>
      </c>
      <c r="H110" s="36">
        <f>IFERROR(VLOOKUP(B110,ADP!A1:G728,7,FALSE)/1000000,VLOOKUP(B110,ADP!A1:G728,7,FALSE))</f>
        <v>6.5</v>
      </c>
      <c r="I110" s="37">
        <f>IF(Settings!$E$15="POINTS",((R110*Q110)*Settings!$B$12)+(S110*Settings!$B$2)+(T110*Settings!$B$3)+(U110*Settings!$B$4)+(V110*Settings!$B$5)+(X110*Settings!$B$9)+(AA110*Settings!$B$6)+(W110*Settings!$B$8)+(AB110*Settings!$B$7)+(AC110*Settings!$B$14)+(AD110*Settings!$B$15)+(AE110*Settings!$B$16)+(AF110*Settings!$B$17)+(AG110*Settings!$B$18)+(Y110*Settings!$B$10)+(Z110*Settings!$B$11),VLOOKUP(B110,'Standard Deviations'!A1:C728,3,FALSE))</f>
        <v>376.99097470573219</v>
      </c>
      <c r="J110" s="38">
        <f>IF(D110="G",I110/AJ110,I110/Q110)</f>
        <v>4.6434812390070981</v>
      </c>
      <c r="K110" s="37">
        <f>IF(Settings!$E$18="C/LW/RW",VLOOKUP(B110,'C'!A1:F211,6,FALSE),VLOOKUP(B110,F!A1:F430,6,FALSE))</f>
        <v>-16.33783106047747</v>
      </c>
      <c r="L110" s="37">
        <f>IFERROR(K110/H110,"N/A")</f>
        <v>-2.5135124708426875</v>
      </c>
      <c r="M110" s="39">
        <f>IF(Settings!$E$9="YAHOO",VLOOKUP(B110,ADP!A1:E728,2,FALSE),IF(Settings!$E$9="ESPN",VLOOKUP(B110,ADP!A1:E728,3,FALSE),IF(Settings!$E$9="FANTRAX",VLOOKUP(B110,ADP!A1:E728,4,FALSE),VLOOKUP(B110,ADP!A1:E728,5,FALSE))))</f>
        <v>150.30000000000001</v>
      </c>
      <c r="N110" s="39">
        <f>IFERROR(M110-A110,"N/A")</f>
        <v>41.300000000000011</v>
      </c>
      <c r="O110" s="39"/>
      <c r="P110" s="40" t="str">
        <f>IF(Settings!$E$27="ON",VLOOKUP(B110,ADP!A1:H728,8,FALSE)," ")</f>
        <v>-</v>
      </c>
      <c r="Q110" s="41">
        <f>IF(Settings!$E$12="YES",VLOOKUP(B110,'Player Data'!A1:E734,5,FALSE),82)</f>
        <v>81.187142857142902</v>
      </c>
      <c r="R110" s="39">
        <f>VLOOKUP(B110,'Player Data'!$A1:$AE734,6,FALSE)</f>
        <v>19.4591950002287</v>
      </c>
      <c r="S110" s="41">
        <f>VLOOKUP(B110,'Player Data'!$A1:$AE734,7,FALSE)*$Q110*IFERROR((VLOOKUP(P110,Settings!$E$28:$F$33,2,FALSE)+1),1)</f>
        <v>30.742704564368232</v>
      </c>
      <c r="T110" s="41">
        <f>VLOOKUP(B110,'Player Data'!$A1:$AE734,8,FALSE)*$Q110*IFERROR((VLOOKUP(P110,Settings!$E$28:$F$33,2,FALSE)+1),1)</f>
        <v>37.913185835263086</v>
      </c>
      <c r="U110" s="41">
        <f>SUM(S110:T110)</f>
        <v>68.655890399631318</v>
      </c>
      <c r="V110" s="41">
        <f>VLOOKUP(B110,'Player Data'!$A1:$AE734,10,FALSE)*$Q110*IFERROR(((VLOOKUP(P110,Settings!$E$28:$F$33,2,FALSE)/2)+1),1)</f>
        <v>210.46082416628849</v>
      </c>
      <c r="W110" s="41">
        <f>VLOOKUP(B110,'Player Data'!$A1:$AE734,11,FALSE)*$Q110*IFERROR((VLOOKUP(P110,Settings!$E$28:$F$33,2,FALSE)+1),1)</f>
        <v>13.440127408591085</v>
      </c>
      <c r="X110" s="41">
        <f>VLOOKUP(B110,'Player Data'!$A1:$AE734,12,FALSE)*$Q110*IFERROR((VLOOKUP(P110,Settings!$E$28:$F$33,2,FALSE)+1),1)</f>
        <v>25.672642049610257</v>
      </c>
      <c r="Y110" s="41">
        <f>VLOOKUP(B110,'Player Data'!$A1:$AE734,13,FALSE)*$Q110</f>
        <v>0.12992593261017607</v>
      </c>
      <c r="Z110" s="41">
        <f>VLOOKUP(B110,'Player Data'!$A1:$AE734,14,FALSE)*$Q110</f>
        <v>2.7911112641096514</v>
      </c>
      <c r="AA110" s="41">
        <f>VLOOKUP(B110,'Player Data'!$A1:$AE734,15,FALSE)*$Q110</f>
        <v>44.326923981270959</v>
      </c>
      <c r="AB110" s="41">
        <f>VLOOKUP(B110,'Player Data'!$A1:$AE734,16,FALSE)*$Q110</f>
        <v>58.293217960103</v>
      </c>
      <c r="AC110" s="41">
        <f>VLOOKUP(B110,'Player Data'!$A1:$AE734,17,FALSE)*$Q110*IFERROR((VLOOKUP(P110,Settings!$E$28:$F$33,2,FALSE)+1),1)</f>
        <v>3.5519638468786217</v>
      </c>
      <c r="AD110" s="41">
        <f>VLOOKUP(B110,'Player Data'!$A1:$AE734,18,FALSE)*$Q110</f>
        <v>17.185062476721164</v>
      </c>
      <c r="AE110" s="41">
        <f>VLOOKUP(B110,'Player Data'!$A1:$AE734,19,FALSE)*$Q110*IFERROR((VLOOKUP(P110,Settings!$E$28:$F$33,2,FALSE)+1),1)</f>
        <v>4.4101110933377514</v>
      </c>
      <c r="AF110" s="41">
        <f>VLOOKUP(B110,'Player Data'!$A1:$AE734,20,FALSE)*$Q110</f>
        <v>217.40716094337367</v>
      </c>
      <c r="AG110" s="41">
        <f>VLOOKUP(B110,'Player Data'!$A1:$AE734,21,FALSE)*$Q110</f>
        <v>226.34168259301325</v>
      </c>
      <c r="AH110" s="42">
        <f>VLOOKUP(B110,'Player Data'!$A1:$AE734,22,FALSE)</f>
        <v>0.48993290711651599</v>
      </c>
      <c r="AI110" s="39"/>
      <c r="AJ110" s="43"/>
      <c r="AK110" s="41"/>
      <c r="AL110" s="41"/>
      <c r="AM110" s="41"/>
      <c r="AN110" s="41"/>
      <c r="AO110" s="41"/>
      <c r="AP110" s="41"/>
      <c r="AQ110" s="44"/>
      <c r="AR110" s="45"/>
      <c r="AS110" s="39"/>
    </row>
    <row r="111" spans="1:45" ht="21.25" customHeight="1" x14ac:dyDescent="0.15">
      <c r="A111" s="31">
        <f>RANK(K111,K$2:K$727)</f>
        <v>110</v>
      </c>
      <c r="B111" s="8" t="s">
        <v>215</v>
      </c>
      <c r="C111" s="32" t="s">
        <v>106</v>
      </c>
      <c r="D111" s="33" t="str">
        <f>VLOOKUP(B111,'Player Data'!A1:D734,4,FALSE)</f>
        <v>LW</v>
      </c>
      <c r="E111" s="47">
        <f>VLOOKUP(B111,LW!A1:C130,3,FALSE)</f>
        <v>24</v>
      </c>
      <c r="F111" s="35" t="str">
        <f>VLOOKUP(B111,'Player Data'!A1:B734,2,FALSE)</f>
        <v>WPG</v>
      </c>
      <c r="G111" s="9">
        <f>VLOOKUP(B111,'Player Data'!A1:D734,3,FALSE)</f>
        <v>27</v>
      </c>
      <c r="H111" s="36">
        <f>IFERROR(VLOOKUP(B111,ADP!A1:G728,7,FALSE)/1000000,VLOOKUP(B111,ADP!A1:G728,7,FALSE))</f>
        <v>6</v>
      </c>
      <c r="I111" s="37">
        <f>IF(Settings!$E$15="POINTS",((R111*Q111)*Settings!$B$12)+(S111*Settings!$B$2)+(T111*Settings!$B$3)+(U111*Settings!$B$4)+(V111*Settings!$B$5)+(X111*Settings!$B$9)+(AA111*Settings!$B$6)+(W111*Settings!$B$8)+(AB111*Settings!$B$7)+(AC111*Settings!$B$14)+(AD111*Settings!$B$15)+(AE111*Settings!$B$16)+(AF111*Settings!$B$17)+(AG111*Settings!$B$18)+(Y111*Settings!$B$10)+(Z111*Settings!$B$11),VLOOKUP(B111,'Standard Deviations'!A1:C728,3,FALSE))</f>
        <v>347.66087529761461</v>
      </c>
      <c r="J111" s="38">
        <f>IF(D111="G",I111/AJ111,I111/Q111)</f>
        <v>4.8695652976830015</v>
      </c>
      <c r="K111" s="37">
        <f>IF(Settings!$E$18="C/LW/RW",VLOOKUP(B111,LW!A1:F130,6,FALSE),VLOOKUP(B111,F!A1:F430,6,FALSE))</f>
        <v>-16.379729560035855</v>
      </c>
      <c r="L111" s="37">
        <f>IFERROR(K111/H111,"N/A")</f>
        <v>-2.7299549266726424</v>
      </c>
      <c r="M111" s="39">
        <f>IF(Settings!$E$9="YAHOO",VLOOKUP(B111,ADP!A1:E728,2,FALSE),IF(Settings!$E$9="ESPN",VLOOKUP(B111,ADP!A1:E728,3,FALSE),IF(Settings!$E$9="FANTRAX",VLOOKUP(B111,ADP!A1:E728,4,FALSE),VLOOKUP(B111,ADP!A1:E728,5,FALSE))))</f>
        <v>159.4</v>
      </c>
      <c r="N111" s="39">
        <f>IFERROR(M111-A111,"N/A")</f>
        <v>49.400000000000006</v>
      </c>
      <c r="O111" s="39"/>
      <c r="P111" s="40" t="str">
        <f>IF(Settings!$E$27="ON",VLOOKUP(B111,ADP!A1:H728,8,FALSE)," ")</f>
        <v xml:space="preserve"> </v>
      </c>
      <c r="Q111" s="41">
        <f>IF(Settings!$E$12="YES",VLOOKUP(B111,'Player Data'!A1:E734,5,FALSE),82)</f>
        <v>71.394642857142898</v>
      </c>
      <c r="R111" s="39">
        <f>VLOOKUP(B111,'Player Data'!$A1:$AE734,6,FALSE)</f>
        <v>16.809844609935499</v>
      </c>
      <c r="S111" s="41">
        <f>VLOOKUP(B111,'Player Data'!$A1:$AE734,7,FALSE)*$Q111*IFERROR((VLOOKUP(P111,Settings!$E$28:$F$33,2,FALSE)+1),1)</f>
        <v>25.839931189366101</v>
      </c>
      <c r="T111" s="41">
        <f>VLOOKUP(B111,'Player Data'!$A1:$AE734,8,FALSE)*$Q111*IFERROR((VLOOKUP(P111,Settings!$E$28:$F$33,2,FALSE)+1),1)</f>
        <v>37.446120490397355</v>
      </c>
      <c r="U111" s="41">
        <f>SUM(S111:T111)</f>
        <v>63.28605167976346</v>
      </c>
      <c r="V111" s="41">
        <f>VLOOKUP(B111,'Player Data'!$A1:$AE734,10,FALSE)*$Q111*IFERROR(((VLOOKUP(P111,Settings!$E$28:$F$33,2,FALSE)/2)+1),1)</f>
        <v>228.71955261218633</v>
      </c>
      <c r="W111" s="41">
        <f>VLOOKUP(B111,'Player Data'!$A1:$AE734,11,FALSE)*$Q111*IFERROR((VLOOKUP(P111,Settings!$E$28:$F$33,2,FALSE)+1),1)</f>
        <v>6.7787099304448679</v>
      </c>
      <c r="X111" s="41">
        <f>VLOOKUP(B111,'Player Data'!$A1:$AE734,12,FALSE)*$Q111*IFERROR((VLOOKUP(P111,Settings!$E$28:$F$33,2,FALSE)+1),1)</f>
        <v>19.492617985818615</v>
      </c>
      <c r="Y111" s="41">
        <f>VLOOKUP(B111,'Player Data'!$A1:$AE734,13,FALSE)*$Q111</f>
        <v>0</v>
      </c>
      <c r="Z111" s="41">
        <f>VLOOKUP(B111,'Player Data'!$A1:$AE734,14,FALSE)*$Q111</f>
        <v>0</v>
      </c>
      <c r="AA111" s="41">
        <f>VLOOKUP(B111,'Player Data'!$A1:$AE734,15,FALSE)*$Q111</f>
        <v>22.28853990296923</v>
      </c>
      <c r="AB111" s="41">
        <f>VLOOKUP(B111,'Player Data'!$A1:$AE734,16,FALSE)*$Q111</f>
        <v>51.816520149872069</v>
      </c>
      <c r="AC111" s="41">
        <f>VLOOKUP(B111,'Player Data'!$A1:$AE734,17,FALSE)*$Q111*IFERROR((VLOOKUP(P111,Settings!$E$28:$F$33,2,FALSE)+1),1)</f>
        <v>4.011876435686009</v>
      </c>
      <c r="AD111" s="41">
        <f>VLOOKUP(B111,'Player Data'!$A1:$AE734,18,FALSE)*$Q111</f>
        <v>22.844142315502484</v>
      </c>
      <c r="AE111" s="41">
        <f>VLOOKUP(B111,'Player Data'!$A1:$AE734,19,FALSE)*$Q111*IFERROR((VLOOKUP(P111,Settings!$E$28:$F$33,2,FALSE)+1),1)</f>
        <v>4.0311157564941684</v>
      </c>
      <c r="AF111" s="41">
        <f>VLOOKUP(B111,'Player Data'!$A1:$AE734,20,FALSE)*$Q111</f>
        <v>2.1109420004727464</v>
      </c>
      <c r="AG111" s="41">
        <f>VLOOKUP(B111,'Player Data'!$A1:$AE734,21,FALSE)*$Q111</f>
        <v>0.97100818174591463</v>
      </c>
      <c r="AH111" s="42">
        <f>VLOOKUP(B111,'Player Data'!$A1:$AE734,22,FALSE)</f>
        <v>0.68493709361424604</v>
      </c>
      <c r="AI111" s="39"/>
      <c r="AJ111" s="43"/>
      <c r="AK111" s="41"/>
      <c r="AL111" s="41"/>
      <c r="AM111" s="41"/>
      <c r="AN111" s="41"/>
      <c r="AO111" s="41"/>
      <c r="AP111" s="41"/>
      <c r="AQ111" s="44"/>
      <c r="AR111" s="45"/>
      <c r="AS111" s="39"/>
    </row>
    <row r="112" spans="1:45" ht="21.25" customHeight="1" x14ac:dyDescent="0.15">
      <c r="A112" s="31">
        <f>RANK(K112,K$2:K$727)</f>
        <v>111</v>
      </c>
      <c r="B112" s="8" t="s">
        <v>216</v>
      </c>
      <c r="C112" s="32" t="s">
        <v>106</v>
      </c>
      <c r="D112" s="33" t="str">
        <f>VLOOKUP(B112,'Player Data'!A1:D734,4,FALSE)</f>
        <v>LW</v>
      </c>
      <c r="E112" s="47">
        <f>VLOOKUP(B112,LW!A1:C130,3,FALSE)</f>
        <v>25</v>
      </c>
      <c r="F112" s="35" t="str">
        <f>VLOOKUP(B112,'Player Data'!A1:B734,2,FALSE)</f>
        <v>SEA</v>
      </c>
      <c r="G112" s="9">
        <f>VLOOKUP(B112,'Player Data'!A1:D734,3,FALSE)</f>
        <v>27</v>
      </c>
      <c r="H112" s="36">
        <f>IFERROR(VLOOKUP(B112,ADP!A1:G728,7,FALSE)/1000000,VLOOKUP(B112,ADP!A1:G728,7,FALSE))</f>
        <v>5</v>
      </c>
      <c r="I112" s="37">
        <f>IF(Settings!$E$15="POINTS",((R112*Q112)*Settings!$B$12)+(S112*Settings!$B$2)+(T112*Settings!$B$3)+(U112*Settings!$B$4)+(V112*Settings!$B$5)+(X112*Settings!$B$9)+(AA112*Settings!$B$6)+(W112*Settings!$B$8)+(AB112*Settings!$B$7)+(AC112*Settings!$B$14)+(AD112*Settings!$B$15)+(AE112*Settings!$B$16)+(AF112*Settings!$B$17)+(AG112*Settings!$B$18)+(Y112*Settings!$B$10)+(Z112*Settings!$B$11),VLOOKUP(B112,'Standard Deviations'!A1:C728,3,FALSE))</f>
        <v>346.33602439025049</v>
      </c>
      <c r="J112" s="38">
        <f>IF(D112="G",I112/AJ112,I112/Q112)</f>
        <v>4.4573490912516149</v>
      </c>
      <c r="K112" s="37">
        <f>IF(Settings!$E$18="C/LW/RW",VLOOKUP(B112,LW!A1:F130,6,FALSE),VLOOKUP(B112,F!A1:F430,6,FALSE))</f>
        <v>-17.704580467399978</v>
      </c>
      <c r="L112" s="37">
        <f>IFERROR(K112/H112,"N/A")</f>
        <v>-3.5409160934799955</v>
      </c>
      <c r="M112" s="39">
        <f>IF(Settings!$E$9="YAHOO",VLOOKUP(B112,ADP!A1:E728,2,FALSE),IF(Settings!$E$9="ESPN",VLOOKUP(B112,ADP!A1:E728,3,FALSE),IF(Settings!$E$9="FANTRAX",VLOOKUP(B112,ADP!A1:E728,4,FALSE),VLOOKUP(B112,ADP!A1:E728,5,FALSE))))</f>
        <v>87.4</v>
      </c>
      <c r="N112" s="39">
        <f>IFERROR(M112-A112,"N/A")</f>
        <v>-23.599999999999994</v>
      </c>
      <c r="O112" s="39"/>
      <c r="P112" s="40" t="str">
        <f>IF(Settings!$E$27="ON",VLOOKUP(B112,ADP!A1:H728,8,FALSE)," ")</f>
        <v xml:space="preserve"> </v>
      </c>
      <c r="Q112" s="41">
        <f>IF(Settings!$E$12="YES",VLOOKUP(B112,'Player Data'!A1:E734,5,FALSE),82)</f>
        <v>77.7</v>
      </c>
      <c r="R112" s="39">
        <f>VLOOKUP(B112,'Player Data'!$A1:$AE734,6,FALSE)</f>
        <v>17.1326661405331</v>
      </c>
      <c r="S112" s="41">
        <f>VLOOKUP(B112,'Player Data'!$A1:$AE734,7,FALSE)*$Q112*IFERROR((VLOOKUP(P112,Settings!$E$28:$F$33,2,FALSE)+1),1)</f>
        <v>34.120785125497846</v>
      </c>
      <c r="T112" s="41">
        <f>VLOOKUP(B112,'Player Data'!$A1:$AE734,8,FALSE)*$Q112*IFERROR((VLOOKUP(P112,Settings!$E$28:$F$33,2,FALSE)+1),1)</f>
        <v>30.682994595716369</v>
      </c>
      <c r="U112" s="41">
        <f>SUM(S112:T112)</f>
        <v>64.803779721214212</v>
      </c>
      <c r="V112" s="41">
        <f>VLOOKUP(B112,'Player Data'!$A1:$AE734,10,FALSE)*$Q112*IFERROR(((VLOOKUP(P112,Settings!$E$28:$F$33,2,FALSE)/2)+1),1)</f>
        <v>212.72892964620959</v>
      </c>
      <c r="W112" s="41">
        <f>VLOOKUP(B112,'Player Data'!$A1:$AE734,11,FALSE)*$Q112*IFERROR((VLOOKUP(P112,Settings!$E$28:$F$33,2,FALSE)+1),1)</f>
        <v>8.3632319725994471</v>
      </c>
      <c r="X112" s="41">
        <f>VLOOKUP(B112,'Player Data'!$A1:$AE734,12,FALSE)*$Q112*IFERROR((VLOOKUP(P112,Settings!$E$28:$F$33,2,FALSE)+1),1)</f>
        <v>17.71351632197964</v>
      </c>
      <c r="Y112" s="41">
        <f>VLOOKUP(B112,'Player Data'!$A1:$AE734,13,FALSE)*$Q112</f>
        <v>1.8980462912869311</v>
      </c>
      <c r="Z112" s="41">
        <f>VLOOKUP(B112,'Player Data'!$A1:$AE734,14,FALSE)*$Q112</f>
        <v>1.9968627004920161</v>
      </c>
      <c r="AA112" s="41">
        <f>VLOOKUP(B112,'Player Data'!$A1:$AE734,15,FALSE)*$Q112</f>
        <v>30.697311792798303</v>
      </c>
      <c r="AB112" s="41">
        <f>VLOOKUP(B112,'Player Data'!$A1:$AE734,16,FALSE)*$Q112</f>
        <v>70.078594773967865</v>
      </c>
      <c r="AC112" s="41">
        <f>VLOOKUP(B112,'Player Data'!$A1:$AE734,17,FALSE)*$Q112*IFERROR((VLOOKUP(P112,Settings!$E$28:$F$33,2,FALSE)+1),1)</f>
        <v>2.3092263255842012</v>
      </c>
      <c r="AD112" s="41">
        <f>VLOOKUP(B112,'Player Data'!$A1:$AE734,18,FALSE)*$Q112</f>
        <v>21.436709603072533</v>
      </c>
      <c r="AE112" s="41">
        <f>VLOOKUP(B112,'Player Data'!$A1:$AE734,19,FALSE)*$Q112*IFERROR((VLOOKUP(P112,Settings!$E$28:$F$33,2,FALSE)+1),1)</f>
        <v>4.7960508648292191</v>
      </c>
      <c r="AF112" s="41">
        <f>VLOOKUP(B112,'Player Data'!$A1:$AE734,20,FALSE)*$Q112</f>
        <v>64.796859283070873</v>
      </c>
      <c r="AG112" s="41">
        <f>VLOOKUP(B112,'Player Data'!$A1:$AE734,21,FALSE)*$Q112</f>
        <v>100.17933944737933</v>
      </c>
      <c r="AH112" s="42">
        <f>VLOOKUP(B112,'Player Data'!$A1:$AE734,22,FALSE)</f>
        <v>0.39276489446177898</v>
      </c>
      <c r="AI112" s="39"/>
      <c r="AJ112" s="43"/>
      <c r="AK112" s="41"/>
      <c r="AL112" s="41"/>
      <c r="AM112" s="41"/>
      <c r="AN112" s="41"/>
      <c r="AO112" s="41"/>
      <c r="AP112" s="41"/>
      <c r="AQ112" s="44"/>
      <c r="AR112" s="45"/>
      <c r="AS112" s="39"/>
    </row>
    <row r="113" spans="1:45" ht="21.25" customHeight="1" x14ac:dyDescent="0.15">
      <c r="A113" s="31">
        <f>RANK(K113,K$2:K$727)</f>
        <v>112</v>
      </c>
      <c r="B113" s="8" t="s">
        <v>217</v>
      </c>
      <c r="C113" s="32" t="s">
        <v>106</v>
      </c>
      <c r="D113" s="33" t="str">
        <f>VLOOKUP(B113,'Player Data'!A1:D734,4,FALSE)</f>
        <v>G</v>
      </c>
      <c r="E113" s="50">
        <f>VLOOKUP(B113,G!A1:D75,3,FALSE)</f>
        <v>17</v>
      </c>
      <c r="F113" s="35" t="str">
        <f>VLOOKUP(B113,'Player Data'!A1:B734,2,FALSE)</f>
        <v>EDM</v>
      </c>
      <c r="G113" s="9">
        <f>VLOOKUP(B113,'Player Data'!A1:D734,3,FALSE)</f>
        <v>24</v>
      </c>
      <c r="H113" s="36">
        <f>IFERROR(VLOOKUP(B113,ADP!A1:G728,7,FALSE)/1000000,VLOOKUP(B113,ADP!A1:G728,7,FALSE))</f>
        <v>0</v>
      </c>
      <c r="I113" s="37">
        <f>IF(Settings!$E$15="POINTS",(AJ113*Settings!$B$29)+(AK113*Settings!$B$21)+(AL113*Settings!$B$22)+(AN113*Settings!$B$24)+(AO113*Settings!$B$25)+(AP113*Settings!$B$27)+(AM113*Settings!$B$23),VLOOKUP(B113,'Standard Deviations'!A1:C728,3,FALSE))</f>
        <v>379.67509277031741</v>
      </c>
      <c r="J113" s="38">
        <f>IF(D113="G",I113/AJ113,I113/Q113)</f>
        <v>7.909897766048279</v>
      </c>
      <c r="K113" s="37">
        <f>VLOOKUP(B113,G!A1:F75,6,FALSE)</f>
        <v>-19.100569318998794</v>
      </c>
      <c r="L113" s="52" t="str">
        <f>IFERROR(K113/H113,"N/A")</f>
        <v>N/A</v>
      </c>
      <c r="M113" s="39">
        <f>IF(Settings!$E$9="YAHOO",VLOOKUP(B113,ADP!A1:E728,2,FALSE),IF(Settings!$E$9="ESPN",VLOOKUP(B113,ADP!A1:E728,3,FALSE),IF(Settings!$E$9="FANTRAX",VLOOKUP(B113,ADP!A1:E728,4,FALSE),VLOOKUP(B113,ADP!A1:E728,5,FALSE))))</f>
        <v>99.2</v>
      </c>
      <c r="N113" s="39">
        <f>IFERROR(M113-A113,"N/A")</f>
        <v>-12.799999999999997</v>
      </c>
      <c r="O113" s="39"/>
      <c r="P113" s="40" t="str">
        <f>IF(Settings!$E$27="ON",VLOOKUP(B113,ADP!A1:H728,8,FALSE)," ")</f>
        <v xml:space="preserve"> </v>
      </c>
      <c r="Q113" s="41"/>
      <c r="R113" s="5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2"/>
      <c r="AI113" s="39"/>
      <c r="AJ113" s="43">
        <f>VLOOKUP(B113,'Player Data'!$A1:$AE734,24,FALSE)</f>
        <v>48</v>
      </c>
      <c r="AK113" s="41">
        <f>VLOOKUP(B113,'Player Data'!$A1:$AE734,25,FALSE)*$AJ113*IFERROR((VLOOKUP(P113,Settings!$E$28:$F$33,2,FALSE)+1),1)</f>
        <v>29.760441025745564</v>
      </c>
      <c r="AL113" s="41">
        <f>AJ113-AK113-AM113</f>
        <v>12.239558974254436</v>
      </c>
      <c r="AM113" s="41">
        <f>VLOOKUP(B113,'Player Data'!$A1:$AE734,27,FALSE)*$AJ113</f>
        <v>6</v>
      </c>
      <c r="AN113" s="41">
        <f>VLOOKUP(B113,'Player Data'!$A1:$AE734,28,FALSE)*AJ113</f>
        <v>3.1200969130670835</v>
      </c>
      <c r="AO113" s="41">
        <f>VLOOKUP(B113,'Player Data'!$A1:$AE734,29,FALSE)*$AJ113*IFERROR((VLOOKUP(P113,Settings!$E$28:$F$33,2,FALSE)/4)+1,1)</f>
        <v>1344.0901166762687</v>
      </c>
      <c r="AP113" s="41">
        <f>VLOOKUP(B113,'Player Data'!$A1:$AE734,31,FALSE)*$AJ113*(IFERROR(1-(VLOOKUP(P113,Settings!$E$28:$F$33,2,FALSE)/4),1))</f>
        <v>129.29716082372929</v>
      </c>
      <c r="AQ113" s="44">
        <f>1-(AP113/(AO113+AP113))</f>
        <v>0.91224495908291192</v>
      </c>
      <c r="AR113" s="45">
        <f>AP113/AJ113</f>
        <v>2.69369085049436</v>
      </c>
      <c r="AS113" s="39"/>
    </row>
    <row r="114" spans="1:45" ht="21.25" customHeight="1" x14ac:dyDescent="0.15">
      <c r="A114" s="31">
        <f>RANK(K114,K$2:K$727)</f>
        <v>113</v>
      </c>
      <c r="B114" s="8" t="s">
        <v>218</v>
      </c>
      <c r="C114" s="32" t="s">
        <v>106</v>
      </c>
      <c r="D114" s="33" t="str">
        <f>VLOOKUP(B114,'Player Data'!A1:D734,4,FALSE)</f>
        <v>C</v>
      </c>
      <c r="E114" s="34">
        <f>VLOOKUP(B114,'C'!A1:C211,3,FALSE)</f>
        <v>31</v>
      </c>
      <c r="F114" s="35" t="str">
        <f>VLOOKUP(B114,'Player Data'!A1:B734,2,FALSE)</f>
        <v>CGY</v>
      </c>
      <c r="G114" s="9">
        <f>VLOOKUP(B114,'Player Data'!A1:D734,3,FALSE)</f>
        <v>28</v>
      </c>
      <c r="H114" s="36">
        <f>IFERROR(VLOOKUP(B114,ADP!A1:G728,7,FALSE)/1000000,VLOOKUP(B114,ADP!A1:G728,7,FALSE))</f>
        <v>4.8499999999999996</v>
      </c>
      <c r="I114" s="37">
        <f>IF(Settings!$E$15="POINTS",((R114*Q114)*Settings!$B$12)+(S114*Settings!$B$2)+(T114*Settings!$B$3)+(U114*Settings!$B$4)+(V114*Settings!$B$5)+(X114*Settings!$B$9)+(AA114*Settings!$B$6)+(W114*Settings!$B$8)+(AB114*Settings!$B$7)+(AC114*Settings!$B$14)+(AD114*Settings!$B$15)+(AE114*Settings!$B$16)+(AF114*Settings!$B$17)+(AG114*Settings!$B$18)+(Y114*Settings!$B$10)+(Z114*Settings!$B$11),VLOOKUP(B114,'Standard Deviations'!A1:C728,3,FALSE))</f>
        <v>374.08712999126766</v>
      </c>
      <c r="J114" s="38">
        <f>IF(D114="G",I114/AJ114,I114/Q114)</f>
        <v>4.5894630105664049</v>
      </c>
      <c r="K114" s="37">
        <f>IF(Settings!$E$18="C/LW/RW",VLOOKUP(B114,'C'!A1:F211,6,FALSE),VLOOKUP(B114,F!A1:F430,6,FALSE))</f>
        <v>-19.241675774941996</v>
      </c>
      <c r="L114" s="37">
        <f>IFERROR(K114/H114,"N/A")</f>
        <v>-3.9673558298849478</v>
      </c>
      <c r="M114" s="39">
        <f>IF(Settings!$E$9="YAHOO",VLOOKUP(B114,ADP!A1:E728,2,FALSE),IF(Settings!$E$9="ESPN",VLOOKUP(B114,ADP!A1:E728,3,FALSE),IF(Settings!$E$9="FANTRAX",VLOOKUP(B114,ADP!A1:E728,4,FALSE),VLOOKUP(B114,ADP!A1:E728,5,FALSE))))</f>
        <v>143</v>
      </c>
      <c r="N114" s="39">
        <f>IFERROR(M114-A114,"N/A")</f>
        <v>30</v>
      </c>
      <c r="O114" s="39"/>
      <c r="P114" s="40" t="str">
        <f>IF(Settings!$E$27="ON",VLOOKUP(B114,ADP!A1:H728,8,FALSE)," ")</f>
        <v xml:space="preserve"> </v>
      </c>
      <c r="Q114" s="41">
        <f>IF(Settings!$E$12="YES",VLOOKUP(B114,'Player Data'!A1:E734,5,FALSE),82)</f>
        <v>81.510000000000005</v>
      </c>
      <c r="R114" s="39">
        <f>VLOOKUP(B114,'Player Data'!$A1:$AE734,6,FALSE)</f>
        <v>19.3996199273993</v>
      </c>
      <c r="S114" s="41">
        <f>VLOOKUP(B114,'Player Data'!$A1:$AE734,7,FALSE)*$Q114*IFERROR((VLOOKUP(P114,Settings!$E$28:$F$33,2,FALSE)+1),1)</f>
        <v>29.873903515488667</v>
      </c>
      <c r="T114" s="41">
        <f>VLOOKUP(B114,'Player Data'!$A1:$AE734,8,FALSE)*$Q114*IFERROR((VLOOKUP(P114,Settings!$E$28:$F$33,2,FALSE)+1),1)</f>
        <v>41.025762187460764</v>
      </c>
      <c r="U114" s="41">
        <f>SUM(S114:T114)</f>
        <v>70.899665702949434</v>
      </c>
      <c r="V114" s="41">
        <f>VLOOKUP(B114,'Player Data'!$A1:$AE734,10,FALSE)*$Q114*IFERROR(((VLOOKUP(P114,Settings!$E$28:$F$33,2,FALSE)/2)+1),1)</f>
        <v>205.99276212640478</v>
      </c>
      <c r="W114" s="41">
        <f>VLOOKUP(B114,'Player Data'!$A1:$AE734,11,FALSE)*$Q114*IFERROR((VLOOKUP(P114,Settings!$E$28:$F$33,2,FALSE)+1),1)</f>
        <v>10.572055803082755</v>
      </c>
      <c r="X114" s="41">
        <f>VLOOKUP(B114,'Player Data'!$A1:$AE734,12,FALSE)*$Q114*IFERROR((VLOOKUP(P114,Settings!$E$28:$F$33,2,FALSE)+1),1)</f>
        <v>21.809938278379757</v>
      </c>
      <c r="Y114" s="41">
        <f>VLOOKUP(B114,'Player Data'!$A1:$AE734,13,FALSE)*$Q114</f>
        <v>0.81794794336619248</v>
      </c>
      <c r="Z114" s="41">
        <f>VLOOKUP(B114,'Player Data'!$A1:$AE734,14,FALSE)*$Q114</f>
        <v>2.3005725792593559</v>
      </c>
      <c r="AA114" s="41">
        <f>VLOOKUP(B114,'Player Data'!$A1:$AE734,15,FALSE)*$Q114</f>
        <v>50.8536505196939</v>
      </c>
      <c r="AB114" s="41">
        <f>VLOOKUP(B114,'Player Data'!$A1:$AE734,16,FALSE)*$Q114</f>
        <v>90.020135480787502</v>
      </c>
      <c r="AC114" s="41">
        <f>VLOOKUP(B114,'Player Data'!$A1:$AE734,17,FALSE)*$Q114*IFERROR((VLOOKUP(P114,Settings!$E$28:$F$33,2,FALSE)+1),1)</f>
        <v>4.8696193545815714</v>
      </c>
      <c r="AD114" s="41">
        <f>VLOOKUP(B114,'Player Data'!$A1:$AE734,18,FALSE)*$Q114</f>
        <v>23.137832112821844</v>
      </c>
      <c r="AE114" s="41">
        <f>VLOOKUP(B114,'Player Data'!$A1:$AE734,19,FALSE)*$Q114*IFERROR((VLOOKUP(P114,Settings!$E$28:$F$33,2,FALSE)+1),1)</f>
        <v>4.9918769999182544</v>
      </c>
      <c r="AF114" s="41">
        <f>VLOOKUP(B114,'Player Data'!$A1:$AE734,20,FALSE)*$Q114</f>
        <v>855.5214434206548</v>
      </c>
      <c r="AG114" s="41">
        <f>VLOOKUP(B114,'Player Data'!$A1:$AE734,21,FALSE)*$Q114</f>
        <v>734.36918016407992</v>
      </c>
      <c r="AH114" s="42">
        <f>VLOOKUP(B114,'Player Data'!$A1:$AE734,22,FALSE)</f>
        <v>0.53810081695538603</v>
      </c>
      <c r="AI114" s="39"/>
      <c r="AJ114" s="43"/>
      <c r="AK114" s="41"/>
      <c r="AL114" s="41"/>
      <c r="AM114" s="41"/>
      <c r="AN114" s="41"/>
      <c r="AO114" s="41"/>
      <c r="AP114" s="41"/>
      <c r="AQ114" s="44"/>
      <c r="AR114" s="45"/>
      <c r="AS114" s="39"/>
    </row>
    <row r="115" spans="1:45" ht="21.25" customHeight="1" x14ac:dyDescent="0.15">
      <c r="A115" s="31">
        <f>RANK(K115,K$2:K$727)</f>
        <v>114</v>
      </c>
      <c r="B115" s="8" t="s">
        <v>219</v>
      </c>
      <c r="C115" s="32" t="s">
        <v>106</v>
      </c>
      <c r="D115" s="33" t="str">
        <f>VLOOKUP(B115,'Player Data'!A1:D734,4,FALSE)</f>
        <v>LW</v>
      </c>
      <c r="E115" s="47">
        <f>VLOOKUP(B115,LW!A1:C130,3,FALSE)</f>
        <v>26</v>
      </c>
      <c r="F115" s="35" t="str">
        <f>VLOOKUP(B115,'Player Data'!A1:B734,2,FALSE)</f>
        <v>TBL</v>
      </c>
      <c r="G115" s="9">
        <f>VLOOKUP(B115,'Player Data'!A1:D734,3,FALSE)</f>
        <v>24</v>
      </c>
      <c r="H115" s="36">
        <f>IFERROR(VLOOKUP(B115,ADP!A1:G728,7,FALSE)/1000000,VLOOKUP(B115,ADP!A1:G728,7,FALSE))</f>
        <v>1.5</v>
      </c>
      <c r="I115" s="37">
        <f>IF(Settings!$E$15="POINTS",((R115*Q115)*Settings!$B$12)+(S115*Settings!$B$2)+(T115*Settings!$B$3)+(U115*Settings!$B$4)+(V115*Settings!$B$5)+(X115*Settings!$B$9)+(AA115*Settings!$B$6)+(W115*Settings!$B$8)+(AB115*Settings!$B$7)+(AC115*Settings!$B$14)+(AD115*Settings!$B$15)+(AE115*Settings!$B$16)+(AF115*Settings!$B$17)+(AG115*Settings!$B$18)+(Y115*Settings!$B$10)+(Z115*Settings!$B$11),VLOOKUP(B115,'Standard Deviations'!A1:C728,3,FALSE))</f>
        <v>343.932188730071</v>
      </c>
      <c r="J115" s="38">
        <f>IF(D115="G",I115/AJ115,I115/Q115)</f>
        <v>4.2356180878087564</v>
      </c>
      <c r="K115" s="37">
        <f>IF(Settings!$E$18="C/LW/RW",VLOOKUP(B115,LW!A1:F130,6,FALSE),VLOOKUP(B115,F!A1:F430,6,FALSE))</f>
        <v>-20.10841612757946</v>
      </c>
      <c r="L115" s="37">
        <f>IFERROR(K115/H115,"N/A")</f>
        <v>-13.405610751719641</v>
      </c>
      <c r="M115" s="39">
        <f>IF(Settings!$E$9="YAHOO",VLOOKUP(B115,ADP!A1:E728,2,FALSE),IF(Settings!$E$9="ESPN",VLOOKUP(B115,ADP!A1:E728,3,FALSE),IF(Settings!$E$9="FANTRAX",VLOOKUP(B115,ADP!A1:E728,4,FALSE),VLOOKUP(B115,ADP!A1:E728,5,FALSE))))</f>
        <v>140.9</v>
      </c>
      <c r="N115" s="39">
        <f>IFERROR(M115-A115,"N/A")</f>
        <v>26.900000000000006</v>
      </c>
      <c r="O115" s="39"/>
      <c r="P115" s="40" t="str">
        <f>IF(Settings!$E$27="ON",VLOOKUP(B115,ADP!A1:H728,8,FALSE)," ")</f>
        <v xml:space="preserve"> </v>
      </c>
      <c r="Q115" s="41">
        <f>IF(Settings!$E$12="YES",VLOOKUP(B115,'Player Data'!A1:E734,5,FALSE),82)</f>
        <v>81.2</v>
      </c>
      <c r="R115" s="39">
        <f>VLOOKUP(B115,'Player Data'!$A1:$AE734,6,FALSE)</f>
        <v>19.4630187895212</v>
      </c>
      <c r="S115" s="41">
        <f>VLOOKUP(B115,'Player Data'!$A1:$AE734,7,FALSE)*$Q115*IFERROR((VLOOKUP(P115,Settings!$E$28:$F$33,2,FALSE)+1),1)</f>
        <v>31.510967732492428</v>
      </c>
      <c r="T115" s="41">
        <f>VLOOKUP(B115,'Player Data'!$A1:$AE734,8,FALSE)*$Q115*IFERROR((VLOOKUP(P115,Settings!$E$28:$F$33,2,FALSE)+1),1)</f>
        <v>34.788058051505544</v>
      </c>
      <c r="U115" s="41">
        <f>SUM(S115:T115)</f>
        <v>66.299025783997976</v>
      </c>
      <c r="V115" s="41">
        <f>VLOOKUP(B115,'Player Data'!$A1:$AE734,10,FALSE)*$Q115*IFERROR(((VLOOKUP(P115,Settings!$E$28:$F$33,2,FALSE)/2)+1),1)</f>
        <v>185.33448388863638</v>
      </c>
      <c r="W115" s="41">
        <f>VLOOKUP(B115,'Player Data'!$A1:$AE734,11,FALSE)*$Q115*IFERROR((VLOOKUP(P115,Settings!$E$28:$F$33,2,FALSE)+1),1)</f>
        <v>8.2739980983967758</v>
      </c>
      <c r="X115" s="41">
        <f>VLOOKUP(B115,'Player Data'!$A1:$AE734,12,FALSE)*$Q115*IFERROR((VLOOKUP(P115,Settings!$E$28:$F$33,2,FALSE)+1),1)</f>
        <v>17.449793252875104</v>
      </c>
      <c r="Y115" s="41">
        <f>VLOOKUP(B115,'Player Data'!$A1:$AE734,13,FALSE)*$Q115</f>
        <v>1.1026857415524225</v>
      </c>
      <c r="Z115" s="41">
        <f>VLOOKUP(B115,'Player Data'!$A1:$AE734,14,FALSE)*$Q115</f>
        <v>3.4609976809831262</v>
      </c>
      <c r="AA115" s="41">
        <f>VLOOKUP(B115,'Player Data'!$A1:$AE734,15,FALSE)*$Q115</f>
        <v>52.731437830212357</v>
      </c>
      <c r="AB115" s="41">
        <f>VLOOKUP(B115,'Player Data'!$A1:$AE734,16,FALSE)*$Q115</f>
        <v>75.839995486035065</v>
      </c>
      <c r="AC115" s="41">
        <f>VLOOKUP(B115,'Player Data'!$A1:$AE734,17,FALSE)*$Q115*IFERROR((VLOOKUP(P115,Settings!$E$28:$F$33,2,FALSE)+1),1)</f>
        <v>0.36231006898502299</v>
      </c>
      <c r="AD115" s="41">
        <f>VLOOKUP(B115,'Player Data'!$A1:$AE734,18,FALSE)*$Q115</f>
        <v>40.364534307515356</v>
      </c>
      <c r="AE115" s="41">
        <f>VLOOKUP(B115,'Player Data'!$A1:$AE734,19,FALSE)*$Q115*IFERROR((VLOOKUP(P115,Settings!$E$28:$F$33,2,FALSE)+1),1)</f>
        <v>4.931477896513786</v>
      </c>
      <c r="AF115" s="41">
        <f>VLOOKUP(B115,'Player Data'!$A1:$AE734,20,FALSE)*$Q115</f>
        <v>27.879286911450027</v>
      </c>
      <c r="AG115" s="41">
        <f>VLOOKUP(B115,'Player Data'!$A1:$AE734,21,FALSE)*$Q115</f>
        <v>52.379487817131711</v>
      </c>
      <c r="AH115" s="42">
        <f>VLOOKUP(B115,'Player Data'!$A1:$AE734,22,FALSE)</f>
        <v>0.34736746238317101</v>
      </c>
      <c r="AI115" s="39"/>
      <c r="AJ115" s="43"/>
      <c r="AK115" s="41"/>
      <c r="AL115" s="41"/>
      <c r="AM115" s="41"/>
      <c r="AN115" s="41"/>
      <c r="AO115" s="41"/>
      <c r="AP115" s="41"/>
      <c r="AQ115" s="44"/>
      <c r="AR115" s="45"/>
      <c r="AS115" s="39"/>
    </row>
    <row r="116" spans="1:45" ht="21.25" customHeight="1" x14ac:dyDescent="0.15">
      <c r="A116" s="31">
        <f>RANK(K116,K$2:K$727)</f>
        <v>115</v>
      </c>
      <c r="B116" s="8" t="s">
        <v>220</v>
      </c>
      <c r="C116" s="32" t="s">
        <v>106</v>
      </c>
      <c r="D116" s="33" t="str">
        <f>VLOOKUP(B116,'Player Data'!A1:D734,4,FALSE)</f>
        <v>G</v>
      </c>
      <c r="E116" s="50">
        <f>VLOOKUP(B116,G!A1:D75,3,FALSE)</f>
        <v>18</v>
      </c>
      <c r="F116" s="35" t="str">
        <f>VLOOKUP(B116,'Player Data'!A1:B734,2,FALSE)</f>
        <v>TOR</v>
      </c>
      <c r="G116" s="9">
        <f>VLOOKUP(B116,'Player Data'!A1:D734,3,FALSE)</f>
        <v>26</v>
      </c>
      <c r="H116" s="36">
        <f>IFERROR(VLOOKUP(B116,ADP!A1:G728,7,FALSE)/1000000,VLOOKUP(B116,ADP!A1:G728,7,FALSE))</f>
        <v>0</v>
      </c>
      <c r="I116" s="37">
        <f>IF(Settings!$E$15="POINTS",(AJ116*Settings!$B$29)+(AK116*Settings!$B$21)+(AL116*Settings!$B$22)+(AN116*Settings!$B$24)+(AO116*Settings!$B$25)+(AP116*Settings!$B$27)+(AM116*Settings!$B$23),VLOOKUP(B116,'Standard Deviations'!A1:C728,3,FALSE))</f>
        <v>376.60514786762195</v>
      </c>
      <c r="J116" s="38">
        <f>IF(D116="G",I116/AJ116,I116/Q116)</f>
        <v>7.8459405805754576</v>
      </c>
      <c r="K116" s="37">
        <f>VLOOKUP(B116,G!A1:F75,6,FALSE)</f>
        <v>-22.170514221694248</v>
      </c>
      <c r="L116" s="52" t="str">
        <f>IFERROR(K116/H116,"N/A")</f>
        <v>N/A</v>
      </c>
      <c r="M116" s="39">
        <f>IF(Settings!$E$9="YAHOO",VLOOKUP(B116,ADP!A1:E728,2,FALSE),IF(Settings!$E$9="ESPN",VLOOKUP(B116,ADP!A1:E728,3,FALSE),IF(Settings!$E$9="FANTRAX",VLOOKUP(B116,ADP!A1:E728,4,FALSE),VLOOKUP(B116,ADP!A1:E728,5,FALSE))))</f>
        <v>81.099999999999994</v>
      </c>
      <c r="N116" s="39">
        <f>IFERROR(M116-A116,"N/A")</f>
        <v>-33.900000000000006</v>
      </c>
      <c r="O116" s="39"/>
      <c r="P116" s="40" t="str">
        <f>IF(Settings!$E$27="ON",VLOOKUP(B116,ADP!A1:H728,8,FALSE)," ")</f>
        <v xml:space="preserve"> </v>
      </c>
      <c r="Q116" s="41"/>
      <c r="R116" s="5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2"/>
      <c r="AI116" s="39"/>
      <c r="AJ116" s="43">
        <f>VLOOKUP(B116,'Player Data'!$A1:$AE734,24,FALSE)</f>
        <v>48</v>
      </c>
      <c r="AK116" s="41">
        <f>VLOOKUP(B116,'Player Data'!$A1:$AE734,25,FALSE)*$AJ116*IFERROR((VLOOKUP(P116,Settings!$E$28:$F$33,2,FALSE)+1),1)</f>
        <v>29.254959897687073</v>
      </c>
      <c r="AL116" s="41">
        <f>AJ116-AK116-AM116</f>
        <v>12.745040102312927</v>
      </c>
      <c r="AM116" s="41">
        <f>VLOOKUP(B116,'Player Data'!$A1:$AE734,27,FALSE)*$AJ116</f>
        <v>6</v>
      </c>
      <c r="AN116" s="41">
        <f>VLOOKUP(B116,'Player Data'!$A1:$AE734,28,FALSE)*AJ116</f>
        <v>2.7829124754370369</v>
      </c>
      <c r="AO116" s="41">
        <f>VLOOKUP(B116,'Player Data'!$A1:$AE734,29,FALSE)*$AJ116*IFERROR((VLOOKUP(P116,Settings!$E$28:$F$33,2,FALSE)/4)+1,1)</f>
        <v>1368.8123046067681</v>
      </c>
      <c r="AP116" s="41">
        <f>VLOOKUP(B116,'Player Data'!$A1:$AE734,31,FALSE)*$AJ116*(IFERROR(1-(VLOOKUP(P116,Settings!$E$28:$F$33,2,FALSE)/4),1))</f>
        <v>133.71056969323246</v>
      </c>
      <c r="AQ116" s="44">
        <f>1-(AP116/(AO116+AP116))</f>
        <v>0.91100929511271111</v>
      </c>
      <c r="AR116" s="45">
        <f>AP116/AJ116</f>
        <v>2.7856368686090094</v>
      </c>
      <c r="AS116" s="39"/>
    </row>
    <row r="117" spans="1:45" ht="21.25" customHeight="1" x14ac:dyDescent="0.15">
      <c r="A117" s="31">
        <f>RANK(K117,K$2:K$727)</f>
        <v>116</v>
      </c>
      <c r="B117" s="8" t="s">
        <v>221</v>
      </c>
      <c r="C117" s="32" t="s">
        <v>106</v>
      </c>
      <c r="D117" s="33" t="str">
        <f>VLOOKUP(B117,'Player Data'!A1:D734,4,FALSE)</f>
        <v>RW</v>
      </c>
      <c r="E117" s="46">
        <f>VLOOKUP(B117,RW!A1:F97,3,FALSE)</f>
        <v>19</v>
      </c>
      <c r="F117" s="35" t="str">
        <f>VLOOKUP(B117,'Player Data'!A1:B734,2,FALSE)</f>
        <v>OTT</v>
      </c>
      <c r="G117" s="9">
        <f>VLOOKUP(B117,'Player Data'!A1:D734,3,FALSE)</f>
        <v>35</v>
      </c>
      <c r="H117" s="36">
        <f>IFERROR(VLOOKUP(B117,ADP!A1:G728,7,FALSE)/1000000,VLOOKUP(B117,ADP!A1:G728,7,FALSE))</f>
        <v>6.5</v>
      </c>
      <c r="I117" s="37">
        <f>IF(Settings!$E$15="POINTS",((R117*Q117)*Settings!$B$12)+(S117*Settings!$B$2)+(T117*Settings!$B$3)+(U117*Settings!$B$4)+(V117*Settings!$B$5)+(X117*Settings!$B$9)+(AA117*Settings!$B$6)+(W117*Settings!$B$8)+(AB117*Settings!$B$7)+(AC117*Settings!$B$14)+(AD117*Settings!$B$15)+(AE117*Settings!$B$16)+(AF117*Settings!$B$17)+(AG117*Settings!$B$18)+(Y117*Settings!$B$10)+(Z117*Settings!$B$11),VLOOKUP(B117,'Standard Deviations'!A1:C728,3,FALSE))</f>
        <v>327.3201364453887</v>
      </c>
      <c r="J117" s="38">
        <f>IF(D117="G",I117/AJ117,I117/Q117)</f>
        <v>4.0522634934367128</v>
      </c>
      <c r="K117" s="37">
        <f>IF(Settings!$E$18="C/LW/RW",VLOOKUP(B117,RW!A1:F97,6,FALSE),VLOOKUP(B117,F!A1:F430,6,FALSE))</f>
        <v>-22.951404102500874</v>
      </c>
      <c r="L117" s="37">
        <f>IFERROR(K117/H117,"N/A")</f>
        <v>-3.530985246538596</v>
      </c>
      <c r="M117" s="39">
        <f>IF(Settings!$E$9="YAHOO",VLOOKUP(B117,ADP!A1:E728,2,FALSE),IF(Settings!$E$9="ESPN",VLOOKUP(B117,ADP!A1:E728,3,FALSE),IF(Settings!$E$9="FANTRAX",VLOOKUP(B117,ADP!A1:E728,4,FALSE),VLOOKUP(B117,ADP!A1:E728,5,FALSE))))</f>
        <v>63.9</v>
      </c>
      <c r="N117" s="39">
        <f>IFERROR(M117-A117,"N/A")</f>
        <v>-52.1</v>
      </c>
      <c r="O117" s="39"/>
      <c r="P117" s="40" t="str">
        <f>IF(Settings!$E$27="ON",VLOOKUP(B117,ADP!A1:H728,8,FALSE)," ")</f>
        <v xml:space="preserve"> </v>
      </c>
      <c r="Q117" s="41">
        <f>IF(Settings!$E$12="YES",VLOOKUP(B117,'Player Data'!A1:E734,5,FALSE),82)</f>
        <v>80.774642857142894</v>
      </c>
      <c r="R117" s="39">
        <f>VLOOKUP(B117,'Player Data'!$A1:$AE734,6,FALSE)</f>
        <v>18.168366330030398</v>
      </c>
      <c r="S117" s="41">
        <f>VLOOKUP(B117,'Player Data'!$A1:$AE734,7,FALSE)*$Q117*IFERROR((VLOOKUP(P117,Settings!$E$28:$F$33,2,FALSE)+1),1)</f>
        <v>25.608225699072577</v>
      </c>
      <c r="T117" s="41">
        <f>VLOOKUP(B117,'Player Data'!$A1:$AE734,8,FALSE)*$Q117*IFERROR((VLOOKUP(P117,Settings!$E$28:$F$33,2,FALSE)+1),1)</f>
        <v>38.093078156538219</v>
      </c>
      <c r="U117" s="41">
        <f>SUM(S117:T117)</f>
        <v>63.701303855610796</v>
      </c>
      <c r="V117" s="41">
        <f>VLOOKUP(B117,'Player Data'!$A1:$AE734,10,FALSE)*$Q117*IFERROR(((VLOOKUP(P117,Settings!$E$28:$F$33,2,FALSE)/2)+1),1)</f>
        <v>201.11095394810093</v>
      </c>
      <c r="W117" s="41">
        <f>VLOOKUP(B117,'Player Data'!$A1:$AE734,11,FALSE)*$Q117*IFERROR((VLOOKUP(P117,Settings!$E$28:$F$33,2,FALSE)+1),1)</f>
        <v>3.7196308612355984</v>
      </c>
      <c r="X117" s="41">
        <f>VLOOKUP(B117,'Player Data'!$A1:$AE734,12,FALSE)*$Q117*IFERROR((VLOOKUP(P117,Settings!$E$28:$F$33,2,FALSE)+1),1)</f>
        <v>14.987953477293638</v>
      </c>
      <c r="Y117" s="41">
        <f>VLOOKUP(B117,'Player Data'!$A1:$AE734,13,FALSE)*$Q117</f>
        <v>8.2071211075363804E-2</v>
      </c>
      <c r="Z117" s="41">
        <f>VLOOKUP(B117,'Player Data'!$A1:$AE734,14,FALSE)*$Q117</f>
        <v>0.15222230234491399</v>
      </c>
      <c r="AA117" s="41">
        <f>VLOOKUP(B117,'Player Data'!$A1:$AE734,15,FALSE)*$Q117</f>
        <v>26.901981726143759</v>
      </c>
      <c r="AB117" s="41">
        <f>VLOOKUP(B117,'Player Data'!$A1:$AE734,16,FALSE)*$Q117</f>
        <v>72.68231998978041</v>
      </c>
      <c r="AC117" s="41">
        <f>VLOOKUP(B117,'Player Data'!$A1:$AE734,17,FALSE)*$Q117*IFERROR((VLOOKUP(P117,Settings!$E$28:$F$33,2,FALSE)+1),1)</f>
        <v>3.7556512873107875</v>
      </c>
      <c r="AD117" s="41">
        <f>VLOOKUP(B117,'Player Data'!$A1:$AE734,18,FALSE)*$Q117</f>
        <v>29.274728728277321</v>
      </c>
      <c r="AE117" s="41">
        <f>VLOOKUP(B117,'Player Data'!$A1:$AE734,19,FALSE)*$Q117*IFERROR((VLOOKUP(P117,Settings!$E$28:$F$33,2,FALSE)+1),1)</f>
        <v>3.557006612230039</v>
      </c>
      <c r="AF117" s="41">
        <f>VLOOKUP(B117,'Player Data'!$A1:$AE734,20,FALSE)*$Q117</f>
        <v>699.80452811236023</v>
      </c>
      <c r="AG117" s="41">
        <f>VLOOKUP(B117,'Player Data'!$A1:$AE734,21,FALSE)*$Q117</f>
        <v>480.64879917475793</v>
      </c>
      <c r="AH117" s="42">
        <f>VLOOKUP(B117,'Player Data'!$A1:$AE734,22,FALSE)</f>
        <v>0.592826935157724</v>
      </c>
      <c r="AI117" s="39"/>
      <c r="AJ117" s="43"/>
      <c r="AK117" s="41"/>
      <c r="AL117" s="41"/>
      <c r="AM117" s="41"/>
      <c r="AN117" s="41"/>
      <c r="AO117" s="41"/>
      <c r="AP117" s="41"/>
      <c r="AQ117" s="44"/>
      <c r="AR117" s="45"/>
      <c r="AS117" s="43"/>
    </row>
    <row r="118" spans="1:45" ht="21.25" customHeight="1" x14ac:dyDescent="0.15">
      <c r="A118" s="31">
        <f>RANK(K118,K$2:K$727)</f>
        <v>117</v>
      </c>
      <c r="B118" s="8" t="s">
        <v>222</v>
      </c>
      <c r="C118" s="32" t="s">
        <v>106</v>
      </c>
      <c r="D118" s="33" t="str">
        <f>VLOOKUP(B118,'Player Data'!A1:D734,4,FALSE)</f>
        <v>D</v>
      </c>
      <c r="E118" s="49">
        <f>VLOOKUP(B118,D!A1:C227,3,FALSE)</f>
        <v>25</v>
      </c>
      <c r="F118" s="35" t="str">
        <f>VLOOKUP(B118,'Player Data'!A1:B734,2,FALSE)</f>
        <v>FLA</v>
      </c>
      <c r="G118" s="9">
        <f>VLOOKUP(B118,'Player Data'!A1:D734,3,FALSE)</f>
        <v>29</v>
      </c>
      <c r="H118" s="36">
        <f>IFERROR(VLOOKUP(B118,ADP!A1:G728,7,FALSE)/1000000,VLOOKUP(B118,ADP!A1:G728,7,FALSE))</f>
        <v>3.5</v>
      </c>
      <c r="I118" s="37">
        <f>IF(Settings!$E$15="POINTS",((R118*Q118)*Settings!$B$12)+(S118*Settings!$B$2)+(T118*Settings!$B$3)+(U118*Settings!$B$4)+(V118*Settings!$B$5)+(X118*Settings!$B$9)+(AA118*Settings!$B$6)+(W118*Settings!$B$8)+(AB118*Settings!$B$7)+(AC118*Settings!$B$14)+(AD118*Settings!$B$15)+(AE118*Settings!$B$16)+(AF118*Settings!$B$17)+(AG118*Settings!$B$18)+(U118*Settings!$B$13)+(Y118*Settings!$B$10)+(Z118*Settings!$B$11),VLOOKUP(B118,'Standard Deviations'!A1:C728,3,FALSE))</f>
        <v>287.87755817347784</v>
      </c>
      <c r="J118" s="38">
        <f>IF(D118="G",I118/AJ118,I118/Q118)</f>
        <v>4.6431864221528683</v>
      </c>
      <c r="K118" s="37">
        <f>VLOOKUP(B118,D!A1:F227,6,FALSE)</f>
        <v>-23.687923454449617</v>
      </c>
      <c r="L118" s="37">
        <f>IFERROR(K118/H118,"N/A")</f>
        <v>-6.7679781298427475</v>
      </c>
      <c r="M118" s="39">
        <f>IF(Settings!$E$9="YAHOO",VLOOKUP(B118,ADP!A1:E728,2,FALSE),IF(Settings!$E$9="ESPN",VLOOKUP(B118,ADP!A1:E728,3,FALSE),IF(Settings!$E$9="FANTRAX",VLOOKUP(B118,ADP!A1:E728,4,FALSE),VLOOKUP(B118,ADP!A1:E728,5,FALSE))))</f>
        <v>75.099999999999994</v>
      </c>
      <c r="N118" s="39">
        <f>IFERROR(M118-A118,"N/A")</f>
        <v>-41.900000000000006</v>
      </c>
      <c r="O118" s="39"/>
      <c r="P118" s="40" t="str">
        <f>IF(Settings!$E$27="ON",VLOOKUP(B118,ADP!A1:H728,8,FALSE)," ")</f>
        <v xml:space="preserve"> </v>
      </c>
      <c r="Q118" s="41">
        <f>IF(Settings!$E$12="YES",VLOOKUP(B118,'Player Data'!A1:E734,5,FALSE),82)</f>
        <v>62</v>
      </c>
      <c r="R118" s="39">
        <f>VLOOKUP(B118,'Player Data'!$A1:$AE734,6,FALSE)</f>
        <v>23.813428477400901</v>
      </c>
      <c r="S118" s="41">
        <f>VLOOKUP(B118,'Player Data'!$A1:$AE734,7,FALSE)*$Q118*IFERROR((VLOOKUP(P118,Settings!$E$28:$F$33,2,FALSE)+1),1)</f>
        <v>10.898198134031526</v>
      </c>
      <c r="T118" s="41">
        <f>VLOOKUP(B118,'Player Data'!$A1:$AE734,8,FALSE)*$Q118*IFERROR((VLOOKUP(P118,Settings!$E$28:$F$33,2,FALSE)+1),1)</f>
        <v>37.430099101582208</v>
      </c>
      <c r="U118" s="41">
        <f>SUM(S118:T118)</f>
        <v>48.328297235613732</v>
      </c>
      <c r="V118" s="41">
        <f>VLOOKUP(B118,'Player Data'!$A1:$AE734,10,FALSE)*$Q118*IFERROR(((VLOOKUP(P118,Settings!$E$28:$F$33,2,FALSE)/2)+1),1)</f>
        <v>173.66883628293598</v>
      </c>
      <c r="W118" s="41">
        <f>VLOOKUP(B118,'Player Data'!$A1:$AE734,11,FALSE)*$Q118*IFERROR((VLOOKUP(P118,Settings!$E$28:$F$33,2,FALSE)+1),1)</f>
        <v>2.1593000002702016</v>
      </c>
      <c r="X118" s="41">
        <f>VLOOKUP(B118,'Player Data'!$A1:$AE734,12,FALSE)*$Q118*IFERROR((VLOOKUP(P118,Settings!$E$28:$F$33,2,FALSE)+1),1)</f>
        <v>20.484750037661399</v>
      </c>
      <c r="Y118" s="41">
        <f>VLOOKUP(B118,'Player Data'!$A1:$AE734,13,FALSE)*$Q118</f>
        <v>0.10716602247735713</v>
      </c>
      <c r="Z118" s="41">
        <f>VLOOKUP(B118,'Player Data'!$A1:$AE734,14,FALSE)*$Q118</f>
        <v>0.15470985228342574</v>
      </c>
      <c r="AA118" s="41">
        <f>VLOOKUP(B118,'Player Data'!$A1:$AE734,15,FALSE)*$Q118</f>
        <v>73.896642726394788</v>
      </c>
      <c r="AB118" s="41">
        <f>VLOOKUP(B118,'Player Data'!$A1:$AE734,16,FALSE)*$Q118</f>
        <v>68.088124992351752</v>
      </c>
      <c r="AC118" s="41">
        <f>VLOOKUP(B118,'Player Data'!$A1:$AE734,17,FALSE)*$Q118*IFERROR((VLOOKUP(P118,Settings!$E$28:$F$33,2,FALSE)+1),1)</f>
        <v>3.8158319485647976</v>
      </c>
      <c r="AD118" s="41">
        <f>VLOOKUP(B118,'Player Data'!$A1:$AE734,18,FALSE)*$Q118</f>
        <v>44.749860433029639</v>
      </c>
      <c r="AE118" s="41">
        <f>VLOOKUP(B118,'Player Data'!$A1:$AE734,19,FALSE)*$Q118*IFERROR((VLOOKUP(P118,Settings!$E$28:$F$33,2,FALSE)+1),1)</f>
        <v>1.563371380928894</v>
      </c>
      <c r="AF118" s="41">
        <f>VLOOKUP(B118,'Player Data'!$A1:$AE734,20,FALSE)*$Q118</f>
        <v>0</v>
      </c>
      <c r="AG118" s="41">
        <f>VLOOKUP(B118,'Player Data'!$A1:$AE734,21,FALSE)*$Q118</f>
        <v>0</v>
      </c>
      <c r="AH118" s="42">
        <f>VLOOKUP(B118,'Player Data'!$A1:$AE734,22,FALSE)</f>
        <v>0</v>
      </c>
      <c r="AI118" s="39"/>
      <c r="AJ118" s="43"/>
      <c r="AK118" s="41"/>
      <c r="AL118" s="41"/>
      <c r="AM118" s="41"/>
      <c r="AN118" s="41"/>
      <c r="AO118" s="41"/>
      <c r="AP118" s="41"/>
      <c r="AQ118" s="44"/>
      <c r="AR118" s="45"/>
      <c r="AS118" s="39"/>
    </row>
    <row r="119" spans="1:45" ht="21.25" customHeight="1" x14ac:dyDescent="0.15">
      <c r="A119" s="31">
        <f>RANK(K119,K$2:K$727)</f>
        <v>118</v>
      </c>
      <c r="B119" s="8" t="s">
        <v>223</v>
      </c>
      <c r="C119" s="32" t="s">
        <v>106</v>
      </c>
      <c r="D119" s="33" t="str">
        <f>VLOOKUP(B119,'Player Data'!A1:D734,4,FALSE)</f>
        <v>D</v>
      </c>
      <c r="E119" s="49">
        <f>VLOOKUP(B119,D!A1:C227,3,FALSE)</f>
        <v>26</v>
      </c>
      <c r="F119" s="35" t="str">
        <f>VLOOKUP(B119,'Player Data'!A1:B734,2,FALSE)</f>
        <v>PIT</v>
      </c>
      <c r="G119" s="9">
        <f>VLOOKUP(B119,'Player Data'!A1:D734,3,FALSE)</f>
        <v>36</v>
      </c>
      <c r="H119" s="36">
        <f>IFERROR(VLOOKUP(B119,ADP!A1:G728,7,FALSE)/1000000,VLOOKUP(B119,ADP!A1:G728,7,FALSE))</f>
        <v>6.1</v>
      </c>
      <c r="I119" s="37">
        <f>IF(Settings!$E$15="POINTS",((R119*Q119)*Settings!$B$12)+(S119*Settings!$B$2)+(T119*Settings!$B$3)+(U119*Settings!$B$4)+(V119*Settings!$B$5)+(X119*Settings!$B$9)+(AA119*Settings!$B$6)+(W119*Settings!$B$8)+(AB119*Settings!$B$7)+(AC119*Settings!$B$14)+(AD119*Settings!$B$15)+(AE119*Settings!$B$16)+(AF119*Settings!$B$17)+(AG119*Settings!$B$18)+(U119*Settings!$B$13)+(Y119*Settings!$B$10)+(Z119*Settings!$B$11),VLOOKUP(B119,'Standard Deviations'!A1:C728,3,FALSE))</f>
        <v>286.47987235608099</v>
      </c>
      <c r="J119" s="38">
        <f>IF(D119="G",I119/AJ119,I119/Q119)</f>
        <v>3.6663054765207739</v>
      </c>
      <c r="K119" s="37">
        <f>VLOOKUP(B119,D!A1:F227,6,FALSE)</f>
        <v>-25.085609271846465</v>
      </c>
      <c r="L119" s="37">
        <f>IFERROR(K119/H119,"N/A")</f>
        <v>-4.1123949625977811</v>
      </c>
      <c r="M119" s="39">
        <f>IF(Settings!$E$9="YAHOO",VLOOKUP(B119,ADP!A1:E728,2,FALSE),IF(Settings!$E$9="ESPN",VLOOKUP(B119,ADP!A1:E728,3,FALSE),IF(Settings!$E$9="FANTRAX",VLOOKUP(B119,ADP!A1:E728,4,FALSE),VLOOKUP(B119,ADP!A1:E728,5,FALSE))))</f>
        <v>112.5</v>
      </c>
      <c r="N119" s="39">
        <f>IFERROR(M119-A119,"N/A")</f>
        <v>-5.5</v>
      </c>
      <c r="O119" s="39"/>
      <c r="P119" s="40" t="str">
        <f>IF(Settings!$E$27="ON",VLOOKUP(B119,ADP!A1:H728,8,FALSE)," ")</f>
        <v>-</v>
      </c>
      <c r="Q119" s="41">
        <f>IF(Settings!$E$12="YES",VLOOKUP(B119,'Player Data'!A1:E734,5,FALSE),82)</f>
        <v>78.138571428571396</v>
      </c>
      <c r="R119" s="39">
        <f>VLOOKUP(B119,'Player Data'!$A1:$AE734,6,FALSE)</f>
        <v>23.7331719893293</v>
      </c>
      <c r="S119" s="41">
        <f>VLOOKUP(B119,'Player Data'!$A1:$AE734,7,FALSE)*$Q119*IFERROR((VLOOKUP(P119,Settings!$E$28:$F$33,2,FALSE)+1),1)</f>
        <v>9.1833908393289985</v>
      </c>
      <c r="T119" s="41">
        <f>VLOOKUP(B119,'Player Data'!$A1:$AE734,8,FALSE)*$Q119*IFERROR((VLOOKUP(P119,Settings!$E$28:$F$33,2,FALSE)+1),1)</f>
        <v>38.12439976769933</v>
      </c>
      <c r="U119" s="41">
        <f>SUM(S119:T119)</f>
        <v>47.30779060702833</v>
      </c>
      <c r="V119" s="41">
        <f>VLOOKUP(B119,'Player Data'!$A1:$AE734,10,FALSE)*$Q119*IFERROR(((VLOOKUP(P119,Settings!$E$28:$F$33,2,FALSE)/2)+1),1)</f>
        <v>181.12223072324912</v>
      </c>
      <c r="W119" s="41">
        <f>VLOOKUP(B119,'Player Data'!$A1:$AE734,11,FALSE)*$Q119*IFERROR((VLOOKUP(P119,Settings!$E$28:$F$33,2,FALSE)+1),1)</f>
        <v>2.4794649059601777</v>
      </c>
      <c r="X119" s="41">
        <f>VLOOKUP(B119,'Player Data'!$A1:$AE734,12,FALSE)*$Q119*IFERROR((VLOOKUP(P119,Settings!$E$28:$F$33,2,FALSE)+1),1)</f>
        <v>14.203288624683836</v>
      </c>
      <c r="Y119" s="41">
        <f>VLOOKUP(B119,'Player Data'!$A1:$AE734,13,FALSE)*$Q119</f>
        <v>0.35724246057302445</v>
      </c>
      <c r="Z119" s="41">
        <f>VLOOKUP(B119,'Player Data'!$A1:$AE734,14,FALSE)*$Q119</f>
        <v>0.55872163120548146</v>
      </c>
      <c r="AA119" s="41">
        <f>VLOOKUP(B119,'Player Data'!$A1:$AE734,15,FALSE)*$Q119</f>
        <v>122.35682330796395</v>
      </c>
      <c r="AB119" s="41">
        <f>VLOOKUP(B119,'Player Data'!$A1:$AE734,16,FALSE)*$Q119</f>
        <v>164.48878638577835</v>
      </c>
      <c r="AC119" s="41">
        <f>VLOOKUP(B119,'Player Data'!$A1:$AE734,17,FALSE)*$Q119*IFERROR((VLOOKUP(P119,Settings!$E$28:$F$33,2,FALSE)+1),1)</f>
        <v>2.1635143464042623</v>
      </c>
      <c r="AD119" s="41">
        <f>VLOOKUP(B119,'Player Data'!$A1:$AE734,18,FALSE)*$Q119</f>
        <v>41.440484232319982</v>
      </c>
      <c r="AE119" s="41">
        <f>VLOOKUP(B119,'Player Data'!$A1:$AE734,19,FALSE)*$Q119*IFERROR((VLOOKUP(P119,Settings!$E$28:$F$33,2,FALSE)+1),1)</f>
        <v>1.4615308014289845</v>
      </c>
      <c r="AF119" s="41">
        <f>VLOOKUP(B119,'Player Data'!$A1:$AE734,20,FALSE)*$Q119</f>
        <v>0</v>
      </c>
      <c r="AG119" s="41">
        <f>VLOOKUP(B119,'Player Data'!$A1:$AE734,21,FALSE)*$Q119</f>
        <v>0.16716235592866768</v>
      </c>
      <c r="AH119" s="42">
        <f>VLOOKUP(B119,'Player Data'!$A1:$AE734,22,FALSE)</f>
        <v>0</v>
      </c>
      <c r="AI119" s="39"/>
      <c r="AJ119" s="43"/>
      <c r="AK119" s="41"/>
      <c r="AL119" s="41"/>
      <c r="AM119" s="41"/>
      <c r="AN119" s="41"/>
      <c r="AO119" s="41"/>
      <c r="AP119" s="41"/>
      <c r="AQ119" s="44"/>
      <c r="AR119" s="45"/>
      <c r="AS119" s="39"/>
    </row>
    <row r="120" spans="1:45" ht="21.25" customHeight="1" x14ac:dyDescent="0.15">
      <c r="A120" s="31">
        <f>RANK(K120,K$2:K$727)</f>
        <v>119</v>
      </c>
      <c r="B120" s="8" t="s">
        <v>224</v>
      </c>
      <c r="C120" s="32" t="s">
        <v>106</v>
      </c>
      <c r="D120" s="33" t="str">
        <f>VLOOKUP(B120,'Player Data'!A1:D734,4,FALSE)</f>
        <v>RW</v>
      </c>
      <c r="E120" s="46">
        <f>VLOOKUP(B120,RW!A1:F97,3,FALSE)</f>
        <v>20</v>
      </c>
      <c r="F120" s="35" t="str">
        <f>VLOOKUP(B120,'Player Data'!A1:B734,2,FALSE)</f>
        <v>UFA</v>
      </c>
      <c r="G120" s="9">
        <f>VLOOKUP(B120,'Player Data'!A1:D734,3,FALSE)</f>
        <v>34</v>
      </c>
      <c r="H120" s="36">
        <f>IFERROR(VLOOKUP(B120,ADP!A1:G728,7,FALSE)/1000000,VLOOKUP(B120,ADP!A1:G728,7,FALSE))</f>
        <v>6.6539999999999999</v>
      </c>
      <c r="I120" s="37">
        <f>IF(Settings!$E$15="POINTS",((R120*Q120)*Settings!$B$12)+(S120*Settings!$B$2)+(T120*Settings!$B$3)+(U120*Settings!$B$4)+(V120*Settings!$B$5)+(X120*Settings!$B$9)+(AA120*Settings!$B$6)+(W120*Settings!$B$8)+(AB120*Settings!$B$7)+(AC120*Settings!$B$14)+(AD120*Settings!$B$15)+(AE120*Settings!$B$16)+(AF120*Settings!$B$17)+(AG120*Settings!$B$18)+(Y120*Settings!$B$10)+(Z120*Settings!$B$11),VLOOKUP(B120,'Standard Deviations'!A1:C728,3,FALSE))</f>
        <v>325.02095968061536</v>
      </c>
      <c r="J120" s="38">
        <f>IF(D120="G",I120/AJ120,I120/Q120)</f>
        <v>4.0687379548789204</v>
      </c>
      <c r="K120" s="37">
        <f>IF(Settings!$E$18="C/LW/RW",VLOOKUP(B120,RW!A1:F97,6,FALSE),VLOOKUP(B120,F!A1:F430,6,FALSE))</f>
        <v>-25.250580867274209</v>
      </c>
      <c r="L120" s="37">
        <f>IFERROR(K120/H120,"N/A")</f>
        <v>-3.7947972448563587</v>
      </c>
      <c r="M120" s="39">
        <f>IF(Settings!$E$9="YAHOO",VLOOKUP(B120,ADP!A1:E728,2,FALSE),IF(Settings!$E$9="ESPN",VLOOKUP(B120,ADP!A1:E728,3,FALSE),IF(Settings!$E$9="FANTRAX",VLOOKUP(B120,ADP!A1:E728,4,FALSE),VLOOKUP(B120,ADP!A1:E728,5,FALSE))))</f>
        <v>172.1</v>
      </c>
      <c r="N120" s="39">
        <f>IFERROR(M120-A120,"N/A")</f>
        <v>53.099999999999994</v>
      </c>
      <c r="O120" s="39"/>
      <c r="P120" s="40" t="str">
        <f>IF(Settings!$E$27="ON",VLOOKUP(B120,ADP!A1:H728,8,FALSE)," ")</f>
        <v xml:space="preserve"> </v>
      </c>
      <c r="Q120" s="41">
        <f>IF(Settings!$E$12="YES",VLOOKUP(B120,'Player Data'!A1:E734,5,FALSE),82)</f>
        <v>79.882499999999993</v>
      </c>
      <c r="R120" s="39">
        <f>VLOOKUP(B120,'Player Data'!$A1:$AE734,6,FALSE)</f>
        <v>16.581815100196302</v>
      </c>
      <c r="S120" s="41">
        <f>VLOOKUP(B120,'Player Data'!$A1:$AE734,7,FALSE)*$Q120*IFERROR((VLOOKUP(P120,Settings!$E$28:$F$33,2,FALSE)+1),1)</f>
        <v>17.934468246903442</v>
      </c>
      <c r="T120" s="41">
        <f>VLOOKUP(B120,'Player Data'!$A1:$AE734,8,FALSE)*$Q120*IFERROR((VLOOKUP(P120,Settings!$E$28:$F$33,2,FALSE)+1),1)</f>
        <v>40.454172170685403</v>
      </c>
      <c r="U120" s="41">
        <f>SUM(S120:T120)</f>
        <v>58.388640417588846</v>
      </c>
      <c r="V120" s="41">
        <f>VLOOKUP(B120,'Player Data'!$A1:$AE734,10,FALSE)*$Q120*IFERROR(((VLOOKUP(P120,Settings!$E$28:$F$33,2,FALSE)/2)+1),1)</f>
        <v>212.13603863396725</v>
      </c>
      <c r="W120" s="41">
        <f>VLOOKUP(B120,'Player Data'!$A1:$AE734,11,FALSE)*$Q120*IFERROR((VLOOKUP(P120,Settings!$E$28:$F$33,2,FALSE)+1),1)</f>
        <v>4.63697345946201</v>
      </c>
      <c r="X120" s="41">
        <f>VLOOKUP(B120,'Player Data'!$A1:$AE734,12,FALSE)*$Q120*IFERROR((VLOOKUP(P120,Settings!$E$28:$F$33,2,FALSE)+1),1)</f>
        <v>19.887341643268972</v>
      </c>
      <c r="Y120" s="41">
        <f>VLOOKUP(B120,'Player Data'!$A1:$AE734,13,FALSE)*$Q120</f>
        <v>0</v>
      </c>
      <c r="Z120" s="41">
        <f>VLOOKUP(B120,'Player Data'!$A1:$AE734,14,FALSE)*$Q120</f>
        <v>0</v>
      </c>
      <c r="AA120" s="41">
        <f>VLOOKUP(B120,'Player Data'!$A1:$AE734,15,FALSE)*$Q120</f>
        <v>20.061679121636111</v>
      </c>
      <c r="AB120" s="41">
        <f>VLOOKUP(B120,'Player Data'!$A1:$AE734,16,FALSE)*$Q120</f>
        <v>17.923752605929433</v>
      </c>
      <c r="AC120" s="41">
        <f>VLOOKUP(B120,'Player Data'!$A1:$AE734,17,FALSE)*$Q120*IFERROR((VLOOKUP(P120,Settings!$E$28:$F$33,2,FALSE)+1),1)</f>
        <v>-1.0227098953255012</v>
      </c>
      <c r="AD120" s="41">
        <f>VLOOKUP(B120,'Player Data'!$A1:$AE734,18,FALSE)*$Q120</f>
        <v>17.299631984381342</v>
      </c>
      <c r="AE120" s="41">
        <f>VLOOKUP(B120,'Player Data'!$A1:$AE734,19,FALSE)*$Q120*IFERROR((VLOOKUP(P120,Settings!$E$28:$F$33,2,FALSE)+1),1)</f>
        <v>0</v>
      </c>
      <c r="AF120" s="41">
        <f>VLOOKUP(B120,'Player Data'!$A1:$AE734,20,FALSE)*$Q120</f>
        <v>1.5236771367848669</v>
      </c>
      <c r="AG120" s="41">
        <f>VLOOKUP(B120,'Player Data'!$A1:$AE734,21,FALSE)*$Q120</f>
        <v>1.8188459600386024</v>
      </c>
      <c r="AH120" s="42">
        <f>VLOOKUP(B120,'Player Data'!$A1:$AE734,22,FALSE)</f>
        <v>0.455846404840965</v>
      </c>
      <c r="AI120" s="39"/>
      <c r="AJ120" s="41"/>
      <c r="AK120" s="41"/>
      <c r="AL120" s="41"/>
      <c r="AM120" s="41"/>
      <c r="AN120" s="41"/>
      <c r="AO120" s="41"/>
      <c r="AP120" s="41"/>
      <c r="AQ120" s="44"/>
      <c r="AR120" s="45"/>
      <c r="AS120" s="39"/>
    </row>
    <row r="121" spans="1:45" ht="21.25" customHeight="1" x14ac:dyDescent="0.15">
      <c r="A121" s="31">
        <f>RANK(K121,K$2:K$727)</f>
        <v>120</v>
      </c>
      <c r="B121" s="8" t="s">
        <v>225</v>
      </c>
      <c r="C121" s="32" t="s">
        <v>106</v>
      </c>
      <c r="D121" s="33" t="str">
        <f>VLOOKUP(B121,'Player Data'!A1:D734,4,FALSE)</f>
        <v>C</v>
      </c>
      <c r="E121" s="34">
        <f>VLOOKUP(B121,'C'!A1:C211,3,FALSE)</f>
        <v>32</v>
      </c>
      <c r="F121" s="35" t="str">
        <f>VLOOKUP(B121,'Player Data'!A1:B734,2,FALSE)</f>
        <v>NYI</v>
      </c>
      <c r="G121" s="9">
        <f>VLOOKUP(B121,'Player Data'!A1:D734,3,FALSE)</f>
        <v>26</v>
      </c>
      <c r="H121" s="36">
        <f>IFERROR(VLOOKUP(B121,ADP!A1:G728,7,FALSE)/1000000,VLOOKUP(B121,ADP!A1:G728,7,FALSE))</f>
        <v>9.15</v>
      </c>
      <c r="I121" s="37">
        <f>IF(Settings!$E$15="POINTS",((R121*Q121)*Settings!$B$12)+(S121*Settings!$B$2)+(T121*Settings!$B$3)+(U121*Settings!$B$4)+(V121*Settings!$B$5)+(X121*Settings!$B$9)+(AA121*Settings!$B$6)+(W121*Settings!$B$8)+(AB121*Settings!$B$7)+(AC121*Settings!$B$14)+(AD121*Settings!$B$15)+(AE121*Settings!$B$16)+(AF121*Settings!$B$17)+(AG121*Settings!$B$18)+(Y121*Settings!$B$10)+(Z121*Settings!$B$11),VLOOKUP(B121,'Standard Deviations'!A1:C728,3,FALSE))</f>
        <v>367.44912682469067</v>
      </c>
      <c r="J121" s="38">
        <f>IF(D121="G",I121/AJ121,I121/Q121)</f>
        <v>4.8104205380989162</v>
      </c>
      <c r="K121" s="37">
        <f>IF(Settings!$E$18="C/LW/RW",VLOOKUP(B121,'C'!A1:F211,6,FALSE),VLOOKUP(B121,F!A1:F430,6,FALSE))</f>
        <v>-25.879678941518989</v>
      </c>
      <c r="L121" s="37">
        <f>IFERROR(K121/H121,"N/A")</f>
        <v>-2.8283802121878674</v>
      </c>
      <c r="M121" s="39">
        <f>IF(Settings!$E$9="YAHOO",VLOOKUP(B121,ADP!A1:E728,2,FALSE),IF(Settings!$E$9="ESPN",VLOOKUP(B121,ADP!A1:E728,3,FALSE),IF(Settings!$E$9="FANTRAX",VLOOKUP(B121,ADP!A1:E728,4,FALSE),VLOOKUP(B121,ADP!A1:E728,5,FALSE))))</f>
        <v>165.9</v>
      </c>
      <c r="N121" s="39">
        <f>IFERROR(M121-A121,"N/A")</f>
        <v>45.900000000000006</v>
      </c>
      <c r="O121" s="39"/>
      <c r="P121" s="40" t="str">
        <f>IF(Settings!$E$27="ON",VLOOKUP(B121,ADP!A1:H728,8,FALSE)," ")</f>
        <v>+</v>
      </c>
      <c r="Q121" s="41">
        <f>IF(Settings!$E$12="YES",VLOOKUP(B121,'Player Data'!A1:E734,5,FALSE),82)</f>
        <v>76.386071428571398</v>
      </c>
      <c r="R121" s="39">
        <f>VLOOKUP(B121,'Player Data'!$A1:$AE734,6,FALSE)</f>
        <v>18.742091984614198</v>
      </c>
      <c r="S121" s="41">
        <f>VLOOKUP(B121,'Player Data'!$A1:$AE734,7,FALSE)*$Q121*IFERROR((VLOOKUP(P121,Settings!$E$28:$F$33,2,FALSE)+1),1)</f>
        <v>21.338812427642921</v>
      </c>
      <c r="T121" s="41">
        <f>VLOOKUP(B121,'Player Data'!$A1:$AE734,8,FALSE)*$Q121*IFERROR((VLOOKUP(P121,Settings!$E$28:$F$33,2,FALSE)+1),1)</f>
        <v>50.428697996992796</v>
      </c>
      <c r="U121" s="41">
        <f>SUM(S121:T121)</f>
        <v>71.767510424635717</v>
      </c>
      <c r="V121" s="41">
        <f>VLOOKUP(B121,'Player Data'!$A1:$AE734,10,FALSE)*$Q121*IFERROR(((VLOOKUP(P121,Settings!$E$28:$F$33,2,FALSE)/2)+1),1)</f>
        <v>191.93661509556406</v>
      </c>
      <c r="W121" s="41">
        <f>VLOOKUP(B121,'Player Data'!$A1:$AE734,11,FALSE)*$Q121*IFERROR((VLOOKUP(P121,Settings!$E$28:$F$33,2,FALSE)+1),1)</f>
        <v>4.0195066961349966</v>
      </c>
      <c r="X121" s="41">
        <f>VLOOKUP(B121,'Player Data'!$A1:$AE734,12,FALSE)*$Q121*IFERROR((VLOOKUP(P121,Settings!$E$28:$F$33,2,FALSE)+1),1)</f>
        <v>24.606375475221512</v>
      </c>
      <c r="Y121" s="41">
        <f>VLOOKUP(B121,'Player Data'!$A1:$AE734,13,FALSE)*$Q121</f>
        <v>6.9185737554761737E-3</v>
      </c>
      <c r="Z121" s="41">
        <f>VLOOKUP(B121,'Player Data'!$A1:$AE734,14,FALSE)*$Q121</f>
        <v>1.2614961725029693E-2</v>
      </c>
      <c r="AA121" s="41">
        <f>VLOOKUP(B121,'Player Data'!$A1:$AE734,15,FALSE)*$Q121</f>
        <v>34.701535645541966</v>
      </c>
      <c r="AB121" s="41">
        <f>VLOOKUP(B121,'Player Data'!$A1:$AE734,16,FALSE)*$Q121</f>
        <v>39.486197439972187</v>
      </c>
      <c r="AC121" s="41">
        <f>VLOOKUP(B121,'Player Data'!$A1:$AE734,17,FALSE)*$Q121*IFERROR((VLOOKUP(P121,Settings!$E$28:$F$33,2,FALSE)+1),1)</f>
        <v>3.2310809985343103</v>
      </c>
      <c r="AD121" s="41">
        <f>VLOOKUP(B121,'Player Data'!$A1:$AE734,18,FALSE)*$Q121</f>
        <v>31.932818826362524</v>
      </c>
      <c r="AE121" s="41">
        <f>VLOOKUP(B121,'Player Data'!$A1:$AE734,19,FALSE)*$Q121*IFERROR((VLOOKUP(P121,Settings!$E$28:$F$33,2,FALSE)+1),1)</f>
        <v>3.2973129298044905</v>
      </c>
      <c r="AF121" s="41">
        <f>VLOOKUP(B121,'Player Data'!$A1:$AE734,20,FALSE)*$Q121</f>
        <v>177.37589897314709</v>
      </c>
      <c r="AG121" s="41">
        <f>VLOOKUP(B121,'Player Data'!$A1:$AE734,21,FALSE)*$Q121</f>
        <v>249.82186289320848</v>
      </c>
      <c r="AH121" s="42">
        <f>VLOOKUP(B121,'Player Data'!$A1:$AE734,22,FALSE)</f>
        <v>0.41520793132955902</v>
      </c>
      <c r="AI121" s="39"/>
      <c r="AJ121" s="41"/>
      <c r="AK121" s="41"/>
      <c r="AL121" s="41"/>
      <c r="AM121" s="41"/>
      <c r="AN121" s="41"/>
      <c r="AO121" s="41"/>
      <c r="AP121" s="41"/>
      <c r="AQ121" s="44"/>
      <c r="AR121" s="45"/>
      <c r="AS121" s="39"/>
    </row>
    <row r="122" spans="1:45" ht="21.25" customHeight="1" x14ac:dyDescent="0.15">
      <c r="A122" s="31">
        <f>RANK(K122,K$2:K$727)</f>
        <v>121</v>
      </c>
      <c r="B122" s="8" t="s">
        <v>226</v>
      </c>
      <c r="C122" s="32" t="s">
        <v>106</v>
      </c>
      <c r="D122" s="33" t="str">
        <f>VLOOKUP(B122,'Player Data'!A1:D734,4,FALSE)</f>
        <v>C</v>
      </c>
      <c r="E122" s="34">
        <f>VLOOKUP(B122,'C'!A1:C211,3,FALSE)</f>
        <v>33</v>
      </c>
      <c r="F122" s="35" t="str">
        <f>VLOOKUP(B122,'Player Data'!A1:B734,2,FALSE)</f>
        <v>DAL</v>
      </c>
      <c r="G122" s="9">
        <f>VLOOKUP(B122,'Player Data'!A1:D734,3,FALSE)</f>
        <v>39</v>
      </c>
      <c r="H122" s="36">
        <f>IFERROR(VLOOKUP(B122,ADP!A1:G728,7,FALSE)/1000000,VLOOKUP(B122,ADP!A1:G728,7,FALSE))</f>
        <v>3.5</v>
      </c>
      <c r="I122" s="37">
        <f>IF(Settings!$E$15="POINTS",((R122*Q122)*Settings!$B$12)+(S122*Settings!$B$2)+(T122*Settings!$B$3)+(U122*Settings!$B$4)+(V122*Settings!$B$5)+(X122*Settings!$B$9)+(AA122*Settings!$B$6)+(W122*Settings!$B$8)+(AB122*Settings!$B$7)+(AC122*Settings!$B$14)+(AD122*Settings!$B$15)+(AE122*Settings!$B$16)+(AF122*Settings!$B$17)+(AG122*Settings!$B$18)+(Y122*Settings!$B$10)+(Z122*Settings!$B$11),VLOOKUP(B122,'Standard Deviations'!A1:C728,3,FALSE))</f>
        <v>366.71196358538396</v>
      </c>
      <c r="J122" s="38">
        <f>IF(D122="G",I122/AJ122,I122/Q122)</f>
        <v>4.470461582169742</v>
      </c>
      <c r="K122" s="37">
        <f>IF(Settings!$E$18="C/LW/RW",VLOOKUP(B122,'C'!A1:F211,6,FALSE),VLOOKUP(B122,F!A1:F430,6,FALSE))</f>
        <v>-26.616842180825699</v>
      </c>
      <c r="L122" s="37">
        <f>IFERROR(K122/H122,"N/A")</f>
        <v>-7.6048120516644859</v>
      </c>
      <c r="M122" s="39">
        <f>IF(Settings!$E$9="YAHOO",VLOOKUP(B122,ADP!A1:E728,2,FALSE),IF(Settings!$E$9="ESPN",VLOOKUP(B122,ADP!A1:E728,3,FALSE),IF(Settings!$E$9="FANTRAX",VLOOKUP(B122,ADP!A1:E728,4,FALSE),VLOOKUP(B122,ADP!A1:E728,5,FALSE))))</f>
        <v>102</v>
      </c>
      <c r="N122" s="39">
        <f>IFERROR(M122-A122,"N/A")</f>
        <v>-19</v>
      </c>
      <c r="O122" s="39"/>
      <c r="P122" s="40" t="str">
        <f>IF(Settings!$E$27="ON",VLOOKUP(B122,ADP!A1:H728,8,FALSE)," ")</f>
        <v xml:space="preserve"> </v>
      </c>
      <c r="Q122" s="41">
        <f>IF(Settings!$E$12="YES",VLOOKUP(B122,'Player Data'!A1:E734,5,FALSE),82)</f>
        <v>82.03</v>
      </c>
      <c r="R122" s="39">
        <f>VLOOKUP(B122,'Player Data'!$A1:$AE734,6,FALSE)</f>
        <v>17.418828209239699</v>
      </c>
      <c r="S122" s="41">
        <f>VLOOKUP(B122,'Player Data'!$A1:$AE734,7,FALSE)*$Q122*IFERROR((VLOOKUP(P122,Settings!$E$28:$F$33,2,FALSE)+1),1)</f>
        <v>25.521307258720444</v>
      </c>
      <c r="T122" s="41">
        <f>VLOOKUP(B122,'Player Data'!$A1:$AE734,8,FALSE)*$Q122*IFERROR((VLOOKUP(P122,Settings!$E$28:$F$33,2,FALSE)+1),1)</f>
        <v>44.275746052872073</v>
      </c>
      <c r="U122" s="41">
        <f>SUM(S122:T122)</f>
        <v>69.797053311592521</v>
      </c>
      <c r="V122" s="41">
        <f>VLOOKUP(B122,'Player Data'!$A1:$AE734,10,FALSE)*$Q122*IFERROR(((VLOOKUP(P122,Settings!$E$28:$F$33,2,FALSE)/2)+1),1)</f>
        <v>189.78882601200939</v>
      </c>
      <c r="W122" s="41">
        <f>VLOOKUP(B122,'Player Data'!$A1:$AE734,11,FALSE)*$Q122*IFERROR((VLOOKUP(P122,Settings!$E$28:$F$33,2,FALSE)+1),1)</f>
        <v>11.707560242515004</v>
      </c>
      <c r="X122" s="41">
        <f>VLOOKUP(B122,'Player Data'!$A1:$AE734,12,FALSE)*$Q122*IFERROR((VLOOKUP(P122,Settings!$E$28:$F$33,2,FALSE)+1),1)</f>
        <v>24.888252195407393</v>
      </c>
      <c r="Y122" s="41">
        <f>VLOOKUP(B122,'Player Data'!$A1:$AE734,13,FALSE)*$Q122</f>
        <v>5.321449630057859E-2</v>
      </c>
      <c r="Z122" s="41">
        <f>VLOOKUP(B122,'Player Data'!$A1:$AE734,14,FALSE)*$Q122</f>
        <v>0.3561766615243408</v>
      </c>
      <c r="AA122" s="41">
        <f>VLOOKUP(B122,'Player Data'!$A1:$AE734,15,FALSE)*$Q122</f>
        <v>59.687664653691336</v>
      </c>
      <c r="AB122" s="41">
        <f>VLOOKUP(B122,'Player Data'!$A1:$AE734,16,FALSE)*$Q122</f>
        <v>90.855199567493401</v>
      </c>
      <c r="AC122" s="41">
        <f>VLOOKUP(B122,'Player Data'!$A1:$AE734,17,FALSE)*$Q122*IFERROR((VLOOKUP(P122,Settings!$E$28:$F$33,2,FALSE)+1),1)</f>
        <v>9.4831329973630538</v>
      </c>
      <c r="AD122" s="41">
        <f>VLOOKUP(B122,'Player Data'!$A1:$AE734,18,FALSE)*$Q122</f>
        <v>15.917002913492375</v>
      </c>
      <c r="AE122" s="41">
        <f>VLOOKUP(B122,'Player Data'!$A1:$AE734,19,FALSE)*$Q122*IFERROR((VLOOKUP(P122,Settings!$E$28:$F$33,2,FALSE)+1),1)</f>
        <v>4.0832282394582675</v>
      </c>
      <c r="AF122" s="41">
        <f>VLOOKUP(B122,'Player Data'!$A1:$AE734,20,FALSE)*$Q122</f>
        <v>375.13474978326144</v>
      </c>
      <c r="AG122" s="41">
        <f>VLOOKUP(B122,'Player Data'!$A1:$AE734,21,FALSE)*$Q122</f>
        <v>335.46660865657515</v>
      </c>
      <c r="AH122" s="42">
        <f>VLOOKUP(B122,'Player Data'!$A1:$AE734,22,FALSE)</f>
        <v>0.52791166992262695</v>
      </c>
      <c r="AI122" s="39"/>
      <c r="AJ122" s="43"/>
      <c r="AK122" s="41"/>
      <c r="AL122" s="41"/>
      <c r="AM122" s="41"/>
      <c r="AN122" s="41"/>
      <c r="AO122" s="41"/>
      <c r="AP122" s="41"/>
      <c r="AQ122" s="44"/>
      <c r="AR122" s="45"/>
      <c r="AS122" s="39"/>
    </row>
    <row r="123" spans="1:45" ht="21.25" customHeight="1" x14ac:dyDescent="0.15">
      <c r="A123" s="31">
        <f>RANK(K123,K$2:K$727)</f>
        <v>122</v>
      </c>
      <c r="B123" s="8" t="s">
        <v>227</v>
      </c>
      <c r="C123" s="32" t="s">
        <v>106</v>
      </c>
      <c r="D123" s="33" t="str">
        <f>VLOOKUP(B123,'Player Data'!A1:D734,4,FALSE)</f>
        <v>G</v>
      </c>
      <c r="E123" s="50">
        <f>VLOOKUP(B123,G!A1:D75,3,FALSE)</f>
        <v>19</v>
      </c>
      <c r="F123" s="35" t="str">
        <f>VLOOKUP(B123,'Player Data'!A1:B734,2,FALSE)</f>
        <v>BOS</v>
      </c>
      <c r="G123" s="9">
        <f>VLOOKUP(B123,'Player Data'!A1:D734,3,FALSE)</f>
        <v>30</v>
      </c>
      <c r="H123" s="36">
        <f>IFERROR(VLOOKUP(B123,ADP!A1:G728,7,FALSE)/1000000,VLOOKUP(B123,ADP!A1:G728,7,FALSE))</f>
        <v>5</v>
      </c>
      <c r="I123" s="37">
        <f>IF(Settings!$E$15="POINTS",(AJ123*Settings!$B$29)+(AK123*Settings!$B$21)+(AL123*Settings!$B$22)+(AN123*Settings!$B$24)+(AO123*Settings!$B$25)+(AP123*Settings!$B$27)+(AM123*Settings!$B$23),VLOOKUP(B123,'Standard Deviations'!A1:C728,3,FALSE))</f>
        <v>371.023746476437</v>
      </c>
      <c r="J123" s="38">
        <f>IF(D123="G",I123/AJ123,I123/Q123)</f>
        <v>8.4323578744644774</v>
      </c>
      <c r="K123" s="37">
        <f>VLOOKUP(B123,G!A1:F75,6,FALSE)</f>
        <v>-27.751915612879202</v>
      </c>
      <c r="L123" s="37">
        <f>IFERROR(K123/H123,"N/A")</f>
        <v>-5.5503831225758402</v>
      </c>
      <c r="M123" s="39">
        <f>IF(Settings!$E$9="YAHOO",VLOOKUP(B123,ADP!A1:E728,2,FALSE),IF(Settings!$E$9="ESPN",VLOOKUP(B123,ADP!A1:E728,3,FALSE),IF(Settings!$E$9="FANTRAX",VLOOKUP(B123,ADP!A1:E728,4,FALSE),VLOOKUP(B123,ADP!A1:E728,5,FALSE))))</f>
        <v>23.6</v>
      </c>
      <c r="N123" s="39">
        <f>IFERROR(M123-A123,"N/A")</f>
        <v>-98.4</v>
      </c>
      <c r="O123" s="39"/>
      <c r="P123" s="40" t="str">
        <f>IF(Settings!$E$27="ON",VLOOKUP(B123,ADP!A1:H728,8,FALSE)," ")</f>
        <v xml:space="preserve"> </v>
      </c>
      <c r="Q123" s="41"/>
      <c r="R123" s="5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2"/>
      <c r="AI123" s="39"/>
      <c r="AJ123" s="43">
        <f>VLOOKUP(B123,'Player Data'!$A1:$AE734,24,FALSE)</f>
        <v>44</v>
      </c>
      <c r="AK123" s="41">
        <f>VLOOKUP(B123,'Player Data'!$A1:$AE734,25,FALSE)*$AJ123*IFERROR((VLOOKUP(P123,Settings!$E$28:$F$33,2,FALSE)+1),1)</f>
        <v>25.268938510275987</v>
      </c>
      <c r="AL123" s="41">
        <f>AJ123-AK123-AM123</f>
        <v>13.231061489724013</v>
      </c>
      <c r="AM123" s="41">
        <f>VLOOKUP(B123,'Player Data'!$A1:$AE734,27,FALSE)*$AJ123</f>
        <v>5.5</v>
      </c>
      <c r="AN123" s="41">
        <f>VLOOKUP(B123,'Player Data'!$A1:$AE734,28,FALSE)*AJ123</f>
        <v>3.2373825162504319</v>
      </c>
      <c r="AO123" s="41">
        <f>VLOOKUP(B123,'Player Data'!$A1:$AE734,29,FALSE)*$AJ123*IFERROR((VLOOKUP(P123,Settings!$E$28:$F$33,2,FALSE)/4)+1,1)</f>
        <v>1258.9883226966012</v>
      </c>
      <c r="AP123" s="41">
        <f>VLOOKUP(B123,'Player Data'!$A1:$AE734,31,FALSE)*$AJ123*(IFERROR(1-(VLOOKUP(P123,Settings!$E$28:$F$33,2,FALSE)/4),1))</f>
        <v>113.58399847839748</v>
      </c>
      <c r="AQ123" s="44">
        <f>1-(AP123/(AO123+AP123))</f>
        <v>0.91724734884558712</v>
      </c>
      <c r="AR123" s="45">
        <f>AP123/AJ123</f>
        <v>2.5814545108726699</v>
      </c>
      <c r="AS123" s="39"/>
    </row>
    <row r="124" spans="1:45" ht="21.25" customHeight="1" x14ac:dyDescent="0.15">
      <c r="A124" s="31">
        <f>RANK(K124,K$2:K$727)</f>
        <v>123</v>
      </c>
      <c r="B124" s="8" t="s">
        <v>228</v>
      </c>
      <c r="C124" s="32" t="s">
        <v>106</v>
      </c>
      <c r="D124" s="33" t="str">
        <f>VLOOKUP(B124,'Player Data'!A1:D734,4,FALSE)</f>
        <v>C</v>
      </c>
      <c r="E124" s="34">
        <f>VLOOKUP(B124,'C'!A1:C211,3,FALSE)</f>
        <v>34</v>
      </c>
      <c r="F124" s="35" t="str">
        <f>VLOOKUP(B124,'Player Data'!A1:B734,2,FALSE)</f>
        <v>CAR</v>
      </c>
      <c r="G124" s="9">
        <f>VLOOKUP(B124,'Player Data'!A1:D734,3,FALSE)</f>
        <v>24</v>
      </c>
      <c r="H124" s="36">
        <f>IFERROR(VLOOKUP(B124,ADP!A1:G728,7,FALSE)/1000000,VLOOKUP(B124,ADP!A1:G728,7,FALSE))</f>
        <v>3</v>
      </c>
      <c r="I124" s="37">
        <f>IF(Settings!$E$15="POINTS",((R124*Q124)*Settings!$B$12)+(S124*Settings!$B$2)+(T124*Settings!$B$3)+(U124*Settings!$B$4)+(V124*Settings!$B$5)+(X124*Settings!$B$9)+(AA124*Settings!$B$6)+(W124*Settings!$B$8)+(AB124*Settings!$B$7)+(AC124*Settings!$B$14)+(AD124*Settings!$B$15)+(AE124*Settings!$B$16)+(AF124*Settings!$B$17)+(AG124*Settings!$B$18)+(Y124*Settings!$B$10)+(Z124*Settings!$B$11),VLOOKUP(B124,'Standard Deviations'!A1:C728,3,FALSE))</f>
        <v>364.89159157508874</v>
      </c>
      <c r="J124" s="38">
        <f>IF(D124="G",I124/AJ124,I124/Q124)</f>
        <v>4.5025712666924393</v>
      </c>
      <c r="K124" s="37">
        <f>IF(Settings!$E$18="C/LW/RW",VLOOKUP(B124,'C'!A1:F211,6,FALSE),VLOOKUP(B124,F!A1:F430,6,FALSE))</f>
        <v>-28.437214191120916</v>
      </c>
      <c r="L124" s="37">
        <f>IFERROR(K124/H124,"N/A")</f>
        <v>-9.4790713970403058</v>
      </c>
      <c r="M124" s="39">
        <f>IF(Settings!$E$9="YAHOO",VLOOKUP(B124,ADP!A1:E728,2,FALSE),IF(Settings!$E$9="ESPN",VLOOKUP(B124,ADP!A1:E728,3,FALSE),IF(Settings!$E$9="FANTRAX",VLOOKUP(B124,ADP!A1:E728,4,FALSE),VLOOKUP(B124,ADP!A1:E728,5,FALSE))))</f>
        <v>146.19999999999999</v>
      </c>
      <c r="N124" s="39">
        <f>IFERROR(M124-A124,"N/A")</f>
        <v>23.199999999999989</v>
      </c>
      <c r="O124" s="39"/>
      <c r="P124" s="40" t="str">
        <f>IF(Settings!$E$27="ON",VLOOKUP(B124,ADP!A1:H728,8,FALSE)," ")</f>
        <v xml:space="preserve"> </v>
      </c>
      <c r="Q124" s="41">
        <f>IF(Settings!$E$12="YES",VLOOKUP(B124,'Player Data'!A1:E734,5,FALSE),82)</f>
        <v>81.040714285714301</v>
      </c>
      <c r="R124" s="39">
        <f>VLOOKUP(B124,'Player Data'!$A1:$AE734,6,FALSE)</f>
        <v>18.356554917454201</v>
      </c>
      <c r="S124" s="41">
        <f>VLOOKUP(B124,'Player Data'!$A1:$AE734,7,FALSE)*$Q124*IFERROR((VLOOKUP(P124,Settings!$E$28:$F$33,2,FALSE)+1),1)</f>
        <v>25.734793857025434</v>
      </c>
      <c r="T124" s="41">
        <f>VLOOKUP(B124,'Player Data'!$A1:$AE734,8,FALSE)*$Q124*IFERROR((VLOOKUP(P124,Settings!$E$28:$F$33,2,FALSE)+1),1)</f>
        <v>42.179999169561967</v>
      </c>
      <c r="U124" s="41">
        <f>SUM(S124:T124)</f>
        <v>67.914793026587404</v>
      </c>
      <c r="V124" s="41">
        <f>VLOOKUP(B124,'Player Data'!$A1:$AE734,10,FALSE)*$Q124*IFERROR(((VLOOKUP(P124,Settings!$E$28:$F$33,2,FALSE)/2)+1),1)</f>
        <v>224.10759705098818</v>
      </c>
      <c r="W124" s="41">
        <f>VLOOKUP(B124,'Player Data'!$A1:$AE734,11,FALSE)*$Q124*IFERROR((VLOOKUP(P124,Settings!$E$28:$F$33,2,FALSE)+1),1)</f>
        <v>6.9750293766711362</v>
      </c>
      <c r="X124" s="41">
        <f>VLOOKUP(B124,'Player Data'!$A1:$AE734,12,FALSE)*$Q124*IFERROR((VLOOKUP(P124,Settings!$E$28:$F$33,2,FALSE)+1),1)</f>
        <v>21.466217174441056</v>
      </c>
      <c r="Y124" s="41">
        <f>VLOOKUP(B124,'Player Data'!$A1:$AE734,13,FALSE)*$Q124</f>
        <v>0.29170802874389007</v>
      </c>
      <c r="Z124" s="41">
        <f>VLOOKUP(B124,'Player Data'!$A1:$AE734,14,FALSE)*$Q124</f>
        <v>0.68416828689274245</v>
      </c>
      <c r="AA124" s="41">
        <f>VLOOKUP(B124,'Player Data'!$A1:$AE734,15,FALSE)*$Q124</f>
        <v>23.963215235824322</v>
      </c>
      <c r="AB124" s="41">
        <f>VLOOKUP(B124,'Player Data'!$A1:$AE734,16,FALSE)*$Q124</f>
        <v>60.995832890857294</v>
      </c>
      <c r="AC124" s="41">
        <f>VLOOKUP(B124,'Player Data'!$A1:$AE734,17,FALSE)*$Q124*IFERROR((VLOOKUP(P124,Settings!$E$28:$F$33,2,FALSE)+1),1)</f>
        <v>6.0913621033799608</v>
      </c>
      <c r="AD124" s="41">
        <f>VLOOKUP(B124,'Player Data'!$A1:$AE734,18,FALSE)*$Q124</f>
        <v>31.759580584951856</v>
      </c>
      <c r="AE124" s="41">
        <f>VLOOKUP(B124,'Player Data'!$A1:$AE734,19,FALSE)*$Q124*IFERROR((VLOOKUP(P124,Settings!$E$28:$F$33,2,FALSE)+1),1)</f>
        <v>4.6173982635626762</v>
      </c>
      <c r="AF124" s="41">
        <f>VLOOKUP(B124,'Player Data'!$A1:$AE734,20,FALSE)*$Q124</f>
        <v>155.05622270916231</v>
      </c>
      <c r="AG124" s="41">
        <f>VLOOKUP(B124,'Player Data'!$A1:$AE734,21,FALSE)*$Q124</f>
        <v>187.93991691535754</v>
      </c>
      <c r="AH124" s="42">
        <f>VLOOKUP(B124,'Player Data'!$A1:$AE734,22,FALSE)</f>
        <v>0.45206404619860502</v>
      </c>
      <c r="AI124" s="39"/>
      <c r="AJ124" s="43"/>
      <c r="AK124" s="41"/>
      <c r="AL124" s="41"/>
      <c r="AM124" s="41"/>
      <c r="AN124" s="41"/>
      <c r="AO124" s="41"/>
      <c r="AP124" s="41"/>
      <c r="AQ124" s="44"/>
      <c r="AR124" s="45"/>
      <c r="AS124" s="39"/>
    </row>
    <row r="125" spans="1:45" ht="21.25" customHeight="1" x14ac:dyDescent="0.15">
      <c r="A125" s="31">
        <f>RANK(K125,K$2:K$727)</f>
        <v>124</v>
      </c>
      <c r="B125" s="8" t="s">
        <v>229</v>
      </c>
      <c r="C125" s="32" t="s">
        <v>106</v>
      </c>
      <c r="D125" s="33" t="str">
        <f>VLOOKUP(B125,'Player Data'!A1:D734,4,FALSE)</f>
        <v>C</v>
      </c>
      <c r="E125" s="34">
        <f>VLOOKUP(B125,'C'!A1:C211,3,FALSE)</f>
        <v>35</v>
      </c>
      <c r="F125" s="35" t="str">
        <f>VLOOKUP(B125,'Player Data'!A1:B734,2,FALSE)</f>
        <v>NYI</v>
      </c>
      <c r="G125" s="9">
        <f>VLOOKUP(B125,'Player Data'!A1:D734,3,FALSE)</f>
        <v>31</v>
      </c>
      <c r="H125" s="36">
        <f>IFERROR(VLOOKUP(B125,ADP!A1:G728,7,FALSE)/1000000,VLOOKUP(B125,ADP!A1:G728,7,FALSE))</f>
        <v>6</v>
      </c>
      <c r="I125" s="37">
        <f>IF(Settings!$E$15="POINTS",((R125*Q125)*Settings!$B$12)+(S125*Settings!$B$2)+(T125*Settings!$B$3)+(U125*Settings!$B$4)+(V125*Settings!$B$5)+(X125*Settings!$B$9)+(AA125*Settings!$B$6)+(W125*Settings!$B$8)+(AB125*Settings!$B$7)+(AC125*Settings!$B$14)+(AD125*Settings!$B$15)+(AE125*Settings!$B$16)+(AF125*Settings!$B$17)+(AG125*Settings!$B$18)+(Y125*Settings!$B$10)+(Z125*Settings!$B$11),VLOOKUP(B125,'Standard Deviations'!A1:C728,3,FALSE))</f>
        <v>361.75607616544806</v>
      </c>
      <c r="J125" s="38">
        <f>IF(D125="G",I125/AJ125,I125/Q125)</f>
        <v>4.4852281466176684</v>
      </c>
      <c r="K125" s="37">
        <f>IF(Settings!$E$18="C/LW/RW",VLOOKUP(B125,'C'!A1:F211,6,FALSE),VLOOKUP(B125,F!A1:F430,6,FALSE))</f>
        <v>-31.572729600761591</v>
      </c>
      <c r="L125" s="37">
        <f>IFERROR(K125/H125,"N/A")</f>
        <v>-5.2621216001269318</v>
      </c>
      <c r="M125" s="39">
        <f>IF(Settings!$E$9="YAHOO",VLOOKUP(B125,ADP!A1:E728,2,FALSE),IF(Settings!$E$9="ESPN",VLOOKUP(B125,ADP!A1:E728,3,FALSE),IF(Settings!$E$9="FANTRAX",VLOOKUP(B125,ADP!A1:E728,4,FALSE),VLOOKUP(B125,ADP!A1:E728,5,FALSE))))</f>
        <v>147.9</v>
      </c>
      <c r="N125" s="39">
        <f>IFERROR(M125-A125,"N/A")</f>
        <v>23.900000000000006</v>
      </c>
      <c r="O125" s="39"/>
      <c r="P125" s="40" t="str">
        <f>IF(Settings!$E$27="ON",VLOOKUP(B125,ADP!A1:H728,8,FALSE)," ")</f>
        <v xml:space="preserve"> </v>
      </c>
      <c r="Q125" s="41">
        <f>IF(Settings!$E$12="YES",VLOOKUP(B125,'Player Data'!A1:E734,5,FALSE),82)</f>
        <v>80.655000000000001</v>
      </c>
      <c r="R125" s="39">
        <f>VLOOKUP(B125,'Player Data'!$A1:$AE734,6,FALSE)</f>
        <v>18.674372043902402</v>
      </c>
      <c r="S125" s="41">
        <f>VLOOKUP(B125,'Player Data'!$A1:$AE734,7,FALSE)*$Q125*IFERROR((VLOOKUP(P125,Settings!$E$28:$F$33,2,FALSE)+1),1)</f>
        <v>35.119005946819769</v>
      </c>
      <c r="T125" s="41">
        <f>VLOOKUP(B125,'Player Data'!$A1:$AE734,8,FALSE)*$Q125*IFERROR((VLOOKUP(P125,Settings!$E$28:$F$33,2,FALSE)+1),1)</f>
        <v>33.664740100872677</v>
      </c>
      <c r="U125" s="41">
        <f>SUM(S125:T125)</f>
        <v>68.783746047692446</v>
      </c>
      <c r="V125" s="41">
        <f>VLOOKUP(B125,'Player Data'!$A1:$AE734,10,FALSE)*$Q125*IFERROR(((VLOOKUP(P125,Settings!$E$28:$F$33,2,FALSE)/2)+1),1)</f>
        <v>217.35035912855184</v>
      </c>
      <c r="W125" s="41">
        <f>VLOOKUP(B125,'Player Data'!$A1:$AE734,11,FALSE)*$Q125*IFERROR((VLOOKUP(P125,Settings!$E$28:$F$33,2,FALSE)+1),1)</f>
        <v>9.4502367136101046</v>
      </c>
      <c r="X125" s="41">
        <f>VLOOKUP(B125,'Player Data'!$A1:$AE734,12,FALSE)*$Q125*IFERROR((VLOOKUP(P125,Settings!$E$28:$F$33,2,FALSE)+1),1)</f>
        <v>18.873562607509246</v>
      </c>
      <c r="Y125" s="41">
        <f>VLOOKUP(B125,'Player Data'!$A1:$AE734,13,FALSE)*$Q125</f>
        <v>8.5762079228796112E-2</v>
      </c>
      <c r="Z125" s="41">
        <f>VLOOKUP(B125,'Player Data'!$A1:$AE734,14,FALSE)*$Q125</f>
        <v>0.15648656629562616</v>
      </c>
      <c r="AA125" s="41">
        <f>VLOOKUP(B125,'Player Data'!$A1:$AE734,15,FALSE)*$Q125</f>
        <v>43.347800552425099</v>
      </c>
      <c r="AB125" s="41">
        <f>VLOOKUP(B125,'Player Data'!$A1:$AE734,16,FALSE)*$Q125</f>
        <v>49.922992931931603</v>
      </c>
      <c r="AC125" s="41">
        <f>VLOOKUP(B125,'Player Data'!$A1:$AE734,17,FALSE)*$Q125*IFERROR((VLOOKUP(P125,Settings!$E$28:$F$33,2,FALSE)+1),1)</f>
        <v>2.1955083329969241</v>
      </c>
      <c r="AD125" s="41">
        <f>VLOOKUP(B125,'Player Data'!$A1:$AE734,18,FALSE)*$Q125</f>
        <v>29.554583136457506</v>
      </c>
      <c r="AE125" s="41">
        <f>VLOOKUP(B125,'Player Data'!$A1:$AE734,19,FALSE)*$Q125*IFERROR((VLOOKUP(P125,Settings!$E$28:$F$33,2,FALSE)+1),1)</f>
        <v>5.4266540269279897</v>
      </c>
      <c r="AF125" s="41">
        <f>VLOOKUP(B125,'Player Data'!$A1:$AE734,20,FALSE)*$Q125</f>
        <v>508.16774468017428</v>
      </c>
      <c r="AG125" s="41">
        <f>VLOOKUP(B125,'Player Data'!$A1:$AE734,21,FALSE)*$Q125</f>
        <v>542.71431259231588</v>
      </c>
      <c r="AH125" s="42">
        <f>VLOOKUP(B125,'Player Data'!$A1:$AE734,22,FALSE)</f>
        <v>0.48356306130023502</v>
      </c>
      <c r="AI125" s="39"/>
      <c r="AJ125" s="43"/>
      <c r="AK125" s="41"/>
      <c r="AL125" s="41"/>
      <c r="AM125" s="41"/>
      <c r="AN125" s="41"/>
      <c r="AO125" s="41"/>
      <c r="AP125" s="41"/>
      <c r="AQ125" s="44"/>
      <c r="AR125" s="45"/>
      <c r="AS125" s="39"/>
    </row>
    <row r="126" spans="1:45" ht="21.25" customHeight="1" x14ac:dyDescent="0.15">
      <c r="A126" s="31">
        <f>RANK(K126,K$2:K$727)</f>
        <v>125</v>
      </c>
      <c r="B126" s="8" t="s">
        <v>230</v>
      </c>
      <c r="C126" s="32" t="s">
        <v>106</v>
      </c>
      <c r="D126" s="33" t="str">
        <f>VLOOKUP(B126,'Player Data'!A1:D734,4,FALSE)</f>
        <v>D</v>
      </c>
      <c r="E126" s="49">
        <f>VLOOKUP(B126,D!A1:C227,3,FALSE)</f>
        <v>27</v>
      </c>
      <c r="F126" s="35" t="str">
        <f>VLOOKUP(B126,'Player Data'!A1:B734,2,FALSE)</f>
        <v>STL</v>
      </c>
      <c r="G126" s="9">
        <f>VLOOKUP(B126,'Player Data'!A1:D734,3,FALSE)</f>
        <v>31</v>
      </c>
      <c r="H126" s="36">
        <f>IFERROR(VLOOKUP(B126,ADP!A1:G728,7,FALSE)/1000000,VLOOKUP(B126,ADP!A1:G728,7,FALSE))</f>
        <v>6.5</v>
      </c>
      <c r="I126" s="37">
        <f>IF(Settings!$E$15="POINTS",((R126*Q126)*Settings!$B$12)+(S126*Settings!$B$2)+(T126*Settings!$B$3)+(U126*Settings!$B$4)+(V126*Settings!$B$5)+(X126*Settings!$B$9)+(AA126*Settings!$B$6)+(W126*Settings!$B$8)+(AB126*Settings!$B$7)+(AC126*Settings!$B$14)+(AD126*Settings!$B$15)+(AE126*Settings!$B$16)+(AF126*Settings!$B$17)+(AG126*Settings!$B$18)+(U126*Settings!$B$13)+(Y126*Settings!$B$10)+(Z126*Settings!$B$11),VLOOKUP(B126,'Standard Deviations'!A1:C728,3,FALSE))</f>
        <v>279.8239763041654</v>
      </c>
      <c r="J126" s="38">
        <f>IF(D126="G",I126/AJ126,I126/Q126)</f>
        <v>3.4458958968556788</v>
      </c>
      <c r="K126" s="37">
        <f>VLOOKUP(B126,D!A1:F227,6,FALSE)</f>
        <v>-31.741505323762055</v>
      </c>
      <c r="L126" s="37">
        <f>IFERROR(K126/H126,"N/A")</f>
        <v>-4.8833085113480088</v>
      </c>
      <c r="M126" s="39">
        <f>IF(Settings!$E$9="YAHOO",VLOOKUP(B126,ADP!A1:E728,2,FALSE),IF(Settings!$E$9="ESPN",VLOOKUP(B126,ADP!A1:E728,3,FALSE),IF(Settings!$E$9="FANTRAX",VLOOKUP(B126,ADP!A1:E728,4,FALSE),VLOOKUP(B126,ADP!A1:E728,5,FALSE))))</f>
        <v>118.2</v>
      </c>
      <c r="N126" s="39">
        <f>IFERROR(M126-A126,"N/A")</f>
        <v>-6.7999999999999972</v>
      </c>
      <c r="O126" s="39"/>
      <c r="P126" s="40" t="str">
        <f>IF(Settings!$E$27="ON",VLOOKUP(B126,ADP!A1:H728,8,FALSE)," ")</f>
        <v xml:space="preserve"> </v>
      </c>
      <c r="Q126" s="41">
        <f>IF(Settings!$E$12="YES",VLOOKUP(B126,'Player Data'!A1:E734,5,FALSE),82)</f>
        <v>81.204999999999998</v>
      </c>
      <c r="R126" s="39">
        <f>VLOOKUP(B126,'Player Data'!$A1:$AE734,6,FALSE)</f>
        <v>23.5112300495427</v>
      </c>
      <c r="S126" s="41">
        <f>VLOOKUP(B126,'Player Data'!$A1:$AE734,7,FALSE)*$Q126*IFERROR((VLOOKUP(P126,Settings!$E$28:$F$33,2,FALSE)+1),1)</f>
        <v>12.2260695639677</v>
      </c>
      <c r="T126" s="41">
        <f>VLOOKUP(B126,'Player Data'!$A1:$AE734,8,FALSE)*$Q126*IFERROR((VLOOKUP(P126,Settings!$E$28:$F$33,2,FALSE)+1),1)</f>
        <v>34.12613875338166</v>
      </c>
      <c r="U126" s="41">
        <f>SUM(S126:T126)</f>
        <v>46.352208317349358</v>
      </c>
      <c r="V126" s="41">
        <f>VLOOKUP(B126,'Player Data'!$A1:$AE734,10,FALSE)*$Q126*IFERROR(((VLOOKUP(P126,Settings!$E$28:$F$33,2,FALSE)/2)+1),1)</f>
        <v>185.783532871548</v>
      </c>
      <c r="W126" s="41">
        <f>VLOOKUP(B126,'Player Data'!$A1:$AE734,11,FALSE)*$Q126*IFERROR((VLOOKUP(P126,Settings!$E$28:$F$33,2,FALSE)+1),1)</f>
        <v>1.9078053040334806</v>
      </c>
      <c r="X126" s="41">
        <f>VLOOKUP(B126,'Player Data'!$A1:$AE734,12,FALSE)*$Q126*IFERROR((VLOOKUP(P126,Settings!$E$28:$F$33,2,FALSE)+1),1)</f>
        <v>10.489779128540741</v>
      </c>
      <c r="Y126" s="41">
        <f>VLOOKUP(B126,'Player Data'!$A1:$AE734,13,FALSE)*$Q126</f>
        <v>2.4601713457352656E-2</v>
      </c>
      <c r="Z126" s="41">
        <f>VLOOKUP(B126,'Player Data'!$A1:$AE734,14,FALSE)*$Q126</f>
        <v>0.30116960139478005</v>
      </c>
      <c r="AA126" s="41">
        <f>VLOOKUP(B126,'Player Data'!$A1:$AE734,15,FALSE)*$Q126</f>
        <v>131.46843728236126</v>
      </c>
      <c r="AB126" s="41">
        <f>VLOOKUP(B126,'Player Data'!$A1:$AE734,16,FALSE)*$Q126</f>
        <v>120.10865180478143</v>
      </c>
      <c r="AC126" s="41">
        <f>VLOOKUP(B126,'Player Data'!$A1:$AE734,17,FALSE)*$Q126*IFERROR((VLOOKUP(P126,Settings!$E$28:$F$33,2,FALSE)+1),1)</f>
        <v>-4.1657146075770486</v>
      </c>
      <c r="AD126" s="41">
        <f>VLOOKUP(B126,'Player Data'!$A1:$AE734,18,FALSE)*$Q126</f>
        <v>38.825040247462319</v>
      </c>
      <c r="AE126" s="41">
        <f>VLOOKUP(B126,'Player Data'!$A1:$AE734,19,FALSE)*$Q126*IFERROR((VLOOKUP(P126,Settings!$E$28:$F$33,2,FALSE)+1),1)</f>
        <v>1.4068872222406277</v>
      </c>
      <c r="AF126" s="41">
        <f>VLOOKUP(B126,'Player Data'!$A1:$AE734,20,FALSE)*$Q126</f>
        <v>0</v>
      </c>
      <c r="AG126" s="41">
        <f>VLOOKUP(B126,'Player Data'!$A1:$AE734,21,FALSE)*$Q126</f>
        <v>0</v>
      </c>
      <c r="AH126" s="42">
        <f>VLOOKUP(B126,'Player Data'!$A1:$AE734,22,FALSE)</f>
        <v>0</v>
      </c>
      <c r="AI126" s="39"/>
      <c r="AJ126" s="43"/>
      <c r="AK126" s="41"/>
      <c r="AL126" s="41"/>
      <c r="AM126" s="41"/>
      <c r="AN126" s="41"/>
      <c r="AO126" s="41"/>
      <c r="AP126" s="41"/>
      <c r="AQ126" s="44"/>
      <c r="AR126" s="45"/>
      <c r="AS126" s="43"/>
    </row>
    <row r="127" spans="1:45" ht="21.25" customHeight="1" x14ac:dyDescent="0.15">
      <c r="A127" s="31">
        <f>RANK(K127,K$2:K$727)</f>
        <v>126</v>
      </c>
      <c r="B127" s="8" t="s">
        <v>231</v>
      </c>
      <c r="C127" s="32" t="s">
        <v>106</v>
      </c>
      <c r="D127" s="33" t="str">
        <f>VLOOKUP(B127,'Player Data'!A1:D734,4,FALSE)</f>
        <v>LW</v>
      </c>
      <c r="E127" s="47">
        <f>VLOOKUP(B127,LW!A1:C130,3,FALSE)</f>
        <v>27</v>
      </c>
      <c r="F127" s="35" t="str">
        <f>VLOOKUP(B127,'Player Data'!A1:B734,2,FALSE)</f>
        <v>CHI</v>
      </c>
      <c r="G127" s="9">
        <f>VLOOKUP(B127,'Player Data'!A1:D734,3,FALSE)</f>
        <v>31</v>
      </c>
      <c r="H127" s="36">
        <f>IFERROR(VLOOKUP(B127,ADP!A1:G728,7,FALSE)/1000000,VLOOKUP(B127,ADP!A1:G728,7,FALSE))</f>
        <v>6</v>
      </c>
      <c r="I127" s="37">
        <f>IF(Settings!$E$15="POINTS",((R127*Q127)*Settings!$B$12)+(S127*Settings!$B$2)+(T127*Settings!$B$3)+(U127*Settings!$B$4)+(V127*Settings!$B$5)+(X127*Settings!$B$9)+(AA127*Settings!$B$6)+(W127*Settings!$B$8)+(AB127*Settings!$B$7)+(AC127*Settings!$B$14)+(AD127*Settings!$B$15)+(AE127*Settings!$B$16)+(AF127*Settings!$B$17)+(AG127*Settings!$B$18)+(Y127*Settings!$B$10)+(Z127*Settings!$B$11),VLOOKUP(B127,'Standard Deviations'!A1:C728,3,FALSE))</f>
        <v>332.16390346750529</v>
      </c>
      <c r="J127" s="38">
        <f>IF(D127="G",I127/AJ127,I127/Q127)</f>
        <v>4.2735394138224825</v>
      </c>
      <c r="K127" s="37">
        <f>IF(Settings!$E$18="C/LW/RW",VLOOKUP(B127,LW!A1:F130,6,FALSE),VLOOKUP(B127,F!A1:F430,6,FALSE))</f>
        <v>-31.876701390145172</v>
      </c>
      <c r="L127" s="37">
        <f>IFERROR(K127/H127,"N/A")</f>
        <v>-5.312783565024195</v>
      </c>
      <c r="M127" s="39">
        <f>IF(Settings!$E$9="YAHOO",VLOOKUP(B127,ADP!A1:E728,2,FALSE),IF(Settings!$E$9="ESPN",VLOOKUP(B127,ADP!A1:E728,3,FALSE),IF(Settings!$E$9="FANTRAX",VLOOKUP(B127,ADP!A1:E728,4,FALSE),VLOOKUP(B127,ADP!A1:E728,5,FALSE))))</f>
        <v>167.5</v>
      </c>
      <c r="N127" s="39">
        <f>IFERROR(M127-A127,"N/A")</f>
        <v>41.5</v>
      </c>
      <c r="O127" s="39"/>
      <c r="P127" s="40" t="str">
        <f>IF(Settings!$E$27="ON",VLOOKUP(B127,ADP!A1:H728,8,FALSE)," ")</f>
        <v>+</v>
      </c>
      <c r="Q127" s="41">
        <f>IF(Settings!$E$12="YES",VLOOKUP(B127,'Player Data'!A1:E734,5,FALSE),82)</f>
        <v>77.725714285714304</v>
      </c>
      <c r="R127" s="39">
        <f>VLOOKUP(B127,'Player Data'!$A1:$AE734,6,FALSE)</f>
        <v>18.178314869834999</v>
      </c>
      <c r="S127" s="41">
        <f>VLOOKUP(B127,'Player Data'!$A1:$AE734,7,FALSE)*$Q127*IFERROR((VLOOKUP(P127,Settings!$E$28:$F$33,2,FALSE)+1),1)</f>
        <v>22.384737199554255</v>
      </c>
      <c r="T127" s="41">
        <f>VLOOKUP(B127,'Player Data'!$A1:$AE734,8,FALSE)*$Q127*IFERROR((VLOOKUP(P127,Settings!$E$28:$F$33,2,FALSE)+1),1)</f>
        <v>37.325481412137101</v>
      </c>
      <c r="U127" s="41">
        <f>SUM(S127:T127)</f>
        <v>59.71021861169136</v>
      </c>
      <c r="V127" s="41">
        <f>VLOOKUP(B127,'Player Data'!$A1:$AE734,10,FALSE)*$Q127*IFERROR(((VLOOKUP(P127,Settings!$E$28:$F$33,2,FALSE)/2)+1),1)</f>
        <v>225.53807532427714</v>
      </c>
      <c r="W127" s="41">
        <f>VLOOKUP(B127,'Player Data'!$A1:$AE734,11,FALSE)*$Q127*IFERROR((VLOOKUP(P127,Settings!$E$28:$F$33,2,FALSE)+1),1)</f>
        <v>6.8411706014608935</v>
      </c>
      <c r="X127" s="41">
        <f>VLOOKUP(B127,'Player Data'!$A1:$AE734,12,FALSE)*$Q127*IFERROR((VLOOKUP(P127,Settings!$E$28:$F$33,2,FALSE)+1),1)</f>
        <v>15.973612005005224</v>
      </c>
      <c r="Y127" s="41">
        <f>VLOOKUP(B127,'Player Data'!$A1:$AE734,13,FALSE)*$Q127</f>
        <v>8.1212656907364254E-3</v>
      </c>
      <c r="Z127" s="41">
        <f>VLOOKUP(B127,'Player Data'!$A1:$AE734,14,FALSE)*$Q127</f>
        <v>1.5076665285434438E-2</v>
      </c>
      <c r="AA127" s="41">
        <f>VLOOKUP(B127,'Player Data'!$A1:$AE734,15,FALSE)*$Q127</f>
        <v>41.434163148556387</v>
      </c>
      <c r="AB127" s="41">
        <f>VLOOKUP(B127,'Player Data'!$A1:$AE734,16,FALSE)*$Q127</f>
        <v>56.08697962975647</v>
      </c>
      <c r="AC127" s="41">
        <f>VLOOKUP(B127,'Player Data'!$A1:$AE734,17,FALSE)*$Q127*IFERROR((VLOOKUP(P127,Settings!$E$28:$F$33,2,FALSE)+1),1)</f>
        <v>-4.2971564773514253</v>
      </c>
      <c r="AD127" s="41">
        <f>VLOOKUP(B127,'Player Data'!$A1:$AE734,18,FALSE)*$Q127</f>
        <v>36.116321256570764</v>
      </c>
      <c r="AE127" s="41">
        <f>VLOOKUP(B127,'Player Data'!$A1:$AE734,19,FALSE)*$Q127*IFERROR((VLOOKUP(P127,Settings!$E$28:$F$33,2,FALSE)+1),1)</f>
        <v>2.6230782450811763</v>
      </c>
      <c r="AF127" s="41">
        <f>VLOOKUP(B127,'Player Data'!$A1:$AE734,20,FALSE)*$Q127</f>
        <v>8.9567438781557129</v>
      </c>
      <c r="AG127" s="41">
        <f>VLOOKUP(B127,'Player Data'!$A1:$AE734,21,FALSE)*$Q127</f>
        <v>11.18467830739408</v>
      </c>
      <c r="AH127" s="42">
        <f>VLOOKUP(B127,'Player Data'!$A1:$AE734,22,FALSE)</f>
        <v>0.44469272306806601</v>
      </c>
      <c r="AI127" s="39"/>
      <c r="AJ127" s="43"/>
      <c r="AK127" s="41"/>
      <c r="AL127" s="41"/>
      <c r="AM127" s="41"/>
      <c r="AN127" s="41"/>
      <c r="AO127" s="41"/>
      <c r="AP127" s="41"/>
      <c r="AQ127" s="44"/>
      <c r="AR127" s="45"/>
      <c r="AS127" s="39"/>
    </row>
    <row r="128" spans="1:45" ht="21.25" customHeight="1" x14ac:dyDescent="0.15">
      <c r="A128" s="31">
        <f>RANK(K128,K$2:K$727)</f>
        <v>127</v>
      </c>
      <c r="B128" s="8" t="s">
        <v>232</v>
      </c>
      <c r="C128" s="32" t="s">
        <v>106</v>
      </c>
      <c r="D128" s="33" t="str">
        <f>VLOOKUP(B128,'Player Data'!A1:D734,4,FALSE)</f>
        <v>RW</v>
      </c>
      <c r="E128" s="46">
        <f>VLOOKUP(B128,RW!A1:F97,3,FALSE)</f>
        <v>21</v>
      </c>
      <c r="F128" s="35" t="str">
        <f>VLOOKUP(B128,'Player Data'!A1:B734,2,FALSE)</f>
        <v>VGK</v>
      </c>
      <c r="G128" s="9">
        <f>VLOOKUP(B128,'Player Data'!A1:D734,3,FALSE)</f>
        <v>31</v>
      </c>
      <c r="H128" s="36">
        <f>IFERROR(VLOOKUP(B128,ADP!A1:G728,7,FALSE)/1000000,VLOOKUP(B128,ADP!A1:G728,7,FALSE))</f>
        <v>9.5</v>
      </c>
      <c r="I128" s="37">
        <f>IF(Settings!$E$15="POINTS",((R128*Q128)*Settings!$B$12)+(S128*Settings!$B$2)+(T128*Settings!$B$3)+(U128*Settings!$B$4)+(V128*Settings!$B$5)+(X128*Settings!$B$9)+(AA128*Settings!$B$6)+(W128*Settings!$B$8)+(AB128*Settings!$B$7)+(AC128*Settings!$B$14)+(AD128*Settings!$B$15)+(AE128*Settings!$B$16)+(AF128*Settings!$B$17)+(AG128*Settings!$B$18)+(Y128*Settings!$B$10)+(Z128*Settings!$B$11),VLOOKUP(B128,'Standard Deviations'!A1:C728,3,FALSE))</f>
        <v>317.47948728912547</v>
      </c>
      <c r="J128" s="38">
        <f>IF(D128="G",I128/AJ128,I128/Q128)</f>
        <v>4.6163007198028296</v>
      </c>
      <c r="K128" s="37">
        <f>IF(Settings!$E$18="C/LW/RW",VLOOKUP(B128,RW!A1:F97,6,FALSE),VLOOKUP(B128,F!A1:F430,6,FALSE))</f>
        <v>-32.792053258764099</v>
      </c>
      <c r="L128" s="37">
        <f>IFERROR(K128/H128,"N/A")</f>
        <v>-3.4517950798699051</v>
      </c>
      <c r="M128" s="39">
        <f>IF(Settings!$E$9="YAHOO",VLOOKUP(B128,ADP!A1:E728,2,FALSE),IF(Settings!$E$9="ESPN",VLOOKUP(B128,ADP!A1:E728,3,FALSE),IF(Settings!$E$9="FANTRAX",VLOOKUP(B128,ADP!A1:E728,4,FALSE),VLOOKUP(B128,ADP!A1:E728,5,FALSE))))</f>
        <v>64.7</v>
      </c>
      <c r="N128" s="39">
        <f>IFERROR(M128-A128,"N/A")</f>
        <v>-62.3</v>
      </c>
      <c r="O128" s="39"/>
      <c r="P128" s="40" t="str">
        <f>IF(Settings!$E$27="ON",VLOOKUP(B128,ADP!A1:H728,8,FALSE)," ")</f>
        <v xml:space="preserve"> </v>
      </c>
      <c r="Q128" s="41">
        <f>IF(Settings!$E$12="YES",VLOOKUP(B128,'Player Data'!A1:E734,5,FALSE),82)</f>
        <v>68.773571428571401</v>
      </c>
      <c r="R128" s="39">
        <f>VLOOKUP(B128,'Player Data'!$A1:$AE734,6,FALSE)</f>
        <v>19.699941070972699</v>
      </c>
      <c r="S128" s="41">
        <f>VLOOKUP(B128,'Player Data'!$A1:$AE734,7,FALSE)*$Q128*IFERROR((VLOOKUP(P128,Settings!$E$28:$F$33,2,FALSE)+1),1)</f>
        <v>24.112701153040501</v>
      </c>
      <c r="T128" s="41">
        <f>VLOOKUP(B128,'Player Data'!$A1:$AE734,8,FALSE)*$Q128*IFERROR((VLOOKUP(P128,Settings!$E$28:$F$33,2,FALSE)+1),1)</f>
        <v>38.550095890498064</v>
      </c>
      <c r="U128" s="41">
        <f>SUM(S128:T128)</f>
        <v>62.662797043538561</v>
      </c>
      <c r="V128" s="41">
        <f>VLOOKUP(B128,'Player Data'!$A1:$AE734,10,FALSE)*$Q128*IFERROR(((VLOOKUP(P128,Settings!$E$28:$F$33,2,FALSE)/2)+1),1)</f>
        <v>169.9867674836766</v>
      </c>
      <c r="W128" s="41">
        <f>VLOOKUP(B128,'Player Data'!$A1:$AE734,11,FALSE)*$Q128*IFERROR((VLOOKUP(P128,Settings!$E$28:$F$33,2,FALSE)+1),1)</f>
        <v>5.9046112246415188</v>
      </c>
      <c r="X128" s="41">
        <f>VLOOKUP(B128,'Player Data'!$A1:$AE734,12,FALSE)*$Q128*IFERROR((VLOOKUP(P128,Settings!$E$28:$F$33,2,FALSE)+1),1)</f>
        <v>15.979750141532651</v>
      </c>
      <c r="Y128" s="41">
        <f>VLOOKUP(B128,'Player Data'!$A1:$AE734,13,FALSE)*$Q128</f>
        <v>1.7611459902875908</v>
      </c>
      <c r="Z128" s="41">
        <f>VLOOKUP(B128,'Player Data'!$A1:$AE734,14,FALSE)*$Q128</f>
        <v>2.3158056289555939</v>
      </c>
      <c r="AA128" s="41">
        <f>VLOOKUP(B128,'Player Data'!$A1:$AE734,15,FALSE)*$Q128</f>
        <v>39.533004378474878</v>
      </c>
      <c r="AB128" s="41">
        <f>VLOOKUP(B128,'Player Data'!$A1:$AE734,16,FALSE)*$Q128</f>
        <v>50.691252440022566</v>
      </c>
      <c r="AC128" s="41">
        <f>VLOOKUP(B128,'Player Data'!$A1:$AE734,17,FALSE)*$Q128*IFERROR((VLOOKUP(P128,Settings!$E$28:$F$33,2,FALSE)+1),1)</f>
        <v>7.1847258148970532</v>
      </c>
      <c r="AD128" s="41">
        <f>VLOOKUP(B128,'Player Data'!$A1:$AE734,18,FALSE)*$Q128</f>
        <v>25.103521035468599</v>
      </c>
      <c r="AE128" s="41">
        <f>VLOOKUP(B128,'Player Data'!$A1:$AE734,19,FALSE)*$Q128*IFERROR((VLOOKUP(P128,Settings!$E$28:$F$33,2,FALSE)+1),1)</f>
        <v>3.9406732776204598</v>
      </c>
      <c r="AF128" s="41">
        <f>VLOOKUP(B128,'Player Data'!$A1:$AE734,20,FALSE)*$Q128</f>
        <v>4.2801560127290452</v>
      </c>
      <c r="AG128" s="41">
        <f>VLOOKUP(B128,'Player Data'!$A1:$AE734,21,FALSE)*$Q128</f>
        <v>12.983908310165349</v>
      </c>
      <c r="AH128" s="42">
        <f>VLOOKUP(B128,'Player Data'!$A1:$AE734,22,FALSE)</f>
        <v>0.247922849027676</v>
      </c>
      <c r="AI128" s="39"/>
      <c r="AJ128" s="41"/>
      <c r="AK128" s="41"/>
      <c r="AL128" s="41"/>
      <c r="AM128" s="41"/>
      <c r="AN128" s="41"/>
      <c r="AO128" s="41"/>
      <c r="AP128" s="41"/>
      <c r="AQ128" s="44"/>
      <c r="AR128" s="45"/>
      <c r="AS128" s="39"/>
    </row>
    <row r="129" spans="1:45" ht="21.25" customHeight="1" x14ac:dyDescent="0.15">
      <c r="A129" s="31">
        <f>RANK(K129,K$2:K$727)</f>
        <v>128</v>
      </c>
      <c r="B129" s="8" t="s">
        <v>233</v>
      </c>
      <c r="C129" s="32" t="s">
        <v>106</v>
      </c>
      <c r="D129" s="33" t="str">
        <f>VLOOKUP(B129,'Player Data'!A1:D734,4,FALSE)</f>
        <v>D</v>
      </c>
      <c r="E129" s="49">
        <f>VLOOKUP(B129,D!A1:C227,3,FALSE)</f>
        <v>28</v>
      </c>
      <c r="F129" s="35" t="str">
        <f>VLOOKUP(B129,'Player Data'!A1:B734,2,FALSE)</f>
        <v>LAK</v>
      </c>
      <c r="G129" s="9">
        <f>VLOOKUP(B129,'Player Data'!A1:D734,3,FALSE)</f>
        <v>33</v>
      </c>
      <c r="H129" s="36">
        <f>IFERROR(VLOOKUP(B129,ADP!A1:G728,7,FALSE)/1000000,VLOOKUP(B129,ADP!A1:G728,7,FALSE))</f>
        <v>11</v>
      </c>
      <c r="I129" s="37">
        <f>IF(Settings!$E$15="POINTS",((R129*Q129)*Settings!$B$12)+(S129*Settings!$B$2)+(T129*Settings!$B$3)+(U129*Settings!$B$4)+(V129*Settings!$B$5)+(X129*Settings!$B$9)+(AA129*Settings!$B$6)+(W129*Settings!$B$8)+(AB129*Settings!$B$7)+(AC129*Settings!$B$14)+(AD129*Settings!$B$15)+(AE129*Settings!$B$16)+(AF129*Settings!$B$17)+(AG129*Settings!$B$18)+(U129*Settings!$B$13)+(Y129*Settings!$B$10)+(Z129*Settings!$B$11),VLOOKUP(B129,'Standard Deviations'!A1:C728,3,FALSE))</f>
        <v>278.62536207401155</v>
      </c>
      <c r="J129" s="38">
        <f>IF(D129="G",I129/AJ129,I129/Q129)</f>
        <v>3.669019779747321</v>
      </c>
      <c r="K129" s="37">
        <f>VLOOKUP(B129,D!A1:F227,6,FALSE)</f>
        <v>-32.940119553915906</v>
      </c>
      <c r="L129" s="37">
        <f>IFERROR(K129/H129,"N/A")</f>
        <v>-2.9945563230832644</v>
      </c>
      <c r="M129" s="39">
        <f>IF(Settings!$E$9="YAHOO",VLOOKUP(B129,ADP!A1:E728,2,FALSE),IF(Settings!$E$9="ESPN",VLOOKUP(B129,ADP!A1:E728,3,FALSE),IF(Settings!$E$9="FANTRAX",VLOOKUP(B129,ADP!A1:E728,4,FALSE),VLOOKUP(B129,ADP!A1:E728,5,FALSE))))</f>
        <v>116.8</v>
      </c>
      <c r="N129" s="39">
        <f>IFERROR(M129-A129,"N/A")</f>
        <v>-11.200000000000003</v>
      </c>
      <c r="O129" s="39"/>
      <c r="P129" s="40" t="str">
        <f>IF(Settings!$E$27="ON",VLOOKUP(B129,ADP!A1:H728,8,FALSE)," ")</f>
        <v>-</v>
      </c>
      <c r="Q129" s="41">
        <f>IF(Settings!$E$12="YES",VLOOKUP(B129,'Player Data'!A1:E734,5,FALSE),82)</f>
        <v>75.94</v>
      </c>
      <c r="R129" s="39">
        <f>VLOOKUP(B129,'Player Data'!$A1:$AE734,6,FALSE)</f>
        <v>26.167847642057701</v>
      </c>
      <c r="S129" s="41">
        <f>VLOOKUP(B129,'Player Data'!$A1:$AE734,7,FALSE)*$Q129*IFERROR((VLOOKUP(P129,Settings!$E$28:$F$33,2,FALSE)+1),1)</f>
        <v>9.0378978011996871</v>
      </c>
      <c r="T129" s="41">
        <f>VLOOKUP(B129,'Player Data'!$A1:$AE734,8,FALSE)*$Q129*IFERROR((VLOOKUP(P129,Settings!$E$28:$F$33,2,FALSE)+1),1)</f>
        <v>37.933158493900329</v>
      </c>
      <c r="U129" s="41">
        <f>SUM(S129:T129)</f>
        <v>46.971056295100013</v>
      </c>
      <c r="V129" s="41">
        <f>VLOOKUP(B129,'Player Data'!$A1:$AE734,10,FALSE)*$Q129*IFERROR(((VLOOKUP(P129,Settings!$E$28:$F$33,2,FALSE)/2)+1),1)</f>
        <v>144.05828117740873</v>
      </c>
      <c r="W129" s="41">
        <f>VLOOKUP(B129,'Player Data'!$A1:$AE734,11,FALSE)*$Q129*IFERROR((VLOOKUP(P129,Settings!$E$28:$F$33,2,FALSE)+1),1)</f>
        <v>4.5013640524927316</v>
      </c>
      <c r="X129" s="41">
        <f>VLOOKUP(B129,'Player Data'!$A1:$AE734,12,FALSE)*$Q129*IFERROR((VLOOKUP(P129,Settings!$E$28:$F$33,2,FALSE)+1),1)</f>
        <v>21.981894981888431</v>
      </c>
      <c r="Y129" s="41">
        <f>VLOOKUP(B129,'Player Data'!$A1:$AE734,13,FALSE)*$Q129</f>
        <v>2.419225749696224E-2</v>
      </c>
      <c r="Z129" s="41">
        <f>VLOOKUP(B129,'Player Data'!$A1:$AE734,14,FALSE)*$Q129</f>
        <v>0.30288806175646371</v>
      </c>
      <c r="AA129" s="41">
        <f>VLOOKUP(B129,'Player Data'!$A1:$AE734,15,FALSE)*$Q129</f>
        <v>105.56743256358662</v>
      </c>
      <c r="AB129" s="41">
        <f>VLOOKUP(B129,'Player Data'!$A1:$AE734,16,FALSE)*$Q129</f>
        <v>109.14950385352752</v>
      </c>
      <c r="AC129" s="41">
        <f>VLOOKUP(B129,'Player Data'!$A1:$AE734,17,FALSE)*$Q129*IFERROR((VLOOKUP(P129,Settings!$E$28:$F$33,2,FALSE)+1),1)</f>
        <v>0.12648665987919996</v>
      </c>
      <c r="AD129" s="41">
        <f>VLOOKUP(B129,'Player Data'!$A1:$AE734,18,FALSE)*$Q129</f>
        <v>40.202150135531966</v>
      </c>
      <c r="AE129" s="41">
        <f>VLOOKUP(B129,'Player Data'!$A1:$AE734,19,FALSE)*$Q129*IFERROR((VLOOKUP(P129,Settings!$E$28:$F$33,2,FALSE)+1),1)</f>
        <v>1.3418009315936676</v>
      </c>
      <c r="AF129" s="41">
        <f>VLOOKUP(B129,'Player Data'!$A1:$AE734,20,FALSE)*$Q129</f>
        <v>0</v>
      </c>
      <c r="AG129" s="41">
        <f>VLOOKUP(B129,'Player Data'!$A1:$AE734,21,FALSE)*$Q129</f>
        <v>0</v>
      </c>
      <c r="AH129" s="42">
        <f>VLOOKUP(B129,'Player Data'!$A1:$AE734,22,FALSE)</f>
        <v>0</v>
      </c>
      <c r="AI129" s="39"/>
      <c r="AJ129" s="43"/>
      <c r="AK129" s="41"/>
      <c r="AL129" s="41"/>
      <c r="AM129" s="41"/>
      <c r="AN129" s="41"/>
      <c r="AO129" s="41"/>
      <c r="AP129" s="41"/>
      <c r="AQ129" s="44"/>
      <c r="AR129" s="45"/>
      <c r="AS129" s="39"/>
    </row>
    <row r="130" spans="1:45" ht="21.25" customHeight="1" x14ac:dyDescent="0.15">
      <c r="A130" s="31">
        <f>RANK(K130,K$2:K$727)</f>
        <v>129</v>
      </c>
      <c r="B130" s="8" t="s">
        <v>234</v>
      </c>
      <c r="C130" s="32" t="s">
        <v>106</v>
      </c>
      <c r="D130" s="33" t="str">
        <f>VLOOKUP(B130,'Player Data'!A1:D734,4,FALSE)</f>
        <v>D</v>
      </c>
      <c r="E130" s="49">
        <f>VLOOKUP(B130,D!A1:C227,3,FALSE)</f>
        <v>29</v>
      </c>
      <c r="F130" s="35" t="str">
        <f>VLOOKUP(B130,'Player Data'!A1:B734,2,FALSE)</f>
        <v>OTT</v>
      </c>
      <c r="G130" s="9">
        <f>VLOOKUP(B130,'Player Data'!A1:D734,3,FALSE)</f>
        <v>26</v>
      </c>
      <c r="H130" s="36">
        <f>IFERROR(VLOOKUP(B130,ADP!A1:G728,7,FALSE)/1000000,VLOOKUP(B130,ADP!A1:G728,7,FALSE))</f>
        <v>8</v>
      </c>
      <c r="I130" s="37">
        <f>IF(Settings!$E$15="POINTS",((R130*Q130)*Settings!$B$12)+(S130*Settings!$B$2)+(T130*Settings!$B$3)+(U130*Settings!$B$4)+(V130*Settings!$B$5)+(X130*Settings!$B$9)+(AA130*Settings!$B$6)+(W130*Settings!$B$8)+(AB130*Settings!$B$7)+(AC130*Settings!$B$14)+(AD130*Settings!$B$15)+(AE130*Settings!$B$16)+(AF130*Settings!$B$17)+(AG130*Settings!$B$18)+(U130*Settings!$B$13)+(Y130*Settings!$B$10)+(Z130*Settings!$B$11),VLOOKUP(B130,'Standard Deviations'!A1:C728,3,FALSE))</f>
        <v>278.07732384455085</v>
      </c>
      <c r="J130" s="38">
        <f>IF(D130="G",I130/AJ130,I130/Q130)</f>
        <v>3.690108135813301</v>
      </c>
      <c r="K130" s="37">
        <f>VLOOKUP(B130,D!A1:F227,6,FALSE)</f>
        <v>-33.488157783376607</v>
      </c>
      <c r="L130" s="37">
        <f>IFERROR(K130/H130,"N/A")</f>
        <v>-4.1860197229220759</v>
      </c>
      <c r="M130" s="39">
        <f>IF(Settings!$E$9="YAHOO",VLOOKUP(B130,ADP!A1:E728,2,FALSE),IF(Settings!$E$9="ESPN",VLOOKUP(B130,ADP!A1:E728,3,FALSE),IF(Settings!$E$9="FANTRAX",VLOOKUP(B130,ADP!A1:E728,4,FALSE),VLOOKUP(B130,ADP!A1:E728,5,FALSE))))</f>
        <v>132.30000000000001</v>
      </c>
      <c r="N130" s="39">
        <f>IFERROR(M130-A130,"N/A")</f>
        <v>3.3000000000000114</v>
      </c>
      <c r="O130" s="39"/>
      <c r="P130" s="40" t="str">
        <f>IF(Settings!$E$27="ON",VLOOKUP(B130,ADP!A1:H728,8,FALSE)," ")</f>
        <v xml:space="preserve"> </v>
      </c>
      <c r="Q130" s="41">
        <f>IF(Settings!$E$12="YES",VLOOKUP(B130,'Player Data'!A1:E734,5,FALSE),82)</f>
        <v>75.357500000000002</v>
      </c>
      <c r="R130" s="39">
        <f>VLOOKUP(B130,'Player Data'!$A1:$AE734,6,FALSE)</f>
        <v>23.191991085681899</v>
      </c>
      <c r="S130" s="41">
        <f>VLOOKUP(B130,'Player Data'!$A1:$AE734,7,FALSE)*$Q130*IFERROR((VLOOKUP(P130,Settings!$E$28:$F$33,2,FALSE)+1),1)</f>
        <v>9.9448942149274195</v>
      </c>
      <c r="T130" s="41">
        <f>VLOOKUP(B130,'Player Data'!$A1:$AE734,8,FALSE)*$Q130*IFERROR((VLOOKUP(P130,Settings!$E$28:$F$33,2,FALSE)+1),1)</f>
        <v>35.011173505800585</v>
      </c>
      <c r="U130" s="41">
        <f>SUM(S130:T130)</f>
        <v>44.956067720728001</v>
      </c>
      <c r="V130" s="41">
        <f>VLOOKUP(B130,'Player Data'!$A1:$AE734,10,FALSE)*$Q130*IFERROR(((VLOOKUP(P130,Settings!$E$28:$F$33,2,FALSE)/2)+1),1)</f>
        <v>172.77531724506409</v>
      </c>
      <c r="W130" s="41">
        <f>VLOOKUP(B130,'Player Data'!$A1:$AE734,11,FALSE)*$Q130*IFERROR((VLOOKUP(P130,Settings!$E$28:$F$33,2,FALSE)+1),1)</f>
        <v>3.2289277240831558</v>
      </c>
      <c r="X130" s="41">
        <f>VLOOKUP(B130,'Player Data'!$A1:$AE734,12,FALSE)*$Q130*IFERROR((VLOOKUP(P130,Settings!$E$28:$F$33,2,FALSE)+1),1)</f>
        <v>16.741465445223223</v>
      </c>
      <c r="Y130" s="41">
        <f>VLOOKUP(B130,'Player Data'!$A1:$AE734,13,FALSE)*$Q130</f>
        <v>9.8339702800431875E-3</v>
      </c>
      <c r="Z130" s="41">
        <f>VLOOKUP(B130,'Player Data'!$A1:$AE734,14,FALSE)*$Q130</f>
        <v>3.6482837825119824E-2</v>
      </c>
      <c r="AA130" s="41">
        <f>VLOOKUP(B130,'Player Data'!$A1:$AE734,15,FALSE)*$Q130</f>
        <v>116.32782746869053</v>
      </c>
      <c r="AB130" s="41">
        <f>VLOOKUP(B130,'Player Data'!$A1:$AE734,16,FALSE)*$Q130</f>
        <v>83.915705333403281</v>
      </c>
      <c r="AC130" s="41">
        <f>VLOOKUP(B130,'Player Data'!$A1:$AE734,17,FALSE)*$Q130*IFERROR((VLOOKUP(P130,Settings!$E$28:$F$33,2,FALSE)+1),1)</f>
        <v>1.178301990334423</v>
      </c>
      <c r="AD130" s="41">
        <f>VLOOKUP(B130,'Player Data'!$A1:$AE734,18,FALSE)*$Q130</f>
        <v>44.876459353883305</v>
      </c>
      <c r="AE130" s="41">
        <f>VLOOKUP(B130,'Player Data'!$A1:$AE734,19,FALSE)*$Q130*IFERROR((VLOOKUP(P130,Settings!$E$28:$F$33,2,FALSE)+1),1)</f>
        <v>1.3813551511187432</v>
      </c>
      <c r="AF130" s="41">
        <f>VLOOKUP(B130,'Player Data'!$A1:$AE734,20,FALSE)*$Q130</f>
        <v>0</v>
      </c>
      <c r="AG130" s="41">
        <f>VLOOKUP(B130,'Player Data'!$A1:$AE734,21,FALSE)*$Q130</f>
        <v>0</v>
      </c>
      <c r="AH130" s="42">
        <f>VLOOKUP(B130,'Player Data'!$A1:$AE734,22,FALSE)</f>
        <v>0</v>
      </c>
      <c r="AI130" s="39"/>
      <c r="AJ130" s="43"/>
      <c r="AK130" s="41"/>
      <c r="AL130" s="41"/>
      <c r="AM130" s="41"/>
      <c r="AN130" s="41"/>
      <c r="AO130" s="41"/>
      <c r="AP130" s="41"/>
      <c r="AQ130" s="44"/>
      <c r="AR130" s="45"/>
      <c r="AS130" s="39"/>
    </row>
    <row r="131" spans="1:45" ht="21.25" customHeight="1" x14ac:dyDescent="0.15">
      <c r="A131" s="31">
        <f>RANK(K131,K$2:K$727)</f>
        <v>130</v>
      </c>
      <c r="B131" s="8" t="s">
        <v>235</v>
      </c>
      <c r="C131" s="32" t="s">
        <v>106</v>
      </c>
      <c r="D131" s="33" t="str">
        <f>VLOOKUP(B131,'Player Data'!A1:D734,4,FALSE)</f>
        <v>RW</v>
      </c>
      <c r="E131" s="46">
        <f>VLOOKUP(B131,RW!A1:F97,3,FALSE)</f>
        <v>22</v>
      </c>
      <c r="F131" s="35" t="str">
        <f>VLOOKUP(B131,'Player Data'!A1:B734,2,FALSE)</f>
        <v>PIT</v>
      </c>
      <c r="G131" s="9">
        <f>VLOOKUP(B131,'Player Data'!A1:D734,3,FALSE)</f>
        <v>30</v>
      </c>
      <c r="H131" s="36">
        <f>IFERROR(VLOOKUP(B131,ADP!A1:G728,7,FALSE)/1000000,VLOOKUP(B131,ADP!A1:G728,7,FALSE))</f>
        <v>5</v>
      </c>
      <c r="I131" s="37">
        <f>IF(Settings!$E$15="POINTS",((R131*Q131)*Settings!$B$12)+(S131*Settings!$B$2)+(T131*Settings!$B$3)+(U131*Settings!$B$4)+(V131*Settings!$B$5)+(X131*Settings!$B$9)+(AA131*Settings!$B$6)+(W131*Settings!$B$8)+(AB131*Settings!$B$7)+(AC131*Settings!$B$14)+(AD131*Settings!$B$15)+(AE131*Settings!$B$16)+(AF131*Settings!$B$17)+(AG131*Settings!$B$18)+(Y131*Settings!$B$10)+(Z131*Settings!$B$11),VLOOKUP(B131,'Standard Deviations'!A1:C728,3,FALSE))</f>
        <v>316.72679432362565</v>
      </c>
      <c r="J131" s="38">
        <f>IF(D131="G",I131/AJ131,I131/Q131)</f>
        <v>3.9692916790772341</v>
      </c>
      <c r="K131" s="37">
        <f>IF(Settings!$E$18="C/LW/RW",VLOOKUP(B131,RW!A1:F97,6,FALSE),VLOOKUP(B131,F!A1:F430,6,FALSE))</f>
        <v>-33.544746224263918</v>
      </c>
      <c r="L131" s="37">
        <f>IFERROR(K131/H131,"N/A")</f>
        <v>-6.7089492448527839</v>
      </c>
      <c r="M131" s="39">
        <f>IF(Settings!$E$9="YAHOO",VLOOKUP(B131,ADP!A1:E728,2,FALSE),IF(Settings!$E$9="ESPN",VLOOKUP(B131,ADP!A1:E728,3,FALSE),IF(Settings!$E$9="FANTRAX",VLOOKUP(B131,ADP!A1:E728,4,FALSE),VLOOKUP(B131,ADP!A1:E728,5,FALSE))))</f>
        <v>101.7</v>
      </c>
      <c r="N131" s="39">
        <f>IFERROR(M131-A131,"N/A")</f>
        <v>-28.299999999999997</v>
      </c>
      <c r="O131" s="39"/>
      <c r="P131" s="40" t="str">
        <f>IF(Settings!$E$27="ON",VLOOKUP(B131,ADP!A1:H728,8,FALSE)," ")</f>
        <v xml:space="preserve"> </v>
      </c>
      <c r="Q131" s="41">
        <f>IF(Settings!$E$12="YES",VLOOKUP(B131,'Player Data'!A1:E734,5,FALSE),82)</f>
        <v>79.794285714285706</v>
      </c>
      <c r="R131" s="39">
        <f>VLOOKUP(B131,'Player Data'!$A1:$AE734,6,FALSE)</f>
        <v>18.099242398247</v>
      </c>
      <c r="S131" s="41">
        <f>VLOOKUP(B131,'Player Data'!$A1:$AE734,7,FALSE)*$Q131*IFERROR((VLOOKUP(P131,Settings!$E$28:$F$33,2,FALSE)+1),1)</f>
        <v>23.832468808234161</v>
      </c>
      <c r="T131" s="41">
        <f>VLOOKUP(B131,'Player Data'!$A1:$AE734,8,FALSE)*$Q131*IFERROR((VLOOKUP(P131,Settings!$E$28:$F$33,2,FALSE)+1),1)</f>
        <v>29.622430713698947</v>
      </c>
      <c r="U131" s="41">
        <f>SUM(S131:T131)</f>
        <v>53.454899521933108</v>
      </c>
      <c r="V131" s="41">
        <f>VLOOKUP(B131,'Player Data'!$A1:$AE734,10,FALSE)*$Q131*IFERROR(((VLOOKUP(P131,Settings!$E$28:$F$33,2,FALSE)/2)+1),1)</f>
        <v>227.48416449337523</v>
      </c>
      <c r="W131" s="41">
        <f>VLOOKUP(B131,'Player Data'!$A1:$AE734,11,FALSE)*$Q131*IFERROR((VLOOKUP(P131,Settings!$E$28:$F$33,2,FALSE)+1),1)</f>
        <v>7.7798047565883568</v>
      </c>
      <c r="X131" s="41">
        <f>VLOOKUP(B131,'Player Data'!$A1:$AE734,12,FALSE)*$Q131*IFERROR((VLOOKUP(P131,Settings!$E$28:$F$33,2,FALSE)+1),1)</f>
        <v>16.487011864844639</v>
      </c>
      <c r="Y131" s="41">
        <f>VLOOKUP(B131,'Player Data'!$A1:$AE734,13,FALSE)*$Q131</f>
        <v>3.6785149499072027E-3</v>
      </c>
      <c r="Z131" s="41">
        <f>VLOOKUP(B131,'Player Data'!$A1:$AE734,14,FALSE)*$Q131</f>
        <v>6.7623099258676961E-3</v>
      </c>
      <c r="AA131" s="41">
        <f>VLOOKUP(B131,'Player Data'!$A1:$AE734,15,FALSE)*$Q131</f>
        <v>48.162325807988339</v>
      </c>
      <c r="AB131" s="41">
        <f>VLOOKUP(B131,'Player Data'!$A1:$AE734,16,FALSE)*$Q131</f>
        <v>122.81310771953159</v>
      </c>
      <c r="AC131" s="41">
        <f>VLOOKUP(B131,'Player Data'!$A1:$AE734,17,FALSE)*$Q131*IFERROR((VLOOKUP(P131,Settings!$E$28:$F$33,2,FALSE)+1),1)</f>
        <v>3.8868408016610312</v>
      </c>
      <c r="AD131" s="41">
        <f>VLOOKUP(B131,'Player Data'!$A1:$AE734,18,FALSE)*$Q131</f>
        <v>18.766822345291043</v>
      </c>
      <c r="AE131" s="41">
        <f>VLOOKUP(B131,'Player Data'!$A1:$AE734,19,FALSE)*$Q131*IFERROR((VLOOKUP(P131,Settings!$E$28:$F$33,2,FALSE)+1),1)</f>
        <v>3.7929222273931908</v>
      </c>
      <c r="AF131" s="41">
        <f>VLOOKUP(B131,'Player Data'!$A1:$AE734,20,FALSE)*$Q131</f>
        <v>13.194700402293488</v>
      </c>
      <c r="AG131" s="41">
        <f>VLOOKUP(B131,'Player Data'!$A1:$AE734,21,FALSE)*$Q131</f>
        <v>16.511448491297188</v>
      </c>
      <c r="AH131" s="42">
        <f>VLOOKUP(B131,'Player Data'!$A1:$AE734,22,FALSE)</f>
        <v>0.44417404792380799</v>
      </c>
      <c r="AI131" s="39"/>
      <c r="AJ131" s="41"/>
      <c r="AK131" s="41"/>
      <c r="AL131" s="41"/>
      <c r="AM131" s="41"/>
      <c r="AN131" s="41"/>
      <c r="AO131" s="41"/>
      <c r="AP131" s="41"/>
      <c r="AQ131" s="44"/>
      <c r="AR131" s="45"/>
      <c r="AS131" s="39"/>
    </row>
    <row r="132" spans="1:45" ht="21.25" customHeight="1" x14ac:dyDescent="0.15">
      <c r="A132" s="31">
        <f>RANK(K132,K$2:K$727)</f>
        <v>131</v>
      </c>
      <c r="B132" s="8" t="s">
        <v>236</v>
      </c>
      <c r="C132" s="32" t="s">
        <v>106</v>
      </c>
      <c r="D132" s="33" t="str">
        <f>VLOOKUP(B132,'Player Data'!A1:D734,4,FALSE)</f>
        <v>D</v>
      </c>
      <c r="E132" s="49">
        <f>VLOOKUP(B132,D!A1:C227,3,FALSE)</f>
        <v>30</v>
      </c>
      <c r="F132" s="35" t="str">
        <f>VLOOKUP(B132,'Player Data'!A1:B734,2,FALSE)</f>
        <v>COL</v>
      </c>
      <c r="G132" s="9">
        <f>VLOOKUP(B132,'Player Data'!A1:D734,3,FALSE)</f>
        <v>29</v>
      </c>
      <c r="H132" s="36">
        <f>IFERROR(VLOOKUP(B132,ADP!A1:G728,7,FALSE)/1000000,VLOOKUP(B132,ADP!A1:G728,7,FALSE))</f>
        <v>4.0999999999999996</v>
      </c>
      <c r="I132" s="37">
        <f>IF(Settings!$E$15="POINTS",((R132*Q132)*Settings!$B$12)+(S132*Settings!$B$2)+(T132*Settings!$B$3)+(U132*Settings!$B$4)+(V132*Settings!$B$5)+(X132*Settings!$B$9)+(AA132*Settings!$B$6)+(W132*Settings!$B$8)+(AB132*Settings!$B$7)+(AC132*Settings!$B$14)+(AD132*Settings!$B$15)+(AE132*Settings!$B$16)+(AF132*Settings!$B$17)+(AG132*Settings!$B$18)+(U132*Settings!$B$13)+(Y132*Settings!$B$10)+(Z132*Settings!$B$11),VLOOKUP(B132,'Standard Deviations'!A1:C728,3,FALSE))</f>
        <v>275.96360657066487</v>
      </c>
      <c r="J132" s="38">
        <f>IF(D132="G",I132/AJ132,I132/Q132)</f>
        <v>3.4916317144051576</v>
      </c>
      <c r="K132" s="37">
        <f>VLOOKUP(B132,D!A1:F227,6,FALSE)</f>
        <v>-35.601875057262589</v>
      </c>
      <c r="L132" s="37">
        <f>IFERROR(K132/H132,"N/A")</f>
        <v>-8.6833841603079485</v>
      </c>
      <c r="M132" s="39">
        <f>IF(Settings!$E$9="YAHOO",VLOOKUP(B132,ADP!A1:E728,2,FALSE),IF(Settings!$E$9="ESPN",VLOOKUP(B132,ADP!A1:E728,3,FALSE),IF(Settings!$E$9="FANTRAX",VLOOKUP(B132,ADP!A1:E728,4,FALSE),VLOOKUP(B132,ADP!A1:E728,5,FALSE))))</f>
        <v>100.9</v>
      </c>
      <c r="N132" s="39">
        <f>IFERROR(M132-A132,"N/A")</f>
        <v>-30.099999999999994</v>
      </c>
      <c r="O132" s="39"/>
      <c r="P132" s="40" t="str">
        <f>IF(Settings!$E$27="ON",VLOOKUP(B132,ADP!A1:H728,8,FALSE)," ")</f>
        <v xml:space="preserve"> </v>
      </c>
      <c r="Q132" s="41">
        <f>IF(Settings!$E$12="YES",VLOOKUP(B132,'Player Data'!A1:E734,5,FALSE),82)</f>
        <v>79.035714285714306</v>
      </c>
      <c r="R132" s="39">
        <f>VLOOKUP(B132,'Player Data'!$A1:$AE734,6,FALSE)</f>
        <v>24.638047309832299</v>
      </c>
      <c r="S132" s="41">
        <f>VLOOKUP(B132,'Player Data'!$A1:$AE734,7,FALSE)*$Q132*IFERROR((VLOOKUP(P132,Settings!$E$28:$F$33,2,FALSE)+1),1)</f>
        <v>10.265033810092286</v>
      </c>
      <c r="T132" s="41">
        <f>VLOOKUP(B132,'Player Data'!$A1:$AE734,8,FALSE)*$Q132*IFERROR((VLOOKUP(P132,Settings!$E$28:$F$33,2,FALSE)+1),1)</f>
        <v>40.362400083334336</v>
      </c>
      <c r="U132" s="41">
        <f>SUM(S132:T132)</f>
        <v>50.62743389342662</v>
      </c>
      <c r="V132" s="41">
        <f>VLOOKUP(B132,'Player Data'!$A1:$AE734,10,FALSE)*$Q132*IFERROR(((VLOOKUP(P132,Settings!$E$28:$F$33,2,FALSE)/2)+1),1)</f>
        <v>164.66388418862005</v>
      </c>
      <c r="W132" s="41">
        <f>VLOOKUP(B132,'Player Data'!$A1:$AE734,11,FALSE)*$Q132*IFERROR((VLOOKUP(P132,Settings!$E$28:$F$33,2,FALSE)+1),1)</f>
        <v>1.4207364665749371</v>
      </c>
      <c r="X132" s="41">
        <f>VLOOKUP(B132,'Player Data'!$A1:$AE734,12,FALSE)*$Q132*IFERROR((VLOOKUP(P132,Settings!$E$28:$F$33,2,FALSE)+1),1)</f>
        <v>7.7801577329174547</v>
      </c>
      <c r="Y132" s="41">
        <f>VLOOKUP(B132,'Player Data'!$A1:$AE734,13,FALSE)*$Q132</f>
        <v>2.6314399703508091E-2</v>
      </c>
      <c r="Z132" s="41">
        <f>VLOOKUP(B132,'Player Data'!$A1:$AE734,14,FALSE)*$Q132</f>
        <v>0.14030477270180608</v>
      </c>
      <c r="AA132" s="41">
        <f>VLOOKUP(B132,'Player Data'!$A1:$AE734,15,FALSE)*$Q132</f>
        <v>129.54218892418251</v>
      </c>
      <c r="AB132" s="41">
        <f>VLOOKUP(B132,'Player Data'!$A1:$AE734,16,FALSE)*$Q132</f>
        <v>87.699900653823832</v>
      </c>
      <c r="AC132" s="41">
        <f>VLOOKUP(B132,'Player Data'!$A1:$AE734,17,FALSE)*$Q132*IFERROR((VLOOKUP(P132,Settings!$E$28:$F$33,2,FALSE)+1),1)</f>
        <v>9.1972261210268229</v>
      </c>
      <c r="AD132" s="41">
        <f>VLOOKUP(B132,'Player Data'!$A1:$AE734,18,FALSE)*$Q132</f>
        <v>27.379066923789061</v>
      </c>
      <c r="AE132" s="41">
        <f>VLOOKUP(B132,'Player Data'!$A1:$AE734,19,FALSE)*$Q132*IFERROR((VLOOKUP(P132,Settings!$E$28:$F$33,2,FALSE)+1),1)</f>
        <v>1.6240830093509231</v>
      </c>
      <c r="AF132" s="41">
        <f>VLOOKUP(B132,'Player Data'!$A1:$AE734,20,FALSE)*$Q132</f>
        <v>0</v>
      </c>
      <c r="AG132" s="41">
        <f>VLOOKUP(B132,'Player Data'!$A1:$AE734,21,FALSE)*$Q132</f>
        <v>0</v>
      </c>
      <c r="AH132" s="42">
        <f>VLOOKUP(B132,'Player Data'!$A1:$AE734,22,FALSE)</f>
        <v>0</v>
      </c>
      <c r="AI132" s="39"/>
      <c r="AJ132" s="43"/>
      <c r="AK132" s="41"/>
      <c r="AL132" s="41"/>
      <c r="AM132" s="41"/>
      <c r="AN132" s="41"/>
      <c r="AO132" s="41"/>
      <c r="AP132" s="41"/>
      <c r="AQ132" s="44"/>
      <c r="AR132" s="45"/>
      <c r="AS132" s="39"/>
    </row>
    <row r="133" spans="1:45" ht="21.25" customHeight="1" x14ac:dyDescent="0.15">
      <c r="A133" s="31">
        <f>RANK(K133,K$2:K$727)</f>
        <v>132</v>
      </c>
      <c r="B133" s="8" t="s">
        <v>237</v>
      </c>
      <c r="C133" s="32" t="s">
        <v>106</v>
      </c>
      <c r="D133" s="33" t="str">
        <f>VLOOKUP(B133,'Player Data'!A1:D734,4,FALSE)</f>
        <v>C</v>
      </c>
      <c r="E133" s="34">
        <f>VLOOKUP(B133,'C'!A1:C211,3,FALSE)</f>
        <v>36</v>
      </c>
      <c r="F133" s="35" t="str">
        <f>VLOOKUP(B133,'Player Data'!A1:B734,2,FALSE)</f>
        <v>LAK</v>
      </c>
      <c r="G133" s="9">
        <f>VLOOKUP(B133,'Player Data'!A1:D734,3,FALSE)</f>
        <v>26</v>
      </c>
      <c r="H133" s="36">
        <f>IFERROR(VLOOKUP(B133,ADP!A1:G728,7,FALSE)/1000000,VLOOKUP(B133,ADP!A1:G728,7,FALSE))</f>
        <v>5.5</v>
      </c>
      <c r="I133" s="37">
        <f>IF(Settings!$E$15="POINTS",((R133*Q133)*Settings!$B$12)+(S133*Settings!$B$2)+(T133*Settings!$B$3)+(U133*Settings!$B$4)+(V133*Settings!$B$5)+(X133*Settings!$B$9)+(AA133*Settings!$B$6)+(W133*Settings!$B$8)+(AB133*Settings!$B$7)+(AC133*Settings!$B$14)+(AD133*Settings!$B$15)+(AE133*Settings!$B$16)+(AF133*Settings!$B$17)+(AG133*Settings!$B$18)+(Y133*Settings!$B$10)+(Z133*Settings!$B$11),VLOOKUP(B133,'Standard Deviations'!A1:C728,3,FALSE))</f>
        <v>357.34081558137484</v>
      </c>
      <c r="J133" s="38">
        <f>IF(D133="G",I133/AJ133,I133/Q133)</f>
        <v>4.3856261117007218</v>
      </c>
      <c r="K133" s="37">
        <f>IF(Settings!$E$18="C/LW/RW",VLOOKUP(B133,'C'!A1:F211,6,FALSE),VLOOKUP(B133,F!A1:F430,6,FALSE))</f>
        <v>-35.987990184834814</v>
      </c>
      <c r="L133" s="37">
        <f>IFERROR(K133/H133,"N/A")</f>
        <v>-6.5432709426972391</v>
      </c>
      <c r="M133" s="39">
        <f>IF(Settings!$E$9="YAHOO",VLOOKUP(B133,ADP!A1:E728,2,FALSE),IF(Settings!$E$9="ESPN",VLOOKUP(B133,ADP!A1:E728,3,FALSE),IF(Settings!$E$9="FANTRAX",VLOOKUP(B133,ADP!A1:E728,4,FALSE),VLOOKUP(B133,ADP!A1:E728,5,FALSE))))</f>
        <v>96.7</v>
      </c>
      <c r="N133" s="39">
        <f>IFERROR(M133-A133,"N/A")</f>
        <v>-35.299999999999997</v>
      </c>
      <c r="O133" s="39"/>
      <c r="P133" s="40" t="str">
        <f>IF(Settings!$E$27="ON",VLOOKUP(B133,ADP!A1:H728,8,FALSE)," ")</f>
        <v xml:space="preserve"> </v>
      </c>
      <c r="Q133" s="41">
        <f>IF(Settings!$E$12="YES",VLOOKUP(B133,'Player Data'!A1:E734,5,FALSE),82)</f>
        <v>81.48</v>
      </c>
      <c r="R133" s="39">
        <f>VLOOKUP(B133,'Player Data'!$A1:$AE734,6,FALSE)</f>
        <v>18.7638607183689</v>
      </c>
      <c r="S133" s="41">
        <f>VLOOKUP(B133,'Player Data'!$A1:$AE734,7,FALSE)*$Q133*IFERROR((VLOOKUP(P133,Settings!$E$28:$F$33,2,FALSE)+1),1)</f>
        <v>35.937030110744914</v>
      </c>
      <c r="T133" s="41">
        <f>VLOOKUP(B133,'Player Data'!$A1:$AE734,8,FALSE)*$Q133*IFERROR((VLOOKUP(P133,Settings!$E$28:$F$33,2,FALSE)+1),1)</f>
        <v>26.012329161319414</v>
      </c>
      <c r="U133" s="41">
        <f>SUM(S133:T133)</f>
        <v>61.949359272064328</v>
      </c>
      <c r="V133" s="41">
        <f>VLOOKUP(B133,'Player Data'!$A1:$AE734,10,FALSE)*$Q133*IFERROR(((VLOOKUP(P133,Settings!$E$28:$F$33,2,FALSE)/2)+1),1)</f>
        <v>242.4713280722498</v>
      </c>
      <c r="W133" s="41">
        <f>VLOOKUP(B133,'Player Data'!$A1:$AE734,11,FALSE)*$Q133*IFERROR((VLOOKUP(P133,Settings!$E$28:$F$33,2,FALSE)+1),1)</f>
        <v>8.8023442123543276</v>
      </c>
      <c r="X133" s="41">
        <f>VLOOKUP(B133,'Player Data'!$A1:$AE734,12,FALSE)*$Q133*IFERROR((VLOOKUP(P133,Settings!$E$28:$F$33,2,FALSE)+1),1)</f>
        <v>19.178127620778938</v>
      </c>
      <c r="Y133" s="41">
        <f>VLOOKUP(B133,'Player Data'!$A1:$AE734,13,FALSE)*$Q133</f>
        <v>2.5902436953159342</v>
      </c>
      <c r="Z133" s="41">
        <f>VLOOKUP(B133,'Player Data'!$A1:$AE734,14,FALSE)*$Q133</f>
        <v>2.6974420928891027</v>
      </c>
      <c r="AA133" s="41">
        <f>VLOOKUP(B133,'Player Data'!$A1:$AE734,15,FALSE)*$Q133</f>
        <v>32.529671508604572</v>
      </c>
      <c r="AB133" s="41">
        <f>VLOOKUP(B133,'Player Data'!$A1:$AE734,16,FALSE)*$Q133</f>
        <v>112.80560452310341</v>
      </c>
      <c r="AC133" s="41">
        <f>VLOOKUP(B133,'Player Data'!$A1:$AE734,17,FALSE)*$Q133*IFERROR((VLOOKUP(P133,Settings!$E$28:$F$33,2,FALSE)+1),1)</f>
        <v>8.0116268951783406E-2</v>
      </c>
      <c r="AD133" s="41">
        <f>VLOOKUP(B133,'Player Data'!$A1:$AE734,18,FALSE)*$Q133</f>
        <v>44.942028648418692</v>
      </c>
      <c r="AE133" s="41">
        <f>VLOOKUP(B133,'Player Data'!$A1:$AE734,19,FALSE)*$Q133*IFERROR((VLOOKUP(P133,Settings!$E$28:$F$33,2,FALSE)+1),1)</f>
        <v>5.3353491643716735</v>
      </c>
      <c r="AF133" s="41">
        <f>VLOOKUP(B133,'Player Data'!$A1:$AE734,20,FALSE)*$Q133</f>
        <v>22.420489892353341</v>
      </c>
      <c r="AG133" s="41">
        <f>VLOOKUP(B133,'Player Data'!$A1:$AE734,21,FALSE)*$Q133</f>
        <v>34.236787272591648</v>
      </c>
      <c r="AH133" s="42">
        <f>VLOOKUP(B133,'Player Data'!$A1:$AE734,22,FALSE)</f>
        <v>0.39572127384591899</v>
      </c>
      <c r="AI133" s="39"/>
      <c r="AJ133" s="43"/>
      <c r="AK133" s="41"/>
      <c r="AL133" s="41"/>
      <c r="AM133" s="41"/>
      <c r="AN133" s="41"/>
      <c r="AO133" s="41"/>
      <c r="AP133" s="41"/>
      <c r="AQ133" s="44"/>
      <c r="AR133" s="45"/>
      <c r="AS133" s="39"/>
    </row>
    <row r="134" spans="1:45" ht="21.25" customHeight="1" x14ac:dyDescent="0.15">
      <c r="A134" s="31">
        <f>RANK(K134,K$2:K$727)</f>
        <v>133</v>
      </c>
      <c r="B134" s="8" t="s">
        <v>238</v>
      </c>
      <c r="C134" s="32" t="s">
        <v>106</v>
      </c>
      <c r="D134" s="33" t="str">
        <f>VLOOKUP(B134,'Player Data'!A1:D734,4,FALSE)</f>
        <v>LW</v>
      </c>
      <c r="E134" s="47">
        <f>VLOOKUP(B134,LW!A1:C130,3,FALSE)</f>
        <v>28</v>
      </c>
      <c r="F134" s="35" t="str">
        <f>VLOOKUP(B134,'Player Data'!A1:B734,2,FALSE)</f>
        <v>COL</v>
      </c>
      <c r="G134" s="9">
        <f>VLOOKUP(B134,'Player Data'!A1:D734,3,FALSE)</f>
        <v>28</v>
      </c>
      <c r="H134" s="36">
        <f>IFERROR(VLOOKUP(B134,ADP!A1:G728,7,FALSE)/1000000,VLOOKUP(B134,ADP!A1:G728,7,FALSE))</f>
        <v>4.5</v>
      </c>
      <c r="I134" s="37">
        <f>IF(Settings!$E$15="POINTS",((R134*Q134)*Settings!$B$12)+(S134*Settings!$B$2)+(T134*Settings!$B$3)+(U134*Settings!$B$4)+(V134*Settings!$B$5)+(X134*Settings!$B$9)+(AA134*Settings!$B$6)+(W134*Settings!$B$8)+(AB134*Settings!$B$7)+(AC134*Settings!$B$14)+(AD134*Settings!$B$15)+(AE134*Settings!$B$16)+(AF134*Settings!$B$17)+(AG134*Settings!$B$18)+(Y134*Settings!$B$10)+(Z134*Settings!$B$11),VLOOKUP(B134,'Standard Deviations'!A1:C728,3,FALSE))</f>
        <v>327.17468503655869</v>
      </c>
      <c r="J134" s="38">
        <f>IF(D134="G",I134/AJ134,I134/Q134)</f>
        <v>4.2814304854107332</v>
      </c>
      <c r="K134" s="37">
        <f>IF(Settings!$E$18="C/LW/RW",VLOOKUP(B134,LW!A1:F130,6,FALSE),VLOOKUP(B134,F!A1:F430,6,FALSE))</f>
        <v>-36.865919821091779</v>
      </c>
      <c r="L134" s="37">
        <f>IFERROR(K134/H134,"N/A")</f>
        <v>-8.1924266269092847</v>
      </c>
      <c r="M134" s="39">
        <f>IF(Settings!$E$9="YAHOO",VLOOKUP(B134,ADP!A1:E728,2,FALSE),IF(Settings!$E$9="ESPN",VLOOKUP(B134,ADP!A1:E728,3,FALSE),IF(Settings!$E$9="FANTRAX",VLOOKUP(B134,ADP!A1:E728,4,FALSE),VLOOKUP(B134,ADP!A1:E728,5,FALSE))))</f>
        <v>170.2</v>
      </c>
      <c r="N134" s="39">
        <f>IFERROR(M134-A134,"N/A")</f>
        <v>37.199999999999989</v>
      </c>
      <c r="O134" s="39"/>
      <c r="P134" s="40" t="str">
        <f>IF(Settings!$E$27="ON",VLOOKUP(B134,ADP!A1:H728,8,FALSE)," ")</f>
        <v xml:space="preserve"> </v>
      </c>
      <c r="Q134" s="41">
        <f>IF(Settings!$E$12="YES",VLOOKUP(B134,'Player Data'!A1:E734,5,FALSE),82)</f>
        <v>76.417142857142906</v>
      </c>
      <c r="R134" s="39">
        <f>VLOOKUP(B134,'Player Data'!$A1:$AE734,6,FALSE)</f>
        <v>19.668419224360701</v>
      </c>
      <c r="S134" s="41">
        <f>VLOOKUP(B134,'Player Data'!$A1:$AE734,7,FALSE)*$Q134*IFERROR((VLOOKUP(P134,Settings!$E$28:$F$33,2,FALSE)+1),1)</f>
        <v>25.613861879418554</v>
      </c>
      <c r="T134" s="41">
        <f>VLOOKUP(B134,'Player Data'!$A1:$AE734,8,FALSE)*$Q134*IFERROR((VLOOKUP(P134,Settings!$E$28:$F$33,2,FALSE)+1),1)</f>
        <v>33.719425702139283</v>
      </c>
      <c r="U134" s="41">
        <f>SUM(S134:T134)</f>
        <v>59.33328758155784</v>
      </c>
      <c r="V134" s="41">
        <f>VLOOKUP(B134,'Player Data'!$A1:$AE734,10,FALSE)*$Q134*IFERROR(((VLOOKUP(P134,Settings!$E$28:$F$33,2,FALSE)/2)+1),1)</f>
        <v>188.54259638991823</v>
      </c>
      <c r="W134" s="41">
        <f>VLOOKUP(B134,'Player Data'!$A1:$AE734,11,FALSE)*$Q134*IFERROR((VLOOKUP(P134,Settings!$E$28:$F$33,2,FALSE)+1),1)</f>
        <v>8.6674045090532381</v>
      </c>
      <c r="X134" s="41">
        <f>VLOOKUP(B134,'Player Data'!$A1:$AE734,12,FALSE)*$Q134*IFERROR((VLOOKUP(P134,Settings!$E$28:$F$33,2,FALSE)+1),1)</f>
        <v>21.044645974733712</v>
      </c>
      <c r="Y134" s="41">
        <f>VLOOKUP(B134,'Player Data'!$A1:$AE734,13,FALSE)*$Q134</f>
        <v>1.4215094652982789</v>
      </c>
      <c r="Z134" s="41">
        <f>VLOOKUP(B134,'Player Data'!$A1:$AE734,14,FALSE)*$Q134</f>
        <v>1.6816155012876366</v>
      </c>
      <c r="AA134" s="41">
        <f>VLOOKUP(B134,'Player Data'!$A1:$AE734,15,FALSE)*$Q134</f>
        <v>47.255005724416634</v>
      </c>
      <c r="AB134" s="41">
        <f>VLOOKUP(B134,'Player Data'!$A1:$AE734,16,FALSE)*$Q134</f>
        <v>104.77015958062454</v>
      </c>
      <c r="AC134" s="41">
        <f>VLOOKUP(B134,'Player Data'!$A1:$AE734,17,FALSE)*$Q134*IFERROR((VLOOKUP(P134,Settings!$E$28:$F$33,2,FALSE)+1),1)</f>
        <v>4.7734098555934823</v>
      </c>
      <c r="AD134" s="41">
        <f>VLOOKUP(B134,'Player Data'!$A1:$AE734,18,FALSE)*$Q134</f>
        <v>30.374740567090615</v>
      </c>
      <c r="AE134" s="41">
        <f>VLOOKUP(B134,'Player Data'!$A1:$AE734,19,FALSE)*$Q134*IFERROR((VLOOKUP(P134,Settings!$E$28:$F$33,2,FALSE)+1),1)</f>
        <v>4.0524988667184001</v>
      </c>
      <c r="AF134" s="41">
        <f>VLOOKUP(B134,'Player Data'!$A1:$AE734,20,FALSE)*$Q134</f>
        <v>6.8454989050776485</v>
      </c>
      <c r="AG134" s="41">
        <f>VLOOKUP(B134,'Player Data'!$A1:$AE734,21,FALSE)*$Q134</f>
        <v>21.658979962142123</v>
      </c>
      <c r="AH134" s="42">
        <f>VLOOKUP(B134,'Player Data'!$A1:$AE734,22,FALSE)</f>
        <v>0.240155202870592</v>
      </c>
      <c r="AI134" s="39"/>
      <c r="AJ134" s="43"/>
      <c r="AK134" s="41"/>
      <c r="AL134" s="41"/>
      <c r="AM134" s="41"/>
      <c r="AN134" s="41"/>
      <c r="AO134" s="41"/>
      <c r="AP134" s="41"/>
      <c r="AQ134" s="44"/>
      <c r="AR134" s="45"/>
      <c r="AS134" s="39"/>
    </row>
    <row r="135" spans="1:45" ht="21.25" customHeight="1" x14ac:dyDescent="0.15">
      <c r="A135" s="31">
        <f>RANK(K135,K$2:K$727)</f>
        <v>134</v>
      </c>
      <c r="B135" s="8" t="s">
        <v>239</v>
      </c>
      <c r="C135" s="32" t="s">
        <v>106</v>
      </c>
      <c r="D135" s="33" t="str">
        <f>VLOOKUP(B135,'Player Data'!A1:D734,4,FALSE)</f>
        <v>C</v>
      </c>
      <c r="E135" s="34">
        <f>VLOOKUP(B135,'C'!A1:C211,3,FALSE)</f>
        <v>37</v>
      </c>
      <c r="F135" s="35" t="str">
        <f>VLOOKUP(B135,'Player Data'!A1:B734,2,FALSE)</f>
        <v>SEA</v>
      </c>
      <c r="G135" s="9">
        <f>VLOOKUP(B135,'Player Data'!A1:D734,3,FALSE)</f>
        <v>20</v>
      </c>
      <c r="H135" s="36">
        <f>IFERROR(VLOOKUP(B135,ADP!A1:G728,7,FALSE)/1000000,VLOOKUP(B135,ADP!A1:G728,7,FALSE))</f>
        <v>0.89749999999999996</v>
      </c>
      <c r="I135" s="37">
        <f>IF(Settings!$E$15="POINTS",((R135*Q135)*Settings!$B$12)+(S135*Settings!$B$2)+(T135*Settings!$B$3)+(U135*Settings!$B$4)+(V135*Settings!$B$5)+(X135*Settings!$B$9)+(AA135*Settings!$B$6)+(W135*Settings!$B$8)+(AB135*Settings!$B$7)+(AC135*Settings!$B$14)+(AD135*Settings!$B$15)+(AE135*Settings!$B$16)+(AF135*Settings!$B$17)+(AG135*Settings!$B$18)+(Y135*Settings!$B$10)+(Z135*Settings!$B$11),VLOOKUP(B135,'Standard Deviations'!A1:C728,3,FALSE))</f>
        <v>356.37678236327895</v>
      </c>
      <c r="J135" s="38">
        <f>IF(D135="G",I135/AJ135,I135/Q135)</f>
        <v>4.3888766300896425</v>
      </c>
      <c r="K135" s="37">
        <f>IF(Settings!$E$18="C/LW/RW",VLOOKUP(B135,'C'!A1:F211,6,FALSE),VLOOKUP(B135,F!A1:F430,6,FALSE))</f>
        <v>-36.952023402930706</v>
      </c>
      <c r="L135" s="37">
        <f>IFERROR(K135/H135,"N/A")</f>
        <v>-41.172170922485471</v>
      </c>
      <c r="M135" s="39">
        <f>IF(Settings!$E$9="YAHOO",VLOOKUP(B135,ADP!A1:E728,2,FALSE),IF(Settings!$E$9="ESPN",VLOOKUP(B135,ADP!A1:E728,3,FALSE),IF(Settings!$E$9="FANTRAX",VLOOKUP(B135,ADP!A1:E728,4,FALSE),VLOOKUP(B135,ADP!A1:E728,5,FALSE))))</f>
        <v>148.9</v>
      </c>
      <c r="N135" s="39">
        <f>IFERROR(M135-A135,"N/A")</f>
        <v>14.900000000000006</v>
      </c>
      <c r="O135" s="39"/>
      <c r="P135" s="40" t="str">
        <f>IF(Settings!$E$27="ON",VLOOKUP(B135,ADP!A1:H728,8,FALSE)," ")</f>
        <v>+</v>
      </c>
      <c r="Q135" s="41">
        <f>IF(Settings!$E$12="YES",VLOOKUP(B135,'Player Data'!A1:E734,5,FALSE),82)</f>
        <v>81.2</v>
      </c>
      <c r="R135" s="39">
        <f>VLOOKUP(B135,'Player Data'!$A1:$AE734,6,FALSE)</f>
        <v>18.6504598814529</v>
      </c>
      <c r="S135" s="41">
        <f>VLOOKUP(B135,'Player Data'!$A1:$AE734,7,FALSE)*$Q135*IFERROR((VLOOKUP(P135,Settings!$E$28:$F$33,2,FALSE)+1),1)</f>
        <v>30.745475615444384</v>
      </c>
      <c r="T135" s="41">
        <f>VLOOKUP(B135,'Player Data'!$A1:$AE734,8,FALSE)*$Q135*IFERROR((VLOOKUP(P135,Settings!$E$28:$F$33,2,FALSE)+1),1)</f>
        <v>43.199445904475226</v>
      </c>
      <c r="U135" s="41">
        <f>SUM(S135:T135)</f>
        <v>73.944921519919603</v>
      </c>
      <c r="V135" s="41">
        <f>VLOOKUP(B135,'Player Data'!$A1:$AE734,10,FALSE)*$Q135*IFERROR(((VLOOKUP(P135,Settings!$E$28:$F$33,2,FALSE)/2)+1),1)</f>
        <v>177.2972464120341</v>
      </c>
      <c r="W135" s="41">
        <f>VLOOKUP(B135,'Player Data'!$A1:$AE734,11,FALSE)*$Q135*IFERROR((VLOOKUP(P135,Settings!$E$28:$F$33,2,FALSE)+1),1)</f>
        <v>7.0840339252989191</v>
      </c>
      <c r="X135" s="41">
        <f>VLOOKUP(B135,'Player Data'!$A1:$AE734,12,FALSE)*$Q135*IFERROR((VLOOKUP(P135,Settings!$E$28:$F$33,2,FALSE)+1),1)</f>
        <v>17.191539143086199</v>
      </c>
      <c r="Y135" s="41">
        <f>VLOOKUP(B135,'Player Data'!$A1:$AE734,13,FALSE)*$Q135</f>
        <v>0.11332153179865745</v>
      </c>
      <c r="Z135" s="41">
        <f>VLOOKUP(B135,'Player Data'!$A1:$AE734,14,FALSE)*$Q135</f>
        <v>0.73896602235801456</v>
      </c>
      <c r="AA135" s="41">
        <f>VLOOKUP(B135,'Player Data'!$A1:$AE734,15,FALSE)*$Q135</f>
        <v>50.161921333072961</v>
      </c>
      <c r="AB135" s="41">
        <f>VLOOKUP(B135,'Player Data'!$A1:$AE734,16,FALSE)*$Q135</f>
        <v>84.013098010200451</v>
      </c>
      <c r="AC135" s="41">
        <f>VLOOKUP(B135,'Player Data'!$A1:$AE734,17,FALSE)*$Q135*IFERROR((VLOOKUP(P135,Settings!$E$28:$F$33,2,FALSE)+1),1)</f>
        <v>2.2839275411101521</v>
      </c>
      <c r="AD135" s="41">
        <f>VLOOKUP(B135,'Player Data'!$A1:$AE734,18,FALSE)*$Q135</f>
        <v>11.881665454747186</v>
      </c>
      <c r="AE135" s="41">
        <f>VLOOKUP(B135,'Player Data'!$A1:$AE734,19,FALSE)*$Q135*IFERROR((VLOOKUP(P135,Settings!$E$28:$F$33,2,FALSE)+1),1)</f>
        <v>4.321614065229868</v>
      </c>
      <c r="AF135" s="41">
        <f>VLOOKUP(B135,'Player Data'!$A1:$AE734,20,FALSE)*$Q135</f>
        <v>450.54582388569838</v>
      </c>
      <c r="AG135" s="41">
        <f>VLOOKUP(B135,'Player Data'!$A1:$AE734,21,FALSE)*$Q135</f>
        <v>616.45354801586916</v>
      </c>
      <c r="AH135" s="42">
        <f>VLOOKUP(B135,'Player Data'!$A1:$AE734,22,FALSE)</f>
        <v>0.42225500384574</v>
      </c>
      <c r="AI135" s="39"/>
      <c r="AJ135" s="41"/>
      <c r="AK135" s="41"/>
      <c r="AL135" s="41"/>
      <c r="AM135" s="41"/>
      <c r="AN135" s="41"/>
      <c r="AO135" s="41"/>
      <c r="AP135" s="41"/>
      <c r="AQ135" s="44"/>
      <c r="AR135" s="45"/>
      <c r="AS135" s="39"/>
    </row>
    <row r="136" spans="1:45" ht="21.25" customHeight="1" x14ac:dyDescent="0.15">
      <c r="A136" s="31">
        <f>RANK(K136,K$2:K$727)</f>
        <v>135</v>
      </c>
      <c r="B136" s="8" t="s">
        <v>240</v>
      </c>
      <c r="C136" s="32" t="s">
        <v>106</v>
      </c>
      <c r="D136" s="33" t="str">
        <f>VLOOKUP(B136,'Player Data'!A1:D734,4,FALSE)</f>
        <v>D</v>
      </c>
      <c r="E136" s="49">
        <f>VLOOKUP(B136,D!A1:C227,3,FALSE)</f>
        <v>31</v>
      </c>
      <c r="F136" s="35" t="str">
        <f>VLOOKUP(B136,'Player Data'!A1:B734,2,FALSE)</f>
        <v>ANA</v>
      </c>
      <c r="G136" s="9">
        <f>VLOOKUP(B136,'Player Data'!A1:D734,3,FALSE)</f>
        <v>31</v>
      </c>
      <c r="H136" s="36">
        <f>IFERROR(VLOOKUP(B136,ADP!A1:G728,7,FALSE)/1000000,VLOOKUP(B136,ADP!A1:G728,7,FALSE))</f>
        <v>6.5</v>
      </c>
      <c r="I136" s="37">
        <f>IF(Settings!$E$15="POINTS",((R136*Q136)*Settings!$B$12)+(S136*Settings!$B$2)+(T136*Settings!$B$3)+(U136*Settings!$B$4)+(V136*Settings!$B$5)+(X136*Settings!$B$9)+(AA136*Settings!$B$6)+(W136*Settings!$B$8)+(AB136*Settings!$B$7)+(AC136*Settings!$B$14)+(AD136*Settings!$B$15)+(AE136*Settings!$B$16)+(AF136*Settings!$B$17)+(AG136*Settings!$B$18)+(U136*Settings!$B$13)+(Y136*Settings!$B$10)+(Z136*Settings!$B$11),VLOOKUP(B136,'Standard Deviations'!A1:C728,3,FALSE))</f>
        <v>273.9087381187818</v>
      </c>
      <c r="J136" s="38">
        <f>IF(D136="G",I136/AJ136,I136/Q136)</f>
        <v>3.3730526213753071</v>
      </c>
      <c r="K136" s="37">
        <f>VLOOKUP(B136,D!A1:F227,6,FALSE)</f>
        <v>-37.656743509145656</v>
      </c>
      <c r="L136" s="37">
        <f>IFERROR(K136/H136,"N/A")</f>
        <v>-5.7933451552531778</v>
      </c>
      <c r="M136" s="39">
        <f>IF(Settings!$E$9="YAHOO",VLOOKUP(B136,ADP!A1:E728,2,FALSE),IF(Settings!$E$9="ESPN",VLOOKUP(B136,ADP!A1:E728,3,FALSE),IF(Settings!$E$9="FANTRAX",VLOOKUP(B136,ADP!A1:E728,4,FALSE),VLOOKUP(B136,ADP!A1:E728,5,FALSE))))</f>
        <v>144.4</v>
      </c>
      <c r="N136" s="39">
        <f>IFERROR(M136-A136,"N/A")</f>
        <v>9.4000000000000057</v>
      </c>
      <c r="O136" s="39"/>
      <c r="P136" s="40" t="str">
        <f>IF(Settings!$E$27="ON",VLOOKUP(B136,ADP!A1:H728,8,FALSE)," ")</f>
        <v xml:space="preserve"> </v>
      </c>
      <c r="Q136" s="41">
        <f>IF(Settings!$E$12="YES",VLOOKUP(B136,'Player Data'!A1:E734,5,FALSE),82)</f>
        <v>81.204999999999998</v>
      </c>
      <c r="R136" s="39">
        <f>VLOOKUP(B136,'Player Data'!$A1:$AE734,6,FALSE)</f>
        <v>24.527451575266799</v>
      </c>
      <c r="S136" s="41">
        <f>VLOOKUP(B136,'Player Data'!$A1:$AE734,7,FALSE)*$Q136*IFERROR((VLOOKUP(P136,Settings!$E$28:$F$33,2,FALSE)+1),1)</f>
        <v>10.290154900795452</v>
      </c>
      <c r="T136" s="41">
        <f>VLOOKUP(B136,'Player Data'!$A1:$AE734,8,FALSE)*$Q136*IFERROR((VLOOKUP(P136,Settings!$E$28:$F$33,2,FALSE)+1),1)</f>
        <v>38.026868781143726</v>
      </c>
      <c r="U136" s="41">
        <f>SUM(S136:T136)</f>
        <v>48.317023681939176</v>
      </c>
      <c r="V136" s="41">
        <f>VLOOKUP(B136,'Player Data'!$A1:$AE734,10,FALSE)*$Q136*IFERROR(((VLOOKUP(P136,Settings!$E$28:$F$33,2,FALSE)/2)+1),1)</f>
        <v>140.45007789318009</v>
      </c>
      <c r="W136" s="41">
        <f>VLOOKUP(B136,'Player Data'!$A1:$AE734,11,FALSE)*$Q136*IFERROR((VLOOKUP(P136,Settings!$E$28:$F$33,2,FALSE)+1),1)</f>
        <v>4.8408087825141717</v>
      </c>
      <c r="X136" s="41">
        <f>VLOOKUP(B136,'Player Data'!$A1:$AE734,12,FALSE)*$Q136*IFERROR((VLOOKUP(P136,Settings!$E$28:$F$33,2,FALSE)+1),1)</f>
        <v>18.316899682490767</v>
      </c>
      <c r="Y136" s="41">
        <f>VLOOKUP(B136,'Player Data'!$A1:$AE734,13,FALSE)*$Q136</f>
        <v>2.5601466787919823E-2</v>
      </c>
      <c r="Z136" s="41">
        <f>VLOOKUP(B136,'Player Data'!$A1:$AE734,14,FALSE)*$Q136</f>
        <v>9.9473784668542981E-2</v>
      </c>
      <c r="AA136" s="41">
        <f>VLOOKUP(B136,'Player Data'!$A1:$AE734,15,FALSE)*$Q136</f>
        <v>109.4994059602781</v>
      </c>
      <c r="AB136" s="41">
        <f>VLOOKUP(B136,'Player Data'!$A1:$AE734,16,FALSE)*$Q136</f>
        <v>38.998596238079962</v>
      </c>
      <c r="AC136" s="41">
        <f>VLOOKUP(B136,'Player Data'!$A1:$AE734,17,FALSE)*$Q136*IFERROR((VLOOKUP(P136,Settings!$E$28:$F$33,2,FALSE)+1),1)</f>
        <v>-8.5064967866559105</v>
      </c>
      <c r="AD136" s="41">
        <f>VLOOKUP(B136,'Player Data'!$A1:$AE734,18,FALSE)*$Q136</f>
        <v>23.480774128166303</v>
      </c>
      <c r="AE136" s="41">
        <f>VLOOKUP(B136,'Player Data'!$A1:$AE734,19,FALSE)*$Q136*IFERROR((VLOOKUP(P136,Settings!$E$28:$F$33,2,FALSE)+1),1)</f>
        <v>1.1155498708591776</v>
      </c>
      <c r="AF136" s="41">
        <f>VLOOKUP(B136,'Player Data'!$A1:$AE734,20,FALSE)*$Q136</f>
        <v>0</v>
      </c>
      <c r="AG136" s="41">
        <f>VLOOKUP(B136,'Player Data'!$A1:$AE734,21,FALSE)*$Q136</f>
        <v>0</v>
      </c>
      <c r="AH136" s="42">
        <f>VLOOKUP(B136,'Player Data'!$A1:$AE734,22,FALSE)</f>
        <v>0</v>
      </c>
      <c r="AI136" s="39"/>
      <c r="AJ136" s="43"/>
      <c r="AK136" s="41"/>
      <c r="AL136" s="41"/>
      <c r="AM136" s="41"/>
      <c r="AN136" s="41"/>
      <c r="AO136" s="41"/>
      <c r="AP136" s="41"/>
      <c r="AQ136" s="44"/>
      <c r="AR136" s="45"/>
      <c r="AS136" s="39"/>
    </row>
    <row r="137" spans="1:45" ht="21.25" customHeight="1" x14ac:dyDescent="0.15">
      <c r="A137" s="31">
        <f>RANK(K137,K$2:K$727)</f>
        <v>136</v>
      </c>
      <c r="B137" s="8" t="s">
        <v>241</v>
      </c>
      <c r="C137" s="32" t="s">
        <v>106</v>
      </c>
      <c r="D137" s="33" t="str">
        <f>VLOOKUP(B137,'Player Data'!A1:D734,4,FALSE)</f>
        <v>C</v>
      </c>
      <c r="E137" s="34">
        <f>VLOOKUP(B137,'C'!A1:C211,3,FALSE)</f>
        <v>38</v>
      </c>
      <c r="F137" s="35" t="str">
        <f>VLOOKUP(B137,'Player Data'!A1:B734,2,FALSE)</f>
        <v>MTL</v>
      </c>
      <c r="G137" s="9">
        <f>VLOOKUP(B137,'Player Data'!A1:D734,3,FALSE)</f>
        <v>24</v>
      </c>
      <c r="H137" s="36">
        <f>IFERROR(VLOOKUP(B137,ADP!A1:G728,7,FALSE)/1000000,VLOOKUP(B137,ADP!A1:G728,7,FALSE))</f>
        <v>7.875</v>
      </c>
      <c r="I137" s="37">
        <f>IF(Settings!$E$15="POINTS",((R137*Q137)*Settings!$B$12)+(S137*Settings!$B$2)+(T137*Settings!$B$3)+(U137*Settings!$B$4)+(V137*Settings!$B$5)+(X137*Settings!$B$9)+(AA137*Settings!$B$6)+(W137*Settings!$B$8)+(AB137*Settings!$B$7)+(AC137*Settings!$B$14)+(AD137*Settings!$B$15)+(AE137*Settings!$B$16)+(AF137*Settings!$B$17)+(AG137*Settings!$B$18)+(Y137*Settings!$B$10)+(Z137*Settings!$B$11),VLOOKUP(B137,'Standard Deviations'!A1:C728,3,FALSE))</f>
        <v>355.35656137552519</v>
      </c>
      <c r="J137" s="38">
        <f>IF(D137="G",I137/AJ137,I137/Q137)</f>
        <v>4.3320317124896404</v>
      </c>
      <c r="K137" s="37">
        <f>IF(Settings!$E$18="C/LW/RW",VLOOKUP(B137,'C'!A1:F211,6,FALSE),VLOOKUP(B137,F!A1:F430,6,FALSE))</f>
        <v>-37.972244390684466</v>
      </c>
      <c r="L137" s="37">
        <f>IFERROR(K137/H137,"N/A")</f>
        <v>-4.8218723035789797</v>
      </c>
      <c r="M137" s="39">
        <f>IF(Settings!$E$9="YAHOO",VLOOKUP(B137,ADP!A1:E728,2,FALSE),IF(Settings!$E$9="ESPN",VLOOKUP(B137,ADP!A1:E728,3,FALSE),IF(Settings!$E$9="FANTRAX",VLOOKUP(B137,ADP!A1:E728,4,FALSE),VLOOKUP(B137,ADP!A1:E728,5,FALSE))))</f>
        <v>154</v>
      </c>
      <c r="N137" s="39">
        <f>IFERROR(M137-A137,"N/A")</f>
        <v>18</v>
      </c>
      <c r="O137" s="39"/>
      <c r="P137" s="40" t="str">
        <f>IF(Settings!$E$27="ON",VLOOKUP(B137,ADP!A1:H728,8,FALSE)," ")</f>
        <v xml:space="preserve"> </v>
      </c>
      <c r="Q137" s="41">
        <f>IF(Settings!$E$12="YES",VLOOKUP(B137,'Player Data'!A1:E734,5,FALSE),82)</f>
        <v>82.03</v>
      </c>
      <c r="R137" s="39">
        <f>VLOOKUP(B137,'Player Data'!$A1:$AE734,6,FALSE)</f>
        <v>20.9974186128049</v>
      </c>
      <c r="S137" s="41">
        <f>VLOOKUP(B137,'Player Data'!$A1:$AE734,7,FALSE)*$Q137*IFERROR((VLOOKUP(P137,Settings!$E$28:$F$33,2,FALSE)+1),1)</f>
        <v>26.679481494560466</v>
      </c>
      <c r="T137" s="41">
        <f>VLOOKUP(B137,'Player Data'!$A1:$AE734,8,FALSE)*$Q137*IFERROR((VLOOKUP(P137,Settings!$E$28:$F$33,2,FALSE)+1),1)</f>
        <v>43.190532638027271</v>
      </c>
      <c r="U137" s="41">
        <f>SUM(S137:T137)</f>
        <v>69.870014132587741</v>
      </c>
      <c r="V137" s="41">
        <f>VLOOKUP(B137,'Player Data'!$A1:$AE734,10,FALSE)*$Q137*IFERROR(((VLOOKUP(P137,Settings!$E$28:$F$33,2,FALSE)/2)+1),1)</f>
        <v>176.56363668677474</v>
      </c>
      <c r="W137" s="41">
        <f>VLOOKUP(B137,'Player Data'!$A1:$AE734,11,FALSE)*$Q137*IFERROR((VLOOKUP(P137,Settings!$E$28:$F$33,2,FALSE)+1),1)</f>
        <v>8.1459054988466555</v>
      </c>
      <c r="X137" s="41">
        <f>VLOOKUP(B137,'Player Data'!$A1:$AE734,12,FALSE)*$Q137*IFERROR((VLOOKUP(P137,Settings!$E$28:$F$33,2,FALSE)+1),1)</f>
        <v>20.514167884787206</v>
      </c>
      <c r="Y137" s="41">
        <f>VLOOKUP(B137,'Player Data'!$A1:$AE734,13,FALSE)*$Q137</f>
        <v>1.6769557857785455</v>
      </c>
      <c r="Z137" s="41">
        <f>VLOOKUP(B137,'Player Data'!$A1:$AE734,14,FALSE)*$Q137</f>
        <v>2.5584201242758025</v>
      </c>
      <c r="AA137" s="41">
        <f>VLOOKUP(B137,'Player Data'!$A1:$AE734,15,FALSE)*$Q137</f>
        <v>56.59762308124278</v>
      </c>
      <c r="AB137" s="41">
        <f>VLOOKUP(B137,'Player Data'!$A1:$AE734,16,FALSE)*$Q137</f>
        <v>63.15118172921693</v>
      </c>
      <c r="AC137" s="41">
        <f>VLOOKUP(B137,'Player Data'!$A1:$AE734,17,FALSE)*$Q137*IFERROR((VLOOKUP(P137,Settings!$E$28:$F$33,2,FALSE)+1),1)</f>
        <v>-9.0051161327465508</v>
      </c>
      <c r="AD137" s="41">
        <f>VLOOKUP(B137,'Player Data'!$A1:$AE734,18,FALSE)*$Q137</f>
        <v>31.078256866811667</v>
      </c>
      <c r="AE137" s="41">
        <f>VLOOKUP(B137,'Player Data'!$A1:$AE734,19,FALSE)*$Q137*IFERROR((VLOOKUP(P137,Settings!$E$28:$F$33,2,FALSE)+1),1)</f>
        <v>2.8912313262815301</v>
      </c>
      <c r="AF137" s="41">
        <f>VLOOKUP(B137,'Player Data'!$A1:$AE734,20,FALSE)*$Q137</f>
        <v>665.82868727269317</v>
      </c>
      <c r="AG137" s="41">
        <f>VLOOKUP(B137,'Player Data'!$A1:$AE734,21,FALSE)*$Q137</f>
        <v>732.16836300339651</v>
      </c>
      <c r="AH137" s="42">
        <f>VLOOKUP(B137,'Player Data'!$A1:$AE734,22,FALSE)</f>
        <v>0.47627331341021001</v>
      </c>
      <c r="AI137" s="39"/>
      <c r="AJ137" s="43"/>
      <c r="AK137" s="41"/>
      <c r="AL137" s="41"/>
      <c r="AM137" s="41"/>
      <c r="AN137" s="41"/>
      <c r="AO137" s="41"/>
      <c r="AP137" s="41"/>
      <c r="AQ137" s="44"/>
      <c r="AR137" s="45"/>
      <c r="AS137" s="39"/>
    </row>
    <row r="138" spans="1:45" ht="21.25" customHeight="1" x14ac:dyDescent="0.15">
      <c r="A138" s="31">
        <f>RANK(K138,K$2:K$727)</f>
        <v>137</v>
      </c>
      <c r="B138" s="8" t="s">
        <v>242</v>
      </c>
      <c r="C138" s="32" t="s">
        <v>106</v>
      </c>
      <c r="D138" s="33" t="str">
        <f>VLOOKUP(B138,'Player Data'!A1:D734,4,FALSE)</f>
        <v>D</v>
      </c>
      <c r="E138" s="49">
        <f>VLOOKUP(B138,D!A1:C227,3,FALSE)</f>
        <v>32</v>
      </c>
      <c r="F138" s="35" t="str">
        <f>VLOOKUP(B138,'Player Data'!A1:B734,2,FALSE)</f>
        <v>MTL</v>
      </c>
      <c r="G138" s="9">
        <f>VLOOKUP(B138,'Player Data'!A1:D734,3,FALSE)</f>
        <v>29</v>
      </c>
      <c r="H138" s="36">
        <f>IFERROR(VLOOKUP(B138,ADP!A1:G728,7,FALSE)/1000000,VLOOKUP(B138,ADP!A1:G728,7,FALSE))</f>
        <v>4.875</v>
      </c>
      <c r="I138" s="37">
        <f>IF(Settings!$E$15="POINTS",((R138*Q138)*Settings!$B$12)+(S138*Settings!$B$2)+(T138*Settings!$B$3)+(U138*Settings!$B$4)+(V138*Settings!$B$5)+(X138*Settings!$B$9)+(AA138*Settings!$B$6)+(W138*Settings!$B$8)+(AB138*Settings!$B$7)+(AC138*Settings!$B$14)+(AD138*Settings!$B$15)+(AE138*Settings!$B$16)+(AF138*Settings!$B$17)+(AG138*Settings!$B$18)+(U138*Settings!$B$13)+(Y138*Settings!$B$10)+(Z138*Settings!$B$11),VLOOKUP(B138,'Standard Deviations'!A1:C728,3,FALSE))</f>
        <v>271.36119658549336</v>
      </c>
      <c r="J138" s="38">
        <f>IF(D138="G",I138/AJ138,I138/Q138)</f>
        <v>3.710269991304981</v>
      </c>
      <c r="K138" s="37">
        <f>VLOOKUP(B138,D!A1:F227,6,FALSE)</f>
        <v>-40.204285042434094</v>
      </c>
      <c r="L138" s="37">
        <f>IFERROR(K138/H138,"N/A")</f>
        <v>-8.2470328292172503</v>
      </c>
      <c r="M138" s="39">
        <f>IF(Settings!$E$9="YAHOO",VLOOKUP(B138,ADP!A1:E728,2,FALSE),IF(Settings!$E$9="ESPN",VLOOKUP(B138,ADP!A1:E728,3,FALSE),IF(Settings!$E$9="FANTRAX",VLOOKUP(B138,ADP!A1:E728,4,FALSE),VLOOKUP(B138,ADP!A1:E728,5,FALSE))))</f>
        <v>166.3</v>
      </c>
      <c r="N138" s="39">
        <f>IFERROR(M138-A138,"N/A")</f>
        <v>29.300000000000011</v>
      </c>
      <c r="O138" s="39"/>
      <c r="P138" s="40" t="str">
        <f>IF(Settings!$E$27="ON",VLOOKUP(B138,ADP!A1:H728,8,FALSE)," ")</f>
        <v>-</v>
      </c>
      <c r="Q138" s="41">
        <f>IF(Settings!$E$12="YES",VLOOKUP(B138,'Player Data'!A1:E734,5,FALSE),82)</f>
        <v>73.137857142857101</v>
      </c>
      <c r="R138" s="39">
        <f>VLOOKUP(B138,'Player Data'!$A1:$AE734,6,FALSE)</f>
        <v>24.572124104420698</v>
      </c>
      <c r="S138" s="41">
        <f>VLOOKUP(B138,'Player Data'!$A1:$AE734,7,FALSE)*$Q138*IFERROR((VLOOKUP(P138,Settings!$E$28:$F$33,2,FALSE)+1),1)</f>
        <v>10.22403397731598</v>
      </c>
      <c r="T138" s="41">
        <f>VLOOKUP(B138,'Player Data'!$A1:$AE734,8,FALSE)*$Q138*IFERROR((VLOOKUP(P138,Settings!$E$28:$F$33,2,FALSE)+1),1)</f>
        <v>32.785838831067473</v>
      </c>
      <c r="U138" s="41">
        <f>SUM(S138:T138)</f>
        <v>43.009872808383449</v>
      </c>
      <c r="V138" s="41">
        <f>VLOOKUP(B138,'Player Data'!$A1:$AE734,10,FALSE)*$Q138*IFERROR(((VLOOKUP(P138,Settings!$E$28:$F$33,2,FALSE)/2)+1),1)</f>
        <v>181.37881417393226</v>
      </c>
      <c r="W138" s="41">
        <f>VLOOKUP(B138,'Player Data'!$A1:$AE734,11,FALSE)*$Q138*IFERROR((VLOOKUP(P138,Settings!$E$28:$F$33,2,FALSE)+1),1)</f>
        <v>0.47267240833571417</v>
      </c>
      <c r="X138" s="41">
        <f>VLOOKUP(B138,'Player Data'!$A1:$AE734,12,FALSE)*$Q138*IFERROR((VLOOKUP(P138,Settings!$E$28:$F$33,2,FALSE)+1),1)</f>
        <v>12.062668930917608</v>
      </c>
      <c r="Y138" s="41">
        <f>VLOOKUP(B138,'Player Data'!$A1:$AE734,13,FALSE)*$Q138</f>
        <v>4.6091387720709913E-2</v>
      </c>
      <c r="Z138" s="41">
        <f>VLOOKUP(B138,'Player Data'!$A1:$AE734,14,FALSE)*$Q138</f>
        <v>2.0824857179149556</v>
      </c>
      <c r="AA138" s="41">
        <f>VLOOKUP(B138,'Player Data'!$A1:$AE734,15,FALSE)*$Q138</f>
        <v>116.75930887855894</v>
      </c>
      <c r="AB138" s="41">
        <f>VLOOKUP(B138,'Player Data'!$A1:$AE734,16,FALSE)*$Q138</f>
        <v>90.843529138553038</v>
      </c>
      <c r="AC138" s="41">
        <f>VLOOKUP(B138,'Player Data'!$A1:$AE734,17,FALSE)*$Q138*IFERROR((VLOOKUP(P138,Settings!$E$28:$F$33,2,FALSE)+1),1)</f>
        <v>-5.1986654059586419</v>
      </c>
      <c r="AD138" s="41">
        <f>VLOOKUP(B138,'Player Data'!$A1:$AE734,18,FALSE)*$Q138</f>
        <v>49.432024656862112</v>
      </c>
      <c r="AE138" s="41">
        <f>VLOOKUP(B138,'Player Data'!$A1:$AE734,19,FALSE)*$Q138*IFERROR((VLOOKUP(P138,Settings!$E$28:$F$33,2,FALSE)+1),1)</f>
        <v>1.1079693329950857</v>
      </c>
      <c r="AF138" s="41">
        <f>VLOOKUP(B138,'Player Data'!$A1:$AE734,20,FALSE)*$Q138</f>
        <v>0</v>
      </c>
      <c r="AG138" s="41">
        <f>VLOOKUP(B138,'Player Data'!$A1:$AE734,21,FALSE)*$Q138</f>
        <v>0</v>
      </c>
      <c r="AH138" s="42">
        <f>VLOOKUP(B138,'Player Data'!$A1:$AE734,22,FALSE)</f>
        <v>0</v>
      </c>
      <c r="AI138" s="39"/>
      <c r="AJ138" s="43"/>
      <c r="AK138" s="41"/>
      <c r="AL138" s="41"/>
      <c r="AM138" s="41"/>
      <c r="AN138" s="41"/>
      <c r="AO138" s="41"/>
      <c r="AP138" s="41"/>
      <c r="AQ138" s="44"/>
      <c r="AR138" s="45"/>
      <c r="AS138" s="39"/>
    </row>
    <row r="139" spans="1:45" ht="21.25" customHeight="1" x14ac:dyDescent="0.15">
      <c r="A139" s="31">
        <f>RANK(K139,K$2:K$727)</f>
        <v>138</v>
      </c>
      <c r="B139" s="8" t="s">
        <v>243</v>
      </c>
      <c r="C139" s="32" t="s">
        <v>106</v>
      </c>
      <c r="D139" s="33" t="str">
        <f>VLOOKUP(B139,'Player Data'!A1:D734,4,FALSE)</f>
        <v>D</v>
      </c>
      <c r="E139" s="49">
        <f>VLOOKUP(B139,D!A1:C227,3,FALSE)</f>
        <v>33</v>
      </c>
      <c r="F139" s="35" t="str">
        <f>VLOOKUP(B139,'Player Data'!A1:B734,2,FALSE)</f>
        <v>ARI</v>
      </c>
      <c r="G139" s="9">
        <f>VLOOKUP(B139,'Player Data'!A1:D734,3,FALSE)</f>
        <v>24</v>
      </c>
      <c r="H139" s="36">
        <f>IFERROR(VLOOKUP(B139,ADP!A1:G728,7,FALSE)/1000000,VLOOKUP(B139,ADP!A1:G728,7,FALSE))</f>
        <v>1.7</v>
      </c>
      <c r="I139" s="37">
        <f>IF(Settings!$E$15="POINTS",((R139*Q139)*Settings!$B$12)+(S139*Settings!$B$2)+(T139*Settings!$B$3)+(U139*Settings!$B$4)+(V139*Settings!$B$5)+(X139*Settings!$B$9)+(AA139*Settings!$B$6)+(W139*Settings!$B$8)+(AB139*Settings!$B$7)+(AC139*Settings!$B$14)+(AD139*Settings!$B$15)+(AE139*Settings!$B$16)+(AF139*Settings!$B$17)+(AG139*Settings!$B$18)+(U139*Settings!$B$13)+(Y139*Settings!$B$10)+(Z139*Settings!$B$11),VLOOKUP(B139,'Standard Deviations'!A1:C728,3,FALSE))</f>
        <v>270.96662557644999</v>
      </c>
      <c r="J139" s="38">
        <f>IF(D139="G",I139/AJ139,I139/Q139)</f>
        <v>3.5476122751564545</v>
      </c>
      <c r="K139" s="37">
        <f>VLOOKUP(B139,D!A1:F227,6,FALSE)</f>
        <v>-40.598856051477469</v>
      </c>
      <c r="L139" s="37">
        <f>IFERROR(K139/H139,"N/A")</f>
        <v>-23.881680030280865</v>
      </c>
      <c r="M139" s="39">
        <f>IF(Settings!$E$9="YAHOO",VLOOKUP(B139,ADP!A1:E728,2,FALSE),IF(Settings!$E$9="ESPN",VLOOKUP(B139,ADP!A1:E728,3,FALSE),IF(Settings!$E$9="FANTRAX",VLOOKUP(B139,ADP!A1:E728,4,FALSE),VLOOKUP(B139,ADP!A1:E728,5,FALSE))))</f>
        <v>157.80000000000001</v>
      </c>
      <c r="N139" s="39">
        <f>IFERROR(M139-A139,"N/A")</f>
        <v>19.800000000000011</v>
      </c>
      <c r="O139" s="39"/>
      <c r="P139" s="40" t="str">
        <f>IF(Settings!$E$27="ON",VLOOKUP(B139,ADP!A1:H728,8,FALSE)," ")</f>
        <v xml:space="preserve"> </v>
      </c>
      <c r="Q139" s="41">
        <f>IF(Settings!$E$12="YES",VLOOKUP(B139,'Player Data'!A1:E734,5,FALSE),82)</f>
        <v>76.38</v>
      </c>
      <c r="R139" s="39">
        <f>VLOOKUP(B139,'Player Data'!$A1:$AE734,6,FALSE)</f>
        <v>21.479553404335601</v>
      </c>
      <c r="S139" s="41">
        <f>VLOOKUP(B139,'Player Data'!$A1:$AE734,7,FALSE)*$Q139*IFERROR((VLOOKUP(P139,Settings!$E$28:$F$33,2,FALSE)+1),1)</f>
        <v>8.2340712497102633</v>
      </c>
      <c r="T139" s="41">
        <f>VLOOKUP(B139,'Player Data'!$A1:$AE734,8,FALSE)*$Q139*IFERROR((VLOOKUP(P139,Settings!$E$28:$F$33,2,FALSE)+1),1)</f>
        <v>35.148943264336538</v>
      </c>
      <c r="U139" s="41">
        <f>SUM(S139:T139)</f>
        <v>43.383014514046799</v>
      </c>
      <c r="V139" s="41">
        <f>VLOOKUP(B139,'Player Data'!$A1:$AE734,10,FALSE)*$Q139*IFERROR(((VLOOKUP(P139,Settings!$E$28:$F$33,2,FALSE)/2)+1),1)</f>
        <v>136.78857327801859</v>
      </c>
      <c r="W139" s="41">
        <f>VLOOKUP(B139,'Player Data'!$A1:$AE734,11,FALSE)*$Q139*IFERROR((VLOOKUP(P139,Settings!$E$28:$F$33,2,FALSE)+1),1)</f>
        <v>2.0635266209132719</v>
      </c>
      <c r="X139" s="41">
        <f>VLOOKUP(B139,'Player Data'!$A1:$AE734,12,FALSE)*$Q139*IFERROR((VLOOKUP(P139,Settings!$E$28:$F$33,2,FALSE)+1),1)</f>
        <v>20.758406261757248</v>
      </c>
      <c r="Y139" s="41">
        <f>VLOOKUP(B139,'Player Data'!$A1:$AE734,13,FALSE)*$Q139</f>
        <v>3.8157872112405428E-2</v>
      </c>
      <c r="Z139" s="41">
        <f>VLOOKUP(B139,'Player Data'!$A1:$AE734,14,FALSE)*$Q139</f>
        <v>0.47425376642996664</v>
      </c>
      <c r="AA139" s="41">
        <f>VLOOKUP(B139,'Player Data'!$A1:$AE734,15,FALSE)*$Q139</f>
        <v>149.78987669462924</v>
      </c>
      <c r="AB139" s="41">
        <f>VLOOKUP(B139,'Player Data'!$A1:$AE734,16,FALSE)*$Q139</f>
        <v>91.146003137115713</v>
      </c>
      <c r="AC139" s="41">
        <f>VLOOKUP(B139,'Player Data'!$A1:$AE734,17,FALSE)*$Q139*IFERROR((VLOOKUP(P139,Settings!$E$28:$F$33,2,FALSE)+1),1)</f>
        <v>-3.6135489770616172</v>
      </c>
      <c r="AD139" s="41">
        <f>VLOOKUP(B139,'Player Data'!$A1:$AE734,18,FALSE)*$Q139</f>
        <v>58.969735586527271</v>
      </c>
      <c r="AE139" s="41">
        <f>VLOOKUP(B139,'Player Data'!$A1:$AE734,19,FALSE)*$Q139*IFERROR((VLOOKUP(P139,Settings!$E$28:$F$33,2,FALSE)+1),1)</f>
        <v>1.0148492468052994</v>
      </c>
      <c r="AF139" s="41">
        <f>VLOOKUP(B139,'Player Data'!$A1:$AE734,20,FALSE)*$Q139</f>
        <v>0</v>
      </c>
      <c r="AG139" s="41">
        <f>VLOOKUP(B139,'Player Data'!$A1:$AE734,21,FALSE)*$Q139</f>
        <v>0</v>
      </c>
      <c r="AH139" s="42">
        <f>VLOOKUP(B139,'Player Data'!$A1:$AE734,22,FALSE)</f>
        <v>0</v>
      </c>
      <c r="AI139" s="39"/>
      <c r="AJ139" s="43"/>
      <c r="AK139" s="41"/>
      <c r="AL139" s="41"/>
      <c r="AM139" s="41"/>
      <c r="AN139" s="41"/>
      <c r="AO139" s="41"/>
      <c r="AP139" s="41"/>
      <c r="AQ139" s="44"/>
      <c r="AR139" s="45"/>
      <c r="AS139" s="39"/>
    </row>
    <row r="140" spans="1:45" ht="21.25" customHeight="1" x14ac:dyDescent="0.15">
      <c r="A140" s="31">
        <f>RANK(K140,K$2:K$727)</f>
        <v>139</v>
      </c>
      <c r="B140" s="8" t="s">
        <v>244</v>
      </c>
      <c r="C140" s="32" t="s">
        <v>106</v>
      </c>
      <c r="D140" s="33" t="str">
        <f>VLOOKUP(B140,'Player Data'!A1:D734,4,FALSE)</f>
        <v>C</v>
      </c>
      <c r="E140" s="34">
        <f>VLOOKUP(B140,'C'!A1:C211,3,FALSE)</f>
        <v>39</v>
      </c>
      <c r="F140" s="35" t="str">
        <f>VLOOKUP(B140,'Player Data'!A1:B734,2,FALSE)</f>
        <v>CGY</v>
      </c>
      <c r="G140" s="9">
        <f>VLOOKUP(B140,'Player Data'!A1:D734,3,FALSE)</f>
        <v>32</v>
      </c>
      <c r="H140" s="36">
        <f>IFERROR(VLOOKUP(B140,ADP!A1:G728,7,FALSE)/1000000,VLOOKUP(B140,ADP!A1:G728,7,FALSE))</f>
        <v>7</v>
      </c>
      <c r="I140" s="37">
        <f>IF(Settings!$E$15="POINTS",((R140*Q140)*Settings!$B$12)+(S140*Settings!$B$2)+(T140*Settings!$B$3)+(U140*Settings!$B$4)+(V140*Settings!$B$5)+(X140*Settings!$B$9)+(AA140*Settings!$B$6)+(W140*Settings!$B$8)+(AB140*Settings!$B$7)+(AC140*Settings!$B$14)+(AD140*Settings!$B$15)+(AE140*Settings!$B$16)+(AF140*Settings!$B$17)+(AG140*Settings!$B$18)+(Y140*Settings!$B$10)+(Z140*Settings!$B$11),VLOOKUP(B140,'Standard Deviations'!A1:C728,3,FALSE))</f>
        <v>352.67580034019909</v>
      </c>
      <c r="J140" s="38">
        <f>IF(D140="G",I140/AJ140,I140/Q140)</f>
        <v>4.380113644117106</v>
      </c>
      <c r="K140" s="37">
        <f>IF(Settings!$E$18="C/LW/RW",VLOOKUP(B140,'C'!A1:F211,6,FALSE),VLOOKUP(B140,F!A1:F430,6,FALSE))</f>
        <v>-40.653005426010566</v>
      </c>
      <c r="L140" s="37">
        <f>IFERROR(K140/H140,"N/A")</f>
        <v>-5.8075722037157949</v>
      </c>
      <c r="M140" s="39">
        <f>IF(Settings!$E$9="YAHOO",VLOOKUP(B140,ADP!A1:E728,2,FALSE),IF(Settings!$E$9="ESPN",VLOOKUP(B140,ADP!A1:E728,3,FALSE),IF(Settings!$E$9="FANTRAX",VLOOKUP(B140,ADP!A1:E728,4,FALSE),VLOOKUP(B140,ADP!A1:E728,5,FALSE))))</f>
        <v>161.6</v>
      </c>
      <c r="N140" s="39">
        <f>IFERROR(M140-A140,"N/A")</f>
        <v>22.599999999999994</v>
      </c>
      <c r="O140" s="39"/>
      <c r="P140" s="40" t="str">
        <f>IF(Settings!$E$27="ON",VLOOKUP(B140,ADP!A1:H728,8,FALSE)," ")</f>
        <v xml:space="preserve"> </v>
      </c>
      <c r="Q140" s="41">
        <f>IF(Settings!$E$12="YES",VLOOKUP(B140,'Player Data'!A1:E734,5,FALSE),82)</f>
        <v>80.517499999999998</v>
      </c>
      <c r="R140" s="39">
        <f>VLOOKUP(B140,'Player Data'!$A1:$AE734,6,FALSE)</f>
        <v>16.946249149120401</v>
      </c>
      <c r="S140" s="41">
        <f>VLOOKUP(B140,'Player Data'!$A1:$AE734,7,FALSE)*$Q140*IFERROR((VLOOKUP(P140,Settings!$E$28:$F$33,2,FALSE)+1),1)</f>
        <v>22.390701540901496</v>
      </c>
      <c r="T140" s="41">
        <f>VLOOKUP(B140,'Player Data'!$A1:$AE734,8,FALSE)*$Q140*IFERROR((VLOOKUP(P140,Settings!$E$28:$F$33,2,FALSE)+1),1)</f>
        <v>38.798311894811036</v>
      </c>
      <c r="U140" s="41">
        <f>SUM(S140:T140)</f>
        <v>61.189013435712532</v>
      </c>
      <c r="V140" s="41">
        <f>VLOOKUP(B140,'Player Data'!$A1:$AE734,10,FALSE)*$Q140*IFERROR(((VLOOKUP(P140,Settings!$E$28:$F$33,2,FALSE)/2)+1),1)</f>
        <v>248.85572988941007</v>
      </c>
      <c r="W140" s="41">
        <f>VLOOKUP(B140,'Player Data'!$A1:$AE734,11,FALSE)*$Q140*IFERROR((VLOOKUP(P140,Settings!$E$28:$F$33,2,FALSE)+1),1)</f>
        <v>7.8293256165540752</v>
      </c>
      <c r="X140" s="41">
        <f>VLOOKUP(B140,'Player Data'!$A1:$AE734,12,FALSE)*$Q140*IFERROR((VLOOKUP(P140,Settings!$E$28:$F$33,2,FALSE)+1),1)</f>
        <v>19.471396445650125</v>
      </c>
      <c r="Y140" s="41">
        <f>VLOOKUP(B140,'Player Data'!$A1:$AE734,13,FALSE)*$Q140</f>
        <v>2.9379289481314248E-2</v>
      </c>
      <c r="Z140" s="41">
        <f>VLOOKUP(B140,'Player Data'!$A1:$AE734,14,FALSE)*$Q140</f>
        <v>5.4631178806379584E-2</v>
      </c>
      <c r="AA140" s="41">
        <f>VLOOKUP(B140,'Player Data'!$A1:$AE734,15,FALSE)*$Q140</f>
        <v>28.144199197217301</v>
      </c>
      <c r="AB140" s="41">
        <f>VLOOKUP(B140,'Player Data'!$A1:$AE734,16,FALSE)*$Q140</f>
        <v>81.847336208465194</v>
      </c>
      <c r="AC140" s="41">
        <f>VLOOKUP(B140,'Player Data'!$A1:$AE734,17,FALSE)*$Q140*IFERROR((VLOOKUP(P140,Settings!$E$28:$F$33,2,FALSE)+1),1)</f>
        <v>2.671842974339445</v>
      </c>
      <c r="AD140" s="41">
        <f>VLOOKUP(B140,'Player Data'!$A1:$AE734,18,FALSE)*$Q140</f>
        <v>44.531453964005088</v>
      </c>
      <c r="AE140" s="41">
        <f>VLOOKUP(B140,'Player Data'!$A1:$AE734,19,FALSE)*$Q140*IFERROR((VLOOKUP(P140,Settings!$E$28:$F$33,2,FALSE)+1),1)</f>
        <v>3.7414470451144908</v>
      </c>
      <c r="AF140" s="41">
        <f>VLOOKUP(B140,'Player Data'!$A1:$AE734,20,FALSE)*$Q140</f>
        <v>581.75503517247023</v>
      </c>
      <c r="AG140" s="41">
        <f>VLOOKUP(B140,'Player Data'!$A1:$AE734,21,FALSE)*$Q140</f>
        <v>600.00325318362172</v>
      </c>
      <c r="AH140" s="42">
        <f>VLOOKUP(B140,'Player Data'!$A1:$AE734,22,FALSE)</f>
        <v>0.49227920878958398</v>
      </c>
      <c r="AI140" s="39"/>
      <c r="AJ140" s="43"/>
      <c r="AK140" s="41"/>
      <c r="AL140" s="41"/>
      <c r="AM140" s="41"/>
      <c r="AN140" s="41"/>
      <c r="AO140" s="41"/>
      <c r="AP140" s="41"/>
      <c r="AQ140" s="44"/>
      <c r="AR140" s="45"/>
      <c r="AS140" s="39"/>
    </row>
    <row r="141" spans="1:45" ht="21.25" customHeight="1" x14ac:dyDescent="0.15">
      <c r="A141" s="31">
        <f>RANK(K141,K$2:K$727)</f>
        <v>140</v>
      </c>
      <c r="B141" s="8" t="s">
        <v>245</v>
      </c>
      <c r="C141" s="32" t="s">
        <v>106</v>
      </c>
      <c r="D141" s="33" t="str">
        <f>VLOOKUP(B141,'Player Data'!A1:D734,4,FALSE)</f>
        <v>LW</v>
      </c>
      <c r="E141" s="47">
        <f>VLOOKUP(B141,LW!A1:C130,3,FALSE)</f>
        <v>29</v>
      </c>
      <c r="F141" s="35" t="str">
        <f>VLOOKUP(B141,'Player Data'!A1:B734,2,FALSE)</f>
        <v>DET</v>
      </c>
      <c r="G141" s="9">
        <f>VLOOKUP(B141,'Player Data'!A1:D734,3,FALSE)</f>
        <v>21</v>
      </c>
      <c r="H141" s="36">
        <f>IFERROR(VLOOKUP(B141,ADP!A1:G728,7,FALSE)/1000000,VLOOKUP(B141,ADP!A1:G728,7,FALSE))</f>
        <v>0.92500000000000004</v>
      </c>
      <c r="I141" s="37">
        <f>IF(Settings!$E$15="POINTS",((R141*Q141)*Settings!$B$12)+(S141*Settings!$B$2)+(T141*Settings!$B$3)+(U141*Settings!$B$4)+(V141*Settings!$B$5)+(X141*Settings!$B$9)+(AA141*Settings!$B$6)+(W141*Settings!$B$8)+(AB141*Settings!$B$7)+(AC141*Settings!$B$14)+(AD141*Settings!$B$15)+(AE141*Settings!$B$16)+(AF141*Settings!$B$17)+(AG141*Settings!$B$18)+(Y141*Settings!$B$10)+(Z141*Settings!$B$11),VLOOKUP(B141,'Standard Deviations'!A1:C728,3,FALSE))</f>
        <v>322.01128910318926</v>
      </c>
      <c r="J141" s="38">
        <f>IF(D141="G",I141/AJ141,I141/Q141)</f>
        <v>4.0146027814884588</v>
      </c>
      <c r="K141" s="37">
        <f>IF(Settings!$E$18="C/LW/RW",VLOOKUP(B141,LW!A1:F130,6,FALSE),VLOOKUP(B141,F!A1:F430,6,FALSE))</f>
        <v>-42.029315754461209</v>
      </c>
      <c r="L141" s="37">
        <f>IFERROR(K141/H141,"N/A")</f>
        <v>-45.437098112931032</v>
      </c>
      <c r="M141" s="39">
        <f>IF(Settings!$E$9="YAHOO",VLOOKUP(B141,ADP!A1:E728,2,FALSE),IF(Settings!$E$9="ESPN",VLOOKUP(B141,ADP!A1:E728,3,FALSE),IF(Settings!$E$9="FANTRAX",VLOOKUP(B141,ADP!A1:E728,4,FALSE),VLOOKUP(B141,ADP!A1:E728,5,FALSE))))</f>
        <v>170</v>
      </c>
      <c r="N141" s="39">
        <f>IFERROR(M141-A141,"N/A")</f>
        <v>30</v>
      </c>
      <c r="O141" s="39"/>
      <c r="P141" s="40" t="str">
        <f>IF(Settings!$E$27="ON",VLOOKUP(B141,ADP!A1:H728,8,FALSE)," ")</f>
        <v>+</v>
      </c>
      <c r="Q141" s="41">
        <f>IF(Settings!$E$12="YES",VLOOKUP(B141,'Player Data'!A1:E734,5,FALSE),82)</f>
        <v>80.209999999999994</v>
      </c>
      <c r="R141" s="39">
        <f>VLOOKUP(B141,'Player Data'!$A1:$AE734,6,FALSE)</f>
        <v>17.9453802520324</v>
      </c>
      <c r="S141" s="41">
        <f>VLOOKUP(B141,'Player Data'!$A1:$AE734,7,FALSE)*$Q141*IFERROR((VLOOKUP(P141,Settings!$E$28:$F$33,2,FALSE)+1),1)</f>
        <v>24.671475814599166</v>
      </c>
      <c r="T141" s="41">
        <f>VLOOKUP(B141,'Player Data'!$A1:$AE734,8,FALSE)*$Q141*IFERROR((VLOOKUP(P141,Settings!$E$28:$F$33,2,FALSE)+1),1)</f>
        <v>37.868812334323145</v>
      </c>
      <c r="U141" s="41">
        <f>SUM(S141:T141)</f>
        <v>62.540288148922315</v>
      </c>
      <c r="V141" s="41">
        <f>VLOOKUP(B141,'Player Data'!$A1:$AE734,10,FALSE)*$Q141*IFERROR(((VLOOKUP(P141,Settings!$E$28:$F$33,2,FALSE)/2)+1),1)</f>
        <v>167.49296687739829</v>
      </c>
      <c r="W141" s="41">
        <f>VLOOKUP(B141,'Player Data'!$A1:$AE734,11,FALSE)*$Q141*IFERROR((VLOOKUP(P141,Settings!$E$28:$F$33,2,FALSE)+1),1)</f>
        <v>6.7960773217719899</v>
      </c>
      <c r="X141" s="41">
        <f>VLOOKUP(B141,'Player Data'!$A1:$AE734,12,FALSE)*$Q141*IFERROR((VLOOKUP(P141,Settings!$E$28:$F$33,2,FALSE)+1),1)</f>
        <v>22.870190387232206</v>
      </c>
      <c r="Y141" s="41">
        <f>VLOOKUP(B141,'Player Data'!$A1:$AE734,13,FALSE)*$Q141</f>
        <v>1.8420704070576298E-2</v>
      </c>
      <c r="Z141" s="41">
        <f>VLOOKUP(B141,'Player Data'!$A1:$AE734,14,FALSE)*$Q141</f>
        <v>3.3311778589432718E-2</v>
      </c>
      <c r="AA141" s="41">
        <f>VLOOKUP(B141,'Player Data'!$A1:$AE734,15,FALSE)*$Q141</f>
        <v>24.184684430399592</v>
      </c>
      <c r="AB141" s="41">
        <f>VLOOKUP(B141,'Player Data'!$A1:$AE734,16,FALSE)*$Q141</f>
        <v>54.471298654510797</v>
      </c>
      <c r="AC141" s="41">
        <f>VLOOKUP(B141,'Player Data'!$A1:$AE734,17,FALSE)*$Q141*IFERROR((VLOOKUP(P141,Settings!$E$28:$F$33,2,FALSE)+1),1)</f>
        <v>-4.9755654085703878</v>
      </c>
      <c r="AD141" s="41">
        <f>VLOOKUP(B141,'Player Data'!$A1:$AE734,18,FALSE)*$Q141</f>
        <v>24.473984166760424</v>
      </c>
      <c r="AE141" s="41">
        <f>VLOOKUP(B141,'Player Data'!$A1:$AE734,19,FALSE)*$Q141*IFERROR((VLOOKUP(P141,Settings!$E$28:$F$33,2,FALSE)+1),1)</f>
        <v>3.1853677017475168</v>
      </c>
      <c r="AF141" s="41">
        <f>VLOOKUP(B141,'Player Data'!$A1:$AE734,20,FALSE)*$Q141</f>
        <v>7.1795816608543088</v>
      </c>
      <c r="AG141" s="41">
        <f>VLOOKUP(B141,'Player Data'!$A1:$AE734,21,FALSE)*$Q141</f>
        <v>13.95741315302868</v>
      </c>
      <c r="AH141" s="42">
        <f>VLOOKUP(B141,'Player Data'!$A1:$AE734,22,FALSE)</f>
        <v>0.33966898909104498</v>
      </c>
      <c r="AI141" s="39"/>
      <c r="AJ141" s="43"/>
      <c r="AK141" s="41"/>
      <c r="AL141" s="41"/>
      <c r="AM141" s="41"/>
      <c r="AN141" s="41"/>
      <c r="AO141" s="41"/>
      <c r="AP141" s="41"/>
      <c r="AQ141" s="44"/>
      <c r="AR141" s="45"/>
      <c r="AS141" s="39"/>
    </row>
    <row r="142" spans="1:45" ht="21.25" customHeight="1" x14ac:dyDescent="0.15">
      <c r="A142" s="31">
        <f>RANK(K142,K$2:K$727)</f>
        <v>141</v>
      </c>
      <c r="B142" s="8" t="s">
        <v>246</v>
      </c>
      <c r="C142" s="32" t="s">
        <v>106</v>
      </c>
      <c r="D142" s="33" t="str">
        <f>VLOOKUP(B142,'Player Data'!A1:D734,4,FALSE)</f>
        <v>RW</v>
      </c>
      <c r="E142" s="46">
        <f>VLOOKUP(B142,RW!A1:F97,3,FALSE)</f>
        <v>23</v>
      </c>
      <c r="F142" s="35" t="str">
        <f>VLOOKUP(B142,'Player Data'!A1:B734,2,FALSE)</f>
        <v>PHI</v>
      </c>
      <c r="G142" s="9">
        <f>VLOOKUP(B142,'Player Data'!A1:D734,3,FALSE)</f>
        <v>24</v>
      </c>
      <c r="H142" s="36">
        <f>IFERROR(VLOOKUP(B142,ADP!A1:G728,7,FALSE)/1000000,VLOOKUP(B142,ADP!A1:G728,7,FALSE))</f>
        <v>1.5</v>
      </c>
      <c r="I142" s="37">
        <f>IF(Settings!$E$15="POINTS",((R142*Q142)*Settings!$B$12)+(S142*Settings!$B$2)+(T142*Settings!$B$3)+(U142*Settings!$B$4)+(V142*Settings!$B$5)+(X142*Settings!$B$9)+(AA142*Settings!$B$6)+(W142*Settings!$B$8)+(AB142*Settings!$B$7)+(AC142*Settings!$B$14)+(AD142*Settings!$B$15)+(AE142*Settings!$B$16)+(AF142*Settings!$B$17)+(AG142*Settings!$B$18)+(Y142*Settings!$B$10)+(Z142*Settings!$B$11),VLOOKUP(B142,'Standard Deviations'!A1:C728,3,FALSE))</f>
        <v>307.5907737800411</v>
      </c>
      <c r="J142" s="38">
        <f>IF(D142="G",I142/AJ142,I142/Q142)</f>
        <v>3.9988771466570485</v>
      </c>
      <c r="K142" s="37">
        <f>IF(Settings!$E$18="C/LW/RW",VLOOKUP(B142,RW!A1:F97,6,FALSE),VLOOKUP(B142,F!A1:F430,6,FALSE))</f>
        <v>-42.680766767848468</v>
      </c>
      <c r="L142" s="37">
        <f>IFERROR(K142/H142,"N/A")</f>
        <v>-28.453844511898978</v>
      </c>
      <c r="M142" s="39">
        <f>IF(Settings!$E$9="YAHOO",VLOOKUP(B142,ADP!A1:E728,2,FALSE),IF(Settings!$E$9="ESPN",VLOOKUP(B142,ADP!A1:E728,3,FALSE),IF(Settings!$E$9="FANTRAX",VLOOKUP(B142,ADP!A1:E728,4,FALSE),VLOOKUP(B142,ADP!A1:E728,5,FALSE))))</f>
        <v>158.4</v>
      </c>
      <c r="N142" s="39">
        <f>IFERROR(M142-A142,"N/A")</f>
        <v>17.400000000000006</v>
      </c>
      <c r="O142" s="39"/>
      <c r="P142" s="40" t="str">
        <f>IF(Settings!$E$27="ON",VLOOKUP(B142,ADP!A1:H728,8,FALSE)," ")</f>
        <v xml:space="preserve"> </v>
      </c>
      <c r="Q142" s="41">
        <f>IF(Settings!$E$12="YES",VLOOKUP(B142,'Player Data'!A1:E734,5,FALSE),82)</f>
        <v>76.919285714285706</v>
      </c>
      <c r="R142" s="39">
        <f>VLOOKUP(B142,'Player Data'!$A1:$AE734,6,FALSE)</f>
        <v>17.771215631879599</v>
      </c>
      <c r="S142" s="41">
        <f>VLOOKUP(B142,'Player Data'!$A1:$AE734,7,FALSE)*$Q142*IFERROR((VLOOKUP(P142,Settings!$E$28:$F$33,2,FALSE)+1),1)</f>
        <v>25.562229124283377</v>
      </c>
      <c r="T142" s="41">
        <f>VLOOKUP(B142,'Player Data'!$A1:$AE734,8,FALSE)*$Q142*IFERROR((VLOOKUP(P142,Settings!$E$28:$F$33,2,FALSE)+1),1)</f>
        <v>25.238796584617496</v>
      </c>
      <c r="U142" s="41">
        <f>SUM(S142:T142)</f>
        <v>50.801025708900873</v>
      </c>
      <c r="V142" s="41">
        <f>VLOOKUP(B142,'Player Data'!$A1:$AE734,10,FALSE)*$Q142*IFERROR(((VLOOKUP(P142,Settings!$E$28:$F$33,2,FALSE)/2)+1),1)</f>
        <v>229.88630191018419</v>
      </c>
      <c r="W142" s="41">
        <f>VLOOKUP(B142,'Player Data'!$A1:$AE734,11,FALSE)*$Q142*IFERROR((VLOOKUP(P142,Settings!$E$28:$F$33,2,FALSE)+1),1)</f>
        <v>8.1247089449849597</v>
      </c>
      <c r="X142" s="41">
        <f>VLOOKUP(B142,'Player Data'!$A1:$AE734,12,FALSE)*$Q142*IFERROR((VLOOKUP(P142,Settings!$E$28:$F$33,2,FALSE)+1),1)</f>
        <v>14.449072365867204</v>
      </c>
      <c r="Y142" s="41">
        <f>VLOOKUP(B142,'Player Data'!$A1:$AE734,13,FALSE)*$Q142</f>
        <v>6.8468615099786898E-2</v>
      </c>
      <c r="Z142" s="41">
        <f>VLOOKUP(B142,'Player Data'!$A1:$AE734,14,FALSE)*$Q142</f>
        <v>0.12543859564204918</v>
      </c>
      <c r="AA142" s="41">
        <f>VLOOKUP(B142,'Player Data'!$A1:$AE734,15,FALSE)*$Q142</f>
        <v>55.477618876139587</v>
      </c>
      <c r="AB142" s="41">
        <f>VLOOKUP(B142,'Player Data'!$A1:$AE734,16,FALSE)*$Q142</f>
        <v>124.62275987604716</v>
      </c>
      <c r="AC142" s="41">
        <f>VLOOKUP(B142,'Player Data'!$A1:$AE734,17,FALSE)*$Q142*IFERROR((VLOOKUP(P142,Settings!$E$28:$F$33,2,FALSE)+1),1)</f>
        <v>-5.7542879722248124</v>
      </c>
      <c r="AD142" s="41">
        <f>VLOOKUP(B142,'Player Data'!$A1:$AE734,18,FALSE)*$Q142</f>
        <v>20.534105934189565</v>
      </c>
      <c r="AE142" s="41">
        <f>VLOOKUP(B142,'Player Data'!$A1:$AE734,19,FALSE)*$Q142*IFERROR((VLOOKUP(P142,Settings!$E$28:$F$33,2,FALSE)+1),1)</f>
        <v>3.0047286436602709</v>
      </c>
      <c r="AF142" s="41">
        <f>VLOOKUP(B142,'Player Data'!$A1:$AE734,20,FALSE)*$Q142</f>
        <v>19.87805417826165</v>
      </c>
      <c r="AG142" s="41">
        <f>VLOOKUP(B142,'Player Data'!$A1:$AE734,21,FALSE)*$Q142</f>
        <v>15.461281111060256</v>
      </c>
      <c r="AH142" s="42">
        <f>VLOOKUP(B142,'Player Data'!$A1:$AE734,22,FALSE)</f>
        <v>0.56249089054790302</v>
      </c>
      <c r="AI142" s="39"/>
      <c r="AJ142" s="41"/>
      <c r="AK142" s="41"/>
      <c r="AL142" s="41"/>
      <c r="AM142" s="41"/>
      <c r="AN142" s="41"/>
      <c r="AO142" s="41"/>
      <c r="AP142" s="41"/>
      <c r="AQ142" s="44"/>
      <c r="AR142" s="45"/>
      <c r="AS142" s="39"/>
    </row>
    <row r="143" spans="1:45" ht="21.25" customHeight="1" x14ac:dyDescent="0.15">
      <c r="A143" s="31">
        <f>RANK(K143,K$2:K$727)</f>
        <v>142</v>
      </c>
      <c r="B143" s="8" t="s">
        <v>247</v>
      </c>
      <c r="C143" s="32" t="s">
        <v>106</v>
      </c>
      <c r="D143" s="33" t="str">
        <f>VLOOKUP(B143,'Player Data'!A1:D734,4,FALSE)</f>
        <v>RW</v>
      </c>
      <c r="E143" s="46">
        <f>VLOOKUP(B143,RW!A1:F97,3,FALSE)</f>
        <v>24</v>
      </c>
      <c r="F143" s="35" t="str">
        <f>VLOOKUP(B143,'Player Data'!A1:B734,2,FALSE)</f>
        <v>NJD</v>
      </c>
      <c r="G143" s="9">
        <f>VLOOKUP(B143,'Player Data'!A1:D734,3,FALSE)</f>
        <v>31</v>
      </c>
      <c r="H143" s="36">
        <f>IFERROR(VLOOKUP(B143,ADP!A1:G728,7,FALSE)/1000000,VLOOKUP(B143,ADP!A1:G728,7,FALSE))</f>
        <v>4.25</v>
      </c>
      <c r="I143" s="37">
        <f>IF(Settings!$E$15="POINTS",((R143*Q143)*Settings!$B$12)+(S143*Settings!$B$2)+(T143*Settings!$B$3)+(U143*Settings!$B$4)+(V143*Settings!$B$5)+(X143*Settings!$B$9)+(AA143*Settings!$B$6)+(W143*Settings!$B$8)+(AB143*Settings!$B$7)+(AC143*Settings!$B$14)+(AD143*Settings!$B$15)+(AE143*Settings!$B$16)+(AF143*Settings!$B$17)+(AG143*Settings!$B$18)+(Y143*Settings!$B$10)+(Z143*Settings!$B$11),VLOOKUP(B143,'Standard Deviations'!A1:C728,3,FALSE))</f>
        <v>307.0704968651408</v>
      </c>
      <c r="J143" s="38">
        <f>IF(D143="G",I143/AJ143,I143/Q143)</f>
        <v>3.821933248085891</v>
      </c>
      <c r="K143" s="37">
        <f>IF(Settings!$E$18="C/LW/RW",VLOOKUP(B143,RW!A1:F97,6,FALSE),VLOOKUP(B143,F!A1:F430,6,FALSE))</f>
        <v>-43.201043682748775</v>
      </c>
      <c r="L143" s="37">
        <f>IFERROR(K143/H143,"N/A")</f>
        <v>-10.164951454764418</v>
      </c>
      <c r="M143" s="39">
        <f>IF(Settings!$E$9="YAHOO",VLOOKUP(B143,ADP!A1:E728,2,FALSE),IF(Settings!$E$9="ESPN",VLOOKUP(B143,ADP!A1:E728,3,FALSE),IF(Settings!$E$9="FANTRAX",VLOOKUP(B143,ADP!A1:E728,4,FALSE),VLOOKUP(B143,ADP!A1:E728,5,FALSE))))</f>
        <v>73.099999999999994</v>
      </c>
      <c r="N143" s="39">
        <f>IFERROR(M143-A143,"N/A")</f>
        <v>-68.900000000000006</v>
      </c>
      <c r="O143" s="39"/>
      <c r="P143" s="40" t="str">
        <f>IF(Settings!$E$27="ON",VLOOKUP(B143,ADP!A1:H728,8,FALSE)," ")</f>
        <v>-</v>
      </c>
      <c r="Q143" s="41">
        <f>IF(Settings!$E$12="YES",VLOOKUP(B143,'Player Data'!A1:E734,5,FALSE),82)</f>
        <v>80.344285714285704</v>
      </c>
      <c r="R143" s="39">
        <f>VLOOKUP(B143,'Player Data'!$A1:$AE734,6,FALSE)</f>
        <v>16.3001630333052</v>
      </c>
      <c r="S143" s="41">
        <f>VLOOKUP(B143,'Player Data'!$A1:$AE734,7,FALSE)*$Q143*IFERROR((VLOOKUP(P143,Settings!$E$28:$F$33,2,FALSE)+1),1)</f>
        <v>24.902480739752317</v>
      </c>
      <c r="T143" s="41">
        <f>VLOOKUP(B143,'Player Data'!$A1:$AE734,8,FALSE)*$Q143*IFERROR((VLOOKUP(P143,Settings!$E$28:$F$33,2,FALSE)+1),1)</f>
        <v>29.040422442204765</v>
      </c>
      <c r="U143" s="41">
        <f>SUM(S143:T143)</f>
        <v>53.942903181957078</v>
      </c>
      <c r="V143" s="41">
        <f>VLOOKUP(B143,'Player Data'!$A1:$AE734,10,FALSE)*$Q143*IFERROR(((VLOOKUP(P143,Settings!$E$28:$F$33,2,FALSE)/2)+1),1)</f>
        <v>229.92820294398396</v>
      </c>
      <c r="W143" s="41">
        <f>VLOOKUP(B143,'Player Data'!$A1:$AE734,11,FALSE)*$Q143*IFERROR((VLOOKUP(P143,Settings!$E$28:$F$33,2,FALSE)+1),1)</f>
        <v>5.3437901506014223</v>
      </c>
      <c r="X143" s="41">
        <f>VLOOKUP(B143,'Player Data'!$A1:$AE734,12,FALSE)*$Q143*IFERROR((VLOOKUP(P143,Settings!$E$28:$F$33,2,FALSE)+1),1)</f>
        <v>12.344158405903427</v>
      </c>
      <c r="Y143" s="41">
        <f>VLOOKUP(B143,'Player Data'!$A1:$AE734,13,FALSE)*$Q143</f>
        <v>0.43716325792259364</v>
      </c>
      <c r="Z143" s="41">
        <f>VLOOKUP(B143,'Player Data'!$A1:$AE734,14,FALSE)*$Q143</f>
        <v>0.76786338510000274</v>
      </c>
      <c r="AA143" s="41">
        <f>VLOOKUP(B143,'Player Data'!$A1:$AE734,15,FALSE)*$Q143</f>
        <v>20.268211326353896</v>
      </c>
      <c r="AB143" s="41">
        <f>VLOOKUP(B143,'Player Data'!$A1:$AE734,16,FALSE)*$Q143</f>
        <v>72.471969198744404</v>
      </c>
      <c r="AC143" s="41">
        <f>VLOOKUP(B143,'Player Data'!$A1:$AE734,17,FALSE)*$Q143*IFERROR((VLOOKUP(P143,Settings!$E$28:$F$33,2,FALSE)+1),1)</f>
        <v>1.2439259911584279</v>
      </c>
      <c r="AD143" s="41">
        <f>VLOOKUP(B143,'Player Data'!$A1:$AE734,18,FALSE)*$Q143</f>
        <v>26.097285565561567</v>
      </c>
      <c r="AE143" s="41">
        <f>VLOOKUP(B143,'Player Data'!$A1:$AE734,19,FALSE)*$Q143*IFERROR((VLOOKUP(P143,Settings!$E$28:$F$33,2,FALSE)+1),1)</f>
        <v>3.6654111905173736</v>
      </c>
      <c r="AF143" s="41">
        <f>VLOOKUP(B143,'Player Data'!$A1:$AE734,20,FALSE)*$Q143</f>
        <v>11.60558448213027</v>
      </c>
      <c r="AG143" s="41">
        <f>VLOOKUP(B143,'Player Data'!$A1:$AE734,21,FALSE)*$Q143</f>
        <v>10.342578617984264</v>
      </c>
      <c r="AH143" s="42">
        <f>VLOOKUP(B143,'Player Data'!$A1:$AE734,22,FALSE)</f>
        <v>0.52877247308544495</v>
      </c>
      <c r="AI143" s="39"/>
      <c r="AJ143" s="43"/>
      <c r="AK143" s="41"/>
      <c r="AL143" s="41"/>
      <c r="AM143" s="41"/>
      <c r="AN143" s="41"/>
      <c r="AO143" s="41"/>
      <c r="AP143" s="41"/>
      <c r="AQ143" s="44"/>
      <c r="AR143" s="45"/>
      <c r="AS143" s="39"/>
    </row>
    <row r="144" spans="1:45" ht="21.25" customHeight="1" x14ac:dyDescent="0.15">
      <c r="A144" s="31">
        <f>RANK(K144,K$2:K$727)</f>
        <v>143</v>
      </c>
      <c r="B144" s="8" t="s">
        <v>248</v>
      </c>
      <c r="C144" s="32" t="s">
        <v>106</v>
      </c>
      <c r="D144" s="33" t="str">
        <f>VLOOKUP(B144,'Player Data'!A1:D734,4,FALSE)</f>
        <v>LW</v>
      </c>
      <c r="E144" s="47">
        <f>VLOOKUP(B144,LW!A1:C130,3,FALSE)</f>
        <v>30</v>
      </c>
      <c r="F144" s="35" t="str">
        <f>VLOOKUP(B144,'Player Data'!A1:B734,2,FALSE)</f>
        <v>BOS</v>
      </c>
      <c r="G144" s="9">
        <f>VLOOKUP(B144,'Player Data'!A1:D734,3,FALSE)</f>
        <v>26</v>
      </c>
      <c r="H144" s="36">
        <f>IFERROR(VLOOKUP(B144,ADP!A1:G728,7,FALSE)/1000000,VLOOKUP(B144,ADP!A1:G728,7,FALSE))</f>
        <v>4</v>
      </c>
      <c r="I144" s="37">
        <f>IF(Settings!$E$15="POINTS",((R144*Q144)*Settings!$B$12)+(S144*Settings!$B$2)+(T144*Settings!$B$3)+(U144*Settings!$B$4)+(V144*Settings!$B$5)+(X144*Settings!$B$9)+(AA144*Settings!$B$6)+(W144*Settings!$B$8)+(AB144*Settings!$B$7)+(AC144*Settings!$B$14)+(AD144*Settings!$B$15)+(AE144*Settings!$B$16)+(AF144*Settings!$B$17)+(AG144*Settings!$B$18)+(Y144*Settings!$B$10)+(Z144*Settings!$B$11),VLOOKUP(B144,'Standard Deviations'!A1:C728,3,FALSE))</f>
        <v>320.65780080665684</v>
      </c>
      <c r="J144" s="38">
        <f>IF(D144="G",I144/AJ144,I144/Q144)</f>
        <v>4.2218996358493932</v>
      </c>
      <c r="K144" s="37">
        <f>IF(Settings!$E$18="C/LW/RW",VLOOKUP(B144,LW!A1:F130,6,FALSE),VLOOKUP(B144,F!A1:F430,6,FALSE))</f>
        <v>-43.382804050993627</v>
      </c>
      <c r="L144" s="37">
        <f>IFERROR(K144/H144,"N/A")</f>
        <v>-10.845701012748407</v>
      </c>
      <c r="M144" s="39">
        <f>IF(Settings!$E$9="YAHOO",VLOOKUP(B144,ADP!A1:E728,2,FALSE),IF(Settings!$E$9="ESPN",VLOOKUP(B144,ADP!A1:E728,3,FALSE),IF(Settings!$E$9="FANTRAX",VLOOKUP(B144,ADP!A1:E728,4,FALSE),VLOOKUP(B144,ADP!A1:E728,5,FALSE))))</f>
        <v>156</v>
      </c>
      <c r="N144" s="39">
        <f>IFERROR(M144-A144,"N/A")</f>
        <v>13</v>
      </c>
      <c r="O144" s="39"/>
      <c r="P144" s="40" t="str">
        <f>IF(Settings!$E$27="ON",VLOOKUP(B144,ADP!A1:H728,8,FALSE)," ")</f>
        <v xml:space="preserve"> </v>
      </c>
      <c r="Q144" s="41">
        <f>IF(Settings!$E$12="YES",VLOOKUP(B144,'Player Data'!A1:E734,5,FALSE),82)</f>
        <v>75.951071428571396</v>
      </c>
      <c r="R144" s="39">
        <f>VLOOKUP(B144,'Player Data'!$A1:$AE734,6,FALSE)</f>
        <v>17.752231718519202</v>
      </c>
      <c r="S144" s="41">
        <f>VLOOKUP(B144,'Player Data'!$A1:$AE734,7,FALSE)*$Q144*IFERROR((VLOOKUP(P144,Settings!$E$28:$F$33,2,FALSE)+1),1)</f>
        <v>28.602381443457144</v>
      </c>
      <c r="T144" s="41">
        <f>VLOOKUP(B144,'Player Data'!$A1:$AE734,8,FALSE)*$Q144*IFERROR((VLOOKUP(P144,Settings!$E$28:$F$33,2,FALSE)+1),1)</f>
        <v>26.990446714583271</v>
      </c>
      <c r="U144" s="41">
        <f>SUM(S144:T144)</f>
        <v>55.592828158040419</v>
      </c>
      <c r="V144" s="41">
        <f>VLOOKUP(B144,'Player Data'!$A1:$AE734,10,FALSE)*$Q144*IFERROR(((VLOOKUP(P144,Settings!$E$28:$F$33,2,FALSE)/2)+1),1)</f>
        <v>226.53835812631314</v>
      </c>
      <c r="W144" s="41">
        <f>VLOOKUP(B144,'Player Data'!$A1:$AE734,11,FALSE)*$Q144*IFERROR((VLOOKUP(P144,Settings!$E$28:$F$33,2,FALSE)+1),1)</f>
        <v>7.6002778462978613</v>
      </c>
      <c r="X144" s="41">
        <f>VLOOKUP(B144,'Player Data'!$A1:$AE734,12,FALSE)*$Q144*IFERROR((VLOOKUP(P144,Settings!$E$28:$F$33,2,FALSE)+1),1)</f>
        <v>16.481717684945306</v>
      </c>
      <c r="Y144" s="41">
        <f>VLOOKUP(B144,'Player Data'!$A1:$AE734,13,FALSE)*$Q144</f>
        <v>0.1288081797974634</v>
      </c>
      <c r="Z144" s="41">
        <f>VLOOKUP(B144,'Player Data'!$A1:$AE734,14,FALSE)*$Q144</f>
        <v>0.84680811965910596</v>
      </c>
      <c r="AA144" s="41">
        <f>VLOOKUP(B144,'Player Data'!$A1:$AE734,15,FALSE)*$Q144</f>
        <v>29.765428300851244</v>
      </c>
      <c r="AB144" s="41">
        <f>VLOOKUP(B144,'Player Data'!$A1:$AE734,16,FALSE)*$Q144</f>
        <v>92.515765227707817</v>
      </c>
      <c r="AC144" s="41">
        <f>VLOOKUP(B144,'Player Data'!$A1:$AE734,17,FALSE)*$Q144*IFERROR((VLOOKUP(P144,Settings!$E$28:$F$33,2,FALSE)+1),1)</f>
        <v>5.7496787358283061</v>
      </c>
      <c r="AD144" s="41">
        <f>VLOOKUP(B144,'Player Data'!$A1:$AE734,18,FALSE)*$Q144</f>
        <v>19.466349453740929</v>
      </c>
      <c r="AE144" s="41">
        <f>VLOOKUP(B144,'Player Data'!$A1:$AE734,19,FALSE)*$Q144*IFERROR((VLOOKUP(P144,Settings!$E$28:$F$33,2,FALSE)+1),1)</f>
        <v>4.8017769672115955</v>
      </c>
      <c r="AF144" s="41">
        <f>VLOOKUP(B144,'Player Data'!$A1:$AE734,20,FALSE)*$Q144</f>
        <v>7.6701657677966031</v>
      </c>
      <c r="AG144" s="41">
        <f>VLOOKUP(B144,'Player Data'!$A1:$AE734,21,FALSE)*$Q144</f>
        <v>13.51739429698884</v>
      </c>
      <c r="AH144" s="42">
        <f>VLOOKUP(B144,'Player Data'!$A1:$AE734,22,FALSE)</f>
        <v>0.36201269727818802</v>
      </c>
      <c r="AI144" s="39"/>
      <c r="AJ144" s="43"/>
      <c r="AK144" s="41"/>
      <c r="AL144" s="41"/>
      <c r="AM144" s="41"/>
      <c r="AN144" s="41"/>
      <c r="AO144" s="41"/>
      <c r="AP144" s="41"/>
      <c r="AQ144" s="44"/>
      <c r="AR144" s="45"/>
      <c r="AS144" s="39"/>
    </row>
    <row r="145" spans="1:45" ht="21.25" customHeight="1" x14ac:dyDescent="0.15">
      <c r="A145" s="31">
        <f>RANK(K145,K$2:K$727)</f>
        <v>144</v>
      </c>
      <c r="B145" s="8" t="s">
        <v>249</v>
      </c>
      <c r="C145" s="32" t="s">
        <v>106</v>
      </c>
      <c r="D145" s="33" t="str">
        <f>VLOOKUP(B145,'Player Data'!A1:D734,4,FALSE)</f>
        <v>LW</v>
      </c>
      <c r="E145" s="47">
        <f>VLOOKUP(B145,LW!A1:C130,3,FALSE)</f>
        <v>31</v>
      </c>
      <c r="F145" s="35" t="str">
        <f>VLOOKUP(B145,'Player Data'!A1:B734,2,FALSE)</f>
        <v>VAN</v>
      </c>
      <c r="G145" s="9">
        <f>VLOOKUP(B145,'Player Data'!A1:D734,3,FALSE)</f>
        <v>27</v>
      </c>
      <c r="H145" s="36">
        <f>IFERROR(VLOOKUP(B145,ADP!A1:G728,7,FALSE)/1000000,VLOOKUP(B145,ADP!A1:G728,7,FALSE))</f>
        <v>5.5</v>
      </c>
      <c r="I145" s="37">
        <f>IF(Settings!$E$15="POINTS",((R145*Q145)*Settings!$B$12)+(S145*Settings!$B$2)+(T145*Settings!$B$3)+(U145*Settings!$B$4)+(V145*Settings!$B$5)+(X145*Settings!$B$9)+(AA145*Settings!$B$6)+(W145*Settings!$B$8)+(AB145*Settings!$B$7)+(AC145*Settings!$B$14)+(AD145*Settings!$B$15)+(AE145*Settings!$B$16)+(AF145*Settings!$B$17)+(AG145*Settings!$B$18)+(Y145*Settings!$B$10)+(Z145*Settings!$B$11),VLOOKUP(B145,'Standard Deviations'!A1:C728,3,FALSE))</f>
        <v>318.27636323177103</v>
      </c>
      <c r="J145" s="38">
        <f>IF(D145="G",I145/AJ145,I145/Q145)</f>
        <v>3.8997287659348285</v>
      </c>
      <c r="K145" s="37">
        <f>IF(Settings!$E$18="C/LW/RW",VLOOKUP(B145,LW!A1:F130,6,FALSE),VLOOKUP(B145,F!A1:F430,6,FALSE))</f>
        <v>-45.764241625879436</v>
      </c>
      <c r="L145" s="37">
        <f>IFERROR(K145/H145,"N/A")</f>
        <v>-8.3207712047053519</v>
      </c>
      <c r="M145" s="39">
        <f>IF(Settings!$E$9="YAHOO",VLOOKUP(B145,ADP!A1:E728,2,FALSE),IF(Settings!$E$9="ESPN",VLOOKUP(B145,ADP!A1:E728,3,FALSE),IF(Settings!$E$9="FANTRAX",VLOOKUP(B145,ADP!A1:E728,4,FALSE),VLOOKUP(B145,ADP!A1:E728,5,FALSE))))</f>
        <v>109.4</v>
      </c>
      <c r="N145" s="39">
        <f>IFERROR(M145-A145,"N/A")</f>
        <v>-34.599999999999994</v>
      </c>
      <c r="O145" s="39"/>
      <c r="P145" s="40" t="str">
        <f>IF(Settings!$E$27="ON",VLOOKUP(B145,ADP!A1:H728,8,FALSE)," ")</f>
        <v>-</v>
      </c>
      <c r="Q145" s="41">
        <f>IF(Settings!$E$12="YES",VLOOKUP(B145,'Player Data'!A1:E734,5,FALSE),82)</f>
        <v>81.614999999999995</v>
      </c>
      <c r="R145" s="39">
        <f>VLOOKUP(B145,'Player Data'!$A1:$AE734,6,FALSE)</f>
        <v>16.791718638704001</v>
      </c>
      <c r="S145" s="41">
        <f>VLOOKUP(B145,'Player Data'!$A1:$AE734,7,FALSE)*$Q145*IFERROR((VLOOKUP(P145,Settings!$E$28:$F$33,2,FALSE)+1),1)</f>
        <v>34.21390026383763</v>
      </c>
      <c r="T145" s="41">
        <f>VLOOKUP(B145,'Player Data'!$A1:$AE734,8,FALSE)*$Q145*IFERROR((VLOOKUP(P145,Settings!$E$28:$F$33,2,FALSE)+1),1)</f>
        <v>34.40806173056248</v>
      </c>
      <c r="U145" s="41">
        <f>SUM(S145:T145)</f>
        <v>68.62196199440011</v>
      </c>
      <c r="V145" s="41">
        <f>VLOOKUP(B145,'Player Data'!$A1:$AE734,10,FALSE)*$Q145*IFERROR(((VLOOKUP(P145,Settings!$E$28:$F$33,2,FALSE)/2)+1),1)</f>
        <v>149.81850240600869</v>
      </c>
      <c r="W145" s="41">
        <f>VLOOKUP(B145,'Player Data'!$A1:$AE734,11,FALSE)*$Q145*IFERROR((VLOOKUP(P145,Settings!$E$28:$F$33,2,FALSE)+1),1)</f>
        <v>10.173321711051859</v>
      </c>
      <c r="X145" s="41">
        <f>VLOOKUP(B145,'Player Data'!$A1:$AE734,12,FALSE)*$Q145*IFERROR((VLOOKUP(P145,Settings!$E$28:$F$33,2,FALSE)+1),1)</f>
        <v>16.608045681732779</v>
      </c>
      <c r="Y145" s="41">
        <f>VLOOKUP(B145,'Player Data'!$A1:$AE734,13,FALSE)*$Q145</f>
        <v>1.1239347813507018E-3</v>
      </c>
      <c r="Z145" s="41">
        <f>VLOOKUP(B145,'Player Data'!$A1:$AE734,14,FALSE)*$Q145</f>
        <v>2.051769719696046E-3</v>
      </c>
      <c r="AA145" s="41">
        <f>VLOOKUP(B145,'Player Data'!$A1:$AE734,15,FALSE)*$Q145</f>
        <v>21.40515571330706</v>
      </c>
      <c r="AB145" s="41">
        <f>VLOOKUP(B145,'Player Data'!$A1:$AE734,16,FALSE)*$Q145</f>
        <v>24.202710037746929</v>
      </c>
      <c r="AC145" s="41">
        <f>VLOOKUP(B145,'Player Data'!$A1:$AE734,17,FALSE)*$Q145*IFERROR((VLOOKUP(P145,Settings!$E$28:$F$33,2,FALSE)+1),1)</f>
        <v>2.8490343590285687</v>
      </c>
      <c r="AD145" s="41">
        <f>VLOOKUP(B145,'Player Data'!$A1:$AE734,18,FALSE)*$Q145</f>
        <v>16.143888555630653</v>
      </c>
      <c r="AE145" s="41">
        <f>VLOOKUP(B145,'Player Data'!$A1:$AE734,19,FALSE)*$Q145*IFERROR((VLOOKUP(P145,Settings!$E$28:$F$33,2,FALSE)+1),1)</f>
        <v>4.8433077106957132</v>
      </c>
      <c r="AF145" s="41">
        <f>VLOOKUP(B145,'Player Data'!$A1:$AE734,20,FALSE)*$Q145</f>
        <v>0</v>
      </c>
      <c r="AG145" s="41">
        <f>VLOOKUP(B145,'Player Data'!$A1:$AE734,21,FALSE)*$Q145</f>
        <v>1.041712489318646</v>
      </c>
      <c r="AH145" s="42">
        <f>VLOOKUP(B145,'Player Data'!$A1:$AE734,22,FALSE)</f>
        <v>0</v>
      </c>
      <c r="AI145" s="39"/>
      <c r="AJ145" s="43"/>
      <c r="AK145" s="41"/>
      <c r="AL145" s="41"/>
      <c r="AM145" s="41"/>
      <c r="AN145" s="41"/>
      <c r="AO145" s="41"/>
      <c r="AP145" s="41"/>
      <c r="AQ145" s="44"/>
      <c r="AR145" s="45"/>
      <c r="AS145" s="43"/>
    </row>
    <row r="146" spans="1:45" ht="21.25" customHeight="1" x14ac:dyDescent="0.15">
      <c r="A146" s="31">
        <f>RANK(K146,K$2:K$727)</f>
        <v>145</v>
      </c>
      <c r="B146" s="8" t="s">
        <v>250</v>
      </c>
      <c r="C146" s="32" t="s">
        <v>106</v>
      </c>
      <c r="D146" s="33" t="str">
        <f>VLOOKUP(B146,'Player Data'!A1:D734,4,FALSE)</f>
        <v>D</v>
      </c>
      <c r="E146" s="49">
        <f>VLOOKUP(B146,D!A1:C227,3,FALSE)</f>
        <v>34</v>
      </c>
      <c r="F146" s="35" t="str">
        <f>VLOOKUP(B146,'Player Data'!A1:B734,2,FALSE)</f>
        <v>OTT</v>
      </c>
      <c r="G146" s="9">
        <f>VLOOKUP(B146,'Player Data'!A1:D734,3,FALSE)</f>
        <v>25</v>
      </c>
      <c r="H146" s="36">
        <f>IFERROR(VLOOKUP(B146,ADP!A1:G728,7,FALSE)/1000000,VLOOKUP(B146,ADP!A1:G728,7,FALSE))</f>
        <v>4.5999999999999996</v>
      </c>
      <c r="I146" s="37">
        <f>IF(Settings!$E$15="POINTS",((R146*Q146)*Settings!$B$12)+(S146*Settings!$B$2)+(T146*Settings!$B$3)+(U146*Settings!$B$4)+(V146*Settings!$B$5)+(X146*Settings!$B$9)+(AA146*Settings!$B$6)+(W146*Settings!$B$8)+(AB146*Settings!$B$7)+(AC146*Settings!$B$14)+(AD146*Settings!$B$15)+(AE146*Settings!$B$16)+(AF146*Settings!$B$17)+(AG146*Settings!$B$18)+(U146*Settings!$B$13)+(Y146*Settings!$B$10)+(Z146*Settings!$B$11),VLOOKUP(B146,'Standard Deviations'!A1:C728,3,FALSE))</f>
        <v>265.42360463996539</v>
      </c>
      <c r="J146" s="38">
        <f>IF(D146="G",I146/AJ146,I146/Q146)</f>
        <v>3.7287760986192584</v>
      </c>
      <c r="K146" s="37">
        <f>VLOOKUP(B146,D!A1:F227,6,FALSE)</f>
        <v>-46.141876987962064</v>
      </c>
      <c r="L146" s="37">
        <f>IFERROR(K146/H146,"N/A")</f>
        <v>-10.030842823470016</v>
      </c>
      <c r="M146" s="39">
        <f>IF(Settings!$E$9="YAHOO",VLOOKUP(B146,ADP!A1:E728,2,FALSE),IF(Settings!$E$9="ESPN",VLOOKUP(B146,ADP!A1:E728,3,FALSE),IF(Settings!$E$9="FANTRAX",VLOOKUP(B146,ADP!A1:E728,4,FALSE),VLOOKUP(B146,ADP!A1:E728,5,FALSE))))</f>
        <v>144.9</v>
      </c>
      <c r="N146" s="39">
        <f>IFERROR(M146-A146,"N/A")</f>
        <v>-9.9999999999994316E-2</v>
      </c>
      <c r="O146" s="39"/>
      <c r="P146" s="40" t="str">
        <f>IF(Settings!$E$27="ON",VLOOKUP(B146,ADP!A1:H728,8,FALSE)," ")</f>
        <v xml:space="preserve"> </v>
      </c>
      <c r="Q146" s="41">
        <f>IF(Settings!$E$12="YES",VLOOKUP(B146,'Player Data'!A1:E734,5,FALSE),82)</f>
        <v>71.182500000000005</v>
      </c>
      <c r="R146" s="39">
        <f>VLOOKUP(B146,'Player Data'!$A1:$AE734,6,FALSE)</f>
        <v>22.2429457520326</v>
      </c>
      <c r="S146" s="41">
        <f>VLOOKUP(B146,'Player Data'!$A1:$AE734,7,FALSE)*$Q146*IFERROR((VLOOKUP(P146,Settings!$E$28:$F$33,2,FALSE)+1),1)</f>
        <v>13.227948424526415</v>
      </c>
      <c r="T146" s="41">
        <f>VLOOKUP(B146,'Player Data'!$A1:$AE734,8,FALSE)*$Q146*IFERROR((VLOOKUP(P146,Settings!$E$28:$F$33,2,FALSE)+1),1)</f>
        <v>29.308878576078676</v>
      </c>
      <c r="U146" s="41">
        <f>SUM(S146:T146)</f>
        <v>42.536827000605093</v>
      </c>
      <c r="V146" s="41">
        <f>VLOOKUP(B146,'Player Data'!$A1:$AE734,10,FALSE)*$Q146*IFERROR(((VLOOKUP(P146,Settings!$E$28:$F$33,2,FALSE)/2)+1),1)</f>
        <v>195.82747668646502</v>
      </c>
      <c r="W146" s="41">
        <f>VLOOKUP(B146,'Player Data'!$A1:$AE734,11,FALSE)*$Q146*IFERROR((VLOOKUP(P146,Settings!$E$28:$F$33,2,FALSE)+1),1)</f>
        <v>3.5099705630243259</v>
      </c>
      <c r="X146" s="41">
        <f>VLOOKUP(B146,'Player Data'!$A1:$AE734,12,FALSE)*$Q146*IFERROR((VLOOKUP(P146,Settings!$E$28:$F$33,2,FALSE)+1),1)</f>
        <v>8.6554024637607796</v>
      </c>
      <c r="Y146" s="41">
        <f>VLOOKUP(B146,'Player Data'!$A1:$AE734,13,FALSE)*$Q146</f>
        <v>3.0381736512677122E-2</v>
      </c>
      <c r="Z146" s="41">
        <f>VLOOKUP(B146,'Player Data'!$A1:$AE734,14,FALSE)*$Q146</f>
        <v>0.11299112228531706</v>
      </c>
      <c r="AA146" s="41">
        <f>VLOOKUP(B146,'Player Data'!$A1:$AE734,15,FALSE)*$Q146</f>
        <v>111.81299061412741</v>
      </c>
      <c r="AB146" s="41">
        <f>VLOOKUP(B146,'Player Data'!$A1:$AE734,16,FALSE)*$Q146</f>
        <v>78.828301214317719</v>
      </c>
      <c r="AC146" s="41">
        <f>VLOOKUP(B146,'Player Data'!$A1:$AE734,17,FALSE)*$Q146*IFERROR((VLOOKUP(P146,Settings!$E$28:$F$33,2,FALSE)+1),1)</f>
        <v>1.4138181470288664</v>
      </c>
      <c r="AD146" s="41">
        <f>VLOOKUP(B146,'Player Data'!$A1:$AE734,18,FALSE)*$Q146</f>
        <v>47.274325706765076</v>
      </c>
      <c r="AE146" s="41">
        <f>VLOOKUP(B146,'Player Data'!$A1:$AE734,19,FALSE)*$Q146*IFERROR((VLOOKUP(P146,Settings!$E$28:$F$33,2,FALSE)+1),1)</f>
        <v>1.8373744657359234</v>
      </c>
      <c r="AF146" s="41">
        <f>VLOOKUP(B146,'Player Data'!$A1:$AE734,20,FALSE)*$Q146</f>
        <v>0</v>
      </c>
      <c r="AG146" s="41">
        <f>VLOOKUP(B146,'Player Data'!$A1:$AE734,21,FALSE)*$Q146</f>
        <v>0</v>
      </c>
      <c r="AH146" s="42">
        <f>VLOOKUP(B146,'Player Data'!$A1:$AE734,22,FALSE)</f>
        <v>0</v>
      </c>
      <c r="AI146" s="39"/>
      <c r="AJ146" s="43"/>
      <c r="AK146" s="41"/>
      <c r="AL146" s="41"/>
      <c r="AM146" s="41"/>
      <c r="AN146" s="41"/>
      <c r="AO146" s="41"/>
      <c r="AP146" s="41"/>
      <c r="AQ146" s="44"/>
      <c r="AR146" s="45"/>
      <c r="AS146" s="39"/>
    </row>
    <row r="147" spans="1:45" ht="21.25" customHeight="1" x14ac:dyDescent="0.15">
      <c r="A147" s="31">
        <f>RANK(K147,K$2:K$727)</f>
        <v>146</v>
      </c>
      <c r="B147" s="8" t="s">
        <v>251</v>
      </c>
      <c r="C147" s="32" t="s">
        <v>106</v>
      </c>
      <c r="D147" s="33" t="str">
        <f>VLOOKUP(B147,'Player Data'!A1:D734,4,FALSE)</f>
        <v>LW</v>
      </c>
      <c r="E147" s="47">
        <f>VLOOKUP(B147,LW!A1:C130,3,FALSE)</f>
        <v>32</v>
      </c>
      <c r="F147" s="35" t="str">
        <f>VLOOKUP(B147,'Player Data'!A1:B734,2,FALSE)</f>
        <v>DAL</v>
      </c>
      <c r="G147" s="9">
        <f>VLOOKUP(B147,'Player Data'!A1:D734,3,FALSE)</f>
        <v>34</v>
      </c>
      <c r="H147" s="36">
        <f>IFERROR(VLOOKUP(B147,ADP!A1:G728,7,FALSE)/1000000,VLOOKUP(B147,ADP!A1:G728,7,FALSE))</f>
        <v>9.5</v>
      </c>
      <c r="I147" s="37">
        <f>IF(Settings!$E$15="POINTS",((R147*Q147)*Settings!$B$12)+(S147*Settings!$B$2)+(T147*Settings!$B$3)+(U147*Settings!$B$4)+(V147*Settings!$B$5)+(X147*Settings!$B$9)+(AA147*Settings!$B$6)+(W147*Settings!$B$8)+(AB147*Settings!$B$7)+(AC147*Settings!$B$14)+(AD147*Settings!$B$15)+(AE147*Settings!$B$16)+(AF147*Settings!$B$17)+(AG147*Settings!$B$18)+(Y147*Settings!$B$10)+(Z147*Settings!$B$11),VLOOKUP(B147,'Standard Deviations'!A1:C728,3,FALSE))</f>
        <v>317.62209018386216</v>
      </c>
      <c r="J147" s="38">
        <f>IF(D147="G",I147/AJ147,I147/Q147)</f>
        <v>3.8998695537475849</v>
      </c>
      <c r="K147" s="37">
        <f>IF(Settings!$E$18="C/LW/RW",VLOOKUP(B147,LW!A1:F130,6,FALSE),VLOOKUP(B147,F!A1:F430,6,FALSE))</f>
        <v>-46.418514673788309</v>
      </c>
      <c r="L147" s="37">
        <f>IFERROR(K147/H147,"N/A")</f>
        <v>-4.8861594393461374</v>
      </c>
      <c r="M147" s="39">
        <f>IF(Settings!$E$9="YAHOO",VLOOKUP(B147,ADP!A1:E728,2,FALSE),IF(Settings!$E$9="ESPN",VLOOKUP(B147,ADP!A1:E728,3,FALSE),IF(Settings!$E$9="FANTRAX",VLOOKUP(B147,ADP!A1:E728,4,FALSE),VLOOKUP(B147,ADP!A1:E728,5,FALSE))))</f>
        <v>71.599999999999994</v>
      </c>
      <c r="N147" s="39">
        <f>IFERROR(M147-A147,"N/A")</f>
        <v>-74.400000000000006</v>
      </c>
      <c r="O147" s="39"/>
      <c r="P147" s="40" t="str">
        <f>IF(Settings!$E$27="ON",VLOOKUP(B147,ADP!A1:H728,8,FALSE)," ")</f>
        <v xml:space="preserve"> </v>
      </c>
      <c r="Q147" s="41">
        <f>IF(Settings!$E$12="YES",VLOOKUP(B147,'Player Data'!A1:E734,5,FALSE),82)</f>
        <v>81.444285714285698</v>
      </c>
      <c r="R147" s="39">
        <f>VLOOKUP(B147,'Player Data'!$A1:$AE734,6,FALSE)</f>
        <v>16.0773216632386</v>
      </c>
      <c r="S147" s="41">
        <f>VLOOKUP(B147,'Player Data'!$A1:$AE734,7,FALSE)*$Q147*IFERROR((VLOOKUP(P147,Settings!$E$28:$F$33,2,FALSE)+1),1)</f>
        <v>23.285083477210339</v>
      </c>
      <c r="T147" s="41">
        <f>VLOOKUP(B147,'Player Data'!$A1:$AE734,8,FALSE)*$Q147*IFERROR((VLOOKUP(P147,Settings!$E$28:$F$33,2,FALSE)+1),1)</f>
        <v>34.314093772884448</v>
      </c>
      <c r="U147" s="41">
        <f>SUM(S147:T147)</f>
        <v>57.599177250094783</v>
      </c>
      <c r="V147" s="41">
        <f>VLOOKUP(B147,'Player Data'!$A1:$AE734,10,FALSE)*$Q147*IFERROR(((VLOOKUP(P147,Settings!$E$28:$F$33,2,FALSE)/2)+1),1)</f>
        <v>181.90813395556714</v>
      </c>
      <c r="W147" s="41">
        <f>VLOOKUP(B147,'Player Data'!$A1:$AE734,11,FALSE)*$Q147*IFERROR((VLOOKUP(P147,Settings!$E$28:$F$33,2,FALSE)+1),1)</f>
        <v>7.9364285203011793</v>
      </c>
      <c r="X147" s="41">
        <f>VLOOKUP(B147,'Player Data'!$A1:$AE734,12,FALSE)*$Q147*IFERROR((VLOOKUP(P147,Settings!$E$28:$F$33,2,FALSE)+1),1)</f>
        <v>20.126177696657017</v>
      </c>
      <c r="Y147" s="41">
        <f>VLOOKUP(B147,'Player Data'!$A1:$AE734,13,FALSE)*$Q147</f>
        <v>1.6383041010066437</v>
      </c>
      <c r="Z147" s="41">
        <f>VLOOKUP(B147,'Player Data'!$A1:$AE734,14,FALSE)*$Q147</f>
        <v>2.3768280852665518</v>
      </c>
      <c r="AA147" s="41">
        <f>VLOOKUP(B147,'Player Data'!$A1:$AE734,15,FALSE)*$Q147</f>
        <v>44.322399459735678</v>
      </c>
      <c r="AB147" s="41">
        <f>VLOOKUP(B147,'Player Data'!$A1:$AE734,16,FALSE)*$Q147</f>
        <v>105.16172391976141</v>
      </c>
      <c r="AC147" s="41">
        <f>VLOOKUP(B147,'Player Data'!$A1:$AE734,17,FALSE)*$Q147*IFERROR((VLOOKUP(P147,Settings!$E$28:$F$33,2,FALSE)+1),1)</f>
        <v>5.7834349221235906</v>
      </c>
      <c r="AD147" s="41">
        <f>VLOOKUP(B147,'Player Data'!$A1:$AE734,18,FALSE)*$Q147</f>
        <v>45.608210127809656</v>
      </c>
      <c r="AE147" s="41">
        <f>VLOOKUP(B147,'Player Data'!$A1:$AE734,19,FALSE)*$Q147*IFERROR((VLOOKUP(P147,Settings!$E$28:$F$33,2,FALSE)+1),1)</f>
        <v>3.7254482871288133</v>
      </c>
      <c r="AF147" s="41">
        <f>VLOOKUP(B147,'Player Data'!$A1:$AE734,20,FALSE)*$Q147</f>
        <v>488.58565532413769</v>
      </c>
      <c r="AG147" s="41">
        <f>VLOOKUP(B147,'Player Data'!$A1:$AE734,21,FALSE)*$Q147</f>
        <v>361.09188360067242</v>
      </c>
      <c r="AH147" s="42">
        <f>VLOOKUP(B147,'Player Data'!$A1:$AE734,22,FALSE)</f>
        <v>0.57502479816331098</v>
      </c>
      <c r="AI147" s="39"/>
      <c r="AJ147" s="43"/>
      <c r="AK147" s="41"/>
      <c r="AL147" s="41"/>
      <c r="AM147" s="41"/>
      <c r="AN147" s="41"/>
      <c r="AO147" s="41"/>
      <c r="AP147" s="41"/>
      <c r="AQ147" s="44"/>
      <c r="AR147" s="45"/>
      <c r="AS147" s="39"/>
    </row>
    <row r="148" spans="1:45" ht="21.25" customHeight="1" x14ac:dyDescent="0.15">
      <c r="A148" s="31">
        <f>RANK(K148,K$2:K$727)</f>
        <v>147</v>
      </c>
      <c r="B148" s="8" t="s">
        <v>252</v>
      </c>
      <c r="C148" s="32" t="s">
        <v>106</v>
      </c>
      <c r="D148" s="33" t="str">
        <f>VLOOKUP(B148,'Player Data'!A1:D734,4,FALSE)</f>
        <v>C</v>
      </c>
      <c r="E148" s="34">
        <f>VLOOKUP(B148,'C'!A1:C211,3,FALSE)</f>
        <v>40</v>
      </c>
      <c r="F148" s="35" t="str">
        <f>VLOOKUP(B148,'Player Data'!A1:B734,2,FALSE)</f>
        <v>STL</v>
      </c>
      <c r="G148" s="9">
        <f>VLOOKUP(B148,'Player Data'!A1:D734,3,FALSE)</f>
        <v>24</v>
      </c>
      <c r="H148" s="36">
        <f>IFERROR(VLOOKUP(B148,ADP!A1:G728,7,FALSE)/1000000,VLOOKUP(B148,ADP!A1:G728,7,FALSE))</f>
        <v>8.125</v>
      </c>
      <c r="I148" s="37">
        <f>IF(Settings!$E$15="POINTS",((R148*Q148)*Settings!$B$12)+(S148*Settings!$B$2)+(T148*Settings!$B$3)+(U148*Settings!$B$4)+(V148*Settings!$B$5)+(X148*Settings!$B$9)+(AA148*Settings!$B$6)+(W148*Settings!$B$8)+(AB148*Settings!$B$7)+(AC148*Settings!$B$14)+(AD148*Settings!$B$15)+(AE148*Settings!$B$16)+(AF148*Settings!$B$17)+(AG148*Settings!$B$18)+(Y148*Settings!$B$10)+(Z148*Settings!$B$11),VLOOKUP(B148,'Standard Deviations'!A1:C728,3,FALSE))</f>
        <v>345.27654708295341</v>
      </c>
      <c r="J148" s="38">
        <f>IF(D148="G",I148/AJ148,I148/Q148)</f>
        <v>4.5193265324993899</v>
      </c>
      <c r="K148" s="37">
        <f>IF(Settings!$E$18="C/LW/RW",VLOOKUP(B148,'C'!A1:F211,6,FALSE),VLOOKUP(B148,F!A1:F430,6,FALSE))</f>
        <v>-48.052258683256241</v>
      </c>
      <c r="L148" s="37">
        <f>IFERROR(K148/H148,"N/A")</f>
        <v>-5.9141241456315372</v>
      </c>
      <c r="M148" s="39">
        <f>IF(Settings!$E$9="YAHOO",VLOOKUP(B148,ADP!A1:E728,2,FALSE),IF(Settings!$E$9="ESPN",VLOOKUP(B148,ADP!A1:E728,3,FALSE),IF(Settings!$E$9="FANTRAX",VLOOKUP(B148,ADP!A1:E728,4,FALSE),VLOOKUP(B148,ADP!A1:E728,5,FALSE))))</f>
        <v>163.6</v>
      </c>
      <c r="N148" s="39">
        <f>IFERROR(M148-A148,"N/A")</f>
        <v>16.599999999999994</v>
      </c>
      <c r="O148" s="39"/>
      <c r="P148" s="40" t="str">
        <f>IF(Settings!$E$27="ON",VLOOKUP(B148,ADP!A1:H728,8,FALSE)," ")</f>
        <v xml:space="preserve"> </v>
      </c>
      <c r="Q148" s="41">
        <f>IF(Settings!$E$12="YES",VLOOKUP(B148,'Player Data'!A1:E734,5,FALSE),82)</f>
        <v>76.400000000000006</v>
      </c>
      <c r="R148" s="39">
        <f>VLOOKUP(B148,'Player Data'!$A1:$AE734,6,FALSE)</f>
        <v>19.425171168090099</v>
      </c>
      <c r="S148" s="41">
        <f>VLOOKUP(B148,'Player Data'!$A1:$AE734,7,FALSE)*$Q148*IFERROR((VLOOKUP(P148,Settings!$E$28:$F$33,2,FALSE)+1),1)</f>
        <v>22.056663702221588</v>
      </c>
      <c r="T148" s="41">
        <f>VLOOKUP(B148,'Player Data'!$A1:$AE734,8,FALSE)*$Q148*IFERROR((VLOOKUP(P148,Settings!$E$28:$F$33,2,FALSE)+1),1)</f>
        <v>54.412210584209056</v>
      </c>
      <c r="U148" s="41">
        <f>SUM(S148:T148)</f>
        <v>76.468874286430648</v>
      </c>
      <c r="V148" s="41">
        <f>VLOOKUP(B148,'Player Data'!$A1:$AE734,10,FALSE)*$Q148*IFERROR(((VLOOKUP(P148,Settings!$E$28:$F$33,2,FALSE)/2)+1),1)</f>
        <v>123.78742966648819</v>
      </c>
      <c r="W148" s="41">
        <f>VLOOKUP(B148,'Player Data'!$A1:$AE734,11,FALSE)*$Q148*IFERROR((VLOOKUP(P148,Settings!$E$28:$F$33,2,FALSE)+1),1)</f>
        <v>5.6954291430814088</v>
      </c>
      <c r="X148" s="41">
        <f>VLOOKUP(B148,'Player Data'!$A1:$AE734,12,FALSE)*$Q148*IFERROR((VLOOKUP(P148,Settings!$E$28:$F$33,2,FALSE)+1),1)</f>
        <v>22.680848148103898</v>
      </c>
      <c r="Y148" s="41">
        <f>VLOOKUP(B148,'Player Data'!$A1:$AE734,13,FALSE)*$Q148</f>
        <v>1.1927676600642403</v>
      </c>
      <c r="Z148" s="41">
        <f>VLOOKUP(B148,'Player Data'!$A1:$AE734,14,FALSE)*$Q148</f>
        <v>1.2706420674716123</v>
      </c>
      <c r="AA148" s="41">
        <f>VLOOKUP(B148,'Player Data'!$A1:$AE734,15,FALSE)*$Q148</f>
        <v>30.366144796331785</v>
      </c>
      <c r="AB148" s="41">
        <f>VLOOKUP(B148,'Player Data'!$A1:$AE734,16,FALSE)*$Q148</f>
        <v>22.614665389888806</v>
      </c>
      <c r="AC148" s="41">
        <f>VLOOKUP(B148,'Player Data'!$A1:$AE734,17,FALSE)*$Q148*IFERROR((VLOOKUP(P148,Settings!$E$28:$F$33,2,FALSE)+1),1)</f>
        <v>-2.6861381070467036</v>
      </c>
      <c r="AD148" s="41">
        <f>VLOOKUP(B148,'Player Data'!$A1:$AE734,18,FALSE)*$Q148</f>
        <v>24.733327939879018</v>
      </c>
      <c r="AE148" s="41">
        <f>VLOOKUP(B148,'Player Data'!$A1:$AE734,19,FALSE)*$Q148*IFERROR((VLOOKUP(P148,Settings!$E$28:$F$33,2,FALSE)+1),1)</f>
        <v>2.5381205436102428</v>
      </c>
      <c r="AF148" s="41">
        <f>VLOOKUP(B148,'Player Data'!$A1:$AE734,20,FALSE)*$Q148</f>
        <v>634.95903092279002</v>
      </c>
      <c r="AG148" s="41">
        <f>VLOOKUP(B148,'Player Data'!$A1:$AE734,21,FALSE)*$Q148</f>
        <v>618.03289537715557</v>
      </c>
      <c r="AH148" s="42">
        <f>VLOOKUP(B148,'Player Data'!$A1:$AE734,22,FALSE)</f>
        <v>0.50675428755379803</v>
      </c>
      <c r="AI148" s="39"/>
      <c r="AJ148" s="41"/>
      <c r="AK148" s="41"/>
      <c r="AL148" s="41"/>
      <c r="AM148" s="41"/>
      <c r="AN148" s="41"/>
      <c r="AO148" s="41"/>
      <c r="AP148" s="41"/>
      <c r="AQ148" s="44"/>
      <c r="AR148" s="45"/>
      <c r="AS148" s="39"/>
    </row>
    <row r="149" spans="1:45" ht="21.25" customHeight="1" x14ac:dyDescent="0.15">
      <c r="A149" s="31">
        <f>RANK(K149,K$2:K$727)</f>
        <v>148</v>
      </c>
      <c r="B149" s="8" t="s">
        <v>253</v>
      </c>
      <c r="C149" s="32" t="s">
        <v>106</v>
      </c>
      <c r="D149" s="33" t="str">
        <f>VLOOKUP(B149,'Player Data'!A1:D734,4,FALSE)</f>
        <v>G</v>
      </c>
      <c r="E149" s="50">
        <f>VLOOKUP(B149,G!A1:D75,3,FALSE)</f>
        <v>20</v>
      </c>
      <c r="F149" s="35" t="str">
        <f>VLOOKUP(B149,'Player Data'!A1:B734,2,FALSE)</f>
        <v>CBJ</v>
      </c>
      <c r="G149" s="9">
        <f>VLOOKUP(B149,'Player Data'!A1:D734,3,FALSE)</f>
        <v>29</v>
      </c>
      <c r="H149" s="36">
        <f>IFERROR(VLOOKUP(B149,ADP!A1:G728,7,FALSE)/1000000,VLOOKUP(B149,ADP!A1:G728,7,FALSE))</f>
        <v>5.4</v>
      </c>
      <c r="I149" s="37">
        <f>IF(Settings!$E$15="POINTS",(AJ149*Settings!$B$29)+(AK149*Settings!$B$21)+(AL149*Settings!$B$22)+(AN149*Settings!$B$24)+(AO149*Settings!$B$25)+(AP149*Settings!$B$27)+(AM149*Settings!$B$23),VLOOKUP(B149,'Standard Deviations'!A1:C728,3,FALSE))</f>
        <v>350.63811446463785</v>
      </c>
      <c r="J149" s="38">
        <f>IF(D149="G",I149/AJ149,I149/Q149)</f>
        <v>7.3049607180132883</v>
      </c>
      <c r="K149" s="37">
        <f>VLOOKUP(B149,G!A1:F75,6,FALSE)</f>
        <v>-48.137547624678348</v>
      </c>
      <c r="L149" s="37">
        <f>IFERROR(K149/H149,"N/A")</f>
        <v>-8.9143606712367305</v>
      </c>
      <c r="M149" s="53" t="str">
        <f>IF(Settings!$E$9="YAHOO",VLOOKUP(B149,ADP!A1:E728,2,FALSE),IF(Settings!$E$9="ESPN",VLOOKUP(B149,ADP!A1:E728,3,FALSE),IF(Settings!$E$9="FANTRAX",VLOOKUP(B149,ADP!A1:E728,4,FALSE),VLOOKUP(B149,ADP!A1:E728,5,FALSE))))</f>
        <v>-</v>
      </c>
      <c r="N149" s="53" t="str">
        <f>IFERROR(M149-A149,"N/A")</f>
        <v>N/A</v>
      </c>
      <c r="O149" s="39"/>
      <c r="P149" s="40" t="str">
        <f>IF(Settings!$E$27="ON",VLOOKUP(B149,ADP!A1:H728,8,FALSE)," ")</f>
        <v>+</v>
      </c>
      <c r="Q149" s="41"/>
      <c r="R149" s="5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2"/>
      <c r="AI149" s="39"/>
      <c r="AJ149" s="43">
        <f>VLOOKUP(B149,'Player Data'!$A1:$AE734,24,FALSE)</f>
        <v>48</v>
      </c>
      <c r="AK149" s="41">
        <f>VLOOKUP(B149,'Player Data'!$A1:$AE734,25,FALSE)*$AJ149*IFERROR((VLOOKUP(P149,Settings!$E$28:$F$33,2,FALSE)+1),1)</f>
        <v>20.681273115882593</v>
      </c>
      <c r="AL149" s="41">
        <f>AJ149-AK149-AM149</f>
        <v>21.318726884117407</v>
      </c>
      <c r="AM149" s="41">
        <f>VLOOKUP(B149,'Player Data'!$A1:$AE734,27,FALSE)*$AJ149</f>
        <v>6</v>
      </c>
      <c r="AN149" s="41">
        <f>VLOOKUP(B149,'Player Data'!$A1:$AE734,28,FALSE)*AJ149</f>
        <v>1.4612848240758431</v>
      </c>
      <c r="AO149" s="41">
        <f>VLOOKUP(B149,'Player Data'!$A1:$AE734,29,FALSE)*$AJ149*IFERROR((VLOOKUP(P149,Settings!$E$28:$F$33,2,FALSE)/4)+1,1)</f>
        <v>1466.0739145155646</v>
      </c>
      <c r="AP149" s="41">
        <f>VLOOKUP(B149,'Player Data'!$A1:$AE734,31,FALSE)*$AJ149*(IFERROR(1-(VLOOKUP(P149,Settings!$E$28:$F$33,2,FALSE)/4),1))</f>
        <v>149.12174392964798</v>
      </c>
      <c r="AQ149" s="44">
        <f>1-(AP149/(AO149+AP149))</f>
        <v>0.90767573999474926</v>
      </c>
      <c r="AR149" s="45">
        <f>AP149/AJ149</f>
        <v>3.1067029985343328</v>
      </c>
      <c r="AS149" s="39"/>
    </row>
    <row r="150" spans="1:45" ht="21.25" customHeight="1" x14ac:dyDescent="0.15">
      <c r="A150" s="31">
        <f>RANK(K150,K$2:K$727)</f>
        <v>149</v>
      </c>
      <c r="B150" s="8" t="s">
        <v>254</v>
      </c>
      <c r="C150" s="32" t="s">
        <v>106</v>
      </c>
      <c r="D150" s="33" t="str">
        <f>VLOOKUP(B150,'Player Data'!A1:D734,4,FALSE)</f>
        <v>C</v>
      </c>
      <c r="E150" s="34">
        <f>VLOOKUP(B150,'C'!A1:C211,3,FALSE)</f>
        <v>41</v>
      </c>
      <c r="F150" s="35" t="str">
        <f>VLOOKUP(B150,'Player Data'!A1:B734,2,FALSE)</f>
        <v>LAK</v>
      </c>
      <c r="G150" s="9">
        <f>VLOOKUP(B150,'Player Data'!A1:D734,3,FALSE)</f>
        <v>35</v>
      </c>
      <c r="H150" s="36">
        <f>IFERROR(VLOOKUP(B150,ADP!A1:G728,7,FALSE)/1000000,VLOOKUP(B150,ADP!A1:G728,7,FALSE))</f>
        <v>8</v>
      </c>
      <c r="I150" s="37">
        <f>IF(Settings!$E$15="POINTS",((R150*Q150)*Settings!$B$12)+(S150*Settings!$B$2)+(T150*Settings!$B$3)+(U150*Settings!$B$4)+(V150*Settings!$B$5)+(X150*Settings!$B$9)+(AA150*Settings!$B$6)+(W150*Settings!$B$8)+(AB150*Settings!$B$7)+(AC150*Settings!$B$14)+(AD150*Settings!$B$15)+(AE150*Settings!$B$16)+(AF150*Settings!$B$17)+(AG150*Settings!$B$18)+(Y150*Settings!$B$10)+(Z150*Settings!$B$11),VLOOKUP(B150,'Standard Deviations'!A1:C728,3,FALSE))</f>
        <v>344.88363545338518</v>
      </c>
      <c r="J150" s="38">
        <f>IF(D150="G",I150/AJ150,I150/Q150)</f>
        <v>4.2114190610054054</v>
      </c>
      <c r="K150" s="37">
        <f>IF(Settings!$E$18="C/LW/RW",VLOOKUP(B150,'C'!A1:F211,6,FALSE),VLOOKUP(B150,F!A1:F430,6,FALSE))</f>
        <v>-48.445170312824473</v>
      </c>
      <c r="L150" s="37">
        <f>IFERROR(K150/H150,"N/A")</f>
        <v>-6.0556462891030591</v>
      </c>
      <c r="M150" s="39">
        <f>IF(Settings!$E$9="YAHOO",VLOOKUP(B150,ADP!A1:E728,2,FALSE),IF(Settings!$E$9="ESPN",VLOOKUP(B150,ADP!A1:E728,3,FALSE),IF(Settings!$E$9="FANTRAX",VLOOKUP(B150,ADP!A1:E728,4,FALSE),VLOOKUP(B150,ADP!A1:E728,5,FALSE))))</f>
        <v>147.80000000000001</v>
      </c>
      <c r="N150" s="39">
        <f>IFERROR(M150-A150,"N/A")</f>
        <v>-1.1999999999999886</v>
      </c>
      <c r="O150" s="39"/>
      <c r="P150" s="40" t="str">
        <f>IF(Settings!$E$27="ON",VLOOKUP(B150,ADP!A1:H728,8,FALSE)," ")</f>
        <v xml:space="preserve"> </v>
      </c>
      <c r="Q150" s="41">
        <f>IF(Settings!$E$12="YES",VLOOKUP(B150,'Player Data'!A1:E734,5,FALSE),82)</f>
        <v>81.892499999999998</v>
      </c>
      <c r="R150" s="39">
        <f>VLOOKUP(B150,'Player Data'!$A1:$AE734,6,FALSE)</f>
        <v>20.241907090320101</v>
      </c>
      <c r="S150" s="41">
        <f>VLOOKUP(B150,'Player Data'!$A1:$AE734,7,FALSE)*$Q150*IFERROR((VLOOKUP(P150,Settings!$E$28:$F$33,2,FALSE)+1),1)</f>
        <v>21.737210717857071</v>
      </c>
      <c r="T150" s="41">
        <f>VLOOKUP(B150,'Player Data'!$A1:$AE734,8,FALSE)*$Q150*IFERROR((VLOOKUP(P150,Settings!$E$28:$F$33,2,FALSE)+1),1)</f>
        <v>44.307185071532544</v>
      </c>
      <c r="U150" s="41">
        <f>SUM(S150:T150)</f>
        <v>66.044395789389611</v>
      </c>
      <c r="V150" s="41">
        <f>VLOOKUP(B150,'Player Data'!$A1:$AE734,10,FALSE)*$Q150*IFERROR(((VLOOKUP(P150,Settings!$E$28:$F$33,2,FALSE)/2)+1),1)</f>
        <v>180.60232467647194</v>
      </c>
      <c r="W150" s="41">
        <f>VLOOKUP(B150,'Player Data'!$A1:$AE734,11,FALSE)*$Q150*IFERROR((VLOOKUP(P150,Settings!$E$28:$F$33,2,FALSE)+1),1)</f>
        <v>5.6023072956032918</v>
      </c>
      <c r="X150" s="41">
        <f>VLOOKUP(B150,'Player Data'!$A1:$AE734,12,FALSE)*$Q150*IFERROR((VLOOKUP(P150,Settings!$E$28:$F$33,2,FALSE)+1),1)</f>
        <v>19.550291663438916</v>
      </c>
      <c r="Y150" s="41">
        <f>VLOOKUP(B150,'Player Data'!$A1:$AE734,13,FALSE)*$Q150</f>
        <v>0.11306677185719656</v>
      </c>
      <c r="Z150" s="41">
        <f>VLOOKUP(B150,'Player Data'!$A1:$AE734,14,FALSE)*$Q150</f>
        <v>0.92851748524854782</v>
      </c>
      <c r="AA150" s="41">
        <f>VLOOKUP(B150,'Player Data'!$A1:$AE734,15,FALSE)*$Q150</f>
        <v>77.458337248027533</v>
      </c>
      <c r="AB150" s="41">
        <f>VLOOKUP(B150,'Player Data'!$A1:$AE734,16,FALSE)*$Q150</f>
        <v>70.242252006249203</v>
      </c>
      <c r="AC150" s="41">
        <f>VLOOKUP(B150,'Player Data'!$A1:$AE734,17,FALSE)*$Q150*IFERROR((VLOOKUP(P150,Settings!$E$28:$F$33,2,FALSE)+1),1)</f>
        <v>0.77536319739821702</v>
      </c>
      <c r="AD150" s="41">
        <f>VLOOKUP(B150,'Player Data'!$A1:$AE734,18,FALSE)*$Q150</f>
        <v>13.653761955034545</v>
      </c>
      <c r="AE150" s="41">
        <f>VLOOKUP(B150,'Player Data'!$A1:$AE734,19,FALSE)*$Q150*IFERROR((VLOOKUP(P150,Settings!$E$28:$F$33,2,FALSE)+1),1)</f>
        <v>3.2271895780451105</v>
      </c>
      <c r="AF150" s="41">
        <f>VLOOKUP(B150,'Player Data'!$A1:$AE734,20,FALSE)*$Q150</f>
        <v>896.10655293495859</v>
      </c>
      <c r="AG150" s="41">
        <f>VLOOKUP(B150,'Player Data'!$A1:$AE734,21,FALSE)*$Q150</f>
        <v>689.91322887851902</v>
      </c>
      <c r="AH150" s="42">
        <f>VLOOKUP(B150,'Player Data'!$A1:$AE734,22,FALSE)</f>
        <v>0.56500338974986697</v>
      </c>
      <c r="AI150" s="39"/>
      <c r="AJ150" s="41"/>
      <c r="AK150" s="41"/>
      <c r="AL150" s="41"/>
      <c r="AM150" s="41"/>
      <c r="AN150" s="41"/>
      <c r="AO150" s="41"/>
      <c r="AP150" s="41"/>
      <c r="AQ150" s="44"/>
      <c r="AR150" s="45"/>
      <c r="AS150" s="39"/>
    </row>
    <row r="151" spans="1:45" ht="21.25" customHeight="1" x14ac:dyDescent="0.15">
      <c r="A151" s="31">
        <f>RANK(K151,K$2:K$727)</f>
        <v>150</v>
      </c>
      <c r="B151" s="8" t="s">
        <v>255</v>
      </c>
      <c r="C151" s="32" t="s">
        <v>106</v>
      </c>
      <c r="D151" s="33" t="str">
        <f>VLOOKUP(B151,'Player Data'!A1:D734,4,FALSE)</f>
        <v>LW</v>
      </c>
      <c r="E151" s="47">
        <f>VLOOKUP(B151,LW!A1:C130,3,FALSE)</f>
        <v>33</v>
      </c>
      <c r="F151" s="35" t="str">
        <f>VLOOKUP(B151,'Player Data'!A1:B734,2,FALSE)</f>
        <v>DET</v>
      </c>
      <c r="G151" s="9">
        <f>VLOOKUP(B151,'Player Data'!A1:D734,3,FALSE)</f>
        <v>35</v>
      </c>
      <c r="H151" s="36">
        <f>IFERROR(VLOOKUP(B151,ADP!A1:G728,7,FALSE)/1000000,VLOOKUP(B151,ADP!A1:G728,7,FALSE))</f>
        <v>4.75</v>
      </c>
      <c r="I151" s="37">
        <f>IF(Settings!$E$15="POINTS",((R151*Q151)*Settings!$B$12)+(S151*Settings!$B$2)+(T151*Settings!$B$3)+(U151*Settings!$B$4)+(V151*Settings!$B$5)+(X151*Settings!$B$9)+(AA151*Settings!$B$6)+(W151*Settings!$B$8)+(AB151*Settings!$B$7)+(AC151*Settings!$B$14)+(AD151*Settings!$B$15)+(AE151*Settings!$B$16)+(AF151*Settings!$B$17)+(AG151*Settings!$B$18)+(Y151*Settings!$B$10)+(Z151*Settings!$B$11),VLOOKUP(B151,'Standard Deviations'!A1:C728,3,FALSE))</f>
        <v>314.60808658147852</v>
      </c>
      <c r="J151" s="38">
        <f>IF(D151="G",I151/AJ151,I151/Q151)</f>
        <v>3.9341993507547257</v>
      </c>
      <c r="K151" s="37">
        <f>IF(Settings!$E$18="C/LW/RW",VLOOKUP(B151,LW!A1:F130,6,FALSE),VLOOKUP(B151,F!A1:F430,6,FALSE))</f>
        <v>-49.432518276171947</v>
      </c>
      <c r="L151" s="37">
        <f>IFERROR(K151/H151,"N/A")</f>
        <v>-10.406845952878305</v>
      </c>
      <c r="M151" s="39">
        <f>IF(Settings!$E$9="YAHOO",VLOOKUP(B151,ADP!A1:E728,2,FALSE),IF(Settings!$E$9="ESPN",VLOOKUP(B151,ADP!A1:E728,3,FALSE),IF(Settings!$E$9="FANTRAX",VLOOKUP(B151,ADP!A1:E728,4,FALSE),VLOOKUP(B151,ADP!A1:E728,5,FALSE))))</f>
        <v>155.9</v>
      </c>
      <c r="N151" s="39">
        <f>IFERROR(M151-A151,"N/A")</f>
        <v>5.9000000000000057</v>
      </c>
      <c r="O151" s="39"/>
      <c r="P151" s="40" t="str">
        <f>IF(Settings!$E$27="ON",VLOOKUP(B151,ADP!A1:H728,8,FALSE)," ")</f>
        <v xml:space="preserve"> </v>
      </c>
      <c r="Q151" s="41">
        <f>IF(Settings!$E$12="YES",VLOOKUP(B151,'Player Data'!A1:E734,5,FALSE),82)</f>
        <v>79.967500000000001</v>
      </c>
      <c r="R151" s="39">
        <f>VLOOKUP(B151,'Player Data'!$A1:$AE734,6,FALSE)</f>
        <v>16.6222934178735</v>
      </c>
      <c r="S151" s="41">
        <f>VLOOKUP(B151,'Player Data'!$A1:$AE734,7,FALSE)*$Q151*IFERROR((VLOOKUP(P151,Settings!$E$28:$F$33,2,FALSE)+1),1)</f>
        <v>23.457719241414694</v>
      </c>
      <c r="T151" s="41">
        <f>VLOOKUP(B151,'Player Data'!$A1:$AE734,8,FALSE)*$Q151*IFERROR((VLOOKUP(P151,Settings!$E$28:$F$33,2,FALSE)+1),1)</f>
        <v>32.697019921111604</v>
      </c>
      <c r="U151" s="41">
        <f>SUM(S151:T151)</f>
        <v>56.154739162526297</v>
      </c>
      <c r="V151" s="41">
        <f>VLOOKUP(B151,'Player Data'!$A1:$AE734,10,FALSE)*$Q151*IFERROR(((VLOOKUP(P151,Settings!$E$28:$F$33,2,FALSE)/2)+1),1)</f>
        <v>191.15837307138963</v>
      </c>
      <c r="W151" s="41">
        <f>VLOOKUP(B151,'Player Data'!$A1:$AE734,11,FALSE)*$Q151*IFERROR((VLOOKUP(P151,Settings!$E$28:$F$33,2,FALSE)+1),1)</f>
        <v>7.5727734394680324</v>
      </c>
      <c r="X151" s="41">
        <f>VLOOKUP(B151,'Player Data'!$A1:$AE734,12,FALSE)*$Q151*IFERROR((VLOOKUP(P151,Settings!$E$28:$F$33,2,FALSE)+1),1)</f>
        <v>23.021421658724748</v>
      </c>
      <c r="Y151" s="41">
        <f>VLOOKUP(B151,'Player Data'!$A1:$AE734,13,FALSE)*$Q151</f>
        <v>1.7955609022580058E-3</v>
      </c>
      <c r="Z151" s="41">
        <f>VLOOKUP(B151,'Player Data'!$A1:$AE734,14,FALSE)*$Q151</f>
        <v>3.3211282512295385E-3</v>
      </c>
      <c r="AA151" s="41">
        <f>VLOOKUP(B151,'Player Data'!$A1:$AE734,15,FALSE)*$Q151</f>
        <v>22.575984921264482</v>
      </c>
      <c r="AB151" s="41">
        <f>VLOOKUP(B151,'Player Data'!$A1:$AE734,16,FALSE)*$Q151</f>
        <v>95.415455915242717</v>
      </c>
      <c r="AC151" s="41">
        <f>VLOOKUP(B151,'Player Data'!$A1:$AE734,17,FALSE)*$Q151*IFERROR((VLOOKUP(P151,Settings!$E$28:$F$33,2,FALSE)+1),1)</f>
        <v>-1.6199363742964492</v>
      </c>
      <c r="AD151" s="41">
        <f>VLOOKUP(B151,'Player Data'!$A1:$AE734,18,FALSE)*$Q151</f>
        <v>41.917934619572627</v>
      </c>
      <c r="AE151" s="41">
        <f>VLOOKUP(B151,'Player Data'!$A1:$AE734,19,FALSE)*$Q151*IFERROR((VLOOKUP(P151,Settings!$E$28:$F$33,2,FALSE)+1),1)</f>
        <v>3.0286579444934447</v>
      </c>
      <c r="AF151" s="41">
        <f>VLOOKUP(B151,'Player Data'!$A1:$AE734,20,FALSE)*$Q151</f>
        <v>1.5692316807107627</v>
      </c>
      <c r="AG151" s="41">
        <f>VLOOKUP(B151,'Player Data'!$A1:$AE734,21,FALSE)*$Q151</f>
        <v>7.8877004823362791</v>
      </c>
      <c r="AH151" s="42">
        <f>VLOOKUP(B151,'Player Data'!$A1:$AE734,22,FALSE)</f>
        <v>0.165934539198931</v>
      </c>
      <c r="AI151" s="39"/>
      <c r="AJ151" s="43"/>
      <c r="AK151" s="41"/>
      <c r="AL151" s="41"/>
      <c r="AM151" s="41"/>
      <c r="AN151" s="41"/>
      <c r="AO151" s="41"/>
      <c r="AP151" s="41"/>
      <c r="AQ151" s="44"/>
      <c r="AR151" s="45"/>
      <c r="AS151" s="39"/>
    </row>
    <row r="152" spans="1:45" ht="21.25" customHeight="1" x14ac:dyDescent="0.15">
      <c r="A152" s="31">
        <f>RANK(K152,K$2:K$727)</f>
        <v>151</v>
      </c>
      <c r="B152" s="8" t="s">
        <v>256</v>
      </c>
      <c r="C152" s="32" t="s">
        <v>106</v>
      </c>
      <c r="D152" s="33" t="str">
        <f>VLOOKUP(B152,'Player Data'!A1:D734,4,FALSE)</f>
        <v>C</v>
      </c>
      <c r="E152" s="34">
        <f>VLOOKUP(B152,'C'!A1:C211,3,FALSE)</f>
        <v>42</v>
      </c>
      <c r="F152" s="35" t="str">
        <f>VLOOKUP(B152,'Player Data'!A1:B734,2,FALSE)</f>
        <v>SJS</v>
      </c>
      <c r="G152" s="9">
        <f>VLOOKUP(B152,'Player Data'!A1:D734,3,FALSE)</f>
        <v>29</v>
      </c>
      <c r="H152" s="36">
        <f>IFERROR(VLOOKUP(B152,ADP!A1:G728,7,FALSE)/1000000,VLOOKUP(B152,ADP!A1:G728,7,FALSE))</f>
        <v>8.1374999999999993</v>
      </c>
      <c r="I152" s="37">
        <f>IF(Settings!$E$15="POINTS",((R152*Q152)*Settings!$B$12)+(S152*Settings!$B$2)+(T152*Settings!$B$3)+(U152*Settings!$B$4)+(V152*Settings!$B$5)+(X152*Settings!$B$9)+(AA152*Settings!$B$6)+(W152*Settings!$B$8)+(AB152*Settings!$B$7)+(AC152*Settings!$B$14)+(AD152*Settings!$B$15)+(AE152*Settings!$B$16)+(AF152*Settings!$B$17)+(AG152*Settings!$B$18)+(Y152*Settings!$B$10)+(Z152*Settings!$B$11),VLOOKUP(B152,'Standard Deviations'!A1:C728,3,FALSE))</f>
        <v>343.20325550677262</v>
      </c>
      <c r="J152" s="38">
        <f>IF(D152="G",I152/AJ152,I152/Q152)</f>
        <v>4.2900406938346576</v>
      </c>
      <c r="K152" s="37">
        <f>IF(Settings!$E$18="C/LW/RW",VLOOKUP(B152,'C'!A1:F211,6,FALSE),VLOOKUP(B152,F!A1:F430,6,FALSE))</f>
        <v>-50.125550259437034</v>
      </c>
      <c r="L152" s="37">
        <f>IFERROR(K152/H152,"N/A")</f>
        <v>-6.15982184447767</v>
      </c>
      <c r="M152" s="39">
        <f>IF(Settings!$E$9="YAHOO",VLOOKUP(B152,ADP!A1:E728,2,FALSE),IF(Settings!$E$9="ESPN",VLOOKUP(B152,ADP!A1:E728,3,FALSE),IF(Settings!$E$9="FANTRAX",VLOOKUP(B152,ADP!A1:E728,4,FALSE),VLOOKUP(B152,ADP!A1:E728,5,FALSE))))</f>
        <v>156.6</v>
      </c>
      <c r="N152" s="39">
        <f>IFERROR(M152-A152,"N/A")</f>
        <v>5.5999999999999943</v>
      </c>
      <c r="O152" s="39"/>
      <c r="P152" s="40" t="str">
        <f>IF(Settings!$E$27="ON",VLOOKUP(B152,ADP!A1:H728,8,FALSE)," ")</f>
        <v>-</v>
      </c>
      <c r="Q152" s="41">
        <f>IF(Settings!$E$12="YES",VLOOKUP(B152,'Player Data'!A1:E734,5,FALSE),82)</f>
        <v>80</v>
      </c>
      <c r="R152" s="39">
        <f>VLOOKUP(B152,'Player Data'!$A1:$AE734,6,FALSE)</f>
        <v>19.537001479372499</v>
      </c>
      <c r="S152" s="41">
        <f>VLOOKUP(B152,'Player Data'!$A1:$AE734,7,FALSE)*$Q152*IFERROR((VLOOKUP(P152,Settings!$E$28:$F$33,2,FALSE)+1),1)</f>
        <v>25.635618999525871</v>
      </c>
      <c r="T152" s="41">
        <f>VLOOKUP(B152,'Player Data'!$A1:$AE734,8,FALSE)*$Q152*IFERROR((VLOOKUP(P152,Settings!$E$28:$F$33,2,FALSE)+1),1)</f>
        <v>39.128243144186513</v>
      </c>
      <c r="U152" s="41">
        <f>SUM(S152:T152)</f>
        <v>64.763862143712387</v>
      </c>
      <c r="V152" s="41">
        <f>VLOOKUP(B152,'Player Data'!$A1:$AE734,10,FALSE)*$Q152*IFERROR(((VLOOKUP(P152,Settings!$E$28:$F$33,2,FALSE)/2)+1),1)</f>
        <v>191.48184424976645</v>
      </c>
      <c r="W152" s="41">
        <f>VLOOKUP(B152,'Player Data'!$A1:$AE734,11,FALSE)*$Q152*IFERROR((VLOOKUP(P152,Settings!$E$28:$F$33,2,FALSE)+1),1)</f>
        <v>6.593483982023443</v>
      </c>
      <c r="X152" s="41">
        <f>VLOOKUP(B152,'Player Data'!$A1:$AE734,12,FALSE)*$Q152*IFERROR((VLOOKUP(P152,Settings!$E$28:$F$33,2,FALSE)+1),1)</f>
        <v>21.057309612911279</v>
      </c>
      <c r="Y152" s="41">
        <f>VLOOKUP(B152,'Player Data'!$A1:$AE734,13,FALSE)*$Q152</f>
        <v>6.1631696233004317E-2</v>
      </c>
      <c r="Z152" s="41">
        <f>VLOOKUP(B152,'Player Data'!$A1:$AE734,14,FALSE)*$Q152</f>
        <v>0.14564748290943039</v>
      </c>
      <c r="AA152" s="41">
        <f>VLOOKUP(B152,'Player Data'!$A1:$AE734,15,FALSE)*$Q152</f>
        <v>53.824163795554156</v>
      </c>
      <c r="AB152" s="41">
        <f>VLOOKUP(B152,'Player Data'!$A1:$AE734,16,FALSE)*$Q152</f>
        <v>89.890222333916</v>
      </c>
      <c r="AC152" s="41">
        <f>VLOOKUP(B152,'Player Data'!$A1:$AE734,17,FALSE)*$Q152*IFERROR((VLOOKUP(P152,Settings!$E$28:$F$33,2,FALSE)+1),1)</f>
        <v>0.49579242088524494</v>
      </c>
      <c r="AD152" s="41">
        <f>VLOOKUP(B152,'Player Data'!$A1:$AE734,18,FALSE)*$Q152</f>
        <v>38.265327491688801</v>
      </c>
      <c r="AE152" s="41">
        <f>VLOOKUP(B152,'Player Data'!$A1:$AE734,19,FALSE)*$Q152*IFERROR((VLOOKUP(P152,Settings!$E$28:$F$33,2,FALSE)+1),1)</f>
        <v>3.1127215571994347</v>
      </c>
      <c r="AF152" s="41">
        <f>VLOOKUP(B152,'Player Data'!$A1:$AE734,20,FALSE)*$Q152</f>
        <v>790.37443583369679</v>
      </c>
      <c r="AG152" s="41">
        <f>VLOOKUP(B152,'Player Data'!$A1:$AE734,21,FALSE)*$Q152</f>
        <v>674.17937317312806</v>
      </c>
      <c r="AH152" s="42">
        <f>VLOOKUP(B152,'Player Data'!$A1:$AE734,22,FALSE)</f>
        <v>0.53966909988079104</v>
      </c>
      <c r="AI152" s="39"/>
      <c r="AJ152" s="43"/>
      <c r="AK152" s="41"/>
      <c r="AL152" s="41"/>
      <c r="AM152" s="41"/>
      <c r="AN152" s="41"/>
      <c r="AO152" s="41"/>
      <c r="AP152" s="41"/>
      <c r="AQ152" s="44"/>
      <c r="AR152" s="45"/>
      <c r="AS152" s="39"/>
    </row>
    <row r="153" spans="1:45" ht="21.25" customHeight="1" x14ac:dyDescent="0.15">
      <c r="A153" s="31">
        <f>RANK(K153,K$2:K$727)</f>
        <v>152</v>
      </c>
      <c r="B153" s="8" t="s">
        <v>257</v>
      </c>
      <c r="C153" s="32" t="s">
        <v>106</v>
      </c>
      <c r="D153" s="33" t="str">
        <f>VLOOKUP(B153,'Player Data'!A1:D734,4,FALSE)</f>
        <v>D</v>
      </c>
      <c r="E153" s="49">
        <f>VLOOKUP(B153,D!A1:C227,3,FALSE)</f>
        <v>35</v>
      </c>
      <c r="F153" s="35" t="str">
        <f>VLOOKUP(B153,'Player Data'!A1:B734,2,FALSE)</f>
        <v>CGY</v>
      </c>
      <c r="G153" s="9">
        <f>VLOOKUP(B153,'Player Data'!A1:D734,3,FALSE)</f>
        <v>26</v>
      </c>
      <c r="H153" s="36">
        <f>IFERROR(VLOOKUP(B153,ADP!A1:G728,7,FALSE)/1000000,VLOOKUP(B153,ADP!A1:G728,7,FALSE))</f>
        <v>4.95</v>
      </c>
      <c r="I153" s="37">
        <f>IF(Settings!$E$15="POINTS",((R153*Q153)*Settings!$B$12)+(S153*Settings!$B$2)+(T153*Settings!$B$3)+(U153*Settings!$B$4)+(V153*Settings!$B$5)+(X153*Settings!$B$9)+(AA153*Settings!$B$6)+(W153*Settings!$B$8)+(AB153*Settings!$B$7)+(AC153*Settings!$B$14)+(AD153*Settings!$B$15)+(AE153*Settings!$B$16)+(AF153*Settings!$B$17)+(AG153*Settings!$B$18)+(U153*Settings!$B$13)+(Y153*Settings!$B$10)+(Z153*Settings!$B$11),VLOOKUP(B153,'Standard Deviations'!A1:C728,3,FALSE))</f>
        <v>256.97034271352055</v>
      </c>
      <c r="J153" s="38">
        <f>IF(D153="G",I153/AJ153,I153/Q153)</f>
        <v>3.2201797332521371</v>
      </c>
      <c r="K153" s="37">
        <f>VLOOKUP(B153,D!A1:F227,6,FALSE)</f>
        <v>-54.595138914406903</v>
      </c>
      <c r="L153" s="37">
        <f>IFERROR(K153/H153,"N/A")</f>
        <v>-11.029320992809476</v>
      </c>
      <c r="M153" s="39">
        <f>IF(Settings!$E$9="YAHOO",VLOOKUP(B153,ADP!A1:E728,2,FALSE),IF(Settings!$E$9="ESPN",VLOOKUP(B153,ADP!A1:E728,3,FALSE),IF(Settings!$E$9="FANTRAX",VLOOKUP(B153,ADP!A1:E728,4,FALSE),VLOOKUP(B153,ADP!A1:E728,5,FALSE))))</f>
        <v>146.30000000000001</v>
      </c>
      <c r="N153" s="39">
        <f>IFERROR(M153-A153,"N/A")</f>
        <v>-5.6999999999999886</v>
      </c>
      <c r="O153" s="39"/>
      <c r="P153" s="40" t="str">
        <f>IF(Settings!$E$27="ON",VLOOKUP(B153,ADP!A1:H728,8,FALSE)," ")</f>
        <v xml:space="preserve"> </v>
      </c>
      <c r="Q153" s="41">
        <f>IF(Settings!$E$12="YES",VLOOKUP(B153,'Player Data'!A1:E734,5,FALSE),82)</f>
        <v>79.8</v>
      </c>
      <c r="R153" s="39">
        <f>VLOOKUP(B153,'Player Data'!$A1:$AE734,6,FALSE)</f>
        <v>22.383958177130399</v>
      </c>
      <c r="S153" s="41">
        <f>VLOOKUP(B153,'Player Data'!$A1:$AE734,7,FALSE)*$Q153*IFERROR((VLOOKUP(P153,Settings!$E$28:$F$33,2,FALSE)+1),1)</f>
        <v>8.3062958131998172</v>
      </c>
      <c r="T153" s="41">
        <f>VLOOKUP(B153,'Player Data'!$A1:$AE734,8,FALSE)*$Q153*IFERROR((VLOOKUP(P153,Settings!$E$28:$F$33,2,FALSE)+1),1)</f>
        <v>32.67003498718023</v>
      </c>
      <c r="U153" s="41">
        <f>SUM(S153:T153)</f>
        <v>40.976330800380047</v>
      </c>
      <c r="V153" s="41">
        <f>VLOOKUP(B153,'Player Data'!$A1:$AE734,10,FALSE)*$Q153*IFERROR(((VLOOKUP(P153,Settings!$E$28:$F$33,2,FALSE)/2)+1),1)</f>
        <v>175.32665224297045</v>
      </c>
      <c r="W153" s="41">
        <f>VLOOKUP(B153,'Player Data'!$A1:$AE734,11,FALSE)*$Q153*IFERROR((VLOOKUP(P153,Settings!$E$28:$F$33,2,FALSE)+1),1)</f>
        <v>1.1093743523633555</v>
      </c>
      <c r="X153" s="41">
        <f>VLOOKUP(B153,'Player Data'!$A1:$AE734,12,FALSE)*$Q153*IFERROR((VLOOKUP(P153,Settings!$E$28:$F$33,2,FALSE)+1),1)</f>
        <v>10.716364820081774</v>
      </c>
      <c r="Y153" s="41">
        <f>VLOOKUP(B153,'Player Data'!$A1:$AE734,13,FALSE)*$Q153</f>
        <v>2.4881287073419689E-2</v>
      </c>
      <c r="Z153" s="41">
        <f>VLOOKUP(B153,'Player Data'!$A1:$AE734,14,FALSE)*$Q153</f>
        <v>0.62508879544345342</v>
      </c>
      <c r="AA153" s="41">
        <f>VLOOKUP(B153,'Player Data'!$A1:$AE734,15,FALSE)*$Q153</f>
        <v>118.47558479922357</v>
      </c>
      <c r="AB153" s="41">
        <f>VLOOKUP(B153,'Player Data'!$A1:$AE734,16,FALSE)*$Q153</f>
        <v>82.282191338434998</v>
      </c>
      <c r="AC153" s="41">
        <f>VLOOKUP(B153,'Player Data'!$A1:$AE734,17,FALSE)*$Q153*IFERROR((VLOOKUP(P153,Settings!$E$28:$F$33,2,FALSE)+1),1)</f>
        <v>3.3108963494319044</v>
      </c>
      <c r="AD153" s="41">
        <f>VLOOKUP(B153,'Player Data'!$A1:$AE734,18,FALSE)*$Q153</f>
        <v>30.429589999764552</v>
      </c>
      <c r="AE153" s="41">
        <f>VLOOKUP(B153,'Player Data'!$A1:$AE734,19,FALSE)*$Q153*IFERROR((VLOOKUP(P153,Settings!$E$28:$F$33,2,FALSE)+1),1)</f>
        <v>1.3879674948716243</v>
      </c>
      <c r="AF153" s="41">
        <f>VLOOKUP(B153,'Player Data'!$A1:$AE734,20,FALSE)*$Q153</f>
        <v>0</v>
      </c>
      <c r="AG153" s="41">
        <f>VLOOKUP(B153,'Player Data'!$A1:$AE734,21,FALSE)*$Q153</f>
        <v>0</v>
      </c>
      <c r="AH153" s="42">
        <f>VLOOKUP(B153,'Player Data'!$A1:$AE734,22,FALSE)</f>
        <v>0</v>
      </c>
      <c r="AI153" s="39"/>
      <c r="AJ153" s="43"/>
      <c r="AK153" s="41"/>
      <c r="AL153" s="41"/>
      <c r="AM153" s="41"/>
      <c r="AN153" s="41"/>
      <c r="AO153" s="41"/>
      <c r="AP153" s="41"/>
      <c r="AQ153" s="44"/>
      <c r="AR153" s="45"/>
      <c r="AS153" s="39"/>
    </row>
    <row r="154" spans="1:45" ht="21.25" customHeight="1" x14ac:dyDescent="0.15">
      <c r="A154" s="31">
        <f>RANK(K154,K$2:K$727)</f>
        <v>153</v>
      </c>
      <c r="B154" s="8" t="s">
        <v>258</v>
      </c>
      <c r="C154" s="32" t="s">
        <v>106</v>
      </c>
      <c r="D154" s="33" t="str">
        <f>VLOOKUP(B154,'Player Data'!A1:D734,4,FALSE)</f>
        <v>LW</v>
      </c>
      <c r="E154" s="47">
        <f>VLOOKUP(B154,LW!A1:C130,3,FALSE)</f>
        <v>34</v>
      </c>
      <c r="F154" s="35" t="str">
        <f>VLOOKUP(B154,'Player Data'!A1:B734,2,FALSE)</f>
        <v>LAK</v>
      </c>
      <c r="G154" s="9">
        <f>VLOOKUP(B154,'Player Data'!A1:D734,3,FALSE)</f>
        <v>30</v>
      </c>
      <c r="H154" s="36">
        <f>IFERROR(VLOOKUP(B154,ADP!A1:G728,7,FALSE)/1000000,VLOOKUP(B154,ADP!A1:G728,7,FALSE))</f>
        <v>4.25</v>
      </c>
      <c r="I154" s="37">
        <f>IF(Settings!$E$15="POINTS",((R154*Q154)*Settings!$B$12)+(S154*Settings!$B$2)+(T154*Settings!$B$3)+(U154*Settings!$B$4)+(V154*Settings!$B$5)+(X154*Settings!$B$9)+(AA154*Settings!$B$6)+(W154*Settings!$B$8)+(AB154*Settings!$B$7)+(AC154*Settings!$B$14)+(AD154*Settings!$B$15)+(AE154*Settings!$B$16)+(AF154*Settings!$B$17)+(AG154*Settings!$B$18)+(Y154*Settings!$B$10)+(Z154*Settings!$B$11),VLOOKUP(B154,'Standard Deviations'!A1:C728,3,FALSE))</f>
        <v>307.924876930241</v>
      </c>
      <c r="J154" s="38">
        <f>IF(D154="G",I154/AJ154,I154/Q154)</f>
        <v>3.944521913837443</v>
      </c>
      <c r="K154" s="37">
        <f>IF(Settings!$E$18="C/LW/RW",VLOOKUP(B154,LW!A1:F130,6,FALSE),VLOOKUP(B154,F!A1:F430,6,FALSE))</f>
        <v>-56.115727927409466</v>
      </c>
      <c r="L154" s="37">
        <f>IFERROR(K154/H154,"N/A")</f>
        <v>-13.203700688802227</v>
      </c>
      <c r="M154" s="39">
        <f>IF(Settings!$E$9="YAHOO",VLOOKUP(B154,ADP!A1:E728,2,FALSE),IF(Settings!$E$9="ESPN",VLOOKUP(B154,ADP!A1:E728,3,FALSE),IF(Settings!$E$9="FANTRAX",VLOOKUP(B154,ADP!A1:E728,4,FALSE),VLOOKUP(B154,ADP!A1:E728,5,FALSE))))</f>
        <v>147.5</v>
      </c>
      <c r="N154" s="39">
        <f>IFERROR(M154-A154,"N/A")</f>
        <v>-5.5</v>
      </c>
      <c r="O154" s="39"/>
      <c r="P154" s="40" t="str">
        <f>IF(Settings!$E$27="ON",VLOOKUP(B154,ADP!A1:H728,8,FALSE)," ")</f>
        <v xml:space="preserve"> </v>
      </c>
      <c r="Q154" s="41">
        <f>IF(Settings!$E$12="YES",VLOOKUP(B154,'Player Data'!A1:E734,5,FALSE),82)</f>
        <v>78.063928571428605</v>
      </c>
      <c r="R154" s="39">
        <f>VLOOKUP(B154,'Player Data'!$A1:$AE734,6,FALSE)</f>
        <v>16.4601035480486</v>
      </c>
      <c r="S154" s="41">
        <f>VLOOKUP(B154,'Player Data'!$A1:$AE734,7,FALSE)*$Q154*IFERROR((VLOOKUP(P154,Settings!$E$28:$F$33,2,FALSE)+1),1)</f>
        <v>21.501529456097661</v>
      </c>
      <c r="T154" s="41">
        <f>VLOOKUP(B154,'Player Data'!$A1:$AE734,8,FALSE)*$Q154*IFERROR((VLOOKUP(P154,Settings!$E$28:$F$33,2,FALSE)+1),1)</f>
        <v>30.327811113427035</v>
      </c>
      <c r="U154" s="41">
        <f>SUM(S154:T154)</f>
        <v>51.829340569524696</v>
      </c>
      <c r="V154" s="41">
        <f>VLOOKUP(B154,'Player Data'!$A1:$AE734,10,FALSE)*$Q154*IFERROR(((VLOOKUP(P154,Settings!$E$28:$F$33,2,FALSE)/2)+1),1)</f>
        <v>224.10390156599462</v>
      </c>
      <c r="W154" s="41">
        <f>VLOOKUP(B154,'Player Data'!$A1:$AE734,11,FALSE)*$Q154*IFERROR((VLOOKUP(P154,Settings!$E$28:$F$33,2,FALSE)+1),1)</f>
        <v>6.4017048213287584</v>
      </c>
      <c r="X154" s="41">
        <f>VLOOKUP(B154,'Player Data'!$A1:$AE734,12,FALSE)*$Q154*IFERROR((VLOOKUP(P154,Settings!$E$28:$F$33,2,FALSE)+1),1)</f>
        <v>15.396812967144339</v>
      </c>
      <c r="Y154" s="41">
        <f>VLOOKUP(B154,'Player Data'!$A1:$AE734,13,FALSE)*$Q154</f>
        <v>0.10487750073598555</v>
      </c>
      <c r="Z154" s="41">
        <f>VLOOKUP(B154,'Player Data'!$A1:$AE734,14,FALSE)*$Q154</f>
        <v>0.12165852048623098</v>
      </c>
      <c r="AA154" s="41">
        <f>VLOOKUP(B154,'Player Data'!$A1:$AE734,15,FALSE)*$Q154</f>
        <v>46.739807317042292</v>
      </c>
      <c r="AB154" s="41">
        <f>VLOOKUP(B154,'Player Data'!$A1:$AE734,16,FALSE)*$Q154</f>
        <v>31.113728514807857</v>
      </c>
      <c r="AC154" s="41">
        <f>VLOOKUP(B154,'Player Data'!$A1:$AE734,17,FALSE)*$Q154*IFERROR((VLOOKUP(P154,Settings!$E$28:$F$33,2,FALSE)+1),1)</f>
        <v>0.96240502971832897</v>
      </c>
      <c r="AD154" s="41">
        <f>VLOOKUP(B154,'Player Data'!$A1:$AE734,18,FALSE)*$Q154</f>
        <v>26.864509831885613</v>
      </c>
      <c r="AE154" s="41">
        <f>VLOOKUP(B154,'Player Data'!$A1:$AE734,19,FALSE)*$Q154*IFERROR((VLOOKUP(P154,Settings!$E$28:$F$33,2,FALSE)+1),1)</f>
        <v>3.1921994350335434</v>
      </c>
      <c r="AF154" s="41">
        <f>VLOOKUP(B154,'Player Data'!$A1:$AE734,20,FALSE)*$Q154</f>
        <v>21.846634797737281</v>
      </c>
      <c r="AG154" s="41">
        <f>VLOOKUP(B154,'Player Data'!$A1:$AE734,21,FALSE)*$Q154</f>
        <v>36.74947065713576</v>
      </c>
      <c r="AH154" s="42">
        <f>VLOOKUP(B154,'Player Data'!$A1:$AE734,22,FALSE)</f>
        <v>0.37283424603299198</v>
      </c>
      <c r="AI154" s="39"/>
      <c r="AJ154" s="43"/>
      <c r="AK154" s="41"/>
      <c r="AL154" s="41"/>
      <c r="AM154" s="41"/>
      <c r="AN154" s="41"/>
      <c r="AO154" s="41"/>
      <c r="AP154" s="41"/>
      <c r="AQ154" s="44"/>
      <c r="AR154" s="45"/>
      <c r="AS154" s="43"/>
    </row>
    <row r="155" spans="1:45" ht="21.25" customHeight="1" x14ac:dyDescent="0.15">
      <c r="A155" s="31">
        <f>RANK(K155,K$2:K$727)</f>
        <v>154</v>
      </c>
      <c r="B155" s="8" t="s">
        <v>259</v>
      </c>
      <c r="C155" s="32" t="s">
        <v>106</v>
      </c>
      <c r="D155" s="33" t="str">
        <f>VLOOKUP(B155,'Player Data'!A1:D734,4,FALSE)</f>
        <v>C</v>
      </c>
      <c r="E155" s="34">
        <f>VLOOKUP(B155,'C'!A1:C211,3,FALSE)</f>
        <v>43</v>
      </c>
      <c r="F155" s="35" t="str">
        <f>VLOOKUP(B155,'Player Data'!A1:B734,2,FALSE)</f>
        <v>ARI</v>
      </c>
      <c r="G155" s="9">
        <f>VLOOKUP(B155,'Player Data'!A1:D734,3,FALSE)</f>
        <v>27</v>
      </c>
      <c r="H155" s="36">
        <f>IFERROR(VLOOKUP(B155,ADP!A1:G728,7,FALSE)/1000000,VLOOKUP(B155,ADP!A1:G728,7,FALSE))</f>
        <v>5.85</v>
      </c>
      <c r="I155" s="37">
        <f>IF(Settings!$E$15="POINTS",((R155*Q155)*Settings!$B$12)+(S155*Settings!$B$2)+(T155*Settings!$B$3)+(U155*Settings!$B$4)+(V155*Settings!$B$5)+(X155*Settings!$B$9)+(AA155*Settings!$B$6)+(W155*Settings!$B$8)+(AB155*Settings!$B$7)+(AC155*Settings!$B$14)+(AD155*Settings!$B$15)+(AE155*Settings!$B$16)+(AF155*Settings!$B$17)+(AG155*Settings!$B$18)+(Y155*Settings!$B$10)+(Z155*Settings!$B$11),VLOOKUP(B155,'Standard Deviations'!A1:C728,3,FALSE))</f>
        <v>335.66319467361672</v>
      </c>
      <c r="J155" s="38">
        <f>IF(D155="G",I155/AJ155,I155/Q155)</f>
        <v>4.4482689107945017</v>
      </c>
      <c r="K155" s="37">
        <f>IF(Settings!$E$18="C/LW/RW",VLOOKUP(B155,'C'!A1:F211,6,FALSE),VLOOKUP(B155,F!A1:F430,6,FALSE))</f>
        <v>-57.66561109259294</v>
      </c>
      <c r="L155" s="37">
        <f>IFERROR(K155/H155,"N/A")</f>
        <v>-9.8573694175372548</v>
      </c>
      <c r="M155" s="39">
        <f>IF(Settings!$E$9="YAHOO",VLOOKUP(B155,ADP!A1:E728,2,FALSE),IF(Settings!$E$9="ESPN",VLOOKUP(B155,ADP!A1:E728,3,FALSE),IF(Settings!$E$9="FANTRAX",VLOOKUP(B155,ADP!A1:E728,4,FALSE),VLOOKUP(B155,ADP!A1:E728,5,FALSE))))</f>
        <v>154.30000000000001</v>
      </c>
      <c r="N155" s="39">
        <f>IFERROR(M155-A155,"N/A")</f>
        <v>0.30000000000001137</v>
      </c>
      <c r="O155" s="39"/>
      <c r="P155" s="40" t="str">
        <f>IF(Settings!$E$27="ON",VLOOKUP(B155,ADP!A1:H728,8,FALSE)," ")</f>
        <v xml:space="preserve"> </v>
      </c>
      <c r="Q155" s="41">
        <f>IF(Settings!$E$12="YES",VLOOKUP(B155,'Player Data'!A1:E734,5,FALSE),82)</f>
        <v>75.459285714285699</v>
      </c>
      <c r="R155" s="39">
        <f>VLOOKUP(B155,'Player Data'!$A1:$AE734,6,FALSE)</f>
        <v>19.793446718269099</v>
      </c>
      <c r="S155" s="41">
        <f>VLOOKUP(B155,'Player Data'!$A1:$AE734,7,FALSE)*$Q155*IFERROR((VLOOKUP(P155,Settings!$E$28:$F$33,2,FALSE)+1),1)</f>
        <v>27.154406375267698</v>
      </c>
      <c r="T155" s="41">
        <f>VLOOKUP(B155,'Player Data'!$A1:$AE734,8,FALSE)*$Q155*IFERROR((VLOOKUP(P155,Settings!$E$28:$F$33,2,FALSE)+1),1)</f>
        <v>43.780938733217496</v>
      </c>
      <c r="U155" s="41">
        <f>SUM(S155:T155)</f>
        <v>70.935345108485194</v>
      </c>
      <c r="V155" s="41">
        <f>VLOOKUP(B155,'Player Data'!$A1:$AE734,10,FALSE)*$Q155*IFERROR(((VLOOKUP(P155,Settings!$E$28:$F$33,2,FALSE)/2)+1),1)</f>
        <v>168.92821363108456</v>
      </c>
      <c r="W155" s="41">
        <f>VLOOKUP(B155,'Player Data'!$A1:$AE734,11,FALSE)*$Q155*IFERROR((VLOOKUP(P155,Settings!$E$28:$F$33,2,FALSE)+1),1)</f>
        <v>7.0122005668917797</v>
      </c>
      <c r="X155" s="41">
        <f>VLOOKUP(B155,'Player Data'!$A1:$AE734,12,FALSE)*$Q155*IFERROR((VLOOKUP(P155,Settings!$E$28:$F$33,2,FALSE)+1),1)</f>
        <v>15.02849119928972</v>
      </c>
      <c r="Y155" s="41">
        <f>VLOOKUP(B155,'Player Data'!$A1:$AE734,13,FALSE)*$Q155</f>
        <v>0.10699174406259906</v>
      </c>
      <c r="Z155" s="41">
        <f>VLOOKUP(B155,'Player Data'!$A1:$AE734,14,FALSE)*$Q155</f>
        <v>0.70385184042159032</v>
      </c>
      <c r="AA155" s="41">
        <f>VLOOKUP(B155,'Player Data'!$A1:$AE734,15,FALSE)*$Q155</f>
        <v>34.641832265981364</v>
      </c>
      <c r="AB155" s="41">
        <f>VLOOKUP(B155,'Player Data'!$A1:$AE734,16,FALSE)*$Q155</f>
        <v>21.085947916423677</v>
      </c>
      <c r="AC155" s="41">
        <f>VLOOKUP(B155,'Player Data'!$A1:$AE734,17,FALSE)*$Q155*IFERROR((VLOOKUP(P155,Settings!$E$28:$F$33,2,FALSE)+1),1)</f>
        <v>-1.0964003649617413</v>
      </c>
      <c r="AD155" s="41">
        <f>VLOOKUP(B155,'Player Data'!$A1:$AE734,18,FALSE)*$Q155</f>
        <v>25.405285357268379</v>
      </c>
      <c r="AE155" s="41">
        <f>VLOOKUP(B155,'Player Data'!$A1:$AE734,19,FALSE)*$Q155*IFERROR((VLOOKUP(P155,Settings!$E$28:$F$33,2,FALSE)+1),1)</f>
        <v>3.3467804712468592</v>
      </c>
      <c r="AF155" s="41">
        <f>VLOOKUP(B155,'Player Data'!$A1:$AE734,20,FALSE)*$Q155</f>
        <v>102.11589639988711</v>
      </c>
      <c r="AG155" s="41">
        <f>VLOOKUP(B155,'Player Data'!$A1:$AE734,21,FALSE)*$Q155</f>
        <v>131.54330990538426</v>
      </c>
      <c r="AH155" s="42">
        <f>VLOOKUP(B155,'Player Data'!$A1:$AE734,22,FALSE)</f>
        <v>0.43702920169331799</v>
      </c>
      <c r="AI155" s="39"/>
      <c r="AJ155" s="43"/>
      <c r="AK155" s="41"/>
      <c r="AL155" s="41"/>
      <c r="AM155" s="41"/>
      <c r="AN155" s="41"/>
      <c r="AO155" s="41"/>
      <c r="AP155" s="41"/>
      <c r="AQ155" s="44"/>
      <c r="AR155" s="45"/>
      <c r="AS155" s="39"/>
    </row>
    <row r="156" spans="1:45" ht="21.25" customHeight="1" x14ac:dyDescent="0.15">
      <c r="A156" s="31">
        <f>RANK(K156,K$2:K$727)</f>
        <v>155</v>
      </c>
      <c r="B156" s="8" t="s">
        <v>260</v>
      </c>
      <c r="C156" s="32" t="s">
        <v>106</v>
      </c>
      <c r="D156" s="33" t="str">
        <f>VLOOKUP(B156,'Player Data'!A1:D734,4,FALSE)</f>
        <v>LW</v>
      </c>
      <c r="E156" s="47">
        <f>VLOOKUP(B156,LW!A1:C130,3,FALSE)</f>
        <v>35</v>
      </c>
      <c r="F156" s="35" t="str">
        <f>VLOOKUP(B156,'Player Data'!A1:B734,2,FALSE)</f>
        <v>SEA</v>
      </c>
      <c r="G156" s="9">
        <f>VLOOKUP(B156,'Player Data'!A1:D734,3,FALSE)</f>
        <v>28</v>
      </c>
      <c r="H156" s="36">
        <f>IFERROR(VLOOKUP(B156,ADP!A1:G728,7,FALSE)/1000000,VLOOKUP(B156,ADP!A1:G728,7,FALSE))</f>
        <v>5.5</v>
      </c>
      <c r="I156" s="37">
        <f>IF(Settings!$E$15="POINTS",((R156*Q156)*Settings!$B$12)+(S156*Settings!$B$2)+(T156*Settings!$B$3)+(U156*Settings!$B$4)+(V156*Settings!$B$5)+(X156*Settings!$B$9)+(AA156*Settings!$B$6)+(W156*Settings!$B$8)+(AB156*Settings!$B$7)+(AC156*Settings!$B$14)+(AD156*Settings!$B$15)+(AE156*Settings!$B$16)+(AF156*Settings!$B$17)+(AG156*Settings!$B$18)+(Y156*Settings!$B$10)+(Z156*Settings!$B$11),VLOOKUP(B156,'Standard Deviations'!A1:C728,3,FALSE))</f>
        <v>306.21134459035306</v>
      </c>
      <c r="J156" s="38">
        <f>IF(D156="G",I156/AJ156,I156/Q156)</f>
        <v>4.0580253255254251</v>
      </c>
      <c r="K156" s="37">
        <f>IF(Settings!$E$18="C/LW/RW",VLOOKUP(B156,LW!A1:F130,6,FALSE),VLOOKUP(B156,F!A1:F430,6,FALSE))</f>
        <v>-57.8292602672974</v>
      </c>
      <c r="L156" s="37">
        <f>IFERROR(K156/H156,"N/A")</f>
        <v>-10.514410957690437</v>
      </c>
      <c r="M156" s="39">
        <f>IF(Settings!$E$9="YAHOO",VLOOKUP(B156,ADP!A1:E728,2,FALSE),IF(Settings!$E$9="ESPN",VLOOKUP(B156,ADP!A1:E728,3,FALSE),IF(Settings!$E$9="FANTRAX",VLOOKUP(B156,ADP!A1:E728,4,FALSE),VLOOKUP(B156,ADP!A1:E728,5,FALSE))))</f>
        <v>163.1</v>
      </c>
      <c r="N156" s="39">
        <f>IFERROR(M156-A156,"N/A")</f>
        <v>8.0999999999999943</v>
      </c>
      <c r="O156" s="39"/>
      <c r="P156" s="40" t="str">
        <f>IF(Settings!$E$27="ON",VLOOKUP(B156,ADP!A1:H728,8,FALSE)," ")</f>
        <v xml:space="preserve"> </v>
      </c>
      <c r="Q156" s="41">
        <f>IF(Settings!$E$12="YES",VLOOKUP(B156,'Player Data'!A1:E734,5,FALSE),82)</f>
        <v>75.458214285714305</v>
      </c>
      <c r="R156" s="39">
        <f>VLOOKUP(B156,'Player Data'!$A1:$AE734,6,FALSE)</f>
        <v>16.657573739984102</v>
      </c>
      <c r="S156" s="41">
        <f>VLOOKUP(B156,'Player Data'!$A1:$AE734,7,FALSE)*$Q156*IFERROR((VLOOKUP(P156,Settings!$E$28:$F$33,2,FALSE)+1),1)</f>
        <v>22.190345008290887</v>
      </c>
      <c r="T156" s="41">
        <f>VLOOKUP(B156,'Player Data'!$A1:$AE734,8,FALSE)*$Q156*IFERROR((VLOOKUP(P156,Settings!$E$28:$F$33,2,FALSE)+1),1)</f>
        <v>38.745979385545368</v>
      </c>
      <c r="U156" s="41">
        <f>SUM(S156:T156)</f>
        <v>60.936324393836259</v>
      </c>
      <c r="V156" s="41">
        <f>VLOOKUP(B156,'Player Data'!$A1:$AE734,10,FALSE)*$Q156*IFERROR(((VLOOKUP(P156,Settings!$E$28:$F$33,2,FALSE)/2)+1),1)</f>
        <v>160.71106169095879</v>
      </c>
      <c r="W156" s="41">
        <f>VLOOKUP(B156,'Player Data'!$A1:$AE734,11,FALSE)*$Q156*IFERROR((VLOOKUP(P156,Settings!$E$28:$F$33,2,FALSE)+1),1)</f>
        <v>6.1572676044382337</v>
      </c>
      <c r="X156" s="41">
        <f>VLOOKUP(B156,'Player Data'!$A1:$AE734,12,FALSE)*$Q156*IFERROR((VLOOKUP(P156,Settings!$E$28:$F$33,2,FALSE)+1),1)</f>
        <v>18.78571392252849</v>
      </c>
      <c r="Y156" s="41">
        <f>VLOOKUP(B156,'Player Data'!$A1:$AE734,13,FALSE)*$Q156</f>
        <v>1.6244421991526E-3</v>
      </c>
      <c r="Z156" s="41">
        <f>VLOOKUP(B156,'Player Data'!$A1:$AE734,14,FALSE)*$Q156</f>
        <v>2.9832065101817271E-3</v>
      </c>
      <c r="AA156" s="41">
        <f>VLOOKUP(B156,'Player Data'!$A1:$AE734,15,FALSE)*$Q156</f>
        <v>27.347231526437955</v>
      </c>
      <c r="AB156" s="41">
        <f>VLOOKUP(B156,'Player Data'!$A1:$AE734,16,FALSE)*$Q156</f>
        <v>39.76481486023507</v>
      </c>
      <c r="AC156" s="41">
        <f>VLOOKUP(B156,'Player Data'!$A1:$AE734,17,FALSE)*$Q156*IFERROR((VLOOKUP(P156,Settings!$E$28:$F$33,2,FALSE)+1),1)</f>
        <v>-0.66179620736568279</v>
      </c>
      <c r="AD156" s="41">
        <f>VLOOKUP(B156,'Player Data'!$A1:$AE734,18,FALSE)*$Q156</f>
        <v>21.24741701088864</v>
      </c>
      <c r="AE156" s="41">
        <f>VLOOKUP(B156,'Player Data'!$A1:$AE734,19,FALSE)*$Q156*IFERROR((VLOOKUP(P156,Settings!$E$28:$F$33,2,FALSE)+1),1)</f>
        <v>3.1190965558509918</v>
      </c>
      <c r="AF156" s="41">
        <f>VLOOKUP(B156,'Player Data'!$A1:$AE734,20,FALSE)*$Q156</f>
        <v>3.1238208616089973</v>
      </c>
      <c r="AG156" s="41">
        <f>VLOOKUP(B156,'Player Data'!$A1:$AE734,21,FALSE)*$Q156</f>
        <v>7.9348753507817493</v>
      </c>
      <c r="AH156" s="42">
        <f>VLOOKUP(B156,'Player Data'!$A1:$AE734,22,FALSE)</f>
        <v>0.28247641508669902</v>
      </c>
      <c r="AI156" s="39"/>
      <c r="AJ156" s="43"/>
      <c r="AK156" s="41"/>
      <c r="AL156" s="41"/>
      <c r="AM156" s="41"/>
      <c r="AN156" s="41"/>
      <c r="AO156" s="41"/>
      <c r="AP156" s="41"/>
      <c r="AQ156" s="44"/>
      <c r="AR156" s="45"/>
      <c r="AS156" s="39"/>
    </row>
    <row r="157" spans="1:45" ht="21.25" customHeight="1" x14ac:dyDescent="0.15">
      <c r="A157" s="31">
        <f>RANK(K157,K$2:K$727)</f>
        <v>156</v>
      </c>
      <c r="B157" s="8" t="s">
        <v>261</v>
      </c>
      <c r="C157" s="32" t="s">
        <v>106</v>
      </c>
      <c r="D157" s="33" t="str">
        <f>VLOOKUP(B157,'Player Data'!A1:D734,4,FALSE)</f>
        <v>D</v>
      </c>
      <c r="E157" s="49">
        <f>VLOOKUP(B157,D!A1:C227,3,FALSE)</f>
        <v>36</v>
      </c>
      <c r="F157" s="35" t="str">
        <f>VLOOKUP(B157,'Player Data'!A1:B734,2,FALSE)</f>
        <v>STL</v>
      </c>
      <c r="G157" s="9">
        <f>VLOOKUP(B157,'Player Data'!A1:D734,3,FALSE)</f>
        <v>32</v>
      </c>
      <c r="H157" s="36">
        <f>IFERROR(VLOOKUP(B157,ADP!A1:G728,7,FALSE)/1000000,VLOOKUP(B157,ADP!A1:G728,7,FALSE))</f>
        <v>6.5</v>
      </c>
      <c r="I157" s="37">
        <f>IF(Settings!$E$15="POINTS",((R157*Q157)*Settings!$B$12)+(S157*Settings!$B$2)+(T157*Settings!$B$3)+(U157*Settings!$B$4)+(V157*Settings!$B$5)+(X157*Settings!$B$9)+(AA157*Settings!$B$6)+(W157*Settings!$B$8)+(AB157*Settings!$B$7)+(AC157*Settings!$B$14)+(AD157*Settings!$B$15)+(AE157*Settings!$B$16)+(AF157*Settings!$B$17)+(AG157*Settings!$B$18)+(U157*Settings!$B$13)+(Y157*Settings!$B$10)+(Z157*Settings!$B$11),VLOOKUP(B157,'Standard Deviations'!A1:C728,3,FALSE))</f>
        <v>253.66680196716467</v>
      </c>
      <c r="J157" s="38">
        <f>IF(D157="G",I157/AJ157,I157/Q157)</f>
        <v>3.3276505570925443</v>
      </c>
      <c r="K157" s="37">
        <f>VLOOKUP(B157,D!A1:F227,6,FALSE)</f>
        <v>-57.898679660762781</v>
      </c>
      <c r="L157" s="37">
        <f>IFERROR(K157/H157,"N/A")</f>
        <v>-8.9074891785788886</v>
      </c>
      <c r="M157" s="39">
        <f>IF(Settings!$E$9="YAHOO",VLOOKUP(B157,ADP!A1:E728,2,FALSE),IF(Settings!$E$9="ESPN",VLOOKUP(B157,ADP!A1:E728,3,FALSE),IF(Settings!$E$9="FANTRAX",VLOOKUP(B157,ADP!A1:E728,4,FALSE),VLOOKUP(B157,ADP!A1:E728,5,FALSE))))</f>
        <v>160.80000000000001</v>
      </c>
      <c r="N157" s="39">
        <f>IFERROR(M157-A157,"N/A")</f>
        <v>4.8000000000000114</v>
      </c>
      <c r="O157" s="39"/>
      <c r="P157" s="40" t="str">
        <f>IF(Settings!$E$27="ON",VLOOKUP(B157,ADP!A1:H728,8,FALSE)," ")</f>
        <v xml:space="preserve"> </v>
      </c>
      <c r="Q157" s="41">
        <f>IF(Settings!$E$12="YES",VLOOKUP(B157,'Player Data'!A1:E734,5,FALSE),82)</f>
        <v>76.23</v>
      </c>
      <c r="R157" s="39">
        <f>VLOOKUP(B157,'Player Data'!$A1:$AE734,6,FALSE)</f>
        <v>19.467656438497599</v>
      </c>
      <c r="S157" s="41">
        <f>VLOOKUP(B157,'Player Data'!$A1:$AE734,7,FALSE)*$Q157*IFERROR((VLOOKUP(P157,Settings!$E$28:$F$33,2,FALSE)+1),1)</f>
        <v>7.5308967922622054</v>
      </c>
      <c r="T157" s="41">
        <f>VLOOKUP(B157,'Player Data'!$A1:$AE734,8,FALSE)*$Q157*IFERROR((VLOOKUP(P157,Settings!$E$28:$F$33,2,FALSE)+1),1)</f>
        <v>34.004381647266953</v>
      </c>
      <c r="U157" s="41">
        <f>SUM(S157:T157)</f>
        <v>41.535278439529158</v>
      </c>
      <c r="V157" s="41">
        <f>VLOOKUP(B157,'Player Data'!$A1:$AE734,10,FALSE)*$Q157*IFERROR(((VLOOKUP(P157,Settings!$E$28:$F$33,2,FALSE)/2)+1),1)</f>
        <v>146.36101950768327</v>
      </c>
      <c r="W157" s="41">
        <f>VLOOKUP(B157,'Player Data'!$A1:$AE734,11,FALSE)*$Q157*IFERROR((VLOOKUP(P157,Settings!$E$28:$F$33,2,FALSE)+1),1)</f>
        <v>3.404905732941327</v>
      </c>
      <c r="X157" s="41">
        <f>VLOOKUP(B157,'Player Data'!$A1:$AE734,12,FALSE)*$Q157*IFERROR((VLOOKUP(P157,Settings!$E$28:$F$33,2,FALSE)+1),1)</f>
        <v>18.110759536504016</v>
      </c>
      <c r="Y157" s="41">
        <f>VLOOKUP(B157,'Player Data'!$A1:$AE734,13,FALSE)*$Q157</f>
        <v>3.2070156328268366E-3</v>
      </c>
      <c r="Z157" s="41">
        <f>VLOOKUP(B157,'Player Data'!$A1:$AE734,14,FALSE)*$Q157</f>
        <v>1.2179507317552438E-2</v>
      </c>
      <c r="AA157" s="41">
        <f>VLOOKUP(B157,'Player Data'!$A1:$AE734,15,FALSE)*$Q157</f>
        <v>98.172894035462051</v>
      </c>
      <c r="AB157" s="41">
        <f>VLOOKUP(B157,'Player Data'!$A1:$AE734,16,FALSE)*$Q157</f>
        <v>67.587811937814848</v>
      </c>
      <c r="AC157" s="41">
        <f>VLOOKUP(B157,'Player Data'!$A1:$AE734,17,FALSE)*$Q157*IFERROR((VLOOKUP(P157,Settings!$E$28:$F$33,2,FALSE)+1),1)</f>
        <v>-4.0060145192467447</v>
      </c>
      <c r="AD157" s="41">
        <f>VLOOKUP(B157,'Player Data'!$A1:$AE734,18,FALSE)*$Q157</f>
        <v>40.917309956580084</v>
      </c>
      <c r="AE157" s="41">
        <f>VLOOKUP(B157,'Player Data'!$A1:$AE734,19,FALSE)*$Q157*IFERROR((VLOOKUP(P157,Settings!$E$28:$F$33,2,FALSE)+1),1)</f>
        <v>0.86660086576574447</v>
      </c>
      <c r="AF157" s="41">
        <f>VLOOKUP(B157,'Player Data'!$A1:$AE734,20,FALSE)*$Q157</f>
        <v>0</v>
      </c>
      <c r="AG157" s="41">
        <f>VLOOKUP(B157,'Player Data'!$A1:$AE734,21,FALSE)*$Q157</f>
        <v>0</v>
      </c>
      <c r="AH157" s="42">
        <f>VLOOKUP(B157,'Player Data'!$A1:$AE734,22,FALSE)</f>
        <v>0</v>
      </c>
      <c r="AI157" s="39"/>
      <c r="AJ157" s="43"/>
      <c r="AK157" s="41"/>
      <c r="AL157" s="41"/>
      <c r="AM157" s="41"/>
      <c r="AN157" s="41"/>
      <c r="AO157" s="41"/>
      <c r="AP157" s="41"/>
      <c r="AQ157" s="44"/>
      <c r="AR157" s="45"/>
      <c r="AS157" s="39"/>
    </row>
    <row r="158" spans="1:45" ht="21.25" customHeight="1" x14ac:dyDescent="0.15">
      <c r="A158" s="31">
        <f>RANK(K158,K$2:K$727)</f>
        <v>157</v>
      </c>
      <c r="B158" s="8" t="s">
        <v>262</v>
      </c>
      <c r="C158" s="32" t="s">
        <v>106</v>
      </c>
      <c r="D158" s="33" t="str">
        <f>VLOOKUP(B158,'Player Data'!A1:D734,4,FALSE)</f>
        <v>C</v>
      </c>
      <c r="E158" s="34">
        <f>VLOOKUP(B158,'C'!A1:C211,3,FALSE)</f>
        <v>44</v>
      </c>
      <c r="F158" s="35" t="str">
        <f>VLOOKUP(B158,'Player Data'!A1:B734,2,FALSE)</f>
        <v>SJS</v>
      </c>
      <c r="G158" s="9">
        <f>VLOOKUP(B158,'Player Data'!A1:D734,3,FALSE)</f>
        <v>34</v>
      </c>
      <c r="H158" s="36">
        <f>IFERROR(VLOOKUP(B158,ADP!A1:G728,7,FALSE)/1000000,VLOOKUP(B158,ADP!A1:G728,7,FALSE))</f>
        <v>8</v>
      </c>
      <c r="I158" s="37">
        <f>IF(Settings!$E$15="POINTS",((R158*Q158)*Settings!$B$12)+(S158*Settings!$B$2)+(T158*Settings!$B$3)+(U158*Settings!$B$4)+(V158*Settings!$B$5)+(X158*Settings!$B$9)+(AA158*Settings!$B$6)+(W158*Settings!$B$8)+(AB158*Settings!$B$7)+(AC158*Settings!$B$14)+(AD158*Settings!$B$15)+(AE158*Settings!$B$16)+(AF158*Settings!$B$17)+(AG158*Settings!$B$18)+(Y158*Settings!$B$10)+(Z158*Settings!$B$11),VLOOKUP(B158,'Standard Deviations'!A1:C728,3,FALSE))</f>
        <v>331.93821454217948</v>
      </c>
      <c r="J158" s="38">
        <f>IF(D158="G",I158/AJ158,I158/Q158)</f>
        <v>4.1183401307962715</v>
      </c>
      <c r="K158" s="37">
        <f>IF(Settings!$E$18="C/LW/RW",VLOOKUP(B158,'C'!A1:F211,6,FALSE),VLOOKUP(B158,F!A1:F430,6,FALSE))</f>
        <v>-61.390591224030175</v>
      </c>
      <c r="L158" s="37">
        <f>IFERROR(K158/H158,"N/A")</f>
        <v>-7.6738239030037718</v>
      </c>
      <c r="M158" s="39">
        <f>IF(Settings!$E$9="YAHOO",VLOOKUP(B158,ADP!A1:E728,2,FALSE),IF(Settings!$E$9="ESPN",VLOOKUP(B158,ADP!A1:E728,3,FALSE),IF(Settings!$E$9="FANTRAX",VLOOKUP(B158,ADP!A1:E728,4,FALSE),VLOOKUP(B158,ADP!A1:E728,5,FALSE))))</f>
        <v>166.9</v>
      </c>
      <c r="N158" s="39">
        <f>IFERROR(M158-A158,"N/A")</f>
        <v>9.9000000000000057</v>
      </c>
      <c r="O158" s="39"/>
      <c r="P158" s="40" t="str">
        <f>IF(Settings!$E$27="ON",VLOOKUP(B158,ADP!A1:H728,8,FALSE)," ")</f>
        <v xml:space="preserve"> </v>
      </c>
      <c r="Q158" s="41">
        <f>IF(Settings!$E$12="YES",VLOOKUP(B158,'Player Data'!A1:E734,5,FALSE),82)</f>
        <v>80.599999999999994</v>
      </c>
      <c r="R158" s="39">
        <f>VLOOKUP(B158,'Player Data'!$A1:$AE734,6,FALSE)</f>
        <v>19.238690600038101</v>
      </c>
      <c r="S158" s="41">
        <f>VLOOKUP(B158,'Player Data'!$A1:$AE734,7,FALSE)*$Q158*IFERROR((VLOOKUP(P158,Settings!$E$28:$F$33,2,FALSE)+1),1)</f>
        <v>23.571635389533029</v>
      </c>
      <c r="T158" s="41">
        <f>VLOOKUP(B158,'Player Data'!$A1:$AE734,8,FALSE)*$Q158*IFERROR((VLOOKUP(P158,Settings!$E$28:$F$33,2,FALSE)+1),1)</f>
        <v>35.380557832519621</v>
      </c>
      <c r="U158" s="41">
        <f>SUM(S158:T158)</f>
        <v>58.952193222052649</v>
      </c>
      <c r="V158" s="41">
        <f>VLOOKUP(B158,'Player Data'!$A1:$AE734,10,FALSE)*$Q158*IFERROR(((VLOOKUP(P158,Settings!$E$28:$F$33,2,FALSE)/2)+1),1)</f>
        <v>200.32181164183683</v>
      </c>
      <c r="W158" s="41">
        <f>VLOOKUP(B158,'Player Data'!$A1:$AE734,11,FALSE)*$Q158*IFERROR((VLOOKUP(P158,Settings!$E$28:$F$33,2,FALSE)+1),1)</f>
        <v>5.4426835907461699</v>
      </c>
      <c r="X158" s="41">
        <f>VLOOKUP(B158,'Player Data'!$A1:$AE734,12,FALSE)*$Q158*IFERROR((VLOOKUP(P158,Settings!$E$28:$F$33,2,FALSE)+1),1)</f>
        <v>19.449111300688465</v>
      </c>
      <c r="Y158" s="41">
        <f>VLOOKUP(B158,'Player Data'!$A1:$AE734,13,FALSE)*$Q158</f>
        <v>1.2686587739159227</v>
      </c>
      <c r="Z158" s="41">
        <f>VLOOKUP(B158,'Player Data'!$A1:$AE734,14,FALSE)*$Q158</f>
        <v>1.6584799752502981</v>
      </c>
      <c r="AA158" s="41">
        <f>VLOOKUP(B158,'Player Data'!$A1:$AE734,15,FALSE)*$Q158</f>
        <v>63.527732516128403</v>
      </c>
      <c r="AB158" s="41">
        <f>VLOOKUP(B158,'Player Data'!$A1:$AE734,16,FALSE)*$Q158</f>
        <v>111.01900252031777</v>
      </c>
      <c r="AC158" s="41">
        <f>VLOOKUP(B158,'Player Data'!$A1:$AE734,17,FALSE)*$Q158*IFERROR((VLOOKUP(P158,Settings!$E$28:$F$33,2,FALSE)+1),1)</f>
        <v>0.3772158447490927</v>
      </c>
      <c r="AD158" s="41">
        <f>VLOOKUP(B158,'Player Data'!$A1:$AE734,18,FALSE)*$Q158</f>
        <v>24.915648805467466</v>
      </c>
      <c r="AE158" s="41">
        <f>VLOOKUP(B158,'Player Data'!$A1:$AE734,19,FALSE)*$Q158*IFERROR((VLOOKUP(P158,Settings!$E$28:$F$33,2,FALSE)+1),1)</f>
        <v>2.862109068511332</v>
      </c>
      <c r="AF158" s="41">
        <f>VLOOKUP(B158,'Player Data'!$A1:$AE734,20,FALSE)*$Q158</f>
        <v>646.33285067005181</v>
      </c>
      <c r="AG158" s="41">
        <f>VLOOKUP(B158,'Player Data'!$A1:$AE734,21,FALSE)*$Q158</f>
        <v>693.75049244546278</v>
      </c>
      <c r="AH158" s="42">
        <f>VLOOKUP(B158,'Player Data'!$A1:$AE734,22,FALSE)</f>
        <v>0.48230795046479302</v>
      </c>
      <c r="AI158" s="39"/>
      <c r="AJ158" s="43"/>
      <c r="AK158" s="41"/>
      <c r="AL158" s="41"/>
      <c r="AM158" s="41"/>
      <c r="AN158" s="41"/>
      <c r="AO158" s="41"/>
      <c r="AP158" s="41"/>
      <c r="AQ158" s="44"/>
      <c r="AR158" s="45"/>
      <c r="AS158" s="39"/>
    </row>
    <row r="159" spans="1:45" ht="21.25" customHeight="1" x14ac:dyDescent="0.15">
      <c r="A159" s="31">
        <f>RANK(K159,K$2:K$727)</f>
        <v>158</v>
      </c>
      <c r="B159" s="8" t="s">
        <v>263</v>
      </c>
      <c r="C159" s="32" t="s">
        <v>106</v>
      </c>
      <c r="D159" s="33" t="str">
        <f>VLOOKUP(B159,'Player Data'!A1:D734,4,FALSE)</f>
        <v>RW</v>
      </c>
      <c r="E159" s="46">
        <f>VLOOKUP(B159,RW!A1:F97,3,FALSE)</f>
        <v>25</v>
      </c>
      <c r="F159" s="35" t="str">
        <f>VLOOKUP(B159,'Player Data'!A1:B734,2,FALSE)</f>
        <v>OTT</v>
      </c>
      <c r="G159" s="9">
        <f>VLOOKUP(B159,'Player Data'!A1:D734,3,FALSE)</f>
        <v>31</v>
      </c>
      <c r="H159" s="36">
        <f>IFERROR(VLOOKUP(B159,ADP!A1:G728,7,FALSE)/1000000,VLOOKUP(B159,ADP!A1:G728,7,FALSE))</f>
        <v>5</v>
      </c>
      <c r="I159" s="37">
        <f>IF(Settings!$E$15="POINTS",((R159*Q159)*Settings!$B$12)+(S159*Settings!$B$2)+(T159*Settings!$B$3)+(U159*Settings!$B$4)+(V159*Settings!$B$5)+(X159*Settings!$B$9)+(AA159*Settings!$B$6)+(W159*Settings!$B$8)+(AB159*Settings!$B$7)+(AC159*Settings!$B$14)+(AD159*Settings!$B$15)+(AE159*Settings!$B$16)+(AF159*Settings!$B$17)+(AG159*Settings!$B$18)+(Y159*Settings!$B$10)+(Z159*Settings!$B$11),VLOOKUP(B159,'Standard Deviations'!A1:C728,3,FALSE))</f>
        <v>288.37566436113985</v>
      </c>
      <c r="J159" s="38">
        <f>IF(D159="G",I159/AJ159,I159/Q159)</f>
        <v>3.8930603458458295</v>
      </c>
      <c r="K159" s="37">
        <f>IF(Settings!$E$18="C/LW/RW",VLOOKUP(B159,RW!A1:F97,6,FALSE),VLOOKUP(B159,F!A1:F430,6,FALSE))</f>
        <v>-61.895876186749717</v>
      </c>
      <c r="L159" s="37">
        <f>IFERROR(K159/H159,"N/A")</f>
        <v>-12.379175237349944</v>
      </c>
      <c r="M159" s="39">
        <f>IF(Settings!$E$9="YAHOO",VLOOKUP(B159,ADP!A1:E728,2,FALSE),IF(Settings!$E$9="ESPN",VLOOKUP(B159,ADP!A1:E728,3,FALSE),IF(Settings!$E$9="FANTRAX",VLOOKUP(B159,ADP!A1:E728,4,FALSE),VLOOKUP(B159,ADP!A1:E728,5,FALSE))))</f>
        <v>129.69999999999999</v>
      </c>
      <c r="N159" s="39">
        <f>IFERROR(M159-A159,"N/A")</f>
        <v>-28.300000000000011</v>
      </c>
      <c r="O159" s="39"/>
      <c r="P159" s="40" t="str">
        <f>IF(Settings!$E$27="ON",VLOOKUP(B159,ADP!A1:H728,8,FALSE)," ")</f>
        <v xml:space="preserve"> </v>
      </c>
      <c r="Q159" s="41">
        <f>IF(Settings!$E$12="YES",VLOOKUP(B159,'Player Data'!A1:E734,5,FALSE),82)</f>
        <v>74.074285714285693</v>
      </c>
      <c r="R159" s="39">
        <f>VLOOKUP(B159,'Player Data'!$A1:$AE734,6,FALSE)</f>
        <v>16.141911793723299</v>
      </c>
      <c r="S159" s="41">
        <f>VLOOKUP(B159,'Player Data'!$A1:$AE734,7,FALSE)*$Q159*IFERROR((VLOOKUP(P159,Settings!$E$28:$F$33,2,FALSE)+1),1)</f>
        <v>21.285629983153083</v>
      </c>
      <c r="T159" s="41">
        <f>VLOOKUP(B159,'Player Data'!$A1:$AE734,8,FALSE)*$Q159*IFERROR((VLOOKUP(P159,Settings!$E$28:$F$33,2,FALSE)+1),1)</f>
        <v>33.868507583178406</v>
      </c>
      <c r="U159" s="41">
        <f>SUM(S159:T159)</f>
        <v>55.154137566331485</v>
      </c>
      <c r="V159" s="41">
        <f>VLOOKUP(B159,'Player Data'!$A1:$AE734,10,FALSE)*$Q159*IFERROR(((VLOOKUP(P159,Settings!$E$28:$F$33,2,FALSE)/2)+1),1)</f>
        <v>178.99547892474988</v>
      </c>
      <c r="W159" s="41">
        <f>VLOOKUP(B159,'Player Data'!$A1:$AE734,11,FALSE)*$Q159*IFERROR((VLOOKUP(P159,Settings!$E$28:$F$33,2,FALSE)+1),1)</f>
        <v>3.2608265351197865</v>
      </c>
      <c r="X159" s="41">
        <f>VLOOKUP(B159,'Player Data'!$A1:$AE734,12,FALSE)*$Q159*IFERROR((VLOOKUP(P159,Settings!$E$28:$F$33,2,FALSE)+1),1)</f>
        <v>12.83568423461341</v>
      </c>
      <c r="Y159" s="41">
        <f>VLOOKUP(B159,'Player Data'!$A1:$AE734,13,FALSE)*$Q159</f>
        <v>8.4054455775113592E-3</v>
      </c>
      <c r="Z159" s="41">
        <f>VLOOKUP(B159,'Player Data'!$A1:$AE734,14,FALSE)*$Q159</f>
        <v>1.5537010603962401E-2</v>
      </c>
      <c r="AA159" s="41">
        <f>VLOOKUP(B159,'Player Data'!$A1:$AE734,15,FALSE)*$Q159</f>
        <v>38.565348546678486</v>
      </c>
      <c r="AB159" s="41">
        <f>VLOOKUP(B159,'Player Data'!$A1:$AE734,16,FALSE)*$Q159</f>
        <v>77.742134051899455</v>
      </c>
      <c r="AC159" s="41">
        <f>VLOOKUP(B159,'Player Data'!$A1:$AE734,17,FALSE)*$Q159*IFERROR((VLOOKUP(P159,Settings!$E$28:$F$33,2,FALSE)+1),1)</f>
        <v>0.22310004220948482</v>
      </c>
      <c r="AD159" s="41">
        <f>VLOOKUP(B159,'Player Data'!$A1:$AE734,18,FALSE)*$Q159</f>
        <v>15.781903896816932</v>
      </c>
      <c r="AE159" s="41">
        <f>VLOOKUP(B159,'Player Data'!$A1:$AE734,19,FALSE)*$Q159*IFERROR((VLOOKUP(P159,Settings!$E$28:$F$33,2,FALSE)+1),1)</f>
        <v>2.956594005585456</v>
      </c>
      <c r="AF159" s="41">
        <f>VLOOKUP(B159,'Player Data'!$A1:$AE734,20,FALSE)*$Q159</f>
        <v>0.52762781045153362</v>
      </c>
      <c r="AG159" s="41">
        <f>VLOOKUP(B159,'Player Data'!$A1:$AE734,21,FALSE)*$Q159</f>
        <v>2.8599642636360456</v>
      </c>
      <c r="AH159" s="42">
        <f>VLOOKUP(B159,'Player Data'!$A1:$AE734,22,FALSE)</f>
        <v>0.155753053765674</v>
      </c>
      <c r="AI159" s="39"/>
      <c r="AJ159" s="43"/>
      <c r="AK159" s="41"/>
      <c r="AL159" s="41"/>
      <c r="AM159" s="41"/>
      <c r="AN159" s="41"/>
      <c r="AO159" s="41"/>
      <c r="AP159" s="41"/>
      <c r="AQ159" s="44"/>
      <c r="AR159" s="45"/>
      <c r="AS159" s="43"/>
    </row>
    <row r="160" spans="1:45" ht="21.25" customHeight="1" x14ac:dyDescent="0.15">
      <c r="A160" s="31">
        <f>RANK(K160,K$2:K$727)</f>
        <v>159</v>
      </c>
      <c r="B160" s="8" t="s">
        <v>264</v>
      </c>
      <c r="C160" s="32" t="s">
        <v>106</v>
      </c>
      <c r="D160" s="33" t="str">
        <f>VLOOKUP(B160,'Player Data'!A1:D734,4,FALSE)</f>
        <v>D</v>
      </c>
      <c r="E160" s="49">
        <f>VLOOKUP(B160,D!A1:C227,3,FALSE)</f>
        <v>37</v>
      </c>
      <c r="F160" s="35" t="str">
        <f>VLOOKUP(B160,'Player Data'!A1:B734,2,FALSE)</f>
        <v>FLA</v>
      </c>
      <c r="G160" s="9">
        <f>VLOOKUP(B160,'Player Data'!A1:D734,3,FALSE)</f>
        <v>27</v>
      </c>
      <c r="H160" s="36">
        <f>IFERROR(VLOOKUP(B160,ADP!A1:G728,7,FALSE)/1000000,VLOOKUP(B160,ADP!A1:G728,7,FALSE))</f>
        <v>2.6669999999999998</v>
      </c>
      <c r="I160" s="37">
        <f>IF(Settings!$E$15="POINTS",((R160*Q160)*Settings!$B$12)+(S160*Settings!$B$2)+(T160*Settings!$B$3)+(U160*Settings!$B$4)+(V160*Settings!$B$5)+(X160*Settings!$B$9)+(AA160*Settings!$B$6)+(W160*Settings!$B$8)+(AB160*Settings!$B$7)+(AC160*Settings!$B$14)+(AD160*Settings!$B$15)+(AE160*Settings!$B$16)+(AF160*Settings!$B$17)+(AG160*Settings!$B$18)+(U160*Settings!$B$13)+(Y160*Settings!$B$10)+(Z160*Settings!$B$11),VLOOKUP(B160,'Standard Deviations'!A1:C728,3,FALSE))</f>
        <v>247.28471317516679</v>
      </c>
      <c r="J160" s="38">
        <f>IF(D160="G",I160/AJ160,I160/Q160)</f>
        <v>3.1455585246637807</v>
      </c>
      <c r="K160" s="37">
        <f>VLOOKUP(B160,D!A1:F227,6,FALSE)</f>
        <v>-64.280768452760668</v>
      </c>
      <c r="L160" s="37">
        <f>IFERROR(K160/H160,"N/A")</f>
        <v>-24.102275385362081</v>
      </c>
      <c r="M160" s="39">
        <f>IF(Settings!$E$9="YAHOO",VLOOKUP(B160,ADP!A1:E728,2,FALSE),IF(Settings!$E$9="ESPN",VLOOKUP(B160,ADP!A1:E728,3,FALSE),IF(Settings!$E$9="FANTRAX",VLOOKUP(B160,ADP!A1:E728,4,FALSE),VLOOKUP(B160,ADP!A1:E728,5,FALSE))))</f>
        <v>131</v>
      </c>
      <c r="N160" s="39">
        <f>IFERROR(M160-A160,"N/A")</f>
        <v>-28</v>
      </c>
      <c r="O160" s="39"/>
      <c r="P160" s="40" t="str">
        <f>IF(Settings!$E$27="ON",VLOOKUP(B160,ADP!A1:H728,8,FALSE)," ")</f>
        <v xml:space="preserve"> </v>
      </c>
      <c r="Q160" s="41">
        <f>IF(Settings!$E$12="YES",VLOOKUP(B160,'Player Data'!A1:E734,5,FALSE),82)</f>
        <v>78.613928571428602</v>
      </c>
      <c r="R160" s="39">
        <f>VLOOKUP(B160,'Player Data'!$A1:$AE734,6,FALSE)</f>
        <v>22.885238833841498</v>
      </c>
      <c r="S160" s="41">
        <f>VLOOKUP(B160,'Player Data'!$A1:$AE734,7,FALSE)*$Q160*IFERROR((VLOOKUP(P160,Settings!$E$28:$F$33,2,FALSE)+1),1)</f>
        <v>11.300345738916048</v>
      </c>
      <c r="T160" s="41">
        <f>VLOOKUP(B160,'Player Data'!$A1:$AE734,8,FALSE)*$Q160*IFERROR((VLOOKUP(P160,Settings!$E$28:$F$33,2,FALSE)+1),1)</f>
        <v>29.136461678046992</v>
      </c>
      <c r="U160" s="41">
        <f>SUM(S160:T160)</f>
        <v>40.436807416963042</v>
      </c>
      <c r="V160" s="41">
        <f>VLOOKUP(B160,'Player Data'!$A1:$AE734,10,FALSE)*$Q160*IFERROR(((VLOOKUP(P160,Settings!$E$28:$F$33,2,FALSE)/2)+1),1)</f>
        <v>187.95377056841593</v>
      </c>
      <c r="W160" s="41">
        <f>VLOOKUP(B160,'Player Data'!$A1:$AE734,11,FALSE)*$Q160*IFERROR((VLOOKUP(P160,Settings!$E$28:$F$33,2,FALSE)+1),1)</f>
        <v>0.88585442842144924</v>
      </c>
      <c r="X160" s="41">
        <f>VLOOKUP(B160,'Player Data'!$A1:$AE734,12,FALSE)*$Q160*IFERROR((VLOOKUP(P160,Settings!$E$28:$F$33,2,FALSE)+1),1)</f>
        <v>4.4820019428173881</v>
      </c>
      <c r="Y160" s="41">
        <f>VLOOKUP(B160,'Player Data'!$A1:$AE734,13,FALSE)*$Q160</f>
        <v>2.409041055195919E-2</v>
      </c>
      <c r="Z160" s="41">
        <f>VLOOKUP(B160,'Player Data'!$A1:$AE734,14,FALSE)*$Q160</f>
        <v>1.0860616229182303</v>
      </c>
      <c r="AA160" s="41">
        <f>VLOOKUP(B160,'Player Data'!$A1:$AE734,15,FALSE)*$Q160</f>
        <v>104.30639254299238</v>
      </c>
      <c r="AB160" s="41">
        <f>VLOOKUP(B160,'Player Data'!$A1:$AE734,16,FALSE)*$Q160</f>
        <v>67.909932450026645</v>
      </c>
      <c r="AC160" s="41">
        <f>VLOOKUP(B160,'Player Data'!$A1:$AE734,17,FALSE)*$Q160*IFERROR((VLOOKUP(P160,Settings!$E$28:$F$33,2,FALSE)+1),1)</f>
        <v>4.5630823817335822</v>
      </c>
      <c r="AD160" s="41">
        <f>VLOOKUP(B160,'Player Data'!$A1:$AE734,18,FALSE)*$Q160</f>
        <v>33.496976436476551</v>
      </c>
      <c r="AE160" s="41">
        <f>VLOOKUP(B160,'Player Data'!$A1:$AE734,19,FALSE)*$Q160*IFERROR((VLOOKUP(P160,Settings!$E$28:$F$33,2,FALSE)+1),1)</f>
        <v>1.6210603721413235</v>
      </c>
      <c r="AF160" s="41">
        <f>VLOOKUP(B160,'Player Data'!$A1:$AE734,20,FALSE)*$Q160</f>
        <v>0</v>
      </c>
      <c r="AG160" s="41">
        <f>VLOOKUP(B160,'Player Data'!$A1:$AE734,21,FALSE)*$Q160</f>
        <v>0</v>
      </c>
      <c r="AH160" s="42">
        <f>VLOOKUP(B160,'Player Data'!$A1:$AE734,22,FALSE)</f>
        <v>0</v>
      </c>
      <c r="AI160" s="39"/>
      <c r="AJ160" s="43"/>
      <c r="AK160" s="41"/>
      <c r="AL160" s="41"/>
      <c r="AM160" s="41"/>
      <c r="AN160" s="41"/>
      <c r="AO160" s="41"/>
      <c r="AP160" s="41"/>
      <c r="AQ160" s="44"/>
      <c r="AR160" s="45"/>
      <c r="AS160" s="39"/>
    </row>
    <row r="161" spans="1:45" ht="21.25" customHeight="1" x14ac:dyDescent="0.15">
      <c r="A161" s="31">
        <f>RANK(K161,K$2:K$727)</f>
        <v>160</v>
      </c>
      <c r="B161" s="8" t="s">
        <v>265</v>
      </c>
      <c r="C161" s="32" t="s">
        <v>106</v>
      </c>
      <c r="D161" s="33" t="str">
        <f>VLOOKUP(B161,'Player Data'!A1:D734,4,FALSE)</f>
        <v>RW</v>
      </c>
      <c r="E161" s="46">
        <f>VLOOKUP(B161,RW!A1:F97,3,FALSE)</f>
        <v>26</v>
      </c>
      <c r="F161" s="35" t="str">
        <f>VLOOKUP(B161,'Player Data'!A1:B734,2,FALSE)</f>
        <v>VAN</v>
      </c>
      <c r="G161" s="9">
        <f>VLOOKUP(B161,'Player Data'!A1:D734,3,FALSE)</f>
        <v>26</v>
      </c>
      <c r="H161" s="36">
        <f>IFERROR(VLOOKUP(B161,ADP!A1:G728,7,FALSE)/1000000,VLOOKUP(B161,ADP!A1:G728,7,FALSE))</f>
        <v>6.5</v>
      </c>
      <c r="I161" s="37">
        <f>IF(Settings!$E$15="POINTS",((R161*Q161)*Settings!$B$12)+(S161*Settings!$B$2)+(T161*Settings!$B$3)+(U161*Settings!$B$4)+(V161*Settings!$B$5)+(X161*Settings!$B$9)+(AA161*Settings!$B$6)+(W161*Settings!$B$8)+(AB161*Settings!$B$7)+(AC161*Settings!$B$14)+(AD161*Settings!$B$15)+(AE161*Settings!$B$16)+(AF161*Settings!$B$17)+(AG161*Settings!$B$18)+(Y161*Settings!$B$10)+(Z161*Settings!$B$11),VLOOKUP(B161,'Standard Deviations'!A1:C728,3,FALSE))</f>
        <v>284.1781115250115</v>
      </c>
      <c r="J161" s="38">
        <f>IF(D161="G",I161/AJ161,I161/Q161)</f>
        <v>3.5927571860679732</v>
      </c>
      <c r="K161" s="37">
        <f>IF(Settings!$E$18="C/LW/RW",VLOOKUP(B161,RW!A1:F97,6,FALSE),VLOOKUP(B161,F!A1:F430,6,FALSE))</f>
        <v>-66.09342902287807</v>
      </c>
      <c r="L161" s="37">
        <f>IFERROR(K161/H161,"N/A")</f>
        <v>-10.16821984967355</v>
      </c>
      <c r="M161" s="39">
        <f>IF(Settings!$E$9="YAHOO",VLOOKUP(B161,ADP!A1:E728,2,FALSE),IF(Settings!$E$9="ESPN",VLOOKUP(B161,ADP!A1:E728,3,FALSE),IF(Settings!$E$9="FANTRAX",VLOOKUP(B161,ADP!A1:E728,4,FALSE),VLOOKUP(B161,ADP!A1:E728,5,FALSE))))</f>
        <v>162.19999999999999</v>
      </c>
      <c r="N161" s="39">
        <f>IFERROR(M161-A161,"N/A")</f>
        <v>2.1999999999999886</v>
      </c>
      <c r="O161" s="39"/>
      <c r="P161" s="40" t="str">
        <f>IF(Settings!$E$27="ON",VLOOKUP(B161,ADP!A1:H728,8,FALSE)," ")</f>
        <v xml:space="preserve"> </v>
      </c>
      <c r="Q161" s="41">
        <f>IF(Settings!$E$12="YES",VLOOKUP(B161,'Player Data'!A1:E734,5,FALSE),82)</f>
        <v>79.097499999999997</v>
      </c>
      <c r="R161" s="39">
        <f>VLOOKUP(B161,'Player Data'!$A1:$AE734,6,FALSE)</f>
        <v>16.81009904035</v>
      </c>
      <c r="S161" s="41">
        <f>VLOOKUP(B161,'Player Data'!$A1:$AE734,7,FALSE)*$Q161*IFERROR((VLOOKUP(P161,Settings!$E$28:$F$33,2,FALSE)+1),1)</f>
        <v>21.030834178414878</v>
      </c>
      <c r="T161" s="41">
        <f>VLOOKUP(B161,'Player Data'!$A1:$AE734,8,FALSE)*$Q161*IFERROR((VLOOKUP(P161,Settings!$E$28:$F$33,2,FALSE)+1),1)</f>
        <v>32.174815622549922</v>
      </c>
      <c r="U161" s="41">
        <f>SUM(S161:T161)</f>
        <v>53.2056498009648</v>
      </c>
      <c r="V161" s="41">
        <f>VLOOKUP(B161,'Player Data'!$A1:$AE734,10,FALSE)*$Q161*IFERROR(((VLOOKUP(P161,Settings!$E$28:$F$33,2,FALSE)/2)+1),1)</f>
        <v>181.81884639372862</v>
      </c>
      <c r="W161" s="41">
        <f>VLOOKUP(B161,'Player Data'!$A1:$AE734,11,FALSE)*$Q161*IFERROR((VLOOKUP(P161,Settings!$E$28:$F$33,2,FALSE)+1),1)</f>
        <v>6.7367931014026885</v>
      </c>
      <c r="X161" s="41">
        <f>VLOOKUP(B161,'Player Data'!$A1:$AE734,12,FALSE)*$Q161*IFERROR((VLOOKUP(P161,Settings!$E$28:$F$33,2,FALSE)+1),1)</f>
        <v>13.615662905513336</v>
      </c>
      <c r="Y161" s="41">
        <f>VLOOKUP(B161,'Player Data'!$A1:$AE734,13,FALSE)*$Q161</f>
        <v>4.4629111312011133E-3</v>
      </c>
      <c r="Z161" s="41">
        <f>VLOOKUP(B161,'Player Data'!$A1:$AE734,14,FALSE)*$Q161</f>
        <v>8.1563665198389097E-3</v>
      </c>
      <c r="AA161" s="41">
        <f>VLOOKUP(B161,'Player Data'!$A1:$AE734,15,FALSE)*$Q161</f>
        <v>32.020501905932136</v>
      </c>
      <c r="AB161" s="41">
        <f>VLOOKUP(B161,'Player Data'!$A1:$AE734,16,FALSE)*$Q161</f>
        <v>50.953293886220067</v>
      </c>
      <c r="AC161" s="41">
        <f>VLOOKUP(B161,'Player Data'!$A1:$AE734,17,FALSE)*$Q161*IFERROR((VLOOKUP(P161,Settings!$E$28:$F$33,2,FALSE)+1),1)</f>
        <v>-1.5053052085562635</v>
      </c>
      <c r="AD161" s="41">
        <f>VLOOKUP(B161,'Player Data'!$A1:$AE734,18,FALSE)*$Q161</f>
        <v>24.067742511873046</v>
      </c>
      <c r="AE161" s="41">
        <f>VLOOKUP(B161,'Player Data'!$A1:$AE734,19,FALSE)*$Q161*IFERROR((VLOOKUP(P161,Settings!$E$28:$F$33,2,FALSE)+1),1)</f>
        <v>2.9771175035059994</v>
      </c>
      <c r="AF161" s="41">
        <f>VLOOKUP(B161,'Player Data'!$A1:$AE734,20,FALSE)*$Q161</f>
        <v>23.189961827425599</v>
      </c>
      <c r="AG161" s="41">
        <f>VLOOKUP(B161,'Player Data'!$A1:$AE734,21,FALSE)*$Q161</f>
        <v>31.225855548531918</v>
      </c>
      <c r="AH161" s="42">
        <f>VLOOKUP(B161,'Player Data'!$A1:$AE734,22,FALSE)</f>
        <v>0.42616215184652501</v>
      </c>
      <c r="AI161" s="39"/>
      <c r="AJ161" s="41"/>
      <c r="AK161" s="41"/>
      <c r="AL161" s="41"/>
      <c r="AM161" s="41"/>
      <c r="AN161" s="41"/>
      <c r="AO161" s="41"/>
      <c r="AP161" s="41"/>
      <c r="AQ161" s="44"/>
      <c r="AR161" s="45"/>
      <c r="AS161" s="39"/>
    </row>
    <row r="162" spans="1:45" ht="21.25" customHeight="1" x14ac:dyDescent="0.15">
      <c r="A162" s="31">
        <f>RANK(K162,K$2:K$727)</f>
        <v>161</v>
      </c>
      <c r="B162" s="8" t="s">
        <v>266</v>
      </c>
      <c r="C162" s="32" t="s">
        <v>106</v>
      </c>
      <c r="D162" s="33" t="str">
        <f>VLOOKUP(B162,'Player Data'!A1:D734,4,FALSE)</f>
        <v>G</v>
      </c>
      <c r="E162" s="50">
        <f>VLOOKUP(B162,G!A1:D75,3,FALSE)</f>
        <v>21</v>
      </c>
      <c r="F162" s="35" t="str">
        <f>VLOOKUP(B162,'Player Data'!A1:B734,2,FALSE)</f>
        <v>PHI</v>
      </c>
      <c r="G162" s="9">
        <f>VLOOKUP(B162,'Player Data'!A1:D734,3,FALSE)</f>
        <v>25</v>
      </c>
      <c r="H162" s="36">
        <f>IFERROR(VLOOKUP(B162,ADP!A1:G728,7,FALSE)/1000000,VLOOKUP(B162,ADP!A1:G728,7,FALSE))</f>
        <v>3.9790000000000001</v>
      </c>
      <c r="I162" s="37">
        <f>IF(Settings!$E$15="POINTS",(AJ162*Settings!$B$29)+(AK162*Settings!$B$21)+(AL162*Settings!$B$22)+(AN162*Settings!$B$24)+(AO162*Settings!$B$25)+(AP162*Settings!$B$27)+(AM162*Settings!$B$23),VLOOKUP(B162,'Standard Deviations'!A1:C728,3,FALSE))</f>
        <v>329.62483253012203</v>
      </c>
      <c r="J162" s="38">
        <f>IF(D162="G",I162/AJ162,I162/Q162)</f>
        <v>6.8671840110442091</v>
      </c>
      <c r="K162" s="37">
        <f>VLOOKUP(B162,G!A1:F75,6,FALSE)</f>
        <v>-69.150829559194165</v>
      </c>
      <c r="L162" s="37">
        <f>IFERROR(K162/H162,"N/A")</f>
        <v>-17.378946860817834</v>
      </c>
      <c r="M162" s="39">
        <f>IF(Settings!$E$9="YAHOO",VLOOKUP(B162,ADP!A1:E728,2,FALSE),IF(Settings!$E$9="ESPN",VLOOKUP(B162,ADP!A1:E728,3,FALSE),IF(Settings!$E$9="FANTRAX",VLOOKUP(B162,ADP!A1:E728,4,FALSE),VLOOKUP(B162,ADP!A1:E728,5,FALSE))))</f>
        <v>130</v>
      </c>
      <c r="N162" s="39">
        <f>IFERROR(M162-A162,"N/A")</f>
        <v>-31</v>
      </c>
      <c r="O162" s="39"/>
      <c r="P162" s="40" t="str">
        <f>IF(Settings!$E$27="ON",VLOOKUP(B162,ADP!A1:H728,8,FALSE)," ")</f>
        <v>-</v>
      </c>
      <c r="Q162" s="41"/>
      <c r="R162" s="5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2"/>
      <c r="AI162" s="39"/>
      <c r="AJ162" s="43">
        <f>VLOOKUP(B162,'Player Data'!$A1:$AE734,24,FALSE)</f>
        <v>48</v>
      </c>
      <c r="AK162" s="41">
        <f>VLOOKUP(B162,'Player Data'!$A1:$AE734,25,FALSE)*$AJ162*IFERROR((VLOOKUP(P162,Settings!$E$28:$F$33,2,FALSE)+1),1)</f>
        <v>18.125088623840693</v>
      </c>
      <c r="AL162" s="41">
        <f>AJ162-AK162-AM162</f>
        <v>23.874911376159307</v>
      </c>
      <c r="AM162" s="41">
        <f>VLOOKUP(B162,'Player Data'!$A1:$AE734,27,FALSE)*$AJ162</f>
        <v>6</v>
      </c>
      <c r="AN162" s="41">
        <f>VLOOKUP(B162,'Player Data'!$A1:$AE734,28,FALSE)*AJ162</f>
        <v>2.6097767311538163</v>
      </c>
      <c r="AO162" s="41">
        <f>VLOOKUP(B162,'Player Data'!$A1:$AE734,29,FALSE)*$AJ162*IFERROR((VLOOKUP(P162,Settings!$E$28:$F$33,2,FALSE)/4)+1,1)</f>
        <v>1366.1187483590841</v>
      </c>
      <c r="AP162" s="41">
        <f>VLOOKUP(B162,'Player Data'!$A1:$AE734,31,FALSE)*$AJ162*(IFERROR(1-(VLOOKUP(P162,Settings!$E$28:$F$33,2,FALSE)/4),1))</f>
        <v>137.67645366108323</v>
      </c>
      <c r="AQ162" s="44">
        <f>1-(AP162/(AO162+AP162))</f>
        <v>0.90844733812414646</v>
      </c>
      <c r="AR162" s="45">
        <f>AP162/AJ162</f>
        <v>2.8682594512725674</v>
      </c>
      <c r="AS162" s="39"/>
    </row>
    <row r="163" spans="1:45" ht="21.25" customHeight="1" x14ac:dyDescent="0.15">
      <c r="A163" s="31">
        <f>RANK(K163,K$2:K$727)</f>
        <v>162</v>
      </c>
      <c r="B163" s="8" t="s">
        <v>267</v>
      </c>
      <c r="C163" s="32" t="s">
        <v>106</v>
      </c>
      <c r="D163" s="33" t="str">
        <f>VLOOKUP(B163,'Player Data'!A1:D734,4,FALSE)</f>
        <v>D</v>
      </c>
      <c r="E163" s="49">
        <f>VLOOKUP(B163,D!A1:C227,3,FALSE)</f>
        <v>38</v>
      </c>
      <c r="F163" s="35" t="str">
        <f>VLOOKUP(B163,'Player Data'!A1:B734,2,FALSE)</f>
        <v>BOS</v>
      </c>
      <c r="G163" s="9">
        <f>VLOOKUP(B163,'Player Data'!A1:D734,3,FALSE)</f>
        <v>29</v>
      </c>
      <c r="H163" s="36">
        <f>IFERROR(VLOOKUP(B163,ADP!A1:G728,7,FALSE)/1000000,VLOOKUP(B163,ADP!A1:G728,7,FALSE))</f>
        <v>6.5</v>
      </c>
      <c r="I163" s="37">
        <f>IF(Settings!$E$15="POINTS",((R163*Q163)*Settings!$B$12)+(S163*Settings!$B$2)+(T163*Settings!$B$3)+(U163*Settings!$B$4)+(V163*Settings!$B$5)+(X163*Settings!$B$9)+(AA163*Settings!$B$6)+(W163*Settings!$B$8)+(AB163*Settings!$B$7)+(AC163*Settings!$B$14)+(AD163*Settings!$B$15)+(AE163*Settings!$B$16)+(AF163*Settings!$B$17)+(AG163*Settings!$B$18)+(U163*Settings!$B$13)+(Y163*Settings!$B$10)+(Z163*Settings!$B$11),VLOOKUP(B163,'Standard Deviations'!A1:C728,3,FALSE))</f>
        <v>242.16099759532489</v>
      </c>
      <c r="J163" s="38">
        <f>IF(D163="G",I163/AJ163,I163/Q163)</f>
        <v>3.1505740458002913</v>
      </c>
      <c r="K163" s="37">
        <f>VLOOKUP(B163,D!A1:F227,6,FALSE)</f>
        <v>-69.404484032602568</v>
      </c>
      <c r="L163" s="37">
        <f>IFERROR(K163/H163,"N/A")</f>
        <v>-10.677612928092703</v>
      </c>
      <c r="M163" s="39">
        <f>IF(Settings!$E$9="YAHOO",VLOOKUP(B163,ADP!A1:E728,2,FALSE),IF(Settings!$E$9="ESPN",VLOOKUP(B163,ADP!A1:E728,3,FALSE),IF(Settings!$E$9="FANTRAX",VLOOKUP(B163,ADP!A1:E728,4,FALSE),VLOOKUP(B163,ADP!A1:E728,5,FALSE))))</f>
        <v>111.3</v>
      </c>
      <c r="N163" s="39">
        <f>IFERROR(M163-A163,"N/A")</f>
        <v>-50.7</v>
      </c>
      <c r="O163" s="39"/>
      <c r="P163" s="40" t="str">
        <f>IF(Settings!$E$27="ON",VLOOKUP(B163,ADP!A1:H728,8,FALSE)," ")</f>
        <v>+</v>
      </c>
      <c r="Q163" s="41">
        <f>IF(Settings!$E$12="YES",VLOOKUP(B163,'Player Data'!A1:E734,5,FALSE),82)</f>
        <v>76.862499999999997</v>
      </c>
      <c r="R163" s="39">
        <f>VLOOKUP(B163,'Player Data'!$A1:$AE734,6,FALSE)</f>
        <v>21.557298463204202</v>
      </c>
      <c r="S163" s="41">
        <f>VLOOKUP(B163,'Player Data'!$A1:$AE734,7,FALSE)*$Q163*IFERROR((VLOOKUP(P163,Settings!$E$28:$F$33,2,FALSE)+1),1)</f>
        <v>7.5469749564731607</v>
      </c>
      <c r="T163" s="41">
        <f>VLOOKUP(B163,'Player Data'!$A1:$AE734,8,FALSE)*$Q163*IFERROR((VLOOKUP(P163,Settings!$E$28:$F$33,2,FALSE)+1),1)</f>
        <v>33.230120082298065</v>
      </c>
      <c r="U163" s="41">
        <f>SUM(S163:T163)</f>
        <v>40.777095038771222</v>
      </c>
      <c r="V163" s="41">
        <f>VLOOKUP(B163,'Player Data'!$A1:$AE734,10,FALSE)*$Q163*IFERROR(((VLOOKUP(P163,Settings!$E$28:$F$33,2,FALSE)/2)+1),1)</f>
        <v>145.18038592284222</v>
      </c>
      <c r="W163" s="41">
        <f>VLOOKUP(B163,'Player Data'!$A1:$AE734,11,FALSE)*$Q163*IFERROR((VLOOKUP(P163,Settings!$E$28:$F$33,2,FALSE)+1),1)</f>
        <v>1.2395602195143933</v>
      </c>
      <c r="X163" s="41">
        <f>VLOOKUP(B163,'Player Data'!$A1:$AE734,12,FALSE)*$Q163*IFERROR((VLOOKUP(P163,Settings!$E$28:$F$33,2,FALSE)+1),1)</f>
        <v>13.50926177545522</v>
      </c>
      <c r="Y163" s="41">
        <f>VLOOKUP(B163,'Player Data'!$A1:$AE734,13,FALSE)*$Q163</f>
        <v>2.9397299640105377E-2</v>
      </c>
      <c r="Z163" s="41">
        <f>VLOOKUP(B163,'Player Data'!$A1:$AE734,14,FALSE)*$Q163</f>
        <v>0.372130848233376</v>
      </c>
      <c r="AA163" s="41">
        <f>VLOOKUP(B163,'Player Data'!$A1:$AE734,15,FALSE)*$Q163</f>
        <v>97.383671351064621</v>
      </c>
      <c r="AB163" s="41">
        <f>VLOOKUP(B163,'Player Data'!$A1:$AE734,16,FALSE)*$Q163</f>
        <v>80.215840358603643</v>
      </c>
      <c r="AC163" s="41">
        <f>VLOOKUP(B163,'Player Data'!$A1:$AE734,17,FALSE)*$Q163*IFERROR((VLOOKUP(P163,Settings!$E$28:$F$33,2,FALSE)+1),1)</f>
        <v>6.411892483490484</v>
      </c>
      <c r="AD163" s="41">
        <f>VLOOKUP(B163,'Player Data'!$A1:$AE734,18,FALSE)*$Q163</f>
        <v>50.286719945697527</v>
      </c>
      <c r="AE163" s="41">
        <f>VLOOKUP(B163,'Player Data'!$A1:$AE734,19,FALSE)*$Q163*IFERROR((VLOOKUP(P163,Settings!$E$28:$F$33,2,FALSE)+1),1)</f>
        <v>1.2669885754007817</v>
      </c>
      <c r="AF163" s="41">
        <f>VLOOKUP(B163,'Player Data'!$A1:$AE734,20,FALSE)*$Q163</f>
        <v>0</v>
      </c>
      <c r="AG163" s="41">
        <f>VLOOKUP(B163,'Player Data'!$A1:$AE734,21,FALSE)*$Q163</f>
        <v>0</v>
      </c>
      <c r="AH163" s="42">
        <f>VLOOKUP(B163,'Player Data'!$A1:$AE734,22,FALSE)</f>
        <v>0</v>
      </c>
      <c r="AI163" s="39"/>
      <c r="AJ163" s="43"/>
      <c r="AK163" s="41"/>
      <c r="AL163" s="41"/>
      <c r="AM163" s="41"/>
      <c r="AN163" s="41"/>
      <c r="AO163" s="41"/>
      <c r="AP163" s="41"/>
      <c r="AQ163" s="44"/>
      <c r="AR163" s="45"/>
      <c r="AS163" s="39"/>
    </row>
    <row r="164" spans="1:45" ht="21.25" customHeight="1" x14ac:dyDescent="0.15">
      <c r="A164" s="31">
        <f>RANK(K164,K$2:K$727)</f>
        <v>163</v>
      </c>
      <c r="B164" s="8" t="s">
        <v>268</v>
      </c>
      <c r="C164" s="32" t="s">
        <v>106</v>
      </c>
      <c r="D164" s="33" t="str">
        <f>VLOOKUP(B164,'Player Data'!A1:D734,4,FALSE)</f>
        <v>C</v>
      </c>
      <c r="E164" s="34">
        <f>VLOOKUP(B164,'C'!A1:C211,3,FALSE)</f>
        <v>45</v>
      </c>
      <c r="F164" s="35" t="str">
        <f>VLOOKUP(B164,'Player Data'!A1:B734,2,FALSE)</f>
        <v>BOS</v>
      </c>
      <c r="G164" s="9">
        <f>VLOOKUP(B164,'Player Data'!A1:D734,3,FALSE)</f>
        <v>26</v>
      </c>
      <c r="H164" s="36">
        <f>IFERROR(VLOOKUP(B164,ADP!A1:G728,7,FALSE)/1000000,VLOOKUP(B164,ADP!A1:G728,7,FALSE))</f>
        <v>4.75</v>
      </c>
      <c r="I164" s="37">
        <f>IF(Settings!$E$15="POINTS",((R164*Q164)*Settings!$B$12)+(S164*Settings!$B$2)+(T164*Settings!$B$3)+(U164*Settings!$B$4)+(V164*Settings!$B$5)+(X164*Settings!$B$9)+(AA164*Settings!$B$6)+(W164*Settings!$B$8)+(AB164*Settings!$B$7)+(AC164*Settings!$B$14)+(AD164*Settings!$B$15)+(AE164*Settings!$B$16)+(AF164*Settings!$B$17)+(AG164*Settings!$B$18)+(Y164*Settings!$B$10)+(Z164*Settings!$B$11),VLOOKUP(B164,'Standard Deviations'!A1:C728,3,FALSE))</f>
        <v>323.34962728992338</v>
      </c>
      <c r="J164" s="38">
        <f>IF(D164="G",I164/AJ164,I164/Q164)</f>
        <v>4.0672178236320331</v>
      </c>
      <c r="K164" s="37">
        <f>IF(Settings!$E$18="C/LW/RW",VLOOKUP(B164,'C'!A1:F211,6,FALSE),VLOOKUP(B164,F!A1:F430,6,FALSE))</f>
        <v>-69.979178476286279</v>
      </c>
      <c r="L164" s="37">
        <f>IFERROR(K164/H164,"N/A")</f>
        <v>-14.732458626586585</v>
      </c>
      <c r="M164" s="39">
        <f>IF(Settings!$E$9="YAHOO",VLOOKUP(B164,ADP!A1:E728,2,FALSE),IF(Settings!$E$9="ESPN",VLOOKUP(B164,ADP!A1:E728,3,FALSE),IF(Settings!$E$9="FANTRAX",VLOOKUP(B164,ADP!A1:E728,4,FALSE),VLOOKUP(B164,ADP!A1:E728,5,FALSE))))</f>
        <v>155.5</v>
      </c>
      <c r="N164" s="39">
        <f>IFERROR(M164-A164,"N/A")</f>
        <v>-7.5</v>
      </c>
      <c r="O164" s="39"/>
      <c r="P164" s="40" t="str">
        <f>IF(Settings!$E$27="ON",VLOOKUP(B164,ADP!A1:H728,8,FALSE)," ")</f>
        <v xml:space="preserve"> </v>
      </c>
      <c r="Q164" s="41">
        <f>IF(Settings!$E$12="YES",VLOOKUP(B164,'Player Data'!A1:E734,5,FALSE),82)</f>
        <v>79.501428571428605</v>
      </c>
      <c r="R164" s="39">
        <f>VLOOKUP(B164,'Player Data'!$A1:$AE734,6,FALSE)</f>
        <v>20.023978405119401</v>
      </c>
      <c r="S164" s="41">
        <f>VLOOKUP(B164,'Player Data'!$A1:$AE734,7,FALSE)*$Q164*IFERROR((VLOOKUP(P164,Settings!$E$28:$F$33,2,FALSE)+1),1)</f>
        <v>25.821447602109707</v>
      </c>
      <c r="T164" s="41">
        <f>VLOOKUP(B164,'Player Data'!$A1:$AE734,8,FALSE)*$Q164*IFERROR((VLOOKUP(P164,Settings!$E$28:$F$33,2,FALSE)+1),1)</f>
        <v>38.967223845322984</v>
      </c>
      <c r="U164" s="41">
        <f>SUM(S164:T164)</f>
        <v>64.788671447432691</v>
      </c>
      <c r="V164" s="41">
        <f>VLOOKUP(B164,'Player Data'!$A1:$AE734,10,FALSE)*$Q164*IFERROR(((VLOOKUP(P164,Settings!$E$28:$F$33,2,FALSE)/2)+1),1)</f>
        <v>180.50761124751793</v>
      </c>
      <c r="W164" s="41">
        <f>VLOOKUP(B164,'Player Data'!$A1:$AE734,11,FALSE)*$Q164*IFERROR((VLOOKUP(P164,Settings!$E$28:$F$33,2,FALSE)+1),1)</f>
        <v>6.3551680445304175</v>
      </c>
      <c r="X164" s="41">
        <f>VLOOKUP(B164,'Player Data'!$A1:$AE734,12,FALSE)*$Q164*IFERROR((VLOOKUP(P164,Settings!$E$28:$F$33,2,FALSE)+1),1)</f>
        <v>15.545190302868956</v>
      </c>
      <c r="Y164" s="41">
        <f>VLOOKUP(B164,'Player Data'!$A1:$AE734,13,FALSE)*$Q164</f>
        <v>0.19027337219967849</v>
      </c>
      <c r="Z164" s="41">
        <f>VLOOKUP(B164,'Player Data'!$A1:$AE734,14,FALSE)*$Q164</f>
        <v>1.0755825072877649</v>
      </c>
      <c r="AA164" s="41">
        <f>VLOOKUP(B164,'Player Data'!$A1:$AE734,15,FALSE)*$Q164</f>
        <v>27.441308517764362</v>
      </c>
      <c r="AB164" s="41">
        <f>VLOOKUP(B164,'Player Data'!$A1:$AE734,16,FALSE)*$Q164</f>
        <v>84.360511937392189</v>
      </c>
      <c r="AC164" s="41">
        <f>VLOOKUP(B164,'Player Data'!$A1:$AE734,17,FALSE)*$Q164*IFERROR((VLOOKUP(P164,Settings!$E$28:$F$33,2,FALSE)+1),1)</f>
        <v>3.7839534237884966</v>
      </c>
      <c r="AD164" s="41">
        <f>VLOOKUP(B164,'Player Data'!$A1:$AE734,18,FALSE)*$Q164</f>
        <v>25.555151972461569</v>
      </c>
      <c r="AE164" s="41">
        <f>VLOOKUP(B164,'Player Data'!$A1:$AE734,19,FALSE)*$Q164*IFERROR((VLOOKUP(P164,Settings!$E$28:$F$33,2,FALSE)+1),1)</f>
        <v>4.3349129023042972</v>
      </c>
      <c r="AF164" s="41">
        <f>VLOOKUP(B164,'Player Data'!$A1:$AE734,20,FALSE)*$Q164</f>
        <v>219.76666698331019</v>
      </c>
      <c r="AG164" s="41">
        <f>VLOOKUP(B164,'Player Data'!$A1:$AE734,21,FALSE)*$Q164</f>
        <v>237.23012793668133</v>
      </c>
      <c r="AH164" s="42">
        <f>VLOOKUP(B164,'Player Data'!$A1:$AE734,22,FALSE)</f>
        <v>0.48089323475843099</v>
      </c>
      <c r="AI164" s="39"/>
      <c r="AJ164" s="43"/>
      <c r="AK164" s="41"/>
      <c r="AL164" s="41"/>
      <c r="AM164" s="41"/>
      <c r="AN164" s="41"/>
      <c r="AO164" s="41"/>
      <c r="AP164" s="41"/>
      <c r="AQ164" s="44"/>
      <c r="AR164" s="45"/>
      <c r="AS164" s="43"/>
    </row>
    <row r="165" spans="1:45" ht="21.25" customHeight="1" x14ac:dyDescent="0.15">
      <c r="A165" s="31">
        <f>RANK(K165,K$2:K$727)</f>
        <v>164</v>
      </c>
      <c r="B165" s="8" t="s">
        <v>269</v>
      </c>
      <c r="C165" s="32" t="s">
        <v>106</v>
      </c>
      <c r="D165" s="33" t="str">
        <f>VLOOKUP(B165,'Player Data'!A1:D734,4,FALSE)</f>
        <v>D</v>
      </c>
      <c r="E165" s="49">
        <f>VLOOKUP(B165,D!A1:C227,3,FALSE)</f>
        <v>39</v>
      </c>
      <c r="F165" s="35" t="str">
        <f>VLOOKUP(B165,'Player Data'!A1:B734,2,FALSE)</f>
        <v>EDM</v>
      </c>
      <c r="G165" s="9">
        <f>VLOOKUP(B165,'Player Data'!A1:D734,3,FALSE)</f>
        <v>28</v>
      </c>
      <c r="H165" s="36">
        <f>IFERROR(VLOOKUP(B165,ADP!A1:G728,7,FALSE)/1000000,VLOOKUP(B165,ADP!A1:G728,7,FALSE))</f>
        <v>9.25</v>
      </c>
      <c r="I165" s="37">
        <f>IF(Settings!$E$15="POINTS",((R165*Q165)*Settings!$B$12)+(S165*Settings!$B$2)+(T165*Settings!$B$3)+(U165*Settings!$B$4)+(V165*Settings!$B$5)+(X165*Settings!$B$9)+(AA165*Settings!$B$6)+(W165*Settings!$B$8)+(AB165*Settings!$B$7)+(AC165*Settings!$B$14)+(AD165*Settings!$B$15)+(AE165*Settings!$B$16)+(AF165*Settings!$B$17)+(AG165*Settings!$B$18)+(U165*Settings!$B$13)+(Y165*Settings!$B$10)+(Z165*Settings!$B$11),VLOOKUP(B165,'Standard Deviations'!A1:C728,3,FALSE))</f>
        <v>239.68553390989086</v>
      </c>
      <c r="J165" s="38">
        <f>IF(D165="G",I165/AJ165,I165/Q165)</f>
        <v>2.9768129153276104</v>
      </c>
      <c r="K165" s="37">
        <f>VLOOKUP(B165,D!A1:F227,6,FALSE)</f>
        <v>-71.87994771803659</v>
      </c>
      <c r="L165" s="37">
        <f>IFERROR(K165/H165,"N/A")</f>
        <v>-7.7708051587066587</v>
      </c>
      <c r="M165" s="39">
        <f>IF(Settings!$E$9="YAHOO",VLOOKUP(B165,ADP!A1:E728,2,FALSE),IF(Settings!$E$9="ESPN",VLOOKUP(B165,ADP!A1:E728,3,FALSE),IF(Settings!$E$9="FANTRAX",VLOOKUP(B165,ADP!A1:E728,4,FALSE),VLOOKUP(B165,ADP!A1:E728,5,FALSE))))</f>
        <v>104.6</v>
      </c>
      <c r="N165" s="39">
        <f>IFERROR(M165-A165,"N/A")</f>
        <v>-59.400000000000006</v>
      </c>
      <c r="O165" s="39"/>
      <c r="P165" s="40" t="str">
        <f>IF(Settings!$E$27="ON",VLOOKUP(B165,ADP!A1:H728,8,FALSE)," ")</f>
        <v xml:space="preserve"> </v>
      </c>
      <c r="Q165" s="41">
        <f>IF(Settings!$E$12="YES",VLOOKUP(B165,'Player Data'!A1:E734,5,FALSE),82)</f>
        <v>80.517499999999998</v>
      </c>
      <c r="R165" s="39">
        <f>VLOOKUP(B165,'Player Data'!$A1:$AE734,6,FALSE)</f>
        <v>21.811385729283899</v>
      </c>
      <c r="S165" s="41">
        <f>VLOOKUP(B165,'Player Data'!$A1:$AE734,7,FALSE)*$Q165*IFERROR((VLOOKUP(P165,Settings!$E$28:$F$33,2,FALSE)+1),1)</f>
        <v>11.260701150573167</v>
      </c>
      <c r="T165" s="41">
        <f>VLOOKUP(B165,'Player Data'!$A1:$AE734,8,FALSE)*$Q165*IFERROR((VLOOKUP(P165,Settings!$E$28:$F$33,2,FALSE)+1),1)</f>
        <v>25.312282744616091</v>
      </c>
      <c r="U165" s="41">
        <f>SUM(S165:T165)</f>
        <v>36.57298389518926</v>
      </c>
      <c r="V165" s="41">
        <f>VLOOKUP(B165,'Player Data'!$A1:$AE734,10,FALSE)*$Q165*IFERROR(((VLOOKUP(P165,Settings!$E$28:$F$33,2,FALSE)/2)+1),1)</f>
        <v>182.56155116258688</v>
      </c>
      <c r="W165" s="41">
        <f>VLOOKUP(B165,'Player Data'!$A1:$AE734,11,FALSE)*$Q165*IFERROR((VLOOKUP(P165,Settings!$E$28:$F$33,2,FALSE)+1),1)</f>
        <v>0.25681915263603411</v>
      </c>
      <c r="X165" s="41">
        <f>VLOOKUP(B165,'Player Data'!$A1:$AE734,12,FALSE)*$Q165*IFERROR((VLOOKUP(P165,Settings!$E$28:$F$33,2,FALSE)+1),1)</f>
        <v>3.106536776547038</v>
      </c>
      <c r="Y165" s="41">
        <f>VLOOKUP(B165,'Player Data'!$A1:$AE734,13,FALSE)*$Q165</f>
        <v>1.4527810396855412</v>
      </c>
      <c r="Z165" s="41">
        <f>VLOOKUP(B165,'Player Data'!$A1:$AE734,14,FALSE)*$Q165</f>
        <v>1.8303154337159471</v>
      </c>
      <c r="AA165" s="41">
        <f>VLOOKUP(B165,'Player Data'!$A1:$AE734,15,FALSE)*$Q165</f>
        <v>144.06051111251847</v>
      </c>
      <c r="AB165" s="41">
        <f>VLOOKUP(B165,'Player Data'!$A1:$AE734,16,FALSE)*$Q165</f>
        <v>146.02002533675955</v>
      </c>
      <c r="AC165" s="41">
        <f>VLOOKUP(B165,'Player Data'!$A1:$AE734,17,FALSE)*$Q165*IFERROR((VLOOKUP(P165,Settings!$E$28:$F$33,2,FALSE)+1),1)</f>
        <v>6.319320120748583</v>
      </c>
      <c r="AD165" s="41">
        <f>VLOOKUP(B165,'Player Data'!$A1:$AE734,18,FALSE)*$Q165</f>
        <v>55.098712097393474</v>
      </c>
      <c r="AE165" s="41">
        <f>VLOOKUP(B165,'Player Data'!$A1:$AE734,19,FALSE)*$Q165*IFERROR((VLOOKUP(P165,Settings!$E$28:$F$33,2,FALSE)+1),1)</f>
        <v>1.7824481014941449</v>
      </c>
      <c r="AF165" s="41">
        <f>VLOOKUP(B165,'Player Data'!$A1:$AE734,20,FALSE)*$Q165</f>
        <v>0</v>
      </c>
      <c r="AG165" s="41">
        <f>VLOOKUP(B165,'Player Data'!$A1:$AE734,21,FALSE)*$Q165</f>
        <v>0</v>
      </c>
      <c r="AH165" s="42">
        <f>VLOOKUP(B165,'Player Data'!$A1:$AE734,22,FALSE)</f>
        <v>0</v>
      </c>
      <c r="AI165" s="39"/>
      <c r="AJ165" s="43"/>
      <c r="AK165" s="41"/>
      <c r="AL165" s="41"/>
      <c r="AM165" s="41"/>
      <c r="AN165" s="41"/>
      <c r="AO165" s="41"/>
      <c r="AP165" s="41"/>
      <c r="AQ165" s="44"/>
      <c r="AR165" s="45"/>
      <c r="AS165" s="39"/>
    </row>
    <row r="166" spans="1:45" ht="21.25" customHeight="1" x14ac:dyDescent="0.15">
      <c r="A166" s="31">
        <f>RANK(K166,K$2:K$727)</f>
        <v>165</v>
      </c>
      <c r="B166" s="8" t="s">
        <v>270</v>
      </c>
      <c r="C166" s="32" t="s">
        <v>106</v>
      </c>
      <c r="D166" s="33" t="str">
        <f>VLOOKUP(B166,'Player Data'!A1:D734,4,FALSE)</f>
        <v>D</v>
      </c>
      <c r="E166" s="49">
        <f>VLOOKUP(B166,D!A1:C227,3,FALSE)</f>
        <v>40</v>
      </c>
      <c r="F166" s="35" t="str">
        <f>VLOOKUP(B166,'Player Data'!A1:B734,2,FALSE)</f>
        <v>LAK</v>
      </c>
      <c r="G166" s="9">
        <f>VLOOKUP(B166,'Player Data'!A1:D734,3,FALSE)</f>
        <v>20</v>
      </c>
      <c r="H166" s="36">
        <f>IFERROR(VLOOKUP(B166,ADP!A1:G728,7,FALSE)/1000000,VLOOKUP(B166,ADP!A1:G728,7,FALSE))</f>
        <v>0.86299999999999999</v>
      </c>
      <c r="I166" s="37">
        <f>IF(Settings!$E$15="POINTS",((R166*Q166)*Settings!$B$12)+(S166*Settings!$B$2)+(T166*Settings!$B$3)+(U166*Settings!$B$4)+(V166*Settings!$B$5)+(X166*Settings!$B$9)+(AA166*Settings!$B$6)+(W166*Settings!$B$8)+(AB166*Settings!$B$7)+(AC166*Settings!$B$14)+(AD166*Settings!$B$15)+(AE166*Settings!$B$16)+(AF166*Settings!$B$17)+(AG166*Settings!$B$18)+(U166*Settings!$B$13)+(Y166*Settings!$B$10)+(Z166*Settings!$B$11),VLOOKUP(B166,'Standard Deviations'!A1:C728,3,FALSE))</f>
        <v>236.06728253226075</v>
      </c>
      <c r="J166" s="38">
        <f>IF(D166="G",I166/AJ166,I166/Q166)</f>
        <v>3.1900984125981182</v>
      </c>
      <c r="K166" s="37">
        <f>VLOOKUP(B166,D!A1:F227,6,FALSE)</f>
        <v>-75.498199095666706</v>
      </c>
      <c r="L166" s="37">
        <f>IFERROR(K166/H166,"N/A")</f>
        <v>-87.483428847817734</v>
      </c>
      <c r="M166" s="39">
        <f>IF(Settings!$E$9="YAHOO",VLOOKUP(B166,ADP!A1:E728,2,FALSE),IF(Settings!$E$9="ESPN",VLOOKUP(B166,ADP!A1:E728,3,FALSE),IF(Settings!$E$9="FANTRAX",VLOOKUP(B166,ADP!A1:E728,4,FALSE),VLOOKUP(B166,ADP!A1:E728,5,FALSE))))</f>
        <v>158.6</v>
      </c>
      <c r="N166" s="39">
        <f>IFERROR(M166-A166,"N/A")</f>
        <v>-6.4000000000000057</v>
      </c>
      <c r="O166" s="39"/>
      <c r="P166" s="40" t="str">
        <f>IF(Settings!$E$27="ON",VLOOKUP(B166,ADP!A1:H728,8,FALSE)," ")</f>
        <v xml:space="preserve"> </v>
      </c>
      <c r="Q166" s="41">
        <f>IF(Settings!$E$12="YES",VLOOKUP(B166,'Player Data'!A1:E734,5,FALSE),82)</f>
        <v>74</v>
      </c>
      <c r="R166" s="39">
        <f>VLOOKUP(B166,'Player Data'!$A1:$AE734,6,FALSE)</f>
        <v>18</v>
      </c>
      <c r="S166" s="41">
        <f>VLOOKUP(B166,'Player Data'!$A1:$AE734,7,FALSE)*$Q166*IFERROR((VLOOKUP(P166,Settings!$E$28:$F$33,2,FALSE)+1),1)</f>
        <v>11.241074005456952</v>
      </c>
      <c r="T166" s="41">
        <f>VLOOKUP(B166,'Player Data'!$A1:$AE734,8,FALSE)*$Q166*IFERROR((VLOOKUP(P166,Settings!$E$28:$F$33,2,FALSE)+1),1)</f>
        <v>27.239612886953726</v>
      </c>
      <c r="U166" s="41">
        <f>SUM(S166:T166)</f>
        <v>38.480686892410674</v>
      </c>
      <c r="V166" s="41">
        <f>VLOOKUP(B166,'Player Data'!$A1:$AE734,10,FALSE)*$Q166*IFERROR(((VLOOKUP(P166,Settings!$E$28:$F$33,2,FALSE)/2)+1),1)</f>
        <v>169.50183248707856</v>
      </c>
      <c r="W166" s="41">
        <f>VLOOKUP(B166,'Player Data'!$A1:$AE734,11,FALSE)*$Q166*IFERROR((VLOOKUP(P166,Settings!$E$28:$F$33,2,FALSE)+1),1)</f>
        <v>2.6510704689473634</v>
      </c>
      <c r="X166" s="41">
        <f>VLOOKUP(B166,'Player Data'!$A1:$AE734,12,FALSE)*$Q166*IFERROR((VLOOKUP(P166,Settings!$E$28:$F$33,2,FALSE)+1),1)</f>
        <v>9.0752015862324882</v>
      </c>
      <c r="Y166" s="41">
        <f>VLOOKUP(B166,'Player Data'!$A1:$AE734,13,FALSE)*$Q166</f>
        <v>0</v>
      </c>
      <c r="Z166" s="41">
        <f>VLOOKUP(B166,'Player Data'!$A1:$AE734,14,FALSE)*$Q166</f>
        <v>0</v>
      </c>
      <c r="AA166" s="41">
        <f>VLOOKUP(B166,'Player Data'!$A1:$AE734,15,FALSE)*$Q166</f>
        <v>88.61951219512224</v>
      </c>
      <c r="AB166" s="41">
        <f>VLOOKUP(B166,'Player Data'!$A1:$AE734,16,FALSE)*$Q166</f>
        <v>103.77387839747526</v>
      </c>
      <c r="AC166" s="41">
        <f>VLOOKUP(B166,'Player Data'!$A1:$AE734,17,FALSE)*$Q166*IFERROR((VLOOKUP(P166,Settings!$E$28:$F$33,2,FALSE)+1),1)</f>
        <v>0.44219512195121946</v>
      </c>
      <c r="AD166" s="41">
        <f>VLOOKUP(B166,'Player Data'!$A1:$AE734,18,FALSE)*$Q166</f>
        <v>39.315836486001281</v>
      </c>
      <c r="AE166" s="41">
        <f>VLOOKUP(B166,'Player Data'!$A1:$AE734,19,FALSE)*$Q166*IFERROR((VLOOKUP(P166,Settings!$E$28:$F$33,2,FALSE)+1),1)</f>
        <v>1.6688929112069999</v>
      </c>
      <c r="AF166" s="41">
        <f>VLOOKUP(B166,'Player Data'!$A1:$AE734,20,FALSE)*$Q166</f>
        <v>0</v>
      </c>
      <c r="AG166" s="41">
        <f>VLOOKUP(B166,'Player Data'!$A1:$AE734,21,FALSE)*$Q166</f>
        <v>0</v>
      </c>
      <c r="AH166" s="42">
        <f>VLOOKUP(B166,'Player Data'!$A1:$AE734,22,FALSE)</f>
        <v>0</v>
      </c>
      <c r="AI166" s="39"/>
      <c r="AJ166" s="43"/>
      <c r="AK166" s="41"/>
      <c r="AL166" s="41"/>
      <c r="AM166" s="41"/>
      <c r="AN166" s="41"/>
      <c r="AO166" s="41"/>
      <c r="AP166" s="41"/>
      <c r="AQ166" s="44"/>
      <c r="AR166" s="45"/>
      <c r="AS166" s="39"/>
    </row>
    <row r="167" spans="1:45" ht="21.25" customHeight="1" x14ac:dyDescent="0.15">
      <c r="A167" s="31">
        <f>RANK(K167,K$2:K$727)</f>
        <v>166</v>
      </c>
      <c r="B167" s="8" t="s">
        <v>271</v>
      </c>
      <c r="C167" s="32" t="s">
        <v>106</v>
      </c>
      <c r="D167" s="33" t="str">
        <f>VLOOKUP(B167,'Player Data'!A1:D734,4,FALSE)</f>
        <v>RW</v>
      </c>
      <c r="E167" s="46">
        <f>VLOOKUP(B167,RW!A1:F97,3,FALSE)</f>
        <v>27</v>
      </c>
      <c r="F167" s="35" t="str">
        <f>VLOOKUP(B167,'Player Data'!A1:B734,2,FALSE)</f>
        <v>PIT</v>
      </c>
      <c r="G167" s="9">
        <f>VLOOKUP(B167,'Player Data'!A1:D734,3,FALSE)</f>
        <v>31</v>
      </c>
      <c r="H167" s="36">
        <f>IFERROR(VLOOKUP(B167,ADP!A1:G728,7,FALSE)/1000000,VLOOKUP(B167,ADP!A1:G728,7,FALSE))</f>
        <v>5.125</v>
      </c>
      <c r="I167" s="37">
        <f>IF(Settings!$E$15="POINTS",((R167*Q167)*Settings!$B$12)+(S167*Settings!$B$2)+(T167*Settings!$B$3)+(U167*Settings!$B$4)+(V167*Settings!$B$5)+(X167*Settings!$B$9)+(AA167*Settings!$B$6)+(W167*Settings!$B$8)+(AB167*Settings!$B$7)+(AC167*Settings!$B$14)+(AD167*Settings!$B$15)+(AE167*Settings!$B$16)+(AF167*Settings!$B$17)+(AG167*Settings!$B$18)+(Y167*Settings!$B$10)+(Z167*Settings!$B$11),VLOOKUP(B167,'Standard Deviations'!A1:C728,3,FALSE))</f>
        <v>274.61398607847298</v>
      </c>
      <c r="J167" s="38">
        <f>IF(D167="G",I167/AJ167,I167/Q167)</f>
        <v>3.4837332920424089</v>
      </c>
      <c r="K167" s="37">
        <f>IF(Settings!$E$18="C/LW/RW",VLOOKUP(B167,RW!A1:F97,6,FALSE),VLOOKUP(B167,F!A1:F430,6,FALSE))</f>
        <v>-75.657554469416596</v>
      </c>
      <c r="L167" s="37">
        <f>IFERROR(K167/H167,"N/A")</f>
        <v>-14.762449652569092</v>
      </c>
      <c r="M167" s="39">
        <f>IF(Settings!$E$9="YAHOO",VLOOKUP(B167,ADP!A1:E728,2,FALSE),IF(Settings!$E$9="ESPN",VLOOKUP(B167,ADP!A1:E728,3,FALSE),IF(Settings!$E$9="FANTRAX",VLOOKUP(B167,ADP!A1:E728,4,FALSE),VLOOKUP(B167,ADP!A1:E728,5,FALSE))))</f>
        <v>169.6</v>
      </c>
      <c r="N167" s="39">
        <f>IFERROR(M167-A167,"N/A")</f>
        <v>3.5999999999999943</v>
      </c>
      <c r="O167" s="39"/>
      <c r="P167" s="40" t="str">
        <f>IF(Settings!$E$27="ON",VLOOKUP(B167,ADP!A1:H728,8,FALSE)," ")</f>
        <v xml:space="preserve"> </v>
      </c>
      <c r="Q167" s="41">
        <f>IF(Settings!$E$12="YES",VLOOKUP(B167,'Player Data'!A1:E734,5,FALSE),82)</f>
        <v>78.827500000000001</v>
      </c>
      <c r="R167" s="39">
        <f>VLOOKUP(B167,'Player Data'!$A1:$AE734,6,FALSE)</f>
        <v>17.808556389030102</v>
      </c>
      <c r="S167" s="41">
        <f>VLOOKUP(B167,'Player Data'!$A1:$AE734,7,FALSE)*$Q167*IFERROR((VLOOKUP(P167,Settings!$E$28:$F$33,2,FALSE)+1),1)</f>
        <v>20.704446985689007</v>
      </c>
      <c r="T167" s="41">
        <f>VLOOKUP(B167,'Player Data'!$A1:$AE734,8,FALSE)*$Q167*IFERROR((VLOOKUP(P167,Settings!$E$28:$F$33,2,FALSE)+1),1)</f>
        <v>26.921867878913506</v>
      </c>
      <c r="U167" s="41">
        <f>SUM(S167:T167)</f>
        <v>47.626314864602513</v>
      </c>
      <c r="V167" s="41">
        <f>VLOOKUP(B167,'Player Data'!$A1:$AE734,10,FALSE)*$Q167*IFERROR(((VLOOKUP(P167,Settings!$E$28:$F$33,2,FALSE)/2)+1),1)</f>
        <v>198.33443224998075</v>
      </c>
      <c r="W167" s="41">
        <f>VLOOKUP(B167,'Player Data'!$A1:$AE734,11,FALSE)*$Q167*IFERROR((VLOOKUP(P167,Settings!$E$28:$F$33,2,FALSE)+1),1)</f>
        <v>3.6424394254851258</v>
      </c>
      <c r="X167" s="41">
        <f>VLOOKUP(B167,'Player Data'!$A1:$AE734,12,FALSE)*$Q167*IFERROR((VLOOKUP(P167,Settings!$E$28:$F$33,2,FALSE)+1),1)</f>
        <v>10.548777078157666</v>
      </c>
      <c r="Y167" s="41">
        <f>VLOOKUP(B167,'Player Data'!$A1:$AE734,13,FALSE)*$Q167</f>
        <v>0.17449748222780004</v>
      </c>
      <c r="Z167" s="41">
        <f>VLOOKUP(B167,'Player Data'!$A1:$AE734,14,FALSE)*$Q167</f>
        <v>0.99600260822435682</v>
      </c>
      <c r="AA167" s="41">
        <f>VLOOKUP(B167,'Player Data'!$A1:$AE734,15,FALSE)*$Q167</f>
        <v>47.391329934555053</v>
      </c>
      <c r="AB167" s="41">
        <f>VLOOKUP(B167,'Player Data'!$A1:$AE734,16,FALSE)*$Q167</f>
        <v>84.275469808917336</v>
      </c>
      <c r="AC167" s="41">
        <f>VLOOKUP(B167,'Player Data'!$A1:$AE734,17,FALSE)*$Q167*IFERROR((VLOOKUP(P167,Settings!$E$28:$F$33,2,FALSE)+1),1)</f>
        <v>3.0118360007161438</v>
      </c>
      <c r="AD167" s="41">
        <f>VLOOKUP(B167,'Player Data'!$A1:$AE734,18,FALSE)*$Q167</f>
        <v>26.609657122875873</v>
      </c>
      <c r="AE167" s="41">
        <f>VLOOKUP(B167,'Player Data'!$A1:$AE734,19,FALSE)*$Q167*IFERROR((VLOOKUP(P167,Settings!$E$28:$F$33,2,FALSE)+1),1)</f>
        <v>3.2950995471678253</v>
      </c>
      <c r="AF167" s="41">
        <f>VLOOKUP(B167,'Player Data'!$A1:$AE734,20,FALSE)*$Q167</f>
        <v>3.6436635306654805</v>
      </c>
      <c r="AG167" s="41">
        <f>VLOOKUP(B167,'Player Data'!$A1:$AE734,21,FALSE)*$Q167</f>
        <v>5.5259734457290284</v>
      </c>
      <c r="AH167" s="42">
        <f>VLOOKUP(B167,'Player Data'!$A1:$AE734,22,FALSE)</f>
        <v>0.39736180832953399</v>
      </c>
      <c r="AI167" s="39"/>
      <c r="AJ167" s="43"/>
      <c r="AK167" s="41"/>
      <c r="AL167" s="41"/>
      <c r="AM167" s="41"/>
      <c r="AN167" s="41"/>
      <c r="AO167" s="41"/>
      <c r="AP167" s="41"/>
      <c r="AQ167" s="44"/>
      <c r="AR167" s="45"/>
      <c r="AS167" s="39"/>
    </row>
    <row r="168" spans="1:45" ht="21.25" customHeight="1" x14ac:dyDescent="0.15">
      <c r="A168" s="31">
        <f>RANK(K168,K$2:K$727)</f>
        <v>167</v>
      </c>
      <c r="B168" s="8" t="s">
        <v>272</v>
      </c>
      <c r="C168" s="32" t="s">
        <v>106</v>
      </c>
      <c r="D168" s="33" t="str">
        <f>VLOOKUP(B168,'Player Data'!A1:D734,4,FALSE)</f>
        <v>LW</v>
      </c>
      <c r="E168" s="47">
        <f>VLOOKUP(B168,LW!A1:C130,3,FALSE)</f>
        <v>36</v>
      </c>
      <c r="F168" s="35" t="str">
        <f>VLOOKUP(B168,'Player Data'!A1:B734,2,FALSE)</f>
        <v>ANA</v>
      </c>
      <c r="G168" s="9">
        <f>VLOOKUP(B168,'Player Data'!A1:D734,3,FALSE)</f>
        <v>33</v>
      </c>
      <c r="H168" s="36">
        <f>IFERROR(VLOOKUP(B168,ADP!A1:G728,7,FALSE)/1000000,VLOOKUP(B168,ADP!A1:G728,7,FALSE))</f>
        <v>6.25</v>
      </c>
      <c r="I168" s="37">
        <f>IF(Settings!$E$15="POINTS",((R168*Q168)*Settings!$B$12)+(S168*Settings!$B$2)+(T168*Settings!$B$3)+(U168*Settings!$B$4)+(V168*Settings!$B$5)+(X168*Settings!$B$9)+(AA168*Settings!$B$6)+(W168*Settings!$B$8)+(AB168*Settings!$B$7)+(AC168*Settings!$B$14)+(AD168*Settings!$B$15)+(AE168*Settings!$B$16)+(AF168*Settings!$B$17)+(AG168*Settings!$B$18)+(Y168*Settings!$B$10)+(Z168*Settings!$B$11),VLOOKUP(B168,'Standard Deviations'!A1:C728,3,FALSE))</f>
        <v>288.05171127702164</v>
      </c>
      <c r="J168" s="38">
        <f>IF(D168="G",I168/AJ168,I168/Q168)</f>
        <v>3.5128257472807518</v>
      </c>
      <c r="K168" s="37">
        <f>IF(Settings!$E$18="C/LW/RW",VLOOKUP(B168,LW!A1:F130,6,FALSE),VLOOKUP(B168,F!A1:F430,6,FALSE))</f>
        <v>-75.988893580628826</v>
      </c>
      <c r="L168" s="37">
        <f>IFERROR(K168/H168,"N/A")</f>
        <v>-12.158222972900612</v>
      </c>
      <c r="M168" s="39">
        <f>IF(Settings!$E$9="YAHOO",VLOOKUP(B168,ADP!A1:E728,2,FALSE),IF(Settings!$E$9="ESPN",VLOOKUP(B168,ADP!A1:E728,3,FALSE),IF(Settings!$E$9="FANTRAX",VLOOKUP(B168,ADP!A1:E728,4,FALSE),VLOOKUP(B168,ADP!A1:E728,5,FALSE))))</f>
        <v>171.7</v>
      </c>
      <c r="N168" s="39">
        <f>IFERROR(M168-A168,"N/A")</f>
        <v>4.6999999999999886</v>
      </c>
      <c r="O168" s="39"/>
      <c r="P168" s="40" t="str">
        <f>IF(Settings!$E$27="ON",VLOOKUP(B168,ADP!A1:H728,8,FALSE)," ")</f>
        <v xml:space="preserve"> </v>
      </c>
      <c r="Q168" s="41">
        <f>IF(Settings!$E$12="YES",VLOOKUP(B168,'Player Data'!A1:E734,5,FALSE),82)</f>
        <v>82</v>
      </c>
      <c r="R168" s="39">
        <f>VLOOKUP(B168,'Player Data'!$A1:$AE734,6,FALSE)</f>
        <v>18.421619118785401</v>
      </c>
      <c r="S168" s="41">
        <f>VLOOKUP(B168,'Player Data'!$A1:$AE734,7,FALSE)*$Q168*IFERROR((VLOOKUP(P168,Settings!$E$28:$F$33,2,FALSE)+1),1)</f>
        <v>24.63508179627447</v>
      </c>
      <c r="T168" s="41">
        <f>VLOOKUP(B168,'Player Data'!$A1:$AE734,8,FALSE)*$Q168*IFERROR((VLOOKUP(P168,Settings!$E$28:$F$33,2,FALSE)+1),1)</f>
        <v>33.618431986002726</v>
      </c>
      <c r="U168" s="41">
        <f>SUM(S168:T168)</f>
        <v>58.253513782277196</v>
      </c>
      <c r="V168" s="41">
        <f>VLOOKUP(B168,'Player Data'!$A1:$AE734,10,FALSE)*$Q168*IFERROR(((VLOOKUP(P168,Settings!$E$28:$F$33,2,FALSE)/2)+1),1)</f>
        <v>161.43997660414638</v>
      </c>
      <c r="W168" s="41">
        <f>VLOOKUP(B168,'Player Data'!$A1:$AE734,11,FALSE)*$Q168*IFERROR((VLOOKUP(P168,Settings!$E$28:$F$33,2,FALSE)+1),1)</f>
        <v>4.3993820401473807</v>
      </c>
      <c r="X168" s="41">
        <f>VLOOKUP(B168,'Player Data'!$A1:$AE734,12,FALSE)*$Q168*IFERROR((VLOOKUP(P168,Settings!$E$28:$F$33,2,FALSE)+1),1)</f>
        <v>11.699290990030697</v>
      </c>
      <c r="Y168" s="41">
        <f>VLOOKUP(B168,'Player Data'!$A1:$AE734,13,FALSE)*$Q168</f>
        <v>0.60800066664518071</v>
      </c>
      <c r="Z168" s="41">
        <f>VLOOKUP(B168,'Player Data'!$A1:$AE734,14,FALSE)*$Q168</f>
        <v>1.3703838235798782</v>
      </c>
      <c r="AA168" s="41">
        <f>VLOOKUP(B168,'Player Data'!$A1:$AE734,15,FALSE)*$Q168</f>
        <v>32.159160004478309</v>
      </c>
      <c r="AB168" s="41">
        <f>VLOOKUP(B168,'Player Data'!$A1:$AE734,16,FALSE)*$Q168</f>
        <v>74.506685243306165</v>
      </c>
      <c r="AC168" s="41">
        <f>VLOOKUP(B168,'Player Data'!$A1:$AE734,17,FALSE)*$Q168*IFERROR((VLOOKUP(P168,Settings!$E$28:$F$33,2,FALSE)+1),1)</f>
        <v>-6.3896190604037528</v>
      </c>
      <c r="AD168" s="41">
        <f>VLOOKUP(B168,'Player Data'!$A1:$AE734,18,FALSE)*$Q168</f>
        <v>52.973594673800783</v>
      </c>
      <c r="AE168" s="41">
        <f>VLOOKUP(B168,'Player Data'!$A1:$AE734,19,FALSE)*$Q168*IFERROR((VLOOKUP(P168,Settings!$E$28:$F$33,2,FALSE)+1),1)</f>
        <v>2.6706752795640538</v>
      </c>
      <c r="AF168" s="41">
        <f>VLOOKUP(B168,'Player Data'!$A1:$AE734,20,FALSE)*$Q168</f>
        <v>1.354087976138334</v>
      </c>
      <c r="AG168" s="41">
        <f>VLOOKUP(B168,'Player Data'!$A1:$AE734,21,FALSE)*$Q168</f>
        <v>2.6233849066790471</v>
      </c>
      <c r="AH168" s="42">
        <f>VLOOKUP(B168,'Player Data'!$A1:$AE734,22,FALSE)</f>
        <v>0.340439272883033</v>
      </c>
      <c r="AI168" s="39"/>
      <c r="AJ168" s="41"/>
      <c r="AK168" s="41"/>
      <c r="AL168" s="41"/>
      <c r="AM168" s="41"/>
      <c r="AN168" s="41"/>
      <c r="AO168" s="41"/>
      <c r="AP168" s="41"/>
      <c r="AQ168" s="44"/>
      <c r="AR168" s="45"/>
      <c r="AS168" s="39"/>
    </row>
    <row r="169" spans="1:45" ht="21.25" customHeight="1" x14ac:dyDescent="0.15">
      <c r="A169" s="31">
        <f>RANK(K169,K$2:K$727)</f>
        <v>168</v>
      </c>
      <c r="B169" s="8" t="s">
        <v>273</v>
      </c>
      <c r="C169" s="32" t="s">
        <v>106</v>
      </c>
      <c r="D169" s="33" t="str">
        <f>VLOOKUP(B169,'Player Data'!A1:D734,4,FALSE)</f>
        <v>RW</v>
      </c>
      <c r="E169" s="46">
        <f>VLOOKUP(B169,RW!A1:F97,3,FALSE)</f>
        <v>28</v>
      </c>
      <c r="F169" s="35" t="str">
        <f>VLOOKUP(B169,'Player Data'!A1:B734,2,FALSE)</f>
        <v>SEA</v>
      </c>
      <c r="G169" s="9">
        <f>VLOOKUP(B169,'Player Data'!A1:D734,3,FALSE)</f>
        <v>33</v>
      </c>
      <c r="H169" s="36">
        <f>IFERROR(VLOOKUP(B169,ADP!A1:G728,7,FALSE)/1000000,VLOOKUP(B169,ADP!A1:G728,7,FALSE))</f>
        <v>5.5</v>
      </c>
      <c r="I169" s="37">
        <f>IF(Settings!$E$15="POINTS",((R169*Q169)*Settings!$B$12)+(S169*Settings!$B$2)+(T169*Settings!$B$3)+(U169*Settings!$B$4)+(V169*Settings!$B$5)+(X169*Settings!$B$9)+(AA169*Settings!$B$6)+(W169*Settings!$B$8)+(AB169*Settings!$B$7)+(AC169*Settings!$B$14)+(AD169*Settings!$B$15)+(AE169*Settings!$B$16)+(AF169*Settings!$B$17)+(AG169*Settings!$B$18)+(Y169*Settings!$B$10)+(Z169*Settings!$B$11),VLOOKUP(B169,'Standard Deviations'!A1:C728,3,FALSE))</f>
        <v>274.27785619658812</v>
      </c>
      <c r="J169" s="38">
        <f>IF(D169="G",I169/AJ169,I169/Q169)</f>
        <v>3.3665674378304611</v>
      </c>
      <c r="K169" s="37">
        <f>IF(Settings!$E$18="C/LW/RW",VLOOKUP(B169,RW!A1:F97,6,FALSE),VLOOKUP(B169,F!A1:F430,6,FALSE))</f>
        <v>-75.993684351301454</v>
      </c>
      <c r="L169" s="37">
        <f>IFERROR(K169/H169,"N/A")</f>
        <v>-13.817033518418446</v>
      </c>
      <c r="M169" s="39">
        <f>IF(Settings!$E$9="YAHOO",VLOOKUP(B169,ADP!A1:E728,2,FALSE),IF(Settings!$E$9="ESPN",VLOOKUP(B169,ADP!A1:E728,3,FALSE),IF(Settings!$E$9="FANTRAX",VLOOKUP(B169,ADP!A1:E728,4,FALSE),VLOOKUP(B169,ADP!A1:E728,5,FALSE))))</f>
        <v>125.2</v>
      </c>
      <c r="N169" s="39">
        <f>IFERROR(M169-A169,"N/A")</f>
        <v>-42.8</v>
      </c>
      <c r="O169" s="39"/>
      <c r="P169" s="40" t="str">
        <f>IF(Settings!$E$27="ON",VLOOKUP(B169,ADP!A1:H728,8,FALSE)," ")</f>
        <v xml:space="preserve"> </v>
      </c>
      <c r="Q169" s="41">
        <f>IF(Settings!$E$12="YES",VLOOKUP(B169,'Player Data'!A1:E734,5,FALSE),82)</f>
        <v>81.471071428571406</v>
      </c>
      <c r="R169" s="39">
        <f>VLOOKUP(B169,'Player Data'!$A1:$AE734,6,FALSE)</f>
        <v>16.823215685175299</v>
      </c>
      <c r="S169" s="41">
        <f>VLOOKUP(B169,'Player Data'!$A1:$AE734,7,FALSE)*$Q169*IFERROR((VLOOKUP(P169,Settings!$E$28:$F$33,2,FALSE)+1),1)</f>
        <v>19.097610176837261</v>
      </c>
      <c r="T169" s="41">
        <f>VLOOKUP(B169,'Player Data'!$A1:$AE734,8,FALSE)*$Q169*IFERROR((VLOOKUP(P169,Settings!$E$28:$F$33,2,FALSE)+1),1)</f>
        <v>32.742463254470671</v>
      </c>
      <c r="U169" s="41">
        <f>SUM(S169:T169)</f>
        <v>51.840073431307928</v>
      </c>
      <c r="V169" s="41">
        <f>VLOOKUP(B169,'Player Data'!$A1:$AE734,10,FALSE)*$Q169*IFERROR(((VLOOKUP(P169,Settings!$E$28:$F$33,2,FALSE)/2)+1),1)</f>
        <v>176.43635507297995</v>
      </c>
      <c r="W169" s="41">
        <f>VLOOKUP(B169,'Player Data'!$A1:$AE734,11,FALSE)*$Q169*IFERROR((VLOOKUP(P169,Settings!$E$28:$F$33,2,FALSE)+1),1)</f>
        <v>3.5205545596233954</v>
      </c>
      <c r="X169" s="41">
        <f>VLOOKUP(B169,'Player Data'!$A1:$AE734,12,FALSE)*$Q169*IFERROR((VLOOKUP(P169,Settings!$E$28:$F$33,2,FALSE)+1),1)</f>
        <v>12.305715121692481</v>
      </c>
      <c r="Y169" s="41">
        <f>VLOOKUP(B169,'Player Data'!$A1:$AE734,13,FALSE)*$Q169</f>
        <v>8.5597481964259457E-3</v>
      </c>
      <c r="Z169" s="41">
        <f>VLOOKUP(B169,'Player Data'!$A1:$AE734,14,FALSE)*$Q169</f>
        <v>1.6013793165824561E-2</v>
      </c>
      <c r="AA169" s="41">
        <f>VLOOKUP(B169,'Player Data'!$A1:$AE734,15,FALSE)*$Q169</f>
        <v>29.480002682288809</v>
      </c>
      <c r="AB169" s="41">
        <f>VLOOKUP(B169,'Player Data'!$A1:$AE734,16,FALSE)*$Q169</f>
        <v>47.981680630556433</v>
      </c>
      <c r="AC169" s="41">
        <f>VLOOKUP(B169,'Player Data'!$A1:$AE734,17,FALSE)*$Q169*IFERROR((VLOOKUP(P169,Settings!$E$28:$F$33,2,FALSE)+1),1)</f>
        <v>1.0823399501932733</v>
      </c>
      <c r="AD169" s="41">
        <f>VLOOKUP(B169,'Player Data'!$A1:$AE734,18,FALSE)*$Q169</f>
        <v>27.101613903589502</v>
      </c>
      <c r="AE169" s="41">
        <f>VLOOKUP(B169,'Player Data'!$A1:$AE734,19,FALSE)*$Q169*IFERROR((VLOOKUP(P169,Settings!$E$28:$F$33,2,FALSE)+1),1)</f>
        <v>2.684378728915755</v>
      </c>
      <c r="AF169" s="41">
        <f>VLOOKUP(B169,'Player Data'!$A1:$AE734,20,FALSE)*$Q169</f>
        <v>23.570247974753425</v>
      </c>
      <c r="AG169" s="41">
        <f>VLOOKUP(B169,'Player Data'!$A1:$AE734,21,FALSE)*$Q169</f>
        <v>37.599121084133273</v>
      </c>
      <c r="AH169" s="42">
        <f>VLOOKUP(B169,'Player Data'!$A1:$AE734,22,FALSE)</f>
        <v>0.38532762945556498</v>
      </c>
      <c r="AI169" s="39"/>
      <c r="AJ169" s="41"/>
      <c r="AK169" s="41"/>
      <c r="AL169" s="41"/>
      <c r="AM169" s="41"/>
      <c r="AN169" s="41"/>
      <c r="AO169" s="41"/>
      <c r="AP169" s="41"/>
      <c r="AQ169" s="44"/>
      <c r="AR169" s="45"/>
      <c r="AS169" s="39"/>
    </row>
    <row r="170" spans="1:45" ht="21.25" customHeight="1" x14ac:dyDescent="0.15">
      <c r="A170" s="31">
        <f>RANK(K170,K$2:K$727)</f>
        <v>169</v>
      </c>
      <c r="B170" s="8" t="s">
        <v>274</v>
      </c>
      <c r="C170" s="32" t="s">
        <v>106</v>
      </c>
      <c r="D170" s="33" t="str">
        <f>VLOOKUP(B170,'Player Data'!A1:D734,4,FALSE)</f>
        <v>LW</v>
      </c>
      <c r="E170" s="47">
        <f>VLOOKUP(B170,LW!A1:C130,3,FALSE)</f>
        <v>37</v>
      </c>
      <c r="F170" s="35" t="str">
        <f>VLOOKUP(B170,'Player Data'!A1:B734,2,FALSE)</f>
        <v>CGY</v>
      </c>
      <c r="G170" s="9">
        <f>VLOOKUP(B170,'Player Data'!A1:D734,3,FALSE)</f>
        <v>27</v>
      </c>
      <c r="H170" s="36">
        <f>IFERROR(VLOOKUP(B170,ADP!A1:G728,7,FALSE)/1000000,VLOOKUP(B170,ADP!A1:G728,7,FALSE))</f>
        <v>5.8</v>
      </c>
      <c r="I170" s="37">
        <f>IF(Settings!$E$15="POINTS",((R170*Q170)*Settings!$B$12)+(S170*Settings!$B$2)+(T170*Settings!$B$3)+(U170*Settings!$B$4)+(V170*Settings!$B$5)+(X170*Settings!$B$9)+(AA170*Settings!$B$6)+(W170*Settings!$B$8)+(AB170*Settings!$B$7)+(AC170*Settings!$B$14)+(AD170*Settings!$B$15)+(AE170*Settings!$B$16)+(AF170*Settings!$B$17)+(AG170*Settings!$B$18)+(Y170*Settings!$B$10)+(Z170*Settings!$B$11),VLOOKUP(B170,'Standard Deviations'!A1:C728,3,FALSE))</f>
        <v>287.08224876707419</v>
      </c>
      <c r="J170" s="38">
        <f>IF(D170="G",I170/AJ170,I170/Q170)</f>
        <v>3.5095629433627651</v>
      </c>
      <c r="K170" s="37">
        <f>IF(Settings!$E$18="C/LW/RW",VLOOKUP(B170,LW!A1:F130,6,FALSE),VLOOKUP(B170,F!A1:F430,6,FALSE))</f>
        <v>-76.958356090576274</v>
      </c>
      <c r="L170" s="37">
        <f>IFERROR(K170/H170,"N/A")</f>
        <v>-13.268682084582117</v>
      </c>
      <c r="M170" s="53" t="str">
        <f>IF(Settings!$E$9="YAHOO",VLOOKUP(B170,ADP!A1:E728,2,FALSE),IF(Settings!$E$9="ESPN",VLOOKUP(B170,ADP!A1:E728,3,FALSE),IF(Settings!$E$9="FANTRAX",VLOOKUP(B170,ADP!A1:E728,4,FALSE),VLOOKUP(B170,ADP!A1:E728,5,FALSE))))</f>
        <v>-</v>
      </c>
      <c r="N170" s="53" t="str">
        <f>IFERROR(M170-A170,"N/A")</f>
        <v>N/A</v>
      </c>
      <c r="O170" s="39"/>
      <c r="P170" s="40" t="str">
        <f>IF(Settings!$E$27="ON",VLOOKUP(B170,ADP!A1:H728,8,FALSE)," ")</f>
        <v xml:space="preserve"> </v>
      </c>
      <c r="Q170" s="41">
        <f>IF(Settings!$E$12="YES",VLOOKUP(B170,'Player Data'!A1:E734,5,FALSE),82)</f>
        <v>81.8</v>
      </c>
      <c r="R170" s="39">
        <f>VLOOKUP(B170,'Player Data'!$A1:$AE734,6,FALSE)</f>
        <v>17.548043859374999</v>
      </c>
      <c r="S170" s="41">
        <f>VLOOKUP(B170,'Player Data'!$A1:$AE734,7,FALSE)*$Q170*IFERROR((VLOOKUP(P170,Settings!$E$28:$F$33,2,FALSE)+1),1)</f>
        <v>26.130975312272451</v>
      </c>
      <c r="T170" s="41">
        <f>VLOOKUP(B170,'Player Data'!$A1:$AE734,8,FALSE)*$Q170*IFERROR((VLOOKUP(P170,Settings!$E$28:$F$33,2,FALSE)+1),1)</f>
        <v>26.767752617043179</v>
      </c>
      <c r="U170" s="41">
        <f>SUM(S170:T170)</f>
        <v>52.898727929315626</v>
      </c>
      <c r="V170" s="41">
        <f>VLOOKUP(B170,'Player Data'!$A1:$AE734,10,FALSE)*$Q170*IFERROR(((VLOOKUP(P170,Settings!$E$28:$F$33,2,FALSE)/2)+1),1)</f>
        <v>190.8333352894999</v>
      </c>
      <c r="W170" s="41">
        <f>VLOOKUP(B170,'Player Data'!$A1:$AE734,11,FALSE)*$Q170*IFERROR((VLOOKUP(P170,Settings!$E$28:$F$33,2,FALSE)+1),1)</f>
        <v>6.2446341721044956</v>
      </c>
      <c r="X170" s="41">
        <f>VLOOKUP(B170,'Player Data'!$A1:$AE734,12,FALSE)*$Q170*IFERROR((VLOOKUP(P170,Settings!$E$28:$F$33,2,FALSE)+1),1)</f>
        <v>11.627615508234541</v>
      </c>
      <c r="Y170" s="41">
        <f>VLOOKUP(B170,'Player Data'!$A1:$AE734,13,FALSE)*$Q170</f>
        <v>0.69541451453079384</v>
      </c>
      <c r="Z170" s="41">
        <f>VLOOKUP(B170,'Player Data'!$A1:$AE734,14,FALSE)*$Q170</f>
        <v>1.8321053102876037</v>
      </c>
      <c r="AA170" s="41">
        <f>VLOOKUP(B170,'Player Data'!$A1:$AE734,15,FALSE)*$Q170</f>
        <v>30.249778486665107</v>
      </c>
      <c r="AB170" s="41">
        <f>VLOOKUP(B170,'Player Data'!$A1:$AE734,16,FALSE)*$Q170</f>
        <v>83.610275056984008</v>
      </c>
      <c r="AC170" s="41">
        <f>VLOOKUP(B170,'Player Data'!$A1:$AE734,17,FALSE)*$Q170*IFERROR((VLOOKUP(P170,Settings!$E$28:$F$33,2,FALSE)+1),1)</f>
        <v>5.0678314282906261</v>
      </c>
      <c r="AD170" s="41">
        <f>VLOOKUP(B170,'Player Data'!$A1:$AE734,18,FALSE)*$Q170</f>
        <v>37.140663731242661</v>
      </c>
      <c r="AE170" s="41">
        <f>VLOOKUP(B170,'Player Data'!$A1:$AE734,19,FALSE)*$Q170*IFERROR((VLOOKUP(P170,Settings!$E$28:$F$33,2,FALSE)+1),1)</f>
        <v>4.3664402470582591</v>
      </c>
      <c r="AF170" s="41">
        <f>VLOOKUP(B170,'Player Data'!$A1:$AE734,20,FALSE)*$Q170</f>
        <v>7.254948619470289</v>
      </c>
      <c r="AG170" s="41">
        <f>VLOOKUP(B170,'Player Data'!$A1:$AE734,21,FALSE)*$Q170</f>
        <v>15.270095713346141</v>
      </c>
      <c r="AH170" s="42">
        <f>VLOOKUP(B170,'Player Data'!$A1:$AE734,22,FALSE)</f>
        <v>0.322083655520298</v>
      </c>
      <c r="AI170" s="39"/>
      <c r="AJ170" s="41"/>
      <c r="AK170" s="41"/>
      <c r="AL170" s="41"/>
      <c r="AM170" s="41"/>
      <c r="AN170" s="41"/>
      <c r="AO170" s="41"/>
      <c r="AP170" s="41"/>
      <c r="AQ170" s="44"/>
      <c r="AR170" s="45"/>
      <c r="AS170" s="39"/>
    </row>
    <row r="171" spans="1:45" ht="21.25" customHeight="1" x14ac:dyDescent="0.15">
      <c r="A171" s="31">
        <f>RANK(K171,K$2:K$727)</f>
        <v>170</v>
      </c>
      <c r="B171" s="8" t="s">
        <v>275</v>
      </c>
      <c r="C171" s="32" t="s">
        <v>106</v>
      </c>
      <c r="D171" s="33" t="str">
        <f>VLOOKUP(B171,'Player Data'!A1:D734,4,FALSE)</f>
        <v>D</v>
      </c>
      <c r="E171" s="49">
        <f>VLOOKUP(B171,D!A1:C227,3,FALSE)</f>
        <v>41</v>
      </c>
      <c r="F171" s="35" t="str">
        <f>VLOOKUP(B171,'Player Data'!A1:B734,2,FALSE)</f>
        <v>BUF</v>
      </c>
      <c r="G171" s="9">
        <f>VLOOKUP(B171,'Player Data'!A1:D734,3,FALSE)</f>
        <v>20</v>
      </c>
      <c r="H171" s="36">
        <f>IFERROR(VLOOKUP(B171,ADP!A1:G728,7,FALSE)/1000000,VLOOKUP(B171,ADP!A1:G728,7,FALSE))</f>
        <v>0.91666700000000001</v>
      </c>
      <c r="I171" s="37">
        <f>IF(Settings!$E$15="POINTS",((R171*Q171)*Settings!$B$12)+(S171*Settings!$B$2)+(T171*Settings!$B$3)+(U171*Settings!$B$4)+(V171*Settings!$B$5)+(X171*Settings!$B$9)+(AA171*Settings!$B$6)+(W171*Settings!$B$8)+(AB171*Settings!$B$7)+(AC171*Settings!$B$14)+(AD171*Settings!$B$15)+(AE171*Settings!$B$16)+(AF171*Settings!$B$17)+(AG171*Settings!$B$18)+(U171*Settings!$B$13)+(Y171*Settings!$B$10)+(Z171*Settings!$B$11),VLOOKUP(B171,'Standard Deviations'!A1:C728,3,FALSE))</f>
        <v>232.74340733360472</v>
      </c>
      <c r="J171" s="38">
        <f>IF(D171="G",I171/AJ171,I171/Q171)</f>
        <v>2.8575003969748889</v>
      </c>
      <c r="K171" s="37">
        <f>VLOOKUP(B171,D!A1:F227,6,FALSE)</f>
        <v>-78.822074294322732</v>
      </c>
      <c r="L171" s="37">
        <f>IFERROR(K171/H171,"N/A")</f>
        <v>-85.987686143738927</v>
      </c>
      <c r="M171" s="39">
        <f>IF(Settings!$E$9="YAHOO",VLOOKUP(B171,ADP!A1:E728,2,FALSE),IF(Settings!$E$9="ESPN",VLOOKUP(B171,ADP!A1:E728,3,FALSE),IF(Settings!$E$9="FANTRAX",VLOOKUP(B171,ADP!A1:E728,4,FALSE),VLOOKUP(B171,ADP!A1:E728,5,FALSE))))</f>
        <v>159.6</v>
      </c>
      <c r="N171" s="39">
        <f>IFERROR(M171-A171,"N/A")</f>
        <v>-10.400000000000006</v>
      </c>
      <c r="O171" s="39"/>
      <c r="P171" s="40" t="str">
        <f>IF(Settings!$E$27="ON",VLOOKUP(B171,ADP!A1:H728,8,FALSE)," ")</f>
        <v>+</v>
      </c>
      <c r="Q171" s="41">
        <f>IF(Settings!$E$12="YES",VLOOKUP(B171,'Player Data'!A1:E734,5,FALSE),82)</f>
        <v>81.45</v>
      </c>
      <c r="R171" s="39">
        <f>VLOOKUP(B171,'Player Data'!$A1:$AE734,6,FALSE)</f>
        <v>23.520805503724201</v>
      </c>
      <c r="S171" s="41">
        <f>VLOOKUP(B171,'Player Data'!$A1:$AE734,7,FALSE)*$Q171*IFERROR((VLOOKUP(P171,Settings!$E$28:$F$33,2,FALSE)+1),1)</f>
        <v>7.0398097442498972</v>
      </c>
      <c r="T171" s="41">
        <f>VLOOKUP(B171,'Player Data'!$A1:$AE734,8,FALSE)*$Q171*IFERROR((VLOOKUP(P171,Settings!$E$28:$F$33,2,FALSE)+1),1)</f>
        <v>34.513854538111786</v>
      </c>
      <c r="U171" s="41">
        <f>SUM(S171:T171)</f>
        <v>41.55366428236168</v>
      </c>
      <c r="V171" s="41">
        <f>VLOOKUP(B171,'Player Data'!$A1:$AE734,10,FALSE)*$Q171*IFERROR(((VLOOKUP(P171,Settings!$E$28:$F$33,2,FALSE)/2)+1),1)</f>
        <v>139.99432239490807</v>
      </c>
      <c r="W171" s="41">
        <f>VLOOKUP(B171,'Player Data'!$A1:$AE734,11,FALSE)*$Q171*IFERROR((VLOOKUP(P171,Settings!$E$28:$F$33,2,FALSE)+1),1)</f>
        <v>0.44660557542218132</v>
      </c>
      <c r="X171" s="41">
        <f>VLOOKUP(B171,'Player Data'!$A1:$AE734,12,FALSE)*$Q171*IFERROR((VLOOKUP(P171,Settings!$E$28:$F$33,2,FALSE)+1),1)</f>
        <v>8.845474402736663</v>
      </c>
      <c r="Y171" s="41">
        <f>VLOOKUP(B171,'Player Data'!$A1:$AE734,13,FALSE)*$Q171</f>
        <v>3.3199180015350507E-2</v>
      </c>
      <c r="Z171" s="41">
        <f>VLOOKUP(B171,'Player Data'!$A1:$AE734,14,FALSE)*$Q171</f>
        <v>0.61999036949713282</v>
      </c>
      <c r="AA171" s="41">
        <f>VLOOKUP(B171,'Player Data'!$A1:$AE734,15,FALSE)*$Q171</f>
        <v>95.771618722990326</v>
      </c>
      <c r="AB171" s="41">
        <f>VLOOKUP(B171,'Player Data'!$A1:$AE734,16,FALSE)*$Q171</f>
        <v>45.709606331845599</v>
      </c>
      <c r="AC171" s="41">
        <f>VLOOKUP(B171,'Player Data'!$A1:$AE734,17,FALSE)*$Q171*IFERROR((VLOOKUP(P171,Settings!$E$28:$F$33,2,FALSE)+1),1)</f>
        <v>0.24566706581680314</v>
      </c>
      <c r="AD171" s="41">
        <f>VLOOKUP(B171,'Player Data'!$A1:$AE734,18,FALSE)*$Q171</f>
        <v>30.993727255956159</v>
      </c>
      <c r="AE171" s="41">
        <f>VLOOKUP(B171,'Player Data'!$A1:$AE734,19,FALSE)*$Q171*IFERROR((VLOOKUP(P171,Settings!$E$28:$F$33,2,FALSE)+1),1)</f>
        <v>0.9072084755644173</v>
      </c>
      <c r="AF171" s="41">
        <f>VLOOKUP(B171,'Player Data'!$A1:$AE734,20,FALSE)*$Q171</f>
        <v>0</v>
      </c>
      <c r="AG171" s="41">
        <f>VLOOKUP(B171,'Player Data'!$A1:$AE734,21,FALSE)*$Q171</f>
        <v>0</v>
      </c>
      <c r="AH171" s="42">
        <f>VLOOKUP(B171,'Player Data'!$A1:$AE734,22,FALSE)</f>
        <v>0</v>
      </c>
      <c r="AI171" s="39"/>
      <c r="AJ171" s="41"/>
      <c r="AK171" s="41"/>
      <c r="AL171" s="41"/>
      <c r="AM171" s="41"/>
      <c r="AN171" s="41"/>
      <c r="AO171" s="41"/>
      <c r="AP171" s="41"/>
      <c r="AQ171" s="44"/>
      <c r="AR171" s="45"/>
      <c r="AS171" s="39"/>
    </row>
    <row r="172" spans="1:45" ht="21.25" customHeight="1" x14ac:dyDescent="0.15">
      <c r="A172" s="31">
        <f>RANK(K172,K$2:K$727)</f>
        <v>171</v>
      </c>
      <c r="B172" s="8" t="s">
        <v>276</v>
      </c>
      <c r="C172" s="32" t="s">
        <v>106</v>
      </c>
      <c r="D172" s="33" t="str">
        <f>VLOOKUP(B172,'Player Data'!A1:D734,4,FALSE)</f>
        <v>C</v>
      </c>
      <c r="E172" s="34">
        <f>VLOOKUP(B172,'C'!A1:C211,3,FALSE)</f>
        <v>46</v>
      </c>
      <c r="F172" s="35" t="str">
        <f>VLOOKUP(B172,'Player Data'!A1:B734,2,FALSE)</f>
        <v>ANA</v>
      </c>
      <c r="G172" s="9">
        <f>VLOOKUP(B172,'Player Data'!A1:D734,3,FALSE)</f>
        <v>20</v>
      </c>
      <c r="H172" s="36">
        <f>IFERROR(VLOOKUP(B172,ADP!A1:G728,7,FALSE)/1000000,VLOOKUP(B172,ADP!A1:G728,7,FALSE))</f>
        <v>0.89416700000000005</v>
      </c>
      <c r="I172" s="37">
        <f>IF(Settings!$E$15="POINTS",((R172*Q172)*Settings!$B$12)+(S172*Settings!$B$2)+(T172*Settings!$B$3)+(U172*Settings!$B$4)+(V172*Settings!$B$5)+(X172*Settings!$B$9)+(AA172*Settings!$B$6)+(W172*Settings!$B$8)+(AB172*Settings!$B$7)+(AC172*Settings!$B$14)+(AD172*Settings!$B$15)+(AE172*Settings!$B$16)+(AF172*Settings!$B$17)+(AG172*Settings!$B$18)+(Y172*Settings!$B$10)+(Z172*Settings!$B$11),VLOOKUP(B172,'Standard Deviations'!A1:C728,3,FALSE))</f>
        <v>311.88675474885338</v>
      </c>
      <c r="J172" s="38">
        <f>IF(D172="G",I172/AJ172,I172/Q172)</f>
        <v>3.8409698860696229</v>
      </c>
      <c r="K172" s="37">
        <f>IF(Settings!$E$18="C/LW/RW",VLOOKUP(B172,'C'!A1:F211,6,FALSE),VLOOKUP(B172,F!A1:F430,6,FALSE))</f>
        <v>-81.442051017356277</v>
      </c>
      <c r="L172" s="37">
        <f>IFERROR(K172/H172,"N/A")</f>
        <v>-91.08147696946574</v>
      </c>
      <c r="M172" s="53" t="str">
        <f>IF(Settings!$E$9="YAHOO",VLOOKUP(B172,ADP!A1:E728,2,FALSE),IF(Settings!$E$9="ESPN",VLOOKUP(B172,ADP!A1:E728,3,FALSE),IF(Settings!$E$9="FANTRAX",VLOOKUP(B172,ADP!A1:E728,4,FALSE),VLOOKUP(B172,ADP!A1:E728,5,FALSE))))</f>
        <v>-</v>
      </c>
      <c r="N172" s="53" t="str">
        <f>IFERROR(M172-A172,"N/A")</f>
        <v>N/A</v>
      </c>
      <c r="O172" s="39"/>
      <c r="P172" s="40" t="str">
        <f>IF(Settings!$E$27="ON",VLOOKUP(B172,ADP!A1:H728,8,FALSE)," ")</f>
        <v xml:space="preserve"> </v>
      </c>
      <c r="Q172" s="41">
        <f>IF(Settings!$E$12="YES",VLOOKUP(B172,'Player Data'!A1:E734,5,FALSE),82)</f>
        <v>81.2</v>
      </c>
      <c r="R172" s="39">
        <f>VLOOKUP(B172,'Player Data'!$A1:$AE734,6,FALSE)</f>
        <v>17.5049250837484</v>
      </c>
      <c r="S172" s="41">
        <f>VLOOKUP(B172,'Player Data'!$A1:$AE734,7,FALSE)*$Q172*IFERROR((VLOOKUP(P172,Settings!$E$28:$F$33,2,FALSE)+1),1)</f>
        <v>23.469938878562562</v>
      </c>
      <c r="T172" s="41">
        <f>VLOOKUP(B172,'Player Data'!$A1:$AE734,8,FALSE)*$Q172*IFERROR((VLOOKUP(P172,Settings!$E$28:$F$33,2,FALSE)+1),1)</f>
        <v>33.279632761762365</v>
      </c>
      <c r="U172" s="41">
        <f>SUM(S172:T172)</f>
        <v>56.74957164032493</v>
      </c>
      <c r="V172" s="41">
        <f>VLOOKUP(B172,'Player Data'!$A1:$AE734,10,FALSE)*$Q172*IFERROR(((VLOOKUP(P172,Settings!$E$28:$F$33,2,FALSE)/2)+1),1)</f>
        <v>188.57631011375352</v>
      </c>
      <c r="W172" s="41">
        <f>VLOOKUP(B172,'Player Data'!$A1:$AE734,11,FALSE)*$Q172*IFERROR((VLOOKUP(P172,Settings!$E$28:$F$33,2,FALSE)+1),1)</f>
        <v>8.8923194343741105</v>
      </c>
      <c r="X172" s="41">
        <f>VLOOKUP(B172,'Player Data'!$A1:$AE734,12,FALSE)*$Q172*IFERROR((VLOOKUP(P172,Settings!$E$28:$F$33,2,FALSE)+1),1)</f>
        <v>19.388253005543625</v>
      </c>
      <c r="Y172" s="41">
        <f>VLOOKUP(B172,'Player Data'!$A1:$AE734,13,FALSE)*$Q172</f>
        <v>2.270334208988025E-2</v>
      </c>
      <c r="Z172" s="41">
        <f>VLOOKUP(B172,'Player Data'!$A1:$AE734,14,FALSE)*$Q172</f>
        <v>4.1167957517105364E-2</v>
      </c>
      <c r="AA172" s="41">
        <f>VLOOKUP(B172,'Player Data'!$A1:$AE734,15,FALSE)*$Q172</f>
        <v>42.455214224402027</v>
      </c>
      <c r="AB172" s="41">
        <f>VLOOKUP(B172,'Player Data'!$A1:$AE734,16,FALSE)*$Q172</f>
        <v>66.872868741815267</v>
      </c>
      <c r="AC172" s="41">
        <f>VLOOKUP(B172,'Player Data'!$A1:$AE734,17,FALSE)*$Q172*IFERROR((VLOOKUP(P172,Settings!$E$28:$F$33,2,FALSE)+1),1)</f>
        <v>-9.4128568212272228</v>
      </c>
      <c r="AD172" s="41">
        <f>VLOOKUP(B172,'Player Data'!$A1:$AE734,18,FALSE)*$Q172</f>
        <v>45.237719368454897</v>
      </c>
      <c r="AE172" s="41">
        <f>VLOOKUP(B172,'Player Data'!$A1:$AE734,19,FALSE)*$Q172*IFERROR((VLOOKUP(P172,Settings!$E$28:$F$33,2,FALSE)+1),1)</f>
        <v>2.5443627950663119</v>
      </c>
      <c r="AF172" s="41">
        <f>VLOOKUP(B172,'Player Data'!$A1:$AE734,20,FALSE)*$Q172</f>
        <v>323.12188930601729</v>
      </c>
      <c r="AG172" s="41">
        <f>VLOOKUP(B172,'Player Data'!$A1:$AE734,21,FALSE)*$Q172</f>
        <v>500.63390551068261</v>
      </c>
      <c r="AH172" s="42">
        <f>VLOOKUP(B172,'Player Data'!$A1:$AE734,22,FALSE)</f>
        <v>0.392254465873491</v>
      </c>
      <c r="AI172" s="39"/>
      <c r="AJ172" s="43"/>
      <c r="AK172" s="41"/>
      <c r="AL172" s="41"/>
      <c r="AM172" s="41"/>
      <c r="AN172" s="41"/>
      <c r="AO172" s="41"/>
      <c r="AP172" s="41"/>
      <c r="AQ172" s="44"/>
      <c r="AR172" s="45"/>
      <c r="AS172" s="39"/>
    </row>
    <row r="173" spans="1:45" ht="21.25" customHeight="1" x14ac:dyDescent="0.15">
      <c r="A173" s="31">
        <f>RANK(K173,K$2:K$727)</f>
        <v>172</v>
      </c>
      <c r="B173" s="8" t="s">
        <v>277</v>
      </c>
      <c r="C173" s="32" t="s">
        <v>106</v>
      </c>
      <c r="D173" s="33" t="str">
        <f>VLOOKUP(B173,'Player Data'!A1:D734,4,FALSE)</f>
        <v>G</v>
      </c>
      <c r="E173" s="50">
        <f>VLOOKUP(B173,G!A1:D75,3,FALSE)</f>
        <v>22</v>
      </c>
      <c r="F173" s="35" t="str">
        <f>VLOOKUP(B173,'Player Data'!A1:B734,2,FALSE)</f>
        <v>BUF</v>
      </c>
      <c r="G173" s="9">
        <f>VLOOKUP(B173,'Player Data'!A1:D734,3,FALSE)</f>
        <v>21</v>
      </c>
      <c r="H173" s="36">
        <f>IFERROR(VLOOKUP(B173,ADP!A1:G728,7,FALSE)/1000000,VLOOKUP(B173,ADP!A1:G728,7,FALSE))</f>
        <v>0</v>
      </c>
      <c r="I173" s="37">
        <f>IF(Settings!$E$15="POINTS",(AJ173*Settings!$B$29)+(AK173*Settings!$B$21)+(AL173*Settings!$B$22)+(AN173*Settings!$B$24)+(AO173*Settings!$B$25)+(AP173*Settings!$B$27)+(AM173*Settings!$B$23),VLOOKUP(B173,'Standard Deviations'!A1:C728,3,FALSE))</f>
        <v>316.87620557451311</v>
      </c>
      <c r="J173" s="38">
        <f>IF(D173="G",I173/AJ173,I173/Q173)</f>
        <v>6.8886131646633286</v>
      </c>
      <c r="K173" s="37">
        <f>VLOOKUP(B173,G!A1:F75,6,FALSE)</f>
        <v>-81.899456514803092</v>
      </c>
      <c r="L173" s="52" t="str">
        <f>IFERROR(K173/H173,"N/A")</f>
        <v>N/A</v>
      </c>
      <c r="M173" s="39">
        <f>IF(Settings!$E$9="YAHOO",VLOOKUP(B173,ADP!A1:E728,2,FALSE),IF(Settings!$E$9="ESPN",VLOOKUP(B173,ADP!A1:E728,3,FALSE),IF(Settings!$E$9="FANTRAX",VLOOKUP(B173,ADP!A1:E728,4,FALSE),VLOOKUP(B173,ADP!A1:E728,5,FALSE))))</f>
        <v>88.7</v>
      </c>
      <c r="N173" s="39">
        <f>IFERROR(M173-A173,"N/A")</f>
        <v>-83.3</v>
      </c>
      <c r="O173" s="39"/>
      <c r="P173" s="40" t="str">
        <f>IF(Settings!$E$27="ON",VLOOKUP(B173,ADP!A1:H728,8,FALSE)," ")</f>
        <v xml:space="preserve"> </v>
      </c>
      <c r="Q173" s="41"/>
      <c r="R173" s="5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2"/>
      <c r="AI173" s="39"/>
      <c r="AJ173" s="43">
        <f>VLOOKUP(B173,'Player Data'!$A1:$AE734,24,FALSE)</f>
        <v>46</v>
      </c>
      <c r="AK173" s="41">
        <f>VLOOKUP(B173,'Player Data'!$A1:$AE734,25,FALSE)*$AJ173*IFERROR((VLOOKUP(P173,Settings!$E$28:$F$33,2,FALSE)+1),1)</f>
        <v>22.121866913776216</v>
      </c>
      <c r="AL173" s="41">
        <f>AJ173-AK173-AM173</f>
        <v>18.128133086223784</v>
      </c>
      <c r="AM173" s="41">
        <f>VLOOKUP(B173,'Player Data'!$A1:$AE734,27,FALSE)*$AJ173</f>
        <v>5.75</v>
      </c>
      <c r="AN173" s="41">
        <f>VLOOKUP(B173,'Player Data'!$A1:$AE734,28,FALSE)*AJ173</f>
        <v>2.1327589606775201</v>
      </c>
      <c r="AO173" s="41">
        <f>VLOOKUP(B173,'Player Data'!$A1:$AE734,29,FALSE)*$AJ173*IFERROR((VLOOKUP(P173,Settings!$E$28:$F$33,2,FALSE)/4)+1,1)</f>
        <v>1303.2787371212357</v>
      </c>
      <c r="AP173" s="41">
        <f>VLOOKUP(B173,'Player Data'!$A1:$AE734,31,FALSE)*$AJ173*(IFERROR(1-(VLOOKUP(P173,Settings!$E$28:$F$33,2,FALSE)/4),1))</f>
        <v>135.13142721626281</v>
      </c>
      <c r="AQ173" s="44">
        <f>1-(AP173/(AO173+AP173))</f>
        <v>0.90605501089565676</v>
      </c>
      <c r="AR173" s="45">
        <f>AP173/AJ173</f>
        <v>2.9376397220926695</v>
      </c>
      <c r="AS173" s="39"/>
    </row>
    <row r="174" spans="1:45" ht="21.25" customHeight="1" x14ac:dyDescent="0.15">
      <c r="A174" s="31">
        <f>RANK(K174,K$2:K$727)</f>
        <v>173</v>
      </c>
      <c r="B174" s="8" t="s">
        <v>278</v>
      </c>
      <c r="C174" s="32" t="s">
        <v>106</v>
      </c>
      <c r="D174" s="33" t="str">
        <f>VLOOKUP(B174,'Player Data'!A1:D734,4,FALSE)</f>
        <v>D</v>
      </c>
      <c r="E174" s="49">
        <f>VLOOKUP(B174,D!A1:C227,3,FALSE)</f>
        <v>42</v>
      </c>
      <c r="F174" s="35" t="str">
        <f>VLOOKUP(B174,'Player Data'!A1:B734,2,FALSE)</f>
        <v>VAN</v>
      </c>
      <c r="G174" s="9">
        <f>VLOOKUP(B174,'Player Data'!A1:D734,3,FALSE)</f>
        <v>25</v>
      </c>
      <c r="H174" s="36">
        <f>IFERROR(VLOOKUP(B174,ADP!A1:G728,7,FALSE)/1000000,VLOOKUP(B174,ADP!A1:G728,7,FALSE))</f>
        <v>4.4000000000000004</v>
      </c>
      <c r="I174" s="37">
        <f>IF(Settings!$E$15="POINTS",((R174*Q174)*Settings!$B$12)+(S174*Settings!$B$2)+(T174*Settings!$B$3)+(U174*Settings!$B$4)+(V174*Settings!$B$5)+(X174*Settings!$B$9)+(AA174*Settings!$B$6)+(W174*Settings!$B$8)+(AB174*Settings!$B$7)+(AC174*Settings!$B$14)+(AD174*Settings!$B$15)+(AE174*Settings!$B$16)+(AF174*Settings!$B$17)+(AG174*Settings!$B$18)+(U174*Settings!$B$13)+(Y174*Settings!$B$10)+(Z174*Settings!$B$11),VLOOKUP(B174,'Standard Deviations'!A1:C728,3,FALSE))</f>
        <v>227.60408074103867</v>
      </c>
      <c r="J174" s="38">
        <f>IF(D174="G",I174/AJ174,I174/Q174)</f>
        <v>2.9073779234979713</v>
      </c>
      <c r="K174" s="37">
        <f>VLOOKUP(B174,D!A1:F227,6,FALSE)</f>
        <v>-83.961400886888782</v>
      </c>
      <c r="L174" s="37">
        <f>IFERROR(K174/H174,"N/A")</f>
        <v>-19.082136565201996</v>
      </c>
      <c r="M174" s="39">
        <f>IF(Settings!$E$9="YAHOO",VLOOKUP(B174,ADP!A1:E728,2,FALSE),IF(Settings!$E$9="ESPN",VLOOKUP(B174,ADP!A1:E728,3,FALSE),IF(Settings!$E$9="FANTRAX",VLOOKUP(B174,ADP!A1:E728,4,FALSE),VLOOKUP(B174,ADP!A1:E728,5,FALSE))))</f>
        <v>148.80000000000001</v>
      </c>
      <c r="N174" s="39">
        <f>IFERROR(M174-A174,"N/A")</f>
        <v>-24.199999999999989</v>
      </c>
      <c r="O174" s="39"/>
      <c r="P174" s="40" t="str">
        <f>IF(Settings!$E$27="ON",VLOOKUP(B174,ADP!A1:H728,8,FALSE)," ")</f>
        <v xml:space="preserve"> </v>
      </c>
      <c r="Q174" s="41">
        <f>IF(Settings!$E$12="YES",VLOOKUP(B174,'Player Data'!A1:E734,5,FALSE),82)</f>
        <v>78.284999999999997</v>
      </c>
      <c r="R174" s="39">
        <f>VLOOKUP(B174,'Player Data'!$A1:$AE734,6,FALSE)</f>
        <v>22.059552401887299</v>
      </c>
      <c r="S174" s="41">
        <f>VLOOKUP(B174,'Player Data'!$A1:$AE734,7,FALSE)*$Q174*IFERROR((VLOOKUP(P174,Settings!$E$28:$F$33,2,FALSE)+1),1)</f>
        <v>7.0283058782188919</v>
      </c>
      <c r="T174" s="41">
        <f>VLOOKUP(B174,'Player Data'!$A1:$AE734,8,FALSE)*$Q174*IFERROR((VLOOKUP(P174,Settings!$E$28:$F$33,2,FALSE)+1),1)</f>
        <v>32.365269346668676</v>
      </c>
      <c r="U174" s="41">
        <f>SUM(S174:T174)</f>
        <v>39.39357522488757</v>
      </c>
      <c r="V174" s="41">
        <f>VLOOKUP(B174,'Player Data'!$A1:$AE734,10,FALSE)*$Q174*IFERROR(((VLOOKUP(P174,Settings!$E$28:$F$33,2,FALSE)/2)+1),1)</f>
        <v>143.84065280860574</v>
      </c>
      <c r="W174" s="41">
        <f>VLOOKUP(B174,'Player Data'!$A1:$AE734,11,FALSE)*$Q174*IFERROR((VLOOKUP(P174,Settings!$E$28:$F$33,2,FALSE)+1),1)</f>
        <v>1.9966207604660153</v>
      </c>
      <c r="X174" s="41">
        <f>VLOOKUP(B174,'Player Data'!$A1:$AE734,12,FALSE)*$Q174*IFERROR((VLOOKUP(P174,Settings!$E$28:$F$33,2,FALSE)+1),1)</f>
        <v>9.9314867597425689</v>
      </c>
      <c r="Y174" s="41">
        <f>VLOOKUP(B174,'Player Data'!$A1:$AE734,13,FALSE)*$Q174</f>
        <v>3.6488490086964837E-2</v>
      </c>
      <c r="Z174" s="41">
        <f>VLOOKUP(B174,'Player Data'!$A1:$AE734,14,FALSE)*$Q174</f>
        <v>0.13903867419182123</v>
      </c>
      <c r="AA174" s="41">
        <f>VLOOKUP(B174,'Player Data'!$A1:$AE734,15,FALSE)*$Q174</f>
        <v>86.809888971021564</v>
      </c>
      <c r="AB174" s="41">
        <f>VLOOKUP(B174,'Player Data'!$A1:$AE734,16,FALSE)*$Q174</f>
        <v>104.74954479029307</v>
      </c>
      <c r="AC174" s="41">
        <f>VLOOKUP(B174,'Player Data'!$A1:$AE734,17,FALSE)*$Q174*IFERROR((VLOOKUP(P174,Settings!$E$28:$F$33,2,FALSE)+1),1)</f>
        <v>0.55656721452060809</v>
      </c>
      <c r="AD174" s="41">
        <f>VLOOKUP(B174,'Player Data'!$A1:$AE734,18,FALSE)*$Q174</f>
        <v>31.549384389568875</v>
      </c>
      <c r="AE174" s="41">
        <f>VLOOKUP(B174,'Player Data'!$A1:$AE734,19,FALSE)*$Q174*IFERROR((VLOOKUP(P174,Settings!$E$28:$F$33,2,FALSE)+1),1)</f>
        <v>0.99492451286193251</v>
      </c>
      <c r="AF174" s="41">
        <f>VLOOKUP(B174,'Player Data'!$A1:$AE734,20,FALSE)*$Q174</f>
        <v>0</v>
      </c>
      <c r="AG174" s="41">
        <f>VLOOKUP(B174,'Player Data'!$A1:$AE734,21,FALSE)*$Q174</f>
        <v>0</v>
      </c>
      <c r="AH174" s="42">
        <f>VLOOKUP(B174,'Player Data'!$A1:$AE734,22,FALSE)</f>
        <v>0</v>
      </c>
      <c r="AI174" s="39"/>
      <c r="AJ174" s="43"/>
      <c r="AK174" s="41"/>
      <c r="AL174" s="41"/>
      <c r="AM174" s="41"/>
      <c r="AN174" s="41"/>
      <c r="AO174" s="41"/>
      <c r="AP174" s="41"/>
      <c r="AQ174" s="44"/>
      <c r="AR174" s="45"/>
      <c r="AS174" s="43"/>
    </row>
    <row r="175" spans="1:45" ht="21.25" customHeight="1" x14ac:dyDescent="0.15">
      <c r="A175" s="31">
        <f>RANK(K175,K$2:K$727)</f>
        <v>174</v>
      </c>
      <c r="B175" s="8" t="s">
        <v>279</v>
      </c>
      <c r="C175" s="32" t="s">
        <v>106</v>
      </c>
      <c r="D175" s="33" t="str">
        <f>VLOOKUP(B175,'Player Data'!A1:D734,4,FALSE)</f>
        <v>C</v>
      </c>
      <c r="E175" s="34">
        <f>VLOOKUP(B175,'C'!A1:C211,3,FALSE)</f>
        <v>47</v>
      </c>
      <c r="F175" s="35" t="str">
        <f>VLOOKUP(B175,'Player Data'!A1:B734,2,FALSE)</f>
        <v>NJD</v>
      </c>
      <c r="G175" s="9">
        <f>VLOOKUP(B175,'Player Data'!A1:D734,3,FALSE)</f>
        <v>21</v>
      </c>
      <c r="H175" s="36">
        <f>IFERROR(VLOOKUP(B175,ADP!A1:G728,7,FALSE)/1000000,VLOOKUP(B175,ADP!A1:G728,7,FALSE))</f>
        <v>0.89416700000000005</v>
      </c>
      <c r="I175" s="37">
        <f>IF(Settings!$E$15="POINTS",((R175*Q175)*Settings!$B$12)+(S175*Settings!$B$2)+(T175*Settings!$B$3)+(U175*Settings!$B$4)+(V175*Settings!$B$5)+(X175*Settings!$B$9)+(AA175*Settings!$B$6)+(W175*Settings!$B$8)+(AB175*Settings!$B$7)+(AC175*Settings!$B$14)+(AD175*Settings!$B$15)+(AE175*Settings!$B$16)+(AF175*Settings!$B$17)+(AG175*Settings!$B$18)+(Y175*Settings!$B$10)+(Z175*Settings!$B$11),VLOOKUP(B175,'Standard Deviations'!A1:C728,3,FALSE))</f>
        <v>309.17031985018787</v>
      </c>
      <c r="J175" s="38">
        <f>IF(D175="G",I175/AJ175,I175/Q175)</f>
        <v>3.7930354539343374</v>
      </c>
      <c r="K175" s="37">
        <f>IF(Settings!$E$18="C/LW/RW",VLOOKUP(B175,'C'!A1:F211,6,FALSE),VLOOKUP(B175,F!A1:F430,6,FALSE))</f>
        <v>-84.158485916021789</v>
      </c>
      <c r="L175" s="37">
        <f>IFERROR(K175/H175,"N/A")</f>
        <v>-94.119427261374867</v>
      </c>
      <c r="M175" s="39">
        <f>IF(Settings!$E$9="YAHOO",VLOOKUP(B175,ADP!A1:E728,2,FALSE),IF(Settings!$E$9="ESPN",VLOOKUP(B175,ADP!A1:E728,3,FALSE),IF(Settings!$E$9="FANTRAX",VLOOKUP(B175,ADP!A1:E728,4,FALSE),VLOOKUP(B175,ADP!A1:E728,5,FALSE))))</f>
        <v>156.9</v>
      </c>
      <c r="N175" s="39">
        <f>IFERROR(M175-A175,"N/A")</f>
        <v>-17.099999999999994</v>
      </c>
      <c r="O175" s="39"/>
      <c r="P175" s="40" t="str">
        <f>IF(Settings!$E$27="ON",VLOOKUP(B175,ADP!A1:H728,8,FALSE)," ")</f>
        <v>+ +</v>
      </c>
      <c r="Q175" s="41">
        <f>IF(Settings!$E$12="YES",VLOOKUP(B175,'Player Data'!A1:E734,5,FALSE),82)</f>
        <v>81.510000000000005</v>
      </c>
      <c r="R175" s="39">
        <f>VLOOKUP(B175,'Player Data'!$A1:$AE734,6,FALSE)</f>
        <v>17.3815855810243</v>
      </c>
      <c r="S175" s="41">
        <f>VLOOKUP(B175,'Player Data'!$A1:$AE734,7,FALSE)*$Q175*IFERROR((VLOOKUP(P175,Settings!$E$28:$F$33,2,FALSE)+1),1)</f>
        <v>27.366593237427807</v>
      </c>
      <c r="T175" s="41">
        <f>VLOOKUP(B175,'Player Data'!$A1:$AE734,8,FALSE)*$Q175*IFERROR((VLOOKUP(P175,Settings!$E$28:$F$33,2,FALSE)+1),1)</f>
        <v>34.030006449773346</v>
      </c>
      <c r="U175" s="41">
        <f>SUM(S175:T175)</f>
        <v>61.396599687201153</v>
      </c>
      <c r="V175" s="41">
        <f>VLOOKUP(B175,'Player Data'!$A1:$AE734,10,FALSE)*$Q175*IFERROR(((VLOOKUP(P175,Settings!$E$28:$F$33,2,FALSE)/2)+1),1)</f>
        <v>175.14496272576727</v>
      </c>
      <c r="W175" s="41">
        <f>VLOOKUP(B175,'Player Data'!$A1:$AE734,11,FALSE)*$Q175*IFERROR((VLOOKUP(P175,Settings!$E$28:$F$33,2,FALSE)+1),1)</f>
        <v>3.0166962265289978</v>
      </c>
      <c r="X175" s="41">
        <f>VLOOKUP(B175,'Player Data'!$A1:$AE734,12,FALSE)*$Q175*IFERROR((VLOOKUP(P175,Settings!$E$28:$F$33,2,FALSE)+1),1)</f>
        <v>10.86291948257773</v>
      </c>
      <c r="Y175" s="41">
        <f>VLOOKUP(B175,'Player Data'!$A1:$AE734,13,FALSE)*$Q175</f>
        <v>1.3759270739864995</v>
      </c>
      <c r="Z175" s="41">
        <f>VLOOKUP(B175,'Player Data'!$A1:$AE734,14,FALSE)*$Q175</f>
        <v>2.2908775763775311</v>
      </c>
      <c r="AA175" s="41">
        <f>VLOOKUP(B175,'Player Data'!$A1:$AE734,15,FALSE)*$Q175</f>
        <v>55.502226538951</v>
      </c>
      <c r="AB175" s="41">
        <f>VLOOKUP(B175,'Player Data'!$A1:$AE734,16,FALSE)*$Q175</f>
        <v>40.215606913557764</v>
      </c>
      <c r="AC175" s="41">
        <f>VLOOKUP(B175,'Player Data'!$A1:$AE734,17,FALSE)*$Q175*IFERROR((VLOOKUP(P175,Settings!$E$28:$F$33,2,FALSE)+1),1)</f>
        <v>9.1249317092680984E-2</v>
      </c>
      <c r="AD175" s="41">
        <f>VLOOKUP(B175,'Player Data'!$A1:$AE734,18,FALSE)*$Q175</f>
        <v>23.632494643307869</v>
      </c>
      <c r="AE175" s="41">
        <f>VLOOKUP(B175,'Player Data'!$A1:$AE734,19,FALSE)*$Q175*IFERROR((VLOOKUP(P175,Settings!$E$28:$F$33,2,FALSE)+1),1)</f>
        <v>4.0281053982978623</v>
      </c>
      <c r="AF175" s="41">
        <f>VLOOKUP(B175,'Player Data'!$A1:$AE734,20,FALSE)*$Q175</f>
        <v>97.311977968230309</v>
      </c>
      <c r="AG175" s="41">
        <f>VLOOKUP(B175,'Player Data'!$A1:$AE734,21,FALSE)*$Q175</f>
        <v>150.60194961583443</v>
      </c>
      <c r="AH175" s="42">
        <f>VLOOKUP(B175,'Player Data'!$A1:$AE734,22,FALSE)</f>
        <v>0.39252323948291601</v>
      </c>
      <c r="AI175" s="39"/>
      <c r="AJ175" s="43"/>
      <c r="AK175" s="41"/>
      <c r="AL175" s="41"/>
      <c r="AM175" s="41"/>
      <c r="AN175" s="41"/>
      <c r="AO175" s="41"/>
      <c r="AP175" s="41"/>
      <c r="AQ175" s="44"/>
      <c r="AR175" s="45"/>
      <c r="AS175" s="39"/>
    </row>
    <row r="176" spans="1:45" ht="21.25" customHeight="1" x14ac:dyDescent="0.15">
      <c r="A176" s="31">
        <f>RANK(K176,K$2:K$727)</f>
        <v>175</v>
      </c>
      <c r="B176" s="8" t="s">
        <v>280</v>
      </c>
      <c r="C176" s="32" t="s">
        <v>106</v>
      </c>
      <c r="D176" s="33" t="str">
        <f>VLOOKUP(B176,'Player Data'!A1:D734,4,FALSE)</f>
        <v>G</v>
      </c>
      <c r="E176" s="50">
        <f>VLOOKUP(B176,G!A1:D75,3,FALSE)</f>
        <v>23</v>
      </c>
      <c r="F176" s="35" t="str">
        <f>VLOOKUP(B176,'Player Data'!A1:B734,2,FALSE)</f>
        <v>NJD</v>
      </c>
      <c r="G176" s="9">
        <f>VLOOKUP(B176,'Player Data'!A1:D734,3,FALSE)</f>
        <v>27</v>
      </c>
      <c r="H176" s="36">
        <f>IFERROR(VLOOKUP(B176,ADP!A1:G728,7,FALSE)/1000000,VLOOKUP(B176,ADP!A1:G728,7,FALSE))</f>
        <v>3.4</v>
      </c>
      <c r="I176" s="37">
        <f>IF(Settings!$E$15="POINTS",(AJ176*Settings!$B$29)+(AK176*Settings!$B$21)+(AL176*Settings!$B$22)+(AN176*Settings!$B$24)+(AO176*Settings!$B$25)+(AP176*Settings!$B$27)+(AM176*Settings!$B$23),VLOOKUP(B176,'Standard Deviations'!A1:C728,3,FALSE))</f>
        <v>313.71483854854841</v>
      </c>
      <c r="J176" s="38">
        <f>IF(D176="G",I176/AJ176,I176/Q176)</f>
        <v>7.4694009178225809</v>
      </c>
      <c r="K176" s="37">
        <f>VLOOKUP(B176,G!A1:F75,6,FALSE)</f>
        <v>-85.060823540767785</v>
      </c>
      <c r="L176" s="37">
        <f>IFERROR(K176/H176,"N/A")</f>
        <v>-25.017889276696408</v>
      </c>
      <c r="M176" s="39">
        <f>IF(Settings!$E$9="YAHOO",VLOOKUP(B176,ADP!A1:E728,2,FALSE),IF(Settings!$E$9="ESPN",VLOOKUP(B176,ADP!A1:E728,3,FALSE),IF(Settings!$E$9="FANTRAX",VLOOKUP(B176,ADP!A1:E728,4,FALSE),VLOOKUP(B176,ADP!A1:E728,5,FALSE))))</f>
        <v>80.7</v>
      </c>
      <c r="N176" s="39">
        <f>IFERROR(M176-A176,"N/A")</f>
        <v>-94.3</v>
      </c>
      <c r="O176" s="39"/>
      <c r="P176" s="40" t="str">
        <f>IF(Settings!$E$27="ON",VLOOKUP(B176,ADP!A1:H728,8,FALSE)," ")</f>
        <v xml:space="preserve"> </v>
      </c>
      <c r="Q176" s="41"/>
      <c r="R176" s="5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2"/>
      <c r="AI176" s="39"/>
      <c r="AJ176" s="43">
        <f>VLOOKUP(B176,'Player Data'!$A1:$AE734,24,FALSE)</f>
        <v>42</v>
      </c>
      <c r="AK176" s="41">
        <f>VLOOKUP(B176,'Player Data'!$A1:$AE734,25,FALSE)*$AJ176*IFERROR((VLOOKUP(P176,Settings!$E$28:$F$33,2,FALSE)+1),1)</f>
        <v>24.664549896661754</v>
      </c>
      <c r="AL176" s="41">
        <f>AJ176-AK176-AM176</f>
        <v>12.085450103338246</v>
      </c>
      <c r="AM176" s="41">
        <f>VLOOKUP(B176,'Player Data'!$A1:$AE734,27,FALSE)*$AJ176</f>
        <v>5.25</v>
      </c>
      <c r="AN176" s="41">
        <f>VLOOKUP(B176,'Player Data'!$A1:$AE734,28,FALSE)*AJ176</f>
        <v>2.7684587649027539</v>
      </c>
      <c r="AO176" s="41">
        <f>VLOOKUP(B176,'Player Data'!$A1:$AE734,29,FALSE)*$AJ176*IFERROR((VLOOKUP(P176,Settings!$E$28:$F$33,2,FALSE)/4)+1,1)</f>
        <v>1144.1649747332153</v>
      </c>
      <c r="AP176" s="41">
        <f>VLOOKUP(B176,'Player Data'!$A1:$AE734,31,FALSE)*$AJ176*(IFERROR(1-(VLOOKUP(P176,Settings!$E$28:$F$33,2,FALSE)/4),1))</f>
        <v>112.63273867928334</v>
      </c>
      <c r="AQ176" s="44">
        <f>1-(AP176/(AO176+AP176))</f>
        <v>0.91038117154632692</v>
      </c>
      <c r="AR176" s="45">
        <f>AP176/AJ176</f>
        <v>2.6817318733162701</v>
      </c>
      <c r="AS176" s="39"/>
    </row>
    <row r="177" spans="1:45" ht="21.25" customHeight="1" x14ac:dyDescent="0.15">
      <c r="A177" s="31">
        <f>RANK(K177,K$2:K$727)</f>
        <v>176</v>
      </c>
      <c r="B177" s="8" t="s">
        <v>281</v>
      </c>
      <c r="C177" s="32" t="s">
        <v>106</v>
      </c>
      <c r="D177" s="33" t="str">
        <f>VLOOKUP(B177,'Player Data'!A1:D734,4,FALSE)</f>
        <v>G</v>
      </c>
      <c r="E177" s="50">
        <f>VLOOKUP(B177,G!A1:D75,3,FALSE)</f>
        <v>24</v>
      </c>
      <c r="F177" s="35" t="str">
        <f>VLOOKUP(B177,'Player Data'!A1:B734,2,FALSE)</f>
        <v>SEA</v>
      </c>
      <c r="G177" s="9">
        <f>VLOOKUP(B177,'Player Data'!A1:D734,3,FALSE)</f>
        <v>31</v>
      </c>
      <c r="H177" s="36">
        <f>IFERROR(VLOOKUP(B177,ADP!A1:G728,7,FALSE)/1000000,VLOOKUP(B177,ADP!A1:G728,7,FALSE))</f>
        <v>5.9</v>
      </c>
      <c r="I177" s="37">
        <f>IF(Settings!$E$15="POINTS",(AJ177*Settings!$B$29)+(AK177*Settings!$B$21)+(AL177*Settings!$B$22)+(AN177*Settings!$B$24)+(AO177*Settings!$B$25)+(AP177*Settings!$B$27)+(AM177*Settings!$B$23),VLOOKUP(B177,'Standard Deviations'!A1:C728,3,FALSE))</f>
        <v>313.10851241207484</v>
      </c>
      <c r="J177" s="38">
        <f>IF(D177="G",I177/AJ177,I177/Q177)</f>
        <v>6.6618832428101031</v>
      </c>
      <c r="K177" s="37">
        <f>VLOOKUP(B177,G!A1:F75,6,FALSE)</f>
        <v>-85.667149677241355</v>
      </c>
      <c r="L177" s="37">
        <f>IFERROR(K177/H177,"N/A")</f>
        <v>-14.519855877498534</v>
      </c>
      <c r="M177" s="39">
        <f>IF(Settings!$E$9="YAHOO",VLOOKUP(B177,ADP!A1:E728,2,FALSE),IF(Settings!$E$9="ESPN",VLOOKUP(B177,ADP!A1:E728,3,FALSE),IF(Settings!$E$9="FANTRAX",VLOOKUP(B177,ADP!A1:E728,4,FALSE),VLOOKUP(B177,ADP!A1:E728,5,FALSE))))</f>
        <v>160.9</v>
      </c>
      <c r="N177" s="39">
        <f>IFERROR(M177-A177,"N/A")</f>
        <v>-15.099999999999994</v>
      </c>
      <c r="O177" s="39"/>
      <c r="P177" s="40" t="str">
        <f>IF(Settings!$E$27="ON",VLOOKUP(B177,ADP!A1:H728,8,FALSE)," ")</f>
        <v>+</v>
      </c>
      <c r="Q177" s="41"/>
      <c r="R177" s="5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2"/>
      <c r="AI177" s="39"/>
      <c r="AJ177" s="43">
        <f>VLOOKUP(B177,'Player Data'!$A1:$AE734,24,FALSE)</f>
        <v>47</v>
      </c>
      <c r="AK177" s="41">
        <f>VLOOKUP(B177,'Player Data'!$A1:$AE734,25,FALSE)*$AJ177*IFERROR((VLOOKUP(P177,Settings!$E$28:$F$33,2,FALSE)+1),1)</f>
        <v>24.778276190652882</v>
      </c>
      <c r="AL177" s="41">
        <f>AJ177-AK177-AM177</f>
        <v>16.346723809347118</v>
      </c>
      <c r="AM177" s="41">
        <f>VLOOKUP(B177,'Player Data'!$A1:$AE734,27,FALSE)*$AJ177</f>
        <v>5.875</v>
      </c>
      <c r="AN177" s="41">
        <f>VLOOKUP(B177,'Player Data'!$A1:$AE734,28,FALSE)*AJ177</f>
        <v>2.510171847020799</v>
      </c>
      <c r="AO177" s="41">
        <f>VLOOKUP(B177,'Player Data'!$A1:$AE734,29,FALSE)*$AJ177*IFERROR((VLOOKUP(P177,Settings!$E$28:$F$33,2,FALSE)/4)+1,1)</f>
        <v>1259.8923060303921</v>
      </c>
      <c r="AP177" s="41">
        <f>VLOOKUP(B177,'Player Data'!$A1:$AE734,31,FALSE)*$AJ177*(IFERROR(1-(VLOOKUP(P177,Settings!$E$28:$F$33,2,FALSE)/4),1))</f>
        <v>132.06427095637383</v>
      </c>
      <c r="AQ177" s="44">
        <f>1-(AP177/(AO177+AP177))</f>
        <v>0.90512328247892648</v>
      </c>
      <c r="AR177" s="45">
        <f>AP177/AJ177</f>
        <v>2.8098781054547626</v>
      </c>
      <c r="AS177" s="39"/>
    </row>
    <row r="178" spans="1:45" ht="21.25" customHeight="1" x14ac:dyDescent="0.15">
      <c r="A178" s="31">
        <f>RANK(K178,K$2:K$727)</f>
        <v>177</v>
      </c>
      <c r="B178" s="8" t="s">
        <v>282</v>
      </c>
      <c r="C178" s="32" t="s">
        <v>106</v>
      </c>
      <c r="D178" s="33" t="str">
        <f>VLOOKUP(B178,'Player Data'!A1:D734,4,FALSE)</f>
        <v>D</v>
      </c>
      <c r="E178" s="49">
        <f>VLOOKUP(B178,D!A1:C227,3,FALSE)</f>
        <v>43</v>
      </c>
      <c r="F178" s="35" t="str">
        <f>VLOOKUP(B178,'Player Data'!A1:B734,2,FALSE)</f>
        <v>NSH</v>
      </c>
      <c r="G178" s="9">
        <f>VLOOKUP(B178,'Player Data'!A1:D734,3,FALSE)</f>
        <v>32</v>
      </c>
      <c r="H178" s="36">
        <f>IFERROR(VLOOKUP(B178,ADP!A1:G728,7,FALSE)/1000000,VLOOKUP(B178,ADP!A1:G728,7,FALSE))</f>
        <v>4.5</v>
      </c>
      <c r="I178" s="37">
        <f>IF(Settings!$E$15="POINTS",((R178*Q178)*Settings!$B$12)+(S178*Settings!$B$2)+(T178*Settings!$B$3)+(U178*Settings!$B$4)+(V178*Settings!$B$5)+(X178*Settings!$B$9)+(AA178*Settings!$B$6)+(W178*Settings!$B$8)+(AB178*Settings!$B$7)+(AC178*Settings!$B$14)+(AD178*Settings!$B$15)+(AE178*Settings!$B$16)+(AF178*Settings!$B$17)+(AG178*Settings!$B$18)+(U178*Settings!$B$13)+(Y178*Settings!$B$10)+(Z178*Settings!$B$11),VLOOKUP(B178,'Standard Deviations'!A1:C728,3,FALSE))</f>
        <v>225.3446563560357</v>
      </c>
      <c r="J178" s="38">
        <f>IF(D178="G",I178/AJ178,I178/Q178)</f>
        <v>2.7709149259887575</v>
      </c>
      <c r="K178" s="37">
        <f>VLOOKUP(B178,D!A1:F227,6,FALSE)</f>
        <v>-86.220825271891755</v>
      </c>
      <c r="L178" s="37">
        <f>IFERROR(K178/H178,"N/A")</f>
        <v>-19.160183393753723</v>
      </c>
      <c r="M178" s="39">
        <f>IF(Settings!$E$9="YAHOO",VLOOKUP(B178,ADP!A1:E728,2,FALSE),IF(Settings!$E$9="ESPN",VLOOKUP(B178,ADP!A1:E728,3,FALSE),IF(Settings!$E$9="FANTRAX",VLOOKUP(B178,ADP!A1:E728,4,FALSE),VLOOKUP(B178,ADP!A1:E728,5,FALSE))))</f>
        <v>108.3</v>
      </c>
      <c r="N178" s="39">
        <f>IFERROR(M178-A178,"N/A")</f>
        <v>-68.7</v>
      </c>
      <c r="O178" s="39"/>
      <c r="P178" s="40" t="str">
        <f>IF(Settings!$E$27="ON",VLOOKUP(B178,ADP!A1:H728,8,FALSE)," ")</f>
        <v>-</v>
      </c>
      <c r="Q178" s="41">
        <f>IF(Settings!$E$12="YES",VLOOKUP(B178,'Player Data'!A1:E734,5,FALSE),82)</f>
        <v>81.325000000000003</v>
      </c>
      <c r="R178" s="39">
        <f>VLOOKUP(B178,'Player Data'!$A1:$AE734,6,FALSE)</f>
        <v>18.225764967494701</v>
      </c>
      <c r="S178" s="41">
        <f>VLOOKUP(B178,'Player Data'!$A1:$AE734,7,FALSE)*$Q178*IFERROR((VLOOKUP(P178,Settings!$E$28:$F$33,2,FALSE)+1),1)</f>
        <v>7.5007382397954778</v>
      </c>
      <c r="T178" s="41">
        <f>VLOOKUP(B178,'Player Data'!$A1:$AE734,8,FALSE)*$Q178*IFERROR((VLOOKUP(P178,Settings!$E$28:$F$33,2,FALSE)+1),1)</f>
        <v>28.683819460978128</v>
      </c>
      <c r="U178" s="41">
        <f>SUM(S178:T178)</f>
        <v>36.18455770077361</v>
      </c>
      <c r="V178" s="41">
        <f>VLOOKUP(B178,'Player Data'!$A1:$AE734,10,FALSE)*$Q178*IFERROR(((VLOOKUP(P178,Settings!$E$28:$F$33,2,FALSE)/2)+1),1)</f>
        <v>140.55413602731548</v>
      </c>
      <c r="W178" s="41">
        <f>VLOOKUP(B178,'Player Data'!$A1:$AE734,11,FALSE)*$Q178*IFERROR((VLOOKUP(P178,Settings!$E$28:$F$33,2,FALSE)+1),1)</f>
        <v>2.0250082137651648</v>
      </c>
      <c r="X178" s="41">
        <f>VLOOKUP(B178,'Player Data'!$A1:$AE734,12,FALSE)*$Q178*IFERROR((VLOOKUP(P178,Settings!$E$28:$F$33,2,FALSE)+1),1)</f>
        <v>14.441347276885073</v>
      </c>
      <c r="Y178" s="41">
        <f>VLOOKUP(B178,'Player Data'!$A1:$AE734,13,FALSE)*$Q178</f>
        <v>1.4124196760327322E-2</v>
      </c>
      <c r="Z178" s="41">
        <f>VLOOKUP(B178,'Player Data'!$A1:$AE734,14,FALSE)*$Q178</f>
        <v>0.39871614221207186</v>
      </c>
      <c r="AA178" s="41">
        <f>VLOOKUP(B178,'Player Data'!$A1:$AE734,15,FALSE)*$Q178</f>
        <v>84.168942009314378</v>
      </c>
      <c r="AB178" s="41">
        <f>VLOOKUP(B178,'Player Data'!$A1:$AE734,16,FALSE)*$Q178</f>
        <v>59.3291766645102</v>
      </c>
      <c r="AC178" s="41">
        <f>VLOOKUP(B178,'Player Data'!$A1:$AE734,17,FALSE)*$Q178*IFERROR((VLOOKUP(P178,Settings!$E$28:$F$33,2,FALSE)+1),1)</f>
        <v>-1.7107610219651759</v>
      </c>
      <c r="AD178" s="41">
        <f>VLOOKUP(B178,'Player Data'!$A1:$AE734,18,FALSE)*$Q178</f>
        <v>25.938770765586359</v>
      </c>
      <c r="AE178" s="41">
        <f>VLOOKUP(B178,'Player Data'!$A1:$AE734,19,FALSE)*$Q178*IFERROR((VLOOKUP(P178,Settings!$E$28:$F$33,2,FALSE)+1),1)</f>
        <v>1.095303957897956</v>
      </c>
      <c r="AF178" s="41">
        <f>VLOOKUP(B178,'Player Data'!$A1:$AE734,20,FALSE)*$Q178</f>
        <v>0</v>
      </c>
      <c r="AG178" s="41">
        <f>VLOOKUP(B178,'Player Data'!$A1:$AE734,21,FALSE)*$Q178</f>
        <v>0</v>
      </c>
      <c r="AH178" s="42">
        <f>VLOOKUP(B178,'Player Data'!$A1:$AE734,22,FALSE)</f>
        <v>0</v>
      </c>
      <c r="AI178" s="39"/>
      <c r="AJ178" s="41"/>
      <c r="AK178" s="41"/>
      <c r="AL178" s="41"/>
      <c r="AM178" s="41"/>
      <c r="AN178" s="41"/>
      <c r="AO178" s="41"/>
      <c r="AP178" s="41"/>
      <c r="AQ178" s="44"/>
      <c r="AR178" s="45"/>
      <c r="AS178" s="39"/>
    </row>
    <row r="179" spans="1:45" ht="21.25" customHeight="1" x14ac:dyDescent="0.15">
      <c r="A179" s="31">
        <f>RANK(K179,K$2:K$727)</f>
        <v>178</v>
      </c>
      <c r="B179" s="8" t="s">
        <v>283</v>
      </c>
      <c r="C179" s="32" t="s">
        <v>106</v>
      </c>
      <c r="D179" s="33" t="str">
        <f>VLOOKUP(B179,'Player Data'!A1:D734,4,FALSE)</f>
        <v>RW</v>
      </c>
      <c r="E179" s="46">
        <f>VLOOKUP(B179,RW!A1:F97,3,FALSE)</f>
        <v>29</v>
      </c>
      <c r="F179" s="35" t="str">
        <f>VLOOKUP(B179,'Player Data'!A1:B734,2,FALSE)</f>
        <v>PIT</v>
      </c>
      <c r="G179" s="9">
        <f>VLOOKUP(B179,'Player Data'!A1:D734,3,FALSE)</f>
        <v>32</v>
      </c>
      <c r="H179" s="36">
        <f>IFERROR(VLOOKUP(B179,ADP!A1:G728,7,FALSE)/1000000,VLOOKUP(B179,ADP!A1:G728,7,FALSE))</f>
        <v>5</v>
      </c>
      <c r="I179" s="37">
        <f>IF(Settings!$E$15="POINTS",((R179*Q179)*Settings!$B$12)+(S179*Settings!$B$2)+(T179*Settings!$B$3)+(U179*Settings!$B$4)+(V179*Settings!$B$5)+(X179*Settings!$B$9)+(AA179*Settings!$B$6)+(W179*Settings!$B$8)+(AB179*Settings!$B$7)+(AC179*Settings!$B$14)+(AD179*Settings!$B$15)+(AE179*Settings!$B$16)+(AF179*Settings!$B$17)+(AG179*Settings!$B$18)+(Y179*Settings!$B$10)+(Z179*Settings!$B$11),VLOOKUP(B179,'Standard Deviations'!A1:C728,3,FALSE))</f>
        <v>263.48794626075983</v>
      </c>
      <c r="J179" s="38">
        <f>IF(D179="G",I179/AJ179,I179/Q179)</f>
        <v>3.4083890006750903</v>
      </c>
      <c r="K179" s="37">
        <f>IF(Settings!$E$18="C/LW/RW",VLOOKUP(B179,RW!A1:F97,6,FALSE),VLOOKUP(B179,F!A1:F430,6,FALSE))</f>
        <v>-86.783594287129745</v>
      </c>
      <c r="L179" s="37">
        <f>IFERROR(K179/H179,"N/A")</f>
        <v>-17.35671885742595</v>
      </c>
      <c r="M179" s="39">
        <f>IF(Settings!$E$9="YAHOO",VLOOKUP(B179,ADP!A1:E728,2,FALSE),IF(Settings!$E$9="ESPN",VLOOKUP(B179,ADP!A1:E728,3,FALSE),IF(Settings!$E$9="FANTRAX",VLOOKUP(B179,ADP!A1:E728,4,FALSE),VLOOKUP(B179,ADP!A1:E728,5,FALSE))))</f>
        <v>152</v>
      </c>
      <c r="N179" s="39">
        <f>IFERROR(M179-A179,"N/A")</f>
        <v>-26</v>
      </c>
      <c r="O179" s="39"/>
      <c r="P179" s="40" t="str">
        <f>IF(Settings!$E$27="ON",VLOOKUP(B179,ADP!A1:H728,8,FALSE)," ")</f>
        <v xml:space="preserve"> </v>
      </c>
      <c r="Q179" s="41">
        <f>IF(Settings!$E$12="YES",VLOOKUP(B179,'Player Data'!A1:E734,5,FALSE),82)</f>
        <v>77.305714285714302</v>
      </c>
      <c r="R179" s="39">
        <f>VLOOKUP(B179,'Player Data'!$A1:$AE734,6,FALSE)</f>
        <v>17.372599281242302</v>
      </c>
      <c r="S179" s="41">
        <f>VLOOKUP(B179,'Player Data'!$A1:$AE734,7,FALSE)*$Q179*IFERROR((VLOOKUP(P179,Settings!$E$28:$F$33,2,FALSE)+1),1)</f>
        <v>21.957758105006043</v>
      </c>
      <c r="T179" s="41">
        <f>VLOOKUP(B179,'Player Data'!$A1:$AE734,8,FALSE)*$Q179*IFERROR((VLOOKUP(P179,Settings!$E$28:$F$33,2,FALSE)+1),1)</f>
        <v>26.644245368507711</v>
      </c>
      <c r="U179" s="41">
        <f>SUM(S179:T179)</f>
        <v>48.602003473513754</v>
      </c>
      <c r="V179" s="41">
        <f>VLOOKUP(B179,'Player Data'!$A1:$AE734,10,FALSE)*$Q179*IFERROR(((VLOOKUP(P179,Settings!$E$28:$F$33,2,FALSE)/2)+1),1)</f>
        <v>177.24821154515246</v>
      </c>
      <c r="W179" s="41">
        <f>VLOOKUP(B179,'Player Data'!$A1:$AE734,11,FALSE)*$Q179*IFERROR((VLOOKUP(P179,Settings!$E$28:$F$33,2,FALSE)+1),1)</f>
        <v>3.6262352016679036</v>
      </c>
      <c r="X179" s="41">
        <f>VLOOKUP(B179,'Player Data'!$A1:$AE734,12,FALSE)*$Q179*IFERROR((VLOOKUP(P179,Settings!$E$28:$F$33,2,FALSE)+1),1)</f>
        <v>6.8998955432410343</v>
      </c>
      <c r="Y179" s="41">
        <f>VLOOKUP(B179,'Player Data'!$A1:$AE734,13,FALSE)*$Q179</f>
        <v>3.3934089415726731</v>
      </c>
      <c r="Z179" s="41">
        <f>VLOOKUP(B179,'Player Data'!$A1:$AE734,14,FALSE)*$Q179</f>
        <v>4.2303458892415557</v>
      </c>
      <c r="AA179" s="41">
        <f>VLOOKUP(B179,'Player Data'!$A1:$AE734,15,FALSE)*$Q179</f>
        <v>33.986736013385901</v>
      </c>
      <c r="AB179" s="41">
        <f>VLOOKUP(B179,'Player Data'!$A1:$AE734,16,FALSE)*$Q179</f>
        <v>71.316066938575545</v>
      </c>
      <c r="AC179" s="41">
        <f>VLOOKUP(B179,'Player Data'!$A1:$AE734,17,FALSE)*$Q179*IFERROR((VLOOKUP(P179,Settings!$E$28:$F$33,2,FALSE)+1),1)</f>
        <v>2.0884132710963903</v>
      </c>
      <c r="AD179" s="41">
        <f>VLOOKUP(B179,'Player Data'!$A1:$AE734,18,FALSE)*$Q179</f>
        <v>19.741536671302633</v>
      </c>
      <c r="AE179" s="41">
        <f>VLOOKUP(B179,'Player Data'!$A1:$AE734,19,FALSE)*$Q179*IFERROR((VLOOKUP(P179,Settings!$E$28:$F$33,2,FALSE)+1),1)</f>
        <v>3.4945632133346498</v>
      </c>
      <c r="AF179" s="41">
        <f>VLOOKUP(B179,'Player Data'!$A1:$AE734,20,FALSE)*$Q179</f>
        <v>3.1880074135702041</v>
      </c>
      <c r="AG179" s="41">
        <f>VLOOKUP(B179,'Player Data'!$A1:$AE734,21,FALSE)*$Q179</f>
        <v>4.1912333831297524</v>
      </c>
      <c r="AH179" s="42">
        <f>VLOOKUP(B179,'Player Data'!$A1:$AE734,22,FALSE)</f>
        <v>0.432023767945871</v>
      </c>
      <c r="AI179" s="39"/>
      <c r="AJ179" s="43"/>
      <c r="AK179" s="41"/>
      <c r="AL179" s="41"/>
      <c r="AM179" s="41"/>
      <c r="AN179" s="41"/>
      <c r="AO179" s="41"/>
      <c r="AP179" s="41"/>
      <c r="AQ179" s="44"/>
      <c r="AR179" s="45"/>
      <c r="AS179" s="39"/>
    </row>
    <row r="180" spans="1:45" ht="21.25" customHeight="1" x14ac:dyDescent="0.15">
      <c r="A180" s="31">
        <f>RANK(K180,K$2:K$727)</f>
        <v>179</v>
      </c>
      <c r="B180" s="8" t="s">
        <v>284</v>
      </c>
      <c r="C180" s="32" t="s">
        <v>106</v>
      </c>
      <c r="D180" s="33" t="str">
        <f>VLOOKUP(B180,'Player Data'!A1:D734,4,FALSE)</f>
        <v>LW</v>
      </c>
      <c r="E180" s="47">
        <f>VLOOKUP(B180,LW!A1:C130,3,FALSE)</f>
        <v>38</v>
      </c>
      <c r="F180" s="35" t="str">
        <f>VLOOKUP(B180,'Player Data'!A1:B734,2,FALSE)</f>
        <v>NYI</v>
      </c>
      <c r="G180" s="9">
        <f>VLOOKUP(B180,'Player Data'!A1:D734,3,FALSE)</f>
        <v>33</v>
      </c>
      <c r="H180" s="36">
        <f>IFERROR(VLOOKUP(B180,ADP!A1:G728,7,FALSE)/1000000,VLOOKUP(B180,ADP!A1:G728,7,FALSE))</f>
        <v>7</v>
      </c>
      <c r="I180" s="37">
        <f>IF(Settings!$E$15="POINTS",((R180*Q180)*Settings!$B$12)+(S180*Settings!$B$2)+(T180*Settings!$B$3)+(U180*Settings!$B$4)+(V180*Settings!$B$5)+(X180*Settings!$B$9)+(AA180*Settings!$B$6)+(W180*Settings!$B$8)+(AB180*Settings!$B$7)+(AC180*Settings!$B$14)+(AD180*Settings!$B$15)+(AE180*Settings!$B$16)+(AF180*Settings!$B$17)+(AG180*Settings!$B$18)+(Y180*Settings!$B$10)+(Z180*Settings!$B$11),VLOOKUP(B180,'Standard Deviations'!A1:C728,3,FALSE))</f>
        <v>277.10268217186632</v>
      </c>
      <c r="J180" s="38">
        <f>IF(D180="G",I180/AJ180,I180/Q180)</f>
        <v>3.6006734146443633</v>
      </c>
      <c r="K180" s="37">
        <f>IF(Settings!$E$18="C/LW/RW",VLOOKUP(B180,LW!A1:F130,6,FALSE),VLOOKUP(B180,F!A1:F430,6,FALSE))</f>
        <v>-86.937922685784145</v>
      </c>
      <c r="L180" s="37">
        <f>IFERROR(K180/H180,"N/A")</f>
        <v>-12.419703240826307</v>
      </c>
      <c r="M180" s="39">
        <f>IF(Settings!$E$9="YAHOO",VLOOKUP(B180,ADP!A1:E728,2,FALSE),IF(Settings!$E$9="ESPN",VLOOKUP(B180,ADP!A1:E728,3,FALSE),IF(Settings!$E$9="FANTRAX",VLOOKUP(B180,ADP!A1:E728,4,FALSE),VLOOKUP(B180,ADP!A1:E728,5,FALSE))))</f>
        <v>163.5</v>
      </c>
      <c r="N180" s="39">
        <f>IFERROR(M180-A180,"N/A")</f>
        <v>-15.5</v>
      </c>
      <c r="O180" s="39"/>
      <c r="P180" s="40" t="str">
        <f>IF(Settings!$E$27="ON",VLOOKUP(B180,ADP!A1:H728,8,FALSE)," ")</f>
        <v xml:space="preserve"> </v>
      </c>
      <c r="Q180" s="41">
        <f>IF(Settings!$E$12="YES",VLOOKUP(B180,'Player Data'!A1:E734,5,FALSE),82)</f>
        <v>76.958571428571403</v>
      </c>
      <c r="R180" s="39">
        <f>VLOOKUP(B180,'Player Data'!$A1:$AE734,6,FALSE)</f>
        <v>17.360280597370402</v>
      </c>
      <c r="S180" s="41">
        <f>VLOOKUP(B180,'Player Data'!$A1:$AE734,7,FALSE)*$Q180*IFERROR((VLOOKUP(P180,Settings!$E$28:$F$33,2,FALSE)+1),1)</f>
        <v>25.948672132897268</v>
      </c>
      <c r="T180" s="41">
        <f>VLOOKUP(B180,'Player Data'!$A1:$AE734,8,FALSE)*$Q180*IFERROR((VLOOKUP(P180,Settings!$E$28:$F$33,2,FALSE)+1),1)</f>
        <v>21.093186841871969</v>
      </c>
      <c r="U180" s="41">
        <f>SUM(S180:T180)</f>
        <v>47.041858974769241</v>
      </c>
      <c r="V180" s="41">
        <f>VLOOKUP(B180,'Player Data'!$A1:$AE734,10,FALSE)*$Q180*IFERROR(((VLOOKUP(P180,Settings!$E$28:$F$33,2,FALSE)/2)+1),1)</f>
        <v>196.37223561130432</v>
      </c>
      <c r="W180" s="41">
        <f>VLOOKUP(B180,'Player Data'!$A1:$AE734,11,FALSE)*$Q180*IFERROR((VLOOKUP(P180,Settings!$E$28:$F$33,2,FALSE)+1),1)</f>
        <v>7.5596500093700172</v>
      </c>
      <c r="X180" s="41">
        <f>VLOOKUP(B180,'Player Data'!$A1:$AE734,12,FALSE)*$Q180*IFERROR((VLOOKUP(P180,Settings!$E$28:$F$33,2,FALSE)+1),1)</f>
        <v>14.345021802084506</v>
      </c>
      <c r="Y180" s="41">
        <f>VLOOKUP(B180,'Player Data'!$A1:$AE734,13,FALSE)*$Q180</f>
        <v>5.9653323365423949E-3</v>
      </c>
      <c r="Z180" s="41">
        <f>VLOOKUP(B180,'Player Data'!$A1:$AE734,14,FALSE)*$Q180</f>
        <v>1.0831995501254106E-2</v>
      </c>
      <c r="AA180" s="41">
        <f>VLOOKUP(B180,'Player Data'!$A1:$AE734,15,FALSE)*$Q180</f>
        <v>45.396399233674529</v>
      </c>
      <c r="AB180" s="41">
        <f>VLOOKUP(B180,'Player Data'!$A1:$AE734,16,FALSE)*$Q180</f>
        <v>107.17863506011945</v>
      </c>
      <c r="AC180" s="41">
        <f>VLOOKUP(B180,'Player Data'!$A1:$AE734,17,FALSE)*$Q180*IFERROR((VLOOKUP(P180,Settings!$E$28:$F$33,2,FALSE)+1),1)</f>
        <v>2.4219832890776258</v>
      </c>
      <c r="AD180" s="41">
        <f>VLOOKUP(B180,'Player Data'!$A1:$AE734,18,FALSE)*$Q180</f>
        <v>40.453065582852325</v>
      </c>
      <c r="AE180" s="41">
        <f>VLOOKUP(B180,'Player Data'!$A1:$AE734,19,FALSE)*$Q180*IFERROR((VLOOKUP(P180,Settings!$E$28:$F$33,2,FALSE)+1),1)</f>
        <v>4.009637013549141</v>
      </c>
      <c r="AF180" s="41">
        <f>VLOOKUP(B180,'Player Data'!$A1:$AE734,20,FALSE)*$Q180</f>
        <v>40.339657937076787</v>
      </c>
      <c r="AG180" s="41">
        <f>VLOOKUP(B180,'Player Data'!$A1:$AE734,21,FALSE)*$Q180</f>
        <v>38.123858967649547</v>
      </c>
      <c r="AH180" s="42">
        <f>VLOOKUP(B180,'Player Data'!$A1:$AE734,22,FALSE)</f>
        <v>0.51411993150981095</v>
      </c>
      <c r="AI180" s="39"/>
      <c r="AJ180" s="41"/>
      <c r="AK180" s="41"/>
      <c r="AL180" s="41"/>
      <c r="AM180" s="41"/>
      <c r="AN180" s="41"/>
      <c r="AO180" s="41"/>
      <c r="AP180" s="41"/>
      <c r="AQ180" s="44"/>
      <c r="AR180" s="45"/>
      <c r="AS180" s="39"/>
    </row>
    <row r="181" spans="1:45" ht="21.25" customHeight="1" x14ac:dyDescent="0.15">
      <c r="A181" s="31">
        <f>RANK(K181,K$2:K$727)</f>
        <v>180</v>
      </c>
      <c r="B181" s="8" t="s">
        <v>285</v>
      </c>
      <c r="C181" s="32" t="s">
        <v>106</v>
      </c>
      <c r="D181" s="33" t="str">
        <f>VLOOKUP(B181,'Player Data'!A1:D734,4,FALSE)</f>
        <v>C</v>
      </c>
      <c r="E181" s="34">
        <f>VLOOKUP(B181,'C'!A1:C211,3,FALSE)</f>
        <v>48</v>
      </c>
      <c r="F181" s="35" t="str">
        <f>VLOOKUP(B181,'Player Data'!A1:B734,2,FALSE)</f>
        <v>VGK</v>
      </c>
      <c r="G181" s="9">
        <f>VLOOKUP(B181,'Player Data'!A1:D734,3,FALSE)</f>
        <v>29</v>
      </c>
      <c r="H181" s="36">
        <f>IFERROR(VLOOKUP(B181,ADP!A1:G728,7,FALSE)/1000000,VLOOKUP(B181,ADP!A1:G728,7,FALSE))</f>
        <v>2.75</v>
      </c>
      <c r="I181" s="37">
        <f>IF(Settings!$E$15="POINTS",((R181*Q181)*Settings!$B$12)+(S181*Settings!$B$2)+(T181*Settings!$B$3)+(U181*Settings!$B$4)+(V181*Settings!$B$5)+(X181*Settings!$B$9)+(AA181*Settings!$B$6)+(W181*Settings!$B$8)+(AB181*Settings!$B$7)+(AC181*Settings!$B$14)+(AD181*Settings!$B$15)+(AE181*Settings!$B$16)+(AF181*Settings!$B$17)+(AG181*Settings!$B$18)+(Y181*Settings!$B$10)+(Z181*Settings!$B$11),VLOOKUP(B181,'Standard Deviations'!A1:C728,3,FALSE))</f>
        <v>306.14834828142614</v>
      </c>
      <c r="J181" s="38">
        <f>IF(D181="G",I181/AJ181,I181/Q181)</f>
        <v>3.7932905062703832</v>
      </c>
      <c r="K181" s="37">
        <f>IF(Settings!$E$18="C/LW/RW",VLOOKUP(B181,'C'!A1:F211,6,FALSE),VLOOKUP(B181,F!A1:F430,6,FALSE))</f>
        <v>-87.180457484783517</v>
      </c>
      <c r="L181" s="37">
        <f>IFERROR(K181/H181,"N/A")</f>
        <v>-31.701984539921281</v>
      </c>
      <c r="M181" s="39">
        <f>IF(Settings!$E$9="YAHOO",VLOOKUP(B181,ADP!A1:E728,2,FALSE),IF(Settings!$E$9="ESPN",VLOOKUP(B181,ADP!A1:E728,3,FALSE),IF(Settings!$E$9="FANTRAX",VLOOKUP(B181,ADP!A1:E728,4,FALSE),VLOOKUP(B181,ADP!A1:E728,5,FALSE))))</f>
        <v>158.80000000000001</v>
      </c>
      <c r="N181" s="39">
        <f>IFERROR(M181-A181,"N/A")</f>
        <v>-21.199999999999989</v>
      </c>
      <c r="O181" s="39"/>
      <c r="P181" s="40" t="str">
        <f>IF(Settings!$E$27="ON",VLOOKUP(B181,ADP!A1:H728,8,FALSE)," ")</f>
        <v xml:space="preserve"> </v>
      </c>
      <c r="Q181" s="41">
        <f>IF(Settings!$E$12="YES",VLOOKUP(B181,'Player Data'!A1:E734,5,FALSE),82)</f>
        <v>80.707857142857094</v>
      </c>
      <c r="R181" s="39">
        <f>VLOOKUP(B181,'Player Data'!$A1:$AE734,6,FALSE)</f>
        <v>19.2897864609211</v>
      </c>
      <c r="S181" s="41">
        <f>VLOOKUP(B181,'Player Data'!$A1:$AE734,7,FALSE)*$Q181*IFERROR((VLOOKUP(P181,Settings!$E$28:$F$33,2,FALSE)+1),1)</f>
        <v>19.666029306487694</v>
      </c>
      <c r="T181" s="41">
        <f>VLOOKUP(B181,'Player Data'!$A1:$AE734,8,FALSE)*$Q181*IFERROR((VLOOKUP(P181,Settings!$E$28:$F$33,2,FALSE)+1),1)</f>
        <v>44.914050709512821</v>
      </c>
      <c r="U181" s="41">
        <f>SUM(S181:T181)</f>
        <v>64.580080016000522</v>
      </c>
      <c r="V181" s="41">
        <f>VLOOKUP(B181,'Player Data'!$A1:$AE734,10,FALSE)*$Q181*IFERROR(((VLOOKUP(P181,Settings!$E$28:$F$33,2,FALSE)/2)+1),1)</f>
        <v>133.83299796000378</v>
      </c>
      <c r="W181" s="41">
        <f>VLOOKUP(B181,'Player Data'!$A1:$AE734,11,FALSE)*$Q181*IFERROR((VLOOKUP(P181,Settings!$E$28:$F$33,2,FALSE)+1),1)</f>
        <v>5.5873123475651347</v>
      </c>
      <c r="X181" s="41">
        <f>VLOOKUP(B181,'Player Data'!$A1:$AE734,12,FALSE)*$Q181*IFERROR((VLOOKUP(P181,Settings!$E$28:$F$33,2,FALSE)+1),1)</f>
        <v>14.818628462482774</v>
      </c>
      <c r="Y181" s="41">
        <f>VLOOKUP(B181,'Player Data'!$A1:$AE734,13,FALSE)*$Q181</f>
        <v>1.1131759801698033</v>
      </c>
      <c r="Z181" s="41">
        <f>VLOOKUP(B181,'Player Data'!$A1:$AE734,14,FALSE)*$Q181</f>
        <v>2.7647533954959624</v>
      </c>
      <c r="AA181" s="41">
        <f>VLOOKUP(B181,'Player Data'!$A1:$AE734,15,FALSE)*$Q181</f>
        <v>51.624227687326382</v>
      </c>
      <c r="AB181" s="41">
        <f>VLOOKUP(B181,'Player Data'!$A1:$AE734,16,FALSE)*$Q181</f>
        <v>73.57741664803838</v>
      </c>
      <c r="AC181" s="41">
        <f>VLOOKUP(B181,'Player Data'!$A1:$AE734,17,FALSE)*$Q181*IFERROR((VLOOKUP(P181,Settings!$E$28:$F$33,2,FALSE)+1),1)</f>
        <v>6.5401993017440239</v>
      </c>
      <c r="AD181" s="41">
        <f>VLOOKUP(B181,'Player Data'!$A1:$AE734,18,FALSE)*$Q181</f>
        <v>24.959696822078779</v>
      </c>
      <c r="AE181" s="41">
        <f>VLOOKUP(B181,'Player Data'!$A1:$AE734,19,FALSE)*$Q181*IFERROR((VLOOKUP(P181,Settings!$E$28:$F$33,2,FALSE)+1),1)</f>
        <v>3.213965771528867</v>
      </c>
      <c r="AF181" s="41">
        <f>VLOOKUP(B181,'Player Data'!$A1:$AE734,20,FALSE)*$Q181</f>
        <v>653.76552452495457</v>
      </c>
      <c r="AG181" s="41">
        <f>VLOOKUP(B181,'Player Data'!$A1:$AE734,21,FALSE)*$Q181</f>
        <v>544.62382217334402</v>
      </c>
      <c r="AH181" s="42">
        <f>VLOOKUP(B181,'Player Data'!$A1:$AE734,22,FALSE)</f>
        <v>0.54553682935028902</v>
      </c>
      <c r="AI181" s="39"/>
      <c r="AJ181" s="43"/>
      <c r="AK181" s="41"/>
      <c r="AL181" s="41"/>
      <c r="AM181" s="41"/>
      <c r="AN181" s="41"/>
      <c r="AO181" s="41"/>
      <c r="AP181" s="41"/>
      <c r="AQ181" s="44"/>
      <c r="AR181" s="45"/>
      <c r="AS181" s="39"/>
    </row>
    <row r="182" spans="1:45" ht="21.25" customHeight="1" x14ac:dyDescent="0.15">
      <c r="A182" s="31">
        <f>RANK(K182,K$2:K$727)</f>
        <v>181</v>
      </c>
      <c r="B182" s="8" t="s">
        <v>286</v>
      </c>
      <c r="C182" s="32" t="s">
        <v>106</v>
      </c>
      <c r="D182" s="33" t="str">
        <f>VLOOKUP(B182,'Player Data'!A1:D734,4,FALSE)</f>
        <v>C</v>
      </c>
      <c r="E182" s="34">
        <f>VLOOKUP(B182,'C'!A1:C211,3,FALSE)</f>
        <v>49</v>
      </c>
      <c r="F182" s="35" t="str">
        <f>VLOOKUP(B182,'Player Data'!A1:B734,2,FALSE)</f>
        <v>NYR</v>
      </c>
      <c r="G182" s="9">
        <f>VLOOKUP(B182,'Player Data'!A1:D734,3,FALSE)</f>
        <v>30</v>
      </c>
      <c r="H182" s="36">
        <f>IFERROR(VLOOKUP(B182,ADP!A1:G728,7,FALSE)/1000000,VLOOKUP(B182,ADP!A1:G728,7,FALSE))</f>
        <v>5.625</v>
      </c>
      <c r="I182" s="37">
        <f>IF(Settings!$E$15="POINTS",((R182*Q182)*Settings!$B$12)+(S182*Settings!$B$2)+(T182*Settings!$B$3)+(U182*Settings!$B$4)+(V182*Settings!$B$5)+(X182*Settings!$B$9)+(AA182*Settings!$B$6)+(W182*Settings!$B$8)+(AB182*Settings!$B$7)+(AC182*Settings!$B$14)+(AD182*Settings!$B$15)+(AE182*Settings!$B$16)+(AF182*Settings!$B$17)+(AG182*Settings!$B$18)+(Y182*Settings!$B$10)+(Z182*Settings!$B$11),VLOOKUP(B182,'Standard Deviations'!A1:C728,3,FALSE))</f>
        <v>304.86626627991421</v>
      </c>
      <c r="J182" s="38">
        <f>IF(D182="G",I182/AJ182,I182/Q182)</f>
        <v>3.7836502337396083</v>
      </c>
      <c r="K182" s="37">
        <f>IF(Settings!$E$18="C/LW/RW",VLOOKUP(B182,'C'!A1:F211,6,FALSE),VLOOKUP(B182,F!A1:F430,6,FALSE))</f>
        <v>-88.462539486295441</v>
      </c>
      <c r="L182" s="37">
        <f>IFERROR(K182/H182,"N/A")</f>
        <v>-15.726673686452523</v>
      </c>
      <c r="M182" s="39">
        <f>IF(Settings!$E$9="YAHOO",VLOOKUP(B182,ADP!A1:E728,2,FALSE),IF(Settings!$E$9="ESPN",VLOOKUP(B182,ADP!A1:E728,3,FALSE),IF(Settings!$E$9="FANTRAX",VLOOKUP(B182,ADP!A1:E728,4,FALSE),VLOOKUP(B182,ADP!A1:E728,5,FALSE))))</f>
        <v>147.5</v>
      </c>
      <c r="N182" s="39">
        <f>IFERROR(M182-A182,"N/A")</f>
        <v>-33.5</v>
      </c>
      <c r="O182" s="39"/>
      <c r="P182" s="40" t="str">
        <f>IF(Settings!$E$27="ON",VLOOKUP(B182,ADP!A1:H728,8,FALSE)," ")</f>
        <v xml:space="preserve"> </v>
      </c>
      <c r="Q182" s="41">
        <f>IF(Settings!$E$12="YES",VLOOKUP(B182,'Player Data'!A1:E734,5,FALSE),82)</f>
        <v>80.574642857142905</v>
      </c>
      <c r="R182" s="39">
        <f>VLOOKUP(B182,'Player Data'!$A1:$AE734,6,FALSE)</f>
        <v>18.287370724741699</v>
      </c>
      <c r="S182" s="41">
        <f>VLOOKUP(B182,'Player Data'!$A1:$AE734,7,FALSE)*$Q182*IFERROR((VLOOKUP(P182,Settings!$E$28:$F$33,2,FALSE)+1),1)</f>
        <v>21.076825282623705</v>
      </c>
      <c r="T182" s="41">
        <f>VLOOKUP(B182,'Player Data'!$A1:$AE734,8,FALSE)*$Q182*IFERROR((VLOOKUP(P182,Settings!$E$28:$F$33,2,FALSE)+1),1)</f>
        <v>35.75715383605273</v>
      </c>
      <c r="U182" s="41">
        <f>SUM(S182:T182)</f>
        <v>56.833979118676439</v>
      </c>
      <c r="V182" s="41">
        <f>VLOOKUP(B182,'Player Data'!$A1:$AE734,10,FALSE)*$Q182*IFERROR(((VLOOKUP(P182,Settings!$E$28:$F$33,2,FALSE)/2)+1),1)</f>
        <v>200.2255614984476</v>
      </c>
      <c r="W182" s="41">
        <f>VLOOKUP(B182,'Player Data'!$A1:$AE734,11,FALSE)*$Q182*IFERROR((VLOOKUP(P182,Settings!$E$28:$F$33,2,FALSE)+1),1)</f>
        <v>5.620602691176547</v>
      </c>
      <c r="X182" s="41">
        <f>VLOOKUP(B182,'Player Data'!$A1:$AE734,12,FALSE)*$Q182*IFERROR((VLOOKUP(P182,Settings!$E$28:$F$33,2,FALSE)+1),1)</f>
        <v>12.710435766607709</v>
      </c>
      <c r="Y182" s="41">
        <f>VLOOKUP(B182,'Player Data'!$A1:$AE734,13,FALSE)*$Q182</f>
        <v>7.1144571809005672E-2</v>
      </c>
      <c r="Z182" s="41">
        <f>VLOOKUP(B182,'Player Data'!$A1:$AE734,14,FALSE)*$Q182</f>
        <v>0.13188874182970473</v>
      </c>
      <c r="AA182" s="41">
        <f>VLOOKUP(B182,'Player Data'!$A1:$AE734,15,FALSE)*$Q182</f>
        <v>42.834495788931406</v>
      </c>
      <c r="AB182" s="41">
        <f>VLOOKUP(B182,'Player Data'!$A1:$AE734,16,FALSE)*$Q182</f>
        <v>169.77519476674161</v>
      </c>
      <c r="AC182" s="41">
        <f>VLOOKUP(B182,'Player Data'!$A1:$AE734,17,FALSE)*$Q182*IFERROR((VLOOKUP(P182,Settings!$E$28:$F$33,2,FALSE)+1),1)</f>
        <v>5.4948820836041747</v>
      </c>
      <c r="AD182" s="41">
        <f>VLOOKUP(B182,'Player Data'!$A1:$AE734,18,FALSE)*$Q182</f>
        <v>53.104543114809751</v>
      </c>
      <c r="AE182" s="41">
        <f>VLOOKUP(B182,'Player Data'!$A1:$AE734,19,FALSE)*$Q182*IFERROR((VLOOKUP(P182,Settings!$E$28:$F$33,2,FALSE)+1),1)</f>
        <v>3.5914516698547283</v>
      </c>
      <c r="AF182" s="41">
        <f>VLOOKUP(B182,'Player Data'!$A1:$AE734,20,FALSE)*$Q182</f>
        <v>676.13015845870495</v>
      </c>
      <c r="AG182" s="41">
        <f>VLOOKUP(B182,'Player Data'!$A1:$AE734,21,FALSE)*$Q182</f>
        <v>541.37255628690946</v>
      </c>
      <c r="AH182" s="42">
        <f>VLOOKUP(B182,'Player Data'!$A1:$AE734,22,FALSE)</f>
        <v>0.555341807677181</v>
      </c>
      <c r="AI182" s="39"/>
      <c r="AJ182" s="41"/>
      <c r="AK182" s="41"/>
      <c r="AL182" s="41"/>
      <c r="AM182" s="41"/>
      <c r="AN182" s="41"/>
      <c r="AO182" s="41"/>
      <c r="AP182" s="41"/>
      <c r="AQ182" s="44"/>
      <c r="AR182" s="45"/>
      <c r="AS182" s="39"/>
    </row>
    <row r="183" spans="1:45" ht="21.25" customHeight="1" x14ac:dyDescent="0.15">
      <c r="A183" s="31">
        <f>RANK(K183,K$2:K$727)</f>
        <v>182</v>
      </c>
      <c r="B183" s="8" t="s">
        <v>287</v>
      </c>
      <c r="C183" s="32" t="s">
        <v>106</v>
      </c>
      <c r="D183" s="33" t="str">
        <f>VLOOKUP(B183,'Player Data'!A1:D734,4,FALSE)</f>
        <v>G</v>
      </c>
      <c r="E183" s="50">
        <f>VLOOKUP(B183,G!A1:D75,3,FALSE)</f>
        <v>25</v>
      </c>
      <c r="F183" s="35" t="str">
        <f>VLOOKUP(B183,'Player Data'!A1:B734,2,FALSE)</f>
        <v>OTT</v>
      </c>
      <c r="G183" s="9">
        <f>VLOOKUP(B183,'Player Data'!A1:D734,3,FALSE)</f>
        <v>29</v>
      </c>
      <c r="H183" s="36">
        <f>IFERROR(VLOOKUP(B183,ADP!A1:G728,7,FALSE)/1000000,VLOOKUP(B183,ADP!A1:G728,7,FALSE))</f>
        <v>0</v>
      </c>
      <c r="I183" s="37">
        <f>IF(Settings!$E$15="POINTS",(AJ183*Settings!$B$29)+(AK183*Settings!$B$21)+(AL183*Settings!$B$22)+(AN183*Settings!$B$24)+(AO183*Settings!$B$25)+(AP183*Settings!$B$27)+(AM183*Settings!$B$23),VLOOKUP(B183,'Standard Deviations'!A1:C728,3,FALSE))</f>
        <v>310.16399274736591</v>
      </c>
      <c r="J183" s="38">
        <f>IF(D183="G",I183/AJ183,I183/Q183)</f>
        <v>7.0491816533492253</v>
      </c>
      <c r="K183" s="37">
        <f>VLOOKUP(B183,G!A1:F75,6,FALSE)</f>
        <v>-88.611669341950289</v>
      </c>
      <c r="L183" s="52" t="str">
        <f>IFERROR(K183/H183,"N/A")</f>
        <v>N/A</v>
      </c>
      <c r="M183" s="39">
        <f>IF(Settings!$E$9="YAHOO",VLOOKUP(B183,ADP!A1:E728,2,FALSE),IF(Settings!$E$9="ESPN",VLOOKUP(B183,ADP!A1:E728,3,FALSE),IF(Settings!$E$9="FANTRAX",VLOOKUP(B183,ADP!A1:E728,4,FALSE),VLOOKUP(B183,ADP!A1:E728,5,FALSE))))</f>
        <v>91.4</v>
      </c>
      <c r="N183" s="39">
        <f>IFERROR(M183-A183,"N/A")</f>
        <v>-90.6</v>
      </c>
      <c r="O183" s="39"/>
      <c r="P183" s="40" t="str">
        <f>IF(Settings!$E$27="ON",VLOOKUP(B183,ADP!A1:H728,8,FALSE)," ")</f>
        <v xml:space="preserve"> </v>
      </c>
      <c r="Q183" s="41"/>
      <c r="R183" s="5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2"/>
      <c r="AI183" s="39"/>
      <c r="AJ183" s="43">
        <f>VLOOKUP(B183,'Player Data'!$A1:$AE734,24,FALSE)</f>
        <v>44</v>
      </c>
      <c r="AK183" s="41">
        <f>VLOOKUP(B183,'Player Data'!$A1:$AE734,25,FALSE)*$AJ183*IFERROR((VLOOKUP(P183,Settings!$E$28:$F$33,2,FALSE)+1),1)</f>
        <v>23.271644851557522</v>
      </c>
      <c r="AL183" s="41">
        <f>AJ183-AK183-AM183</f>
        <v>15.228355148442478</v>
      </c>
      <c r="AM183" s="41">
        <f>VLOOKUP(B183,'Player Data'!$A1:$AE734,27,FALSE)*$AJ183</f>
        <v>5.5</v>
      </c>
      <c r="AN183" s="41">
        <f>VLOOKUP(B183,'Player Data'!$A1:$AE734,28,FALSE)*AJ183</f>
        <v>2.3230609911292253</v>
      </c>
      <c r="AO183" s="41">
        <f>VLOOKUP(B183,'Player Data'!$A1:$AE734,29,FALSE)*$AJ183*IFERROR((VLOOKUP(P183,Settings!$E$28:$F$33,2,FALSE)/4)+1,1)</f>
        <v>1224.7152186672656</v>
      </c>
      <c r="AP183" s="41">
        <f>VLOOKUP(B183,'Player Data'!$A1:$AE734,31,FALSE)*$AJ183*(IFERROR(1-(VLOOKUP(P183,Settings!$E$28:$F$33,2,FALSE)/4),1))</f>
        <v>125.55155770773263</v>
      </c>
      <c r="AQ183" s="44">
        <f>1-(AP183/(AO183+AP183))</f>
        <v>0.90701722066746293</v>
      </c>
      <c r="AR183" s="45">
        <f>AP183/AJ183</f>
        <v>2.8534444933575598</v>
      </c>
      <c r="AS183" s="39"/>
    </row>
    <row r="184" spans="1:45" ht="21.25" customHeight="1" x14ac:dyDescent="0.15">
      <c r="A184" s="31">
        <f>RANK(K184,K$2:K$727)</f>
        <v>183</v>
      </c>
      <c r="B184" s="8" t="s">
        <v>288</v>
      </c>
      <c r="C184" s="32" t="s">
        <v>106</v>
      </c>
      <c r="D184" s="33" t="str">
        <f>VLOOKUP(B184,'Player Data'!A1:D734,4,FALSE)</f>
        <v>D</v>
      </c>
      <c r="E184" s="49">
        <f>VLOOKUP(B184,D!A1:C227,3,FALSE)</f>
        <v>44</v>
      </c>
      <c r="F184" s="35" t="str">
        <f>VLOOKUP(B184,'Player Data'!A1:B734,2,FALSE)</f>
        <v>OTT</v>
      </c>
      <c r="G184" s="9">
        <f>VLOOKUP(B184,'Player Data'!A1:D734,3,FALSE)</f>
        <v>21</v>
      </c>
      <c r="H184" s="36">
        <f>IFERROR(VLOOKUP(B184,ADP!A1:G728,7,FALSE)/1000000,VLOOKUP(B184,ADP!A1:G728,7,FALSE))</f>
        <v>0.92500000000000004</v>
      </c>
      <c r="I184" s="37">
        <f>IF(Settings!$E$15="POINTS",((R184*Q184)*Settings!$B$12)+(S184*Settings!$B$2)+(T184*Settings!$B$3)+(U184*Settings!$B$4)+(V184*Settings!$B$5)+(X184*Settings!$B$9)+(AA184*Settings!$B$6)+(W184*Settings!$B$8)+(AB184*Settings!$B$7)+(AC184*Settings!$B$14)+(AD184*Settings!$B$15)+(AE184*Settings!$B$16)+(AF184*Settings!$B$17)+(AG184*Settings!$B$18)+(U184*Settings!$B$13)+(Y184*Settings!$B$10)+(Z184*Settings!$B$11),VLOOKUP(B184,'Standard Deviations'!A1:C728,3,FALSE))</f>
        <v>221.73084193041635</v>
      </c>
      <c r="J184" s="38">
        <f>IF(D184="G",I184/AJ184,I184/Q184)</f>
        <v>2.7731954465688995</v>
      </c>
      <c r="K184" s="37">
        <f>VLOOKUP(B184,D!A1:F227,6,FALSE)</f>
        <v>-89.834639697511108</v>
      </c>
      <c r="L184" s="37">
        <f>IFERROR(K184/H184,"N/A")</f>
        <v>-97.118529402714699</v>
      </c>
      <c r="M184" s="39">
        <f>IF(Settings!$E$9="YAHOO",VLOOKUP(B184,ADP!A1:E728,2,FALSE),IF(Settings!$E$9="ESPN",VLOOKUP(B184,ADP!A1:E728,3,FALSE),IF(Settings!$E$9="FANTRAX",VLOOKUP(B184,ADP!A1:E728,4,FALSE),VLOOKUP(B184,ADP!A1:E728,5,FALSE))))</f>
        <v>169.2</v>
      </c>
      <c r="N184" s="39">
        <f>IFERROR(M184-A184,"N/A")</f>
        <v>-13.800000000000011</v>
      </c>
      <c r="O184" s="39"/>
      <c r="P184" s="40" t="str">
        <f>IF(Settings!$E$27="ON",VLOOKUP(B184,ADP!A1:H728,8,FALSE)," ")</f>
        <v xml:space="preserve"> </v>
      </c>
      <c r="Q184" s="41">
        <f>IF(Settings!$E$12="YES",VLOOKUP(B184,'Player Data'!A1:E734,5,FALSE),82)</f>
        <v>79.954999999999998</v>
      </c>
      <c r="R184" s="39">
        <f>VLOOKUP(B184,'Player Data'!$A1:$AE734,6,FALSE)</f>
        <v>21.968369312902801</v>
      </c>
      <c r="S184" s="41">
        <f>VLOOKUP(B184,'Player Data'!$A1:$AE734,7,FALSE)*$Q184*IFERROR((VLOOKUP(P184,Settings!$E$28:$F$33,2,FALSE)+1),1)</f>
        <v>5.0930399342743105</v>
      </c>
      <c r="T184" s="41">
        <f>VLOOKUP(B184,'Player Data'!$A1:$AE734,8,FALSE)*$Q184*IFERROR((VLOOKUP(P184,Settings!$E$28:$F$33,2,FALSE)+1),1)</f>
        <v>27.766173543781331</v>
      </c>
      <c r="U184" s="41">
        <f>SUM(S184:T184)</f>
        <v>32.859213478055644</v>
      </c>
      <c r="V184" s="41">
        <f>VLOOKUP(B184,'Player Data'!$A1:$AE734,10,FALSE)*$Q184*IFERROR(((VLOOKUP(P184,Settings!$E$28:$F$33,2,FALSE)/2)+1),1)</f>
        <v>135.57634713318515</v>
      </c>
      <c r="W184" s="41">
        <f>VLOOKUP(B184,'Player Data'!$A1:$AE734,11,FALSE)*$Q184*IFERROR((VLOOKUP(P184,Settings!$E$28:$F$33,2,FALSE)+1),1)</f>
        <v>1.6880350828834967</v>
      </c>
      <c r="X184" s="41">
        <f>VLOOKUP(B184,'Player Data'!$A1:$AE734,12,FALSE)*$Q184*IFERROR((VLOOKUP(P184,Settings!$E$28:$F$33,2,FALSE)+1),1)</f>
        <v>12.35905856819441</v>
      </c>
      <c r="Y184" s="41">
        <f>VLOOKUP(B184,'Player Data'!$A1:$AE734,13,FALSE)*$Q184</f>
        <v>4.1691652914790045E-2</v>
      </c>
      <c r="Z184" s="41">
        <f>VLOOKUP(B184,'Player Data'!$A1:$AE734,14,FALSE)*$Q184</f>
        <v>0.21542964076669172</v>
      </c>
      <c r="AA184" s="41">
        <f>VLOOKUP(B184,'Player Data'!$A1:$AE734,15,FALSE)*$Q184</f>
        <v>151.08025755867334</v>
      </c>
      <c r="AB184" s="41">
        <f>VLOOKUP(B184,'Player Data'!$A1:$AE734,16,FALSE)*$Q184</f>
        <v>69.263292636758422</v>
      </c>
      <c r="AC184" s="41">
        <f>VLOOKUP(B184,'Player Data'!$A1:$AE734,17,FALSE)*$Q184*IFERROR((VLOOKUP(P184,Settings!$E$28:$F$33,2,FALSE)+1),1)</f>
        <v>0.21912162809426425</v>
      </c>
      <c r="AD184" s="41">
        <f>VLOOKUP(B184,'Player Data'!$A1:$AE734,18,FALSE)*$Q184</f>
        <v>20.38952060859777</v>
      </c>
      <c r="AE184" s="41">
        <f>VLOOKUP(B184,'Player Data'!$A1:$AE734,19,FALSE)*$Q184*IFERROR((VLOOKUP(P184,Settings!$E$28:$F$33,2,FALSE)+1),1)</f>
        <v>0.707428032517748</v>
      </c>
      <c r="AF184" s="41">
        <f>VLOOKUP(B184,'Player Data'!$A1:$AE734,20,FALSE)*$Q184</f>
        <v>0</v>
      </c>
      <c r="AG184" s="41">
        <f>VLOOKUP(B184,'Player Data'!$A1:$AE734,21,FALSE)*$Q184</f>
        <v>0</v>
      </c>
      <c r="AH184" s="42">
        <f>VLOOKUP(B184,'Player Data'!$A1:$AE734,22,FALSE)</f>
        <v>0</v>
      </c>
      <c r="AI184" s="39"/>
      <c r="AJ184" s="43"/>
      <c r="AK184" s="41"/>
      <c r="AL184" s="41"/>
      <c r="AM184" s="41"/>
      <c r="AN184" s="41"/>
      <c r="AO184" s="41"/>
      <c r="AP184" s="41"/>
      <c r="AQ184" s="44"/>
      <c r="AR184" s="45"/>
      <c r="AS184" s="39"/>
    </row>
    <row r="185" spans="1:45" ht="21.25" customHeight="1" x14ac:dyDescent="0.15">
      <c r="A185" s="31">
        <f>RANK(K185,K$2:K$727)</f>
        <v>184</v>
      </c>
      <c r="B185" s="8" t="s">
        <v>289</v>
      </c>
      <c r="C185" s="32" t="s">
        <v>106</v>
      </c>
      <c r="D185" s="33" t="str">
        <f>VLOOKUP(B185,'Player Data'!A1:D734,4,FALSE)</f>
        <v>D</v>
      </c>
      <c r="E185" s="49">
        <f>VLOOKUP(B185,D!A1:C227,3,FALSE)</f>
        <v>45</v>
      </c>
      <c r="F185" s="35" t="str">
        <f>VLOOKUP(B185,'Player Data'!A1:B734,2,FALSE)</f>
        <v>TOR</v>
      </c>
      <c r="G185" s="9">
        <f>VLOOKUP(B185,'Player Data'!A1:D734,3,FALSE)</f>
        <v>31</v>
      </c>
      <c r="H185" s="36">
        <f>IFERROR(VLOOKUP(B185,ADP!A1:G728,7,FALSE)/1000000,VLOOKUP(B185,ADP!A1:G728,7,FALSE))</f>
        <v>4.1500000000000004</v>
      </c>
      <c r="I185" s="37">
        <f>IF(Settings!$E$15="POINTS",((R185*Q185)*Settings!$B$12)+(S185*Settings!$B$2)+(T185*Settings!$B$3)+(U185*Settings!$B$4)+(V185*Settings!$B$5)+(X185*Settings!$B$9)+(AA185*Settings!$B$6)+(W185*Settings!$B$8)+(AB185*Settings!$B$7)+(AC185*Settings!$B$14)+(AD185*Settings!$B$15)+(AE185*Settings!$B$16)+(AF185*Settings!$B$17)+(AG185*Settings!$B$18)+(U185*Settings!$B$13)+(Y185*Settings!$B$10)+(Z185*Settings!$B$11),VLOOKUP(B185,'Standard Deviations'!A1:C728,3,FALSE))</f>
        <v>221.32129265778264</v>
      </c>
      <c r="J185" s="38">
        <f>IF(D185="G",I185/AJ185,I185/Q185)</f>
        <v>2.8437154146347554</v>
      </c>
      <c r="K185" s="37">
        <f>VLOOKUP(B185,D!A1:F227,6,FALSE)</f>
        <v>-90.244188970144819</v>
      </c>
      <c r="L185" s="37">
        <f>IFERROR(K185/H185,"N/A")</f>
        <v>-21.745587703649353</v>
      </c>
      <c r="M185" s="39">
        <f>IF(Settings!$E$9="YAHOO",VLOOKUP(B185,ADP!A1:E728,2,FALSE),IF(Settings!$E$9="ESPN",VLOOKUP(B185,ADP!A1:E728,3,FALSE),IF(Settings!$E$9="FANTRAX",VLOOKUP(B185,ADP!A1:E728,4,FALSE),VLOOKUP(B185,ADP!A1:E728,5,FALSE))))</f>
        <v>162.30000000000001</v>
      </c>
      <c r="N185" s="39">
        <f>IFERROR(M185-A185,"N/A")</f>
        <v>-21.699999999999989</v>
      </c>
      <c r="O185" s="39"/>
      <c r="P185" s="40" t="str">
        <f>IF(Settings!$E$27="ON",VLOOKUP(B185,ADP!A1:H728,8,FALSE)," ")</f>
        <v>+</v>
      </c>
      <c r="Q185" s="41">
        <f>IF(Settings!$E$12="YES",VLOOKUP(B185,'Player Data'!A1:E734,5,FALSE),82)</f>
        <v>77.828214285714296</v>
      </c>
      <c r="R185" s="39">
        <f>VLOOKUP(B185,'Player Data'!$A1:$AE734,6,FALSE)</f>
        <v>19.168837382777301</v>
      </c>
      <c r="S185" s="41">
        <f>VLOOKUP(B185,'Player Data'!$A1:$AE734,7,FALSE)*$Q185*IFERROR((VLOOKUP(P185,Settings!$E$28:$F$33,2,FALSE)+1),1)</f>
        <v>7.9498981241093043</v>
      </c>
      <c r="T185" s="41">
        <f>VLOOKUP(B185,'Player Data'!$A1:$AE734,8,FALSE)*$Q185*IFERROR((VLOOKUP(P185,Settings!$E$28:$F$33,2,FALSE)+1),1)</f>
        <v>30.55296914467494</v>
      </c>
      <c r="U185" s="41">
        <f>SUM(S185:T185)</f>
        <v>38.502867268784243</v>
      </c>
      <c r="V185" s="41">
        <f>VLOOKUP(B185,'Player Data'!$A1:$AE734,10,FALSE)*$Q185*IFERROR(((VLOOKUP(P185,Settings!$E$28:$F$33,2,FALSE)/2)+1),1)</f>
        <v>124.5378936239056</v>
      </c>
      <c r="W185" s="41">
        <f>VLOOKUP(B185,'Player Data'!$A1:$AE734,11,FALSE)*$Q185*IFERROR((VLOOKUP(P185,Settings!$E$28:$F$33,2,FALSE)+1),1)</f>
        <v>1.5297714130054347</v>
      </c>
      <c r="X185" s="41">
        <f>VLOOKUP(B185,'Player Data'!$A1:$AE734,12,FALSE)*$Q185*IFERROR((VLOOKUP(P185,Settings!$E$28:$F$33,2,FALSE)+1),1)</f>
        <v>12.833103472774992</v>
      </c>
      <c r="Y185" s="41">
        <f>VLOOKUP(B185,'Player Data'!$A1:$AE734,13,FALSE)*$Q185</f>
        <v>3.8369216491110194E-3</v>
      </c>
      <c r="Z185" s="41">
        <f>VLOOKUP(B185,'Player Data'!$A1:$AE734,14,FALSE)*$Q185</f>
        <v>1.4459207202257192E-2</v>
      </c>
      <c r="AA185" s="41">
        <f>VLOOKUP(B185,'Player Data'!$A1:$AE734,15,FALSE)*$Q185</f>
        <v>89.243093397612881</v>
      </c>
      <c r="AB185" s="41">
        <f>VLOOKUP(B185,'Player Data'!$A1:$AE734,16,FALSE)*$Q185</f>
        <v>69.541094624829242</v>
      </c>
      <c r="AC185" s="41">
        <f>VLOOKUP(B185,'Player Data'!$A1:$AE734,17,FALSE)*$Q185*IFERROR((VLOOKUP(P185,Settings!$E$28:$F$33,2,FALSE)+1),1)</f>
        <v>1.3795453065475833</v>
      </c>
      <c r="AD185" s="41">
        <f>VLOOKUP(B185,'Player Data'!$A1:$AE734,18,FALSE)*$Q185</f>
        <v>33.988477101726751</v>
      </c>
      <c r="AE185" s="41">
        <f>VLOOKUP(B185,'Player Data'!$A1:$AE734,19,FALSE)*$Q185*IFERROR((VLOOKUP(P185,Settings!$E$28:$F$33,2,FALSE)+1),1)</f>
        <v>1.2771490205872655</v>
      </c>
      <c r="AF185" s="41">
        <f>VLOOKUP(B185,'Player Data'!$A1:$AE734,20,FALSE)*$Q185</f>
        <v>0</v>
      </c>
      <c r="AG185" s="41">
        <f>VLOOKUP(B185,'Player Data'!$A1:$AE734,21,FALSE)*$Q185</f>
        <v>0</v>
      </c>
      <c r="AH185" s="42">
        <f>VLOOKUP(B185,'Player Data'!$A1:$AE734,22,FALSE)</f>
        <v>0</v>
      </c>
      <c r="AI185" s="39"/>
      <c r="AJ185" s="43"/>
      <c r="AK185" s="41"/>
      <c r="AL185" s="41"/>
      <c r="AM185" s="41"/>
      <c r="AN185" s="41"/>
      <c r="AO185" s="41"/>
      <c r="AP185" s="41"/>
      <c r="AQ185" s="44"/>
      <c r="AR185" s="45"/>
      <c r="AS185" s="43"/>
    </row>
    <row r="186" spans="1:45" ht="21.25" customHeight="1" x14ac:dyDescent="0.15">
      <c r="A186" s="31">
        <f>RANK(K186,K$2:K$727)</f>
        <v>185</v>
      </c>
      <c r="B186" s="8" t="s">
        <v>290</v>
      </c>
      <c r="C186" s="32" t="s">
        <v>106</v>
      </c>
      <c r="D186" s="33" t="str">
        <f>VLOOKUP(B186,'Player Data'!A1:D734,4,FALSE)</f>
        <v>D</v>
      </c>
      <c r="E186" s="49">
        <f>VLOOKUP(B186,D!A1:C227,3,FALSE)</f>
        <v>46</v>
      </c>
      <c r="F186" s="35" t="str">
        <f>VLOOKUP(B186,'Player Data'!A1:B734,2,FALSE)</f>
        <v>CGY</v>
      </c>
      <c r="G186" s="9">
        <f>VLOOKUP(B186,'Player Data'!A1:D734,3,FALSE)</f>
        <v>29</v>
      </c>
      <c r="H186" s="36">
        <f>IFERROR(VLOOKUP(B186,ADP!A1:G728,7,FALSE)/1000000,VLOOKUP(B186,ADP!A1:G728,7,FALSE))</f>
        <v>6.25</v>
      </c>
      <c r="I186" s="37">
        <f>IF(Settings!$E$15="POINTS",((R186*Q186)*Settings!$B$12)+(S186*Settings!$B$2)+(T186*Settings!$B$3)+(U186*Settings!$B$4)+(V186*Settings!$B$5)+(X186*Settings!$B$9)+(AA186*Settings!$B$6)+(W186*Settings!$B$8)+(AB186*Settings!$B$7)+(AC186*Settings!$B$14)+(AD186*Settings!$B$15)+(AE186*Settings!$B$16)+(AF186*Settings!$B$17)+(AG186*Settings!$B$18)+(U186*Settings!$B$13)+(Y186*Settings!$B$10)+(Z186*Settings!$B$11),VLOOKUP(B186,'Standard Deviations'!A1:C728,3,FALSE))</f>
        <v>219.7630498192417</v>
      </c>
      <c r="J186" s="38">
        <f>IF(D186="G",I186/AJ186,I186/Q186)</f>
        <v>2.7198397254856648</v>
      </c>
      <c r="K186" s="37">
        <f>VLOOKUP(B186,D!A1:F227,6,FALSE)</f>
        <v>-91.802431808685753</v>
      </c>
      <c r="L186" s="37">
        <f>IFERROR(K186/H186,"N/A")</f>
        <v>-14.688389089389721</v>
      </c>
      <c r="M186" s="39">
        <f>IF(Settings!$E$9="YAHOO",VLOOKUP(B186,ADP!A1:E728,2,FALSE),IF(Settings!$E$9="ESPN",VLOOKUP(B186,ADP!A1:E728,3,FALSE),IF(Settings!$E$9="FANTRAX",VLOOKUP(B186,ADP!A1:E728,4,FALSE),VLOOKUP(B186,ADP!A1:E728,5,FALSE))))</f>
        <v>142</v>
      </c>
      <c r="N186" s="39">
        <f>IFERROR(M186-A186,"N/A")</f>
        <v>-43</v>
      </c>
      <c r="O186" s="39"/>
      <c r="P186" s="40" t="str">
        <f>IF(Settings!$E$27="ON",VLOOKUP(B186,ADP!A1:H728,8,FALSE)," ")</f>
        <v xml:space="preserve"> </v>
      </c>
      <c r="Q186" s="41">
        <f>IF(Settings!$E$12="YES",VLOOKUP(B186,'Player Data'!A1:E734,5,FALSE),82)</f>
        <v>80.8</v>
      </c>
      <c r="R186" s="39">
        <f>VLOOKUP(B186,'Player Data'!$A1:$AE734,6,FALSE)</f>
        <v>20.613531413824902</v>
      </c>
      <c r="S186" s="41">
        <f>VLOOKUP(B186,'Player Data'!$A1:$AE734,7,FALSE)*$Q186*IFERROR((VLOOKUP(P186,Settings!$E$28:$F$33,2,FALSE)+1),1)</f>
        <v>5.9091378872072751</v>
      </c>
      <c r="T186" s="41">
        <f>VLOOKUP(B186,'Player Data'!$A1:$AE734,8,FALSE)*$Q186*IFERROR((VLOOKUP(P186,Settings!$E$28:$F$33,2,FALSE)+1),1)</f>
        <v>30.258152119965715</v>
      </c>
      <c r="U186" s="41">
        <f>SUM(S186:T186)</f>
        <v>36.167290007172987</v>
      </c>
      <c r="V186" s="41">
        <f>VLOOKUP(B186,'Player Data'!$A1:$AE734,10,FALSE)*$Q186*IFERROR(((VLOOKUP(P186,Settings!$E$28:$F$33,2,FALSE)/2)+1),1)</f>
        <v>159.68565513383805</v>
      </c>
      <c r="W186" s="41">
        <f>VLOOKUP(B186,'Player Data'!$A1:$AE734,11,FALSE)*$Q186*IFERROR((VLOOKUP(P186,Settings!$E$28:$F$33,2,FALSE)+1),1)</f>
        <v>0.28088413462419271</v>
      </c>
      <c r="X186" s="41">
        <f>VLOOKUP(B186,'Player Data'!$A1:$AE734,12,FALSE)*$Q186*IFERROR((VLOOKUP(P186,Settings!$E$28:$F$33,2,FALSE)+1),1)</f>
        <v>2.5064268140156214</v>
      </c>
      <c r="Y186" s="41">
        <f>VLOOKUP(B186,'Player Data'!$A1:$AE734,13,FALSE)*$Q186</f>
        <v>0.20981091670762719</v>
      </c>
      <c r="Z186" s="41">
        <f>VLOOKUP(B186,'Player Data'!$A1:$AE734,14,FALSE)*$Q186</f>
        <v>1.0415850440146013</v>
      </c>
      <c r="AA186" s="41">
        <f>VLOOKUP(B186,'Player Data'!$A1:$AE734,15,FALSE)*$Q186</f>
        <v>121.6116425737163</v>
      </c>
      <c r="AB186" s="41">
        <f>VLOOKUP(B186,'Player Data'!$A1:$AE734,16,FALSE)*$Q186</f>
        <v>167.46724415409011</v>
      </c>
      <c r="AC186" s="41">
        <f>VLOOKUP(B186,'Player Data'!$A1:$AE734,17,FALSE)*$Q186*IFERROR((VLOOKUP(P186,Settings!$E$28:$F$33,2,FALSE)+1),1)</f>
        <v>5.3045608515950056</v>
      </c>
      <c r="AD186" s="41">
        <f>VLOOKUP(B186,'Player Data'!$A1:$AE734,18,FALSE)*$Q186</f>
        <v>44.59667179792897</v>
      </c>
      <c r="AE186" s="41">
        <f>VLOOKUP(B186,'Player Data'!$A1:$AE734,19,FALSE)*$Q186*IFERROR((VLOOKUP(P186,Settings!$E$28:$F$33,2,FALSE)+1),1)</f>
        <v>0.98740660031929839</v>
      </c>
      <c r="AF186" s="41">
        <f>VLOOKUP(B186,'Player Data'!$A1:$AE734,20,FALSE)*$Q186</f>
        <v>0</v>
      </c>
      <c r="AG186" s="41">
        <f>VLOOKUP(B186,'Player Data'!$A1:$AE734,21,FALSE)*$Q186</f>
        <v>0</v>
      </c>
      <c r="AH186" s="42">
        <f>VLOOKUP(B186,'Player Data'!$A1:$AE734,22,FALSE)</f>
        <v>0</v>
      </c>
      <c r="AI186" s="39"/>
      <c r="AJ186" s="41"/>
      <c r="AK186" s="41"/>
      <c r="AL186" s="41"/>
      <c r="AM186" s="41"/>
      <c r="AN186" s="41"/>
      <c r="AO186" s="41"/>
      <c r="AP186" s="41"/>
      <c r="AQ186" s="44"/>
      <c r="AR186" s="45"/>
      <c r="AS186" s="39"/>
    </row>
    <row r="187" spans="1:45" ht="21.25" customHeight="1" x14ac:dyDescent="0.15">
      <c r="A187" s="31">
        <f>RANK(K187,K$2:K$727)</f>
        <v>186</v>
      </c>
      <c r="B187" s="8" t="s">
        <v>291</v>
      </c>
      <c r="C187" s="32" t="s">
        <v>106</v>
      </c>
      <c r="D187" s="33" t="str">
        <f>VLOOKUP(B187,'Player Data'!A1:D734,4,FALSE)</f>
        <v>C</v>
      </c>
      <c r="E187" s="34">
        <f>VLOOKUP(B187,'C'!A1:C211,3,FALSE)</f>
        <v>50</v>
      </c>
      <c r="F187" s="35" t="str">
        <f>VLOOKUP(B187,'Player Data'!A1:B734,2,FALSE)</f>
        <v>WSH</v>
      </c>
      <c r="G187" s="9">
        <f>VLOOKUP(B187,'Player Data'!A1:D734,3,FALSE)</f>
        <v>31</v>
      </c>
      <c r="H187" s="36">
        <f>IFERROR(VLOOKUP(B187,ADP!A1:G728,7,FALSE)/1000000,VLOOKUP(B187,ADP!A1:G728,7,FALSE))</f>
        <v>7.8</v>
      </c>
      <c r="I187" s="37">
        <f>IF(Settings!$E$15="POINTS",((R187*Q187)*Settings!$B$12)+(S187*Settings!$B$2)+(T187*Settings!$B$3)+(U187*Settings!$B$4)+(V187*Settings!$B$5)+(X187*Settings!$B$9)+(AA187*Settings!$B$6)+(W187*Settings!$B$8)+(AB187*Settings!$B$7)+(AC187*Settings!$B$14)+(AD187*Settings!$B$15)+(AE187*Settings!$B$16)+(AF187*Settings!$B$17)+(AG187*Settings!$B$18)+(Y187*Settings!$B$10)+(Z187*Settings!$B$11),VLOOKUP(B187,'Standard Deviations'!A1:C728,3,FALSE))</f>
        <v>301.41963693600576</v>
      </c>
      <c r="J187" s="38">
        <f>IF(D187="G",I187/AJ187,I187/Q187)</f>
        <v>3.8037109067919723</v>
      </c>
      <c r="K187" s="37">
        <f>IF(Settings!$E$18="C/LW/RW",VLOOKUP(B187,'C'!A1:F211,6,FALSE),VLOOKUP(B187,F!A1:F430,6,FALSE))</f>
        <v>-91.909168830203896</v>
      </c>
      <c r="L187" s="37">
        <f>IFERROR(K187/H187,"N/A")</f>
        <v>-11.783226773103063</v>
      </c>
      <c r="M187" s="39">
        <f>IF(Settings!$E$9="YAHOO",VLOOKUP(B187,ADP!A1:E728,2,FALSE),IF(Settings!$E$9="ESPN",VLOOKUP(B187,ADP!A1:E728,3,FALSE),IF(Settings!$E$9="FANTRAX",VLOOKUP(B187,ADP!A1:E728,4,FALSE),VLOOKUP(B187,ADP!A1:E728,5,FALSE))))</f>
        <v>158.19999999999999</v>
      </c>
      <c r="N187" s="39">
        <f>IFERROR(M187-A187,"N/A")</f>
        <v>-27.800000000000011</v>
      </c>
      <c r="O187" s="39"/>
      <c r="P187" s="40" t="str">
        <f>IF(Settings!$E$27="ON",VLOOKUP(B187,ADP!A1:H728,8,FALSE)," ")</f>
        <v xml:space="preserve"> </v>
      </c>
      <c r="Q187" s="41">
        <f>IF(Settings!$E$12="YES",VLOOKUP(B187,'Player Data'!A1:E734,5,FALSE),82)</f>
        <v>79.2435714285714</v>
      </c>
      <c r="R187" s="39">
        <f>VLOOKUP(B187,'Player Data'!$A1:$AE734,6,FALSE)</f>
        <v>18.240917659402299</v>
      </c>
      <c r="S187" s="41">
        <f>VLOOKUP(B187,'Player Data'!$A1:$AE734,7,FALSE)*$Q187*IFERROR((VLOOKUP(P187,Settings!$E$28:$F$33,2,FALSE)+1),1)</f>
        <v>15.636108927394075</v>
      </c>
      <c r="T187" s="41">
        <f>VLOOKUP(B187,'Player Data'!$A1:$AE734,8,FALSE)*$Q187*IFERROR((VLOOKUP(P187,Settings!$E$28:$F$33,2,FALSE)+1),1)</f>
        <v>41.307191442733334</v>
      </c>
      <c r="U187" s="41">
        <f>SUM(S187:T187)</f>
        <v>56.94330037012741</v>
      </c>
      <c r="V187" s="41">
        <f>VLOOKUP(B187,'Player Data'!$A1:$AE734,10,FALSE)*$Q187*IFERROR(((VLOOKUP(P187,Settings!$E$28:$F$33,2,FALSE)/2)+1),1)</f>
        <v>173.13571968747897</v>
      </c>
      <c r="W187" s="41">
        <f>VLOOKUP(B187,'Player Data'!$A1:$AE734,11,FALSE)*$Q187*IFERROR((VLOOKUP(P187,Settings!$E$28:$F$33,2,FALSE)+1),1)</f>
        <v>4.5146468255441814</v>
      </c>
      <c r="X187" s="41">
        <f>VLOOKUP(B187,'Player Data'!$A1:$AE734,12,FALSE)*$Q187*IFERROR((VLOOKUP(P187,Settings!$E$28:$F$33,2,FALSE)+1),1)</f>
        <v>17.399819372781074</v>
      </c>
      <c r="Y187" s="41">
        <f>VLOOKUP(B187,'Player Data'!$A1:$AE734,13,FALSE)*$Q187</f>
        <v>0.78785702747900133</v>
      </c>
      <c r="Z187" s="41">
        <f>VLOOKUP(B187,'Player Data'!$A1:$AE734,14,FALSE)*$Q187</f>
        <v>1.6258282559535266</v>
      </c>
      <c r="AA187" s="41">
        <f>VLOOKUP(B187,'Player Data'!$A1:$AE734,15,FALSE)*$Q187</f>
        <v>29.852903622073796</v>
      </c>
      <c r="AB187" s="41">
        <f>VLOOKUP(B187,'Player Data'!$A1:$AE734,16,FALSE)*$Q187</f>
        <v>46.055767522245148</v>
      </c>
      <c r="AC187" s="41">
        <f>VLOOKUP(B187,'Player Data'!$A1:$AE734,17,FALSE)*$Q187*IFERROR((VLOOKUP(P187,Settings!$E$28:$F$33,2,FALSE)+1),1)</f>
        <v>-3.6457969599493221</v>
      </c>
      <c r="AD187" s="41">
        <f>VLOOKUP(B187,'Player Data'!$A1:$AE734,18,FALSE)*$Q187</f>
        <v>42.52328665924616</v>
      </c>
      <c r="AE187" s="41">
        <f>VLOOKUP(B187,'Player Data'!$A1:$AE734,19,FALSE)*$Q187*IFERROR((VLOOKUP(P187,Settings!$E$28:$F$33,2,FALSE)+1),1)</f>
        <v>1.9233334430332389</v>
      </c>
      <c r="AF187" s="41">
        <f>VLOOKUP(B187,'Player Data'!$A1:$AE734,20,FALSE)*$Q187</f>
        <v>475.49930624723601</v>
      </c>
      <c r="AG187" s="41">
        <f>VLOOKUP(B187,'Player Data'!$A1:$AE734,21,FALSE)*$Q187</f>
        <v>579.52359558061335</v>
      </c>
      <c r="AH187" s="42">
        <f>VLOOKUP(B187,'Player Data'!$A1:$AE734,22,FALSE)</f>
        <v>0.45070045913071999</v>
      </c>
      <c r="AI187" s="39"/>
      <c r="AJ187" s="41"/>
      <c r="AK187" s="41"/>
      <c r="AL187" s="41"/>
      <c r="AM187" s="41"/>
      <c r="AN187" s="41"/>
      <c r="AO187" s="41"/>
      <c r="AP187" s="41"/>
      <c r="AQ187" s="44"/>
      <c r="AR187" s="45"/>
      <c r="AS187" s="39"/>
    </row>
    <row r="188" spans="1:45" ht="21.25" customHeight="1" x14ac:dyDescent="0.15">
      <c r="A188" s="31">
        <f>RANK(K188,K$2:K$727)</f>
        <v>187</v>
      </c>
      <c r="B188" s="8" t="s">
        <v>292</v>
      </c>
      <c r="C188" s="32" t="s">
        <v>106</v>
      </c>
      <c r="D188" s="33" t="str">
        <f>VLOOKUP(B188,'Player Data'!A1:D734,4,FALSE)</f>
        <v>RW</v>
      </c>
      <c r="E188" s="46">
        <f>VLOOKUP(B188,RW!A1:F97,3,FALSE)</f>
        <v>30</v>
      </c>
      <c r="F188" s="35" t="str">
        <f>VLOOKUP(B188,'Player Data'!A1:B734,2,FALSE)</f>
        <v>SEA</v>
      </c>
      <c r="G188" s="9">
        <f>VLOOKUP(B188,'Player Data'!A1:D734,3,FALSE)</f>
        <v>28</v>
      </c>
      <c r="H188" s="36">
        <f>IFERROR(VLOOKUP(B188,ADP!A1:G728,7,FALSE)/1000000,VLOOKUP(B188,ADP!A1:G728,7,FALSE))</f>
        <v>5.4</v>
      </c>
      <c r="I188" s="37">
        <f>IF(Settings!$E$15="POINTS",((R188*Q188)*Settings!$B$12)+(S188*Settings!$B$2)+(T188*Settings!$B$3)+(U188*Settings!$B$4)+(V188*Settings!$B$5)+(X188*Settings!$B$9)+(AA188*Settings!$B$6)+(W188*Settings!$B$8)+(AB188*Settings!$B$7)+(AC188*Settings!$B$14)+(AD188*Settings!$B$15)+(AE188*Settings!$B$16)+(AF188*Settings!$B$17)+(AG188*Settings!$B$18)+(Y188*Settings!$B$10)+(Z188*Settings!$B$11),VLOOKUP(B188,'Standard Deviations'!A1:C728,3,FALSE))</f>
        <v>257.42960669344683</v>
      </c>
      <c r="J188" s="38">
        <f>IF(D188="G",I188/AJ188,I188/Q188)</f>
        <v>3.1742244968365827</v>
      </c>
      <c r="K188" s="37">
        <f>IF(Settings!$E$18="C/LW/RW",VLOOKUP(B188,RW!A1:F97,6,FALSE),VLOOKUP(B188,F!A1:F430,6,FALSE))</f>
        <v>-92.841933854442743</v>
      </c>
      <c r="L188" s="37">
        <f>IFERROR(K188/H188,"N/A")</f>
        <v>-17.192950713785692</v>
      </c>
      <c r="M188" s="39">
        <f>IF(Settings!$E$9="YAHOO",VLOOKUP(B188,ADP!A1:E728,2,FALSE),IF(Settings!$E$9="ESPN",VLOOKUP(B188,ADP!A1:E728,3,FALSE),IF(Settings!$E$9="FANTRAX",VLOOKUP(B188,ADP!A1:E728,4,FALSE),VLOOKUP(B188,ADP!A1:E728,5,FALSE))))</f>
        <v>174.5</v>
      </c>
      <c r="N188" s="39">
        <f>IFERROR(M188-A188,"N/A")</f>
        <v>-12.5</v>
      </c>
      <c r="O188" s="39"/>
      <c r="P188" s="40" t="str">
        <f>IF(Settings!$E$27="ON",VLOOKUP(B188,ADP!A1:H728,8,FALSE)," ")</f>
        <v xml:space="preserve"> </v>
      </c>
      <c r="Q188" s="41">
        <f>IF(Settings!$E$12="YES",VLOOKUP(B188,'Player Data'!A1:E734,5,FALSE),82)</f>
        <v>81.099999999999994</v>
      </c>
      <c r="R188" s="39">
        <f>VLOOKUP(B188,'Player Data'!$A1:$AE734,6,FALSE)</f>
        <v>15.2982097371024</v>
      </c>
      <c r="S188" s="41">
        <f>VLOOKUP(B188,'Player Data'!$A1:$AE734,7,FALSE)*$Q188*IFERROR((VLOOKUP(P188,Settings!$E$28:$F$33,2,FALSE)+1),1)</f>
        <v>20.463700955962572</v>
      </c>
      <c r="T188" s="41">
        <f>VLOOKUP(B188,'Player Data'!$A1:$AE734,8,FALSE)*$Q188*IFERROR((VLOOKUP(P188,Settings!$E$28:$F$33,2,FALSE)+1),1)</f>
        <v>25.335743136341151</v>
      </c>
      <c r="U188" s="41">
        <f>SUM(S188:T188)</f>
        <v>45.799444092303723</v>
      </c>
      <c r="V188" s="41">
        <f>VLOOKUP(B188,'Player Data'!$A1:$AE734,10,FALSE)*$Q188*IFERROR(((VLOOKUP(P188,Settings!$E$28:$F$33,2,FALSE)/2)+1),1)</f>
        <v>185.82379581312432</v>
      </c>
      <c r="W188" s="41">
        <f>VLOOKUP(B188,'Player Data'!$A1:$AE734,11,FALSE)*$Q188*IFERROR((VLOOKUP(P188,Settings!$E$28:$F$33,2,FALSE)+1),1)</f>
        <v>4.4847644065722934</v>
      </c>
      <c r="X188" s="41">
        <f>VLOOKUP(B188,'Player Data'!$A1:$AE734,12,FALSE)*$Q188*IFERROR((VLOOKUP(P188,Settings!$E$28:$F$33,2,FALSE)+1),1)</f>
        <v>10.034911420653732</v>
      </c>
      <c r="Y188" s="41">
        <f>VLOOKUP(B188,'Player Data'!$A1:$AE734,13,FALSE)*$Q188</f>
        <v>2.3516582630365448E-3</v>
      </c>
      <c r="Z188" s="41">
        <f>VLOOKUP(B188,'Player Data'!$A1:$AE734,14,FALSE)*$Q188</f>
        <v>4.3130267200175796E-3</v>
      </c>
      <c r="AA188" s="41">
        <f>VLOOKUP(B188,'Player Data'!$A1:$AE734,15,FALSE)*$Q188</f>
        <v>35.204638076130017</v>
      </c>
      <c r="AB188" s="41">
        <f>VLOOKUP(B188,'Player Data'!$A1:$AE734,16,FALSE)*$Q188</f>
        <v>69.010164983921882</v>
      </c>
      <c r="AC188" s="41">
        <f>VLOOKUP(B188,'Player Data'!$A1:$AE734,17,FALSE)*$Q188*IFERROR((VLOOKUP(P188,Settings!$E$28:$F$33,2,FALSE)+1),1)</f>
        <v>-0.80516244676035875</v>
      </c>
      <c r="AD188" s="41">
        <f>VLOOKUP(B188,'Player Data'!$A1:$AE734,18,FALSE)*$Q188</f>
        <v>17.770831659079413</v>
      </c>
      <c r="AE188" s="41">
        <f>VLOOKUP(B188,'Player Data'!$A1:$AE734,19,FALSE)*$Q188*IFERROR((VLOOKUP(P188,Settings!$E$28:$F$33,2,FALSE)+1),1)</f>
        <v>2.8763977823625448</v>
      </c>
      <c r="AF188" s="41">
        <f>VLOOKUP(B188,'Player Data'!$A1:$AE734,20,FALSE)*$Q188</f>
        <v>17.396693844741609</v>
      </c>
      <c r="AG188" s="41">
        <f>VLOOKUP(B188,'Player Data'!$A1:$AE734,21,FALSE)*$Q188</f>
        <v>28.438926099856825</v>
      </c>
      <c r="AH188" s="42">
        <f>VLOOKUP(B188,'Player Data'!$A1:$AE734,22,FALSE)</f>
        <v>0.37954529393884101</v>
      </c>
      <c r="AI188" s="39"/>
      <c r="AJ188" s="43"/>
      <c r="AK188" s="41"/>
      <c r="AL188" s="41"/>
      <c r="AM188" s="41"/>
      <c r="AN188" s="41"/>
      <c r="AO188" s="41"/>
      <c r="AP188" s="41"/>
      <c r="AQ188" s="44"/>
      <c r="AR188" s="45"/>
      <c r="AS188" s="39"/>
    </row>
    <row r="189" spans="1:45" ht="21.25" customHeight="1" x14ac:dyDescent="0.15">
      <c r="A189" s="31">
        <f>RANK(K189,K$2:K$727)</f>
        <v>188</v>
      </c>
      <c r="B189" s="8" t="s">
        <v>293</v>
      </c>
      <c r="C189" s="32" t="s">
        <v>106</v>
      </c>
      <c r="D189" s="33" t="str">
        <f>VLOOKUP(B189,'Player Data'!A1:D734,4,FALSE)</f>
        <v>RW</v>
      </c>
      <c r="E189" s="46">
        <f>VLOOKUP(B189,RW!A1:F97,3,FALSE)</f>
        <v>31</v>
      </c>
      <c r="F189" s="35" t="str">
        <f>VLOOKUP(B189,'Player Data'!A1:B734,2,FALSE)</f>
        <v>MIN</v>
      </c>
      <c r="G189" s="9">
        <f>VLOOKUP(B189,'Player Data'!A1:D734,3,FALSE)</f>
        <v>28</v>
      </c>
      <c r="H189" s="36">
        <f>IFERROR(VLOOKUP(B189,ADP!A1:G728,7,FALSE)/1000000,VLOOKUP(B189,ADP!A1:G728,7,FALSE))</f>
        <v>1.7</v>
      </c>
      <c r="I189" s="37">
        <f>IF(Settings!$E$15="POINTS",((R189*Q189)*Settings!$B$12)+(S189*Settings!$B$2)+(T189*Settings!$B$3)+(U189*Settings!$B$4)+(V189*Settings!$B$5)+(X189*Settings!$B$9)+(AA189*Settings!$B$6)+(W189*Settings!$B$8)+(AB189*Settings!$B$7)+(AC189*Settings!$B$14)+(AD189*Settings!$B$15)+(AE189*Settings!$B$16)+(AF189*Settings!$B$17)+(AG189*Settings!$B$18)+(Y189*Settings!$B$10)+(Z189*Settings!$B$11),VLOOKUP(B189,'Standard Deviations'!A1:C728,3,FALSE))</f>
        <v>257.42647415307243</v>
      </c>
      <c r="J189" s="38">
        <f>IF(D189="G",I189/AJ189,I189/Q189)</f>
        <v>3.3259234386701864</v>
      </c>
      <c r="K189" s="37">
        <f>IF(Settings!$E$18="C/LW/RW",VLOOKUP(B189,RW!A1:F97,6,FALSE),VLOOKUP(B189,F!A1:F430,6,FALSE))</f>
        <v>-92.845066394817138</v>
      </c>
      <c r="L189" s="37">
        <f>IFERROR(K189/H189,"N/A")</f>
        <v>-54.614744938127728</v>
      </c>
      <c r="M189" s="39">
        <f>IF(Settings!$E$9="YAHOO",VLOOKUP(B189,ADP!A1:E728,2,FALSE),IF(Settings!$E$9="ESPN",VLOOKUP(B189,ADP!A1:E728,3,FALSE),IF(Settings!$E$9="FANTRAX",VLOOKUP(B189,ADP!A1:E728,4,FALSE),VLOOKUP(B189,ADP!A1:E728,5,FALSE))))</f>
        <v>179.1</v>
      </c>
      <c r="N189" s="39">
        <f>IFERROR(M189-A189,"N/A")</f>
        <v>-8.9000000000000057</v>
      </c>
      <c r="O189" s="39"/>
      <c r="P189" s="40" t="str">
        <f>IF(Settings!$E$27="ON",VLOOKUP(B189,ADP!A1:H728,8,FALSE)," ")</f>
        <v xml:space="preserve"> </v>
      </c>
      <c r="Q189" s="41">
        <f>IF(Settings!$E$12="YES",VLOOKUP(B189,'Player Data'!A1:E734,5,FALSE),82)</f>
        <v>77.400000000000006</v>
      </c>
      <c r="R189" s="39">
        <f>VLOOKUP(B189,'Player Data'!$A1:$AE734,6,FALSE)</f>
        <v>16.268800686773901</v>
      </c>
      <c r="S189" s="41">
        <f>VLOOKUP(B189,'Player Data'!$A1:$AE734,7,FALSE)*$Q189*IFERROR((VLOOKUP(P189,Settings!$E$28:$F$33,2,FALSE)+1),1)</f>
        <v>21.753146625450476</v>
      </c>
      <c r="T189" s="41">
        <f>VLOOKUP(B189,'Player Data'!$A1:$AE734,8,FALSE)*$Q189*IFERROR((VLOOKUP(P189,Settings!$E$28:$F$33,2,FALSE)+1),1)</f>
        <v>26.37625979962106</v>
      </c>
      <c r="U189" s="41">
        <f>SUM(S189:T189)</f>
        <v>48.129406425071537</v>
      </c>
      <c r="V189" s="41">
        <f>VLOOKUP(B189,'Player Data'!$A1:$AE734,10,FALSE)*$Q189*IFERROR(((VLOOKUP(P189,Settings!$E$28:$F$33,2,FALSE)/2)+1),1)</f>
        <v>181.31814894803239</v>
      </c>
      <c r="W189" s="41">
        <f>VLOOKUP(B189,'Player Data'!$A1:$AE734,11,FALSE)*$Q189*IFERROR((VLOOKUP(P189,Settings!$E$28:$F$33,2,FALSE)+1),1)</f>
        <v>0.91568880375020878</v>
      </c>
      <c r="X189" s="41">
        <f>VLOOKUP(B189,'Player Data'!$A1:$AE734,12,FALSE)*$Q189*IFERROR((VLOOKUP(P189,Settings!$E$28:$F$33,2,FALSE)+1),1)</f>
        <v>4.1724726701352539</v>
      </c>
      <c r="Y189" s="41">
        <f>VLOOKUP(B189,'Player Data'!$A1:$AE734,13,FALSE)*$Q189</f>
        <v>1.0561685783494537</v>
      </c>
      <c r="Z189" s="41">
        <f>VLOOKUP(B189,'Player Data'!$A1:$AE734,14,FALSE)*$Q189</f>
        <v>1.7002337275040942</v>
      </c>
      <c r="AA189" s="41">
        <f>VLOOKUP(B189,'Player Data'!$A1:$AE734,15,FALSE)*$Q189</f>
        <v>53.168838042814883</v>
      </c>
      <c r="AB189" s="41">
        <f>VLOOKUP(B189,'Player Data'!$A1:$AE734,16,FALSE)*$Q189</f>
        <v>75.742260924676941</v>
      </c>
      <c r="AC189" s="41">
        <f>VLOOKUP(B189,'Player Data'!$A1:$AE734,17,FALSE)*$Q189*IFERROR((VLOOKUP(P189,Settings!$E$28:$F$33,2,FALSE)+1),1)</f>
        <v>3.5317054423103209</v>
      </c>
      <c r="AD189" s="41">
        <f>VLOOKUP(B189,'Player Data'!$A1:$AE734,18,FALSE)*$Q189</f>
        <v>68.161497798059173</v>
      </c>
      <c r="AE189" s="41">
        <f>VLOOKUP(B189,'Player Data'!$A1:$AE734,19,FALSE)*$Q189*IFERROR((VLOOKUP(P189,Settings!$E$28:$F$33,2,FALSE)+1),1)</f>
        <v>3.4930423117142984</v>
      </c>
      <c r="AF189" s="41">
        <f>VLOOKUP(B189,'Player Data'!$A1:$AE734,20,FALSE)*$Q189</f>
        <v>345.41886266634657</v>
      </c>
      <c r="AG189" s="41">
        <f>VLOOKUP(B189,'Player Data'!$A1:$AE734,21,FALSE)*$Q189</f>
        <v>447.33202051160094</v>
      </c>
      <c r="AH189" s="42">
        <f>VLOOKUP(B189,'Player Data'!$A1:$AE734,22,FALSE)</f>
        <v>0.43572182635943002</v>
      </c>
      <c r="AI189" s="39"/>
      <c r="AJ189" s="43"/>
      <c r="AK189" s="41"/>
      <c r="AL189" s="41"/>
      <c r="AM189" s="41"/>
      <c r="AN189" s="41"/>
      <c r="AO189" s="41"/>
      <c r="AP189" s="41"/>
      <c r="AQ189" s="44"/>
      <c r="AR189" s="45"/>
      <c r="AS189" s="39"/>
    </row>
    <row r="190" spans="1:45" ht="21.25" customHeight="1" x14ac:dyDescent="0.15">
      <c r="A190" s="31">
        <f>RANK(K190,K$2:K$727)</f>
        <v>189</v>
      </c>
      <c r="B190" s="8" t="s">
        <v>294</v>
      </c>
      <c r="C190" s="32" t="s">
        <v>106</v>
      </c>
      <c r="D190" s="33" t="str">
        <f>VLOOKUP(B190,'Player Data'!A1:D734,4,FALSE)</f>
        <v>RW</v>
      </c>
      <c r="E190" s="46">
        <f>VLOOKUP(B190,RW!A1:F97,3,FALSE)</f>
        <v>32</v>
      </c>
      <c r="F190" s="35" t="str">
        <f>VLOOKUP(B190,'Player Data'!A1:B734,2,FALSE)</f>
        <v>NSH</v>
      </c>
      <c r="G190" s="9">
        <f>VLOOKUP(B190,'Player Data'!A1:D734,3,FALSE)</f>
        <v>21</v>
      </c>
      <c r="H190" s="36">
        <f>IFERROR(VLOOKUP(B190,ADP!A1:G728,7,FALSE)/1000000,VLOOKUP(B190,ADP!A1:G728,7,FALSE))</f>
        <v>0.79749999999999999</v>
      </c>
      <c r="I190" s="37">
        <f>IF(Settings!$E$15="POINTS",((R190*Q190)*Settings!$B$12)+(S190*Settings!$B$2)+(T190*Settings!$B$3)+(U190*Settings!$B$4)+(V190*Settings!$B$5)+(X190*Settings!$B$9)+(AA190*Settings!$B$6)+(W190*Settings!$B$8)+(AB190*Settings!$B$7)+(AC190*Settings!$B$14)+(AD190*Settings!$B$15)+(AE190*Settings!$B$16)+(AF190*Settings!$B$17)+(AG190*Settings!$B$18)+(Y190*Settings!$B$10)+(Z190*Settings!$B$11),VLOOKUP(B190,'Standard Deviations'!A1:C728,3,FALSE))</f>
        <v>256.93122822051691</v>
      </c>
      <c r="J190" s="38">
        <f>IF(D190="G",I190/AJ190,I190/Q190)</f>
        <v>3.524433857620259</v>
      </c>
      <c r="K190" s="37">
        <f>IF(Settings!$E$18="C/LW/RW",VLOOKUP(B190,RW!A1:F97,6,FALSE),VLOOKUP(B190,F!A1:F430,6,FALSE))</f>
        <v>-93.340312327372658</v>
      </c>
      <c r="L190" s="37">
        <f>IFERROR(K190/H190,"N/A")</f>
        <v>-117.04114398416634</v>
      </c>
      <c r="M190" s="53" t="str">
        <f>IF(Settings!$E$9="YAHOO",VLOOKUP(B190,ADP!A1:E728,2,FALSE),IF(Settings!$E$9="ESPN",VLOOKUP(B190,ADP!A1:E728,3,FALSE),IF(Settings!$E$9="FANTRAX",VLOOKUP(B190,ADP!A1:E728,4,FALSE),VLOOKUP(B190,ADP!A1:E728,5,FALSE))))</f>
        <v>-</v>
      </c>
      <c r="N190" s="53" t="str">
        <f>IFERROR(M190-A190,"N/A")</f>
        <v>N/A</v>
      </c>
      <c r="O190" s="39"/>
      <c r="P190" s="40" t="str">
        <f>IF(Settings!$E$27="ON",VLOOKUP(B190,ADP!A1:H728,8,FALSE)," ")</f>
        <v>-</v>
      </c>
      <c r="Q190" s="41">
        <f>IF(Settings!$E$12="YES",VLOOKUP(B190,'Player Data'!A1:E734,5,FALSE),82)</f>
        <v>72.900000000000006</v>
      </c>
      <c r="R190" s="39">
        <f>VLOOKUP(B190,'Player Data'!$A1:$AE734,6,FALSE)</f>
        <v>16.6149850521549</v>
      </c>
      <c r="S190" s="41">
        <f>VLOOKUP(B190,'Player Data'!$A1:$AE734,7,FALSE)*$Q190*IFERROR((VLOOKUP(P190,Settings!$E$28:$F$33,2,FALSE)+1),1)</f>
        <v>21.658382604503327</v>
      </c>
      <c r="T190" s="41">
        <f>VLOOKUP(B190,'Player Data'!$A1:$AE734,8,FALSE)*$Q190*IFERROR((VLOOKUP(P190,Settings!$E$28:$F$33,2,FALSE)+1),1)</f>
        <v>27.850129240668846</v>
      </c>
      <c r="U190" s="41">
        <f>SUM(S190:T190)</f>
        <v>49.508511845172173</v>
      </c>
      <c r="V190" s="41">
        <f>VLOOKUP(B190,'Player Data'!$A1:$AE734,10,FALSE)*$Q190*IFERROR(((VLOOKUP(P190,Settings!$E$28:$F$33,2,FALSE)/2)+1),1)</f>
        <v>162.06664513551826</v>
      </c>
      <c r="W190" s="41">
        <f>VLOOKUP(B190,'Player Data'!$A1:$AE734,11,FALSE)*$Q190*IFERROR((VLOOKUP(P190,Settings!$E$28:$F$33,2,FALSE)+1),1)</f>
        <v>3.2311676051091665</v>
      </c>
      <c r="X190" s="41">
        <f>VLOOKUP(B190,'Player Data'!$A1:$AE734,12,FALSE)*$Q190*IFERROR((VLOOKUP(P190,Settings!$E$28:$F$33,2,FALSE)+1),1)</f>
        <v>11.338067014916408</v>
      </c>
      <c r="Y190" s="41">
        <f>VLOOKUP(B190,'Player Data'!$A1:$AE734,13,FALSE)*$Q190</f>
        <v>1.7729980552590721E-3</v>
      </c>
      <c r="Z190" s="41">
        <f>VLOOKUP(B190,'Player Data'!$A1:$AE734,14,FALSE)*$Q190</f>
        <v>3.2272109760642905E-3</v>
      </c>
      <c r="AA190" s="41">
        <f>VLOOKUP(B190,'Player Data'!$A1:$AE734,15,FALSE)*$Q190</f>
        <v>23.448908327281799</v>
      </c>
      <c r="AB190" s="41">
        <f>VLOOKUP(B190,'Player Data'!$A1:$AE734,16,FALSE)*$Q190</f>
        <v>44.401438572208775</v>
      </c>
      <c r="AC190" s="41">
        <f>VLOOKUP(B190,'Player Data'!$A1:$AE734,17,FALSE)*$Q190*IFERROR((VLOOKUP(P190,Settings!$E$28:$F$33,2,FALSE)+1),1)</f>
        <v>-0.19923938450157996</v>
      </c>
      <c r="AD190" s="41">
        <f>VLOOKUP(B190,'Player Data'!$A1:$AE734,18,FALSE)*$Q190</f>
        <v>25.451274636188156</v>
      </c>
      <c r="AE190" s="41">
        <f>VLOOKUP(B190,'Player Data'!$A1:$AE734,19,FALSE)*$Q190*IFERROR((VLOOKUP(P190,Settings!$E$28:$F$33,2,FALSE)+1),1)</f>
        <v>3.1626903152705643</v>
      </c>
      <c r="AF190" s="41">
        <f>VLOOKUP(B190,'Player Data'!$A1:$AE734,20,FALSE)*$Q190</f>
        <v>0</v>
      </c>
      <c r="AG190" s="41">
        <f>VLOOKUP(B190,'Player Data'!$A1:$AE734,21,FALSE)*$Q190</f>
        <v>0</v>
      </c>
      <c r="AH190" s="42">
        <f>VLOOKUP(B190,'Player Data'!$A1:$AE734,22,FALSE)</f>
        <v>0</v>
      </c>
      <c r="AI190" s="39"/>
      <c r="AJ190" s="41"/>
      <c r="AK190" s="41"/>
      <c r="AL190" s="41"/>
      <c r="AM190" s="41"/>
      <c r="AN190" s="41"/>
      <c r="AO190" s="41"/>
      <c r="AP190" s="41"/>
      <c r="AQ190" s="44"/>
      <c r="AR190" s="45"/>
      <c r="AS190" s="39"/>
    </row>
    <row r="191" spans="1:45" ht="21.25" customHeight="1" x14ac:dyDescent="0.15">
      <c r="A191" s="31">
        <f>RANK(K191,K$2:K$727)</f>
        <v>190</v>
      </c>
      <c r="B191" s="8" t="s">
        <v>295</v>
      </c>
      <c r="C191" s="32" t="s">
        <v>106</v>
      </c>
      <c r="D191" s="33" t="str">
        <f>VLOOKUP(B191,'Player Data'!A1:D734,4,FALSE)</f>
        <v>D</v>
      </c>
      <c r="E191" s="49">
        <f>VLOOKUP(B191,D!A1:C227,3,FALSE)</f>
        <v>47</v>
      </c>
      <c r="F191" s="35" t="str">
        <f>VLOOKUP(B191,'Player Data'!A1:B734,2,FALSE)</f>
        <v>NJD</v>
      </c>
      <c r="G191" s="9">
        <f>VLOOKUP(B191,'Player Data'!A1:D734,3,FALSE)</f>
        <v>20</v>
      </c>
      <c r="H191" s="36">
        <f>IFERROR(VLOOKUP(B191,ADP!A1:G728,7,FALSE)/1000000,VLOOKUP(B191,ADP!A1:G728,7,FALSE))</f>
        <v>0</v>
      </c>
      <c r="I191" s="37">
        <f>IF(Settings!$E$15="POINTS",((R191*Q191)*Settings!$B$12)+(S191*Settings!$B$2)+(T191*Settings!$B$3)+(U191*Settings!$B$4)+(V191*Settings!$B$5)+(X191*Settings!$B$9)+(AA191*Settings!$B$6)+(W191*Settings!$B$8)+(AB191*Settings!$B$7)+(AC191*Settings!$B$14)+(AD191*Settings!$B$15)+(AE191*Settings!$B$16)+(AF191*Settings!$B$17)+(AG191*Settings!$B$18)+(U191*Settings!$B$13)+(Y191*Settings!$B$10)+(Z191*Settings!$B$11),VLOOKUP(B191,'Standard Deviations'!A1:C728,3,FALSE))</f>
        <v>217.43163003973473</v>
      </c>
      <c r="J191" s="38">
        <f>IF(D191="G",I191/AJ191,I191/Q191)</f>
        <v>2.823787403113438</v>
      </c>
      <c r="K191" s="37">
        <f>VLOOKUP(B191,D!A1:F227,6,FALSE)</f>
        <v>-94.133851588192726</v>
      </c>
      <c r="L191" s="52" t="str">
        <f>IFERROR(K191/H191,"N/A")</f>
        <v>N/A</v>
      </c>
      <c r="M191" s="39">
        <f>IF(Settings!$E$9="YAHOO",VLOOKUP(B191,ADP!A1:E728,2,FALSE),IF(Settings!$E$9="ESPN",VLOOKUP(B191,ADP!A1:E728,3,FALSE),IF(Settings!$E$9="FANTRAX",VLOOKUP(B191,ADP!A1:E728,4,FALSE),VLOOKUP(B191,ADP!A1:E728,5,FALSE))))</f>
        <v>120.2</v>
      </c>
      <c r="N191" s="39">
        <f>IFERROR(M191-A191,"N/A")</f>
        <v>-69.8</v>
      </c>
      <c r="O191" s="39"/>
      <c r="P191" s="40" t="str">
        <f>IF(Settings!$E$27="ON",VLOOKUP(B191,ADP!A1:H728,8,FALSE)," ")</f>
        <v xml:space="preserve"> </v>
      </c>
      <c r="Q191" s="41">
        <f>IF(Settings!$E$12="YES",VLOOKUP(B191,'Player Data'!A1:E734,5,FALSE),82)</f>
        <v>77</v>
      </c>
      <c r="R191" s="39">
        <f>VLOOKUP(B191,'Player Data'!$A1:$AE734,6,FALSE)</f>
        <v>20</v>
      </c>
      <c r="S191" s="41">
        <f>VLOOKUP(B191,'Player Data'!$A1:$AE734,7,FALSE)*$Q191*IFERROR((VLOOKUP(P191,Settings!$E$28:$F$33,2,FALSE)+1),1)</f>
        <v>7.8042765868934794</v>
      </c>
      <c r="T191" s="41">
        <f>VLOOKUP(B191,'Player Data'!$A1:$AE734,8,FALSE)*$Q191*IFERROR((VLOOKUP(P191,Settings!$E$28:$F$33,2,FALSE)+1),1)</f>
        <v>29.396406547415598</v>
      </c>
      <c r="U191" s="41">
        <f>SUM(S191:T191)</f>
        <v>37.200683134309074</v>
      </c>
      <c r="V191" s="41">
        <f>VLOOKUP(B191,'Player Data'!$A1:$AE734,10,FALSE)*$Q191*IFERROR(((VLOOKUP(P191,Settings!$E$28:$F$33,2,FALSE)/2)+1),1)</f>
        <v>138.61611703920826</v>
      </c>
      <c r="W191" s="41">
        <f>VLOOKUP(B191,'Player Data'!$A1:$AE734,11,FALSE)*$Q191*IFERROR((VLOOKUP(P191,Settings!$E$28:$F$33,2,FALSE)+1),1)</f>
        <v>1.7427348170846844</v>
      </c>
      <c r="X191" s="41">
        <f>VLOOKUP(B191,'Player Data'!$A1:$AE734,12,FALSE)*$Q191*IFERROR((VLOOKUP(P191,Settings!$E$28:$F$33,2,FALSE)+1),1)</f>
        <v>8.3071025220162973</v>
      </c>
      <c r="Y191" s="41">
        <f>VLOOKUP(B191,'Player Data'!$A1:$AE734,13,FALSE)*$Q191</f>
        <v>0</v>
      </c>
      <c r="Z191" s="41">
        <f>VLOOKUP(B191,'Player Data'!$A1:$AE734,14,FALSE)*$Q191</f>
        <v>0</v>
      </c>
      <c r="AA191" s="41">
        <f>VLOOKUP(B191,'Player Data'!$A1:$AE734,15,FALSE)*$Q191</f>
        <v>99.536585365853796</v>
      </c>
      <c r="AB191" s="41">
        <f>VLOOKUP(B191,'Player Data'!$A1:$AE734,16,FALSE)*$Q191</f>
        <v>102.14236847960453</v>
      </c>
      <c r="AC191" s="41">
        <f>VLOOKUP(B191,'Player Data'!$A1:$AE734,17,FALSE)*$Q191*IFERROR((VLOOKUP(P191,Settings!$E$28:$F$33,2,FALSE)+1),1)</f>
        <v>0.76060975609756054</v>
      </c>
      <c r="AD191" s="41">
        <f>VLOOKUP(B191,'Player Data'!$A1:$AE734,18,FALSE)*$Q191</f>
        <v>36.739322433166741</v>
      </c>
      <c r="AE191" s="41">
        <f>VLOOKUP(B191,'Player Data'!$A1:$AE734,19,FALSE)*$Q191*IFERROR((VLOOKUP(P191,Settings!$E$28:$F$33,2,FALSE)+1),1)</f>
        <v>1.1487161875333991</v>
      </c>
      <c r="AF191" s="41">
        <f>VLOOKUP(B191,'Player Data'!$A1:$AE734,20,FALSE)*$Q191</f>
        <v>0</v>
      </c>
      <c r="AG191" s="41">
        <f>VLOOKUP(B191,'Player Data'!$A1:$AE734,21,FALSE)*$Q191</f>
        <v>0</v>
      </c>
      <c r="AH191" s="42">
        <f>VLOOKUP(B191,'Player Data'!$A1:$AE734,22,FALSE)</f>
        <v>0</v>
      </c>
      <c r="AI191" s="39"/>
      <c r="AJ191" s="43"/>
      <c r="AK191" s="41"/>
      <c r="AL191" s="41"/>
      <c r="AM191" s="41"/>
      <c r="AN191" s="41"/>
      <c r="AO191" s="41"/>
      <c r="AP191" s="41"/>
      <c r="AQ191" s="44"/>
      <c r="AR191" s="45"/>
      <c r="AS191" s="39"/>
    </row>
    <row r="192" spans="1:45" ht="21.25" customHeight="1" x14ac:dyDescent="0.15">
      <c r="A192" s="31">
        <f>RANK(K192,K$2:K$727)</f>
        <v>191</v>
      </c>
      <c r="B192" s="8" t="s">
        <v>296</v>
      </c>
      <c r="C192" s="32" t="s">
        <v>106</v>
      </c>
      <c r="D192" s="33" t="str">
        <f>VLOOKUP(B192,'Player Data'!A1:D734,4,FALSE)</f>
        <v>G</v>
      </c>
      <c r="E192" s="50">
        <f>VLOOKUP(B192,G!A1:D75,3,FALSE)</f>
        <v>26</v>
      </c>
      <c r="F192" s="35" t="str">
        <f>VLOOKUP(B192,'Player Data'!A1:B734,2,FALSE)</f>
        <v>DET</v>
      </c>
      <c r="G192" s="9">
        <f>VLOOKUP(B192,'Player Data'!A1:D734,3,FALSE)</f>
        <v>28</v>
      </c>
      <c r="H192" s="36">
        <f>IFERROR(VLOOKUP(B192,ADP!A1:G728,7,FALSE)/1000000,VLOOKUP(B192,ADP!A1:G728,7,FALSE))</f>
        <v>4.75</v>
      </c>
      <c r="I192" s="37">
        <f>IF(Settings!$E$15="POINTS",(AJ192*Settings!$B$29)+(AK192*Settings!$B$21)+(AL192*Settings!$B$22)+(AN192*Settings!$B$24)+(AO192*Settings!$B$25)+(AP192*Settings!$B$27)+(AM192*Settings!$B$23),VLOOKUP(B192,'Standard Deviations'!A1:C728,3,FALSE))</f>
        <v>303.82893075680562</v>
      </c>
      <c r="J192" s="38">
        <f>IF(D192="G",I192/AJ192,I192/Q192)</f>
        <v>6.9052029717455818</v>
      </c>
      <c r="K192" s="37">
        <f>VLOOKUP(B192,G!A1:F75,6,FALSE)</f>
        <v>-94.946731332510581</v>
      </c>
      <c r="L192" s="37">
        <f>IFERROR(K192/H192,"N/A")</f>
        <v>-19.988785543686436</v>
      </c>
      <c r="M192" s="39">
        <f>IF(Settings!$E$9="YAHOO",VLOOKUP(B192,ADP!A1:E728,2,FALSE),IF(Settings!$E$9="ESPN",VLOOKUP(B192,ADP!A1:E728,3,FALSE),IF(Settings!$E$9="FANTRAX",VLOOKUP(B192,ADP!A1:E728,4,FALSE),VLOOKUP(B192,ADP!A1:E728,5,FALSE))))</f>
        <v>138.4</v>
      </c>
      <c r="N192" s="39">
        <f>IFERROR(M192-A192,"N/A")</f>
        <v>-52.599999999999994</v>
      </c>
      <c r="O192" s="39"/>
      <c r="P192" s="40" t="str">
        <f>IF(Settings!$E$27="ON",VLOOKUP(B192,ADP!A1:H728,8,FALSE)," ")</f>
        <v xml:space="preserve"> </v>
      </c>
      <c r="Q192" s="41"/>
      <c r="R192" s="5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2"/>
      <c r="AI192" s="39"/>
      <c r="AJ192" s="43">
        <f>VLOOKUP(B192,'Player Data'!$A1:$AE734,24,FALSE)</f>
        <v>44</v>
      </c>
      <c r="AK192" s="41">
        <f>VLOOKUP(B192,'Player Data'!$A1:$AE734,25,FALSE)*$AJ192*IFERROR((VLOOKUP(P192,Settings!$E$28:$F$33,2,FALSE)+1),1)</f>
        <v>20.574110856298869</v>
      </c>
      <c r="AL192" s="41">
        <f>AJ192-AK192-AM192</f>
        <v>17.925889143701131</v>
      </c>
      <c r="AM192" s="41">
        <f>VLOOKUP(B192,'Player Data'!$A1:$AE734,27,FALSE)*$AJ192</f>
        <v>5.5</v>
      </c>
      <c r="AN192" s="41">
        <f>VLOOKUP(B192,'Player Data'!$A1:$AE734,28,FALSE)*AJ192</f>
        <v>2.5768270880943844</v>
      </c>
      <c r="AO192" s="41">
        <f>VLOOKUP(B192,'Player Data'!$A1:$AE734,29,FALSE)*$AJ192*IFERROR((VLOOKUP(P192,Settings!$E$28:$F$33,2,FALSE)/4)+1,1)</f>
        <v>1207.2859596390649</v>
      </c>
      <c r="AP192" s="41">
        <f>VLOOKUP(B192,'Player Data'!$A1:$AE734,31,FALSE)*$AJ192*(IFERROR(1-(VLOOKUP(P192,Settings!$E$28:$F$33,2,FALSE)/4),1))</f>
        <v>122.2300119359374</v>
      </c>
      <c r="AQ192" s="44">
        <f>1-(AP192/(AO192+AP192))</f>
        <v>0.90806427711346827</v>
      </c>
      <c r="AR192" s="45">
        <f>AP192/AJ192</f>
        <v>2.7779548167258499</v>
      </c>
      <c r="AS192" s="39"/>
    </row>
    <row r="193" spans="1:45" ht="21.25" customHeight="1" x14ac:dyDescent="0.15">
      <c r="A193" s="31">
        <f>RANK(K193,K$2:K$727)</f>
        <v>192</v>
      </c>
      <c r="B193" s="8" t="s">
        <v>297</v>
      </c>
      <c r="C193" s="32" t="s">
        <v>106</v>
      </c>
      <c r="D193" s="33" t="str">
        <f>VLOOKUP(B193,'Player Data'!A1:D734,4,FALSE)</f>
        <v>G</v>
      </c>
      <c r="E193" s="50">
        <f>VLOOKUP(B193,G!A1:D75,3,FALSE)</f>
        <v>27</v>
      </c>
      <c r="F193" s="35" t="str">
        <f>VLOOKUP(B193,'Player Data'!A1:B734,2,FALSE)</f>
        <v>CAR</v>
      </c>
      <c r="G193" s="9">
        <f>VLOOKUP(B193,'Player Data'!A1:D734,3,FALSE)</f>
        <v>33</v>
      </c>
      <c r="H193" s="36">
        <f>IFERROR(VLOOKUP(B193,ADP!A1:G728,7,FALSE)/1000000,VLOOKUP(B193,ADP!A1:G728,7,FALSE))</f>
        <v>3.4</v>
      </c>
      <c r="I193" s="37">
        <f>IF(Settings!$E$15="POINTS",(AJ193*Settings!$B$29)+(AK193*Settings!$B$21)+(AL193*Settings!$B$22)+(AN193*Settings!$B$24)+(AO193*Settings!$B$25)+(AP193*Settings!$B$27)+(AM193*Settings!$B$23),VLOOKUP(B193,'Standard Deviations'!A1:C728,3,FALSE))</f>
        <v>303.22838247628351</v>
      </c>
      <c r="J193" s="38">
        <f>IF(D193="G",I193/AJ193,I193/Q193)</f>
        <v>7.3958142067386223</v>
      </c>
      <c r="K193" s="37">
        <f>VLOOKUP(B193,G!A1:F75,6,FALSE)</f>
        <v>-95.547279613032686</v>
      </c>
      <c r="L193" s="37">
        <f>IFERROR(K193/H193,"N/A")</f>
        <v>-28.102141062656674</v>
      </c>
      <c r="M193" s="39">
        <f>IF(Settings!$E$9="YAHOO",VLOOKUP(B193,ADP!A1:E728,2,FALSE),IF(Settings!$E$9="ESPN",VLOOKUP(B193,ADP!A1:E728,3,FALSE),IF(Settings!$E$9="FANTRAX",VLOOKUP(B193,ADP!A1:E728,4,FALSE),VLOOKUP(B193,ADP!A1:E728,5,FALSE))))</f>
        <v>77.5</v>
      </c>
      <c r="N193" s="39">
        <f>IFERROR(M193-A193,"N/A")</f>
        <v>-114.5</v>
      </c>
      <c r="O193" s="39"/>
      <c r="P193" s="40" t="str">
        <f>IF(Settings!$E$27="ON",VLOOKUP(B193,ADP!A1:H728,8,FALSE)," ")</f>
        <v xml:space="preserve"> </v>
      </c>
      <c r="Q193" s="41"/>
      <c r="R193" s="5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2"/>
      <c r="AI193" s="39"/>
      <c r="AJ193" s="43">
        <f>VLOOKUP(B193,'Player Data'!$A1:$AE734,24,FALSE)</f>
        <v>41</v>
      </c>
      <c r="AK193" s="41">
        <f>VLOOKUP(B193,'Player Data'!$A1:$AE734,25,FALSE)*$AJ193*IFERROR((VLOOKUP(P193,Settings!$E$28:$F$33,2,FALSE)+1),1)</f>
        <v>26.198166699210994</v>
      </c>
      <c r="AL193" s="41">
        <f>AJ193-AK193-AM193</f>
        <v>9.6768333007890064</v>
      </c>
      <c r="AM193" s="41">
        <f>VLOOKUP(B193,'Player Data'!$A1:$AE734,27,FALSE)*$AJ193</f>
        <v>5.125</v>
      </c>
      <c r="AN193" s="41">
        <f>VLOOKUP(B193,'Player Data'!$A1:$AE734,28,FALSE)*AJ193</f>
        <v>2.5800565552001626</v>
      </c>
      <c r="AO193" s="41">
        <f>VLOOKUP(B193,'Player Data'!$A1:$AE734,29,FALSE)*$AJ193*IFERROR((VLOOKUP(P193,Settings!$E$28:$F$33,2,FALSE)/4)+1,1)</f>
        <v>1108.2729399605714</v>
      </c>
      <c r="AP193" s="41">
        <f>VLOOKUP(B193,'Player Data'!$A1:$AE734,31,FALSE)*$AJ193*(IFERROR(1-(VLOOKUP(P193,Settings!$E$28:$F$33,2,FALSE)/4),1))</f>
        <v>111.55423357067851</v>
      </c>
      <c r="AQ193" s="44">
        <f>1-(AP193/(AO193+AP193))</f>
        <v>0.90854914860787805</v>
      </c>
      <c r="AR193" s="45">
        <f>AP193/AJ193</f>
        <v>2.7208349651385002</v>
      </c>
      <c r="AS193" s="39"/>
    </row>
    <row r="194" spans="1:45" ht="21.25" customHeight="1" x14ac:dyDescent="0.15">
      <c r="A194" s="31">
        <f>RANK(K194,K$2:K$727)</f>
        <v>193</v>
      </c>
      <c r="B194" s="8" t="s">
        <v>298</v>
      </c>
      <c r="C194" s="32" t="s">
        <v>106</v>
      </c>
      <c r="D194" s="33" t="str">
        <f>VLOOKUP(B194,'Player Data'!A1:D734,4,FALSE)</f>
        <v>D</v>
      </c>
      <c r="E194" s="49">
        <f>VLOOKUP(B194,D!A1:C227,3,FALSE)</f>
        <v>48</v>
      </c>
      <c r="F194" s="35" t="str">
        <f>VLOOKUP(B194,'Player Data'!A1:B734,2,FALSE)</f>
        <v>WPG</v>
      </c>
      <c r="G194" s="9">
        <f>VLOOKUP(B194,'Player Data'!A1:D734,3,FALSE)</f>
        <v>28</v>
      </c>
      <c r="H194" s="36">
        <f>IFERROR(VLOOKUP(B194,ADP!A1:G728,7,FALSE)/1000000,VLOOKUP(B194,ADP!A1:G728,7,FALSE))</f>
        <v>5.875</v>
      </c>
      <c r="I194" s="37">
        <f>IF(Settings!$E$15="POINTS",((R194*Q194)*Settings!$B$12)+(S194*Settings!$B$2)+(T194*Settings!$B$3)+(U194*Settings!$B$4)+(V194*Settings!$B$5)+(X194*Settings!$B$9)+(AA194*Settings!$B$6)+(W194*Settings!$B$8)+(AB194*Settings!$B$7)+(AC194*Settings!$B$14)+(AD194*Settings!$B$15)+(AE194*Settings!$B$16)+(AF194*Settings!$B$17)+(AG194*Settings!$B$18)+(U194*Settings!$B$13)+(Y194*Settings!$B$10)+(Z194*Settings!$B$11),VLOOKUP(B194,'Standard Deviations'!A1:C728,3,FALSE))</f>
        <v>215.41602418714703</v>
      </c>
      <c r="J194" s="38">
        <f>IF(D194="G",I194/AJ194,I194/Q194)</f>
        <v>2.6578281728746993</v>
      </c>
      <c r="K194" s="37">
        <f>VLOOKUP(B194,D!A1:F227,6,FALSE)</f>
        <v>-96.149457440780424</v>
      </c>
      <c r="L194" s="37">
        <f>IFERROR(K194/H194,"N/A")</f>
        <v>-16.36586509630305</v>
      </c>
      <c r="M194" s="39">
        <f>IF(Settings!$E$9="YAHOO",VLOOKUP(B194,ADP!A1:E728,2,FALSE),IF(Settings!$E$9="ESPN",VLOOKUP(B194,ADP!A1:E728,3,FALSE),IF(Settings!$E$9="FANTRAX",VLOOKUP(B194,ADP!A1:E728,4,FALSE),VLOOKUP(B194,ADP!A1:E728,5,FALSE))))</f>
        <v>167.6</v>
      </c>
      <c r="N194" s="39">
        <f>IFERROR(M194-A194,"N/A")</f>
        <v>-25.400000000000006</v>
      </c>
      <c r="O194" s="39"/>
      <c r="P194" s="40" t="str">
        <f>IF(Settings!$E$27="ON",VLOOKUP(B194,ADP!A1:H728,8,FALSE)," ")</f>
        <v xml:space="preserve"> </v>
      </c>
      <c r="Q194" s="41">
        <f>IF(Settings!$E$12="YES",VLOOKUP(B194,'Player Data'!A1:E734,5,FALSE),82)</f>
        <v>81.049642857142899</v>
      </c>
      <c r="R194" s="39">
        <f>VLOOKUP(B194,'Player Data'!$A1:$AE734,6,FALSE)</f>
        <v>21.7701031971798</v>
      </c>
      <c r="S194" s="41">
        <f>VLOOKUP(B194,'Player Data'!$A1:$AE734,7,FALSE)*$Q194*IFERROR((VLOOKUP(P194,Settings!$E$28:$F$33,2,FALSE)+1),1)</f>
        <v>6.2737012187378891</v>
      </c>
      <c r="T194" s="41">
        <f>VLOOKUP(B194,'Player Data'!$A1:$AE734,8,FALSE)*$Q194*IFERROR((VLOOKUP(P194,Settings!$E$28:$F$33,2,FALSE)+1),1)</f>
        <v>28.783959857990045</v>
      </c>
      <c r="U194" s="41">
        <f>SUM(S194:T194)</f>
        <v>35.057661076727932</v>
      </c>
      <c r="V194" s="41">
        <f>VLOOKUP(B194,'Player Data'!$A1:$AE734,10,FALSE)*$Q194*IFERROR(((VLOOKUP(P194,Settings!$E$28:$F$33,2,FALSE)/2)+1),1)</f>
        <v>140.83385480721304</v>
      </c>
      <c r="W194" s="41">
        <f>VLOOKUP(B194,'Player Data'!$A1:$AE734,11,FALSE)*$Q194*IFERROR((VLOOKUP(P194,Settings!$E$28:$F$33,2,FALSE)+1),1)</f>
        <v>1.0147087403335848</v>
      </c>
      <c r="X194" s="41">
        <f>VLOOKUP(B194,'Player Data'!$A1:$AE734,12,FALSE)*$Q194*IFERROR((VLOOKUP(P194,Settings!$E$28:$F$33,2,FALSE)+1),1)</f>
        <v>6.8915600960377752</v>
      </c>
      <c r="Y194" s="41">
        <f>VLOOKUP(B194,'Player Data'!$A1:$AE734,13,FALSE)*$Q194</f>
        <v>3.4922155765971068E-2</v>
      </c>
      <c r="Z194" s="41">
        <f>VLOOKUP(B194,'Player Data'!$A1:$AE734,14,FALSE)*$Q194</f>
        <v>0.67111371956272325</v>
      </c>
      <c r="AA194" s="41">
        <f>VLOOKUP(B194,'Player Data'!$A1:$AE734,15,FALSE)*$Q194</f>
        <v>123.50382961077842</v>
      </c>
      <c r="AB194" s="41">
        <f>VLOOKUP(B194,'Player Data'!$A1:$AE734,16,FALSE)*$Q194</f>
        <v>168.49264199680519</v>
      </c>
      <c r="AC194" s="41">
        <f>VLOOKUP(B194,'Player Data'!$A1:$AE734,17,FALSE)*$Q194*IFERROR((VLOOKUP(P194,Settings!$E$28:$F$33,2,FALSE)+1),1)</f>
        <v>-0.50343774984961709</v>
      </c>
      <c r="AD194" s="41">
        <f>VLOOKUP(B194,'Player Data'!$A1:$AE734,18,FALSE)*$Q194</f>
        <v>43.013519602350144</v>
      </c>
      <c r="AE194" s="41">
        <f>VLOOKUP(B194,'Player Data'!$A1:$AE734,19,FALSE)*$Q194*IFERROR((VLOOKUP(P194,Settings!$E$28:$F$33,2,FALSE)+1),1)</f>
        <v>0.97871838934302413</v>
      </c>
      <c r="AF194" s="41">
        <f>VLOOKUP(B194,'Player Data'!$A1:$AE734,20,FALSE)*$Q194</f>
        <v>0</v>
      </c>
      <c r="AG194" s="41">
        <f>VLOOKUP(B194,'Player Data'!$A1:$AE734,21,FALSE)*$Q194</f>
        <v>0</v>
      </c>
      <c r="AH194" s="42">
        <f>VLOOKUP(B194,'Player Data'!$A1:$AE734,22,FALSE)</f>
        <v>0</v>
      </c>
      <c r="AI194" s="39"/>
      <c r="AJ194" s="41"/>
      <c r="AK194" s="41"/>
      <c r="AL194" s="41"/>
      <c r="AM194" s="41"/>
      <c r="AN194" s="41"/>
      <c r="AO194" s="41"/>
      <c r="AP194" s="41"/>
      <c r="AQ194" s="44"/>
      <c r="AR194" s="45"/>
      <c r="AS194" s="39"/>
    </row>
    <row r="195" spans="1:45" ht="21.25" customHeight="1" x14ac:dyDescent="0.15">
      <c r="A195" s="31">
        <f>RANK(K195,K$2:K$727)</f>
        <v>194</v>
      </c>
      <c r="B195" s="8" t="s">
        <v>299</v>
      </c>
      <c r="C195" s="32" t="s">
        <v>106</v>
      </c>
      <c r="D195" s="33" t="str">
        <f>VLOOKUP(B195,'Player Data'!A1:D734,4,FALSE)</f>
        <v>LW</v>
      </c>
      <c r="E195" s="47">
        <f>VLOOKUP(B195,LW!A1:C130,3,FALSE)</f>
        <v>39</v>
      </c>
      <c r="F195" s="35" t="str">
        <f>VLOOKUP(B195,'Player Data'!A1:B734,2,FALSE)</f>
        <v>CHI</v>
      </c>
      <c r="G195" s="9">
        <f>VLOOKUP(B195,'Player Data'!A1:D734,3,FALSE)</f>
        <v>21</v>
      </c>
      <c r="H195" s="36">
        <f>IFERROR(VLOOKUP(B195,ADP!A1:G728,7,FALSE)/1000000,VLOOKUP(B195,ADP!A1:G728,7,FALSE))</f>
        <v>0</v>
      </c>
      <c r="I195" s="37">
        <f>IF(Settings!$E$15="POINTS",((R195*Q195)*Settings!$B$12)+(S195*Settings!$B$2)+(T195*Settings!$B$3)+(U195*Settings!$B$4)+(V195*Settings!$B$5)+(X195*Settings!$B$9)+(AA195*Settings!$B$6)+(W195*Settings!$B$8)+(AB195*Settings!$B$7)+(AC195*Settings!$B$14)+(AD195*Settings!$B$15)+(AE195*Settings!$B$16)+(AF195*Settings!$B$17)+(AG195*Settings!$B$18)+(Y195*Settings!$B$10)+(Z195*Settings!$B$11),VLOOKUP(B195,'Standard Deviations'!A1:C728,3,FALSE))</f>
        <v>267.25014181004207</v>
      </c>
      <c r="J195" s="38">
        <f>IF(D195="G",I195/AJ195,I195/Q195)</f>
        <v>3.6422506549920555</v>
      </c>
      <c r="K195" s="37">
        <f>IF(Settings!$E$18="C/LW/RW",VLOOKUP(B195,LW!A1:F130,6,FALSE),VLOOKUP(B195,F!A1:F430,6,FALSE))</f>
        <v>-96.790463047608398</v>
      </c>
      <c r="L195" s="52" t="str">
        <f>IFERROR(K195/H195,"N/A")</f>
        <v>N/A</v>
      </c>
      <c r="M195" s="53" t="str">
        <f>IF(Settings!$E$9="YAHOO",VLOOKUP(B195,ADP!A1:E728,2,FALSE),IF(Settings!$E$9="ESPN",VLOOKUP(B195,ADP!A1:E728,3,FALSE),IF(Settings!$E$9="FANTRAX",VLOOKUP(B195,ADP!A1:E728,4,FALSE),VLOOKUP(B195,ADP!A1:E728,5,FALSE))))</f>
        <v>-</v>
      </c>
      <c r="N195" s="53" t="str">
        <f>IFERROR(M195-A195,"N/A")</f>
        <v>N/A</v>
      </c>
      <c r="O195" s="39"/>
      <c r="P195" s="40" t="str">
        <f>IF(Settings!$E$27="ON",VLOOKUP(B195,ADP!A1:H728,8,FALSE)," ")</f>
        <v xml:space="preserve"> </v>
      </c>
      <c r="Q195" s="41">
        <f>IF(Settings!$E$12="YES",VLOOKUP(B195,'Player Data'!A1:E734,5,FALSE),82)</f>
        <v>73.375</v>
      </c>
      <c r="R195" s="39">
        <f>VLOOKUP(B195,'Player Data'!$A1:$AE734,6,FALSE)</f>
        <v>17.1941798142972</v>
      </c>
      <c r="S195" s="41">
        <f>VLOOKUP(B195,'Player Data'!$A1:$AE734,7,FALSE)*$Q195*IFERROR((VLOOKUP(P195,Settings!$E$28:$F$33,2,FALSE)+1),1)</f>
        <v>21.661114184416967</v>
      </c>
      <c r="T195" s="41">
        <f>VLOOKUP(B195,'Player Data'!$A1:$AE734,8,FALSE)*$Q195*IFERROR((VLOOKUP(P195,Settings!$E$28:$F$33,2,FALSE)+1),1)</f>
        <v>29.649660622442795</v>
      </c>
      <c r="U195" s="41">
        <f>SUM(S195:T195)</f>
        <v>51.310774806859762</v>
      </c>
      <c r="V195" s="41">
        <f>VLOOKUP(B195,'Player Data'!$A1:$AE734,10,FALSE)*$Q195*IFERROR(((VLOOKUP(P195,Settings!$E$28:$F$33,2,FALSE)/2)+1),1)</f>
        <v>152.6208851211355</v>
      </c>
      <c r="W195" s="41">
        <f>VLOOKUP(B195,'Player Data'!$A1:$AE734,11,FALSE)*$Q195*IFERROR((VLOOKUP(P195,Settings!$E$28:$F$33,2,FALSE)+1),1)</f>
        <v>3.6079847204480937</v>
      </c>
      <c r="X195" s="41">
        <f>VLOOKUP(B195,'Player Data'!$A1:$AE734,12,FALSE)*$Q195*IFERROR((VLOOKUP(P195,Settings!$E$28:$F$33,2,FALSE)+1),1)</f>
        <v>14.392435592309731</v>
      </c>
      <c r="Y195" s="41">
        <f>VLOOKUP(B195,'Player Data'!$A1:$AE734,13,FALSE)*$Q195</f>
        <v>1.3595017085990297E-3</v>
      </c>
      <c r="Z195" s="41">
        <f>VLOOKUP(B195,'Player Data'!$A1:$AE734,14,FALSE)*$Q195</f>
        <v>2.4694646357412441E-3</v>
      </c>
      <c r="AA195" s="41">
        <f>VLOOKUP(B195,'Player Data'!$A1:$AE734,15,FALSE)*$Q195</f>
        <v>41.087823575020323</v>
      </c>
      <c r="AB195" s="41">
        <f>VLOOKUP(B195,'Player Data'!$A1:$AE734,16,FALSE)*$Q195</f>
        <v>39.358790229219544</v>
      </c>
      <c r="AC195" s="41">
        <f>VLOOKUP(B195,'Player Data'!$A1:$AE734,17,FALSE)*$Q195*IFERROR((VLOOKUP(P195,Settings!$E$28:$F$33,2,FALSE)+1),1)</f>
        <v>-6.0682982039415299</v>
      </c>
      <c r="AD195" s="41">
        <f>VLOOKUP(B195,'Player Data'!$A1:$AE734,18,FALSE)*$Q195</f>
        <v>24.377155250929633</v>
      </c>
      <c r="AE195" s="41">
        <f>VLOOKUP(B195,'Player Data'!$A1:$AE734,19,FALSE)*$Q195*IFERROR((VLOOKUP(P195,Settings!$E$28:$F$33,2,FALSE)+1),1)</f>
        <v>2.5382829771392257</v>
      </c>
      <c r="AF195" s="41">
        <f>VLOOKUP(B195,'Player Data'!$A1:$AE734,20,FALSE)*$Q195</f>
        <v>26.21539654616971</v>
      </c>
      <c r="AG195" s="41">
        <f>VLOOKUP(B195,'Player Data'!$A1:$AE734,21,FALSE)*$Q195</f>
        <v>43.562005941037739</v>
      </c>
      <c r="AH195" s="42">
        <f>VLOOKUP(B195,'Player Data'!$A1:$AE734,22,FALSE)</f>
        <v>0.37570037880065699</v>
      </c>
      <c r="AI195" s="39"/>
      <c r="AJ195" s="43"/>
      <c r="AK195" s="41"/>
      <c r="AL195" s="41"/>
      <c r="AM195" s="41"/>
      <c r="AN195" s="41"/>
      <c r="AO195" s="41"/>
      <c r="AP195" s="41"/>
      <c r="AQ195" s="44"/>
      <c r="AR195" s="45"/>
      <c r="AS195" s="39"/>
    </row>
    <row r="196" spans="1:45" ht="21.25" customHeight="1" x14ac:dyDescent="0.15">
      <c r="A196" s="31">
        <f>RANK(K196,K$2:K$727)</f>
        <v>195</v>
      </c>
      <c r="B196" s="8" t="s">
        <v>300</v>
      </c>
      <c r="C196" s="32" t="s">
        <v>106</v>
      </c>
      <c r="D196" s="33" t="str">
        <f>VLOOKUP(B196,'Player Data'!A1:D734,4,FALSE)</f>
        <v>D</v>
      </c>
      <c r="E196" s="49">
        <f>VLOOKUP(B196,D!A1:C227,3,FALSE)</f>
        <v>49</v>
      </c>
      <c r="F196" s="35" t="str">
        <f>VLOOKUP(B196,'Player Data'!A1:B734,2,FALSE)</f>
        <v>CAR</v>
      </c>
      <c r="G196" s="9">
        <f>VLOOKUP(B196,'Player Data'!A1:D734,3,FALSE)</f>
        <v>32</v>
      </c>
      <c r="H196" s="36">
        <f>IFERROR(VLOOKUP(B196,ADP!A1:G728,7,FALSE)/1000000,VLOOKUP(B196,ADP!A1:G728,7,FALSE))</f>
        <v>7.75</v>
      </c>
      <c r="I196" s="37">
        <f>IF(Settings!$E$15="POINTS",((R196*Q196)*Settings!$B$12)+(S196*Settings!$B$2)+(T196*Settings!$B$3)+(U196*Settings!$B$4)+(V196*Settings!$B$5)+(X196*Settings!$B$9)+(AA196*Settings!$B$6)+(W196*Settings!$B$8)+(AB196*Settings!$B$7)+(AC196*Settings!$B$14)+(AD196*Settings!$B$15)+(AE196*Settings!$B$16)+(AF196*Settings!$B$17)+(AG196*Settings!$B$18)+(U196*Settings!$B$13)+(Y196*Settings!$B$10)+(Z196*Settings!$B$11),VLOOKUP(B196,'Standard Deviations'!A1:C728,3,FALSE))</f>
        <v>214.60170548065855</v>
      </c>
      <c r="J196" s="38">
        <f>IF(D196="G",I196/AJ196,I196/Q196)</f>
        <v>2.7979361861885077</v>
      </c>
      <c r="K196" s="37">
        <f>VLOOKUP(B196,D!A1:F227,6,FALSE)</f>
        <v>-96.963776147268902</v>
      </c>
      <c r="L196" s="37">
        <f>IFERROR(K196/H196,"N/A")</f>
        <v>-12.511454986744374</v>
      </c>
      <c r="M196" s="39">
        <f>IF(Settings!$E$9="YAHOO",VLOOKUP(B196,ADP!A1:E728,2,FALSE),IF(Settings!$E$9="ESPN",VLOOKUP(B196,ADP!A1:E728,3,FALSE),IF(Settings!$E$9="FANTRAX",VLOOKUP(B196,ADP!A1:E728,4,FALSE),VLOOKUP(B196,ADP!A1:E728,5,FALSE))))</f>
        <v>159.6</v>
      </c>
      <c r="N196" s="39">
        <f>IFERROR(M196-A196,"N/A")</f>
        <v>-35.400000000000006</v>
      </c>
      <c r="O196" s="39"/>
      <c r="P196" s="40" t="str">
        <f>IF(Settings!$E$27="ON",VLOOKUP(B196,ADP!A1:H728,8,FALSE)," ")</f>
        <v xml:space="preserve"> </v>
      </c>
      <c r="Q196" s="41">
        <f>IF(Settings!$E$12="YES",VLOOKUP(B196,'Player Data'!A1:E734,5,FALSE),82)</f>
        <v>76.7</v>
      </c>
      <c r="R196" s="39">
        <f>VLOOKUP(B196,'Player Data'!$A1:$AE734,6,FALSE)</f>
        <v>21.484203889340598</v>
      </c>
      <c r="S196" s="41">
        <f>VLOOKUP(B196,'Player Data'!$A1:$AE734,7,FALSE)*$Q196*IFERROR((VLOOKUP(P196,Settings!$E$28:$F$33,2,FALSE)+1),1)</f>
        <v>9.5240898055226531</v>
      </c>
      <c r="T196" s="41">
        <f>VLOOKUP(B196,'Player Data'!$A1:$AE734,8,FALSE)*$Q196*IFERROR((VLOOKUP(P196,Settings!$E$28:$F$33,2,FALSE)+1),1)</f>
        <v>27.019449748906602</v>
      </c>
      <c r="U196" s="41">
        <f>SUM(S196:T196)</f>
        <v>36.543539554429259</v>
      </c>
      <c r="V196" s="41">
        <f>VLOOKUP(B196,'Player Data'!$A1:$AE734,10,FALSE)*$Q196*IFERROR(((VLOOKUP(P196,Settings!$E$28:$F$33,2,FALSE)/2)+1),1)</f>
        <v>134.98950921761349</v>
      </c>
      <c r="W196" s="41">
        <f>VLOOKUP(B196,'Player Data'!$A1:$AE734,11,FALSE)*$Q196*IFERROR((VLOOKUP(P196,Settings!$E$28:$F$33,2,FALSE)+1),1)</f>
        <v>1.6579654932835299</v>
      </c>
      <c r="X196" s="41">
        <f>VLOOKUP(B196,'Player Data'!$A1:$AE734,12,FALSE)*$Q196*IFERROR((VLOOKUP(P196,Settings!$E$28:$F$33,2,FALSE)+1),1)</f>
        <v>8.4903713442578042</v>
      </c>
      <c r="Y196" s="41">
        <f>VLOOKUP(B196,'Player Data'!$A1:$AE734,13,FALSE)*$Q196</f>
        <v>3.6245137295194851E-2</v>
      </c>
      <c r="Z196" s="41">
        <f>VLOOKUP(B196,'Player Data'!$A1:$AE734,14,FALSE)*$Q196</f>
        <v>0.14009836986619062</v>
      </c>
      <c r="AA196" s="41">
        <f>VLOOKUP(B196,'Player Data'!$A1:$AE734,15,FALSE)*$Q196</f>
        <v>101.07696390158009</v>
      </c>
      <c r="AB196" s="41">
        <f>VLOOKUP(B196,'Player Data'!$A1:$AE734,16,FALSE)*$Q196</f>
        <v>138.15617754855813</v>
      </c>
      <c r="AC196" s="41">
        <f>VLOOKUP(B196,'Player Data'!$A1:$AE734,17,FALSE)*$Q196*IFERROR((VLOOKUP(P196,Settings!$E$28:$F$33,2,FALSE)+1),1)</f>
        <v>5.8895803194015581</v>
      </c>
      <c r="AD196" s="41">
        <f>VLOOKUP(B196,'Player Data'!$A1:$AE734,18,FALSE)*$Q196</f>
        <v>34.613790262325672</v>
      </c>
      <c r="AE196" s="41">
        <f>VLOOKUP(B196,'Player Data'!$A1:$AE734,19,FALSE)*$Q196*IFERROR((VLOOKUP(P196,Settings!$E$28:$F$33,2,FALSE)+1),1)</f>
        <v>1.7088349716090707</v>
      </c>
      <c r="AF196" s="41">
        <f>VLOOKUP(B196,'Player Data'!$A1:$AE734,20,FALSE)*$Q196</f>
        <v>0</v>
      </c>
      <c r="AG196" s="41">
        <f>VLOOKUP(B196,'Player Data'!$A1:$AE734,21,FALSE)*$Q196</f>
        <v>0</v>
      </c>
      <c r="AH196" s="42">
        <f>VLOOKUP(B196,'Player Data'!$A1:$AE734,22,FALSE)</f>
        <v>0</v>
      </c>
      <c r="AI196" s="39"/>
      <c r="AJ196" s="43"/>
      <c r="AK196" s="41"/>
      <c r="AL196" s="41"/>
      <c r="AM196" s="41"/>
      <c r="AN196" s="41"/>
      <c r="AO196" s="41"/>
      <c r="AP196" s="41"/>
      <c r="AQ196" s="44"/>
      <c r="AR196" s="45"/>
      <c r="AS196" s="43"/>
    </row>
    <row r="197" spans="1:45" ht="21.25" customHeight="1" x14ac:dyDescent="0.15">
      <c r="A197" s="31">
        <f>RANK(K197,K$2:K$727)</f>
        <v>196</v>
      </c>
      <c r="B197" s="8" t="s">
        <v>301</v>
      </c>
      <c r="C197" s="32" t="s">
        <v>106</v>
      </c>
      <c r="D197" s="33" t="str">
        <f>VLOOKUP(B197,'Player Data'!A1:D734,4,FALSE)</f>
        <v>RW</v>
      </c>
      <c r="E197" s="46">
        <f>VLOOKUP(B197,RW!A1:F97,3,FALSE)</f>
        <v>33</v>
      </c>
      <c r="F197" s="35" t="str">
        <f>VLOOKUP(B197,'Player Data'!A1:B734,2,FALSE)</f>
        <v>VAN</v>
      </c>
      <c r="G197" s="9">
        <f>VLOOKUP(B197,'Player Data'!A1:D734,3,FALSE)</f>
        <v>27</v>
      </c>
      <c r="H197" s="36">
        <f>IFERROR(VLOOKUP(B197,ADP!A1:G728,7,FALSE)/1000000,VLOOKUP(B197,ADP!A1:G728,7,FALSE))</f>
        <v>4.95</v>
      </c>
      <c r="I197" s="37">
        <f>IF(Settings!$E$15="POINTS",((R197*Q197)*Settings!$B$12)+(S197*Settings!$B$2)+(T197*Settings!$B$3)+(U197*Settings!$B$4)+(V197*Settings!$B$5)+(X197*Settings!$B$9)+(AA197*Settings!$B$6)+(W197*Settings!$B$8)+(AB197*Settings!$B$7)+(AC197*Settings!$B$14)+(AD197*Settings!$B$15)+(AE197*Settings!$B$16)+(AF197*Settings!$B$17)+(AG197*Settings!$B$18)+(Y197*Settings!$B$10)+(Z197*Settings!$B$11),VLOOKUP(B197,'Standard Deviations'!A1:C728,3,FALSE))</f>
        <v>252.21787686588482</v>
      </c>
      <c r="J197" s="38">
        <f>IF(D197="G",I197/AJ197,I197/Q197)</f>
        <v>3.1472158331156077</v>
      </c>
      <c r="K197" s="37">
        <f>IF(Settings!$E$18="C/LW/RW",VLOOKUP(B197,RW!A1:F97,6,FALSE),VLOOKUP(B197,F!A1:F430,6,FALSE))</f>
        <v>-98.053663682004753</v>
      </c>
      <c r="L197" s="37">
        <f>IFERROR(K197/H197,"N/A")</f>
        <v>-19.808820945859544</v>
      </c>
      <c r="M197" s="39">
        <f>IF(Settings!$E$9="YAHOO",VLOOKUP(B197,ADP!A1:E728,2,FALSE),IF(Settings!$E$9="ESPN",VLOOKUP(B197,ADP!A1:E728,3,FALSE),IF(Settings!$E$9="FANTRAX",VLOOKUP(B197,ADP!A1:E728,4,FALSE),VLOOKUP(B197,ADP!A1:E728,5,FALSE))))</f>
        <v>182.3</v>
      </c>
      <c r="N197" s="39">
        <f>IFERROR(M197-A197,"N/A")</f>
        <v>-13.699999999999989</v>
      </c>
      <c r="O197" s="39"/>
      <c r="P197" s="40" t="str">
        <f>IF(Settings!$E$27="ON",VLOOKUP(B197,ADP!A1:H728,8,FALSE)," ")</f>
        <v xml:space="preserve"> </v>
      </c>
      <c r="Q197" s="41">
        <f>IF(Settings!$E$12="YES",VLOOKUP(B197,'Player Data'!A1:E734,5,FALSE),82)</f>
        <v>80.14</v>
      </c>
      <c r="R197" s="39">
        <f>VLOOKUP(B197,'Player Data'!$A1:$AE734,6,FALSE)</f>
        <v>15.157856458244</v>
      </c>
      <c r="S197" s="41">
        <f>VLOOKUP(B197,'Player Data'!$A1:$AE734,7,FALSE)*$Q197*IFERROR((VLOOKUP(P197,Settings!$E$28:$F$33,2,FALSE)+1),1)</f>
        <v>17.506540504682388</v>
      </c>
      <c r="T197" s="41">
        <f>VLOOKUP(B197,'Player Data'!$A1:$AE734,8,FALSE)*$Q197*IFERROR((VLOOKUP(P197,Settings!$E$28:$F$33,2,FALSE)+1),1)</f>
        <v>30.519730546004052</v>
      </c>
      <c r="U197" s="41">
        <f>SUM(S197:T197)</f>
        <v>48.026271050686439</v>
      </c>
      <c r="V197" s="41">
        <f>VLOOKUP(B197,'Player Data'!$A1:$AE734,10,FALSE)*$Q197*IFERROR(((VLOOKUP(P197,Settings!$E$28:$F$33,2,FALSE)/2)+1),1)</f>
        <v>173.15717762159358</v>
      </c>
      <c r="W197" s="41">
        <f>VLOOKUP(B197,'Player Data'!$A1:$AE734,11,FALSE)*$Q197*IFERROR((VLOOKUP(P197,Settings!$E$28:$F$33,2,FALSE)+1),1)</f>
        <v>2.0993861493673807</v>
      </c>
      <c r="X197" s="41">
        <f>VLOOKUP(B197,'Player Data'!$A1:$AE734,12,FALSE)*$Q197*IFERROR((VLOOKUP(P197,Settings!$E$28:$F$33,2,FALSE)+1),1)</f>
        <v>8.5743732276278237</v>
      </c>
      <c r="Y197" s="41">
        <f>VLOOKUP(B197,'Player Data'!$A1:$AE734,13,FALSE)*$Q197</f>
        <v>5.4430042649663097E-3</v>
      </c>
      <c r="Z197" s="41">
        <f>VLOOKUP(B197,'Player Data'!$A1:$AE734,14,FALSE)*$Q197</f>
        <v>9.9834711182928866E-3</v>
      </c>
      <c r="AA197" s="41">
        <f>VLOOKUP(B197,'Player Data'!$A1:$AE734,15,FALSE)*$Q197</f>
        <v>21.958807527682644</v>
      </c>
      <c r="AB197" s="41">
        <f>VLOOKUP(B197,'Player Data'!$A1:$AE734,16,FALSE)*$Q197</f>
        <v>50.29170006637424</v>
      </c>
      <c r="AC197" s="41">
        <f>VLOOKUP(B197,'Player Data'!$A1:$AE734,17,FALSE)*$Q197*IFERROR((VLOOKUP(P197,Settings!$E$28:$F$33,2,FALSE)+1),1)</f>
        <v>1.8361907557891808</v>
      </c>
      <c r="AD197" s="41">
        <f>VLOOKUP(B197,'Player Data'!$A1:$AE734,18,FALSE)*$Q197</f>
        <v>26.156822984412138</v>
      </c>
      <c r="AE197" s="41">
        <f>VLOOKUP(B197,'Player Data'!$A1:$AE734,19,FALSE)*$Q197*IFERROR((VLOOKUP(P197,Settings!$E$28:$F$33,2,FALSE)+1),1)</f>
        <v>2.4782197282416676</v>
      </c>
      <c r="AF197" s="41">
        <f>VLOOKUP(B197,'Player Data'!$A1:$AE734,20,FALSE)*$Q197</f>
        <v>5.1104948148321006</v>
      </c>
      <c r="AG197" s="41">
        <f>VLOOKUP(B197,'Player Data'!$A1:$AE734,21,FALSE)*$Q197</f>
        <v>9.7618010595655331</v>
      </c>
      <c r="AH197" s="42">
        <f>VLOOKUP(B197,'Player Data'!$A1:$AE734,22,FALSE)</f>
        <v>0.343625144227376</v>
      </c>
      <c r="AI197" s="39"/>
      <c r="AJ197" s="43"/>
      <c r="AK197" s="41"/>
      <c r="AL197" s="41"/>
      <c r="AM197" s="41"/>
      <c r="AN197" s="41"/>
      <c r="AO197" s="41"/>
      <c r="AP197" s="41"/>
      <c r="AQ197" s="44"/>
      <c r="AR197" s="45"/>
      <c r="AS197" s="39"/>
    </row>
    <row r="198" spans="1:45" ht="21.25" customHeight="1" x14ac:dyDescent="0.15">
      <c r="A198" s="31">
        <f>RANK(K198,K$2:K$727)</f>
        <v>197</v>
      </c>
      <c r="B198" s="8" t="s">
        <v>302</v>
      </c>
      <c r="C198" s="32" t="s">
        <v>106</v>
      </c>
      <c r="D198" s="33" t="str">
        <f>VLOOKUP(B198,'Player Data'!A1:D734,4,FALSE)</f>
        <v>C</v>
      </c>
      <c r="E198" s="34">
        <f>VLOOKUP(B198,'C'!A1:C211,3,FALSE)</f>
        <v>51</v>
      </c>
      <c r="F198" s="35" t="str">
        <f>VLOOKUP(B198,'Player Data'!A1:B734,2,FALSE)</f>
        <v>OTT</v>
      </c>
      <c r="G198" s="9">
        <f>VLOOKUP(B198,'Player Data'!A1:D734,3,FALSE)</f>
        <v>24</v>
      </c>
      <c r="H198" s="36">
        <f>IFERROR(VLOOKUP(B198,ADP!A1:G728,7,FALSE)/1000000,VLOOKUP(B198,ADP!A1:G728,7,FALSE))</f>
        <v>7.95</v>
      </c>
      <c r="I198" s="37">
        <f>IF(Settings!$E$15="POINTS",((R198*Q198)*Settings!$B$12)+(S198*Settings!$B$2)+(T198*Settings!$B$3)+(U198*Settings!$B$4)+(V198*Settings!$B$5)+(X198*Settings!$B$9)+(AA198*Settings!$B$6)+(W198*Settings!$B$8)+(AB198*Settings!$B$7)+(AC198*Settings!$B$14)+(AD198*Settings!$B$15)+(AE198*Settings!$B$16)+(AF198*Settings!$B$17)+(AG198*Settings!$B$18)+(Y198*Settings!$B$10)+(Z198*Settings!$B$11),VLOOKUP(B198,'Standard Deviations'!A1:C728,3,FALSE))</f>
        <v>294.9294197586533</v>
      </c>
      <c r="J198" s="38">
        <f>IF(D198="G",I198/AJ198,I198/Q198)</f>
        <v>4.0650483409758911</v>
      </c>
      <c r="K198" s="37">
        <f>IF(Settings!$E$18="C/LW/RW",VLOOKUP(B198,'C'!A1:F211,6,FALSE),VLOOKUP(B198,F!A1:F430,6,FALSE))</f>
        <v>-98.399386007556359</v>
      </c>
      <c r="L198" s="37">
        <f>IFERROR(K198/H198,"N/A")</f>
        <v>-12.37728125881212</v>
      </c>
      <c r="M198" s="39">
        <f>IF(Settings!$E$9="YAHOO",VLOOKUP(B198,ADP!A1:E728,2,FALSE),IF(Settings!$E$9="ESPN",VLOOKUP(B198,ADP!A1:E728,3,FALSE),IF(Settings!$E$9="FANTRAX",VLOOKUP(B198,ADP!A1:E728,4,FALSE),VLOOKUP(B198,ADP!A1:E728,5,FALSE))))</f>
        <v>180.1</v>
      </c>
      <c r="N198" s="39">
        <f>IFERROR(M198-A198,"N/A")</f>
        <v>-16.900000000000006</v>
      </c>
      <c r="O198" s="39"/>
      <c r="P198" s="40" t="str">
        <f>IF(Settings!$E$27="ON",VLOOKUP(B198,ADP!A1:H728,8,FALSE)," ")</f>
        <v xml:space="preserve"> </v>
      </c>
      <c r="Q198" s="41">
        <f>IF(Settings!$E$12="YES",VLOOKUP(B198,'Player Data'!A1:E734,5,FALSE),82)</f>
        <v>72.552499999999995</v>
      </c>
      <c r="R198" s="39">
        <f>VLOOKUP(B198,'Player Data'!$A1:$AE734,6,FALSE)</f>
        <v>18.3735997935614</v>
      </c>
      <c r="S198" s="41">
        <f>VLOOKUP(B198,'Player Data'!$A1:$AE734,7,FALSE)*$Q198*IFERROR((VLOOKUP(P198,Settings!$E$28:$F$33,2,FALSE)+1),1)</f>
        <v>29.82414420922365</v>
      </c>
      <c r="T198" s="41">
        <f>VLOOKUP(B198,'Player Data'!$A1:$AE734,8,FALSE)*$Q198*IFERROR((VLOOKUP(P198,Settings!$E$28:$F$33,2,FALSE)+1),1)</f>
        <v>24.576656041879758</v>
      </c>
      <c r="U198" s="41">
        <f>SUM(S198:T198)</f>
        <v>54.400800251103405</v>
      </c>
      <c r="V198" s="41">
        <f>VLOOKUP(B198,'Player Data'!$A1:$AE734,10,FALSE)*$Q198*IFERROR(((VLOOKUP(P198,Settings!$E$28:$F$33,2,FALSE)/2)+1),1)</f>
        <v>161.35256125639737</v>
      </c>
      <c r="W198" s="41">
        <f>VLOOKUP(B198,'Player Data'!$A1:$AE734,11,FALSE)*$Q198*IFERROR((VLOOKUP(P198,Settings!$E$28:$F$33,2,FALSE)+1),1)</f>
        <v>11.1216817809134</v>
      </c>
      <c r="X198" s="41">
        <f>VLOOKUP(B198,'Player Data'!$A1:$AE734,12,FALSE)*$Q198*IFERROR((VLOOKUP(P198,Settings!$E$28:$F$33,2,FALSE)+1),1)</f>
        <v>20.088906977140741</v>
      </c>
      <c r="Y198" s="41">
        <f>VLOOKUP(B198,'Player Data'!$A1:$AE734,13,FALSE)*$Q198</f>
        <v>0.46821265391353245</v>
      </c>
      <c r="Z198" s="41">
        <f>VLOOKUP(B198,'Player Data'!$A1:$AE734,14,FALSE)*$Q198</f>
        <v>0.79686308491354607</v>
      </c>
      <c r="AA198" s="41">
        <f>VLOOKUP(B198,'Player Data'!$A1:$AE734,15,FALSE)*$Q198</f>
        <v>46.395991265178978</v>
      </c>
      <c r="AB198" s="41">
        <f>VLOOKUP(B198,'Player Data'!$A1:$AE734,16,FALSE)*$Q198</f>
        <v>79.012324584280165</v>
      </c>
      <c r="AC198" s="41">
        <f>VLOOKUP(B198,'Player Data'!$A1:$AE734,17,FALSE)*$Q198*IFERROR((VLOOKUP(P198,Settings!$E$28:$F$33,2,FALSE)+1),1)</f>
        <v>1.4033838104951084</v>
      </c>
      <c r="AD198" s="41">
        <f>VLOOKUP(B198,'Player Data'!$A1:$AE734,18,FALSE)*$Q198</f>
        <v>24.59694964962366</v>
      </c>
      <c r="AE198" s="41">
        <f>VLOOKUP(B198,'Player Data'!$A1:$AE734,19,FALSE)*$Q198*IFERROR((VLOOKUP(P198,Settings!$E$28:$F$33,2,FALSE)+1),1)</f>
        <v>4.1426016547547242</v>
      </c>
      <c r="AF198" s="41">
        <f>VLOOKUP(B198,'Player Data'!$A1:$AE734,20,FALSE)*$Q198</f>
        <v>496.33662579528624</v>
      </c>
      <c r="AG198" s="41">
        <f>VLOOKUP(B198,'Player Data'!$A1:$AE734,21,FALSE)*$Q198</f>
        <v>457.26519105782199</v>
      </c>
      <c r="AH198" s="42">
        <f>VLOOKUP(B198,'Player Data'!$A1:$AE734,22,FALSE)</f>
        <v>0.52048624176619096</v>
      </c>
      <c r="AI198" s="39"/>
      <c r="AJ198" s="41"/>
      <c r="AK198" s="41"/>
      <c r="AL198" s="41"/>
      <c r="AM198" s="41"/>
      <c r="AN198" s="41"/>
      <c r="AO198" s="41"/>
      <c r="AP198" s="41"/>
      <c r="AQ198" s="44"/>
      <c r="AR198" s="45"/>
      <c r="AS198" s="39"/>
    </row>
    <row r="199" spans="1:45" ht="21.25" customHeight="1" x14ac:dyDescent="0.15">
      <c r="A199" s="31">
        <f>RANK(K199,K$2:K$727)</f>
        <v>198</v>
      </c>
      <c r="B199" s="8" t="s">
        <v>303</v>
      </c>
      <c r="C199" s="32" t="s">
        <v>106</v>
      </c>
      <c r="D199" s="33" t="str">
        <f>VLOOKUP(B199,'Player Data'!A1:D734,4,FALSE)</f>
        <v>D</v>
      </c>
      <c r="E199" s="49">
        <f>VLOOKUP(B199,D!A1:C227,3,FALSE)</f>
        <v>50</v>
      </c>
      <c r="F199" s="35" t="str">
        <f>VLOOKUP(B199,'Player Data'!A1:B734,2,FALSE)</f>
        <v>FLA</v>
      </c>
      <c r="G199" s="9">
        <f>VLOOKUP(B199,'Player Data'!A1:D734,3,FALSE)</f>
        <v>27</v>
      </c>
      <c r="H199" s="36">
        <f>IFERROR(VLOOKUP(B199,ADP!A1:G728,7,FALSE)/1000000,VLOOKUP(B199,ADP!A1:G728,7,FALSE))</f>
        <v>7.5</v>
      </c>
      <c r="I199" s="37">
        <f>IF(Settings!$E$15="POINTS",((R199*Q199)*Settings!$B$12)+(S199*Settings!$B$2)+(T199*Settings!$B$3)+(U199*Settings!$B$4)+(V199*Settings!$B$5)+(X199*Settings!$B$9)+(AA199*Settings!$B$6)+(W199*Settings!$B$8)+(AB199*Settings!$B$7)+(AC199*Settings!$B$14)+(AD199*Settings!$B$15)+(AE199*Settings!$B$16)+(AF199*Settings!$B$17)+(AG199*Settings!$B$18)+(U199*Settings!$B$13)+(Y199*Settings!$B$10)+(Z199*Settings!$B$11),VLOOKUP(B199,'Standard Deviations'!A1:C728,3,FALSE))</f>
        <v>212.12195023374844</v>
      </c>
      <c r="J199" s="38">
        <f>IF(D199="G",I199/AJ199,I199/Q199)</f>
        <v>3.4213217779636844</v>
      </c>
      <c r="K199" s="37">
        <f>VLOOKUP(B199,D!A1:F227,6,FALSE)</f>
        <v>-99.443531394179018</v>
      </c>
      <c r="L199" s="37">
        <f>IFERROR(K199/H199,"N/A")</f>
        <v>-13.259137519223868</v>
      </c>
      <c r="M199" s="39">
        <f>IF(Settings!$E$9="YAHOO",VLOOKUP(B199,ADP!A1:E728,2,FALSE),IF(Settings!$E$9="ESPN",VLOOKUP(B199,ADP!A1:E728,3,FALSE),IF(Settings!$E$9="FANTRAX",VLOOKUP(B199,ADP!A1:E728,4,FALSE),VLOOKUP(B199,ADP!A1:E728,5,FALSE))))</f>
        <v>113.4</v>
      </c>
      <c r="N199" s="39">
        <f>IFERROR(M199-A199,"N/A")</f>
        <v>-84.6</v>
      </c>
      <c r="O199" s="39"/>
      <c r="P199" s="40" t="str">
        <f>IF(Settings!$E$27="ON",VLOOKUP(B199,ADP!A1:H728,8,FALSE)," ")</f>
        <v xml:space="preserve"> </v>
      </c>
      <c r="Q199" s="41">
        <f>IF(Settings!$E$12="YES",VLOOKUP(B199,'Player Data'!A1:E734,5,FALSE),82)</f>
        <v>62</v>
      </c>
      <c r="R199" s="39">
        <f>VLOOKUP(B199,'Player Data'!$A1:$AE734,6,FALSE)</f>
        <v>21.598563653759399</v>
      </c>
      <c r="S199" s="41">
        <f>VLOOKUP(B199,'Player Data'!$A1:$AE734,7,FALSE)*$Q199*IFERROR((VLOOKUP(P199,Settings!$E$28:$F$33,2,FALSE)+1),1)</f>
        <v>10.684143219523884</v>
      </c>
      <c r="T199" s="41">
        <f>VLOOKUP(B199,'Player Data'!$A1:$AE734,8,FALSE)*$Q199*IFERROR((VLOOKUP(P199,Settings!$E$28:$F$33,2,FALSE)+1),1)</f>
        <v>22.28357250013185</v>
      </c>
      <c r="U199" s="41">
        <f>SUM(S199:T199)</f>
        <v>32.967715719655736</v>
      </c>
      <c r="V199" s="41">
        <f>VLOOKUP(B199,'Player Data'!$A1:$AE734,10,FALSE)*$Q199*IFERROR(((VLOOKUP(P199,Settings!$E$28:$F$33,2,FALSE)/2)+1),1)</f>
        <v>154.02733004773327</v>
      </c>
      <c r="W199" s="41">
        <f>VLOOKUP(B199,'Player Data'!$A1:$AE734,11,FALSE)*$Q199*IFERROR((VLOOKUP(P199,Settings!$E$28:$F$33,2,FALSE)+1),1)</f>
        <v>3.2087208722591849</v>
      </c>
      <c r="X199" s="41">
        <f>VLOOKUP(B199,'Player Data'!$A1:$AE734,12,FALSE)*$Q199*IFERROR((VLOOKUP(P199,Settings!$E$28:$F$33,2,FALSE)+1),1)</f>
        <v>9.5547727554382185</v>
      </c>
      <c r="Y199" s="41">
        <f>VLOOKUP(B199,'Player Data'!$A1:$AE734,13,FALSE)*$Q199</f>
        <v>0.40320861516288542</v>
      </c>
      <c r="Z199" s="41">
        <f>VLOOKUP(B199,'Player Data'!$A1:$AE734,14,FALSE)*$Q199</f>
        <v>1.1547941007872029</v>
      </c>
      <c r="AA199" s="41">
        <f>VLOOKUP(B199,'Player Data'!$A1:$AE734,15,FALSE)*$Q199</f>
        <v>73.930021692318832</v>
      </c>
      <c r="AB199" s="41">
        <f>VLOOKUP(B199,'Player Data'!$A1:$AE734,16,FALSE)*$Q199</f>
        <v>68.928992401477842</v>
      </c>
      <c r="AC199" s="41">
        <f>VLOOKUP(B199,'Player Data'!$A1:$AE734,17,FALSE)*$Q199*IFERROR((VLOOKUP(P199,Settings!$E$28:$F$33,2,FALSE)+1),1)</f>
        <v>1.980804654539783</v>
      </c>
      <c r="AD199" s="41">
        <f>VLOOKUP(B199,'Player Data'!$A1:$AE734,18,FALSE)*$Q199</f>
        <v>38.510698411995357</v>
      </c>
      <c r="AE199" s="41">
        <f>VLOOKUP(B199,'Player Data'!$A1:$AE734,19,FALSE)*$Q199*IFERROR((VLOOKUP(P199,Settings!$E$28:$F$33,2,FALSE)+1),1)</f>
        <v>1.5326647151871993</v>
      </c>
      <c r="AF199" s="41">
        <f>VLOOKUP(B199,'Player Data'!$A1:$AE734,20,FALSE)*$Q199</f>
        <v>0</v>
      </c>
      <c r="AG199" s="41">
        <f>VLOOKUP(B199,'Player Data'!$A1:$AE734,21,FALSE)*$Q199</f>
        <v>0</v>
      </c>
      <c r="AH199" s="42">
        <f>VLOOKUP(B199,'Player Data'!$A1:$AE734,22,FALSE)</f>
        <v>0</v>
      </c>
      <c r="AI199" s="39"/>
      <c r="AJ199" s="41"/>
      <c r="AK199" s="41"/>
      <c r="AL199" s="41"/>
      <c r="AM199" s="41"/>
      <c r="AN199" s="41"/>
      <c r="AO199" s="41"/>
      <c r="AP199" s="41"/>
      <c r="AQ199" s="44"/>
      <c r="AR199" s="45"/>
      <c r="AS199" s="39"/>
    </row>
    <row r="200" spans="1:45" ht="21.25" customHeight="1" x14ac:dyDescent="0.15">
      <c r="A200" s="31">
        <f>RANK(K200,K$2:K$727)</f>
        <v>199</v>
      </c>
      <c r="B200" s="8" t="s">
        <v>304</v>
      </c>
      <c r="C200" s="32" t="s">
        <v>106</v>
      </c>
      <c r="D200" s="33" t="str">
        <f>VLOOKUP(B200,'Player Data'!A1:D734,4,FALSE)</f>
        <v>C</v>
      </c>
      <c r="E200" s="34">
        <f>VLOOKUP(B200,'C'!A1:C211,3,FALSE)</f>
        <v>52</v>
      </c>
      <c r="F200" s="35" t="str">
        <f>VLOOKUP(B200,'Player Data'!A1:B734,2,FALSE)</f>
        <v>STL</v>
      </c>
      <c r="G200" s="9">
        <f>VLOOKUP(B200,'Player Data'!A1:D734,3,FALSE)</f>
        <v>31</v>
      </c>
      <c r="H200" s="36">
        <f>IFERROR(VLOOKUP(B200,ADP!A1:G728,7,FALSE)/1000000,VLOOKUP(B200,ADP!A1:G728,7,FALSE))</f>
        <v>6.5</v>
      </c>
      <c r="I200" s="37">
        <f>IF(Settings!$E$15="POINTS",((R200*Q200)*Settings!$B$12)+(S200*Settings!$B$2)+(T200*Settings!$B$3)+(U200*Settings!$B$4)+(V200*Settings!$B$5)+(X200*Settings!$B$9)+(AA200*Settings!$B$6)+(W200*Settings!$B$8)+(AB200*Settings!$B$7)+(AC200*Settings!$B$14)+(AD200*Settings!$B$15)+(AE200*Settings!$B$16)+(AF200*Settings!$B$17)+(AG200*Settings!$B$18)+(Y200*Settings!$B$10)+(Z200*Settings!$B$11),VLOOKUP(B200,'Standard Deviations'!A1:C728,3,FALSE))</f>
        <v>292.76750333508227</v>
      </c>
      <c r="J200" s="38">
        <f>IF(D200="G",I200/AJ200,I200/Q200)</f>
        <v>3.6928292549833786</v>
      </c>
      <c r="K200" s="37">
        <f>IF(Settings!$E$18="C/LW/RW",VLOOKUP(B200,'C'!A1:F211,6,FALSE),VLOOKUP(B200,F!A1:F430,6,FALSE))</f>
        <v>-100.56130243112739</v>
      </c>
      <c r="L200" s="37">
        <f>IFERROR(K200/H200,"N/A")</f>
        <v>-15.470969604788829</v>
      </c>
      <c r="M200" s="39">
        <f>IF(Settings!$E$9="YAHOO",VLOOKUP(B200,ADP!A1:E728,2,FALSE),IF(Settings!$E$9="ESPN",VLOOKUP(B200,ADP!A1:E728,3,FALSE),IF(Settings!$E$9="FANTRAX",VLOOKUP(B200,ADP!A1:E728,4,FALSE),VLOOKUP(B200,ADP!A1:E728,5,FALSE))))</f>
        <v>175.4</v>
      </c>
      <c r="N200" s="39">
        <f>IFERROR(M200-A200,"N/A")</f>
        <v>-23.599999999999994</v>
      </c>
      <c r="O200" s="39"/>
      <c r="P200" s="40" t="str">
        <f>IF(Settings!$E$27="ON",VLOOKUP(B200,ADP!A1:H728,8,FALSE)," ")</f>
        <v xml:space="preserve"> </v>
      </c>
      <c r="Q200" s="41">
        <f>IF(Settings!$E$12="YES",VLOOKUP(B200,'Player Data'!A1:E734,5,FALSE),82)</f>
        <v>79.28</v>
      </c>
      <c r="R200" s="39">
        <f>VLOOKUP(B200,'Player Data'!$A1:$AE734,6,FALSE)</f>
        <v>17.9408705585452</v>
      </c>
      <c r="S200" s="41">
        <f>VLOOKUP(B200,'Player Data'!$A1:$AE734,7,FALSE)*$Q200*IFERROR((VLOOKUP(P200,Settings!$E$28:$F$33,2,FALSE)+1),1)</f>
        <v>21.955945711885455</v>
      </c>
      <c r="T200" s="41">
        <f>VLOOKUP(B200,'Player Data'!$A1:$AE734,8,FALSE)*$Q200*IFERROR((VLOOKUP(P200,Settings!$E$28:$F$33,2,FALSE)+1),1)</f>
        <v>38.055981976803473</v>
      </c>
      <c r="U200" s="41">
        <f>SUM(S200:T200)</f>
        <v>60.011927688688928</v>
      </c>
      <c r="V200" s="41">
        <f>VLOOKUP(B200,'Player Data'!$A1:$AE734,10,FALSE)*$Q200*IFERROR(((VLOOKUP(P200,Settings!$E$28:$F$33,2,FALSE)/2)+1),1)</f>
        <v>144.19004846940865</v>
      </c>
      <c r="W200" s="41">
        <f>VLOOKUP(B200,'Player Data'!$A1:$AE734,11,FALSE)*$Q200*IFERROR((VLOOKUP(P200,Settings!$E$28:$F$33,2,FALSE)+1),1)</f>
        <v>6.9136922893485373</v>
      </c>
      <c r="X200" s="41">
        <f>VLOOKUP(B200,'Player Data'!$A1:$AE734,12,FALSE)*$Q200*IFERROR((VLOOKUP(P200,Settings!$E$28:$F$33,2,FALSE)+1),1)</f>
        <v>16.529352695867285</v>
      </c>
      <c r="Y200" s="41">
        <f>VLOOKUP(B200,'Player Data'!$A1:$AE734,13,FALSE)*$Q200</f>
        <v>0.10772198314481446</v>
      </c>
      <c r="Z200" s="41">
        <f>VLOOKUP(B200,'Player Data'!$A1:$AE734,14,FALSE)*$Q200</f>
        <v>0.20007285431389335</v>
      </c>
      <c r="AA200" s="41">
        <f>VLOOKUP(B200,'Player Data'!$A1:$AE734,15,FALSE)*$Q200</f>
        <v>35.889224669744003</v>
      </c>
      <c r="AB200" s="41">
        <f>VLOOKUP(B200,'Player Data'!$A1:$AE734,16,FALSE)*$Q200</f>
        <v>129.47290166879796</v>
      </c>
      <c r="AC200" s="41">
        <f>VLOOKUP(B200,'Player Data'!$A1:$AE734,17,FALSE)*$Q200*IFERROR((VLOOKUP(P200,Settings!$E$28:$F$33,2,FALSE)+1),1)</f>
        <v>-5.4755010699650022</v>
      </c>
      <c r="AD200" s="41">
        <f>VLOOKUP(B200,'Player Data'!$A1:$AE734,18,FALSE)*$Q200</f>
        <v>40.069881918718451</v>
      </c>
      <c r="AE200" s="41">
        <f>VLOOKUP(B200,'Player Data'!$A1:$AE734,19,FALSE)*$Q200*IFERROR((VLOOKUP(P200,Settings!$E$28:$F$33,2,FALSE)+1),1)</f>
        <v>2.5265306493345419</v>
      </c>
      <c r="AF200" s="41">
        <f>VLOOKUP(B200,'Player Data'!$A1:$AE734,20,FALSE)*$Q200</f>
        <v>444.63742662224496</v>
      </c>
      <c r="AG200" s="41">
        <f>VLOOKUP(B200,'Player Data'!$A1:$AE734,21,FALSE)*$Q200</f>
        <v>470.53826888427005</v>
      </c>
      <c r="AH200" s="42">
        <f>VLOOKUP(B200,'Player Data'!$A1:$AE734,22,FALSE)</f>
        <v>0.48584925146657798</v>
      </c>
      <c r="AI200" s="39"/>
      <c r="AJ200" s="43"/>
      <c r="AK200" s="41"/>
      <c r="AL200" s="41"/>
      <c r="AM200" s="41"/>
      <c r="AN200" s="41"/>
      <c r="AO200" s="41"/>
      <c r="AP200" s="41"/>
      <c r="AQ200" s="44"/>
      <c r="AR200" s="45"/>
      <c r="AS200" s="39"/>
    </row>
    <row r="201" spans="1:45" ht="21.25" customHeight="1" x14ac:dyDescent="0.15">
      <c r="A201" s="31">
        <f>RANK(K201,K$2:K$727)</f>
        <v>200</v>
      </c>
      <c r="B201" s="8" t="s">
        <v>305</v>
      </c>
      <c r="C201" s="32" t="s">
        <v>106</v>
      </c>
      <c r="D201" s="33" t="str">
        <f>VLOOKUP(B201,'Player Data'!A1:D734,4,FALSE)</f>
        <v>D</v>
      </c>
      <c r="E201" s="49">
        <f>VLOOKUP(B201,D!A1:C227,3,FALSE)</f>
        <v>51</v>
      </c>
      <c r="F201" s="35" t="str">
        <f>VLOOKUP(B201,'Player Data'!A1:B734,2,FALSE)</f>
        <v>NYR</v>
      </c>
      <c r="G201" s="9">
        <f>VLOOKUP(B201,'Player Data'!A1:D734,3,FALSE)</f>
        <v>29</v>
      </c>
      <c r="H201" s="36">
        <f>IFERROR(VLOOKUP(B201,ADP!A1:G728,7,FALSE)/1000000,VLOOKUP(B201,ADP!A1:G728,7,FALSE))</f>
        <v>8</v>
      </c>
      <c r="I201" s="37">
        <f>IF(Settings!$E$15="POINTS",((R201*Q201)*Settings!$B$12)+(S201*Settings!$B$2)+(T201*Settings!$B$3)+(U201*Settings!$B$4)+(V201*Settings!$B$5)+(X201*Settings!$B$9)+(AA201*Settings!$B$6)+(W201*Settings!$B$8)+(AB201*Settings!$B$7)+(AC201*Settings!$B$14)+(AD201*Settings!$B$15)+(AE201*Settings!$B$16)+(AF201*Settings!$B$17)+(AG201*Settings!$B$18)+(U201*Settings!$B$13)+(Y201*Settings!$B$10)+(Z201*Settings!$B$11),VLOOKUP(B201,'Standard Deviations'!A1:C728,3,FALSE))</f>
        <v>209.38131075835065</v>
      </c>
      <c r="J201" s="38">
        <f>IF(D201="G",I201/AJ201,I201/Q201)</f>
        <v>2.6669381067169868</v>
      </c>
      <c r="K201" s="37">
        <f>VLOOKUP(B201,D!A1:F227,6,FALSE)</f>
        <v>-102.1841708695768</v>
      </c>
      <c r="L201" s="37">
        <f>IFERROR(K201/H201,"N/A")</f>
        <v>-12.7730213586971</v>
      </c>
      <c r="M201" s="39">
        <f>IF(Settings!$E$9="YAHOO",VLOOKUP(B201,ADP!A1:E728,2,FALSE),IF(Settings!$E$9="ESPN",VLOOKUP(B201,ADP!A1:E728,3,FALSE),IF(Settings!$E$9="FANTRAX",VLOOKUP(B201,ADP!A1:E728,4,FALSE),VLOOKUP(B201,ADP!A1:E728,5,FALSE))))</f>
        <v>126.3</v>
      </c>
      <c r="N201" s="39">
        <f>IFERROR(M201-A201,"N/A")</f>
        <v>-73.7</v>
      </c>
      <c r="O201" s="39"/>
      <c r="P201" s="40" t="str">
        <f>IF(Settings!$E$27="ON",VLOOKUP(B201,ADP!A1:H728,8,FALSE)," ")</f>
        <v xml:space="preserve"> </v>
      </c>
      <c r="Q201" s="41">
        <f>IF(Settings!$E$12="YES",VLOOKUP(B201,'Player Data'!A1:E734,5,FALSE),82)</f>
        <v>78.510000000000005</v>
      </c>
      <c r="R201" s="39">
        <f>VLOOKUP(B201,'Player Data'!$A1:$AE734,6,FALSE)</f>
        <v>20.673119645579199</v>
      </c>
      <c r="S201" s="41">
        <f>VLOOKUP(B201,'Player Data'!$A1:$AE734,7,FALSE)*$Q201*IFERROR((VLOOKUP(P201,Settings!$E$28:$F$33,2,FALSE)+1),1)</f>
        <v>7.1304813565752267</v>
      </c>
      <c r="T201" s="41">
        <f>VLOOKUP(B201,'Player Data'!$A1:$AE734,8,FALSE)*$Q201*IFERROR((VLOOKUP(P201,Settings!$E$28:$F$33,2,FALSE)+1),1)</f>
        <v>21.498860050952036</v>
      </c>
      <c r="U201" s="41">
        <f>SUM(S201:T201)</f>
        <v>28.629341407527264</v>
      </c>
      <c r="V201" s="41">
        <f>VLOOKUP(B201,'Player Data'!$A1:$AE734,10,FALSE)*$Q201*IFERROR(((VLOOKUP(P201,Settings!$E$28:$F$33,2,FALSE)/2)+1),1)</f>
        <v>169.20441348742415</v>
      </c>
      <c r="W201" s="41">
        <f>VLOOKUP(B201,'Player Data'!$A1:$AE734,11,FALSE)*$Q201*IFERROR((VLOOKUP(P201,Settings!$E$28:$F$33,2,FALSE)+1),1)</f>
        <v>0.49337322003343997</v>
      </c>
      <c r="X201" s="41">
        <f>VLOOKUP(B201,'Player Data'!$A1:$AE734,12,FALSE)*$Q201*IFERROR((VLOOKUP(P201,Settings!$E$28:$F$33,2,FALSE)+1),1)</f>
        <v>1.5606809428905122</v>
      </c>
      <c r="Y201" s="41">
        <f>VLOOKUP(B201,'Player Data'!$A1:$AE734,13,FALSE)*$Q201</f>
        <v>2.346558436668833E-2</v>
      </c>
      <c r="Z201" s="41">
        <f>VLOOKUP(B201,'Player Data'!$A1:$AE734,14,FALSE)*$Q201</f>
        <v>0.86331225008201284</v>
      </c>
      <c r="AA201" s="41">
        <f>VLOOKUP(B201,'Player Data'!$A1:$AE734,15,FALSE)*$Q201</f>
        <v>170.21546703055859</v>
      </c>
      <c r="AB201" s="41">
        <f>VLOOKUP(B201,'Player Data'!$A1:$AE734,16,FALSE)*$Q201</f>
        <v>188.17556633251098</v>
      </c>
      <c r="AC201" s="41">
        <f>VLOOKUP(B201,'Player Data'!$A1:$AE734,17,FALSE)*$Q201*IFERROR((VLOOKUP(P201,Settings!$E$28:$F$33,2,FALSE)+1),1)</f>
        <v>3.4345481919615999</v>
      </c>
      <c r="AD201" s="41">
        <f>VLOOKUP(B201,'Player Data'!$A1:$AE734,18,FALSE)*$Q201</f>
        <v>60.981042157414443</v>
      </c>
      <c r="AE201" s="41">
        <f>VLOOKUP(B201,'Player Data'!$A1:$AE734,19,FALSE)*$Q201*IFERROR((VLOOKUP(P201,Settings!$E$28:$F$33,2,FALSE)+1),1)</f>
        <v>1.2150207078887127</v>
      </c>
      <c r="AF201" s="41">
        <f>VLOOKUP(B201,'Player Data'!$A1:$AE734,20,FALSE)*$Q201</f>
        <v>0</v>
      </c>
      <c r="AG201" s="41">
        <f>VLOOKUP(B201,'Player Data'!$A1:$AE734,21,FALSE)*$Q201</f>
        <v>0.71155665951101621</v>
      </c>
      <c r="AH201" s="42">
        <f>VLOOKUP(B201,'Player Data'!$A1:$AE734,22,FALSE)</f>
        <v>0</v>
      </c>
      <c r="AI201" s="39"/>
      <c r="AJ201" s="43"/>
      <c r="AK201" s="41"/>
      <c r="AL201" s="41"/>
      <c r="AM201" s="41"/>
      <c r="AN201" s="41"/>
      <c r="AO201" s="41"/>
      <c r="AP201" s="41"/>
      <c r="AQ201" s="44"/>
      <c r="AR201" s="45"/>
      <c r="AS201" s="39"/>
    </row>
    <row r="202" spans="1:45" ht="21.25" customHeight="1" x14ac:dyDescent="0.15">
      <c r="A202" s="31">
        <f>RANK(K202,K$2:K$727)</f>
        <v>201</v>
      </c>
      <c r="B202" s="8" t="s">
        <v>306</v>
      </c>
      <c r="C202" s="32" t="s">
        <v>106</v>
      </c>
      <c r="D202" s="33" t="str">
        <f>VLOOKUP(B202,'Player Data'!A1:D734,4,FALSE)</f>
        <v>D</v>
      </c>
      <c r="E202" s="49">
        <f>VLOOKUP(B202,D!A1:C227,3,FALSE)</f>
        <v>52</v>
      </c>
      <c r="F202" s="35" t="str">
        <f>VLOOKUP(B202,'Player Data'!A1:B734,2,FALSE)</f>
        <v>MIN</v>
      </c>
      <c r="G202" s="9">
        <f>VLOOKUP(B202,'Player Data'!A1:D734,3,FALSE)</f>
        <v>33</v>
      </c>
      <c r="H202" s="36">
        <f>IFERROR(VLOOKUP(B202,ADP!A1:G728,7,FALSE)/1000000,VLOOKUP(B202,ADP!A1:G728,7,FALSE))</f>
        <v>7.5750000000000002</v>
      </c>
      <c r="I202" s="37">
        <f>IF(Settings!$E$15="POINTS",((R202*Q202)*Settings!$B$12)+(S202*Settings!$B$2)+(T202*Settings!$B$3)+(U202*Settings!$B$4)+(V202*Settings!$B$5)+(X202*Settings!$B$9)+(AA202*Settings!$B$6)+(W202*Settings!$B$8)+(AB202*Settings!$B$7)+(AC202*Settings!$B$14)+(AD202*Settings!$B$15)+(AE202*Settings!$B$16)+(AF202*Settings!$B$17)+(AG202*Settings!$B$18)+(U202*Settings!$B$13)+(Y202*Settings!$B$10)+(Z202*Settings!$B$11),VLOOKUP(B202,'Standard Deviations'!A1:C728,3,FALSE))</f>
        <v>209.07910724993118</v>
      </c>
      <c r="J202" s="38">
        <f>IF(D202="G",I202/AJ202,I202/Q202)</f>
        <v>2.6332381265734406</v>
      </c>
      <c r="K202" s="37">
        <f>VLOOKUP(B202,D!A1:F227,6,FALSE)</f>
        <v>-102.48637437799627</v>
      </c>
      <c r="L202" s="37">
        <f>IFERROR(K202/H202,"N/A")</f>
        <v>-13.529554373332841</v>
      </c>
      <c r="M202" s="39">
        <f>IF(Settings!$E$9="YAHOO",VLOOKUP(B202,ADP!A1:E728,2,FALSE),IF(Settings!$E$9="ESPN",VLOOKUP(B202,ADP!A1:E728,3,FALSE),IF(Settings!$E$9="FANTRAX",VLOOKUP(B202,ADP!A1:E728,4,FALSE),VLOOKUP(B202,ADP!A1:E728,5,FALSE))))</f>
        <v>161.5</v>
      </c>
      <c r="N202" s="39">
        <f>IFERROR(M202-A202,"N/A")</f>
        <v>-39.5</v>
      </c>
      <c r="O202" s="39"/>
      <c r="P202" s="40" t="str">
        <f>IF(Settings!$E$27="ON",VLOOKUP(B202,ADP!A1:H728,8,FALSE)," ")</f>
        <v xml:space="preserve"> </v>
      </c>
      <c r="Q202" s="41">
        <f>IF(Settings!$E$12="YES",VLOOKUP(B202,'Player Data'!A1:E734,5,FALSE),82)</f>
        <v>79.400000000000006</v>
      </c>
      <c r="R202" s="39">
        <f>VLOOKUP(B202,'Player Data'!$A1:$AE734,6,FALSE)</f>
        <v>21.423531844077999</v>
      </c>
      <c r="S202" s="41">
        <f>VLOOKUP(B202,'Player Data'!$A1:$AE734,7,FALSE)*$Q202*IFERROR((VLOOKUP(P202,Settings!$E$28:$F$33,2,FALSE)+1),1)</f>
        <v>9.5392553562026983</v>
      </c>
      <c r="T202" s="41">
        <f>VLOOKUP(B202,'Player Data'!$A1:$AE734,8,FALSE)*$Q202*IFERROR((VLOOKUP(P202,Settings!$E$28:$F$33,2,FALSE)+1),1)</f>
        <v>23.060936131989799</v>
      </c>
      <c r="U202" s="41">
        <f>SUM(S202:T202)</f>
        <v>32.600191488192493</v>
      </c>
      <c r="V202" s="41">
        <f>VLOOKUP(B202,'Player Data'!$A1:$AE734,10,FALSE)*$Q202*IFERROR(((VLOOKUP(P202,Settings!$E$28:$F$33,2,FALSE)/2)+1),1)</f>
        <v>139.64865308147753</v>
      </c>
      <c r="W202" s="41">
        <f>VLOOKUP(B202,'Player Data'!$A1:$AE734,11,FALSE)*$Q202*IFERROR((VLOOKUP(P202,Settings!$E$28:$F$33,2,FALSE)+1),1)</f>
        <v>0.59611314660629189</v>
      </c>
      <c r="X202" s="41">
        <f>VLOOKUP(B202,'Player Data'!$A1:$AE734,12,FALSE)*$Q202*IFERROR((VLOOKUP(P202,Settings!$E$28:$F$33,2,FALSE)+1),1)</f>
        <v>4.213808225161892</v>
      </c>
      <c r="Y202" s="41">
        <f>VLOOKUP(B202,'Player Data'!$A1:$AE734,13,FALSE)*$Q202</f>
        <v>2.5946325751554273E-2</v>
      </c>
      <c r="Z202" s="41">
        <f>VLOOKUP(B202,'Player Data'!$A1:$AE734,14,FALSE)*$Q202</f>
        <v>0.65599652604386716</v>
      </c>
      <c r="AA202" s="41">
        <f>VLOOKUP(B202,'Player Data'!$A1:$AE734,15,FALSE)*$Q202</f>
        <v>158.57298371101706</v>
      </c>
      <c r="AB202" s="41">
        <f>VLOOKUP(B202,'Player Data'!$A1:$AE734,16,FALSE)*$Q202</f>
        <v>78.043417881413603</v>
      </c>
      <c r="AC202" s="41">
        <f>VLOOKUP(B202,'Player Data'!$A1:$AE734,17,FALSE)*$Q202*IFERROR((VLOOKUP(P202,Settings!$E$28:$F$33,2,FALSE)+1),1)</f>
        <v>5.5666760102917499</v>
      </c>
      <c r="AD202" s="41">
        <f>VLOOKUP(B202,'Player Data'!$A1:$AE734,18,FALSE)*$Q202</f>
        <v>16.62127458839284</v>
      </c>
      <c r="AE202" s="41">
        <f>VLOOKUP(B202,'Player Data'!$A1:$AE734,19,FALSE)*$Q202*IFERROR((VLOOKUP(P202,Settings!$E$28:$F$33,2,FALSE)+1),1)</f>
        <v>1.5317794319686528</v>
      </c>
      <c r="AF202" s="41">
        <f>VLOOKUP(B202,'Player Data'!$A1:$AE734,20,FALSE)*$Q202</f>
        <v>0</v>
      </c>
      <c r="AG202" s="41">
        <f>VLOOKUP(B202,'Player Data'!$A1:$AE734,21,FALSE)*$Q202</f>
        <v>0</v>
      </c>
      <c r="AH202" s="42">
        <f>VLOOKUP(B202,'Player Data'!$A1:$AE734,22,FALSE)</f>
        <v>0</v>
      </c>
      <c r="AI202" s="39"/>
      <c r="AJ202" s="43"/>
      <c r="AK202" s="41"/>
      <c r="AL202" s="41"/>
      <c r="AM202" s="41"/>
      <c r="AN202" s="41"/>
      <c r="AO202" s="41"/>
      <c r="AP202" s="41"/>
      <c r="AQ202" s="44"/>
      <c r="AR202" s="45"/>
      <c r="AS202" s="39"/>
    </row>
    <row r="203" spans="1:45" ht="21.25" customHeight="1" x14ac:dyDescent="0.15">
      <c r="A203" s="31">
        <f>RANK(K203,K$2:K$727)</f>
        <v>202</v>
      </c>
      <c r="B203" s="8" t="s">
        <v>307</v>
      </c>
      <c r="C203" s="32" t="s">
        <v>106</v>
      </c>
      <c r="D203" s="33" t="str">
        <f>VLOOKUP(B203,'Player Data'!A1:D734,4,FALSE)</f>
        <v>D</v>
      </c>
      <c r="E203" s="49">
        <f>VLOOKUP(B203,D!A1:C227,3,FALSE)</f>
        <v>53</v>
      </c>
      <c r="F203" s="35" t="str">
        <f>VLOOKUP(B203,'Player Data'!A1:B734,2,FALSE)</f>
        <v>CHI</v>
      </c>
      <c r="G203" s="9">
        <f>VLOOKUP(B203,'Player Data'!A1:D734,3,FALSE)</f>
        <v>19</v>
      </c>
      <c r="H203" s="36">
        <f>IFERROR(VLOOKUP(B203,ADP!A1:G728,7,FALSE)/1000000,VLOOKUP(B203,ADP!A1:G728,7,FALSE))</f>
        <v>0</v>
      </c>
      <c r="I203" s="37">
        <f>IF(Settings!$E$15="POINTS",((R203*Q203)*Settings!$B$12)+(S203*Settings!$B$2)+(T203*Settings!$B$3)+(U203*Settings!$B$4)+(V203*Settings!$B$5)+(X203*Settings!$B$9)+(AA203*Settings!$B$6)+(W203*Settings!$B$8)+(AB203*Settings!$B$7)+(AC203*Settings!$B$14)+(AD203*Settings!$B$15)+(AE203*Settings!$B$16)+(AF203*Settings!$B$17)+(AG203*Settings!$B$18)+(U203*Settings!$B$13)+(Y203*Settings!$B$10)+(Z203*Settings!$B$11),VLOOKUP(B203,'Standard Deviations'!A1:C728,3,FALSE))</f>
        <v>207.47057791415841</v>
      </c>
      <c r="J203" s="38">
        <f>IF(D203="G",I203/AJ203,I203/Q203)</f>
        <v>2.6944230897942649</v>
      </c>
      <c r="K203" s="37">
        <f>VLOOKUP(B203,D!A1:F227,6,FALSE)</f>
        <v>-104.09490371376904</v>
      </c>
      <c r="L203" s="52" t="str">
        <f>IFERROR(K203/H203,"N/A")</f>
        <v>N/A</v>
      </c>
      <c r="M203" s="53" t="str">
        <f>IF(Settings!$E$9="YAHOO",VLOOKUP(B203,ADP!A1:E728,2,FALSE),IF(Settings!$E$9="ESPN",VLOOKUP(B203,ADP!A1:E728,3,FALSE),IF(Settings!$E$9="FANTRAX",VLOOKUP(B203,ADP!A1:E728,4,FALSE),VLOOKUP(B203,ADP!A1:E728,5,FALSE))))</f>
        <v>-</v>
      </c>
      <c r="N203" s="53" t="str">
        <f>IFERROR(M203-A203,"N/A")</f>
        <v>N/A</v>
      </c>
      <c r="O203" s="39"/>
      <c r="P203" s="40" t="str">
        <f>IF(Settings!$E$27="ON",VLOOKUP(B203,ADP!A1:H728,8,FALSE)," ")</f>
        <v>-</v>
      </c>
      <c r="Q203" s="41">
        <f>IF(Settings!$E$12="YES",VLOOKUP(B203,'Player Data'!A1:E734,5,FALSE),82)</f>
        <v>77</v>
      </c>
      <c r="R203" s="39">
        <f>VLOOKUP(B203,'Player Data'!$A1:$AE734,6,FALSE)</f>
        <v>20</v>
      </c>
      <c r="S203" s="41">
        <f>VLOOKUP(B203,'Player Data'!$A1:$AE734,7,FALSE)*$Q203*IFERROR((VLOOKUP(P203,Settings!$E$28:$F$33,2,FALSE)+1),1)</f>
        <v>6.6616593977050185</v>
      </c>
      <c r="T203" s="41">
        <f>VLOOKUP(B203,'Player Data'!$A1:$AE734,8,FALSE)*$Q203*IFERROR((VLOOKUP(P203,Settings!$E$28:$F$33,2,FALSE)+1),1)</f>
        <v>29.186265575632344</v>
      </c>
      <c r="U203" s="41">
        <f>SUM(S203:T203)</f>
        <v>35.847924973337363</v>
      </c>
      <c r="V203" s="41">
        <f>VLOOKUP(B203,'Player Data'!$A1:$AE734,10,FALSE)*$Q203*IFERROR(((VLOOKUP(P203,Settings!$E$28:$F$33,2,FALSE)/2)+1),1)</f>
        <v>127.66034066509924</v>
      </c>
      <c r="W203" s="41">
        <f>VLOOKUP(B203,'Player Data'!$A1:$AE734,11,FALSE)*$Q203*IFERROR((VLOOKUP(P203,Settings!$E$28:$F$33,2,FALSE)+1),1)</f>
        <v>1.5042391771945629</v>
      </c>
      <c r="X203" s="41">
        <f>VLOOKUP(B203,'Player Data'!$A1:$AE734,12,FALSE)*$Q203*IFERROR((VLOOKUP(P203,Settings!$E$28:$F$33,2,FALSE)+1),1)</f>
        <v>8.0946577942129814</v>
      </c>
      <c r="Y203" s="41">
        <f>VLOOKUP(B203,'Player Data'!$A1:$AE734,13,FALSE)*$Q203</f>
        <v>0</v>
      </c>
      <c r="Z203" s="41">
        <f>VLOOKUP(B203,'Player Data'!$A1:$AE734,14,FALSE)*$Q203</f>
        <v>0</v>
      </c>
      <c r="AA203" s="41">
        <f>VLOOKUP(B203,'Player Data'!$A1:$AE734,15,FALSE)*$Q203</f>
        <v>99.536585365853796</v>
      </c>
      <c r="AB203" s="41">
        <f>VLOOKUP(B203,'Player Data'!$A1:$AE734,16,FALSE)*$Q203</f>
        <v>97.376829268292425</v>
      </c>
      <c r="AC203" s="41">
        <f>VLOOKUP(B203,'Player Data'!$A1:$AE734,17,FALSE)*$Q203*IFERROR((VLOOKUP(P203,Settings!$E$28:$F$33,2,FALSE)+1),1)</f>
        <v>0.72257926829268249</v>
      </c>
      <c r="AD203" s="41">
        <f>VLOOKUP(B203,'Player Data'!$A1:$AE734,18,FALSE)*$Q203</f>
        <v>33.335365853658558</v>
      </c>
      <c r="AE203" s="41">
        <f>VLOOKUP(B203,'Player Data'!$A1:$AE734,19,FALSE)*$Q203*IFERROR((VLOOKUP(P203,Settings!$E$28:$F$33,2,FALSE)+1),1)</f>
        <v>0.78062358679862276</v>
      </c>
      <c r="AF203" s="41">
        <f>VLOOKUP(B203,'Player Data'!$A1:$AE734,20,FALSE)*$Q203</f>
        <v>0</v>
      </c>
      <c r="AG203" s="41">
        <f>VLOOKUP(B203,'Player Data'!$A1:$AE734,21,FALSE)*$Q203</f>
        <v>0</v>
      </c>
      <c r="AH203" s="42">
        <f>VLOOKUP(B203,'Player Data'!$A1:$AE734,22,FALSE)</f>
        <v>0</v>
      </c>
      <c r="AI203" s="39"/>
      <c r="AJ203" s="43"/>
      <c r="AK203" s="41"/>
      <c r="AL203" s="41"/>
      <c r="AM203" s="41"/>
      <c r="AN203" s="41"/>
      <c r="AO203" s="41"/>
      <c r="AP203" s="41"/>
      <c r="AQ203" s="44"/>
      <c r="AR203" s="45"/>
      <c r="AS203" s="39"/>
    </row>
    <row r="204" spans="1:45" ht="21.25" customHeight="1" x14ac:dyDescent="0.15">
      <c r="A204" s="31">
        <f>RANK(K204,K$2:K$727)</f>
        <v>203</v>
      </c>
      <c r="B204" s="8" t="s">
        <v>308</v>
      </c>
      <c r="C204" s="32" t="s">
        <v>106</v>
      </c>
      <c r="D204" s="33" t="str">
        <f>VLOOKUP(B204,'Player Data'!A1:D734,4,FALSE)</f>
        <v>D</v>
      </c>
      <c r="E204" s="49">
        <f>VLOOKUP(B204,D!A1:C227,3,FALSE)</f>
        <v>54</v>
      </c>
      <c r="F204" s="35" t="str">
        <f>VLOOKUP(B204,'Player Data'!A1:B734,2,FALSE)</f>
        <v>EDM</v>
      </c>
      <c r="G204" s="9">
        <f>VLOOKUP(B204,'Player Data'!A1:D734,3,FALSE)</f>
        <v>33</v>
      </c>
      <c r="H204" s="36">
        <f>IFERROR(VLOOKUP(B204,ADP!A1:G728,7,FALSE)/1000000,VLOOKUP(B204,ADP!A1:G728,7,FALSE))</f>
        <v>6</v>
      </c>
      <c r="I204" s="37">
        <f>IF(Settings!$E$15="POINTS",((R204*Q204)*Settings!$B$12)+(S204*Settings!$B$2)+(T204*Settings!$B$3)+(U204*Settings!$B$4)+(V204*Settings!$B$5)+(X204*Settings!$B$9)+(AA204*Settings!$B$6)+(W204*Settings!$B$8)+(AB204*Settings!$B$7)+(AC204*Settings!$B$14)+(AD204*Settings!$B$15)+(AE204*Settings!$B$16)+(AF204*Settings!$B$17)+(AG204*Settings!$B$18)+(U204*Settings!$B$13)+(Y204*Settings!$B$10)+(Z204*Settings!$B$11),VLOOKUP(B204,'Standard Deviations'!A1:C728,3,FALSE))</f>
        <v>206.65544071488128</v>
      </c>
      <c r="J204" s="38">
        <f>IF(D204="G",I204/AJ204,I204/Q204)</f>
        <v>2.605221083634246</v>
      </c>
      <c r="K204" s="37">
        <f>VLOOKUP(B204,D!A1:F227,6,FALSE)</f>
        <v>-104.91004091304617</v>
      </c>
      <c r="L204" s="37">
        <f>IFERROR(K204/H204,"N/A")</f>
        <v>-17.485006818841029</v>
      </c>
      <c r="M204" s="39">
        <f>IF(Settings!$E$9="YAHOO",VLOOKUP(B204,ADP!A1:E728,2,FALSE),IF(Settings!$E$9="ESPN",VLOOKUP(B204,ADP!A1:E728,3,FALSE),IF(Settings!$E$9="FANTRAX",VLOOKUP(B204,ADP!A1:E728,4,FALSE),VLOOKUP(B204,ADP!A1:E728,5,FALSE))))</f>
        <v>170.8</v>
      </c>
      <c r="N204" s="39">
        <f>IFERROR(M204-A204,"N/A")</f>
        <v>-32.199999999999989</v>
      </c>
      <c r="O204" s="39"/>
      <c r="P204" s="40" t="str">
        <f>IF(Settings!$E$27="ON",VLOOKUP(B204,ADP!A1:H728,8,FALSE)," ")</f>
        <v>+</v>
      </c>
      <c r="Q204" s="41">
        <f>IF(Settings!$E$12="YES",VLOOKUP(B204,'Player Data'!A1:E734,5,FALSE),82)</f>
        <v>79.323571428571398</v>
      </c>
      <c r="R204" s="39">
        <f>VLOOKUP(B204,'Player Data'!$A1:$AE734,6,FALSE)</f>
        <v>22.213327102383701</v>
      </c>
      <c r="S204" s="41">
        <f>VLOOKUP(B204,'Player Data'!$A1:$AE734,7,FALSE)*$Q204*IFERROR((VLOOKUP(P204,Settings!$E$28:$F$33,2,FALSE)+1),1)</f>
        <v>7.9548954281917155</v>
      </c>
      <c r="T204" s="41">
        <f>VLOOKUP(B204,'Player Data'!$A1:$AE734,8,FALSE)*$Q204*IFERROR((VLOOKUP(P204,Settings!$E$28:$F$33,2,FALSE)+1),1)</f>
        <v>25.496031869822129</v>
      </c>
      <c r="U204" s="41">
        <f>SUM(S204:T204)</f>
        <v>33.450927298013845</v>
      </c>
      <c r="V204" s="41">
        <f>VLOOKUP(B204,'Player Data'!$A1:$AE734,10,FALSE)*$Q204*IFERROR(((VLOOKUP(P204,Settings!$E$28:$F$33,2,FALSE)/2)+1),1)</f>
        <v>151.44780531106511</v>
      </c>
      <c r="W204" s="41">
        <f>VLOOKUP(B204,'Player Data'!$A1:$AE734,11,FALSE)*$Q204*IFERROR((VLOOKUP(P204,Settings!$E$28:$F$33,2,FALSE)+1),1)</f>
        <v>0.11073777629026366</v>
      </c>
      <c r="X204" s="41">
        <f>VLOOKUP(B204,'Player Data'!$A1:$AE734,12,FALSE)*$Q204*IFERROR((VLOOKUP(P204,Settings!$E$28:$F$33,2,FALSE)+1),1)</f>
        <v>3.6880022584758141</v>
      </c>
      <c r="Y204" s="41">
        <f>VLOOKUP(B204,'Player Data'!$A1:$AE734,13,FALSE)*$Q204</f>
        <v>1.9623046918715366E-2</v>
      </c>
      <c r="Z204" s="41">
        <f>VLOOKUP(B204,'Player Data'!$A1:$AE734,14,FALSE)*$Q204</f>
        <v>0.86946033017240143</v>
      </c>
      <c r="AA204" s="41">
        <f>VLOOKUP(B204,'Player Data'!$A1:$AE734,15,FALSE)*$Q204</f>
        <v>107.31915494005374</v>
      </c>
      <c r="AB204" s="41">
        <f>VLOOKUP(B204,'Player Data'!$A1:$AE734,16,FALSE)*$Q204</f>
        <v>88.748108388904868</v>
      </c>
      <c r="AC204" s="41">
        <f>VLOOKUP(B204,'Player Data'!$A1:$AE734,17,FALSE)*$Q204*IFERROR((VLOOKUP(P204,Settings!$E$28:$F$33,2,FALSE)+1),1)</f>
        <v>9.1515671655127999</v>
      </c>
      <c r="AD204" s="41">
        <f>VLOOKUP(B204,'Player Data'!$A1:$AE734,18,FALSE)*$Q204</f>
        <v>34.750215052337545</v>
      </c>
      <c r="AE204" s="41">
        <f>VLOOKUP(B204,'Player Data'!$A1:$AE734,19,FALSE)*$Q204*IFERROR((VLOOKUP(P204,Settings!$E$28:$F$33,2,FALSE)+1),1)</f>
        <v>1.2591745455249013</v>
      </c>
      <c r="AF204" s="41">
        <f>VLOOKUP(B204,'Player Data'!$A1:$AE734,20,FALSE)*$Q204</f>
        <v>0</v>
      </c>
      <c r="AG204" s="41">
        <f>VLOOKUP(B204,'Player Data'!$A1:$AE734,21,FALSE)*$Q204</f>
        <v>0</v>
      </c>
      <c r="AH204" s="42">
        <f>VLOOKUP(B204,'Player Data'!$A1:$AE734,22,FALSE)</f>
        <v>0</v>
      </c>
      <c r="AI204" s="39"/>
      <c r="AJ204" s="43"/>
      <c r="AK204" s="41"/>
      <c r="AL204" s="41"/>
      <c r="AM204" s="41"/>
      <c r="AN204" s="41"/>
      <c r="AO204" s="41"/>
      <c r="AP204" s="41"/>
      <c r="AQ204" s="44"/>
      <c r="AR204" s="45"/>
      <c r="AS204" s="39"/>
    </row>
    <row r="205" spans="1:45" ht="21.25" customHeight="1" x14ac:dyDescent="0.15">
      <c r="A205" s="31">
        <f>RANK(K205,K$2:K$727)</f>
        <v>204</v>
      </c>
      <c r="B205" s="8" t="s">
        <v>309</v>
      </c>
      <c r="C205" s="32" t="s">
        <v>106</v>
      </c>
      <c r="D205" s="33" t="str">
        <f>VLOOKUP(B205,'Player Data'!A1:D734,4,FALSE)</f>
        <v>D</v>
      </c>
      <c r="E205" s="49">
        <f>VLOOKUP(B205,D!A1:C227,3,FALSE)</f>
        <v>55</v>
      </c>
      <c r="F205" s="35" t="str">
        <f>VLOOKUP(B205,'Player Data'!A1:B734,2,FALSE)</f>
        <v>CBJ</v>
      </c>
      <c r="G205" s="9">
        <f>VLOOKUP(B205,'Player Data'!A1:D734,3,FALSE)</f>
        <v>29</v>
      </c>
      <c r="H205" s="36">
        <f>IFERROR(VLOOKUP(B205,ADP!A1:G728,7,FALSE)/1000000,VLOOKUP(B205,ADP!A1:G728,7,FALSE))</f>
        <v>6.25</v>
      </c>
      <c r="I205" s="37">
        <f>IF(Settings!$E$15="POINTS",((R205*Q205)*Settings!$B$12)+(S205*Settings!$B$2)+(T205*Settings!$B$3)+(U205*Settings!$B$4)+(V205*Settings!$B$5)+(X205*Settings!$B$9)+(AA205*Settings!$B$6)+(W205*Settings!$B$8)+(AB205*Settings!$B$7)+(AC205*Settings!$B$14)+(AD205*Settings!$B$15)+(AE205*Settings!$B$16)+(AF205*Settings!$B$17)+(AG205*Settings!$B$18)+(U205*Settings!$B$13)+(Y205*Settings!$B$10)+(Z205*Settings!$B$11),VLOOKUP(B205,'Standard Deviations'!A1:C728,3,FALSE))</f>
        <v>205.75643252823423</v>
      </c>
      <c r="J205" s="38">
        <f>IF(D205="G",I205/AJ205,I205/Q205)</f>
        <v>2.5222203736107902</v>
      </c>
      <c r="K205" s="37">
        <f>VLOOKUP(B205,D!A1:F227,6,FALSE)</f>
        <v>-105.80904909969323</v>
      </c>
      <c r="L205" s="37">
        <f>IFERROR(K205/H205,"N/A")</f>
        <v>-16.929447855950915</v>
      </c>
      <c r="M205" s="39">
        <f>IF(Settings!$E$9="YAHOO",VLOOKUP(B205,ADP!A1:E728,2,FALSE),IF(Settings!$E$9="ESPN",VLOOKUP(B205,ADP!A1:E728,3,FALSE),IF(Settings!$E$9="FANTRAX",VLOOKUP(B205,ADP!A1:E728,4,FALSE),VLOOKUP(B205,ADP!A1:E728,5,FALSE))))</f>
        <v>154.69999999999999</v>
      </c>
      <c r="N205" s="39">
        <f>IFERROR(M205-A205,"N/A")</f>
        <v>-49.300000000000011</v>
      </c>
      <c r="O205" s="39"/>
      <c r="P205" s="40" t="str">
        <f>IF(Settings!$E$27="ON",VLOOKUP(B205,ADP!A1:H728,8,FALSE)," ")</f>
        <v xml:space="preserve"> </v>
      </c>
      <c r="Q205" s="41">
        <f>IF(Settings!$E$12="YES",VLOOKUP(B205,'Player Data'!A1:E734,5,FALSE),82)</f>
        <v>81.577500000000001</v>
      </c>
      <c r="R205" s="39">
        <f>VLOOKUP(B205,'Player Data'!$A1:$AE734,6,FALSE)</f>
        <v>20.9404606966404</v>
      </c>
      <c r="S205" s="41">
        <f>VLOOKUP(B205,'Player Data'!$A1:$AE734,7,FALSE)*$Q205*IFERROR((VLOOKUP(P205,Settings!$E$28:$F$33,2,FALSE)+1),1)</f>
        <v>7.555942453450661</v>
      </c>
      <c r="T205" s="41">
        <f>VLOOKUP(B205,'Player Data'!$A1:$AE734,8,FALSE)*$Q205*IFERROR((VLOOKUP(P205,Settings!$E$28:$F$33,2,FALSE)+1),1)</f>
        <v>27.985300743251095</v>
      </c>
      <c r="U205" s="41">
        <f>SUM(S205:T205)</f>
        <v>35.541243196701757</v>
      </c>
      <c r="V205" s="41">
        <f>VLOOKUP(B205,'Player Data'!$A1:$AE734,10,FALSE)*$Q205*IFERROR(((VLOOKUP(P205,Settings!$E$28:$F$33,2,FALSE)/2)+1),1)</f>
        <v>124.46412904782017</v>
      </c>
      <c r="W205" s="41">
        <f>VLOOKUP(B205,'Player Data'!$A1:$AE734,11,FALSE)*$Q205*IFERROR((VLOOKUP(P205,Settings!$E$28:$F$33,2,FALSE)+1),1)</f>
        <v>1.7180883850154027</v>
      </c>
      <c r="X205" s="41">
        <f>VLOOKUP(B205,'Player Data'!$A1:$AE734,12,FALSE)*$Q205*IFERROR((VLOOKUP(P205,Settings!$E$28:$F$33,2,FALSE)+1),1)</f>
        <v>7.0154829521781545</v>
      </c>
      <c r="Y205" s="41">
        <f>VLOOKUP(B205,'Player Data'!$A1:$AE734,13,FALSE)*$Q205</f>
        <v>0.27124422348747135</v>
      </c>
      <c r="Z205" s="41">
        <f>VLOOKUP(B205,'Player Data'!$A1:$AE734,14,FALSE)*$Q205</f>
        <v>0.55997751249923344</v>
      </c>
      <c r="AA205" s="41">
        <f>VLOOKUP(B205,'Player Data'!$A1:$AE734,15,FALSE)*$Q205</f>
        <v>108.74858742432053</v>
      </c>
      <c r="AB205" s="41">
        <f>VLOOKUP(B205,'Player Data'!$A1:$AE734,16,FALSE)*$Q205</f>
        <v>65.17878749474518</v>
      </c>
      <c r="AC205" s="41">
        <f>VLOOKUP(B205,'Player Data'!$A1:$AE734,17,FALSE)*$Q205*IFERROR((VLOOKUP(P205,Settings!$E$28:$F$33,2,FALSE)+1),1)</f>
        <v>-2.7387121737596813</v>
      </c>
      <c r="AD205" s="41">
        <f>VLOOKUP(B205,'Player Data'!$A1:$AE734,18,FALSE)*$Q205</f>
        <v>41.426621182832655</v>
      </c>
      <c r="AE205" s="41">
        <f>VLOOKUP(B205,'Player Data'!$A1:$AE734,19,FALSE)*$Q205*IFERROR((VLOOKUP(P205,Settings!$E$28:$F$33,2,FALSE)+1),1)</f>
        <v>0.80967125796600448</v>
      </c>
      <c r="AF205" s="41">
        <f>VLOOKUP(B205,'Player Data'!$A1:$AE734,20,FALSE)*$Q205</f>
        <v>0</v>
      </c>
      <c r="AG205" s="41">
        <f>VLOOKUP(B205,'Player Data'!$A1:$AE734,21,FALSE)*$Q205</f>
        <v>0</v>
      </c>
      <c r="AH205" s="42">
        <f>VLOOKUP(B205,'Player Data'!$A1:$AE734,22,FALSE)</f>
        <v>0</v>
      </c>
      <c r="AI205" s="39"/>
      <c r="AJ205" s="43"/>
      <c r="AK205" s="41"/>
      <c r="AL205" s="41"/>
      <c r="AM205" s="41"/>
      <c r="AN205" s="41"/>
      <c r="AO205" s="41"/>
      <c r="AP205" s="41"/>
      <c r="AQ205" s="44"/>
      <c r="AR205" s="45"/>
      <c r="AS205" s="39"/>
    </row>
    <row r="206" spans="1:45" ht="21.25" customHeight="1" x14ac:dyDescent="0.15">
      <c r="A206" s="31">
        <f>RANK(K206,K$2:K$727)</f>
        <v>205</v>
      </c>
      <c r="B206" s="8" t="s">
        <v>310</v>
      </c>
      <c r="C206" s="32" t="s">
        <v>106</v>
      </c>
      <c r="D206" s="33" t="str">
        <f>VLOOKUP(B206,'Player Data'!A1:D734,4,FALSE)</f>
        <v>RW</v>
      </c>
      <c r="E206" s="46">
        <f>VLOOKUP(B206,RW!A1:F97,3,FALSE)</f>
        <v>34</v>
      </c>
      <c r="F206" s="35" t="str">
        <f>VLOOKUP(B206,'Player Data'!A1:B734,2,FALSE)</f>
        <v>WSH</v>
      </c>
      <c r="G206" s="9">
        <f>VLOOKUP(B206,'Player Data'!A1:D734,3,FALSE)</f>
        <v>29</v>
      </c>
      <c r="H206" s="36">
        <f>IFERROR(VLOOKUP(B206,ADP!A1:G728,7,FALSE)/1000000,VLOOKUP(B206,ADP!A1:G728,7,FALSE))</f>
        <v>6.34375</v>
      </c>
      <c r="I206" s="37">
        <f>IF(Settings!$E$15="POINTS",((R206*Q206)*Settings!$B$12)+(S206*Settings!$B$2)+(T206*Settings!$B$3)+(U206*Settings!$B$4)+(V206*Settings!$B$5)+(X206*Settings!$B$9)+(AA206*Settings!$B$6)+(W206*Settings!$B$8)+(AB206*Settings!$B$7)+(AC206*Settings!$B$14)+(AD206*Settings!$B$15)+(AE206*Settings!$B$16)+(AF206*Settings!$B$17)+(AG206*Settings!$B$18)+(Y206*Settings!$B$10)+(Z206*Settings!$B$11),VLOOKUP(B206,'Standard Deviations'!A1:C728,3,FALSE))</f>
        <v>243.51211310531798</v>
      </c>
      <c r="J206" s="38">
        <f>IF(D206="G",I206/AJ206,I206/Q206)</f>
        <v>3.4491800723132862</v>
      </c>
      <c r="K206" s="37">
        <f>IF(Settings!$E$18="C/LW/RW",VLOOKUP(B206,RW!A1:F97,6,FALSE),VLOOKUP(B206,F!A1:F430,6,FALSE))</f>
        <v>-106.75942744257159</v>
      </c>
      <c r="L206" s="37">
        <f>IFERROR(K206/H206,"N/A")</f>
        <v>-16.829072306218183</v>
      </c>
      <c r="M206" s="39">
        <f>IF(Settings!$E$9="YAHOO",VLOOKUP(B206,ADP!A1:E728,2,FALSE),IF(Settings!$E$9="ESPN",VLOOKUP(B206,ADP!A1:E728,3,FALSE),IF(Settings!$E$9="FANTRAX",VLOOKUP(B206,ADP!A1:E728,4,FALSE),VLOOKUP(B206,ADP!A1:E728,5,FALSE))))</f>
        <v>153.9</v>
      </c>
      <c r="N206" s="39">
        <f>IFERROR(M206-A206,"N/A")</f>
        <v>-51.099999999999994</v>
      </c>
      <c r="O206" s="39"/>
      <c r="P206" s="40" t="str">
        <f>IF(Settings!$E$27="ON",VLOOKUP(B206,ADP!A1:H728,8,FALSE)," ")</f>
        <v xml:space="preserve"> </v>
      </c>
      <c r="Q206" s="41">
        <f>IF(Settings!$E$12="YES",VLOOKUP(B206,'Player Data'!A1:E734,5,FALSE),82)</f>
        <v>70.599999999999994</v>
      </c>
      <c r="R206" s="39">
        <f>VLOOKUP(B206,'Player Data'!$A1:$AE734,6,FALSE)</f>
        <v>18.257264103560502</v>
      </c>
      <c r="S206" s="41">
        <f>VLOOKUP(B206,'Player Data'!$A1:$AE734,7,FALSE)*$Q206*IFERROR((VLOOKUP(P206,Settings!$E$28:$F$33,2,FALSE)+1),1)</f>
        <v>21.696797681016513</v>
      </c>
      <c r="T206" s="41">
        <f>VLOOKUP(B206,'Player Data'!$A1:$AE734,8,FALSE)*$Q206*IFERROR((VLOOKUP(P206,Settings!$E$28:$F$33,2,FALSE)+1),1)</f>
        <v>24.00335342058559</v>
      </c>
      <c r="U206" s="41">
        <f>SUM(S206:T206)</f>
        <v>45.700151101602103</v>
      </c>
      <c r="V206" s="41">
        <f>VLOOKUP(B206,'Player Data'!$A1:$AE734,10,FALSE)*$Q206*IFERROR(((VLOOKUP(P206,Settings!$E$28:$F$33,2,FALSE)/2)+1),1)</f>
        <v>154.44969140260466</v>
      </c>
      <c r="W206" s="41">
        <f>VLOOKUP(B206,'Player Data'!$A1:$AE734,11,FALSE)*$Q206*IFERROR((VLOOKUP(P206,Settings!$E$28:$F$33,2,FALSE)+1),1)</f>
        <v>3.4911851627430153</v>
      </c>
      <c r="X206" s="41">
        <f>VLOOKUP(B206,'Player Data'!$A1:$AE734,12,FALSE)*$Q206*IFERROR((VLOOKUP(P206,Settings!$E$28:$F$33,2,FALSE)+1),1)</f>
        <v>7.1240111622794657</v>
      </c>
      <c r="Y206" s="41">
        <f>VLOOKUP(B206,'Player Data'!$A1:$AE734,13,FALSE)*$Q206</f>
        <v>1.2679267989647773</v>
      </c>
      <c r="Z206" s="41">
        <f>VLOOKUP(B206,'Player Data'!$A1:$AE734,14,FALSE)*$Q206</f>
        <v>1.828154674130116</v>
      </c>
      <c r="AA206" s="41">
        <f>VLOOKUP(B206,'Player Data'!$A1:$AE734,15,FALSE)*$Q206</f>
        <v>56.412412131950802</v>
      </c>
      <c r="AB206" s="41">
        <f>VLOOKUP(B206,'Player Data'!$A1:$AE734,16,FALSE)*$Q206</f>
        <v>188.97637697067324</v>
      </c>
      <c r="AC206" s="41">
        <f>VLOOKUP(B206,'Player Data'!$A1:$AE734,17,FALSE)*$Q206*IFERROR((VLOOKUP(P206,Settings!$E$28:$F$33,2,FALSE)+1),1)</f>
        <v>-2.802766229507768</v>
      </c>
      <c r="AD206" s="41">
        <f>VLOOKUP(B206,'Player Data'!$A1:$AE734,18,FALSE)*$Q206</f>
        <v>78.684070674251089</v>
      </c>
      <c r="AE206" s="41">
        <f>VLOOKUP(B206,'Player Data'!$A1:$AE734,19,FALSE)*$Q206*IFERROR((VLOOKUP(P206,Settings!$E$28:$F$33,2,FALSE)+1),1)</f>
        <v>2.6688338371392883</v>
      </c>
      <c r="AF206" s="41">
        <f>VLOOKUP(B206,'Player Data'!$A1:$AE734,20,FALSE)*$Q206</f>
        <v>15.391778892437152</v>
      </c>
      <c r="AG206" s="41">
        <f>VLOOKUP(B206,'Player Data'!$A1:$AE734,21,FALSE)*$Q206</f>
        <v>23.107705804307503</v>
      </c>
      <c r="AH206" s="42">
        <f>VLOOKUP(B206,'Player Data'!$A1:$AE734,22,FALSE)</f>
        <v>0.39979181575223999</v>
      </c>
      <c r="AI206" s="39"/>
      <c r="AJ206" s="43"/>
      <c r="AK206" s="41"/>
      <c r="AL206" s="41"/>
      <c r="AM206" s="41"/>
      <c r="AN206" s="41"/>
      <c r="AO206" s="41"/>
      <c r="AP206" s="41"/>
      <c r="AQ206" s="44"/>
      <c r="AR206" s="45"/>
      <c r="AS206" s="39"/>
    </row>
    <row r="207" spans="1:45" ht="21.25" customHeight="1" x14ac:dyDescent="0.15">
      <c r="A207" s="31">
        <f>RANK(K207,K$2:K$727)</f>
        <v>206</v>
      </c>
      <c r="B207" s="8" t="s">
        <v>311</v>
      </c>
      <c r="C207" s="32" t="s">
        <v>106</v>
      </c>
      <c r="D207" s="33" t="str">
        <f>VLOOKUP(B207,'Player Data'!A1:D734,4,FALSE)</f>
        <v>C</v>
      </c>
      <c r="E207" s="34">
        <f>VLOOKUP(B207,'C'!A1:C211,3,FALSE)</f>
        <v>53</v>
      </c>
      <c r="F207" s="35" t="str">
        <f>VLOOKUP(B207,'Player Data'!A1:B734,2,FALSE)</f>
        <v>ARI</v>
      </c>
      <c r="G207" s="9">
        <f>VLOOKUP(B207,'Player Data'!A1:D734,3,FALSE)</f>
        <v>19</v>
      </c>
      <c r="H207" s="36">
        <f>IFERROR(VLOOKUP(B207,ADP!A1:G728,7,FALSE)/1000000,VLOOKUP(B207,ADP!A1:G728,7,FALSE))</f>
        <v>0</v>
      </c>
      <c r="I207" s="37">
        <f>IF(Settings!$E$15="POINTS",((R207*Q207)*Settings!$B$12)+(S207*Settings!$B$2)+(T207*Settings!$B$3)+(U207*Settings!$B$4)+(V207*Settings!$B$5)+(X207*Settings!$B$9)+(AA207*Settings!$B$6)+(W207*Settings!$B$8)+(AB207*Settings!$B$7)+(AC207*Settings!$B$14)+(AD207*Settings!$B$15)+(AE207*Settings!$B$16)+(AF207*Settings!$B$17)+(AG207*Settings!$B$18)+(Y207*Settings!$B$10)+(Z207*Settings!$B$11),VLOOKUP(B207,'Standard Deviations'!A1:C728,3,FALSE))</f>
        <v>285.76582365705622</v>
      </c>
      <c r="J207" s="38">
        <f>IF(D207="G",I207/AJ207,I207/Q207)</f>
        <v>3.663664405859695</v>
      </c>
      <c r="K207" s="37">
        <f>IF(Settings!$E$18="C/LW/RW",VLOOKUP(B207,'C'!A1:F211,6,FALSE),VLOOKUP(B207,F!A1:F430,6,FALSE))</f>
        <v>-107.56298210915344</v>
      </c>
      <c r="L207" s="52" t="str">
        <f>IFERROR(K207/H207,"N/A")</f>
        <v>N/A</v>
      </c>
      <c r="M207" s="39">
        <f>IF(Settings!$E$9="YAHOO",VLOOKUP(B207,ADP!A1:E728,2,FALSE),IF(Settings!$E$9="ESPN",VLOOKUP(B207,ADP!A1:E728,3,FALSE),IF(Settings!$E$9="FANTRAX",VLOOKUP(B207,ADP!A1:E728,4,FALSE),VLOOKUP(B207,ADP!A1:E728,5,FALSE))))</f>
        <v>166.4</v>
      </c>
      <c r="N207" s="39">
        <f>IFERROR(M207-A207,"N/A")</f>
        <v>-39.599999999999994</v>
      </c>
      <c r="O207" s="39"/>
      <c r="P207" s="40" t="str">
        <f>IF(Settings!$E$27="ON",VLOOKUP(B207,ADP!A1:H728,8,FALSE)," ")</f>
        <v xml:space="preserve"> </v>
      </c>
      <c r="Q207" s="41">
        <f>IF(Settings!$E$12="YES",VLOOKUP(B207,'Player Data'!A1:E734,5,FALSE),82)</f>
        <v>78</v>
      </c>
      <c r="R207" s="39">
        <f>VLOOKUP(B207,'Player Data'!$A1:$AE734,6,FALSE)</f>
        <v>17.5</v>
      </c>
      <c r="S207" s="41">
        <f>VLOOKUP(B207,'Player Data'!$A1:$AE734,7,FALSE)*$Q207*IFERROR((VLOOKUP(P207,Settings!$E$28:$F$33,2,FALSE)+1),1)</f>
        <v>21.407474567700703</v>
      </c>
      <c r="T207" s="41">
        <f>VLOOKUP(B207,'Player Data'!$A1:$AE734,8,FALSE)*$Q207*IFERROR((VLOOKUP(P207,Settings!$E$28:$F$33,2,FALSE)+1),1)</f>
        <v>34.347266095594144</v>
      </c>
      <c r="U207" s="41">
        <f>SUM(S207:T207)</f>
        <v>55.754740663294847</v>
      </c>
      <c r="V207" s="41">
        <f>VLOOKUP(B207,'Player Data'!$A1:$AE734,10,FALSE)*$Q207*IFERROR(((VLOOKUP(P207,Settings!$E$28:$F$33,2,FALSE)/2)+1),1)</f>
        <v>160.54195973648586</v>
      </c>
      <c r="W207" s="41">
        <f>VLOOKUP(B207,'Player Data'!$A1:$AE734,11,FALSE)*$Q207*IFERROR((VLOOKUP(P207,Settings!$E$28:$F$33,2,FALSE)+1),1)</f>
        <v>6.0063919322009225</v>
      </c>
      <c r="X207" s="41">
        <f>VLOOKUP(B207,'Player Data'!$A1:$AE734,12,FALSE)*$Q207*IFERROR((VLOOKUP(P207,Settings!$E$28:$F$33,2,FALSE)+1),1)</f>
        <v>15.643359679952161</v>
      </c>
      <c r="Y207" s="41">
        <f>VLOOKUP(B207,'Player Data'!$A1:$AE734,13,FALSE)*$Q207</f>
        <v>0</v>
      </c>
      <c r="Z207" s="41">
        <f>VLOOKUP(B207,'Player Data'!$A1:$AE734,14,FALSE)*$Q207</f>
        <v>0</v>
      </c>
      <c r="AA207" s="41">
        <f>VLOOKUP(B207,'Player Data'!$A1:$AE734,15,FALSE)*$Q207</f>
        <v>34.719512195121936</v>
      </c>
      <c r="AB207" s="41">
        <f>VLOOKUP(B207,'Player Data'!$A1:$AE734,16,FALSE)*$Q207</f>
        <v>57.073170731707343</v>
      </c>
      <c r="AC207" s="41">
        <f>VLOOKUP(B207,'Player Data'!$A1:$AE734,17,FALSE)*$Q207*IFERROR((VLOOKUP(P207,Settings!$E$28:$F$33,2,FALSE)+1),1)</f>
        <v>0.39</v>
      </c>
      <c r="AD207" s="41">
        <f>VLOOKUP(B207,'Player Data'!$A1:$AE734,18,FALSE)*$Q207</f>
        <v>31.532926829268309</v>
      </c>
      <c r="AE207" s="41">
        <f>VLOOKUP(B207,'Player Data'!$A1:$AE734,19,FALSE)*$Q207*IFERROR((VLOOKUP(P207,Settings!$E$28:$F$33,2,FALSE)+1),1)</f>
        <v>2.6384711501979168</v>
      </c>
      <c r="AF207" s="41">
        <f>VLOOKUP(B207,'Player Data'!$A1:$AE734,20,FALSE)*$Q207</f>
        <v>403.92481173799871</v>
      </c>
      <c r="AG207" s="41">
        <f>VLOOKUP(B207,'Player Data'!$A1:$AE734,21,FALSE)*$Q207</f>
        <v>557.80093049533241</v>
      </c>
      <c r="AH207" s="42">
        <f>VLOOKUP(B207,'Player Data'!$A1:$AE734,22,FALSE)</f>
        <v>0.42</v>
      </c>
      <c r="AI207" s="39"/>
      <c r="AJ207" s="43"/>
      <c r="AK207" s="41"/>
      <c r="AL207" s="41"/>
      <c r="AM207" s="41"/>
      <c r="AN207" s="41"/>
      <c r="AO207" s="41"/>
      <c r="AP207" s="41"/>
      <c r="AQ207" s="44"/>
      <c r="AR207" s="45"/>
      <c r="AS207" s="43"/>
    </row>
    <row r="208" spans="1:45" ht="21.25" customHeight="1" x14ac:dyDescent="0.15">
      <c r="A208" s="31">
        <f>RANK(K208,K$2:K$727)</f>
        <v>207</v>
      </c>
      <c r="B208" s="8" t="s">
        <v>312</v>
      </c>
      <c r="C208" s="32" t="s">
        <v>106</v>
      </c>
      <c r="D208" s="33" t="str">
        <f>VLOOKUP(B208,'Player Data'!A1:D734,4,FALSE)</f>
        <v>C</v>
      </c>
      <c r="E208" s="34">
        <f>VLOOKUP(B208,'C'!A1:C211,3,FALSE)</f>
        <v>54</v>
      </c>
      <c r="F208" s="35" t="str">
        <f>VLOOKUP(B208,'Player Data'!A1:B734,2,FALSE)</f>
        <v>CGY</v>
      </c>
      <c r="G208" s="9">
        <f>VLOOKUP(B208,'Player Data'!A1:D734,3,FALSE)</f>
        <v>34</v>
      </c>
      <c r="H208" s="36">
        <f>IFERROR(VLOOKUP(B208,ADP!A1:G728,7,FALSE)/1000000,VLOOKUP(B208,ADP!A1:G728,7,FALSE))</f>
        <v>5.35</v>
      </c>
      <c r="I208" s="37">
        <f>IF(Settings!$E$15="POINTS",((R208*Q208)*Settings!$B$12)+(S208*Settings!$B$2)+(T208*Settings!$B$3)+(U208*Settings!$B$4)+(V208*Settings!$B$5)+(X208*Settings!$B$9)+(AA208*Settings!$B$6)+(W208*Settings!$B$8)+(AB208*Settings!$B$7)+(AC208*Settings!$B$14)+(AD208*Settings!$B$15)+(AE208*Settings!$B$16)+(AF208*Settings!$B$17)+(AG208*Settings!$B$18)+(Y208*Settings!$B$10)+(Z208*Settings!$B$11),VLOOKUP(B208,'Standard Deviations'!A1:C728,3,FALSE))</f>
        <v>285.75678715352723</v>
      </c>
      <c r="J208" s="38">
        <f>IF(D208="G",I208/AJ208,I208/Q208)</f>
        <v>3.5019214111951871</v>
      </c>
      <c r="K208" s="37">
        <f>IF(Settings!$E$18="C/LW/RW",VLOOKUP(B208,'C'!A1:F211,6,FALSE),VLOOKUP(B208,F!A1:F430,6,FALSE))</f>
        <v>-107.57201861268243</v>
      </c>
      <c r="L208" s="37">
        <f>IFERROR(K208/H208,"N/A")</f>
        <v>-20.10691936685653</v>
      </c>
      <c r="M208" s="39">
        <f>IF(Settings!$E$9="YAHOO",VLOOKUP(B208,ADP!A1:E728,2,FALSE),IF(Settings!$E$9="ESPN",VLOOKUP(B208,ADP!A1:E728,3,FALSE),IF(Settings!$E$9="FANTRAX",VLOOKUP(B208,ADP!A1:E728,4,FALSE),VLOOKUP(B208,ADP!A1:E728,5,FALSE))))</f>
        <v>162</v>
      </c>
      <c r="N208" s="39">
        <f>IFERROR(M208-A208,"N/A")</f>
        <v>-45</v>
      </c>
      <c r="O208" s="39"/>
      <c r="P208" s="40" t="str">
        <f>IF(Settings!$E$27="ON",VLOOKUP(B208,ADP!A1:H728,8,FALSE)," ")</f>
        <v xml:space="preserve"> </v>
      </c>
      <c r="Q208" s="41">
        <f>IF(Settings!$E$12="YES",VLOOKUP(B208,'Player Data'!A1:E734,5,FALSE),82)</f>
        <v>81.599999999999994</v>
      </c>
      <c r="R208" s="39">
        <f>VLOOKUP(B208,'Player Data'!$A1:$AE734,6,FALSE)</f>
        <v>17.7318138532363</v>
      </c>
      <c r="S208" s="41">
        <f>VLOOKUP(B208,'Player Data'!$A1:$AE734,7,FALSE)*$Q208*IFERROR((VLOOKUP(P208,Settings!$E$28:$F$33,2,FALSE)+1),1)</f>
        <v>14.661169001156827</v>
      </c>
      <c r="T208" s="41">
        <f>VLOOKUP(B208,'Player Data'!$A1:$AE734,8,FALSE)*$Q208*IFERROR((VLOOKUP(P208,Settings!$E$28:$F$33,2,FALSE)+1),1)</f>
        <v>31.013746111011685</v>
      </c>
      <c r="U208" s="41">
        <f>SUM(S208:T208)</f>
        <v>45.674915112168513</v>
      </c>
      <c r="V208" s="41">
        <f>VLOOKUP(B208,'Player Data'!$A1:$AE734,10,FALSE)*$Q208*IFERROR(((VLOOKUP(P208,Settings!$E$28:$F$33,2,FALSE)/2)+1),1)</f>
        <v>236.67116176158015</v>
      </c>
      <c r="W208" s="41">
        <f>VLOOKUP(B208,'Player Data'!$A1:$AE734,11,FALSE)*$Q208*IFERROR((VLOOKUP(P208,Settings!$E$28:$F$33,2,FALSE)+1),1)</f>
        <v>2.7368043741955965</v>
      </c>
      <c r="X208" s="41">
        <f>VLOOKUP(B208,'Player Data'!$A1:$AE734,12,FALSE)*$Q208*IFERROR((VLOOKUP(P208,Settings!$E$28:$F$33,2,FALSE)+1),1)</f>
        <v>9.719289075869769</v>
      </c>
      <c r="Y208" s="41">
        <f>VLOOKUP(B208,'Player Data'!$A1:$AE734,13,FALSE)*$Q208</f>
        <v>0.67243460751313344</v>
      </c>
      <c r="Z208" s="41">
        <f>VLOOKUP(B208,'Player Data'!$A1:$AE734,14,FALSE)*$Q208</f>
        <v>2.3716845222008414</v>
      </c>
      <c r="AA208" s="41">
        <f>VLOOKUP(B208,'Player Data'!$A1:$AE734,15,FALSE)*$Q208</f>
        <v>31.07256870045212</v>
      </c>
      <c r="AB208" s="41">
        <f>VLOOKUP(B208,'Player Data'!$A1:$AE734,16,FALSE)*$Q208</f>
        <v>84.12583941008198</v>
      </c>
      <c r="AC208" s="41">
        <f>VLOOKUP(B208,'Player Data'!$A1:$AE734,17,FALSE)*$Q208*IFERROR((VLOOKUP(P208,Settings!$E$28:$F$33,2,FALSE)+1),1)</f>
        <v>5.5412143270358447</v>
      </c>
      <c r="AD208" s="41">
        <f>VLOOKUP(B208,'Player Data'!$A1:$AE734,18,FALSE)*$Q208</f>
        <v>35.720652057457237</v>
      </c>
      <c r="AE208" s="41">
        <f>VLOOKUP(B208,'Player Data'!$A1:$AE734,19,FALSE)*$Q208*IFERROR((VLOOKUP(P208,Settings!$E$28:$F$33,2,FALSE)+1),1)</f>
        <v>2.4498556839364665</v>
      </c>
      <c r="AF208" s="41">
        <f>VLOOKUP(B208,'Player Data'!$A1:$AE734,20,FALSE)*$Q208</f>
        <v>669.15496643963536</v>
      </c>
      <c r="AG208" s="41">
        <f>VLOOKUP(B208,'Player Data'!$A1:$AE734,21,FALSE)*$Q208</f>
        <v>644.67383599663435</v>
      </c>
      <c r="AH208" s="42">
        <f>VLOOKUP(B208,'Player Data'!$A1:$AE734,22,FALSE)</f>
        <v>0.50931671249618105</v>
      </c>
      <c r="AI208" s="39"/>
      <c r="AJ208" s="41"/>
      <c r="AK208" s="41"/>
      <c r="AL208" s="41"/>
      <c r="AM208" s="41"/>
      <c r="AN208" s="41"/>
      <c r="AO208" s="41"/>
      <c r="AP208" s="41"/>
      <c r="AQ208" s="44"/>
      <c r="AR208" s="45"/>
      <c r="AS208" s="39"/>
    </row>
    <row r="209" spans="1:45" ht="21.25" customHeight="1" x14ac:dyDescent="0.15">
      <c r="A209" s="31">
        <f>RANK(K209,K$2:K$727)</f>
        <v>208</v>
      </c>
      <c r="B209" s="8" t="s">
        <v>313</v>
      </c>
      <c r="C209" s="32" t="s">
        <v>106</v>
      </c>
      <c r="D209" s="33" t="str">
        <f>VLOOKUP(B209,'Player Data'!A1:D734,4,FALSE)</f>
        <v>LW</v>
      </c>
      <c r="E209" s="47">
        <f>VLOOKUP(B209,LW!A1:C130,3,FALSE)</f>
        <v>40</v>
      </c>
      <c r="F209" s="35" t="str">
        <f>VLOOKUP(B209,'Player Data'!A1:B734,2,FALSE)</f>
        <v>VAN</v>
      </c>
      <c r="G209" s="9">
        <f>VLOOKUP(B209,'Player Data'!A1:D734,3,FALSE)</f>
        <v>26</v>
      </c>
      <c r="H209" s="36">
        <f>IFERROR(VLOOKUP(B209,ADP!A1:G728,7,FALSE)/1000000,VLOOKUP(B209,ADP!A1:G728,7,FALSE))</f>
        <v>4.1500000000000004</v>
      </c>
      <c r="I209" s="37">
        <f>IF(Settings!$E$15="POINTS",((R209*Q209)*Settings!$B$12)+(S209*Settings!$B$2)+(T209*Settings!$B$3)+(U209*Settings!$B$4)+(V209*Settings!$B$5)+(X209*Settings!$B$9)+(AA209*Settings!$B$6)+(W209*Settings!$B$8)+(AB209*Settings!$B$7)+(AC209*Settings!$B$14)+(AD209*Settings!$B$15)+(AE209*Settings!$B$16)+(AF209*Settings!$B$17)+(AG209*Settings!$B$18)+(Y209*Settings!$B$10)+(Z209*Settings!$B$11),VLOOKUP(B209,'Standard Deviations'!A1:C728,3,FALSE))</f>
        <v>256.0617040371103</v>
      </c>
      <c r="J209" s="38">
        <f>IF(D209="G",I209/AJ209,I209/Q209)</f>
        <v>3.21081944524565</v>
      </c>
      <c r="K209" s="37">
        <f>IF(Settings!$E$18="C/LW/RW",VLOOKUP(B209,LW!A1:F130,6,FALSE),VLOOKUP(B209,F!A1:F430,6,FALSE))</f>
        <v>-107.97890082054016</v>
      </c>
      <c r="L209" s="37">
        <f>IFERROR(K209/H209,"N/A")</f>
        <v>-26.019012245913288</v>
      </c>
      <c r="M209" s="53" t="str">
        <f>IF(Settings!$E$9="YAHOO",VLOOKUP(B209,ADP!A1:E728,2,FALSE),IF(Settings!$E$9="ESPN",VLOOKUP(B209,ADP!A1:E728,3,FALSE),IF(Settings!$E$9="FANTRAX",VLOOKUP(B209,ADP!A1:E728,4,FALSE),VLOOKUP(B209,ADP!A1:E728,5,FALSE))))</f>
        <v>-</v>
      </c>
      <c r="N209" s="53" t="str">
        <f>IFERROR(M209-A209,"N/A")</f>
        <v>N/A</v>
      </c>
      <c r="O209" s="39"/>
      <c r="P209" s="40" t="str">
        <f>IF(Settings!$E$27="ON",VLOOKUP(B209,ADP!A1:H728,8,FALSE)," ")</f>
        <v xml:space="preserve"> </v>
      </c>
      <c r="Q209" s="41">
        <f>IF(Settings!$E$12="YES",VLOOKUP(B209,'Player Data'!A1:E734,5,FALSE),82)</f>
        <v>79.749642857142902</v>
      </c>
      <c r="R209" s="39">
        <f>VLOOKUP(B209,'Player Data'!$A1:$AE734,6,FALSE)</f>
        <v>17.043815998666201</v>
      </c>
      <c r="S209" s="41">
        <f>VLOOKUP(B209,'Player Data'!$A1:$AE734,7,FALSE)*$Q209*IFERROR((VLOOKUP(P209,Settings!$E$28:$F$33,2,FALSE)+1),1)</f>
        <v>19.601904281657571</v>
      </c>
      <c r="T209" s="41">
        <f>VLOOKUP(B209,'Player Data'!$A1:$AE734,8,FALSE)*$Q209*IFERROR((VLOOKUP(P209,Settings!$E$28:$F$33,2,FALSE)+1),1)</f>
        <v>25.497169852686969</v>
      </c>
      <c r="U209" s="41">
        <f>SUM(S209:T209)</f>
        <v>45.099074134344541</v>
      </c>
      <c r="V209" s="41">
        <f>VLOOKUP(B209,'Player Data'!$A1:$AE734,10,FALSE)*$Q209*IFERROR(((VLOOKUP(P209,Settings!$E$28:$F$33,2,FALSE)/2)+1),1)</f>
        <v>183.37453364487155</v>
      </c>
      <c r="W209" s="41">
        <f>VLOOKUP(B209,'Player Data'!$A1:$AE734,11,FALSE)*$Q209*IFERROR((VLOOKUP(P209,Settings!$E$28:$F$33,2,FALSE)+1),1)</f>
        <v>6.1585583279703746</v>
      </c>
      <c r="X209" s="41">
        <f>VLOOKUP(B209,'Player Data'!$A1:$AE734,12,FALSE)*$Q209*IFERROR((VLOOKUP(P209,Settings!$E$28:$F$33,2,FALSE)+1),1)</f>
        <v>11.702610164467279</v>
      </c>
      <c r="Y209" s="41">
        <f>VLOOKUP(B209,'Player Data'!$A1:$AE734,13,FALSE)*$Q209</f>
        <v>5.9150972615638578E-2</v>
      </c>
      <c r="Z209" s="41">
        <f>VLOOKUP(B209,'Player Data'!$A1:$AE734,14,FALSE)*$Q209</f>
        <v>0.10831194467307843</v>
      </c>
      <c r="AA209" s="41">
        <f>VLOOKUP(B209,'Player Data'!$A1:$AE734,15,FALSE)*$Q209</f>
        <v>27.276852966800995</v>
      </c>
      <c r="AB209" s="41">
        <f>VLOOKUP(B209,'Player Data'!$A1:$AE734,16,FALSE)*$Q209</f>
        <v>67.689069373133151</v>
      </c>
      <c r="AC209" s="41">
        <f>VLOOKUP(B209,'Player Data'!$A1:$AE734,17,FALSE)*$Q209*IFERROR((VLOOKUP(P209,Settings!$E$28:$F$33,2,FALSE)+1),1)</f>
        <v>-0.38019895827797351</v>
      </c>
      <c r="AD209" s="41">
        <f>VLOOKUP(B209,'Player Data'!$A1:$AE734,18,FALSE)*$Q209</f>
        <v>22.456528247969452</v>
      </c>
      <c r="AE209" s="41">
        <f>VLOOKUP(B209,'Player Data'!$A1:$AE734,19,FALSE)*$Q209*IFERROR((VLOOKUP(P209,Settings!$E$28:$F$33,2,FALSE)+1),1)</f>
        <v>2.7748386889411742</v>
      </c>
      <c r="AF209" s="41">
        <f>VLOOKUP(B209,'Player Data'!$A1:$AE734,20,FALSE)*$Q209</f>
        <v>3.8667437207750246</v>
      </c>
      <c r="AG209" s="41">
        <f>VLOOKUP(B209,'Player Data'!$A1:$AE734,21,FALSE)*$Q209</f>
        <v>8.9332804599300299</v>
      </c>
      <c r="AH209" s="42">
        <f>VLOOKUP(B209,'Player Data'!$A1:$AE734,22,FALSE)</f>
        <v>0.30208878250431898</v>
      </c>
      <c r="AI209" s="39"/>
      <c r="AJ209" s="43"/>
      <c r="AK209" s="41"/>
      <c r="AL209" s="41"/>
      <c r="AM209" s="41"/>
      <c r="AN209" s="41"/>
      <c r="AO209" s="41"/>
      <c r="AP209" s="41"/>
      <c r="AQ209" s="44"/>
      <c r="AR209" s="45"/>
      <c r="AS209" s="39"/>
    </row>
    <row r="210" spans="1:45" ht="21.25" customHeight="1" x14ac:dyDescent="0.15">
      <c r="A210" s="31">
        <f>RANK(K210,K$2:K$727)</f>
        <v>209</v>
      </c>
      <c r="B210" s="8" t="s">
        <v>314</v>
      </c>
      <c r="C210" s="32" t="s">
        <v>106</v>
      </c>
      <c r="D210" s="33" t="str">
        <f>VLOOKUP(B210,'Player Data'!A1:D734,4,FALSE)</f>
        <v>RW</v>
      </c>
      <c r="E210" s="46">
        <f>VLOOKUP(B210,RW!A1:F97,3,FALSE)</f>
        <v>35</v>
      </c>
      <c r="F210" s="35" t="str">
        <f>VLOOKUP(B210,'Player Data'!A1:B734,2,FALSE)</f>
        <v>CBJ</v>
      </c>
      <c r="G210" s="9">
        <f>VLOOKUP(B210,'Player Data'!A1:D734,3,FALSE)</f>
        <v>23</v>
      </c>
      <c r="H210" s="36">
        <f>IFERROR(VLOOKUP(B210,ADP!A1:G728,7,FALSE)/1000000,VLOOKUP(B210,ADP!A1:G728,7,FALSE))</f>
        <v>0.92500000000000004</v>
      </c>
      <c r="I210" s="37">
        <f>IF(Settings!$E$15="POINTS",((R210*Q210)*Settings!$B$12)+(S210*Settings!$B$2)+(T210*Settings!$B$3)+(U210*Settings!$B$4)+(V210*Settings!$B$5)+(X210*Settings!$B$9)+(AA210*Settings!$B$6)+(W210*Settings!$B$8)+(AB210*Settings!$B$7)+(AC210*Settings!$B$14)+(AD210*Settings!$B$15)+(AE210*Settings!$B$16)+(AF210*Settings!$B$17)+(AG210*Settings!$B$18)+(Y210*Settings!$B$10)+(Z210*Settings!$B$11),VLOOKUP(B210,'Standard Deviations'!A1:C728,3,FALSE))</f>
        <v>242.18344030909975</v>
      </c>
      <c r="J210" s="38">
        <f>IF(D210="G",I210/AJ210,I210/Q210)</f>
        <v>3.0914403919976992</v>
      </c>
      <c r="K210" s="37">
        <f>IF(Settings!$E$18="C/LW/RW",VLOOKUP(B210,RW!A1:F97,6,FALSE),VLOOKUP(B210,F!A1:F430,6,FALSE))</f>
        <v>-108.08810023878982</v>
      </c>
      <c r="L210" s="37">
        <f>IFERROR(K210/H210,"N/A")</f>
        <v>-116.85200025815115</v>
      </c>
      <c r="M210" s="39">
        <f>IF(Settings!$E$9="YAHOO",VLOOKUP(B210,ADP!A1:E728,2,FALSE),IF(Settings!$E$9="ESPN",VLOOKUP(B210,ADP!A1:E728,3,FALSE),IF(Settings!$E$9="FANTRAX",VLOOKUP(B210,ADP!A1:E728,4,FALSE),VLOOKUP(B210,ADP!A1:E728,5,FALSE))))</f>
        <v>170.1</v>
      </c>
      <c r="N210" s="39">
        <f>IFERROR(M210-A210,"N/A")</f>
        <v>-38.900000000000006</v>
      </c>
      <c r="O210" s="39"/>
      <c r="P210" s="40" t="str">
        <f>IF(Settings!$E$27="ON",VLOOKUP(B210,ADP!A1:H728,8,FALSE)," ")</f>
        <v xml:space="preserve"> </v>
      </c>
      <c r="Q210" s="41">
        <f>IF(Settings!$E$12="YES",VLOOKUP(B210,'Player Data'!A1:E734,5,FALSE),82)</f>
        <v>78.34</v>
      </c>
      <c r="R210" s="39">
        <f>VLOOKUP(B210,'Player Data'!$A1:$AE734,6,FALSE)</f>
        <v>16.1156868027497</v>
      </c>
      <c r="S210" s="41">
        <f>VLOOKUP(B210,'Player Data'!$A1:$AE734,7,FALSE)*$Q210*IFERROR((VLOOKUP(P210,Settings!$E$28:$F$33,2,FALSE)+1),1)</f>
        <v>26.488495481749855</v>
      </c>
      <c r="T210" s="41">
        <f>VLOOKUP(B210,'Player Data'!$A1:$AE734,8,FALSE)*$Q210*IFERROR((VLOOKUP(P210,Settings!$E$28:$F$33,2,FALSE)+1),1)</f>
        <v>13.399154881213017</v>
      </c>
      <c r="U210" s="41">
        <f>SUM(S210:T210)</f>
        <v>39.887650362962873</v>
      </c>
      <c r="V210" s="41">
        <f>VLOOKUP(B210,'Player Data'!$A1:$AE734,10,FALSE)*$Q210*IFERROR(((VLOOKUP(P210,Settings!$E$28:$F$33,2,FALSE)/2)+1),1)</f>
        <v>172.60290601638064</v>
      </c>
      <c r="W210" s="41">
        <f>VLOOKUP(B210,'Player Data'!$A1:$AE734,11,FALSE)*$Q210*IFERROR((VLOOKUP(P210,Settings!$E$28:$F$33,2,FALSE)+1),1)</f>
        <v>8.8358566536801639</v>
      </c>
      <c r="X210" s="41">
        <f>VLOOKUP(B210,'Player Data'!$A1:$AE734,12,FALSE)*$Q210*IFERROR((VLOOKUP(P210,Settings!$E$28:$F$33,2,FALSE)+1),1)</f>
        <v>13.166387295422179</v>
      </c>
      <c r="Y210" s="41">
        <f>VLOOKUP(B210,'Player Data'!$A1:$AE734,13,FALSE)*$Q210</f>
        <v>3.303915531907297E-2</v>
      </c>
      <c r="Z210" s="41">
        <f>VLOOKUP(B210,'Player Data'!$A1:$AE734,14,FALSE)*$Q210</f>
        <v>6.1349709435460198E-2</v>
      </c>
      <c r="AA210" s="41">
        <f>VLOOKUP(B210,'Player Data'!$A1:$AE734,15,FALSE)*$Q210</f>
        <v>48.817811011527503</v>
      </c>
      <c r="AB210" s="41">
        <f>VLOOKUP(B210,'Player Data'!$A1:$AE734,16,FALSE)*$Q210</f>
        <v>54.717009804752067</v>
      </c>
      <c r="AC210" s="41">
        <f>VLOOKUP(B210,'Player Data'!$A1:$AE734,17,FALSE)*$Q210*IFERROR((VLOOKUP(P210,Settings!$E$28:$F$33,2,FALSE)+1),1)</f>
        <v>-5.7962902324899854</v>
      </c>
      <c r="AD210" s="41">
        <f>VLOOKUP(B210,'Player Data'!$A1:$AE734,18,FALSE)*$Q210</f>
        <v>25.098203440377155</v>
      </c>
      <c r="AE210" s="41">
        <f>VLOOKUP(B210,'Player Data'!$A1:$AE734,19,FALSE)*$Q210*IFERROR((VLOOKUP(P210,Settings!$E$28:$F$33,2,FALSE)+1),1)</f>
        <v>2.8384246691212898</v>
      </c>
      <c r="AF210" s="41">
        <f>VLOOKUP(B210,'Player Data'!$A1:$AE734,20,FALSE)*$Q210</f>
        <v>11.895815548171266</v>
      </c>
      <c r="AG210" s="41">
        <f>VLOOKUP(B210,'Player Data'!$A1:$AE734,21,FALSE)*$Q210</f>
        <v>9.2523009819109845</v>
      </c>
      <c r="AH210" s="42">
        <f>VLOOKUP(B210,'Player Data'!$A1:$AE734,22,FALSE)</f>
        <v>0.5625</v>
      </c>
      <c r="AI210" s="39"/>
      <c r="AJ210" s="43"/>
      <c r="AK210" s="41"/>
      <c r="AL210" s="41"/>
      <c r="AM210" s="41"/>
      <c r="AN210" s="41"/>
      <c r="AO210" s="41"/>
      <c r="AP210" s="41"/>
      <c r="AQ210" s="44"/>
      <c r="AR210" s="45"/>
      <c r="AS210" s="39"/>
    </row>
    <row r="211" spans="1:45" ht="21.25" customHeight="1" x14ac:dyDescent="0.15">
      <c r="A211" s="31">
        <f>RANK(K211,K$2:K$727)</f>
        <v>210</v>
      </c>
      <c r="B211" s="8" t="s">
        <v>315</v>
      </c>
      <c r="C211" s="32" t="s">
        <v>106</v>
      </c>
      <c r="D211" s="33" t="str">
        <f>VLOOKUP(B211,'Player Data'!A1:D734,4,FALSE)</f>
        <v>C</v>
      </c>
      <c r="E211" s="34">
        <f>VLOOKUP(B211,'C'!A1:C211,3,FALSE)</f>
        <v>55</v>
      </c>
      <c r="F211" s="35" t="str">
        <f>VLOOKUP(B211,'Player Data'!A1:B734,2,FALSE)</f>
        <v>FLA</v>
      </c>
      <c r="G211" s="9">
        <f>VLOOKUP(B211,'Player Data'!A1:D734,3,FALSE)</f>
        <v>27</v>
      </c>
      <c r="H211" s="36">
        <f>IFERROR(VLOOKUP(B211,ADP!A1:G728,7,FALSE)/1000000,VLOOKUP(B211,ADP!A1:G728,7,FALSE))</f>
        <v>4.4249999999999998</v>
      </c>
      <c r="I211" s="37">
        <f>IF(Settings!$E$15="POINTS",((R211*Q211)*Settings!$B$12)+(S211*Settings!$B$2)+(T211*Settings!$B$3)+(U211*Settings!$B$4)+(V211*Settings!$B$5)+(X211*Settings!$B$9)+(AA211*Settings!$B$6)+(W211*Settings!$B$8)+(AB211*Settings!$B$7)+(AC211*Settings!$B$14)+(AD211*Settings!$B$15)+(AE211*Settings!$B$16)+(AF211*Settings!$B$17)+(AG211*Settings!$B$18)+(Y211*Settings!$B$10)+(Z211*Settings!$B$11),VLOOKUP(B211,'Standard Deviations'!A1:C728,3,FALSE))</f>
        <v>284.80051239805437</v>
      </c>
      <c r="J211" s="38">
        <f>IF(D211="G",I211/AJ211,I211/Q211)</f>
        <v>3.7486787450267127</v>
      </c>
      <c r="K211" s="37">
        <f>IF(Settings!$E$18="C/LW/RW",VLOOKUP(B211,'C'!A1:F211,6,FALSE),VLOOKUP(B211,F!A1:F430,6,FALSE))</f>
        <v>-108.52829336815529</v>
      </c>
      <c r="L211" s="37">
        <f>IFERROR(K211/H211,"N/A")</f>
        <v>-24.526167992803455</v>
      </c>
      <c r="M211" s="39">
        <f>IF(Settings!$E$9="YAHOO",VLOOKUP(B211,ADP!A1:E728,2,FALSE),IF(Settings!$E$9="ESPN",VLOOKUP(B211,ADP!A1:E728,3,FALSE),IF(Settings!$E$9="FANTRAX",VLOOKUP(B211,ADP!A1:E728,4,FALSE),VLOOKUP(B211,ADP!A1:E728,5,FALSE))))</f>
        <v>150.9</v>
      </c>
      <c r="N211" s="39">
        <f>IFERROR(M211-A211,"N/A")</f>
        <v>-59.099999999999994</v>
      </c>
      <c r="O211" s="39"/>
      <c r="P211" s="40" t="str">
        <f>IF(Settings!$E$27="ON",VLOOKUP(B211,ADP!A1:H728,8,FALSE)," ")</f>
        <v xml:space="preserve"> </v>
      </c>
      <c r="Q211" s="41">
        <f>IF(Settings!$E$12="YES",VLOOKUP(B211,'Player Data'!A1:E734,5,FALSE),82)</f>
        <v>75.973571428571404</v>
      </c>
      <c r="R211" s="39">
        <f>VLOOKUP(B211,'Player Data'!$A1:$AE734,6,FALSE)</f>
        <v>17.091159722947499</v>
      </c>
      <c r="S211" s="41">
        <f>VLOOKUP(B211,'Player Data'!$A1:$AE734,7,FALSE)*$Q211*IFERROR((VLOOKUP(P211,Settings!$E$28:$F$33,2,FALSE)+1),1)</f>
        <v>22.078728867786218</v>
      </c>
      <c r="T211" s="41">
        <f>VLOOKUP(B211,'Player Data'!$A1:$AE734,8,FALSE)*$Q211*IFERROR((VLOOKUP(P211,Settings!$E$28:$F$33,2,FALSE)+1),1)</f>
        <v>26.884079523528474</v>
      </c>
      <c r="U211" s="41">
        <f>SUM(S211:T211)</f>
        <v>48.962808391314695</v>
      </c>
      <c r="V211" s="41">
        <f>VLOOKUP(B211,'Player Data'!$A1:$AE734,10,FALSE)*$Q211*IFERROR(((VLOOKUP(P211,Settings!$E$28:$F$33,2,FALSE)/2)+1),1)</f>
        <v>222.93286303570602</v>
      </c>
      <c r="W211" s="41">
        <f>VLOOKUP(B211,'Player Data'!$A1:$AE734,11,FALSE)*$Q211*IFERROR((VLOOKUP(P211,Settings!$E$28:$F$33,2,FALSE)+1),1)</f>
        <v>4.0647931291327666</v>
      </c>
      <c r="X211" s="41">
        <f>VLOOKUP(B211,'Player Data'!$A1:$AE734,12,FALSE)*$Q211*IFERROR((VLOOKUP(P211,Settings!$E$28:$F$33,2,FALSE)+1),1)</f>
        <v>8.8888027287055653</v>
      </c>
      <c r="Y211" s="41">
        <f>VLOOKUP(B211,'Player Data'!$A1:$AE734,13,FALSE)*$Q211</f>
        <v>0.11833365459781052</v>
      </c>
      <c r="Z211" s="41">
        <f>VLOOKUP(B211,'Player Data'!$A1:$AE734,14,FALSE)*$Q211</f>
        <v>0.5379850968208667</v>
      </c>
      <c r="AA211" s="41">
        <f>VLOOKUP(B211,'Player Data'!$A1:$AE734,15,FALSE)*$Q211</f>
        <v>37.960400276021979</v>
      </c>
      <c r="AB211" s="41">
        <f>VLOOKUP(B211,'Player Data'!$A1:$AE734,16,FALSE)*$Q211</f>
        <v>153.5032229238814</v>
      </c>
      <c r="AC211" s="41">
        <f>VLOOKUP(B211,'Player Data'!$A1:$AE734,17,FALSE)*$Q211*IFERROR((VLOOKUP(P211,Settings!$E$28:$F$33,2,FALSE)+1),1)</f>
        <v>4.9761568554170426</v>
      </c>
      <c r="AD211" s="41">
        <f>VLOOKUP(B211,'Player Data'!$A1:$AE734,18,FALSE)*$Q211</f>
        <v>62.21044252188959</v>
      </c>
      <c r="AE211" s="41">
        <f>VLOOKUP(B211,'Player Data'!$A1:$AE734,19,FALSE)*$Q211*IFERROR((VLOOKUP(P211,Settings!$E$28:$F$33,2,FALSE)+1),1)</f>
        <v>3.1672440172838554</v>
      </c>
      <c r="AF211" s="41">
        <f>VLOOKUP(B211,'Player Data'!$A1:$AE734,20,FALSE)*$Q211</f>
        <v>467.11428248041176</v>
      </c>
      <c r="AG211" s="41">
        <f>VLOOKUP(B211,'Player Data'!$A1:$AE734,21,FALSE)*$Q211</f>
        <v>527.03990605634897</v>
      </c>
      <c r="AH211" s="42">
        <f>VLOOKUP(B211,'Player Data'!$A1:$AE734,22,FALSE)</f>
        <v>0.46986100130798703</v>
      </c>
      <c r="AI211" s="39"/>
      <c r="AJ211" s="41"/>
      <c r="AK211" s="41"/>
      <c r="AL211" s="41"/>
      <c r="AM211" s="41"/>
      <c r="AN211" s="41"/>
      <c r="AO211" s="41"/>
      <c r="AP211" s="41"/>
      <c r="AQ211" s="44"/>
      <c r="AR211" s="45"/>
      <c r="AS211" s="39"/>
    </row>
    <row r="212" spans="1:45" ht="21.25" customHeight="1" x14ac:dyDescent="0.15">
      <c r="A212" s="31">
        <f>RANK(K212,K$2:K$727)</f>
        <v>211</v>
      </c>
      <c r="B212" s="8" t="s">
        <v>316</v>
      </c>
      <c r="C212" s="32" t="s">
        <v>106</v>
      </c>
      <c r="D212" s="33" t="str">
        <f>VLOOKUP(B212,'Player Data'!A1:D734,4,FALSE)</f>
        <v>C</v>
      </c>
      <c r="E212" s="34">
        <f>VLOOKUP(B212,'C'!A1:C211,3,FALSE)</f>
        <v>56</v>
      </c>
      <c r="F212" s="35" t="str">
        <f>VLOOKUP(B212,'Player Data'!A1:B734,2,FALSE)</f>
        <v>NSH</v>
      </c>
      <c r="G212" s="9">
        <f>VLOOKUP(B212,'Player Data'!A1:D734,3,FALSE)</f>
        <v>26</v>
      </c>
      <c r="H212" s="36">
        <f>IFERROR(VLOOKUP(B212,ADP!A1:G728,7,FALSE)/1000000,VLOOKUP(B212,ADP!A1:G728,7,FALSE))</f>
        <v>0.8</v>
      </c>
      <c r="I212" s="37">
        <f>IF(Settings!$E$15="POINTS",((R212*Q212)*Settings!$B$12)+(S212*Settings!$B$2)+(T212*Settings!$B$3)+(U212*Settings!$B$4)+(V212*Settings!$B$5)+(X212*Settings!$B$9)+(AA212*Settings!$B$6)+(W212*Settings!$B$8)+(AB212*Settings!$B$7)+(AC212*Settings!$B$14)+(AD212*Settings!$B$15)+(AE212*Settings!$B$16)+(AF212*Settings!$B$17)+(AG212*Settings!$B$18)+(Y212*Settings!$B$10)+(Z212*Settings!$B$11),VLOOKUP(B212,'Standard Deviations'!A1:C728,3,FALSE))</f>
        <v>282.66340092358456</v>
      </c>
      <c r="J212" s="38">
        <f>IF(D212="G",I212/AJ212,I212/Q212)</f>
        <v>3.8151356583018563</v>
      </c>
      <c r="K212" s="37">
        <f>IF(Settings!$E$18="C/LW/RW",VLOOKUP(B212,'C'!A1:F211,6,FALSE),VLOOKUP(B212,F!A1:F430,6,FALSE))</f>
        <v>-110.66540484262509</v>
      </c>
      <c r="L212" s="37">
        <f>IFERROR(K212/H212,"N/A")</f>
        <v>-138.33175605328137</v>
      </c>
      <c r="M212" s="53" t="str">
        <f>IF(Settings!$E$9="YAHOO",VLOOKUP(B212,ADP!A1:E728,2,FALSE),IF(Settings!$E$9="ESPN",VLOOKUP(B212,ADP!A1:E728,3,FALSE),IF(Settings!$E$9="FANTRAX",VLOOKUP(B212,ADP!A1:E728,4,FALSE),VLOOKUP(B212,ADP!A1:E728,5,FALSE))))</f>
        <v>-</v>
      </c>
      <c r="N212" s="53" t="str">
        <f>IFERROR(M212-A212,"N/A")</f>
        <v>N/A</v>
      </c>
      <c r="O212" s="39"/>
      <c r="P212" s="40" t="str">
        <f>IF(Settings!$E$27="ON",VLOOKUP(B212,ADP!A1:H728,8,FALSE)," ")</f>
        <v xml:space="preserve"> </v>
      </c>
      <c r="Q212" s="41">
        <f>IF(Settings!$E$12="YES",VLOOKUP(B212,'Player Data'!A1:E734,5,FALSE),82)</f>
        <v>74.09</v>
      </c>
      <c r="R212" s="39">
        <f>VLOOKUP(B212,'Player Data'!$A1:$AE734,6,FALSE)</f>
        <v>15.7015269812066</v>
      </c>
      <c r="S212" s="41">
        <f>VLOOKUP(B212,'Player Data'!$A1:$AE734,7,FALSE)*$Q212*IFERROR((VLOOKUP(P212,Settings!$E$28:$F$33,2,FALSE)+1),1)</f>
        <v>21.194999581595638</v>
      </c>
      <c r="T212" s="41">
        <f>VLOOKUP(B212,'Player Data'!$A1:$AE734,8,FALSE)*$Q212*IFERROR((VLOOKUP(P212,Settings!$E$28:$F$33,2,FALSE)+1),1)</f>
        <v>34.427593922605247</v>
      </c>
      <c r="U212" s="41">
        <f>SUM(S212:T212)</f>
        <v>55.622593504200886</v>
      </c>
      <c r="V212" s="41">
        <f>VLOOKUP(B212,'Player Data'!$A1:$AE734,10,FALSE)*$Q212*IFERROR(((VLOOKUP(P212,Settings!$E$28:$F$33,2,FALSE)/2)+1),1)</f>
        <v>142.85124803099009</v>
      </c>
      <c r="W212" s="41">
        <f>VLOOKUP(B212,'Player Data'!$A1:$AE734,11,FALSE)*$Q212*IFERROR((VLOOKUP(P212,Settings!$E$28:$F$33,2,FALSE)+1),1)</f>
        <v>7.3288614785727368</v>
      </c>
      <c r="X212" s="41">
        <f>VLOOKUP(B212,'Player Data'!$A1:$AE734,12,FALSE)*$Q212*IFERROR((VLOOKUP(P212,Settings!$E$28:$F$33,2,FALSE)+1),1)</f>
        <v>18.821859388415525</v>
      </c>
      <c r="Y212" s="41">
        <f>VLOOKUP(B212,'Player Data'!$A1:$AE734,13,FALSE)*$Q212</f>
        <v>5.587611760006746E-3</v>
      </c>
      <c r="Z212" s="41">
        <f>VLOOKUP(B212,'Player Data'!$A1:$AE734,14,FALSE)*$Q212</f>
        <v>1.0198756690264512E-2</v>
      </c>
      <c r="AA212" s="41">
        <f>VLOOKUP(B212,'Player Data'!$A1:$AE734,15,FALSE)*$Q212</f>
        <v>33.529400526376236</v>
      </c>
      <c r="AB212" s="41">
        <f>VLOOKUP(B212,'Player Data'!$A1:$AE734,16,FALSE)*$Q212</f>
        <v>29.595877230416818</v>
      </c>
      <c r="AC212" s="41">
        <f>VLOOKUP(B212,'Player Data'!$A1:$AE734,17,FALSE)*$Q212*IFERROR((VLOOKUP(P212,Settings!$E$28:$F$33,2,FALSE)+1),1)</f>
        <v>-1.2433761432456605</v>
      </c>
      <c r="AD212" s="41">
        <f>VLOOKUP(B212,'Player Data'!$A1:$AE734,18,FALSE)*$Q212</f>
        <v>17.821429112695487</v>
      </c>
      <c r="AE212" s="41">
        <f>VLOOKUP(B212,'Player Data'!$A1:$AE734,19,FALSE)*$Q212*IFERROR((VLOOKUP(P212,Settings!$E$28:$F$33,2,FALSE)+1),1)</f>
        <v>3.0950242745706369</v>
      </c>
      <c r="AF212" s="41">
        <f>VLOOKUP(B212,'Player Data'!$A1:$AE734,20,FALSE)*$Q212</f>
        <v>273.77289110775581</v>
      </c>
      <c r="AG212" s="41">
        <f>VLOOKUP(B212,'Player Data'!$A1:$AE734,21,FALSE)*$Q212</f>
        <v>343.07940483030052</v>
      </c>
      <c r="AH212" s="42">
        <f>VLOOKUP(B212,'Player Data'!$A1:$AE734,22,FALSE)</f>
        <v>0.44382244000798499</v>
      </c>
      <c r="AI212" s="39"/>
      <c r="AJ212" s="43"/>
      <c r="AK212" s="41"/>
      <c r="AL212" s="41"/>
      <c r="AM212" s="41"/>
      <c r="AN212" s="41"/>
      <c r="AO212" s="41"/>
      <c r="AP212" s="41"/>
      <c r="AQ212" s="44"/>
      <c r="AR212" s="45"/>
      <c r="AS212" s="39"/>
    </row>
    <row r="213" spans="1:45" ht="21.25" customHeight="1" x14ac:dyDescent="0.15">
      <c r="A213" s="31">
        <f>RANK(K213,K$2:K$727)</f>
        <v>212</v>
      </c>
      <c r="B213" s="8" t="s">
        <v>317</v>
      </c>
      <c r="C213" s="32" t="s">
        <v>106</v>
      </c>
      <c r="D213" s="33" t="str">
        <f>VLOOKUP(B213,'Player Data'!A1:D734,4,FALSE)</f>
        <v>RW</v>
      </c>
      <c r="E213" s="46">
        <f>VLOOKUP(B213,RW!A1:F97,3,FALSE)</f>
        <v>36</v>
      </c>
      <c r="F213" s="35" t="str">
        <f>VLOOKUP(B213,'Player Data'!A1:B734,2,FALSE)</f>
        <v>WPG</v>
      </c>
      <c r="G213" s="9">
        <f>VLOOKUP(B213,'Player Data'!A1:D734,3,FALSE)</f>
        <v>30</v>
      </c>
      <c r="H213" s="36">
        <f>IFERROR(VLOOKUP(B213,ADP!A1:G728,7,FALSE)/1000000,VLOOKUP(B213,ADP!A1:G728,7,FALSE))</f>
        <v>4</v>
      </c>
      <c r="I213" s="37">
        <f>IF(Settings!$E$15="POINTS",((R213*Q213)*Settings!$B$12)+(S213*Settings!$B$2)+(T213*Settings!$B$3)+(U213*Settings!$B$4)+(V213*Settings!$B$5)+(X213*Settings!$B$9)+(AA213*Settings!$B$6)+(W213*Settings!$B$8)+(AB213*Settings!$B$7)+(AC213*Settings!$B$14)+(AD213*Settings!$B$15)+(AE213*Settings!$B$16)+(AF213*Settings!$B$17)+(AG213*Settings!$B$18)+(Y213*Settings!$B$10)+(Z213*Settings!$B$11),VLOOKUP(B213,'Standard Deviations'!A1:C728,3,FALSE))</f>
        <v>239.42784451887565</v>
      </c>
      <c r="J213" s="38">
        <f>IF(D213="G",I213/AJ213,I213/Q213)</f>
        <v>3.0078874939557245</v>
      </c>
      <c r="K213" s="37">
        <f>IF(Settings!$E$18="C/LW/RW",VLOOKUP(B213,RW!A1:F97,6,FALSE),VLOOKUP(B213,F!A1:F430,6,FALSE))</f>
        <v>-110.84369602901393</v>
      </c>
      <c r="L213" s="37">
        <f>IFERROR(K213/H213,"N/A")</f>
        <v>-27.710924007253482</v>
      </c>
      <c r="M213" s="39">
        <f>IF(Settings!$E$9="YAHOO",VLOOKUP(B213,ADP!A1:E728,2,FALSE),IF(Settings!$E$9="ESPN",VLOOKUP(B213,ADP!A1:E728,3,FALSE),IF(Settings!$E$9="FANTRAX",VLOOKUP(B213,ADP!A1:E728,4,FALSE),VLOOKUP(B213,ADP!A1:E728,5,FALSE))))</f>
        <v>180</v>
      </c>
      <c r="N213" s="39">
        <f>IFERROR(M213-A213,"N/A")</f>
        <v>-32</v>
      </c>
      <c r="O213" s="39"/>
      <c r="P213" s="40" t="str">
        <f>IF(Settings!$E$27="ON",VLOOKUP(B213,ADP!A1:H728,8,FALSE)," ")</f>
        <v xml:space="preserve"> </v>
      </c>
      <c r="Q213" s="41">
        <f>IF(Settings!$E$12="YES",VLOOKUP(B213,'Player Data'!A1:E734,5,FALSE),82)</f>
        <v>79.599999999999994</v>
      </c>
      <c r="R213" s="39">
        <f>VLOOKUP(B213,'Player Data'!$A1:$AE734,6,FALSE)</f>
        <v>15.9395245149761</v>
      </c>
      <c r="S213" s="41">
        <f>VLOOKUP(B213,'Player Data'!$A1:$AE734,7,FALSE)*$Q213*IFERROR((VLOOKUP(P213,Settings!$E$28:$F$33,2,FALSE)+1),1)</f>
        <v>23.906923130042113</v>
      </c>
      <c r="T213" s="41">
        <f>VLOOKUP(B213,'Player Data'!$A1:$AE734,8,FALSE)*$Q213*IFERROR((VLOOKUP(P213,Settings!$E$28:$F$33,2,FALSE)+1),1)</f>
        <v>20.049650745841085</v>
      </c>
      <c r="U213" s="41">
        <f>SUM(S213:T213)</f>
        <v>43.956573875883194</v>
      </c>
      <c r="V213" s="41">
        <f>VLOOKUP(B213,'Player Data'!$A1:$AE734,10,FALSE)*$Q213*IFERROR(((VLOOKUP(P213,Settings!$E$28:$F$33,2,FALSE)/2)+1),1)</f>
        <v>176.5690439578662</v>
      </c>
      <c r="W213" s="41">
        <f>VLOOKUP(B213,'Player Data'!$A1:$AE734,11,FALSE)*$Q213*IFERROR((VLOOKUP(P213,Settings!$E$28:$F$33,2,FALSE)+1),1)</f>
        <v>3.7897033070815587</v>
      </c>
      <c r="X213" s="41">
        <f>VLOOKUP(B213,'Player Data'!$A1:$AE734,12,FALSE)*$Q213*IFERROR((VLOOKUP(P213,Settings!$E$28:$F$33,2,FALSE)+1),1)</f>
        <v>6.6337515393235229</v>
      </c>
      <c r="Y213" s="41">
        <f>VLOOKUP(B213,'Player Data'!$A1:$AE734,13,FALSE)*$Q213</f>
        <v>9.6844863431582561E-3</v>
      </c>
      <c r="Z213" s="41">
        <f>VLOOKUP(B213,'Player Data'!$A1:$AE734,14,FALSE)*$Q213</f>
        <v>1.7661153340887463E-2</v>
      </c>
      <c r="AA213" s="41">
        <f>VLOOKUP(B213,'Player Data'!$A1:$AE734,15,FALSE)*$Q213</f>
        <v>29.853877634820606</v>
      </c>
      <c r="AB213" s="41">
        <f>VLOOKUP(B213,'Player Data'!$A1:$AE734,16,FALSE)*$Q213</f>
        <v>145.25182724231914</v>
      </c>
      <c r="AC213" s="41">
        <f>VLOOKUP(B213,'Player Data'!$A1:$AE734,17,FALSE)*$Q213*IFERROR((VLOOKUP(P213,Settings!$E$28:$F$33,2,FALSE)+1),1)</f>
        <v>4.2489965390471127</v>
      </c>
      <c r="AD213" s="41">
        <f>VLOOKUP(B213,'Player Data'!$A1:$AE734,18,FALSE)*$Q213</f>
        <v>28.370428806257294</v>
      </c>
      <c r="AE213" s="41">
        <f>VLOOKUP(B213,'Player Data'!$A1:$AE734,19,FALSE)*$Q213*IFERROR((VLOOKUP(P213,Settings!$E$28:$F$33,2,FALSE)+1),1)</f>
        <v>3.7295600291097988</v>
      </c>
      <c r="AF213" s="41">
        <f>VLOOKUP(B213,'Player Data'!$A1:$AE734,20,FALSE)*$Q213</f>
        <v>8.1685274748989922</v>
      </c>
      <c r="AG213" s="41">
        <f>VLOOKUP(B213,'Player Data'!$A1:$AE734,21,FALSE)*$Q213</f>
        <v>8.7965098824100281</v>
      </c>
      <c r="AH213" s="42">
        <f>VLOOKUP(B213,'Player Data'!$A1:$AE734,22,FALSE)</f>
        <v>0.48149186487819501</v>
      </c>
      <c r="AI213" s="39"/>
      <c r="AJ213" s="43"/>
      <c r="AK213" s="41"/>
      <c r="AL213" s="41"/>
      <c r="AM213" s="41"/>
      <c r="AN213" s="41"/>
      <c r="AO213" s="41"/>
      <c r="AP213" s="41"/>
      <c r="AQ213" s="44"/>
      <c r="AR213" s="45"/>
      <c r="AS213" s="39"/>
    </row>
    <row r="214" spans="1:45" ht="21.25" customHeight="1" x14ac:dyDescent="0.15">
      <c r="A214" s="31">
        <f>RANK(K214,K$2:K$727)</f>
        <v>213</v>
      </c>
      <c r="B214" s="8" t="s">
        <v>318</v>
      </c>
      <c r="C214" s="32" t="s">
        <v>106</v>
      </c>
      <c r="D214" s="33" t="str">
        <f>VLOOKUP(B214,'Player Data'!A1:D734,4,FALSE)</f>
        <v>RW</v>
      </c>
      <c r="E214" s="46">
        <f>VLOOKUP(B214,RW!A1:F97,3,FALSE)</f>
        <v>37</v>
      </c>
      <c r="F214" s="35" t="str">
        <f>VLOOKUP(B214,'Player Data'!A1:B734,2,FALSE)</f>
        <v>CBJ</v>
      </c>
      <c r="G214" s="9">
        <f>VLOOKUP(B214,'Player Data'!A1:D734,3,FALSE)</f>
        <v>26</v>
      </c>
      <c r="H214" s="36">
        <f>IFERROR(VLOOKUP(B214,ADP!A1:G728,7,FALSE)/1000000,VLOOKUP(B214,ADP!A1:G728,7,FALSE))</f>
        <v>4</v>
      </c>
      <c r="I214" s="37">
        <f>IF(Settings!$E$15="POINTS",((R214*Q214)*Settings!$B$12)+(S214*Settings!$B$2)+(T214*Settings!$B$3)+(U214*Settings!$B$4)+(V214*Settings!$B$5)+(X214*Settings!$B$9)+(AA214*Settings!$B$6)+(W214*Settings!$B$8)+(AB214*Settings!$B$7)+(AC214*Settings!$B$14)+(AD214*Settings!$B$15)+(AE214*Settings!$B$16)+(AF214*Settings!$B$17)+(AG214*Settings!$B$18)+(Y214*Settings!$B$10)+(Z214*Settings!$B$11),VLOOKUP(B214,'Standard Deviations'!A1:C728,3,FALSE))</f>
        <v>239.09325561043323</v>
      </c>
      <c r="J214" s="38">
        <f>IF(D214="G",I214/AJ214,I214/Q214)</f>
        <v>2.9760176202443769</v>
      </c>
      <c r="K214" s="37">
        <f>IF(Settings!$E$18="C/LW/RW",VLOOKUP(B214,RW!A1:F97,6,FALSE),VLOOKUP(B214,F!A1:F430,6,FALSE))</f>
        <v>-111.17828493745634</v>
      </c>
      <c r="L214" s="37">
        <f>IFERROR(K214/H214,"N/A")</f>
        <v>-27.794571234364085</v>
      </c>
      <c r="M214" s="53" t="str">
        <f>IF(Settings!$E$9="YAHOO",VLOOKUP(B214,ADP!A1:E728,2,FALSE),IF(Settings!$E$9="ESPN",VLOOKUP(B214,ADP!A1:E728,3,FALSE),IF(Settings!$E$9="FANTRAX",VLOOKUP(B214,ADP!A1:E728,4,FALSE),VLOOKUP(B214,ADP!A1:E728,5,FALSE))))</f>
        <v>-</v>
      </c>
      <c r="N214" s="53" t="str">
        <f>IFERROR(M214-A214,"N/A")</f>
        <v>N/A</v>
      </c>
      <c r="O214" s="39"/>
      <c r="P214" s="40" t="str">
        <f>IF(Settings!$E$27="ON",VLOOKUP(B214,ADP!A1:H728,8,FALSE)," ")</f>
        <v xml:space="preserve"> </v>
      </c>
      <c r="Q214" s="41">
        <f>IF(Settings!$E$12="YES",VLOOKUP(B214,'Player Data'!A1:E734,5,FALSE),82)</f>
        <v>80.34</v>
      </c>
      <c r="R214" s="39">
        <f>VLOOKUP(B214,'Player Data'!$A1:$AE734,6,FALSE)</f>
        <v>16.156866720063999</v>
      </c>
      <c r="S214" s="41">
        <f>VLOOKUP(B214,'Player Data'!$A1:$AE734,7,FALSE)*$Q214*IFERROR((VLOOKUP(P214,Settings!$E$28:$F$33,2,FALSE)+1),1)</f>
        <v>16.771395981850823</v>
      </c>
      <c r="T214" s="41">
        <f>VLOOKUP(B214,'Player Data'!$A1:$AE734,8,FALSE)*$Q214*IFERROR((VLOOKUP(P214,Settings!$E$28:$F$33,2,FALSE)+1),1)</f>
        <v>29.955679794738192</v>
      </c>
      <c r="U214" s="41">
        <f>SUM(S214:T214)</f>
        <v>46.727075776589018</v>
      </c>
      <c r="V214" s="41">
        <f>VLOOKUP(B214,'Player Data'!$A1:$AE734,10,FALSE)*$Q214*IFERROR(((VLOOKUP(P214,Settings!$E$28:$F$33,2,FALSE)/2)+1),1)</f>
        <v>132.48127807324983</v>
      </c>
      <c r="W214" s="41">
        <f>VLOOKUP(B214,'Player Data'!$A1:$AE734,11,FALSE)*$Q214*IFERROR((VLOOKUP(P214,Settings!$E$28:$F$33,2,FALSE)+1),1)</f>
        <v>3.2012080843005029</v>
      </c>
      <c r="X214" s="41">
        <f>VLOOKUP(B214,'Player Data'!$A1:$AE734,12,FALSE)*$Q214*IFERROR((VLOOKUP(P214,Settings!$E$28:$F$33,2,FALSE)+1),1)</f>
        <v>9.0796324134618729</v>
      </c>
      <c r="Y214" s="41">
        <f>VLOOKUP(B214,'Player Data'!$A1:$AE734,13,FALSE)*$Q214</f>
        <v>1.6195761233789605</v>
      </c>
      <c r="Z214" s="41">
        <f>VLOOKUP(B214,'Player Data'!$A1:$AE734,14,FALSE)*$Q214</f>
        <v>2.4810744943515153</v>
      </c>
      <c r="AA214" s="41">
        <f>VLOOKUP(B214,'Player Data'!$A1:$AE734,15,FALSE)*$Q214</f>
        <v>47.749877142072521</v>
      </c>
      <c r="AB214" s="41">
        <f>VLOOKUP(B214,'Player Data'!$A1:$AE734,16,FALSE)*$Q214</f>
        <v>54.232088907411701</v>
      </c>
      <c r="AC214" s="41">
        <f>VLOOKUP(B214,'Player Data'!$A1:$AE734,17,FALSE)*$Q214*IFERROR((VLOOKUP(P214,Settings!$E$28:$F$33,2,FALSE)+1),1)</f>
        <v>-5.5645024534314134</v>
      </c>
      <c r="AD214" s="41">
        <f>VLOOKUP(B214,'Player Data'!$A1:$AE734,18,FALSE)*$Q214</f>
        <v>16.947203394454892</v>
      </c>
      <c r="AE214" s="41">
        <f>VLOOKUP(B214,'Player Data'!$A1:$AE734,19,FALSE)*$Q214*IFERROR((VLOOKUP(P214,Settings!$E$28:$F$33,2,FALSE)+1),1)</f>
        <v>1.7971705536573706</v>
      </c>
      <c r="AF214" s="41">
        <f>VLOOKUP(B214,'Player Data'!$A1:$AE734,20,FALSE)*$Q214</f>
        <v>399.87469148117896</v>
      </c>
      <c r="AG214" s="41">
        <f>VLOOKUP(B214,'Player Data'!$A1:$AE734,21,FALSE)*$Q214</f>
        <v>521.96811080237399</v>
      </c>
      <c r="AH214" s="42">
        <f>VLOOKUP(B214,'Player Data'!$A1:$AE734,22,FALSE)</f>
        <v>0.43377752745980702</v>
      </c>
      <c r="AI214" s="39"/>
      <c r="AJ214" s="41"/>
      <c r="AK214" s="41"/>
      <c r="AL214" s="41"/>
      <c r="AM214" s="41"/>
      <c r="AN214" s="41"/>
      <c r="AO214" s="41"/>
      <c r="AP214" s="41"/>
      <c r="AQ214" s="44"/>
      <c r="AR214" s="45"/>
      <c r="AS214" s="39"/>
    </row>
    <row r="215" spans="1:45" ht="21.25" customHeight="1" x14ac:dyDescent="0.15">
      <c r="A215" s="31">
        <f>RANK(K215,K$2:K$727)</f>
        <v>214</v>
      </c>
      <c r="B215" s="8" t="s">
        <v>319</v>
      </c>
      <c r="C215" s="32" t="s">
        <v>106</v>
      </c>
      <c r="D215" s="33" t="str">
        <f>VLOOKUP(B215,'Player Data'!A1:D734,4,FALSE)</f>
        <v>LW</v>
      </c>
      <c r="E215" s="47">
        <f>VLOOKUP(B215,LW!A1:C130,3,FALSE)</f>
        <v>41</v>
      </c>
      <c r="F215" s="35" t="str">
        <f>VLOOKUP(B215,'Player Data'!A1:B734,2,FALSE)</f>
        <v>ARI</v>
      </c>
      <c r="G215" s="9">
        <f>VLOOKUP(B215,'Player Data'!A1:D734,3,FALSE)</f>
        <v>22</v>
      </c>
      <c r="H215" s="36">
        <f>IFERROR(VLOOKUP(B215,ADP!A1:G728,7,FALSE)/1000000,VLOOKUP(B215,ADP!A1:G728,7,FALSE))</f>
        <v>3.4249999999999998</v>
      </c>
      <c r="I215" s="37">
        <f>IF(Settings!$E$15="POINTS",((R215*Q215)*Settings!$B$12)+(S215*Settings!$B$2)+(T215*Settings!$B$3)+(U215*Settings!$B$4)+(V215*Settings!$B$5)+(X215*Settings!$B$9)+(AA215*Settings!$B$6)+(W215*Settings!$B$8)+(AB215*Settings!$B$7)+(AC215*Settings!$B$14)+(AD215*Settings!$B$15)+(AE215*Settings!$B$16)+(AF215*Settings!$B$17)+(AG215*Settings!$B$18)+(Y215*Settings!$B$10)+(Z215*Settings!$B$11),VLOOKUP(B215,'Standard Deviations'!A1:C728,3,FALSE))</f>
        <v>252.22331091824526</v>
      </c>
      <c r="J215" s="38">
        <f>IF(D215="G",I215/AJ215,I215/Q215)</f>
        <v>3.3828233760494268</v>
      </c>
      <c r="K215" s="37">
        <f>IF(Settings!$E$18="C/LW/RW",VLOOKUP(B215,LW!A1:F130,6,FALSE),VLOOKUP(B215,F!A1:F430,6,FALSE))</f>
        <v>-111.8172939394052</v>
      </c>
      <c r="L215" s="37">
        <f>IFERROR(K215/H215,"N/A")</f>
        <v>-32.64738509179714</v>
      </c>
      <c r="M215" s="53" t="str">
        <f>IF(Settings!$E$9="YAHOO",VLOOKUP(B215,ADP!A1:E728,2,FALSE),IF(Settings!$E$9="ESPN",VLOOKUP(B215,ADP!A1:E728,3,FALSE),IF(Settings!$E$9="FANTRAX",VLOOKUP(B215,ADP!A1:E728,4,FALSE),VLOOKUP(B215,ADP!A1:E728,5,FALSE))))</f>
        <v>-</v>
      </c>
      <c r="N215" s="53" t="str">
        <f>IFERROR(M215-A215,"N/A")</f>
        <v>N/A</v>
      </c>
      <c r="O215" s="39"/>
      <c r="P215" s="40" t="str">
        <f>IF(Settings!$E$27="ON",VLOOKUP(B215,ADP!A1:H728,8,FALSE)," ")</f>
        <v xml:space="preserve"> </v>
      </c>
      <c r="Q215" s="41">
        <f>IF(Settings!$E$12="YES",VLOOKUP(B215,'Player Data'!A1:E734,5,FALSE),82)</f>
        <v>74.56</v>
      </c>
      <c r="R215" s="39">
        <f>VLOOKUP(B215,'Player Data'!$A1:$AE734,6,FALSE)</f>
        <v>16.532772008532</v>
      </c>
      <c r="S215" s="41">
        <f>VLOOKUP(B215,'Player Data'!$A1:$AE734,7,FALSE)*$Q215*IFERROR((VLOOKUP(P215,Settings!$E$28:$F$33,2,FALSE)+1),1)</f>
        <v>14.873794999998944</v>
      </c>
      <c r="T215" s="41">
        <f>VLOOKUP(B215,'Player Data'!$A1:$AE734,8,FALSE)*$Q215*IFERROR((VLOOKUP(P215,Settings!$E$28:$F$33,2,FALSE)+1),1)</f>
        <v>41.296237204773618</v>
      </c>
      <c r="U215" s="41">
        <f>SUM(S215:T215)</f>
        <v>56.170032204772561</v>
      </c>
      <c r="V215" s="41">
        <f>VLOOKUP(B215,'Player Data'!$A1:$AE734,10,FALSE)*$Q215*IFERROR(((VLOOKUP(P215,Settings!$E$28:$F$33,2,FALSE)/2)+1),1)</f>
        <v>89.570272731112041</v>
      </c>
      <c r="W215" s="41">
        <f>VLOOKUP(B215,'Player Data'!$A1:$AE734,11,FALSE)*$Q215*IFERROR((VLOOKUP(P215,Settings!$E$28:$F$33,2,FALSE)+1),1)</f>
        <v>2.4294599896354958</v>
      </c>
      <c r="X215" s="41">
        <f>VLOOKUP(B215,'Player Data'!$A1:$AE734,12,FALSE)*$Q215*IFERROR((VLOOKUP(P215,Settings!$E$28:$F$33,2,FALSE)+1),1)</f>
        <v>16.6683096038667</v>
      </c>
      <c r="Y215" s="41">
        <f>VLOOKUP(B215,'Player Data'!$A1:$AE734,13,FALSE)*$Q215</f>
        <v>8.8646945987889011E-2</v>
      </c>
      <c r="Z215" s="41">
        <f>VLOOKUP(B215,'Player Data'!$A1:$AE734,14,FALSE)*$Q215</f>
        <v>0.15656824236358177</v>
      </c>
      <c r="AA215" s="41">
        <f>VLOOKUP(B215,'Player Data'!$A1:$AE734,15,FALSE)*$Q215</f>
        <v>26.391611229555032</v>
      </c>
      <c r="AB215" s="41">
        <f>VLOOKUP(B215,'Player Data'!$A1:$AE734,16,FALSE)*$Q215</f>
        <v>38.292904374940775</v>
      </c>
      <c r="AC215" s="41">
        <f>VLOOKUP(B215,'Player Data'!$A1:$AE734,17,FALSE)*$Q215*IFERROR((VLOOKUP(P215,Settings!$E$28:$F$33,2,FALSE)+1),1)</f>
        <v>-2.232462235134586</v>
      </c>
      <c r="AD215" s="41">
        <f>VLOOKUP(B215,'Player Data'!$A1:$AE734,18,FALSE)*$Q215</f>
        <v>23.982121404612904</v>
      </c>
      <c r="AE215" s="41">
        <f>VLOOKUP(B215,'Player Data'!$A1:$AE734,19,FALSE)*$Q215*IFERROR((VLOOKUP(P215,Settings!$E$28:$F$33,2,FALSE)+1),1)</f>
        <v>1.8331951710299557</v>
      </c>
      <c r="AF215" s="41">
        <f>VLOOKUP(B215,'Player Data'!$A1:$AE734,20,FALSE)*$Q215</f>
        <v>1.8131263136239195</v>
      </c>
      <c r="AG215" s="41">
        <f>VLOOKUP(B215,'Player Data'!$A1:$AE734,21,FALSE)*$Q215</f>
        <v>6.718762726764381</v>
      </c>
      <c r="AH215" s="42">
        <f>VLOOKUP(B215,'Player Data'!$A1:$AE734,22,FALSE)</f>
        <v>0.21251170813883399</v>
      </c>
      <c r="AI215" s="39"/>
      <c r="AJ215" s="43"/>
      <c r="AK215" s="41"/>
      <c r="AL215" s="41"/>
      <c r="AM215" s="41"/>
      <c r="AN215" s="41"/>
      <c r="AO215" s="41"/>
      <c r="AP215" s="41"/>
      <c r="AQ215" s="44"/>
      <c r="AR215" s="45"/>
      <c r="AS215" s="39"/>
    </row>
    <row r="216" spans="1:45" ht="21.25" customHeight="1" x14ac:dyDescent="0.15">
      <c r="A216" s="31">
        <f>RANK(K216,K$2:K$727)</f>
        <v>215</v>
      </c>
      <c r="B216" s="8" t="s">
        <v>320</v>
      </c>
      <c r="C216" s="32" t="s">
        <v>106</v>
      </c>
      <c r="D216" s="33" t="str">
        <f>VLOOKUP(B216,'Player Data'!A1:D734,4,FALSE)</f>
        <v>LW</v>
      </c>
      <c r="E216" s="47">
        <f>VLOOKUP(B216,LW!A1:C130,3,FALSE)</f>
        <v>42</v>
      </c>
      <c r="F216" s="35" t="str">
        <f>VLOOKUP(B216,'Player Data'!A1:B734,2,FALSE)</f>
        <v>STL</v>
      </c>
      <c r="G216" s="9">
        <f>VLOOKUP(B216,'Player Data'!A1:D734,3,FALSE)</f>
        <v>27</v>
      </c>
      <c r="H216" s="36">
        <f>IFERROR(VLOOKUP(B216,ADP!A1:G728,7,FALSE)/1000000,VLOOKUP(B216,ADP!A1:G728,7,FALSE))</f>
        <v>2.625</v>
      </c>
      <c r="I216" s="37">
        <f>IF(Settings!$E$15="POINTS",((R216*Q216)*Settings!$B$12)+(S216*Settings!$B$2)+(T216*Settings!$B$3)+(U216*Settings!$B$4)+(V216*Settings!$B$5)+(X216*Settings!$B$9)+(AA216*Settings!$B$6)+(W216*Settings!$B$8)+(AB216*Settings!$B$7)+(AC216*Settings!$B$14)+(AD216*Settings!$B$15)+(AE216*Settings!$B$16)+(AF216*Settings!$B$17)+(AG216*Settings!$B$18)+(Y216*Settings!$B$10)+(Z216*Settings!$B$11),VLOOKUP(B216,'Standard Deviations'!A1:C728,3,FALSE))</f>
        <v>251.79654961859586</v>
      </c>
      <c r="J216" s="38">
        <f>IF(D216="G",I216/AJ216,I216/Q216)</f>
        <v>3.5868454361623341</v>
      </c>
      <c r="K216" s="37">
        <f>IF(Settings!$E$18="C/LW/RW",VLOOKUP(B216,LW!A1:F130,6,FALSE),VLOOKUP(B216,F!A1:F430,6,FALSE))</f>
        <v>-112.2440552390546</v>
      </c>
      <c r="L216" s="37">
        <f>IFERROR(K216/H216,"N/A")</f>
        <v>-42.75964009106842</v>
      </c>
      <c r="M216" s="53" t="str">
        <f>IF(Settings!$E$9="YAHOO",VLOOKUP(B216,ADP!A1:E728,2,FALSE),IF(Settings!$E$9="ESPN",VLOOKUP(B216,ADP!A1:E728,3,FALSE),IF(Settings!$E$9="FANTRAX",VLOOKUP(B216,ADP!A1:E728,4,FALSE),VLOOKUP(B216,ADP!A1:E728,5,FALSE))))</f>
        <v>-</v>
      </c>
      <c r="N216" s="53" t="str">
        <f>IFERROR(M216-A216,"N/A")</f>
        <v>N/A</v>
      </c>
      <c r="O216" s="39"/>
      <c r="P216" s="40" t="str">
        <f>IF(Settings!$E$27="ON",VLOOKUP(B216,ADP!A1:H728,8,FALSE)," ")</f>
        <v xml:space="preserve"> </v>
      </c>
      <c r="Q216" s="41">
        <f>IF(Settings!$E$12="YES",VLOOKUP(B216,'Player Data'!A1:E734,5,FALSE),82)</f>
        <v>70.2</v>
      </c>
      <c r="R216" s="39">
        <f>VLOOKUP(B216,'Player Data'!$A1:$AE734,6,FALSE)</f>
        <v>15.6422800341442</v>
      </c>
      <c r="S216" s="41">
        <f>VLOOKUP(B216,'Player Data'!$A1:$AE734,7,FALSE)*$Q216*IFERROR((VLOOKUP(P216,Settings!$E$28:$F$33,2,FALSE)+1),1)</f>
        <v>27.170861524587544</v>
      </c>
      <c r="T216" s="41">
        <f>VLOOKUP(B216,'Player Data'!$A1:$AE734,8,FALSE)*$Q216*IFERROR((VLOOKUP(P216,Settings!$E$28:$F$33,2,FALSE)+1),1)</f>
        <v>19.844923364936399</v>
      </c>
      <c r="U216" s="41">
        <f>SUM(S216:T216)</f>
        <v>47.015784889523943</v>
      </c>
      <c r="V216" s="41">
        <f>VLOOKUP(B216,'Player Data'!$A1:$AE734,10,FALSE)*$Q216*IFERROR(((VLOOKUP(P216,Settings!$E$28:$F$33,2,FALSE)/2)+1),1)</f>
        <v>167.38437016019114</v>
      </c>
      <c r="W216" s="41">
        <f>VLOOKUP(B216,'Player Data'!$A1:$AE734,11,FALSE)*$Q216*IFERROR((VLOOKUP(P216,Settings!$E$28:$F$33,2,FALSE)+1),1)</f>
        <v>7.2762579995025725</v>
      </c>
      <c r="X216" s="41">
        <f>VLOOKUP(B216,'Player Data'!$A1:$AE734,12,FALSE)*$Q216*IFERROR((VLOOKUP(P216,Settings!$E$28:$F$33,2,FALSE)+1),1)</f>
        <v>11.208769758659118</v>
      </c>
      <c r="Y216" s="41">
        <f>VLOOKUP(B216,'Player Data'!$A1:$AE734,13,FALSE)*$Q216</f>
        <v>0</v>
      </c>
      <c r="Z216" s="41">
        <f>VLOOKUP(B216,'Player Data'!$A1:$AE734,14,FALSE)*$Q216</f>
        <v>0</v>
      </c>
      <c r="AA216" s="41">
        <f>VLOOKUP(B216,'Player Data'!$A1:$AE734,15,FALSE)*$Q216</f>
        <v>23.197351763051014</v>
      </c>
      <c r="AB216" s="41">
        <f>VLOOKUP(B216,'Player Data'!$A1:$AE734,16,FALSE)*$Q216</f>
        <v>53.098823146116175</v>
      </c>
      <c r="AC216" s="41">
        <f>VLOOKUP(B216,'Player Data'!$A1:$AE734,17,FALSE)*$Q216*IFERROR((VLOOKUP(P216,Settings!$E$28:$F$33,2,FALSE)+1),1)</f>
        <v>-2.4996824456683644</v>
      </c>
      <c r="AD216" s="41">
        <f>VLOOKUP(B216,'Player Data'!$A1:$AE734,18,FALSE)*$Q216</f>
        <v>22.934025074964275</v>
      </c>
      <c r="AE216" s="41">
        <f>VLOOKUP(B216,'Player Data'!$A1:$AE734,19,FALSE)*$Q216*IFERROR((VLOOKUP(P216,Settings!$E$28:$F$33,2,FALSE)+1),1)</f>
        <v>3.1266252573002928</v>
      </c>
      <c r="AF216" s="41">
        <f>VLOOKUP(B216,'Player Data'!$A1:$AE734,20,FALSE)*$Q216</f>
        <v>6.284351931666305</v>
      </c>
      <c r="AG216" s="41">
        <f>VLOOKUP(B216,'Player Data'!$A1:$AE734,21,FALSE)*$Q216</f>
        <v>11.100934358441695</v>
      </c>
      <c r="AH216" s="42">
        <f>VLOOKUP(B216,'Player Data'!$A1:$AE734,22,FALSE)</f>
        <v>0.36147532038296198</v>
      </c>
      <c r="AI216" s="39"/>
      <c r="AJ216" s="43"/>
      <c r="AK216" s="41"/>
      <c r="AL216" s="41"/>
      <c r="AM216" s="41"/>
      <c r="AN216" s="41"/>
      <c r="AO216" s="41"/>
      <c r="AP216" s="41"/>
      <c r="AQ216" s="44"/>
      <c r="AR216" s="45"/>
      <c r="AS216" s="39"/>
    </row>
    <row r="217" spans="1:45" ht="21.25" customHeight="1" x14ac:dyDescent="0.15">
      <c r="A217" s="31">
        <f>RANK(K217,K$2:K$727)</f>
        <v>216</v>
      </c>
      <c r="B217" s="8" t="s">
        <v>321</v>
      </c>
      <c r="C217" s="32" t="s">
        <v>106</v>
      </c>
      <c r="D217" s="33" t="str">
        <f>VLOOKUP(B217,'Player Data'!A1:D734,4,FALSE)</f>
        <v>LW</v>
      </c>
      <c r="E217" s="47">
        <f>VLOOKUP(B217,LW!A1:C130,3,FALSE)</f>
        <v>43</v>
      </c>
      <c r="F217" s="35" t="str">
        <f>VLOOKUP(B217,'Player Data'!A1:B734,2,FALSE)</f>
        <v>CAR</v>
      </c>
      <c r="G217" s="9">
        <f>VLOOKUP(B217,'Player Data'!A1:D734,3,FALSE)</f>
        <v>27</v>
      </c>
      <c r="H217" s="36">
        <f>IFERROR(VLOOKUP(B217,ADP!A1:G728,7,FALSE)/1000000,VLOOKUP(B217,ADP!A1:G728,7,FALSE))</f>
        <v>4.5</v>
      </c>
      <c r="I217" s="37">
        <f>IF(Settings!$E$15="POINTS",((R217*Q217)*Settings!$B$12)+(S217*Settings!$B$2)+(T217*Settings!$B$3)+(U217*Settings!$B$4)+(V217*Settings!$B$5)+(X217*Settings!$B$9)+(AA217*Settings!$B$6)+(W217*Settings!$B$8)+(AB217*Settings!$B$7)+(AC217*Settings!$B$14)+(AD217*Settings!$B$15)+(AE217*Settings!$B$16)+(AF217*Settings!$B$17)+(AG217*Settings!$B$18)+(Y217*Settings!$B$10)+(Z217*Settings!$B$11),VLOOKUP(B217,'Standard Deviations'!A1:C728,3,FALSE))</f>
        <v>251.02386494404385</v>
      </c>
      <c r="J217" s="38">
        <f>IF(D217="G",I217/AJ217,I217/Q217)</f>
        <v>3.2816794449657656</v>
      </c>
      <c r="K217" s="37">
        <f>IF(Settings!$E$18="C/LW/RW",VLOOKUP(B217,LW!A1:F130,6,FALSE),VLOOKUP(B217,F!A1:F430,6,FALSE))</f>
        <v>-113.01673991360661</v>
      </c>
      <c r="L217" s="37">
        <f>IFERROR(K217/H217,"N/A")</f>
        <v>-25.114831091912581</v>
      </c>
      <c r="M217" s="39">
        <f>IF(Settings!$E$9="YAHOO",VLOOKUP(B217,ADP!A1:E728,2,FALSE),IF(Settings!$E$9="ESPN",VLOOKUP(B217,ADP!A1:E728,3,FALSE),IF(Settings!$E$9="FANTRAX",VLOOKUP(B217,ADP!A1:E728,4,FALSE),VLOOKUP(B217,ADP!A1:E728,5,FALSE))))</f>
        <v>166.6</v>
      </c>
      <c r="N217" s="39">
        <f>IFERROR(M217-A217,"N/A")</f>
        <v>-49.400000000000006</v>
      </c>
      <c r="O217" s="39"/>
      <c r="P217" s="40" t="str">
        <f>IF(Settings!$E$27="ON",VLOOKUP(B217,ADP!A1:H728,8,FALSE)," ")</f>
        <v xml:space="preserve"> </v>
      </c>
      <c r="Q217" s="41">
        <f>IF(Settings!$E$12="YES",VLOOKUP(B217,'Player Data'!A1:E734,5,FALSE),82)</f>
        <v>76.492500000000007</v>
      </c>
      <c r="R217" s="39">
        <f>VLOOKUP(B217,'Player Data'!$A1:$AE734,6,FALSE)</f>
        <v>15.6598361464939</v>
      </c>
      <c r="S217" s="41">
        <f>VLOOKUP(B217,'Player Data'!$A1:$AE734,7,FALSE)*$Q217*IFERROR((VLOOKUP(P217,Settings!$E$28:$F$33,2,FALSE)+1),1)</f>
        <v>21.805860199827251</v>
      </c>
      <c r="T217" s="41">
        <f>VLOOKUP(B217,'Player Data'!$A1:$AE734,8,FALSE)*$Q217*IFERROR((VLOOKUP(P217,Settings!$E$28:$F$33,2,FALSE)+1),1)</f>
        <v>28.477197109666331</v>
      </c>
      <c r="U217" s="41">
        <f>SUM(S217:T217)</f>
        <v>50.283057309493586</v>
      </c>
      <c r="V217" s="41">
        <f>VLOOKUP(B217,'Player Data'!$A1:$AE734,10,FALSE)*$Q217*IFERROR(((VLOOKUP(P217,Settings!$E$28:$F$33,2,FALSE)/2)+1),1)</f>
        <v>160.63695849652728</v>
      </c>
      <c r="W217" s="41">
        <f>VLOOKUP(B217,'Player Data'!$A1:$AE734,11,FALSE)*$Q217*IFERROR((VLOOKUP(P217,Settings!$E$28:$F$33,2,FALSE)+1),1)</f>
        <v>4.8378849229355847</v>
      </c>
      <c r="X217" s="41">
        <f>VLOOKUP(B217,'Player Data'!$A1:$AE734,12,FALSE)*$Q217*IFERROR((VLOOKUP(P217,Settings!$E$28:$F$33,2,FALSE)+1),1)</f>
        <v>8.0083868720283444</v>
      </c>
      <c r="Y217" s="41">
        <f>VLOOKUP(B217,'Player Data'!$A1:$AE734,13,FALSE)*$Q217</f>
        <v>1.1016739711025019E-3</v>
      </c>
      <c r="Z217" s="41">
        <f>VLOOKUP(B217,'Player Data'!$A1:$AE734,14,FALSE)*$Q217</f>
        <v>2.0162965564417342E-3</v>
      </c>
      <c r="AA217" s="41">
        <f>VLOOKUP(B217,'Player Data'!$A1:$AE734,15,FALSE)*$Q217</f>
        <v>19.177037150649362</v>
      </c>
      <c r="AB217" s="41">
        <f>VLOOKUP(B217,'Player Data'!$A1:$AE734,16,FALSE)*$Q217</f>
        <v>79.198786170772806</v>
      </c>
      <c r="AC217" s="41">
        <f>VLOOKUP(B217,'Player Data'!$A1:$AE734,17,FALSE)*$Q217*IFERROR((VLOOKUP(P217,Settings!$E$28:$F$33,2,FALSE)+1),1)</f>
        <v>8.3011123930755915</v>
      </c>
      <c r="AD217" s="41">
        <f>VLOOKUP(B217,'Player Data'!$A1:$AE734,18,FALSE)*$Q217</f>
        <v>59.984303018380309</v>
      </c>
      <c r="AE217" s="41">
        <f>VLOOKUP(B217,'Player Data'!$A1:$AE734,19,FALSE)*$Q217*IFERROR((VLOOKUP(P217,Settings!$E$28:$F$33,2,FALSE)+1),1)</f>
        <v>3.9124595899836918</v>
      </c>
      <c r="AF217" s="41">
        <f>VLOOKUP(B217,'Player Data'!$A1:$AE734,20,FALSE)*$Q217</f>
        <v>2.7289696955534057</v>
      </c>
      <c r="AG217" s="41">
        <f>VLOOKUP(B217,'Player Data'!$A1:$AE734,21,FALSE)*$Q217</f>
        <v>3.7508899953745138</v>
      </c>
      <c r="AH217" s="42">
        <f>VLOOKUP(B217,'Player Data'!$A1:$AE734,22,FALSE)</f>
        <v>0.42114641762599903</v>
      </c>
      <c r="AI217" s="39"/>
      <c r="AJ217" s="41"/>
      <c r="AK217" s="41"/>
      <c r="AL217" s="41"/>
      <c r="AM217" s="41"/>
      <c r="AN217" s="41"/>
      <c r="AO217" s="41"/>
      <c r="AP217" s="41"/>
      <c r="AQ217" s="44"/>
      <c r="AR217" s="45"/>
      <c r="AS217" s="39"/>
    </row>
    <row r="218" spans="1:45" ht="21.25" customHeight="1" x14ac:dyDescent="0.15">
      <c r="A218" s="31">
        <f>RANK(K218,K$2:K$727)</f>
        <v>217</v>
      </c>
      <c r="B218" s="8" t="s">
        <v>322</v>
      </c>
      <c r="C218" s="32" t="s">
        <v>106</v>
      </c>
      <c r="D218" s="33" t="str">
        <f>VLOOKUP(B218,'Player Data'!A1:D734,4,FALSE)</f>
        <v>LW</v>
      </c>
      <c r="E218" s="47">
        <f>VLOOKUP(B218,LW!A1:C130,3,FALSE)</f>
        <v>44</v>
      </c>
      <c r="F218" s="35" t="str">
        <f>VLOOKUP(B218,'Player Data'!A1:B734,2,FALSE)</f>
        <v>TOR</v>
      </c>
      <c r="G218" s="9">
        <f>VLOOKUP(B218,'Player Data'!A1:D734,3,FALSE)</f>
        <v>28</v>
      </c>
      <c r="H218" s="36">
        <f>IFERROR(VLOOKUP(B218,ADP!A1:G728,7,FALSE)/1000000,VLOOKUP(B218,ADP!A1:G728,7,FALSE))</f>
        <v>5.5</v>
      </c>
      <c r="I218" s="37">
        <f>IF(Settings!$E$15="POINTS",((R218*Q218)*Settings!$B$12)+(S218*Settings!$B$2)+(T218*Settings!$B$3)+(U218*Settings!$B$4)+(V218*Settings!$B$5)+(X218*Settings!$B$9)+(AA218*Settings!$B$6)+(W218*Settings!$B$8)+(AB218*Settings!$B$7)+(AC218*Settings!$B$14)+(AD218*Settings!$B$15)+(AE218*Settings!$B$16)+(AF218*Settings!$B$17)+(AG218*Settings!$B$18)+(Y218*Settings!$B$10)+(Z218*Settings!$B$11),VLOOKUP(B218,'Standard Deviations'!A1:C728,3,FALSE))</f>
        <v>250.73830349052707</v>
      </c>
      <c r="J218" s="38">
        <f>IF(D218="G",I218/AJ218,I218/Q218)</f>
        <v>3.7122845271440155</v>
      </c>
      <c r="K218" s="37">
        <f>IF(Settings!$E$18="C/LW/RW",VLOOKUP(B218,LW!A1:F130,6,FALSE),VLOOKUP(B218,F!A1:F430,6,FALSE))</f>
        <v>-113.30230136712339</v>
      </c>
      <c r="L218" s="37">
        <f>IFERROR(K218/H218,"N/A")</f>
        <v>-20.600418430386071</v>
      </c>
      <c r="M218" s="39">
        <f>IF(Settings!$E$9="YAHOO",VLOOKUP(B218,ADP!A1:E728,2,FALSE),IF(Settings!$E$9="ESPN",VLOOKUP(B218,ADP!A1:E728,3,FALSE),IF(Settings!$E$9="FANTRAX",VLOOKUP(B218,ADP!A1:E728,4,FALSE),VLOOKUP(B218,ADP!A1:E728,5,FALSE))))</f>
        <v>137.1</v>
      </c>
      <c r="N218" s="39">
        <f>IFERROR(M218-A218,"N/A")</f>
        <v>-79.900000000000006</v>
      </c>
      <c r="O218" s="39"/>
      <c r="P218" s="40" t="str">
        <f>IF(Settings!$E$27="ON",VLOOKUP(B218,ADP!A1:H728,8,FALSE)," ")</f>
        <v>+ + +</v>
      </c>
      <c r="Q218" s="41">
        <f>IF(Settings!$E$12="YES",VLOOKUP(B218,'Player Data'!A1:E734,5,FALSE),82)</f>
        <v>67.542857142857102</v>
      </c>
      <c r="R218" s="39">
        <f>VLOOKUP(B218,'Player Data'!$A1:$AE734,6,FALSE)</f>
        <v>15.7725961498048</v>
      </c>
      <c r="S218" s="41">
        <f>VLOOKUP(B218,'Player Data'!$A1:$AE734,7,FALSE)*$Q218*IFERROR((VLOOKUP(P218,Settings!$E$28:$F$33,2,FALSE)+1),1)</f>
        <v>19.559386210189675</v>
      </c>
      <c r="T218" s="41">
        <f>VLOOKUP(B218,'Player Data'!$A1:$AE734,8,FALSE)*$Q218*IFERROR((VLOOKUP(P218,Settings!$E$28:$F$33,2,FALSE)+1),1)</f>
        <v>29.740626367761195</v>
      </c>
      <c r="U218" s="41">
        <f>SUM(S218:T218)</f>
        <v>49.300012577950866</v>
      </c>
      <c r="V218" s="41">
        <f>VLOOKUP(B218,'Player Data'!$A1:$AE734,10,FALSE)*$Q218*IFERROR(((VLOOKUP(P218,Settings!$E$28:$F$33,2,FALSE)/2)+1),1)</f>
        <v>152.7254730013039</v>
      </c>
      <c r="W218" s="41">
        <f>VLOOKUP(B218,'Player Data'!$A1:$AE734,11,FALSE)*$Q218*IFERROR((VLOOKUP(P218,Settings!$E$28:$F$33,2,FALSE)+1),1)</f>
        <v>4.2169103007800555</v>
      </c>
      <c r="X218" s="41">
        <f>VLOOKUP(B218,'Player Data'!$A1:$AE734,12,FALSE)*$Q218*IFERROR((VLOOKUP(P218,Settings!$E$28:$F$33,2,FALSE)+1),1)</f>
        <v>10.133382358753654</v>
      </c>
      <c r="Y218" s="41">
        <f>VLOOKUP(B218,'Player Data'!$A1:$AE734,13,FALSE)*$Q218</f>
        <v>1.1808135902287718E-2</v>
      </c>
      <c r="Z218" s="41">
        <f>VLOOKUP(B218,'Player Data'!$A1:$AE734,14,FALSE)*$Q218</f>
        <v>2.3318684857759103E-2</v>
      </c>
      <c r="AA218" s="41">
        <f>VLOOKUP(B218,'Player Data'!$A1:$AE734,15,FALSE)*$Q218</f>
        <v>30.810635843998458</v>
      </c>
      <c r="AB218" s="41">
        <f>VLOOKUP(B218,'Player Data'!$A1:$AE734,16,FALSE)*$Q218</f>
        <v>65.781994529376718</v>
      </c>
      <c r="AC218" s="41">
        <f>VLOOKUP(B218,'Player Data'!$A1:$AE734,17,FALSE)*$Q218*IFERROR((VLOOKUP(P218,Settings!$E$28:$F$33,2,FALSE)+1),1)</f>
        <v>5.0127509421250425</v>
      </c>
      <c r="AD218" s="41">
        <f>VLOOKUP(B218,'Player Data'!$A1:$AE734,18,FALSE)*$Q218</f>
        <v>26.904905918928531</v>
      </c>
      <c r="AE218" s="41">
        <f>VLOOKUP(B218,'Player Data'!$A1:$AE734,19,FALSE)*$Q218*IFERROR((VLOOKUP(P218,Settings!$E$28:$F$33,2,FALSE)+1),1)</f>
        <v>3.1422101958609221</v>
      </c>
      <c r="AF218" s="41">
        <f>VLOOKUP(B218,'Player Data'!$A1:$AE734,20,FALSE)*$Q218</f>
        <v>5.4423990982225616</v>
      </c>
      <c r="AG218" s="41">
        <f>VLOOKUP(B218,'Player Data'!$A1:$AE734,21,FALSE)*$Q218</f>
        <v>15.276472915947414</v>
      </c>
      <c r="AH218" s="42">
        <f>VLOOKUP(B218,'Player Data'!$A1:$AE734,22,FALSE)</f>
        <v>0.26267834921227501</v>
      </c>
      <c r="AI218" s="39"/>
      <c r="AJ218" s="43"/>
      <c r="AK218" s="41"/>
      <c r="AL218" s="41"/>
      <c r="AM218" s="41"/>
      <c r="AN218" s="41"/>
      <c r="AO218" s="41"/>
      <c r="AP218" s="41"/>
      <c r="AQ218" s="44"/>
      <c r="AR218" s="45"/>
      <c r="AS218" s="39"/>
    </row>
    <row r="219" spans="1:45" ht="21.25" customHeight="1" x14ac:dyDescent="0.15">
      <c r="A219" s="31">
        <f>RANK(K219,K$2:K$727)</f>
        <v>218</v>
      </c>
      <c r="B219" s="8" t="s">
        <v>323</v>
      </c>
      <c r="C219" s="32" t="s">
        <v>106</v>
      </c>
      <c r="D219" s="33" t="str">
        <f>VLOOKUP(B219,'Player Data'!A1:D734,4,FALSE)</f>
        <v>G</v>
      </c>
      <c r="E219" s="50">
        <f>VLOOKUP(B219,G!A1:D75,3,FALSE)</f>
        <v>28</v>
      </c>
      <c r="F219" s="35" t="str">
        <f>VLOOKUP(B219,'Player Data'!A1:B734,2,FALSE)</f>
        <v>ARI</v>
      </c>
      <c r="G219" s="9">
        <f>VLOOKUP(B219,'Player Data'!A1:D734,3,FALSE)</f>
        <v>27</v>
      </c>
      <c r="H219" s="36">
        <f>IFERROR(VLOOKUP(B219,ADP!A1:G728,7,FALSE)/1000000,VLOOKUP(B219,ADP!A1:G728,7,FALSE))</f>
        <v>2.7250000000000001</v>
      </c>
      <c r="I219" s="37">
        <f>IF(Settings!$E$15="POINTS",(AJ219*Settings!$B$29)+(AK219*Settings!$B$21)+(AL219*Settings!$B$22)+(AN219*Settings!$B$24)+(AO219*Settings!$B$25)+(AP219*Settings!$B$27)+(AM219*Settings!$B$23),VLOOKUP(B219,'Standard Deviations'!A1:C728,3,FALSE))</f>
        <v>284.33795972967289</v>
      </c>
      <c r="J219" s="38">
        <f>IF(D219="G",I219/AJ219,I219/Q219)</f>
        <v>6.769951422135069</v>
      </c>
      <c r="K219" s="37">
        <f>VLOOKUP(B219,G!A1:F75,6,FALSE)</f>
        <v>-114.43770235964331</v>
      </c>
      <c r="L219" s="37">
        <f>IFERROR(K219/H219,"N/A")</f>
        <v>-41.995487104456259</v>
      </c>
      <c r="M219" s="39">
        <f>IF(Settings!$E$9="YAHOO",VLOOKUP(B219,ADP!A1:E728,2,FALSE),IF(Settings!$E$9="ESPN",VLOOKUP(B219,ADP!A1:E728,3,FALSE),IF(Settings!$E$9="FANTRAX",VLOOKUP(B219,ADP!A1:E728,4,FALSE),VLOOKUP(B219,ADP!A1:E728,5,FALSE))))</f>
        <v>181.5</v>
      </c>
      <c r="N219" s="39">
        <f>IFERROR(M219-A219,"N/A")</f>
        <v>-36.5</v>
      </c>
      <c r="O219" s="39"/>
      <c r="P219" s="40" t="str">
        <f>IF(Settings!$E$27="ON",VLOOKUP(B219,ADP!A1:H728,8,FALSE)," ")</f>
        <v xml:space="preserve"> </v>
      </c>
      <c r="Q219" s="41"/>
      <c r="R219" s="5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2"/>
      <c r="AI219" s="39"/>
      <c r="AJ219" s="43">
        <f>VLOOKUP(B219,'Player Data'!$A1:$AE734,24,FALSE)</f>
        <v>42</v>
      </c>
      <c r="AK219" s="41">
        <f>VLOOKUP(B219,'Player Data'!$A1:$AE734,25,FALSE)*$AJ219*IFERROR((VLOOKUP(P219,Settings!$E$28:$F$33,2,FALSE)+1),1)</f>
        <v>18.505388112917622</v>
      </c>
      <c r="AL219" s="41">
        <f>AJ219-AK219-AM219</f>
        <v>18.244611887082378</v>
      </c>
      <c r="AM219" s="41">
        <f>VLOOKUP(B219,'Player Data'!$A1:$AE734,27,FALSE)*$AJ219</f>
        <v>5.25</v>
      </c>
      <c r="AN219" s="41">
        <f>VLOOKUP(B219,'Player Data'!$A1:$AE734,28,FALSE)*AJ219</f>
        <v>2.0879345772637046</v>
      </c>
      <c r="AO219" s="41">
        <f>VLOOKUP(B219,'Player Data'!$A1:$AE734,29,FALSE)*$AJ219*IFERROR((VLOOKUP(P219,Settings!$E$28:$F$33,2,FALSE)/4)+1,1)</f>
        <v>1178.5325924782535</v>
      </c>
      <c r="AP219" s="41">
        <f>VLOOKUP(B219,'Player Data'!$A1:$AE734,31,FALSE)*$AJ219*(IFERROR(1-(VLOOKUP(P219,Settings!$E$28:$F$33,2,FALSE)/4),1))</f>
        <v>121.54012333424473</v>
      </c>
      <c r="AQ219" s="44">
        <f>1-(AP219/(AO219+AP219))</f>
        <v>0.90651282666270971</v>
      </c>
      <c r="AR219" s="45">
        <f>AP219/AJ219</f>
        <v>2.8938124603391602</v>
      </c>
      <c r="AS219" s="39"/>
    </row>
    <row r="220" spans="1:45" ht="21.25" customHeight="1" x14ac:dyDescent="0.15">
      <c r="A220" s="31">
        <f>RANK(K220,K$2:K$727)</f>
        <v>219</v>
      </c>
      <c r="B220" s="8" t="s">
        <v>324</v>
      </c>
      <c r="C220" s="32" t="s">
        <v>106</v>
      </c>
      <c r="D220" s="33" t="str">
        <f>VLOOKUP(B220,'Player Data'!A1:D734,4,FALSE)</f>
        <v>LW</v>
      </c>
      <c r="E220" s="47">
        <f>VLOOKUP(B220,LW!A1:C130,3,FALSE)</f>
        <v>45</v>
      </c>
      <c r="F220" s="35" t="str">
        <f>VLOOKUP(B220,'Player Data'!A1:B734,2,FALSE)</f>
        <v>CAR</v>
      </c>
      <c r="G220" s="9">
        <f>VLOOKUP(B220,'Player Data'!A1:D734,3,FALSE)</f>
        <v>28</v>
      </c>
      <c r="H220" s="36">
        <f>IFERROR(VLOOKUP(B220,ADP!A1:G728,7,FALSE)/1000000,VLOOKUP(B220,ADP!A1:G728,7,FALSE))</f>
        <v>5.4</v>
      </c>
      <c r="I220" s="37">
        <f>IF(Settings!$E$15="POINTS",((R220*Q220)*Settings!$B$12)+(S220*Settings!$B$2)+(T220*Settings!$B$3)+(U220*Settings!$B$4)+(V220*Settings!$B$5)+(X220*Settings!$B$9)+(AA220*Settings!$B$6)+(W220*Settings!$B$8)+(AB220*Settings!$B$7)+(AC220*Settings!$B$14)+(AD220*Settings!$B$15)+(AE220*Settings!$B$16)+(AF220*Settings!$B$17)+(AG220*Settings!$B$18)+(Y220*Settings!$B$10)+(Z220*Settings!$B$11),VLOOKUP(B220,'Standard Deviations'!A1:C728,3,FALSE))</f>
        <v>249.55089267257344</v>
      </c>
      <c r="J220" s="38">
        <f>IF(D220="G",I220/AJ220,I220/Q220)</f>
        <v>3.3845440297368654</v>
      </c>
      <c r="K220" s="37">
        <f>IF(Settings!$E$18="C/LW/RW",VLOOKUP(B220,LW!A1:F130,6,FALSE),VLOOKUP(B220,F!A1:F430,6,FALSE))</f>
        <v>-114.48971218507702</v>
      </c>
      <c r="L220" s="37">
        <f>IFERROR(K220/H220,"N/A")</f>
        <v>-21.201798552792042</v>
      </c>
      <c r="M220" s="39">
        <f>IF(Settings!$E$9="YAHOO",VLOOKUP(B220,ADP!A1:E728,2,FALSE),IF(Settings!$E$9="ESPN",VLOOKUP(B220,ADP!A1:E728,3,FALSE),IF(Settings!$E$9="FANTRAX",VLOOKUP(B220,ADP!A1:E728,4,FALSE),VLOOKUP(B220,ADP!A1:E728,5,FALSE))))</f>
        <v>168.8</v>
      </c>
      <c r="N220" s="39">
        <f>IFERROR(M220-A220,"N/A")</f>
        <v>-50.199999999999989</v>
      </c>
      <c r="O220" s="39"/>
      <c r="P220" s="40" t="str">
        <f>IF(Settings!$E$27="ON",VLOOKUP(B220,ADP!A1:H728,8,FALSE)," ")</f>
        <v xml:space="preserve"> </v>
      </c>
      <c r="Q220" s="41">
        <f>IF(Settings!$E$12="YES",VLOOKUP(B220,'Player Data'!A1:E734,5,FALSE),82)</f>
        <v>73.732500000000002</v>
      </c>
      <c r="R220" s="39">
        <f>VLOOKUP(B220,'Player Data'!$A1:$AE734,6,FALSE)</f>
        <v>16.590954767082099</v>
      </c>
      <c r="S220" s="41">
        <f>VLOOKUP(B220,'Player Data'!$A1:$AE734,7,FALSE)*$Q220*IFERROR((VLOOKUP(P220,Settings!$E$28:$F$33,2,FALSE)+1),1)</f>
        <v>15.116825333528482</v>
      </c>
      <c r="T220" s="41">
        <f>VLOOKUP(B220,'Player Data'!$A1:$AE734,8,FALSE)*$Q220*IFERROR((VLOOKUP(P220,Settings!$E$28:$F$33,2,FALSE)+1),1)</f>
        <v>29.074514335992955</v>
      </c>
      <c r="U220" s="41">
        <f>SUM(S220:T220)</f>
        <v>44.19133966952144</v>
      </c>
      <c r="V220" s="41">
        <f>VLOOKUP(B220,'Player Data'!$A1:$AE734,10,FALSE)*$Q220*IFERROR(((VLOOKUP(P220,Settings!$E$28:$F$33,2,FALSE)/2)+1),1)</f>
        <v>156.45630608321162</v>
      </c>
      <c r="W220" s="41">
        <f>VLOOKUP(B220,'Player Data'!$A1:$AE734,11,FALSE)*$Q220*IFERROR((VLOOKUP(P220,Settings!$E$28:$F$33,2,FALSE)+1),1)</f>
        <v>4.9608891105500499</v>
      </c>
      <c r="X220" s="41">
        <f>VLOOKUP(B220,'Player Data'!$A1:$AE734,12,FALSE)*$Q220*IFERROR((VLOOKUP(P220,Settings!$E$28:$F$33,2,FALSE)+1),1)</f>
        <v>14.099045139434061</v>
      </c>
      <c r="Y220" s="41">
        <f>VLOOKUP(B220,'Player Data'!$A1:$AE734,13,FALSE)*$Q220</f>
        <v>1.8208839238057963</v>
      </c>
      <c r="Z220" s="41">
        <f>VLOOKUP(B220,'Player Data'!$A1:$AE734,14,FALSE)*$Q220</f>
        <v>2.8052850593453296</v>
      </c>
      <c r="AA220" s="41">
        <f>VLOOKUP(B220,'Player Data'!$A1:$AE734,15,FALSE)*$Q220</f>
        <v>24.700301124222953</v>
      </c>
      <c r="AB220" s="41">
        <f>VLOOKUP(B220,'Player Data'!$A1:$AE734,16,FALSE)*$Q220</f>
        <v>25.316894771588487</v>
      </c>
      <c r="AC220" s="41">
        <f>VLOOKUP(B220,'Player Data'!$A1:$AE734,17,FALSE)*$Q220*IFERROR((VLOOKUP(P220,Settings!$E$28:$F$33,2,FALSE)+1),1)</f>
        <v>6.0400886899352262</v>
      </c>
      <c r="AD220" s="41">
        <f>VLOOKUP(B220,'Player Data'!$A1:$AE734,18,FALSE)*$Q220</f>
        <v>21.524053978945499</v>
      </c>
      <c r="AE220" s="41">
        <f>VLOOKUP(B220,'Player Data'!$A1:$AE734,19,FALSE)*$Q220*IFERROR((VLOOKUP(P220,Settings!$E$28:$F$33,2,FALSE)+1),1)</f>
        <v>2.7122969561521932</v>
      </c>
      <c r="AF220" s="41">
        <f>VLOOKUP(B220,'Player Data'!$A1:$AE734,20,FALSE)*$Q220</f>
        <v>31.137220552245651</v>
      </c>
      <c r="AG220" s="41">
        <f>VLOOKUP(B220,'Player Data'!$A1:$AE734,21,FALSE)*$Q220</f>
        <v>21.963248909623317</v>
      </c>
      <c r="AH220" s="42">
        <f>VLOOKUP(B220,'Player Data'!$A1:$AE734,22,FALSE)</f>
        <v>0.58638315005115105</v>
      </c>
      <c r="AI220" s="39"/>
      <c r="AJ220" s="43"/>
      <c r="AK220" s="41"/>
      <c r="AL220" s="41"/>
      <c r="AM220" s="41"/>
      <c r="AN220" s="41"/>
      <c r="AO220" s="41"/>
      <c r="AP220" s="41"/>
      <c r="AQ220" s="44"/>
      <c r="AR220" s="45"/>
      <c r="AS220" s="39"/>
    </row>
    <row r="221" spans="1:45" ht="21.25" customHeight="1" x14ac:dyDescent="0.15">
      <c r="A221" s="31">
        <f>RANK(K221,K$2:K$727)</f>
        <v>220</v>
      </c>
      <c r="B221" s="8" t="s">
        <v>325</v>
      </c>
      <c r="C221" s="32" t="s">
        <v>106</v>
      </c>
      <c r="D221" s="33" t="str">
        <f>VLOOKUP(B221,'Player Data'!A1:D734,4,FALSE)</f>
        <v>D</v>
      </c>
      <c r="E221" s="49">
        <f>VLOOKUP(B221,D!A1:C227,3,FALSE)</f>
        <v>56</v>
      </c>
      <c r="F221" s="35" t="str">
        <f>VLOOKUP(B221,'Player Data'!A1:B734,2,FALSE)</f>
        <v>DAL</v>
      </c>
      <c r="G221" s="9">
        <f>VLOOKUP(B221,'Player Data'!A1:D734,3,FALSE)</f>
        <v>22</v>
      </c>
      <c r="H221" s="36">
        <f>IFERROR(VLOOKUP(B221,ADP!A1:G728,7,FALSE)/1000000,VLOOKUP(B221,ADP!A1:G728,7,FALSE))</f>
        <v>0.86299999999999999</v>
      </c>
      <c r="I221" s="37">
        <f>IF(Settings!$E$15="POINTS",((R221*Q221)*Settings!$B$12)+(S221*Settings!$B$2)+(T221*Settings!$B$3)+(U221*Settings!$B$4)+(V221*Settings!$B$5)+(X221*Settings!$B$9)+(AA221*Settings!$B$6)+(W221*Settings!$B$8)+(AB221*Settings!$B$7)+(AC221*Settings!$B$14)+(AD221*Settings!$B$15)+(AE221*Settings!$B$16)+(AF221*Settings!$B$17)+(AG221*Settings!$B$18)+(U221*Settings!$B$13)+(Y221*Settings!$B$10)+(Z221*Settings!$B$11),VLOOKUP(B221,'Standard Deviations'!A1:C728,3,FALSE))</f>
        <v>196.93846614765454</v>
      </c>
      <c r="J221" s="38">
        <f>IF(D221="G",I221/AJ221,I221/Q221)</f>
        <v>2.6730704600971094</v>
      </c>
      <c r="K221" s="37">
        <f>VLOOKUP(B221,D!A1:F227,6,FALSE)</f>
        <v>-114.62701548027292</v>
      </c>
      <c r="L221" s="37">
        <f>IFERROR(K221/H221,"N/A")</f>
        <v>-132.82388815790605</v>
      </c>
      <c r="M221" s="53" t="str">
        <f>IF(Settings!$E$9="YAHOO",VLOOKUP(B221,ADP!A1:E728,2,FALSE),IF(Settings!$E$9="ESPN",VLOOKUP(B221,ADP!A1:E728,3,FALSE),IF(Settings!$E$9="FANTRAX",VLOOKUP(B221,ADP!A1:E728,4,FALSE),VLOOKUP(B221,ADP!A1:E728,5,FALSE))))</f>
        <v>-</v>
      </c>
      <c r="N221" s="53" t="str">
        <f>IFERROR(M221-A221,"N/A")</f>
        <v>N/A</v>
      </c>
      <c r="O221" s="39"/>
      <c r="P221" s="40" t="str">
        <f>IF(Settings!$E$27="ON",VLOOKUP(B221,ADP!A1:H728,8,FALSE)," ")</f>
        <v xml:space="preserve"> </v>
      </c>
      <c r="Q221" s="41">
        <f>IF(Settings!$E$12="YES",VLOOKUP(B221,'Player Data'!A1:E734,5,FALSE),82)</f>
        <v>73.674999999999997</v>
      </c>
      <c r="R221" s="39">
        <f>VLOOKUP(B221,'Player Data'!$A1:$AE734,6,FALSE)</f>
        <v>20.3589067745283</v>
      </c>
      <c r="S221" s="41">
        <f>VLOOKUP(B221,'Player Data'!$A1:$AE734,7,FALSE)*$Q221*IFERROR((VLOOKUP(P221,Settings!$E$28:$F$33,2,FALSE)+1),1)</f>
        <v>6.4647247860503922</v>
      </c>
      <c r="T221" s="41">
        <f>VLOOKUP(B221,'Player Data'!$A1:$AE734,8,FALSE)*$Q221*IFERROR((VLOOKUP(P221,Settings!$E$28:$F$33,2,FALSE)+1),1)</f>
        <v>25.199850085650116</v>
      </c>
      <c r="U221" s="41">
        <f>SUM(S221:T221)</f>
        <v>31.664574871700509</v>
      </c>
      <c r="V221" s="41">
        <f>VLOOKUP(B221,'Player Data'!$A1:$AE734,10,FALSE)*$Q221*IFERROR(((VLOOKUP(P221,Settings!$E$28:$F$33,2,FALSE)/2)+1),1)</f>
        <v>130.4861339477099</v>
      </c>
      <c r="W221" s="41">
        <f>VLOOKUP(B221,'Player Data'!$A1:$AE734,11,FALSE)*$Q221*IFERROR((VLOOKUP(P221,Settings!$E$28:$F$33,2,FALSE)+1),1)</f>
        <v>1.5993423390864407</v>
      </c>
      <c r="X221" s="41">
        <f>VLOOKUP(B221,'Player Data'!$A1:$AE734,12,FALSE)*$Q221*IFERROR((VLOOKUP(P221,Settings!$E$28:$F$33,2,FALSE)+1),1)</f>
        <v>8.6241172514156847</v>
      </c>
      <c r="Y221" s="41">
        <f>VLOOKUP(B221,'Player Data'!$A1:$AE734,13,FALSE)*$Q221</f>
        <v>1.6213509925313476E-2</v>
      </c>
      <c r="Z221" s="41">
        <f>VLOOKUP(B221,'Player Data'!$A1:$AE734,14,FALSE)*$Q221</f>
        <v>5.9725062021012472E-2</v>
      </c>
      <c r="AA221" s="41">
        <f>VLOOKUP(B221,'Player Data'!$A1:$AE734,15,FALSE)*$Q221</f>
        <v>96.66994965912339</v>
      </c>
      <c r="AB221" s="41">
        <f>VLOOKUP(B221,'Player Data'!$A1:$AE734,16,FALSE)*$Q221</f>
        <v>70.570046286575263</v>
      </c>
      <c r="AC221" s="41">
        <f>VLOOKUP(B221,'Player Data'!$A1:$AE734,17,FALSE)*$Q221*IFERROR((VLOOKUP(P221,Settings!$E$28:$F$33,2,FALSE)+1),1)</f>
        <v>4.7909813071845058</v>
      </c>
      <c r="AD221" s="41">
        <f>VLOOKUP(B221,'Player Data'!$A1:$AE734,18,FALSE)*$Q221</f>
        <v>30.77890696680852</v>
      </c>
      <c r="AE221" s="41">
        <f>VLOOKUP(B221,'Player Data'!$A1:$AE734,19,FALSE)*$Q221*IFERROR((VLOOKUP(P221,Settings!$E$28:$F$33,2,FALSE)+1),1)</f>
        <v>1.0343101369820009</v>
      </c>
      <c r="AF221" s="41">
        <f>VLOOKUP(B221,'Player Data'!$A1:$AE734,20,FALSE)*$Q221</f>
        <v>0</v>
      </c>
      <c r="AG221" s="41">
        <f>VLOOKUP(B221,'Player Data'!$A1:$AE734,21,FALSE)*$Q221</f>
        <v>0</v>
      </c>
      <c r="AH221" s="42">
        <f>VLOOKUP(B221,'Player Data'!$A1:$AE734,22,FALSE)</f>
        <v>0</v>
      </c>
      <c r="AI221" s="39"/>
      <c r="AJ221" s="43"/>
      <c r="AK221" s="41"/>
      <c r="AL221" s="41"/>
      <c r="AM221" s="41"/>
      <c r="AN221" s="41"/>
      <c r="AO221" s="41"/>
      <c r="AP221" s="41"/>
      <c r="AQ221" s="44"/>
      <c r="AR221" s="45"/>
      <c r="AS221" s="39"/>
    </row>
    <row r="222" spans="1:45" ht="21.25" customHeight="1" x14ac:dyDescent="0.15">
      <c r="A222" s="31">
        <f>RANK(K222,K$2:K$727)</f>
        <v>221</v>
      </c>
      <c r="B222" s="8" t="s">
        <v>326</v>
      </c>
      <c r="C222" s="32" t="s">
        <v>106</v>
      </c>
      <c r="D222" s="33" t="str">
        <f>VLOOKUP(B222,'Player Data'!A1:D734,4,FALSE)</f>
        <v>LW</v>
      </c>
      <c r="E222" s="47">
        <f>VLOOKUP(B222,LW!A1:C130,3,FALSE)</f>
        <v>46</v>
      </c>
      <c r="F222" s="35" t="str">
        <f>VLOOKUP(B222,'Player Data'!A1:B734,2,FALSE)</f>
        <v>LAK</v>
      </c>
      <c r="G222" s="9">
        <f>VLOOKUP(B222,'Player Data'!A1:D734,3,FALSE)</f>
        <v>28</v>
      </c>
      <c r="H222" s="36">
        <f>IFERROR(VLOOKUP(B222,ADP!A1:G728,7,FALSE)/1000000,VLOOKUP(B222,ADP!A1:G728,7,FALSE))</f>
        <v>4.2</v>
      </c>
      <c r="I222" s="37">
        <f>IF(Settings!$E$15="POINTS",((R222*Q222)*Settings!$B$12)+(S222*Settings!$B$2)+(T222*Settings!$B$3)+(U222*Settings!$B$4)+(V222*Settings!$B$5)+(X222*Settings!$B$9)+(AA222*Settings!$B$6)+(W222*Settings!$B$8)+(AB222*Settings!$B$7)+(AC222*Settings!$B$14)+(AD222*Settings!$B$15)+(AE222*Settings!$B$16)+(AF222*Settings!$B$17)+(AG222*Settings!$B$18)+(Y222*Settings!$B$10)+(Z222*Settings!$B$11),VLOOKUP(B222,'Standard Deviations'!A1:C728,3,FALSE))</f>
        <v>249.15218162704716</v>
      </c>
      <c r="J222" s="38">
        <f>IF(D222="G",I222/AJ222,I222/Q222)</f>
        <v>3.2020586252030219</v>
      </c>
      <c r="K222" s="37">
        <f>IF(Settings!$E$18="C/LW/RW",VLOOKUP(B222,LW!A1:F130,6,FALSE),VLOOKUP(B222,F!A1:F430,6,FALSE))</f>
        <v>-114.88842323060331</v>
      </c>
      <c r="L222" s="37">
        <f>IFERROR(K222/H222,"N/A")</f>
        <v>-27.354386483476976</v>
      </c>
      <c r="M222" s="53" t="str">
        <f>IF(Settings!$E$9="YAHOO",VLOOKUP(B222,ADP!A1:E728,2,FALSE),IF(Settings!$E$9="ESPN",VLOOKUP(B222,ADP!A1:E728,3,FALSE),IF(Settings!$E$9="FANTRAX",VLOOKUP(B222,ADP!A1:E728,4,FALSE),VLOOKUP(B222,ADP!A1:E728,5,FALSE))))</f>
        <v>-</v>
      </c>
      <c r="N222" s="53" t="str">
        <f>IFERROR(M222-A222,"N/A")</f>
        <v>N/A</v>
      </c>
      <c r="O222" s="39"/>
      <c r="P222" s="40" t="str">
        <f>IF(Settings!$E$27="ON",VLOOKUP(B222,ADP!A1:H728,8,FALSE)," ")</f>
        <v xml:space="preserve"> </v>
      </c>
      <c r="Q222" s="41">
        <f>IF(Settings!$E$12="YES",VLOOKUP(B222,'Player Data'!A1:E734,5,FALSE),82)</f>
        <v>77.81</v>
      </c>
      <c r="R222" s="39">
        <f>VLOOKUP(B222,'Player Data'!$A1:$AE734,6,FALSE)</f>
        <v>16.481895358064499</v>
      </c>
      <c r="S222" s="41">
        <f>VLOOKUP(B222,'Player Data'!$A1:$AE734,7,FALSE)*$Q222*IFERROR((VLOOKUP(P222,Settings!$E$28:$F$33,2,FALSE)+1),1)</f>
        <v>15.010965492589685</v>
      </c>
      <c r="T222" s="41">
        <f>VLOOKUP(B222,'Player Data'!$A1:$AE734,8,FALSE)*$Q222*IFERROR((VLOOKUP(P222,Settings!$E$28:$F$33,2,FALSE)+1),1)</f>
        <v>26.457638110476946</v>
      </c>
      <c r="U222" s="41">
        <f>SUM(S222:T222)</f>
        <v>41.468603603066633</v>
      </c>
      <c r="V222" s="41">
        <f>VLOOKUP(B222,'Player Data'!$A1:$AE734,10,FALSE)*$Q222*IFERROR(((VLOOKUP(P222,Settings!$E$28:$F$33,2,FALSE)/2)+1),1)</f>
        <v>193.78623221973595</v>
      </c>
      <c r="W222" s="41">
        <f>VLOOKUP(B222,'Player Data'!$A1:$AE734,11,FALSE)*$Q222*IFERROR((VLOOKUP(P222,Settings!$E$28:$F$33,2,FALSE)+1),1)</f>
        <v>2.6196313952458268</v>
      </c>
      <c r="X222" s="41">
        <f>VLOOKUP(B222,'Player Data'!$A1:$AE734,12,FALSE)*$Q222*IFERROR((VLOOKUP(P222,Settings!$E$28:$F$33,2,FALSE)+1),1)</f>
        <v>7.5851275415343791</v>
      </c>
      <c r="Y222" s="41">
        <f>VLOOKUP(B222,'Player Data'!$A1:$AE734,13,FALSE)*$Q222</f>
        <v>2.3422052929202652</v>
      </c>
      <c r="Z222" s="41">
        <f>VLOOKUP(B222,'Player Data'!$A1:$AE734,14,FALSE)*$Q222</f>
        <v>3.2574758287377161</v>
      </c>
      <c r="AA222" s="41">
        <f>VLOOKUP(B222,'Player Data'!$A1:$AE734,15,FALSE)*$Q222</f>
        <v>30.840239837175634</v>
      </c>
      <c r="AB222" s="41">
        <f>VLOOKUP(B222,'Player Data'!$A1:$AE734,16,FALSE)*$Q222</f>
        <v>75.342229086593164</v>
      </c>
      <c r="AC222" s="41">
        <f>VLOOKUP(B222,'Player Data'!$A1:$AE734,17,FALSE)*$Q222*IFERROR((VLOOKUP(P222,Settings!$E$28:$F$33,2,FALSE)+1),1)</f>
        <v>0.31588692995678008</v>
      </c>
      <c r="AD222" s="41">
        <f>VLOOKUP(B222,'Player Data'!$A1:$AE734,18,FALSE)*$Q222</f>
        <v>23.030066794677012</v>
      </c>
      <c r="AE222" s="41">
        <f>VLOOKUP(B222,'Player Data'!$A1:$AE734,19,FALSE)*$Q222*IFERROR((VLOOKUP(P222,Settings!$E$28:$F$33,2,FALSE)+1),1)</f>
        <v>2.2285854437747266</v>
      </c>
      <c r="AF222" s="41">
        <f>VLOOKUP(B222,'Player Data'!$A1:$AE734,20,FALSE)*$Q222</f>
        <v>18.539777434130379</v>
      </c>
      <c r="AG222" s="41">
        <f>VLOOKUP(B222,'Player Data'!$A1:$AE734,21,FALSE)*$Q222</f>
        <v>30.424985147034935</v>
      </c>
      <c r="AH222" s="42">
        <f>VLOOKUP(B222,'Player Data'!$A1:$AE734,22,FALSE)</f>
        <v>0.37863509300996501</v>
      </c>
      <c r="AI222" s="39"/>
      <c r="AJ222" s="43"/>
      <c r="AK222" s="41"/>
      <c r="AL222" s="41"/>
      <c r="AM222" s="41"/>
      <c r="AN222" s="41"/>
      <c r="AO222" s="41"/>
      <c r="AP222" s="41"/>
      <c r="AQ222" s="44"/>
      <c r="AR222" s="45"/>
      <c r="AS222" s="39"/>
    </row>
    <row r="223" spans="1:45" ht="21.25" customHeight="1" x14ac:dyDescent="0.15">
      <c r="A223" s="31">
        <f>RANK(K223,K$2:K$727)</f>
        <v>222</v>
      </c>
      <c r="B223" s="8" t="s">
        <v>327</v>
      </c>
      <c r="C223" s="32" t="s">
        <v>106</v>
      </c>
      <c r="D223" s="33" t="str">
        <f>VLOOKUP(B223,'Player Data'!A1:D734,4,FALSE)</f>
        <v>D</v>
      </c>
      <c r="E223" s="49">
        <f>VLOOKUP(B223,D!A1:C227,3,FALSE)</f>
        <v>57</v>
      </c>
      <c r="F223" s="35" t="str">
        <f>VLOOKUP(B223,'Player Data'!A1:B734,2,FALSE)</f>
        <v>ARI</v>
      </c>
      <c r="G223" s="9">
        <f>VLOOKUP(B223,'Player Data'!A1:D734,3,FALSE)</f>
        <v>23</v>
      </c>
      <c r="H223" s="36">
        <f>IFERROR(VLOOKUP(B223,ADP!A1:G728,7,FALSE)/1000000,VLOOKUP(B223,ADP!A1:G728,7,FALSE))</f>
        <v>0.88666699999999998</v>
      </c>
      <c r="I223" s="37">
        <f>IF(Settings!$E$15="POINTS",((R223*Q223)*Settings!$B$12)+(S223*Settings!$B$2)+(T223*Settings!$B$3)+(U223*Settings!$B$4)+(V223*Settings!$B$5)+(X223*Settings!$B$9)+(AA223*Settings!$B$6)+(W223*Settings!$B$8)+(AB223*Settings!$B$7)+(AC223*Settings!$B$14)+(AD223*Settings!$B$15)+(AE223*Settings!$B$16)+(AF223*Settings!$B$17)+(AG223*Settings!$B$18)+(U223*Settings!$B$13)+(Y223*Settings!$B$10)+(Z223*Settings!$B$11),VLOOKUP(B223,'Standard Deviations'!A1:C728,3,FALSE))</f>
        <v>196.3476960002024</v>
      </c>
      <c r="J223" s="38">
        <f>IF(D223="G",I223/AJ223,I223/Q223)</f>
        <v>2.5329467023601433</v>
      </c>
      <c r="K223" s="37">
        <f>VLOOKUP(B223,D!A1:F227,6,FALSE)</f>
        <v>-115.21778562772505</v>
      </c>
      <c r="L223" s="37">
        <f>IFERROR(K223/H223,"N/A")</f>
        <v>-129.94482215727555</v>
      </c>
      <c r="M223" s="53" t="str">
        <f>IF(Settings!$E$9="YAHOO",VLOOKUP(B223,ADP!A1:E728,2,FALSE),IF(Settings!$E$9="ESPN",VLOOKUP(B223,ADP!A1:E728,3,FALSE),IF(Settings!$E$9="FANTRAX",VLOOKUP(B223,ADP!A1:E728,4,FALSE),VLOOKUP(B223,ADP!A1:E728,5,FALSE))))</f>
        <v>-</v>
      </c>
      <c r="N223" s="53" t="str">
        <f>IFERROR(M223-A223,"N/A")</f>
        <v>N/A</v>
      </c>
      <c r="O223" s="39"/>
      <c r="P223" s="40" t="str">
        <f>IF(Settings!$E$27="ON",VLOOKUP(B223,ADP!A1:H728,8,FALSE)," ")</f>
        <v xml:space="preserve"> </v>
      </c>
      <c r="Q223" s="41">
        <f>IF(Settings!$E$12="YES",VLOOKUP(B223,'Player Data'!A1:E734,5,FALSE),82)</f>
        <v>77.517499999999998</v>
      </c>
      <c r="R223" s="39">
        <f>VLOOKUP(B223,'Player Data'!$A1:$AE734,6,FALSE)</f>
        <v>22.409793154380399</v>
      </c>
      <c r="S223" s="41">
        <f>VLOOKUP(B223,'Player Data'!$A1:$AE734,7,FALSE)*$Q223*IFERROR((VLOOKUP(P223,Settings!$E$28:$F$33,2,FALSE)+1),1)</f>
        <v>7.7449570226039217</v>
      </c>
      <c r="T223" s="41">
        <f>VLOOKUP(B223,'Player Data'!$A1:$AE734,8,FALSE)*$Q223*IFERROR((VLOOKUP(P223,Settings!$E$28:$F$33,2,FALSE)+1),1)</f>
        <v>25.765316333822348</v>
      </c>
      <c r="U223" s="41">
        <f>SUM(S223:T223)</f>
        <v>33.510273356426268</v>
      </c>
      <c r="V223" s="41">
        <f>VLOOKUP(B223,'Player Data'!$A1:$AE734,10,FALSE)*$Q223*IFERROR(((VLOOKUP(P223,Settings!$E$28:$F$33,2,FALSE)/2)+1),1)</f>
        <v>98.774854112746311</v>
      </c>
      <c r="W223" s="41">
        <f>VLOOKUP(B223,'Player Data'!$A1:$AE734,11,FALSE)*$Q223*IFERROR((VLOOKUP(P223,Settings!$E$28:$F$33,2,FALSE)+1),1)</f>
        <v>2.645425409474301</v>
      </c>
      <c r="X223" s="41">
        <f>VLOOKUP(B223,'Player Data'!$A1:$AE734,12,FALSE)*$Q223*IFERROR((VLOOKUP(P223,Settings!$E$28:$F$33,2,FALSE)+1),1)</f>
        <v>9.6389825050735425</v>
      </c>
      <c r="Y223" s="41">
        <f>VLOOKUP(B223,'Player Data'!$A1:$AE734,13,FALSE)*$Q223</f>
        <v>3.0828222293668699E-2</v>
      </c>
      <c r="Z223" s="41">
        <f>VLOOKUP(B223,'Player Data'!$A1:$AE734,14,FALSE)*$Q223</f>
        <v>0.16296166681147609</v>
      </c>
      <c r="AA223" s="41">
        <f>VLOOKUP(B223,'Player Data'!$A1:$AE734,15,FALSE)*$Q223</f>
        <v>134.12780265390199</v>
      </c>
      <c r="AB223" s="41">
        <f>VLOOKUP(B223,'Player Data'!$A1:$AE734,16,FALSE)*$Q223</f>
        <v>90.776199861199444</v>
      </c>
      <c r="AC223" s="41">
        <f>VLOOKUP(B223,'Player Data'!$A1:$AE734,17,FALSE)*$Q223*IFERROR((VLOOKUP(P223,Settings!$E$28:$F$33,2,FALSE)+1),1)</f>
        <v>-4.9742110703231566</v>
      </c>
      <c r="AD223" s="41">
        <f>VLOOKUP(B223,'Player Data'!$A1:$AE734,18,FALSE)*$Q223</f>
        <v>36.771319767096244</v>
      </c>
      <c r="AE223" s="41">
        <f>VLOOKUP(B223,'Player Data'!$A1:$AE734,19,FALSE)*$Q223*IFERROR((VLOOKUP(P223,Settings!$E$28:$F$33,2,FALSE)+1),1)</f>
        <v>0.95456592037694876</v>
      </c>
      <c r="AF223" s="41">
        <f>VLOOKUP(B223,'Player Data'!$A1:$AE734,20,FALSE)*$Q223</f>
        <v>0</v>
      </c>
      <c r="AG223" s="41">
        <f>VLOOKUP(B223,'Player Data'!$A1:$AE734,21,FALSE)*$Q223</f>
        <v>0</v>
      </c>
      <c r="AH223" s="42">
        <f>VLOOKUP(B223,'Player Data'!$A1:$AE734,22,FALSE)</f>
        <v>0</v>
      </c>
      <c r="AI223" s="39"/>
      <c r="AJ223" s="41"/>
      <c r="AK223" s="41"/>
      <c r="AL223" s="41"/>
      <c r="AM223" s="41"/>
      <c r="AN223" s="41"/>
      <c r="AO223" s="41"/>
      <c r="AP223" s="41"/>
      <c r="AQ223" s="44"/>
      <c r="AR223" s="45"/>
      <c r="AS223" s="39"/>
    </row>
    <row r="224" spans="1:45" ht="21.25" customHeight="1" x14ac:dyDescent="0.15">
      <c r="A224" s="31">
        <f>RANK(K224,K$2:K$727)</f>
        <v>223</v>
      </c>
      <c r="B224" s="8" t="s">
        <v>328</v>
      </c>
      <c r="C224" s="32" t="s">
        <v>106</v>
      </c>
      <c r="D224" s="33" t="str">
        <f>VLOOKUP(B224,'Player Data'!A1:D734,4,FALSE)</f>
        <v>C</v>
      </c>
      <c r="E224" s="34">
        <f>VLOOKUP(B224,'C'!A1:C211,3,FALSE)</f>
        <v>57</v>
      </c>
      <c r="F224" s="35" t="str">
        <f>VLOOKUP(B224,'Player Data'!A1:B734,2,FALSE)</f>
        <v>BUF</v>
      </c>
      <c r="G224" s="9">
        <f>VLOOKUP(B224,'Player Data'!A1:D734,3,FALSE)</f>
        <v>24</v>
      </c>
      <c r="H224" s="36">
        <f>IFERROR(VLOOKUP(B224,ADP!A1:G728,7,FALSE)/1000000,VLOOKUP(B224,ADP!A1:G728,7,FALSE))</f>
        <v>2.5</v>
      </c>
      <c r="I224" s="37">
        <f>IF(Settings!$E$15="POINTS",((R224*Q224)*Settings!$B$12)+(S224*Settings!$B$2)+(T224*Settings!$B$3)+(U224*Settings!$B$4)+(V224*Settings!$B$5)+(X224*Settings!$B$9)+(AA224*Settings!$B$6)+(W224*Settings!$B$8)+(AB224*Settings!$B$7)+(AC224*Settings!$B$14)+(AD224*Settings!$B$15)+(AE224*Settings!$B$16)+(AF224*Settings!$B$17)+(AG224*Settings!$B$18)+(Y224*Settings!$B$10)+(Z224*Settings!$B$11),VLOOKUP(B224,'Standard Deviations'!A1:C728,3,FALSE))</f>
        <v>277.464919479868</v>
      </c>
      <c r="J224" s="38">
        <f>IF(D224="G",I224/AJ224,I224/Q224)</f>
        <v>3.5390933607126018</v>
      </c>
      <c r="K224" s="37">
        <f>IF(Settings!$E$18="C/LW/RW",VLOOKUP(B224,'C'!A1:F211,6,FALSE),VLOOKUP(B224,F!A1:F430,6,FALSE))</f>
        <v>-115.86388628634165</v>
      </c>
      <c r="L224" s="37">
        <f>IFERROR(K224/H224,"N/A")</f>
        <v>-46.345554514536659</v>
      </c>
      <c r="M224" s="53" t="str">
        <f>IF(Settings!$E$9="YAHOO",VLOOKUP(B224,ADP!A1:E728,2,FALSE),IF(Settings!$E$9="ESPN",VLOOKUP(B224,ADP!A1:E728,3,FALSE),IF(Settings!$E$9="FANTRAX",VLOOKUP(B224,ADP!A1:E728,4,FALSE),VLOOKUP(B224,ADP!A1:E728,5,FALSE))))</f>
        <v>-</v>
      </c>
      <c r="N224" s="53" t="str">
        <f>IFERROR(M224-A224,"N/A")</f>
        <v>N/A</v>
      </c>
      <c r="O224" s="39"/>
      <c r="P224" s="40" t="str">
        <f>IF(Settings!$E$27="ON",VLOOKUP(B224,ADP!A1:H728,8,FALSE)," ")</f>
        <v>+</v>
      </c>
      <c r="Q224" s="41">
        <f>IF(Settings!$E$12="YES",VLOOKUP(B224,'Player Data'!A1:E734,5,FALSE),82)</f>
        <v>78.400000000000006</v>
      </c>
      <c r="R224" s="39">
        <f>VLOOKUP(B224,'Player Data'!$A1:$AE734,6,FALSE)</f>
        <v>16.520296143100602</v>
      </c>
      <c r="S224" s="41">
        <f>VLOOKUP(B224,'Player Data'!$A1:$AE734,7,FALSE)*$Q224*IFERROR((VLOOKUP(P224,Settings!$E$28:$F$33,2,FALSE)+1),1)</f>
        <v>17.166055571438726</v>
      </c>
      <c r="T224" s="41">
        <f>VLOOKUP(B224,'Player Data'!$A1:$AE734,8,FALSE)*$Q224*IFERROR((VLOOKUP(P224,Settings!$E$28:$F$33,2,FALSE)+1),1)</f>
        <v>39.695471485494643</v>
      </c>
      <c r="U224" s="41">
        <f>SUM(S224:T224)</f>
        <v>56.861527056933369</v>
      </c>
      <c r="V224" s="41">
        <f>VLOOKUP(B224,'Player Data'!$A1:$AE734,10,FALSE)*$Q224*IFERROR(((VLOOKUP(P224,Settings!$E$28:$F$33,2,FALSE)/2)+1),1)</f>
        <v>142.76913608180118</v>
      </c>
      <c r="W224" s="41">
        <f>VLOOKUP(B224,'Player Data'!$A1:$AE734,11,FALSE)*$Q224*IFERROR((VLOOKUP(P224,Settings!$E$28:$F$33,2,FALSE)+1),1)</f>
        <v>4.4610591612598514</v>
      </c>
      <c r="X224" s="41">
        <f>VLOOKUP(B224,'Player Data'!$A1:$AE734,12,FALSE)*$Q224*IFERROR((VLOOKUP(P224,Settings!$E$28:$F$33,2,FALSE)+1),1)</f>
        <v>15.476197126281887</v>
      </c>
      <c r="Y224" s="41">
        <f>VLOOKUP(B224,'Player Data'!$A1:$AE734,13,FALSE)*$Q224</f>
        <v>0.24782058798946288</v>
      </c>
      <c r="Z224" s="41">
        <f>VLOOKUP(B224,'Player Data'!$A1:$AE734,14,FALSE)*$Q224</f>
        <v>0.32795363096965491</v>
      </c>
      <c r="AA224" s="41">
        <f>VLOOKUP(B224,'Player Data'!$A1:$AE734,15,FALSE)*$Q224</f>
        <v>19.437343768321181</v>
      </c>
      <c r="AB224" s="41">
        <f>VLOOKUP(B224,'Player Data'!$A1:$AE734,16,FALSE)*$Q224</f>
        <v>37.537803904998235</v>
      </c>
      <c r="AC224" s="41">
        <f>VLOOKUP(B224,'Player Data'!$A1:$AE734,17,FALSE)*$Q224*IFERROR((VLOOKUP(P224,Settings!$E$28:$F$33,2,FALSE)+1),1)</f>
        <v>-2.3882630597436951</v>
      </c>
      <c r="AD224" s="41">
        <f>VLOOKUP(B224,'Player Data'!$A1:$AE734,18,FALSE)*$Q224</f>
        <v>16.732576185680657</v>
      </c>
      <c r="AE224" s="41">
        <f>VLOOKUP(B224,'Player Data'!$A1:$AE734,19,FALSE)*$Q224*IFERROR((VLOOKUP(P224,Settings!$E$28:$F$33,2,FALSE)+1),1)</f>
        <v>2.2121607930014164</v>
      </c>
      <c r="AF224" s="41">
        <f>VLOOKUP(B224,'Player Data'!$A1:$AE734,20,FALSE)*$Q224</f>
        <v>353.2758573201067</v>
      </c>
      <c r="AG224" s="41">
        <f>VLOOKUP(B224,'Player Data'!$A1:$AE734,21,FALSE)*$Q224</f>
        <v>412.13227781530992</v>
      </c>
      <c r="AH224" s="42">
        <f>VLOOKUP(B224,'Player Data'!$A1:$AE734,22,FALSE)</f>
        <v>0.46155226356145901</v>
      </c>
      <c r="AI224" s="39"/>
      <c r="AJ224" s="41"/>
      <c r="AK224" s="41"/>
      <c r="AL224" s="41"/>
      <c r="AM224" s="41"/>
      <c r="AN224" s="41"/>
      <c r="AO224" s="41"/>
      <c r="AP224" s="41"/>
      <c r="AQ224" s="44"/>
      <c r="AR224" s="45"/>
      <c r="AS224" s="39"/>
    </row>
    <row r="225" spans="1:45" ht="21.25" customHeight="1" x14ac:dyDescent="0.15">
      <c r="A225" s="31">
        <f>RANK(K225,K$2:K$727)</f>
        <v>224</v>
      </c>
      <c r="B225" s="8" t="s">
        <v>329</v>
      </c>
      <c r="C225" s="32" t="s">
        <v>106</v>
      </c>
      <c r="D225" s="33" t="str">
        <f>VLOOKUP(B225,'Player Data'!A1:D734,4,FALSE)</f>
        <v>D</v>
      </c>
      <c r="E225" s="49">
        <f>VLOOKUP(B225,D!A1:C227,3,FALSE)</f>
        <v>58</v>
      </c>
      <c r="F225" s="35" t="str">
        <f>VLOOKUP(B225,'Player Data'!A1:B734,2,FALSE)</f>
        <v>DET</v>
      </c>
      <c r="G225" s="9">
        <f>VLOOKUP(B225,'Player Data'!A1:D734,3,FALSE)</f>
        <v>30</v>
      </c>
      <c r="H225" s="36">
        <f>IFERROR(VLOOKUP(B225,ADP!A1:G728,7,FALSE)/1000000,VLOOKUP(B225,ADP!A1:G728,7,FALSE))</f>
        <v>4.125</v>
      </c>
      <c r="I225" s="37">
        <f>IF(Settings!$E$15="POINTS",((R225*Q225)*Settings!$B$12)+(S225*Settings!$B$2)+(T225*Settings!$B$3)+(U225*Settings!$B$4)+(V225*Settings!$B$5)+(X225*Settings!$B$9)+(AA225*Settings!$B$6)+(W225*Settings!$B$8)+(AB225*Settings!$B$7)+(AC225*Settings!$B$14)+(AD225*Settings!$B$15)+(AE225*Settings!$B$16)+(AF225*Settings!$B$17)+(AG225*Settings!$B$18)+(U225*Settings!$B$13)+(Y225*Settings!$B$10)+(Z225*Settings!$B$11),VLOOKUP(B225,'Standard Deviations'!A1:C728,3,FALSE))</f>
        <v>195.41886816739995</v>
      </c>
      <c r="J225" s="38">
        <f>IF(D225="G",I225/AJ225,I225/Q225)</f>
        <v>2.4865275993216245</v>
      </c>
      <c r="K225" s="37">
        <f>VLOOKUP(B225,D!A1:F227,6,FALSE)</f>
        <v>-116.1466134605275</v>
      </c>
      <c r="L225" s="37">
        <f>IFERROR(K225/H225,"N/A")</f>
        <v>-28.156754778309697</v>
      </c>
      <c r="M225" s="39">
        <f>IF(Settings!$E$9="YAHOO",VLOOKUP(B225,ADP!A1:E728,2,FALSE),IF(Settings!$E$9="ESPN",VLOOKUP(B225,ADP!A1:E728,3,FALSE),IF(Settings!$E$9="FANTRAX",VLOOKUP(B225,ADP!A1:E728,4,FALSE),VLOOKUP(B225,ADP!A1:E728,5,FALSE))))</f>
        <v>141.30000000000001</v>
      </c>
      <c r="N225" s="39">
        <f>IFERROR(M225-A225,"N/A")</f>
        <v>-82.699999999999989</v>
      </c>
      <c r="O225" s="39"/>
      <c r="P225" s="40" t="str">
        <f>IF(Settings!$E$27="ON",VLOOKUP(B225,ADP!A1:H728,8,FALSE)," ")</f>
        <v xml:space="preserve"> </v>
      </c>
      <c r="Q225" s="41">
        <f>IF(Settings!$E$12="YES",VLOOKUP(B225,'Player Data'!A1:E734,5,FALSE),82)</f>
        <v>78.591071428571396</v>
      </c>
      <c r="R225" s="39">
        <f>VLOOKUP(B225,'Player Data'!$A1:$AE734,6,FALSE)</f>
        <v>17.5118288729951</v>
      </c>
      <c r="S225" s="41">
        <f>VLOOKUP(B225,'Player Data'!$A1:$AE734,7,FALSE)*$Q225*IFERROR((VLOOKUP(P225,Settings!$E$28:$F$33,2,FALSE)+1),1)</f>
        <v>9.7098690421764751</v>
      </c>
      <c r="T225" s="41">
        <f>VLOOKUP(B225,'Player Data'!$A1:$AE734,8,FALSE)*$Q225*IFERROR((VLOOKUP(P225,Settings!$E$28:$F$33,2,FALSE)+1),1)</f>
        <v>22.739300183133253</v>
      </c>
      <c r="U225" s="41">
        <f>SUM(S225:T225)</f>
        <v>32.449169225309731</v>
      </c>
      <c r="V225" s="41">
        <f>VLOOKUP(B225,'Player Data'!$A1:$AE734,10,FALSE)*$Q225*IFERROR(((VLOOKUP(P225,Settings!$E$28:$F$33,2,FALSE)/2)+1),1)</f>
        <v>122.74441293632012</v>
      </c>
      <c r="W225" s="41">
        <f>VLOOKUP(B225,'Player Data'!$A1:$AE734,11,FALSE)*$Q225*IFERROR((VLOOKUP(P225,Settings!$E$28:$F$33,2,FALSE)+1),1)</f>
        <v>2.5949222341859022</v>
      </c>
      <c r="X225" s="41">
        <f>VLOOKUP(B225,'Player Data'!$A1:$AE734,12,FALSE)*$Q225*IFERROR((VLOOKUP(P225,Settings!$E$28:$F$33,2,FALSE)+1),1)</f>
        <v>9.6561650670687218</v>
      </c>
      <c r="Y225" s="41">
        <f>VLOOKUP(B225,'Player Data'!$A1:$AE734,13,FALSE)*$Q225</f>
        <v>0.26059732129131591</v>
      </c>
      <c r="Z225" s="41">
        <f>VLOOKUP(B225,'Player Data'!$A1:$AE734,14,FALSE)*$Q225</f>
        <v>0.28556335069800126</v>
      </c>
      <c r="AA225" s="41">
        <f>VLOOKUP(B225,'Player Data'!$A1:$AE734,15,FALSE)*$Q225</f>
        <v>84.078485938886359</v>
      </c>
      <c r="AB225" s="41">
        <f>VLOOKUP(B225,'Player Data'!$A1:$AE734,16,FALSE)*$Q225</f>
        <v>54.38479674520709</v>
      </c>
      <c r="AC225" s="41">
        <f>VLOOKUP(B225,'Player Data'!$A1:$AE734,17,FALSE)*$Q225*IFERROR((VLOOKUP(P225,Settings!$E$28:$F$33,2,FALSE)+1),1)</f>
        <v>-2.2133154284358389</v>
      </c>
      <c r="AD225" s="41">
        <f>VLOOKUP(B225,'Player Data'!$A1:$AE734,18,FALSE)*$Q225</f>
        <v>20.537982936399906</v>
      </c>
      <c r="AE225" s="41">
        <f>VLOOKUP(B225,'Player Data'!$A1:$AE734,19,FALSE)*$Q225*IFERROR((VLOOKUP(P225,Settings!$E$28:$F$33,2,FALSE)+1),1)</f>
        <v>1.2536543605082873</v>
      </c>
      <c r="AF225" s="41">
        <f>VLOOKUP(B225,'Player Data'!$A1:$AE734,20,FALSE)*$Q225</f>
        <v>0</v>
      </c>
      <c r="AG225" s="41">
        <f>VLOOKUP(B225,'Player Data'!$A1:$AE734,21,FALSE)*$Q225</f>
        <v>0</v>
      </c>
      <c r="AH225" s="42">
        <f>VLOOKUP(B225,'Player Data'!$A1:$AE734,22,FALSE)</f>
        <v>0</v>
      </c>
      <c r="AI225" s="39"/>
      <c r="AJ225" s="43"/>
      <c r="AK225" s="41"/>
      <c r="AL225" s="41"/>
      <c r="AM225" s="41"/>
      <c r="AN225" s="41"/>
      <c r="AO225" s="41"/>
      <c r="AP225" s="41"/>
      <c r="AQ225" s="44"/>
      <c r="AR225" s="45"/>
      <c r="AS225" s="39"/>
    </row>
    <row r="226" spans="1:45" ht="21.25" customHeight="1" x14ac:dyDescent="0.15">
      <c r="A226" s="31">
        <f>RANK(K226,K$2:K$727)</f>
        <v>225</v>
      </c>
      <c r="B226" s="8" t="s">
        <v>330</v>
      </c>
      <c r="C226" s="32" t="s">
        <v>106</v>
      </c>
      <c r="D226" s="33" t="str">
        <f>VLOOKUP(B226,'Player Data'!A1:D734,4,FALSE)</f>
        <v>D</v>
      </c>
      <c r="E226" s="49">
        <f>VLOOKUP(B226,D!A1:C227,3,FALSE)</f>
        <v>59</v>
      </c>
      <c r="F226" s="35" t="str">
        <f>VLOOKUP(B226,'Player Data'!A1:B734,2,FALSE)</f>
        <v>DET</v>
      </c>
      <c r="G226" s="9">
        <f>VLOOKUP(B226,'Player Data'!A1:D734,3,FALSE)</f>
        <v>35</v>
      </c>
      <c r="H226" s="36">
        <f>IFERROR(VLOOKUP(B226,ADP!A1:G728,7,FALSE)/1000000,VLOOKUP(B226,ADP!A1:G728,7,FALSE))</f>
        <v>6.25</v>
      </c>
      <c r="I226" s="37">
        <f>IF(Settings!$E$15="POINTS",((R226*Q226)*Settings!$B$12)+(S226*Settings!$B$2)+(T226*Settings!$B$3)+(U226*Settings!$B$4)+(V226*Settings!$B$5)+(X226*Settings!$B$9)+(AA226*Settings!$B$6)+(W226*Settings!$B$8)+(AB226*Settings!$B$7)+(AC226*Settings!$B$14)+(AD226*Settings!$B$15)+(AE226*Settings!$B$16)+(AF226*Settings!$B$17)+(AG226*Settings!$B$18)+(U226*Settings!$B$13)+(Y226*Settings!$B$10)+(Z226*Settings!$B$11),VLOOKUP(B226,'Standard Deviations'!A1:C728,3,FALSE))</f>
        <v>195.14579387297238</v>
      </c>
      <c r="J226" s="38">
        <f>IF(D226="G",I226/AJ226,I226/Q226)</f>
        <v>2.5599245847649432</v>
      </c>
      <c r="K226" s="37">
        <f>VLOOKUP(B226,D!A1:F227,6,FALSE)</f>
        <v>-116.41968775495508</v>
      </c>
      <c r="L226" s="37">
        <f>IFERROR(K226/H226,"N/A")</f>
        <v>-18.627150040792813</v>
      </c>
      <c r="M226" s="39">
        <f>IF(Settings!$E$9="YAHOO",VLOOKUP(B226,ADP!A1:E728,2,FALSE),IF(Settings!$E$9="ESPN",VLOOKUP(B226,ADP!A1:E728,3,FALSE),IF(Settings!$E$9="FANTRAX",VLOOKUP(B226,ADP!A1:E728,4,FALSE),VLOOKUP(B226,ADP!A1:E728,5,FALSE))))</f>
        <v>172.6</v>
      </c>
      <c r="N226" s="39">
        <f>IFERROR(M226-A226,"N/A")</f>
        <v>-52.400000000000006</v>
      </c>
      <c r="O226" s="39"/>
      <c r="P226" s="40" t="str">
        <f>IF(Settings!$E$27="ON",VLOOKUP(B226,ADP!A1:H728,8,FALSE)," ")</f>
        <v xml:space="preserve"> </v>
      </c>
      <c r="Q226" s="41">
        <f>IF(Settings!$E$12="YES",VLOOKUP(B226,'Player Data'!A1:E734,5,FALSE),82)</f>
        <v>76.231071428571397</v>
      </c>
      <c r="R226" s="39">
        <f>VLOOKUP(B226,'Player Data'!$A1:$AE734,6,FALSE)</f>
        <v>19.9386875110429</v>
      </c>
      <c r="S226" s="41">
        <f>VLOOKUP(B226,'Player Data'!$A1:$AE734,7,FALSE)*$Q226*IFERROR((VLOOKUP(P226,Settings!$E$28:$F$33,2,FALSE)+1),1)</f>
        <v>6.576932556361986</v>
      </c>
      <c r="T226" s="41">
        <f>VLOOKUP(B226,'Player Data'!$A1:$AE734,8,FALSE)*$Q226*IFERROR((VLOOKUP(P226,Settings!$E$28:$F$33,2,FALSE)+1),1)</f>
        <v>24.545810430229878</v>
      </c>
      <c r="U226" s="41">
        <f>SUM(S226:T226)</f>
        <v>31.122742986591863</v>
      </c>
      <c r="V226" s="41">
        <f>VLOOKUP(B226,'Player Data'!$A1:$AE734,10,FALSE)*$Q226*IFERROR(((VLOOKUP(P226,Settings!$E$28:$F$33,2,FALSE)/2)+1),1)</f>
        <v>126.63562307003502</v>
      </c>
      <c r="W226" s="41">
        <f>VLOOKUP(B226,'Player Data'!$A1:$AE734,11,FALSE)*$Q226*IFERROR((VLOOKUP(P226,Settings!$E$28:$F$33,2,FALSE)+1),1)</f>
        <v>1.4628036790673071</v>
      </c>
      <c r="X226" s="41">
        <f>VLOOKUP(B226,'Player Data'!$A1:$AE734,12,FALSE)*$Q226*IFERROR((VLOOKUP(P226,Settings!$E$28:$F$33,2,FALSE)+1),1)</f>
        <v>7.0579771136349381</v>
      </c>
      <c r="Y226" s="41">
        <f>VLOOKUP(B226,'Player Data'!$A1:$AE734,13,FALSE)*$Q226</f>
        <v>2.3367792496476913E-2</v>
      </c>
      <c r="Z226" s="41">
        <f>VLOOKUP(B226,'Player Data'!$A1:$AE734,14,FALSE)*$Q226</f>
        <v>0.4314481550855494</v>
      </c>
      <c r="AA226" s="41">
        <f>VLOOKUP(B226,'Player Data'!$A1:$AE734,15,FALSE)*$Q226</f>
        <v>117.40451420369153</v>
      </c>
      <c r="AB226" s="41">
        <f>VLOOKUP(B226,'Player Data'!$A1:$AE734,16,FALSE)*$Q226</f>
        <v>170.52229503396549</v>
      </c>
      <c r="AC226" s="41">
        <f>VLOOKUP(B226,'Player Data'!$A1:$AE734,17,FALSE)*$Q226*IFERROR((VLOOKUP(P226,Settings!$E$28:$F$33,2,FALSE)+1),1)</f>
        <v>-0.76192266235413575</v>
      </c>
      <c r="AD226" s="41">
        <f>VLOOKUP(B226,'Player Data'!$A1:$AE734,18,FALSE)*$Q226</f>
        <v>31.625867507809602</v>
      </c>
      <c r="AE226" s="41">
        <f>VLOOKUP(B226,'Player Data'!$A1:$AE734,19,FALSE)*$Q226*IFERROR((VLOOKUP(P226,Settings!$E$28:$F$33,2,FALSE)+1),1)</f>
        <v>0.84915668195293548</v>
      </c>
      <c r="AF226" s="41">
        <f>VLOOKUP(B226,'Player Data'!$A1:$AE734,20,FALSE)*$Q226</f>
        <v>0</v>
      </c>
      <c r="AG226" s="41">
        <f>VLOOKUP(B226,'Player Data'!$A1:$AE734,21,FALSE)*$Q226</f>
        <v>0</v>
      </c>
      <c r="AH226" s="42">
        <f>VLOOKUP(B226,'Player Data'!$A1:$AE734,22,FALSE)</f>
        <v>0</v>
      </c>
      <c r="AI226" s="39"/>
      <c r="AJ226" s="43"/>
      <c r="AK226" s="41"/>
      <c r="AL226" s="41"/>
      <c r="AM226" s="41"/>
      <c r="AN226" s="41"/>
      <c r="AO226" s="41"/>
      <c r="AP226" s="41"/>
      <c r="AQ226" s="44"/>
      <c r="AR226" s="45"/>
      <c r="AS226" s="39"/>
    </row>
    <row r="227" spans="1:45" ht="21.25" customHeight="1" x14ac:dyDescent="0.15">
      <c r="A227" s="31">
        <f>RANK(K227,K$2:K$727)</f>
        <v>226</v>
      </c>
      <c r="B227" s="8" t="s">
        <v>331</v>
      </c>
      <c r="C227" s="32" t="s">
        <v>106</v>
      </c>
      <c r="D227" s="33" t="str">
        <f>VLOOKUP(B227,'Player Data'!A1:D734,4,FALSE)</f>
        <v>RW</v>
      </c>
      <c r="E227" s="46">
        <f>VLOOKUP(B227,RW!A1:F97,3,FALSE)</f>
        <v>38</v>
      </c>
      <c r="F227" s="35" t="str">
        <f>VLOOKUP(B227,'Player Data'!A1:B734,2,FALSE)</f>
        <v>NYR</v>
      </c>
      <c r="G227" s="9">
        <f>VLOOKUP(B227,'Player Data'!A1:D734,3,FALSE)</f>
        <v>36</v>
      </c>
      <c r="H227" s="36">
        <f>IFERROR(VLOOKUP(B227,ADP!A1:G728,7,FALSE)/1000000,VLOOKUP(B227,ADP!A1:G728,7,FALSE))</f>
        <v>0.88</v>
      </c>
      <c r="I227" s="37">
        <f>IF(Settings!$E$15="POINTS",((R227*Q227)*Settings!$B$12)+(S227*Settings!$B$2)+(T227*Settings!$B$3)+(U227*Settings!$B$4)+(V227*Settings!$B$5)+(X227*Settings!$B$9)+(AA227*Settings!$B$6)+(W227*Settings!$B$8)+(AB227*Settings!$B$7)+(AC227*Settings!$B$14)+(AD227*Settings!$B$15)+(AE227*Settings!$B$16)+(AF227*Settings!$B$17)+(AG227*Settings!$B$18)+(Y227*Settings!$B$10)+(Z227*Settings!$B$11),VLOOKUP(B227,'Standard Deviations'!A1:C728,3,FALSE))</f>
        <v>233.39779012995831</v>
      </c>
      <c r="J227" s="38">
        <f>IF(D227="G",I227/AJ227,I227/Q227)</f>
        <v>3.0694080764066056</v>
      </c>
      <c r="K227" s="37">
        <f>IF(Settings!$E$18="C/LW/RW",VLOOKUP(B227,RW!A1:F97,6,FALSE),VLOOKUP(B227,F!A1:F430,6,FALSE))</f>
        <v>-116.87375041793126</v>
      </c>
      <c r="L227" s="37">
        <f>IFERROR(K227/H227,"N/A")</f>
        <v>-132.81108002037644</v>
      </c>
      <c r="M227" s="39">
        <f>IF(Settings!$E$9="YAHOO",VLOOKUP(B227,ADP!A1:E728,2,FALSE),IF(Settings!$E$9="ESPN",VLOOKUP(B227,ADP!A1:E728,3,FALSE),IF(Settings!$E$9="FANTRAX",VLOOKUP(B227,ADP!A1:E728,4,FALSE),VLOOKUP(B227,ADP!A1:E728,5,FALSE))))</f>
        <v>162.69999999999999</v>
      </c>
      <c r="N227" s="39">
        <f>IFERROR(M227-A227,"N/A")</f>
        <v>-63.300000000000011</v>
      </c>
      <c r="O227" s="39"/>
      <c r="P227" s="40" t="str">
        <f>IF(Settings!$E$27="ON",VLOOKUP(B227,ADP!A1:H728,8,FALSE)," ")</f>
        <v>-</v>
      </c>
      <c r="Q227" s="41">
        <f>IF(Settings!$E$12="YES",VLOOKUP(B227,'Player Data'!A1:E734,5,FALSE),82)</f>
        <v>76.040000000000006</v>
      </c>
      <c r="R227" s="39">
        <f>VLOOKUP(B227,'Player Data'!$A1:$AE734,6,FALSE)</f>
        <v>15.9155208675902</v>
      </c>
      <c r="S227" s="41">
        <f>VLOOKUP(B227,'Player Data'!$A1:$AE734,7,FALSE)*$Q227*IFERROR((VLOOKUP(P227,Settings!$E$28:$F$33,2,FALSE)+1),1)</f>
        <v>13.625167722711931</v>
      </c>
      <c r="T227" s="41">
        <f>VLOOKUP(B227,'Player Data'!$A1:$AE734,8,FALSE)*$Q227*IFERROR((VLOOKUP(P227,Settings!$E$28:$F$33,2,FALSE)+1),1)</f>
        <v>32.921914932797847</v>
      </c>
      <c r="U227" s="41">
        <f>SUM(S227:T227)</f>
        <v>46.547082655509776</v>
      </c>
      <c r="V227" s="41">
        <f>VLOOKUP(B227,'Player Data'!$A1:$AE734,10,FALSE)*$Q227*IFERROR(((VLOOKUP(P227,Settings!$E$28:$F$33,2,FALSE)/2)+1),1)</f>
        <v>133.26848739098224</v>
      </c>
      <c r="W227" s="41">
        <f>VLOOKUP(B227,'Player Data'!$A1:$AE734,11,FALSE)*$Q227*IFERROR((VLOOKUP(P227,Settings!$E$28:$F$33,2,FALSE)+1),1)</f>
        <v>2.8315129562887806</v>
      </c>
      <c r="X227" s="41">
        <f>VLOOKUP(B227,'Player Data'!$A1:$AE734,12,FALSE)*$Q227*IFERROR((VLOOKUP(P227,Settings!$E$28:$F$33,2,FALSE)+1),1)</f>
        <v>9.8193931118123885</v>
      </c>
      <c r="Y227" s="41">
        <f>VLOOKUP(B227,'Player Data'!$A1:$AE734,13,FALSE)*$Q227</f>
        <v>8.0174906651122715E-2</v>
      </c>
      <c r="Z227" s="41">
        <f>VLOOKUP(B227,'Player Data'!$A1:$AE734,14,FALSE)*$Q227</f>
        <v>0.15432243451519506</v>
      </c>
      <c r="AA227" s="41">
        <f>VLOOKUP(B227,'Player Data'!$A1:$AE734,15,FALSE)*$Q227</f>
        <v>35.874336876413537</v>
      </c>
      <c r="AB227" s="41">
        <f>VLOOKUP(B227,'Player Data'!$A1:$AE734,16,FALSE)*$Q227</f>
        <v>59.331580884472146</v>
      </c>
      <c r="AC227" s="41">
        <f>VLOOKUP(B227,'Player Data'!$A1:$AE734,17,FALSE)*$Q227*IFERROR((VLOOKUP(P227,Settings!$E$28:$F$33,2,FALSE)+1),1)</f>
        <v>3.5261858885571544</v>
      </c>
      <c r="AD227" s="41">
        <f>VLOOKUP(B227,'Player Data'!$A1:$AE734,18,FALSE)*$Q227</f>
        <v>40.909318597338363</v>
      </c>
      <c r="AE227" s="41">
        <f>VLOOKUP(B227,'Player Data'!$A1:$AE734,19,FALSE)*$Q227*IFERROR((VLOOKUP(P227,Settings!$E$28:$F$33,2,FALSE)+1),1)</f>
        <v>2.3217031366733867</v>
      </c>
      <c r="AF227" s="41">
        <f>VLOOKUP(B227,'Player Data'!$A1:$AE734,20,FALSE)*$Q227</f>
        <v>34.64859053088567</v>
      </c>
      <c r="AG227" s="41">
        <f>VLOOKUP(B227,'Player Data'!$A1:$AE734,21,FALSE)*$Q227</f>
        <v>60.560360733802668</v>
      </c>
      <c r="AH227" s="42">
        <f>VLOOKUP(B227,'Player Data'!$A1:$AE734,22,FALSE)</f>
        <v>0.36392156483858201</v>
      </c>
      <c r="AI227" s="39"/>
      <c r="AJ227" s="43"/>
      <c r="AK227" s="41"/>
      <c r="AL227" s="41"/>
      <c r="AM227" s="41"/>
      <c r="AN227" s="41"/>
      <c r="AO227" s="41"/>
      <c r="AP227" s="41"/>
      <c r="AQ227" s="44"/>
      <c r="AR227" s="45"/>
      <c r="AS227" s="39"/>
    </row>
    <row r="228" spans="1:45" ht="21.25" customHeight="1" x14ac:dyDescent="0.15">
      <c r="A228" s="31">
        <f>RANK(K228,K$2:K$727)</f>
        <v>227</v>
      </c>
      <c r="B228" s="8" t="s">
        <v>332</v>
      </c>
      <c r="C228" s="32" t="s">
        <v>106</v>
      </c>
      <c r="D228" s="33" t="str">
        <f>VLOOKUP(B228,'Player Data'!A1:D734,4,FALSE)</f>
        <v>D</v>
      </c>
      <c r="E228" s="49">
        <f>VLOOKUP(B228,D!A1:C227,3,FALSE)</f>
        <v>60</v>
      </c>
      <c r="F228" s="35" t="str">
        <f>VLOOKUP(B228,'Player Data'!A1:B734,2,FALSE)</f>
        <v>ANA</v>
      </c>
      <c r="G228" s="9">
        <f>VLOOKUP(B228,'Player Data'!A1:D734,3,FALSE)</f>
        <v>21</v>
      </c>
      <c r="H228" s="36">
        <f>IFERROR(VLOOKUP(B228,ADP!A1:G728,7,FALSE)/1000000,VLOOKUP(B228,ADP!A1:G728,7,FALSE))</f>
        <v>0</v>
      </c>
      <c r="I228" s="37">
        <f>IF(Settings!$E$15="POINTS",((R228*Q228)*Settings!$B$12)+(S228*Settings!$B$2)+(T228*Settings!$B$3)+(U228*Settings!$B$4)+(V228*Settings!$B$5)+(X228*Settings!$B$9)+(AA228*Settings!$B$6)+(W228*Settings!$B$8)+(AB228*Settings!$B$7)+(AC228*Settings!$B$14)+(AD228*Settings!$B$15)+(AE228*Settings!$B$16)+(AF228*Settings!$B$17)+(AG228*Settings!$B$18)+(U228*Settings!$B$13)+(Y228*Settings!$B$10)+(Z228*Settings!$B$11),VLOOKUP(B228,'Standard Deviations'!A1:C728,3,FALSE))</f>
        <v>194.61904467027369</v>
      </c>
      <c r="J228" s="38">
        <f>IF(D228="G",I228/AJ228,I228/Q228)</f>
        <v>2.6679591535746043</v>
      </c>
      <c r="K228" s="37">
        <f>VLOOKUP(B228,D!A1:F227,6,FALSE)</f>
        <v>-116.94643695765376</v>
      </c>
      <c r="L228" s="52" t="str">
        <f>IFERROR(K228/H228,"N/A")</f>
        <v>N/A</v>
      </c>
      <c r="M228" s="53" t="str">
        <f>IF(Settings!$E$9="YAHOO",VLOOKUP(B228,ADP!A1:E728,2,FALSE),IF(Settings!$E$9="ESPN",VLOOKUP(B228,ADP!A1:E728,3,FALSE),IF(Settings!$E$9="FANTRAX",VLOOKUP(B228,ADP!A1:E728,4,FALSE),VLOOKUP(B228,ADP!A1:E728,5,FALSE))))</f>
        <v>-</v>
      </c>
      <c r="N228" s="53" t="str">
        <f>IFERROR(M228-A228,"N/A")</f>
        <v>N/A</v>
      </c>
      <c r="O228" s="39"/>
      <c r="P228" s="40" t="str">
        <f>IF(Settings!$E$27="ON",VLOOKUP(B228,ADP!A1:H728,8,FALSE)," ")</f>
        <v>+</v>
      </c>
      <c r="Q228" s="41">
        <f>IF(Settings!$E$12="YES",VLOOKUP(B228,'Player Data'!A1:E734,5,FALSE),82)</f>
        <v>72.946785714285696</v>
      </c>
      <c r="R228" s="39">
        <f>VLOOKUP(B228,'Player Data'!$A1:$AE734,6,FALSE)</f>
        <v>21.8423006121808</v>
      </c>
      <c r="S228" s="41">
        <f>VLOOKUP(B228,'Player Data'!$A1:$AE734,7,FALSE)*$Q228*IFERROR((VLOOKUP(P228,Settings!$E$28:$F$33,2,FALSE)+1),1)</f>
        <v>5.6030006204336269</v>
      </c>
      <c r="T228" s="41">
        <f>VLOOKUP(B228,'Player Data'!$A1:$AE734,8,FALSE)*$Q228*IFERROR((VLOOKUP(P228,Settings!$E$28:$F$33,2,FALSE)+1),1)</f>
        <v>25.387897206776181</v>
      </c>
      <c r="U228" s="41">
        <f>SUM(S228:T228)</f>
        <v>30.990897827209807</v>
      </c>
      <c r="V228" s="41">
        <f>VLOOKUP(B228,'Player Data'!$A1:$AE734,10,FALSE)*$Q228*IFERROR(((VLOOKUP(P228,Settings!$E$28:$F$33,2,FALSE)/2)+1),1)</f>
        <v>123.37548322311564</v>
      </c>
      <c r="W228" s="41">
        <f>VLOOKUP(B228,'Player Data'!$A1:$AE734,11,FALSE)*$Q228*IFERROR((VLOOKUP(P228,Settings!$E$28:$F$33,2,FALSE)+1),1)</f>
        <v>0.46407988470212003</v>
      </c>
      <c r="X228" s="41">
        <f>VLOOKUP(B228,'Player Data'!$A1:$AE734,12,FALSE)*$Q228*IFERROR((VLOOKUP(P228,Settings!$E$28:$F$33,2,FALSE)+1),1)</f>
        <v>9.8724089288596169</v>
      </c>
      <c r="Y228" s="41">
        <f>VLOOKUP(B228,'Player Data'!$A1:$AE734,13,FALSE)*$Q228</f>
        <v>0.11753451308625242</v>
      </c>
      <c r="Z228" s="41">
        <f>VLOOKUP(B228,'Player Data'!$A1:$AE734,14,FALSE)*$Q228</f>
        <v>0.44393613642383578</v>
      </c>
      <c r="AA228" s="41">
        <f>VLOOKUP(B228,'Player Data'!$A1:$AE734,15,FALSE)*$Q228</f>
        <v>96.629597232597845</v>
      </c>
      <c r="AB228" s="41">
        <f>VLOOKUP(B228,'Player Data'!$A1:$AE734,16,FALSE)*$Q228</f>
        <v>77.228600367166266</v>
      </c>
      <c r="AC228" s="41">
        <f>VLOOKUP(B228,'Player Data'!$A1:$AE734,17,FALSE)*$Q228*IFERROR((VLOOKUP(P228,Settings!$E$28:$F$33,2,FALSE)+1),1)</f>
        <v>-9.0305416733646702</v>
      </c>
      <c r="AD228" s="41">
        <f>VLOOKUP(B228,'Player Data'!$A1:$AE734,18,FALSE)*$Q228</f>
        <v>24.090716721846267</v>
      </c>
      <c r="AE228" s="41">
        <f>VLOOKUP(B228,'Player Data'!$A1:$AE734,19,FALSE)*$Q228*IFERROR((VLOOKUP(P228,Settings!$E$28:$F$33,2,FALSE)+1),1)</f>
        <v>0.60741812721064659</v>
      </c>
      <c r="AF228" s="41">
        <f>VLOOKUP(B228,'Player Data'!$A1:$AE734,20,FALSE)*$Q228</f>
        <v>0</v>
      </c>
      <c r="AG228" s="41">
        <f>VLOOKUP(B228,'Player Data'!$A1:$AE734,21,FALSE)*$Q228</f>
        <v>0</v>
      </c>
      <c r="AH228" s="42">
        <f>VLOOKUP(B228,'Player Data'!$A1:$AE734,22,FALSE)</f>
        <v>0</v>
      </c>
      <c r="AI228" s="39"/>
      <c r="AJ228" s="43"/>
      <c r="AK228" s="41"/>
      <c r="AL228" s="41"/>
      <c r="AM228" s="41"/>
      <c r="AN228" s="41"/>
      <c r="AO228" s="41"/>
      <c r="AP228" s="41"/>
      <c r="AQ228" s="44"/>
      <c r="AR228" s="45"/>
      <c r="AS228" s="39"/>
    </row>
    <row r="229" spans="1:45" ht="21.25" customHeight="1" x14ac:dyDescent="0.15">
      <c r="A229" s="31">
        <f>RANK(K229,K$2:K$727)</f>
        <v>228</v>
      </c>
      <c r="B229" s="8" t="s">
        <v>333</v>
      </c>
      <c r="C229" s="32" t="s">
        <v>106</v>
      </c>
      <c r="D229" s="33" t="str">
        <f>VLOOKUP(B229,'Player Data'!A1:D734,4,FALSE)</f>
        <v>RW</v>
      </c>
      <c r="E229" s="46">
        <f>VLOOKUP(B229,RW!A1:F97,3,FALSE)</f>
        <v>39</v>
      </c>
      <c r="F229" s="35" t="str">
        <f>VLOOKUP(B229,'Player Data'!A1:B734,2,FALSE)</f>
        <v>WSH</v>
      </c>
      <c r="G229" s="9">
        <f>VLOOKUP(B229,'Player Data'!A1:D734,3,FALSE)</f>
        <v>36</v>
      </c>
      <c r="H229" s="36">
        <f>IFERROR(VLOOKUP(B229,ADP!A1:G728,7,FALSE)/1000000,VLOOKUP(B229,ADP!A1:G728,7,FALSE))</f>
        <v>5.75</v>
      </c>
      <c r="I229" s="37">
        <f>IF(Settings!$E$15="POINTS",((R229*Q229)*Settings!$B$12)+(S229*Settings!$B$2)+(T229*Settings!$B$3)+(U229*Settings!$B$4)+(V229*Settings!$B$5)+(X229*Settings!$B$9)+(AA229*Settings!$B$6)+(W229*Settings!$B$8)+(AB229*Settings!$B$7)+(AC229*Settings!$B$14)+(AD229*Settings!$B$15)+(AE229*Settings!$B$16)+(AF229*Settings!$B$17)+(AG229*Settings!$B$18)+(Y229*Settings!$B$10)+(Z229*Settings!$B$11),VLOOKUP(B229,'Standard Deviations'!A1:C728,3,FALSE))</f>
        <v>232.4325036760134</v>
      </c>
      <c r="J229" s="38">
        <f>IF(D229="G",I229/AJ229,I229/Q229)</f>
        <v>3.2234963064787681</v>
      </c>
      <c r="K229" s="37">
        <f>IF(Settings!$E$18="C/LW/RW",VLOOKUP(B229,RW!A1:F97,6,FALSE),VLOOKUP(B229,F!A1:F430,6,FALSE))</f>
        <v>-117.83903687187617</v>
      </c>
      <c r="L229" s="37">
        <f>IFERROR(K229/H229,"N/A")</f>
        <v>-20.493745542934988</v>
      </c>
      <c r="M229" s="39">
        <f>IF(Settings!$E$9="YAHOO",VLOOKUP(B229,ADP!A1:E728,2,FALSE),IF(Settings!$E$9="ESPN",VLOOKUP(B229,ADP!A1:E728,3,FALSE),IF(Settings!$E$9="FANTRAX",VLOOKUP(B229,ADP!A1:E728,4,FALSE),VLOOKUP(B229,ADP!A1:E728,5,FALSE))))</f>
        <v>162.5</v>
      </c>
      <c r="N229" s="39">
        <f>IFERROR(M229-A229,"N/A")</f>
        <v>-65.5</v>
      </c>
      <c r="O229" s="39"/>
      <c r="P229" s="40" t="str">
        <f>IF(Settings!$E$27="ON",VLOOKUP(B229,ADP!A1:H728,8,FALSE)," ")</f>
        <v xml:space="preserve"> </v>
      </c>
      <c r="Q229" s="41">
        <f>IF(Settings!$E$12="YES",VLOOKUP(B229,'Player Data'!A1:E734,5,FALSE),82)</f>
        <v>72.105714285714299</v>
      </c>
      <c r="R229" s="39">
        <f>VLOOKUP(B229,'Player Data'!$A1:$AE734,6,FALSE)</f>
        <v>16.587066733611501</v>
      </c>
      <c r="S229" s="41">
        <f>VLOOKUP(B229,'Player Data'!$A1:$AE734,7,FALSE)*$Q229*IFERROR((VLOOKUP(P229,Settings!$E$28:$F$33,2,FALSE)+1),1)</f>
        <v>20.47814484132055</v>
      </c>
      <c r="T229" s="41">
        <f>VLOOKUP(B229,'Player Data'!$A1:$AE734,8,FALSE)*$Q229*IFERROR((VLOOKUP(P229,Settings!$E$28:$F$33,2,FALSE)+1),1)</f>
        <v>20.580431874199498</v>
      </c>
      <c r="U229" s="41">
        <f>SUM(S229:T229)</f>
        <v>41.058576715520047</v>
      </c>
      <c r="V229" s="41">
        <f>VLOOKUP(B229,'Player Data'!$A1:$AE734,10,FALSE)*$Q229*IFERROR(((VLOOKUP(P229,Settings!$E$28:$F$33,2,FALSE)/2)+1),1)</f>
        <v>147.55713870058264</v>
      </c>
      <c r="W229" s="41">
        <f>VLOOKUP(B229,'Player Data'!$A1:$AE734,11,FALSE)*$Q229*IFERROR((VLOOKUP(P229,Settings!$E$28:$F$33,2,FALSE)+1),1)</f>
        <v>9.1222041103651144</v>
      </c>
      <c r="X229" s="41">
        <f>VLOOKUP(B229,'Player Data'!$A1:$AE734,12,FALSE)*$Q229*IFERROR((VLOOKUP(P229,Settings!$E$28:$F$33,2,FALSE)+1),1)</f>
        <v>13.587062684074713</v>
      </c>
      <c r="Y229" s="41">
        <f>VLOOKUP(B229,'Player Data'!$A1:$AE734,13,FALSE)*$Q229</f>
        <v>1.6925083021419322E-2</v>
      </c>
      <c r="Z229" s="41">
        <f>VLOOKUP(B229,'Player Data'!$A1:$AE734,14,FALSE)*$Q229</f>
        <v>7.6644699695077895E-2</v>
      </c>
      <c r="AA229" s="41">
        <f>VLOOKUP(B229,'Player Data'!$A1:$AE734,15,FALSE)*$Q229</f>
        <v>40.753947058111734</v>
      </c>
      <c r="AB229" s="41">
        <f>VLOOKUP(B229,'Player Data'!$A1:$AE734,16,FALSE)*$Q229</f>
        <v>134.19639443283489</v>
      </c>
      <c r="AC229" s="41">
        <f>VLOOKUP(B229,'Player Data'!$A1:$AE734,17,FALSE)*$Q229*IFERROR((VLOOKUP(P229,Settings!$E$28:$F$33,2,FALSE)+1),1)</f>
        <v>-3.8103515760553228</v>
      </c>
      <c r="AD229" s="41">
        <f>VLOOKUP(B229,'Player Data'!$A1:$AE734,18,FALSE)*$Q229</f>
        <v>39.218760559166924</v>
      </c>
      <c r="AE229" s="41">
        <f>VLOOKUP(B229,'Player Data'!$A1:$AE734,19,FALSE)*$Q229*IFERROR((VLOOKUP(P229,Settings!$E$28:$F$33,2,FALSE)+1),1)</f>
        <v>2.5189323640222607</v>
      </c>
      <c r="AF229" s="41">
        <f>VLOOKUP(B229,'Player Data'!$A1:$AE734,20,FALSE)*$Q229</f>
        <v>112.86295659006299</v>
      </c>
      <c r="AG229" s="41">
        <f>VLOOKUP(B229,'Player Data'!$A1:$AE734,21,FALSE)*$Q229</f>
        <v>134.8932297718992</v>
      </c>
      <c r="AH229" s="42">
        <f>VLOOKUP(B229,'Player Data'!$A1:$AE734,22,FALSE)</f>
        <v>0.45554041756670799</v>
      </c>
      <c r="AI229" s="39"/>
      <c r="AJ229" s="43"/>
      <c r="AK229" s="41"/>
      <c r="AL229" s="41"/>
      <c r="AM229" s="41"/>
      <c r="AN229" s="41"/>
      <c r="AO229" s="41"/>
      <c r="AP229" s="41"/>
      <c r="AQ229" s="44"/>
      <c r="AR229" s="45"/>
      <c r="AS229" s="39"/>
    </row>
    <row r="230" spans="1:45" ht="21.25" customHeight="1" x14ac:dyDescent="0.15">
      <c r="A230" s="31">
        <f>RANK(K230,K$2:K$727)</f>
        <v>229</v>
      </c>
      <c r="B230" s="8" t="s">
        <v>334</v>
      </c>
      <c r="C230" s="32" t="s">
        <v>106</v>
      </c>
      <c r="D230" s="33" t="str">
        <f>VLOOKUP(B230,'Player Data'!A1:D734,4,FALSE)</f>
        <v>G</v>
      </c>
      <c r="E230" s="50">
        <f>VLOOKUP(B230,G!A1:D75,3,FALSE)</f>
        <v>29</v>
      </c>
      <c r="F230" s="35" t="str">
        <f>VLOOKUP(B230,'Player Data'!A1:B734,2,FALSE)</f>
        <v>LAK</v>
      </c>
      <c r="G230" s="9">
        <f>VLOOKUP(B230,'Player Data'!A1:D734,3,FALSE)</f>
        <v>31</v>
      </c>
      <c r="H230" s="36">
        <f>IFERROR(VLOOKUP(B230,ADP!A1:G728,7,FALSE)/1000000,VLOOKUP(B230,ADP!A1:G728,7,FALSE))</f>
        <v>0</v>
      </c>
      <c r="I230" s="37">
        <f>IF(Settings!$E$15="POINTS",(AJ230*Settings!$B$29)+(AK230*Settings!$B$21)+(AL230*Settings!$B$22)+(AN230*Settings!$B$24)+(AO230*Settings!$B$25)+(AP230*Settings!$B$27)+(AM230*Settings!$B$23),VLOOKUP(B230,'Standard Deviations'!A1:C728,3,FALSE))</f>
        <v>280.87462845308607</v>
      </c>
      <c r="J230" s="38">
        <f>IF(D230="G",I230/AJ230,I230/Q230)</f>
        <v>6.6874911536449062</v>
      </c>
      <c r="K230" s="37">
        <f>VLOOKUP(B230,G!A1:F75,6,FALSE)</f>
        <v>-117.90103363623012</v>
      </c>
      <c r="L230" s="52" t="str">
        <f>IFERROR(K230/H230,"N/A")</f>
        <v>N/A</v>
      </c>
      <c r="M230" s="39">
        <f>IF(Settings!$E$9="YAHOO",VLOOKUP(B230,ADP!A1:E728,2,FALSE),IF(Settings!$E$9="ESPN",VLOOKUP(B230,ADP!A1:E728,3,FALSE),IF(Settings!$E$9="FANTRAX",VLOOKUP(B230,ADP!A1:E728,4,FALSE),VLOOKUP(B230,ADP!A1:E728,5,FALSE))))</f>
        <v>176.5</v>
      </c>
      <c r="N230" s="39">
        <f>IFERROR(M230-A230,"N/A")</f>
        <v>-52.5</v>
      </c>
      <c r="O230" s="39"/>
      <c r="P230" s="40" t="str">
        <f>IF(Settings!$E$27="ON",VLOOKUP(B230,ADP!A1:H728,8,FALSE)," ")</f>
        <v xml:space="preserve"> </v>
      </c>
      <c r="Q230" s="41"/>
      <c r="R230" s="5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2"/>
      <c r="AI230" s="39"/>
      <c r="AJ230" s="43">
        <f>VLOOKUP(B230,'Player Data'!$A1:$AE734,24,FALSE)</f>
        <v>42</v>
      </c>
      <c r="AK230" s="41">
        <f>VLOOKUP(B230,'Player Data'!$A1:$AE734,25,FALSE)*$AJ230*IFERROR((VLOOKUP(P230,Settings!$E$28:$F$33,2,FALSE)+1),1)</f>
        <v>22.265069425955371</v>
      </c>
      <c r="AL230" s="41">
        <f>AJ230-AK230-AM230</f>
        <v>14.484930574044629</v>
      </c>
      <c r="AM230" s="41">
        <f>VLOOKUP(B230,'Player Data'!$A1:$AE734,27,FALSE)*$AJ230</f>
        <v>5.25</v>
      </c>
      <c r="AN230" s="41">
        <f>VLOOKUP(B230,'Player Data'!$A1:$AE734,28,FALSE)*AJ230</f>
        <v>2.1612867423317308</v>
      </c>
      <c r="AO230" s="41">
        <f>VLOOKUP(B230,'Player Data'!$A1:$AE734,29,FALSE)*$AJ230*IFERROR((VLOOKUP(P230,Settings!$E$28:$F$33,2,FALSE)/4)+1,1)</f>
        <v>1142.9937921508722</v>
      </c>
      <c r="AP230" s="41">
        <f>VLOOKUP(B230,'Player Data'!$A1:$AE734,31,FALSE)*$AJ230*(IFERROR(1-(VLOOKUP(P230,Settings!$E$28:$F$33,2,FALSE)/4),1))</f>
        <v>120.58001646162654</v>
      </c>
      <c r="AQ230" s="44">
        <f>1-(AP230/(AO230+AP230))</f>
        <v>0.90457224133663183</v>
      </c>
      <c r="AR230" s="45">
        <f>AP230/AJ230</f>
        <v>2.8709527728958699</v>
      </c>
      <c r="AS230" s="39"/>
    </row>
    <row r="231" spans="1:45" ht="21.25" customHeight="1" x14ac:dyDescent="0.15">
      <c r="A231" s="31">
        <f>RANK(K231,K$2:K$727)</f>
        <v>230</v>
      </c>
      <c r="B231" s="8" t="s">
        <v>335</v>
      </c>
      <c r="C231" s="32" t="s">
        <v>106</v>
      </c>
      <c r="D231" s="33" t="str">
        <f>VLOOKUP(B231,'Player Data'!A1:D734,4,FALSE)</f>
        <v>C</v>
      </c>
      <c r="E231" s="34">
        <f>VLOOKUP(B231,'C'!A1:C211,3,FALSE)</f>
        <v>58</v>
      </c>
      <c r="F231" s="35" t="str">
        <f>VLOOKUP(B231,'Player Data'!A1:B734,2,FALSE)</f>
        <v>SJS</v>
      </c>
      <c r="G231" s="9">
        <f>VLOOKUP(B231,'Player Data'!A1:D734,3,FALSE)</f>
        <v>20</v>
      </c>
      <c r="H231" s="36">
        <f>IFERROR(VLOOKUP(B231,ADP!A1:G728,7,FALSE)/1000000,VLOOKUP(B231,ADP!A1:G728,7,FALSE))</f>
        <v>0.89416700000000005</v>
      </c>
      <c r="I231" s="37">
        <f>IF(Settings!$E$15="POINTS",((R231*Q231)*Settings!$B$12)+(S231*Settings!$B$2)+(T231*Settings!$B$3)+(U231*Settings!$B$4)+(V231*Settings!$B$5)+(X231*Settings!$B$9)+(AA231*Settings!$B$6)+(W231*Settings!$B$8)+(AB231*Settings!$B$7)+(AC231*Settings!$B$14)+(AD231*Settings!$B$15)+(AE231*Settings!$B$16)+(AF231*Settings!$B$17)+(AG231*Settings!$B$18)+(Y231*Settings!$B$10)+(Z231*Settings!$B$11),VLOOKUP(B231,'Standard Deviations'!A1:C728,3,FALSE))</f>
        <v>275.19572009638034</v>
      </c>
      <c r="J231" s="38">
        <f>IF(D231="G",I231/AJ231,I231/Q231)</f>
        <v>3.8596875188833151</v>
      </c>
      <c r="K231" s="37">
        <f>IF(Settings!$E$18="C/LW/RW",VLOOKUP(B231,'C'!A1:F211,6,FALSE),VLOOKUP(B231,F!A1:F430,6,FALSE))</f>
        <v>-118.13308566982931</v>
      </c>
      <c r="L231" s="37">
        <f>IFERROR(K231/H231,"N/A")</f>
        <v>-132.11523761202247</v>
      </c>
      <c r="M231" s="53" t="str">
        <f>IF(Settings!$E$9="YAHOO",VLOOKUP(B231,ADP!A1:E728,2,FALSE),IF(Settings!$E$9="ESPN",VLOOKUP(B231,ADP!A1:E728,3,FALSE),IF(Settings!$E$9="FANTRAX",VLOOKUP(B231,ADP!A1:E728,4,FALSE),VLOOKUP(B231,ADP!A1:E728,5,FALSE))))</f>
        <v>-</v>
      </c>
      <c r="N231" s="53" t="str">
        <f>IFERROR(M231-A231,"N/A")</f>
        <v>N/A</v>
      </c>
      <c r="O231" s="39"/>
      <c r="P231" s="40" t="str">
        <f>IF(Settings!$E$27="ON",VLOOKUP(B231,ADP!A1:H728,8,FALSE)," ")</f>
        <v>-</v>
      </c>
      <c r="Q231" s="41">
        <f>IF(Settings!$E$12="YES",VLOOKUP(B231,'Player Data'!A1:E734,5,FALSE),82)</f>
        <v>71.3</v>
      </c>
      <c r="R231" s="39">
        <f>VLOOKUP(B231,'Player Data'!$A1:$AE734,6,FALSE)</f>
        <v>18.072691487144699</v>
      </c>
      <c r="S231" s="41">
        <f>VLOOKUP(B231,'Player Data'!$A1:$AE734,7,FALSE)*$Q231*IFERROR((VLOOKUP(P231,Settings!$E$28:$F$33,2,FALSE)+1),1)</f>
        <v>20.528906958708063</v>
      </c>
      <c r="T231" s="41">
        <f>VLOOKUP(B231,'Player Data'!$A1:$AE734,8,FALSE)*$Q231*IFERROR((VLOOKUP(P231,Settings!$E$28:$F$33,2,FALSE)+1),1)</f>
        <v>30.111159502027959</v>
      </c>
      <c r="U231" s="41">
        <f>SUM(S231:T231)</f>
        <v>50.640066460736023</v>
      </c>
      <c r="V231" s="41">
        <f>VLOOKUP(B231,'Player Data'!$A1:$AE734,10,FALSE)*$Q231*IFERROR(((VLOOKUP(P231,Settings!$E$28:$F$33,2,FALSE)/2)+1),1)</f>
        <v>160.12847420939957</v>
      </c>
      <c r="W231" s="41">
        <f>VLOOKUP(B231,'Player Data'!$A1:$AE734,11,FALSE)*$Q231*IFERROR((VLOOKUP(P231,Settings!$E$28:$F$33,2,FALSE)+1),1)</f>
        <v>4.5972858273130788</v>
      </c>
      <c r="X231" s="41">
        <f>VLOOKUP(B231,'Player Data'!$A1:$AE734,12,FALSE)*$Q231*IFERROR((VLOOKUP(P231,Settings!$E$28:$F$33,2,FALSE)+1),1)</f>
        <v>17.642111097318196</v>
      </c>
      <c r="Y231" s="41">
        <f>VLOOKUP(B231,'Player Data'!$A1:$AE734,13,FALSE)*$Q231</f>
        <v>0.11888307681707475</v>
      </c>
      <c r="Z231" s="41">
        <f>VLOOKUP(B231,'Player Data'!$A1:$AE734,14,FALSE)*$Q231</f>
        <v>0.21525433075586223</v>
      </c>
      <c r="AA231" s="41">
        <f>VLOOKUP(B231,'Player Data'!$A1:$AE734,15,FALSE)*$Q231</f>
        <v>37.482763766621666</v>
      </c>
      <c r="AB231" s="41">
        <f>VLOOKUP(B231,'Player Data'!$A1:$AE734,16,FALSE)*$Q231</f>
        <v>61.517240055060476</v>
      </c>
      <c r="AC231" s="41">
        <f>VLOOKUP(B231,'Player Data'!$A1:$AE734,17,FALSE)*$Q231*IFERROR((VLOOKUP(P231,Settings!$E$28:$F$33,2,FALSE)+1),1)</f>
        <v>-0.67704329334019109</v>
      </c>
      <c r="AD231" s="41">
        <f>VLOOKUP(B231,'Player Data'!$A1:$AE734,18,FALSE)*$Q231</f>
        <v>34.266404180937023</v>
      </c>
      <c r="AE231" s="41">
        <f>VLOOKUP(B231,'Player Data'!$A1:$AE734,19,FALSE)*$Q231*IFERROR((VLOOKUP(P231,Settings!$E$28:$F$33,2,FALSE)+1),1)</f>
        <v>2.4926556771378889</v>
      </c>
      <c r="AF231" s="41">
        <f>VLOOKUP(B231,'Player Data'!$A1:$AE734,20,FALSE)*$Q231</f>
        <v>18.625598370377091</v>
      </c>
      <c r="AG231" s="41">
        <f>VLOOKUP(B231,'Player Data'!$A1:$AE734,21,FALSE)*$Q231</f>
        <v>34.573665450931053</v>
      </c>
      <c r="AH231" s="42">
        <f>VLOOKUP(B231,'Player Data'!$A1:$AE734,22,FALSE)</f>
        <v>0.35011007732999699</v>
      </c>
      <c r="AI231" s="39"/>
      <c r="AJ231" s="43"/>
      <c r="AK231" s="41"/>
      <c r="AL231" s="41"/>
      <c r="AM231" s="41"/>
      <c r="AN231" s="41"/>
      <c r="AO231" s="41"/>
      <c r="AP231" s="41"/>
      <c r="AQ231" s="44"/>
      <c r="AR231" s="45"/>
      <c r="AS231" s="39"/>
    </row>
    <row r="232" spans="1:45" ht="21.25" customHeight="1" x14ac:dyDescent="0.15">
      <c r="A232" s="31">
        <f>RANK(K232,K$2:K$727)</f>
        <v>231</v>
      </c>
      <c r="B232" s="8" t="s">
        <v>336</v>
      </c>
      <c r="C232" s="32" t="s">
        <v>106</v>
      </c>
      <c r="D232" s="33" t="str">
        <f>VLOOKUP(B232,'Player Data'!A1:D734,4,FALSE)</f>
        <v>C</v>
      </c>
      <c r="E232" s="34">
        <f>VLOOKUP(B232,'C'!A1:C211,3,FALSE)</f>
        <v>59</v>
      </c>
      <c r="F232" s="35" t="str">
        <f>VLOOKUP(B232,'Player Data'!A1:B734,2,FALSE)</f>
        <v>CAR</v>
      </c>
      <c r="G232" s="9">
        <f>VLOOKUP(B232,'Player Data'!A1:D734,3,FALSE)</f>
        <v>21</v>
      </c>
      <c r="H232" s="36">
        <f>IFERROR(VLOOKUP(B232,ADP!A1:G728,7,FALSE)/1000000,VLOOKUP(B232,ADP!A1:G728,7,FALSE))</f>
        <v>0.89416700000000005</v>
      </c>
      <c r="I232" s="37">
        <f>IF(Settings!$E$15="POINTS",((R232*Q232)*Settings!$B$12)+(S232*Settings!$B$2)+(T232*Settings!$B$3)+(U232*Settings!$B$4)+(V232*Settings!$B$5)+(X232*Settings!$B$9)+(AA232*Settings!$B$6)+(W232*Settings!$B$8)+(AB232*Settings!$B$7)+(AC232*Settings!$B$14)+(AD232*Settings!$B$15)+(AE232*Settings!$B$16)+(AF232*Settings!$B$17)+(AG232*Settings!$B$18)+(Y232*Settings!$B$10)+(Z232*Settings!$B$11),VLOOKUP(B232,'Standard Deviations'!A1:C728,3,FALSE))</f>
        <v>275.04655633754817</v>
      </c>
      <c r="J232" s="38">
        <f>IF(D232="G",I232/AJ232,I232/Q232)</f>
        <v>3.4638442961721321</v>
      </c>
      <c r="K232" s="37">
        <f>IF(Settings!$E$18="C/LW/RW",VLOOKUP(B232,'C'!A1:F211,6,FALSE),VLOOKUP(B232,F!A1:F430,6,FALSE))</f>
        <v>-118.28224942866149</v>
      </c>
      <c r="L232" s="37">
        <f>IFERROR(K232/H232,"N/A")</f>
        <v>-132.28205629223788</v>
      </c>
      <c r="M232" s="53" t="str">
        <f>IF(Settings!$E$9="YAHOO",VLOOKUP(B232,ADP!A1:E728,2,FALSE),IF(Settings!$E$9="ESPN",VLOOKUP(B232,ADP!A1:E728,3,FALSE),IF(Settings!$E$9="FANTRAX",VLOOKUP(B232,ADP!A1:E728,4,FALSE),VLOOKUP(B232,ADP!A1:E728,5,FALSE))))</f>
        <v>-</v>
      </c>
      <c r="N232" s="53" t="str">
        <f>IFERROR(M232-A232,"N/A")</f>
        <v>N/A</v>
      </c>
      <c r="O232" s="39"/>
      <c r="P232" s="40" t="str">
        <f>IF(Settings!$E$27="ON",VLOOKUP(B232,ADP!A1:H728,8,FALSE)," ")</f>
        <v>+</v>
      </c>
      <c r="Q232" s="41">
        <f>IF(Settings!$E$12="YES",VLOOKUP(B232,'Player Data'!A1:E734,5,FALSE),82)</f>
        <v>79.405000000000001</v>
      </c>
      <c r="R232" s="39">
        <f>VLOOKUP(B232,'Player Data'!$A1:$AE734,6,FALSE)</f>
        <v>16.786392490932901</v>
      </c>
      <c r="S232" s="41">
        <f>VLOOKUP(B232,'Player Data'!$A1:$AE734,7,FALSE)*$Q232*IFERROR((VLOOKUP(P232,Settings!$E$28:$F$33,2,FALSE)+1),1)</f>
        <v>20.045991482051473</v>
      </c>
      <c r="T232" s="41">
        <f>VLOOKUP(B232,'Player Data'!$A1:$AE734,8,FALSE)*$Q232*IFERROR((VLOOKUP(P232,Settings!$E$28:$F$33,2,FALSE)+1),1)</f>
        <v>31.637135215186859</v>
      </c>
      <c r="U232" s="41">
        <f>SUM(S232:T232)</f>
        <v>51.683126697238336</v>
      </c>
      <c r="V232" s="41">
        <f>VLOOKUP(B232,'Player Data'!$A1:$AE734,10,FALSE)*$Q232*IFERROR(((VLOOKUP(P232,Settings!$E$28:$F$33,2,FALSE)/2)+1),1)</f>
        <v>186.29947384007366</v>
      </c>
      <c r="W232" s="41">
        <f>VLOOKUP(B232,'Player Data'!$A1:$AE734,11,FALSE)*$Q232*IFERROR((VLOOKUP(P232,Settings!$E$28:$F$33,2,FALSE)+1),1)</f>
        <v>1.8950647643474607</v>
      </c>
      <c r="X232" s="41">
        <f>VLOOKUP(B232,'Player Data'!$A1:$AE734,12,FALSE)*$Q232*IFERROR((VLOOKUP(P232,Settings!$E$28:$F$33,2,FALSE)+1),1)</f>
        <v>8.771478301185855</v>
      </c>
      <c r="Y232" s="41">
        <f>VLOOKUP(B232,'Player Data'!$A1:$AE734,13,FALSE)*$Q232</f>
        <v>0.37588308922982361</v>
      </c>
      <c r="Z232" s="41">
        <f>VLOOKUP(B232,'Player Data'!$A1:$AE734,14,FALSE)*$Q232</f>
        <v>0.42725457107081249</v>
      </c>
      <c r="AA232" s="41">
        <f>VLOOKUP(B232,'Player Data'!$A1:$AE734,15,FALSE)*$Q232</f>
        <v>42.24986790641497</v>
      </c>
      <c r="AB232" s="41">
        <f>VLOOKUP(B232,'Player Data'!$A1:$AE734,16,FALSE)*$Q232</f>
        <v>77.863520298735921</v>
      </c>
      <c r="AC232" s="41">
        <f>VLOOKUP(B232,'Player Data'!$A1:$AE734,17,FALSE)*$Q232*IFERROR((VLOOKUP(P232,Settings!$E$28:$F$33,2,FALSE)+1),1)</f>
        <v>8.4103681735750122</v>
      </c>
      <c r="AD232" s="41">
        <f>VLOOKUP(B232,'Player Data'!$A1:$AE734,18,FALSE)*$Q232</f>
        <v>20.279152268815775</v>
      </c>
      <c r="AE232" s="41">
        <f>VLOOKUP(B232,'Player Data'!$A1:$AE734,19,FALSE)*$Q232*IFERROR((VLOOKUP(P232,Settings!$E$28:$F$33,2,FALSE)+1),1)</f>
        <v>3.5966997355740724</v>
      </c>
      <c r="AF232" s="41">
        <f>VLOOKUP(B232,'Player Data'!$A1:$AE734,20,FALSE)*$Q232</f>
        <v>10.382809108605151</v>
      </c>
      <c r="AG232" s="41">
        <f>VLOOKUP(B232,'Player Data'!$A1:$AE734,21,FALSE)*$Q232</f>
        <v>16.873365646274102</v>
      </c>
      <c r="AH232" s="42">
        <f>VLOOKUP(B232,'Player Data'!$A1:$AE734,22,FALSE)</f>
        <v>0.38093419938711198</v>
      </c>
      <c r="AI232" s="39"/>
      <c r="AJ232" s="43"/>
      <c r="AK232" s="41"/>
      <c r="AL232" s="41"/>
      <c r="AM232" s="41"/>
      <c r="AN232" s="41"/>
      <c r="AO232" s="41"/>
      <c r="AP232" s="41"/>
      <c r="AQ232" s="44"/>
      <c r="AR232" s="45"/>
      <c r="AS232" s="39"/>
    </row>
    <row r="233" spans="1:45" ht="21.25" customHeight="1" x14ac:dyDescent="0.15">
      <c r="A233" s="31">
        <f>RANK(K233,K$2:K$727)</f>
        <v>232</v>
      </c>
      <c r="B233" s="8" t="s">
        <v>337</v>
      </c>
      <c r="C233" s="32" t="s">
        <v>106</v>
      </c>
      <c r="D233" s="33" t="str">
        <f>VLOOKUP(B233,'Player Data'!A1:D734,4,FALSE)</f>
        <v>D</v>
      </c>
      <c r="E233" s="49">
        <f>VLOOKUP(B233,D!A1:C227,3,FALSE)</f>
        <v>61</v>
      </c>
      <c r="F233" s="35" t="str">
        <f>VLOOKUP(B233,'Player Data'!A1:B734,2,FALSE)</f>
        <v>STL</v>
      </c>
      <c r="G233" s="9">
        <f>VLOOKUP(B233,'Player Data'!A1:D734,3,FALSE)</f>
        <v>30</v>
      </c>
      <c r="H233" s="36">
        <f>IFERROR(VLOOKUP(B233,ADP!A1:G728,7,FALSE)/1000000,VLOOKUP(B233,ADP!A1:G728,7,FALSE))</f>
        <v>6.5</v>
      </c>
      <c r="I233" s="37">
        <f>IF(Settings!$E$15="POINTS",((R233*Q233)*Settings!$B$12)+(S233*Settings!$B$2)+(T233*Settings!$B$3)+(U233*Settings!$B$4)+(V233*Settings!$B$5)+(X233*Settings!$B$9)+(AA233*Settings!$B$6)+(W233*Settings!$B$8)+(AB233*Settings!$B$7)+(AC233*Settings!$B$14)+(AD233*Settings!$B$15)+(AE233*Settings!$B$16)+(AF233*Settings!$B$17)+(AG233*Settings!$B$18)+(U233*Settings!$B$13)+(Y233*Settings!$B$10)+(Z233*Settings!$B$11),VLOOKUP(B233,'Standard Deviations'!A1:C728,3,FALSE))</f>
        <v>193.01527165128539</v>
      </c>
      <c r="J233" s="38">
        <f>IF(D233="G",I233/AJ233,I233/Q233)</f>
        <v>2.4606740394095539</v>
      </c>
      <c r="K233" s="37">
        <f>VLOOKUP(B233,D!A1:F227,6,FALSE)</f>
        <v>-118.55020997664207</v>
      </c>
      <c r="L233" s="37">
        <f>IFERROR(K233/H233,"N/A")</f>
        <v>-18.238493842560317</v>
      </c>
      <c r="M233" s="53" t="str">
        <f>IF(Settings!$E$9="YAHOO",VLOOKUP(B233,ADP!A1:E728,2,FALSE),IF(Settings!$E$9="ESPN",VLOOKUP(B233,ADP!A1:E728,3,FALSE),IF(Settings!$E$9="FANTRAX",VLOOKUP(B233,ADP!A1:E728,4,FALSE),VLOOKUP(B233,ADP!A1:E728,5,FALSE))))</f>
        <v>-</v>
      </c>
      <c r="N233" s="53" t="str">
        <f>IFERROR(M233-A233,"N/A")</f>
        <v>N/A</v>
      </c>
      <c r="O233" s="39"/>
      <c r="P233" s="40" t="str">
        <f>IF(Settings!$E$27="ON",VLOOKUP(B233,ADP!A1:H728,8,FALSE)," ")</f>
        <v xml:space="preserve"> </v>
      </c>
      <c r="Q233" s="41">
        <f>IF(Settings!$E$12="YES",VLOOKUP(B233,'Player Data'!A1:E734,5,FALSE),82)</f>
        <v>78.44</v>
      </c>
      <c r="R233" s="39">
        <f>VLOOKUP(B233,'Player Data'!$A1:$AE734,6,FALSE)</f>
        <v>23.0827304398059</v>
      </c>
      <c r="S233" s="41">
        <f>VLOOKUP(B233,'Player Data'!$A1:$AE734,7,FALSE)*$Q233*IFERROR((VLOOKUP(P233,Settings!$E$28:$F$33,2,FALSE)+1),1)</f>
        <v>5.1576724132122465</v>
      </c>
      <c r="T233" s="41">
        <f>VLOOKUP(B233,'Player Data'!$A1:$AE734,8,FALSE)*$Q233*IFERROR((VLOOKUP(P233,Settings!$E$28:$F$33,2,FALSE)+1),1)</f>
        <v>25.714412215155146</v>
      </c>
      <c r="U233" s="41">
        <f>SUM(S233:T233)</f>
        <v>30.872084628367393</v>
      </c>
      <c r="V233" s="41">
        <f>VLOOKUP(B233,'Player Data'!$A1:$AE734,10,FALSE)*$Q233*IFERROR(((VLOOKUP(P233,Settings!$E$28:$F$33,2,FALSE)/2)+1),1)</f>
        <v>133.38068419716978</v>
      </c>
      <c r="W233" s="41">
        <f>VLOOKUP(B233,'Player Data'!$A1:$AE734,11,FALSE)*$Q233*IFERROR((VLOOKUP(P233,Settings!$E$28:$F$33,2,FALSE)+1),1)</f>
        <v>9.8813292223523891E-2</v>
      </c>
      <c r="X233" s="41">
        <f>VLOOKUP(B233,'Player Data'!$A1:$AE734,12,FALSE)*$Q233*IFERROR((VLOOKUP(P233,Settings!$E$28:$F$33,2,FALSE)+1),1)</f>
        <v>1.5999816056312459</v>
      </c>
      <c r="Y233" s="41">
        <f>VLOOKUP(B233,'Player Data'!$A1:$AE734,13,FALSE)*$Q233</f>
        <v>2.3985738688957287E-2</v>
      </c>
      <c r="Z233" s="41">
        <f>VLOOKUP(B233,'Player Data'!$A1:$AE734,14,FALSE)*$Q233</f>
        <v>0.62176095270277998</v>
      </c>
      <c r="AA233" s="41">
        <f>VLOOKUP(B233,'Player Data'!$A1:$AE734,15,FALSE)*$Q233</f>
        <v>146.32595275465138</v>
      </c>
      <c r="AB233" s="41">
        <f>VLOOKUP(B233,'Player Data'!$A1:$AE734,16,FALSE)*$Q233</f>
        <v>100.95712673933053</v>
      </c>
      <c r="AC233" s="41">
        <f>VLOOKUP(B233,'Player Data'!$A1:$AE734,17,FALSE)*$Q233*IFERROR((VLOOKUP(P233,Settings!$E$28:$F$33,2,FALSE)+1),1)</f>
        <v>-6.1986481015725721</v>
      </c>
      <c r="AD233" s="41">
        <f>VLOOKUP(B233,'Player Data'!$A1:$AE734,18,FALSE)*$Q233</f>
        <v>29.202010175049871</v>
      </c>
      <c r="AE233" s="41">
        <f>VLOOKUP(B233,'Player Data'!$A1:$AE734,19,FALSE)*$Q233*IFERROR((VLOOKUP(P233,Settings!$E$28:$F$33,2,FALSE)+1),1)</f>
        <v>0.59350745361671653</v>
      </c>
      <c r="AF233" s="41">
        <f>VLOOKUP(B233,'Player Data'!$A1:$AE734,20,FALSE)*$Q233</f>
        <v>0</v>
      </c>
      <c r="AG233" s="41">
        <f>VLOOKUP(B233,'Player Data'!$A1:$AE734,21,FALSE)*$Q233</f>
        <v>0</v>
      </c>
      <c r="AH233" s="42">
        <f>VLOOKUP(B233,'Player Data'!$A1:$AE734,22,FALSE)</f>
        <v>0</v>
      </c>
      <c r="AI233" s="39"/>
      <c r="AJ233" s="43"/>
      <c r="AK233" s="41"/>
      <c r="AL233" s="41"/>
      <c r="AM233" s="41"/>
      <c r="AN233" s="41"/>
      <c r="AO233" s="41"/>
      <c r="AP233" s="41"/>
      <c r="AQ233" s="44"/>
      <c r="AR233" s="45"/>
      <c r="AS233" s="39"/>
    </row>
    <row r="234" spans="1:45" ht="21.25" customHeight="1" x14ac:dyDescent="0.15">
      <c r="A234" s="31">
        <f>RANK(K234,K$2:K$727)</f>
        <v>233</v>
      </c>
      <c r="B234" s="8" t="s">
        <v>338</v>
      </c>
      <c r="C234" s="32" t="s">
        <v>106</v>
      </c>
      <c r="D234" s="33" t="str">
        <f>VLOOKUP(B234,'Player Data'!A1:D734,4,FALSE)</f>
        <v>G</v>
      </c>
      <c r="E234" s="50">
        <f>VLOOKUP(B234,G!A1:D75,3,FALSE)</f>
        <v>30</v>
      </c>
      <c r="F234" s="35" t="str">
        <f>VLOOKUP(B234,'Player Data'!A1:B734,2,FALSE)</f>
        <v>BOS</v>
      </c>
      <c r="G234" s="9">
        <f>VLOOKUP(B234,'Player Data'!A1:D734,3,FALSE)</f>
        <v>24</v>
      </c>
      <c r="H234" s="36">
        <f>IFERROR(VLOOKUP(B234,ADP!A1:G728,7,FALSE)/1000000,VLOOKUP(B234,ADP!A1:G728,7,FALSE))</f>
        <v>0</v>
      </c>
      <c r="I234" s="37">
        <f>IF(Settings!$E$15="POINTS",(AJ234*Settings!$B$29)+(AK234*Settings!$B$21)+(AL234*Settings!$B$22)+(AN234*Settings!$B$24)+(AO234*Settings!$B$25)+(AP234*Settings!$B$27)+(AM234*Settings!$B$23),VLOOKUP(B234,'Standard Deviations'!A1:C728,3,FALSE))</f>
        <v>279.03530476955382</v>
      </c>
      <c r="J234" s="38">
        <f>IF(D234="G",I234/AJ234,I234/Q234)</f>
        <v>7.7509806880431613</v>
      </c>
      <c r="K234" s="37">
        <f>VLOOKUP(B234,G!A1:F75,6,FALSE)</f>
        <v>-119.74035731976238</v>
      </c>
      <c r="L234" s="52" t="str">
        <f>IFERROR(K234/H234,"N/A")</f>
        <v>N/A</v>
      </c>
      <c r="M234" s="39">
        <f>IF(Settings!$E$9="YAHOO",VLOOKUP(B234,ADP!A1:E728,2,FALSE),IF(Settings!$E$9="ESPN",VLOOKUP(B234,ADP!A1:E728,3,FALSE),IF(Settings!$E$9="FANTRAX",VLOOKUP(B234,ADP!A1:E728,4,FALSE),VLOOKUP(B234,ADP!A1:E728,5,FALSE))))</f>
        <v>45.7</v>
      </c>
      <c r="N234" s="39">
        <f>IFERROR(M234-A234,"N/A")</f>
        <v>-187.3</v>
      </c>
      <c r="O234" s="39"/>
      <c r="P234" s="40" t="str">
        <f>IF(Settings!$E$27="ON",VLOOKUP(B234,ADP!A1:H728,8,FALSE)," ")</f>
        <v xml:space="preserve"> </v>
      </c>
      <c r="Q234" s="41"/>
      <c r="R234" s="5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2"/>
      <c r="AI234" s="39"/>
      <c r="AJ234" s="43">
        <f>VLOOKUP(B234,'Player Data'!$A1:$AE734,24,FALSE)</f>
        <v>36</v>
      </c>
      <c r="AK234" s="41">
        <f>VLOOKUP(B234,'Player Data'!$A1:$AE734,25,FALSE)*$AJ234*IFERROR((VLOOKUP(P234,Settings!$E$28:$F$33,2,FALSE)+1),1)</f>
        <v>19.969507906273982</v>
      </c>
      <c r="AL234" s="41">
        <f>AJ234-AK234-AM234</f>
        <v>11.530492093726018</v>
      </c>
      <c r="AM234" s="41">
        <f>VLOOKUP(B234,'Player Data'!$A1:$AE734,27,FALSE)*$AJ234</f>
        <v>4.5</v>
      </c>
      <c r="AN234" s="41">
        <f>VLOOKUP(B234,'Player Data'!$A1:$AE734,28,FALSE)*AJ234</f>
        <v>2.1799611450013607</v>
      </c>
      <c r="AO234" s="41">
        <f>VLOOKUP(B234,'Player Data'!$A1:$AE734,29,FALSE)*$AJ234*IFERROR((VLOOKUP(P234,Settings!$E$28:$F$33,2,FALSE)/4)+1,1)</f>
        <v>1023.9451459244927</v>
      </c>
      <c r="AP234" s="41">
        <f>VLOOKUP(B234,'Player Data'!$A1:$AE734,31,FALSE)*$AJ234*(IFERROR(1-(VLOOKUP(P234,Settings!$E$28:$F$33,2,FALSE)/4),1))</f>
        <v>99.06857140050576</v>
      </c>
      <c r="AQ234" s="44">
        <f>1-(AP234/(AO234+AP234))</f>
        <v>0.91178329358568688</v>
      </c>
      <c r="AR234" s="45">
        <f>AP234/AJ234</f>
        <v>2.7519047611251599</v>
      </c>
      <c r="AS234" s="39"/>
    </row>
    <row r="235" spans="1:45" ht="21.25" customHeight="1" x14ac:dyDescent="0.15">
      <c r="A235" s="31">
        <f>RANK(K235,K$2:K$727)</f>
        <v>234</v>
      </c>
      <c r="B235" s="8" t="s">
        <v>339</v>
      </c>
      <c r="C235" s="32" t="s">
        <v>106</v>
      </c>
      <c r="D235" s="33" t="str">
        <f>VLOOKUP(B235,'Player Data'!A1:D734,4,FALSE)</f>
        <v>D</v>
      </c>
      <c r="E235" s="49">
        <f>VLOOKUP(B235,D!A1:C227,3,FALSE)</f>
        <v>62</v>
      </c>
      <c r="F235" s="35" t="str">
        <f>VLOOKUP(B235,'Player Data'!A1:B734,2,FALSE)</f>
        <v>CAR</v>
      </c>
      <c r="G235" s="9">
        <f>VLOOKUP(B235,'Player Data'!A1:D734,3,FALSE)</f>
        <v>28</v>
      </c>
      <c r="H235" s="36">
        <f>IFERROR(VLOOKUP(B235,ADP!A1:G728,7,FALSE)/1000000,VLOOKUP(B235,ADP!A1:G728,7,FALSE))</f>
        <v>4.0250000000000004</v>
      </c>
      <c r="I235" s="37">
        <f>IF(Settings!$E$15="POINTS",((R235*Q235)*Settings!$B$12)+(S235*Settings!$B$2)+(T235*Settings!$B$3)+(U235*Settings!$B$4)+(V235*Settings!$B$5)+(X235*Settings!$B$9)+(AA235*Settings!$B$6)+(W235*Settings!$B$8)+(AB235*Settings!$B$7)+(AC235*Settings!$B$14)+(AD235*Settings!$B$15)+(AE235*Settings!$B$16)+(AF235*Settings!$B$17)+(AG235*Settings!$B$18)+(U235*Settings!$B$13)+(Y235*Settings!$B$10)+(Z235*Settings!$B$11),VLOOKUP(B235,'Standard Deviations'!A1:C728,3,FALSE))</f>
        <v>191.52133357102193</v>
      </c>
      <c r="J235" s="38">
        <f>IF(D235="G",I235/AJ235,I235/Q235)</f>
        <v>2.3870473439104649</v>
      </c>
      <c r="K235" s="37">
        <f>VLOOKUP(B235,D!A1:F227,6,FALSE)</f>
        <v>-120.04414805690553</v>
      </c>
      <c r="L235" s="37">
        <f>IFERROR(K235/H235,"N/A")</f>
        <v>-29.824633057616278</v>
      </c>
      <c r="M235" s="53" t="str">
        <f>IF(Settings!$E$9="YAHOO",VLOOKUP(B235,ADP!A1:E728,2,FALSE),IF(Settings!$E$9="ESPN",VLOOKUP(B235,ADP!A1:E728,3,FALSE),IF(Settings!$E$9="FANTRAX",VLOOKUP(B235,ADP!A1:E728,4,FALSE),VLOOKUP(B235,ADP!A1:E728,5,FALSE))))</f>
        <v>-</v>
      </c>
      <c r="N235" s="53" t="str">
        <f>IFERROR(M235-A235,"N/A")</f>
        <v>N/A</v>
      </c>
      <c r="O235" s="39"/>
      <c r="P235" s="40" t="str">
        <f>IF(Settings!$E$27="ON",VLOOKUP(B235,ADP!A1:H728,8,FALSE)," ")</f>
        <v xml:space="preserve"> </v>
      </c>
      <c r="Q235" s="41">
        <f>IF(Settings!$E$12="YES",VLOOKUP(B235,'Player Data'!A1:E734,5,FALSE),82)</f>
        <v>80.233571428571395</v>
      </c>
      <c r="R235" s="39">
        <f>VLOOKUP(B235,'Player Data'!$A1:$AE734,6,FALSE)</f>
        <v>21.342498913871999</v>
      </c>
      <c r="S235" s="41">
        <f>VLOOKUP(B235,'Player Data'!$A1:$AE734,7,FALSE)*$Q235*IFERROR((VLOOKUP(P235,Settings!$E$28:$F$33,2,FALSE)+1),1)</f>
        <v>5.8934433030121758</v>
      </c>
      <c r="T235" s="41">
        <f>VLOOKUP(B235,'Player Data'!$A1:$AE734,8,FALSE)*$Q235*IFERROR((VLOOKUP(P235,Settings!$E$28:$F$33,2,FALSE)+1),1)</f>
        <v>24.525085055330624</v>
      </c>
      <c r="U235" s="41">
        <f>SUM(S235:T235)</f>
        <v>30.418528358342801</v>
      </c>
      <c r="V235" s="41">
        <f>VLOOKUP(B235,'Player Data'!$A1:$AE734,10,FALSE)*$Q235*IFERROR(((VLOOKUP(P235,Settings!$E$28:$F$33,2,FALSE)/2)+1),1)</f>
        <v>142.37407945719599</v>
      </c>
      <c r="W235" s="41">
        <f>VLOOKUP(B235,'Player Data'!$A1:$AE734,11,FALSE)*$Q235*IFERROR((VLOOKUP(P235,Settings!$E$28:$F$33,2,FALSE)+1),1)</f>
        <v>0.56476044453469043</v>
      </c>
      <c r="X235" s="41">
        <f>VLOOKUP(B235,'Player Data'!$A1:$AE734,12,FALSE)*$Q235*IFERROR((VLOOKUP(P235,Settings!$E$28:$F$33,2,FALSE)+1),1)</f>
        <v>2.4507907537089686</v>
      </c>
      <c r="Y235" s="41">
        <f>VLOOKUP(B235,'Player Data'!$A1:$AE734,13,FALSE)*$Q235</f>
        <v>2.1515108491977228E-2</v>
      </c>
      <c r="Z235" s="41">
        <f>VLOOKUP(B235,'Player Data'!$A1:$AE734,14,FALSE)*$Q235</f>
        <v>0.97790018385099808</v>
      </c>
      <c r="AA235" s="41">
        <f>VLOOKUP(B235,'Player Data'!$A1:$AE734,15,FALSE)*$Q235</f>
        <v>111.10663446137799</v>
      </c>
      <c r="AB235" s="41">
        <f>VLOOKUP(B235,'Player Data'!$A1:$AE734,16,FALSE)*$Q235</f>
        <v>47.624142567365361</v>
      </c>
      <c r="AC235" s="41">
        <f>VLOOKUP(B235,'Player Data'!$A1:$AE734,17,FALSE)*$Q235*IFERROR((VLOOKUP(P235,Settings!$E$28:$F$33,2,FALSE)+1),1)</f>
        <v>7.2030757862950718</v>
      </c>
      <c r="AD235" s="41">
        <f>VLOOKUP(B235,'Player Data'!$A1:$AE734,18,FALSE)*$Q235</f>
        <v>32.563195477821942</v>
      </c>
      <c r="AE235" s="41">
        <f>VLOOKUP(B235,'Player Data'!$A1:$AE734,19,FALSE)*$Q235*IFERROR((VLOOKUP(P235,Settings!$E$28:$F$33,2,FALSE)+1),1)</f>
        <v>1.0574156927355558</v>
      </c>
      <c r="AF235" s="41">
        <f>VLOOKUP(B235,'Player Data'!$A1:$AE734,20,FALSE)*$Q235</f>
        <v>0</v>
      </c>
      <c r="AG235" s="41">
        <f>VLOOKUP(B235,'Player Data'!$A1:$AE734,21,FALSE)*$Q235</f>
        <v>0</v>
      </c>
      <c r="AH235" s="42">
        <f>VLOOKUP(B235,'Player Data'!$A1:$AE734,22,FALSE)</f>
        <v>0</v>
      </c>
      <c r="AI235" s="39"/>
      <c r="AJ235" s="43"/>
      <c r="AK235" s="41"/>
      <c r="AL235" s="41"/>
      <c r="AM235" s="41"/>
      <c r="AN235" s="41"/>
      <c r="AO235" s="41"/>
      <c r="AP235" s="41"/>
      <c r="AQ235" s="44"/>
      <c r="AR235" s="45"/>
      <c r="AS235" s="39"/>
    </row>
    <row r="236" spans="1:45" ht="21.25" customHeight="1" x14ac:dyDescent="0.15">
      <c r="A236" s="31">
        <f>RANK(K236,K$2:K$727)</f>
        <v>235</v>
      </c>
      <c r="B236" s="8" t="s">
        <v>340</v>
      </c>
      <c r="C236" s="32" t="s">
        <v>106</v>
      </c>
      <c r="D236" s="33" t="str">
        <f>VLOOKUP(B236,'Player Data'!A1:D734,4,FALSE)</f>
        <v>LW</v>
      </c>
      <c r="E236" s="47">
        <f>VLOOKUP(B236,LW!A1:C130,3,FALSE)</f>
        <v>47</v>
      </c>
      <c r="F236" s="35" t="str">
        <f>VLOOKUP(B236,'Player Data'!A1:B734,2,FALSE)</f>
        <v>EDM</v>
      </c>
      <c r="G236" s="9">
        <f>VLOOKUP(B236,'Player Data'!A1:D734,3,FALSE)</f>
        <v>32</v>
      </c>
      <c r="H236" s="36">
        <f>IFERROR(VLOOKUP(B236,ADP!A1:G728,7,FALSE)/1000000,VLOOKUP(B236,ADP!A1:G728,7,FALSE))</f>
        <v>5.125</v>
      </c>
      <c r="I236" s="37">
        <f>IF(Settings!$E$15="POINTS",((R236*Q236)*Settings!$B$12)+(S236*Settings!$B$2)+(T236*Settings!$B$3)+(U236*Settings!$B$4)+(V236*Settings!$B$5)+(X236*Settings!$B$9)+(AA236*Settings!$B$6)+(W236*Settings!$B$8)+(AB236*Settings!$B$7)+(AC236*Settings!$B$14)+(AD236*Settings!$B$15)+(AE236*Settings!$B$16)+(AF236*Settings!$B$17)+(AG236*Settings!$B$18)+(Y236*Settings!$B$10)+(Z236*Settings!$B$11),VLOOKUP(B236,'Standard Deviations'!A1:C728,3,FALSE))</f>
        <v>243.39307077615649</v>
      </c>
      <c r="J236" s="38">
        <f>IF(D236="G",I236/AJ236,I236/Q236)</f>
        <v>3.5076101855621342</v>
      </c>
      <c r="K236" s="37">
        <f>IF(Settings!$E$18="C/LW/RW",VLOOKUP(B236,LW!A1:F130,6,FALSE),VLOOKUP(B236,F!A1:F430,6,FALSE))</f>
        <v>-120.64753408149397</v>
      </c>
      <c r="L236" s="37">
        <f>IFERROR(K236/H236,"N/A")</f>
        <v>-23.540982259803702</v>
      </c>
      <c r="M236" s="39">
        <f>IF(Settings!$E$9="YAHOO",VLOOKUP(B236,ADP!A1:E728,2,FALSE),IF(Settings!$E$9="ESPN",VLOOKUP(B236,ADP!A1:E728,3,FALSE),IF(Settings!$E$9="FANTRAX",VLOOKUP(B236,ADP!A1:E728,4,FALSE),VLOOKUP(B236,ADP!A1:E728,5,FALSE))))</f>
        <v>92.6</v>
      </c>
      <c r="N236" s="39">
        <f>IFERROR(M236-A236,"N/A")</f>
        <v>-142.4</v>
      </c>
      <c r="O236" s="39"/>
      <c r="P236" s="40" t="str">
        <f>IF(Settings!$E$27="ON",VLOOKUP(B236,ADP!A1:H728,8,FALSE)," ")</f>
        <v xml:space="preserve"> </v>
      </c>
      <c r="Q236" s="41">
        <f>IF(Settings!$E$12="YES",VLOOKUP(B236,'Player Data'!A1:E734,5,FALSE),82)</f>
        <v>69.39</v>
      </c>
      <c r="R236" s="39">
        <f>VLOOKUP(B236,'Player Data'!$A1:$AE734,6,FALSE)</f>
        <v>16.1606972173239</v>
      </c>
      <c r="S236" s="41">
        <f>VLOOKUP(B236,'Player Data'!$A1:$AE734,7,FALSE)*$Q236*IFERROR((VLOOKUP(P236,Settings!$E$28:$F$33,2,FALSE)+1),1)</f>
        <v>22.389972569711947</v>
      </c>
      <c r="T236" s="41">
        <f>VLOOKUP(B236,'Player Data'!$A1:$AE734,8,FALSE)*$Q236*IFERROR((VLOOKUP(P236,Settings!$E$28:$F$33,2,FALSE)+1),1)</f>
        <v>20.469551544385126</v>
      </c>
      <c r="U236" s="41">
        <f>SUM(S236:T236)</f>
        <v>42.85952411409707</v>
      </c>
      <c r="V236" s="41">
        <f>VLOOKUP(B236,'Player Data'!$A1:$AE734,10,FALSE)*$Q236*IFERROR(((VLOOKUP(P236,Settings!$E$28:$F$33,2,FALSE)/2)+1),1)</f>
        <v>199.26798177989622</v>
      </c>
      <c r="W236" s="41">
        <f>VLOOKUP(B236,'Player Data'!$A1:$AE734,11,FALSE)*$Q236*IFERROR((VLOOKUP(P236,Settings!$E$28:$F$33,2,FALSE)+1),1)</f>
        <v>1.7593954242512448</v>
      </c>
      <c r="X236" s="41">
        <f>VLOOKUP(B236,'Player Data'!$A1:$AE734,12,FALSE)*$Q236*IFERROR((VLOOKUP(P236,Settings!$E$28:$F$33,2,FALSE)+1),1)</f>
        <v>3.9032382306387507</v>
      </c>
      <c r="Y236" s="41">
        <f>VLOOKUP(B236,'Player Data'!$A1:$AE734,13,FALSE)*$Q236</f>
        <v>0.66766259883304302</v>
      </c>
      <c r="Z236" s="41">
        <f>VLOOKUP(B236,'Player Data'!$A1:$AE734,14,FALSE)*$Q236</f>
        <v>1.4689427803806452</v>
      </c>
      <c r="AA236" s="41">
        <f>VLOOKUP(B236,'Player Data'!$A1:$AE734,15,FALSE)*$Q236</f>
        <v>22.180727609391809</v>
      </c>
      <c r="AB236" s="41">
        <f>VLOOKUP(B236,'Player Data'!$A1:$AE734,16,FALSE)*$Q236</f>
        <v>157.58981416698018</v>
      </c>
      <c r="AC236" s="41">
        <f>VLOOKUP(B236,'Player Data'!$A1:$AE734,17,FALSE)*$Q236*IFERROR((VLOOKUP(P236,Settings!$E$28:$F$33,2,FALSE)+1),1)</f>
        <v>4.1945864817161622</v>
      </c>
      <c r="AD236" s="41">
        <f>VLOOKUP(B236,'Player Data'!$A1:$AE734,18,FALSE)*$Q236</f>
        <v>55.332863010498372</v>
      </c>
      <c r="AE236" s="41">
        <f>VLOOKUP(B236,'Player Data'!$A1:$AE734,19,FALSE)*$Q236*IFERROR((VLOOKUP(P236,Settings!$E$28:$F$33,2,FALSE)+1),1)</f>
        <v>3.5440922874822518</v>
      </c>
      <c r="AF236" s="41">
        <f>VLOOKUP(B236,'Player Data'!$A1:$AE734,20,FALSE)*$Q236</f>
        <v>19.102685315593419</v>
      </c>
      <c r="AG236" s="41">
        <f>VLOOKUP(B236,'Player Data'!$A1:$AE734,21,FALSE)*$Q236</f>
        <v>28.601616760360177</v>
      </c>
      <c r="AH236" s="42">
        <f>VLOOKUP(B236,'Player Data'!$A1:$AE734,22,FALSE)</f>
        <v>0.40043946739182101</v>
      </c>
      <c r="AI236" s="39"/>
      <c r="AJ236" s="43"/>
      <c r="AK236" s="41"/>
      <c r="AL236" s="41"/>
      <c r="AM236" s="41"/>
      <c r="AN236" s="41"/>
      <c r="AO236" s="41"/>
      <c r="AP236" s="41"/>
      <c r="AQ236" s="44"/>
      <c r="AR236" s="45"/>
      <c r="AS236" s="39"/>
    </row>
    <row r="237" spans="1:45" ht="21.25" customHeight="1" x14ac:dyDescent="0.15">
      <c r="A237" s="31">
        <f>RANK(K237,K$2:K$727)</f>
        <v>236</v>
      </c>
      <c r="B237" s="8" t="s">
        <v>341</v>
      </c>
      <c r="C237" s="32" t="s">
        <v>106</v>
      </c>
      <c r="D237" s="33" t="str">
        <f>VLOOKUP(B237,'Player Data'!A1:D734,4,FALSE)</f>
        <v>G</v>
      </c>
      <c r="E237" s="50">
        <f>VLOOKUP(B237,G!A1:D75,3,FALSE)</f>
        <v>31</v>
      </c>
      <c r="F237" s="35" t="str">
        <f>VLOOKUP(B237,'Player Data'!A1:B734,2,FALSE)</f>
        <v>SJS</v>
      </c>
      <c r="G237" s="9">
        <f>VLOOKUP(B237,'Player Data'!A1:D734,3,FALSE)</f>
        <v>27</v>
      </c>
      <c r="H237" s="36">
        <f>IFERROR(VLOOKUP(B237,ADP!A1:G728,7,FALSE)/1000000,VLOOKUP(B237,ADP!A1:G728,7,FALSE))</f>
        <v>2.75</v>
      </c>
      <c r="I237" s="37">
        <f>IF(Settings!$E$15="POINTS",(AJ237*Settings!$B$29)+(AK237*Settings!$B$21)+(AL237*Settings!$B$22)+(AN237*Settings!$B$24)+(AO237*Settings!$B$25)+(AP237*Settings!$B$27)+(AM237*Settings!$B$23),VLOOKUP(B237,'Standard Deviations'!A1:C728,3,FALSE))</f>
        <v>277.89353008852214</v>
      </c>
      <c r="J237" s="38">
        <f>IF(D237="G",I237/AJ237,I237/Q237)</f>
        <v>6.3157620474664125</v>
      </c>
      <c r="K237" s="37">
        <f>VLOOKUP(B237,G!A1:F75,6,FALSE)</f>
        <v>-120.88213200079406</v>
      </c>
      <c r="L237" s="37">
        <f>IFERROR(K237/H237,"N/A")</f>
        <v>-43.957138909379658</v>
      </c>
      <c r="M237" s="53" t="str">
        <f>IF(Settings!$E$9="YAHOO",VLOOKUP(B237,ADP!A1:E728,2,FALSE),IF(Settings!$E$9="ESPN",VLOOKUP(B237,ADP!A1:E728,3,FALSE),IF(Settings!$E$9="FANTRAX",VLOOKUP(B237,ADP!A1:E728,4,FALSE),VLOOKUP(B237,ADP!A1:E728,5,FALSE))))</f>
        <v>-</v>
      </c>
      <c r="N237" s="53" t="str">
        <f>IFERROR(M237-A237,"N/A")</f>
        <v>N/A</v>
      </c>
      <c r="O237" s="39"/>
      <c r="P237" s="40" t="str">
        <f>IF(Settings!$E$27="ON",VLOOKUP(B237,ADP!A1:H728,8,FALSE)," ")</f>
        <v>-</v>
      </c>
      <c r="Q237" s="41"/>
      <c r="R237" s="5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2"/>
      <c r="AI237" s="39"/>
      <c r="AJ237" s="43">
        <f>VLOOKUP(B237,'Player Data'!$A1:$AE734,24,FALSE)</f>
        <v>44</v>
      </c>
      <c r="AK237" s="41">
        <f>VLOOKUP(B237,'Player Data'!$A1:$AE734,25,FALSE)*$AJ237*IFERROR((VLOOKUP(P237,Settings!$E$28:$F$33,2,FALSE)+1),1)</f>
        <v>16.049001504056477</v>
      </c>
      <c r="AL237" s="41">
        <f>AJ237-AK237-AM237</f>
        <v>22.450998495943523</v>
      </c>
      <c r="AM237" s="41">
        <f>VLOOKUP(B237,'Player Data'!$A1:$AE734,27,FALSE)*$AJ237</f>
        <v>5.5</v>
      </c>
      <c r="AN237" s="41">
        <f>VLOOKUP(B237,'Player Data'!$A1:$AE734,28,FALSE)*AJ237</f>
        <v>1.4959503023844325</v>
      </c>
      <c r="AO237" s="41">
        <f>VLOOKUP(B237,'Player Data'!$A1:$AE734,29,FALSE)*$AJ237*IFERROR((VLOOKUP(P237,Settings!$E$28:$F$33,2,FALSE)/4)+1,1)</f>
        <v>1282.0032540402171</v>
      </c>
      <c r="AP237" s="41">
        <f>VLOOKUP(B237,'Player Data'!$A1:$AE734,31,FALSE)*$AJ237*(IFERROR(1-(VLOOKUP(P237,Settings!$E$28:$F$33,2,FALSE)/4),1))</f>
        <v>138.08233401617491</v>
      </c>
      <c r="AQ237" s="44">
        <f>1-(AP237/(AO237+AP237))</f>
        <v>0.90276478039245367</v>
      </c>
      <c r="AR237" s="45">
        <f>AP237/AJ237</f>
        <v>3.1382348640039752</v>
      </c>
      <c r="AS237" s="39"/>
    </row>
    <row r="238" spans="1:45" ht="21.25" customHeight="1" x14ac:dyDescent="0.15">
      <c r="A238" s="31">
        <f>RANK(K238,K$2:K$727)</f>
        <v>237</v>
      </c>
      <c r="B238" s="8" t="s">
        <v>342</v>
      </c>
      <c r="C238" s="32" t="s">
        <v>106</v>
      </c>
      <c r="D238" s="33" t="str">
        <f>VLOOKUP(B238,'Player Data'!A1:D734,4,FALSE)</f>
        <v>D</v>
      </c>
      <c r="E238" s="49">
        <f>VLOOKUP(B238,D!A1:C227,3,FALSE)</f>
        <v>63</v>
      </c>
      <c r="F238" s="35" t="str">
        <f>VLOOKUP(B238,'Player Data'!A1:B734,2,FALSE)</f>
        <v>COL</v>
      </c>
      <c r="G238" s="9">
        <f>VLOOKUP(B238,'Player Data'!A1:D734,3,FALSE)</f>
        <v>25</v>
      </c>
      <c r="H238" s="36">
        <f>IFERROR(VLOOKUP(B238,ADP!A1:G728,7,FALSE)/1000000,VLOOKUP(B238,ADP!A1:G728,7,FALSE))</f>
        <v>5</v>
      </c>
      <c r="I238" s="37">
        <f>IF(Settings!$E$15="POINTS",((R238*Q238)*Settings!$B$12)+(S238*Settings!$B$2)+(T238*Settings!$B$3)+(U238*Settings!$B$4)+(V238*Settings!$B$5)+(X238*Settings!$B$9)+(AA238*Settings!$B$6)+(W238*Settings!$B$8)+(AB238*Settings!$B$7)+(AC238*Settings!$B$14)+(AD238*Settings!$B$15)+(AE238*Settings!$B$16)+(AF238*Settings!$B$17)+(AG238*Settings!$B$18)+(U238*Settings!$B$13)+(Y238*Settings!$B$10)+(Z238*Settings!$B$11),VLOOKUP(B238,'Standard Deviations'!A1:C728,3,FALSE))</f>
        <v>190.24237846493179</v>
      </c>
      <c r="J238" s="38">
        <f>IF(D238="G",I238/AJ238,I238/Q238)</f>
        <v>2.4474431519929483</v>
      </c>
      <c r="K238" s="37">
        <f>VLOOKUP(B238,D!A1:F227,6,FALSE)</f>
        <v>-121.32310316299566</v>
      </c>
      <c r="L238" s="37">
        <f>IFERROR(K238/H238,"N/A")</f>
        <v>-24.264620632599133</v>
      </c>
      <c r="M238" s="39">
        <f>IF(Settings!$E$9="YAHOO",VLOOKUP(B238,ADP!A1:E728,2,FALSE),IF(Settings!$E$9="ESPN",VLOOKUP(B238,ADP!A1:E728,3,FALSE),IF(Settings!$E$9="FANTRAX",VLOOKUP(B238,ADP!A1:E728,4,FALSE),VLOOKUP(B238,ADP!A1:E728,5,FALSE))))</f>
        <v>176.6</v>
      </c>
      <c r="N238" s="39">
        <f>IFERROR(M238-A238,"N/A")</f>
        <v>-60.400000000000006</v>
      </c>
      <c r="O238" s="39"/>
      <c r="P238" s="40" t="str">
        <f>IF(Settings!$E$27="ON",VLOOKUP(B238,ADP!A1:H728,8,FALSE)," ")</f>
        <v xml:space="preserve"> </v>
      </c>
      <c r="Q238" s="41">
        <f>IF(Settings!$E$12="YES",VLOOKUP(B238,'Player Data'!A1:E734,5,FALSE),82)</f>
        <v>77.731071428571397</v>
      </c>
      <c r="R238" s="39">
        <f>VLOOKUP(B238,'Player Data'!$A1:$AE734,6,FALSE)</f>
        <v>20.311455675405298</v>
      </c>
      <c r="S238" s="41">
        <f>VLOOKUP(B238,'Player Data'!$A1:$AE734,7,FALSE)*$Q238*IFERROR((VLOOKUP(P238,Settings!$E$28:$F$33,2,FALSE)+1),1)</f>
        <v>6.0210282301068299</v>
      </c>
      <c r="T238" s="41">
        <f>VLOOKUP(B238,'Player Data'!$A1:$AE734,8,FALSE)*$Q238*IFERROR((VLOOKUP(P238,Settings!$E$28:$F$33,2,FALSE)+1),1)</f>
        <v>27.552700565088763</v>
      </c>
      <c r="U238" s="41">
        <f>SUM(S238:T238)</f>
        <v>33.573728795195592</v>
      </c>
      <c r="V238" s="41">
        <f>VLOOKUP(B238,'Player Data'!$A1:$AE734,10,FALSE)*$Q238*IFERROR(((VLOOKUP(P238,Settings!$E$28:$F$33,2,FALSE)/2)+1),1)</f>
        <v>108.73594581109036</v>
      </c>
      <c r="W238" s="41">
        <f>VLOOKUP(B238,'Player Data'!$A1:$AE734,11,FALSE)*$Q238*IFERROR((VLOOKUP(P238,Settings!$E$28:$F$33,2,FALSE)+1),1)</f>
        <v>0.38706522686806022</v>
      </c>
      <c r="X238" s="41">
        <f>VLOOKUP(B238,'Player Data'!$A1:$AE734,12,FALSE)*$Q238*IFERROR((VLOOKUP(P238,Settings!$E$28:$F$33,2,FALSE)+1),1)</f>
        <v>5.7955166114436736</v>
      </c>
      <c r="Y238" s="41">
        <f>VLOOKUP(B238,'Player Data'!$A1:$AE734,13,FALSE)*$Q238</f>
        <v>3.2654459310536954E-2</v>
      </c>
      <c r="Z238" s="41">
        <f>VLOOKUP(B238,'Player Data'!$A1:$AE734,14,FALSE)*$Q238</f>
        <v>0.61717014006894133</v>
      </c>
      <c r="AA238" s="41">
        <f>VLOOKUP(B238,'Player Data'!$A1:$AE734,15,FALSE)*$Q238</f>
        <v>111.63922835387311</v>
      </c>
      <c r="AB238" s="41">
        <f>VLOOKUP(B238,'Player Data'!$A1:$AE734,16,FALSE)*$Q238</f>
        <v>77.450738521053154</v>
      </c>
      <c r="AC238" s="41">
        <f>VLOOKUP(B238,'Player Data'!$A1:$AE734,17,FALSE)*$Q238*IFERROR((VLOOKUP(P238,Settings!$E$28:$F$33,2,FALSE)+1),1)</f>
        <v>2.9178443427658944</v>
      </c>
      <c r="AD238" s="41">
        <f>VLOOKUP(B238,'Player Data'!$A1:$AE734,18,FALSE)*$Q238</f>
        <v>21.862650519804937</v>
      </c>
      <c r="AE238" s="41">
        <f>VLOOKUP(B238,'Player Data'!$A1:$AE734,19,FALSE)*$Q238*IFERROR((VLOOKUP(P238,Settings!$E$28:$F$33,2,FALSE)+1),1)</f>
        <v>0.95261738326908862</v>
      </c>
      <c r="AF238" s="41">
        <f>VLOOKUP(B238,'Player Data'!$A1:$AE734,20,FALSE)*$Q238</f>
        <v>0</v>
      </c>
      <c r="AG238" s="41">
        <f>VLOOKUP(B238,'Player Data'!$A1:$AE734,21,FALSE)*$Q238</f>
        <v>0</v>
      </c>
      <c r="AH238" s="42">
        <f>VLOOKUP(B238,'Player Data'!$A1:$AE734,22,FALSE)</f>
        <v>0</v>
      </c>
      <c r="AI238" s="39"/>
      <c r="AJ238" s="43"/>
      <c r="AK238" s="41"/>
      <c r="AL238" s="41"/>
      <c r="AM238" s="41"/>
      <c r="AN238" s="41"/>
      <c r="AO238" s="41"/>
      <c r="AP238" s="41"/>
      <c r="AQ238" s="44"/>
      <c r="AR238" s="45"/>
      <c r="AS238" s="39"/>
    </row>
    <row r="239" spans="1:45" ht="21.25" customHeight="1" x14ac:dyDescent="0.15">
      <c r="A239" s="31">
        <f>RANK(K239,K$2:K$727)</f>
        <v>238</v>
      </c>
      <c r="B239" s="8" t="s">
        <v>343</v>
      </c>
      <c r="C239" s="32" t="s">
        <v>106</v>
      </c>
      <c r="D239" s="33" t="str">
        <f>VLOOKUP(B239,'Player Data'!A1:D734,4,FALSE)</f>
        <v>D</v>
      </c>
      <c r="E239" s="49">
        <f>VLOOKUP(B239,D!A1:C227,3,FALSE)</f>
        <v>64</v>
      </c>
      <c r="F239" s="35" t="str">
        <f>VLOOKUP(B239,'Player Data'!A1:B734,2,FALSE)</f>
        <v>CAR</v>
      </c>
      <c r="G239" s="9">
        <f>VLOOKUP(B239,'Player Data'!A1:D734,3,FALSE)</f>
        <v>29</v>
      </c>
      <c r="H239" s="36">
        <f>IFERROR(VLOOKUP(B239,ADP!A1:G728,7,FALSE)/1000000,VLOOKUP(B239,ADP!A1:G728,7,FALSE))</f>
        <v>5.3</v>
      </c>
      <c r="I239" s="37">
        <f>IF(Settings!$E$15="POINTS",((R239*Q239)*Settings!$B$12)+(S239*Settings!$B$2)+(T239*Settings!$B$3)+(U239*Settings!$B$4)+(V239*Settings!$B$5)+(X239*Settings!$B$9)+(AA239*Settings!$B$6)+(W239*Settings!$B$8)+(AB239*Settings!$B$7)+(AC239*Settings!$B$14)+(AD239*Settings!$B$15)+(AE239*Settings!$B$16)+(AF239*Settings!$B$17)+(AG239*Settings!$B$18)+(U239*Settings!$B$13)+(Y239*Settings!$B$10)+(Z239*Settings!$B$11),VLOOKUP(B239,'Standard Deviations'!A1:C728,3,FALSE))</f>
        <v>189.4113067536631</v>
      </c>
      <c r="J239" s="38">
        <f>IF(D239="G",I239/AJ239,I239/Q239)</f>
        <v>2.368624736655204</v>
      </c>
      <c r="K239" s="37">
        <f>VLOOKUP(B239,D!A1:F227,6,FALSE)</f>
        <v>-122.15417487426436</v>
      </c>
      <c r="L239" s="37">
        <f>IFERROR(K239/H239,"N/A")</f>
        <v>-23.047957523446104</v>
      </c>
      <c r="M239" s="39">
        <f>IF(Settings!$E$9="YAHOO",VLOOKUP(B239,ADP!A1:E728,2,FALSE),IF(Settings!$E$9="ESPN",VLOOKUP(B239,ADP!A1:E728,3,FALSE),IF(Settings!$E$9="FANTRAX",VLOOKUP(B239,ADP!A1:E728,4,FALSE),VLOOKUP(B239,ADP!A1:E728,5,FALSE))))</f>
        <v>170.4</v>
      </c>
      <c r="N239" s="39">
        <f>IFERROR(M239-A239,"N/A")</f>
        <v>-67.599999999999994</v>
      </c>
      <c r="O239" s="39"/>
      <c r="P239" s="40" t="str">
        <f>IF(Settings!$E$27="ON",VLOOKUP(B239,ADP!A1:H728,8,FALSE)," ")</f>
        <v xml:space="preserve"> </v>
      </c>
      <c r="Q239" s="41">
        <f>IF(Settings!$E$12="YES",VLOOKUP(B239,'Player Data'!A1:E734,5,FALSE),82)</f>
        <v>79.966785714285706</v>
      </c>
      <c r="R239" s="39">
        <f>VLOOKUP(B239,'Player Data'!$A1:$AE734,6,FALSE)</f>
        <v>21.899566867578599</v>
      </c>
      <c r="S239" s="41">
        <f>VLOOKUP(B239,'Player Data'!$A1:$AE734,7,FALSE)*$Q239*IFERROR((VLOOKUP(P239,Settings!$E$28:$F$33,2,FALSE)+1),1)</f>
        <v>5.3246387309916505</v>
      </c>
      <c r="T239" s="41">
        <f>VLOOKUP(B239,'Player Data'!$A1:$AE734,8,FALSE)*$Q239*IFERROR((VLOOKUP(P239,Settings!$E$28:$F$33,2,FALSE)+1),1)</f>
        <v>25.24856262984569</v>
      </c>
      <c r="U239" s="41">
        <f>SUM(S239:T239)</f>
        <v>30.573201360837341</v>
      </c>
      <c r="V239" s="41">
        <f>VLOOKUP(B239,'Player Data'!$A1:$AE734,10,FALSE)*$Q239*IFERROR(((VLOOKUP(P239,Settings!$E$28:$F$33,2,FALSE)/2)+1),1)</f>
        <v>142.91535253743734</v>
      </c>
      <c r="W239" s="41">
        <f>VLOOKUP(B239,'Player Data'!$A1:$AE734,11,FALSE)*$Q239*IFERROR((VLOOKUP(P239,Settings!$E$28:$F$33,2,FALSE)+1),1)</f>
        <v>5.9064814122920313E-2</v>
      </c>
      <c r="X239" s="41">
        <f>VLOOKUP(B239,'Player Data'!$A1:$AE734,12,FALSE)*$Q239*IFERROR((VLOOKUP(P239,Settings!$E$28:$F$33,2,FALSE)+1),1)</f>
        <v>0.3779191003220429</v>
      </c>
      <c r="Y239" s="41">
        <f>VLOOKUP(B239,'Player Data'!$A1:$AE734,13,FALSE)*$Q239</f>
        <v>2.2258654107090211E-2</v>
      </c>
      <c r="Z239" s="41">
        <f>VLOOKUP(B239,'Player Data'!$A1:$AE734,14,FALSE)*$Q239</f>
        <v>1.2420080880136597</v>
      </c>
      <c r="AA239" s="41">
        <f>VLOOKUP(B239,'Player Data'!$A1:$AE734,15,FALSE)*$Q239</f>
        <v>114.97086012880483</v>
      </c>
      <c r="AB239" s="41">
        <f>VLOOKUP(B239,'Player Data'!$A1:$AE734,16,FALSE)*$Q239</f>
        <v>51.293214956473342</v>
      </c>
      <c r="AC239" s="41">
        <f>VLOOKUP(B239,'Player Data'!$A1:$AE734,17,FALSE)*$Q239*IFERROR((VLOOKUP(P239,Settings!$E$28:$F$33,2,FALSE)+1),1)</f>
        <v>9.1388088949657362</v>
      </c>
      <c r="AD239" s="41">
        <f>VLOOKUP(B239,'Player Data'!$A1:$AE734,18,FALSE)*$Q239</f>
        <v>12.491341717938315</v>
      </c>
      <c r="AE239" s="41">
        <f>VLOOKUP(B239,'Player Data'!$A1:$AE734,19,FALSE)*$Q239*IFERROR((VLOOKUP(P239,Settings!$E$28:$F$33,2,FALSE)+1),1)</f>
        <v>0.95535941601753382</v>
      </c>
      <c r="AF239" s="41">
        <f>VLOOKUP(B239,'Player Data'!$A1:$AE734,20,FALSE)*$Q239</f>
        <v>0</v>
      </c>
      <c r="AG239" s="41">
        <f>VLOOKUP(B239,'Player Data'!$A1:$AE734,21,FALSE)*$Q239</f>
        <v>0</v>
      </c>
      <c r="AH239" s="42">
        <f>VLOOKUP(B239,'Player Data'!$A1:$AE734,22,FALSE)</f>
        <v>0</v>
      </c>
      <c r="AI239" s="39"/>
      <c r="AJ239" s="43"/>
      <c r="AK239" s="41"/>
      <c r="AL239" s="41"/>
      <c r="AM239" s="41"/>
      <c r="AN239" s="41"/>
      <c r="AO239" s="41"/>
      <c r="AP239" s="41"/>
      <c r="AQ239" s="44"/>
      <c r="AR239" s="45"/>
      <c r="AS239" s="39"/>
    </row>
    <row r="240" spans="1:45" ht="21.25" customHeight="1" x14ac:dyDescent="0.15">
      <c r="A240" s="31">
        <f>RANK(K240,K$2:K$727)</f>
        <v>239</v>
      </c>
      <c r="B240" s="8" t="s">
        <v>344</v>
      </c>
      <c r="C240" s="32" t="s">
        <v>106</v>
      </c>
      <c r="D240" s="33" t="str">
        <f>VLOOKUP(B240,'Player Data'!A1:D734,4,FALSE)</f>
        <v>RW</v>
      </c>
      <c r="E240" s="46">
        <f>VLOOKUP(B240,RW!A1:F97,3,FALSE)</f>
        <v>40</v>
      </c>
      <c r="F240" s="35" t="str">
        <f>VLOOKUP(B240,'Player Data'!A1:B734,2,FALSE)</f>
        <v>DET</v>
      </c>
      <c r="G240" s="9">
        <f>VLOOKUP(B240,'Player Data'!A1:D734,3,FALSE)</f>
        <v>26</v>
      </c>
      <c r="H240" s="36">
        <f>IFERROR(VLOOKUP(B240,ADP!A1:G728,7,FALSE)/1000000,VLOOKUP(B240,ADP!A1:G728,7,FALSE))</f>
        <v>2</v>
      </c>
      <c r="I240" s="37">
        <f>IF(Settings!$E$15="POINTS",((R240*Q240)*Settings!$B$12)+(S240*Settings!$B$2)+(T240*Settings!$B$3)+(U240*Settings!$B$4)+(V240*Settings!$B$5)+(X240*Settings!$B$9)+(AA240*Settings!$B$6)+(W240*Settings!$B$8)+(AB240*Settings!$B$7)+(AC240*Settings!$B$14)+(AD240*Settings!$B$15)+(AE240*Settings!$B$16)+(AF240*Settings!$B$17)+(AG240*Settings!$B$18)+(Y240*Settings!$B$10)+(Z240*Settings!$B$11),VLOOKUP(B240,'Standard Deviations'!A1:C728,3,FALSE))</f>
        <v>227.41713460475484</v>
      </c>
      <c r="J240" s="38">
        <f>IF(D240="G",I240/AJ240,I240/Q240)</f>
        <v>3.0514526128577346</v>
      </c>
      <c r="K240" s="37">
        <f>IF(Settings!$E$18="C/LW/RW",VLOOKUP(B240,RW!A1:F97,6,FALSE),VLOOKUP(B240,F!A1:F430,6,FALSE))</f>
        <v>-122.85440594313474</v>
      </c>
      <c r="L240" s="37">
        <f>IFERROR(K240/H240,"N/A")</f>
        <v>-61.427202971567368</v>
      </c>
      <c r="M240" s="39">
        <f>IF(Settings!$E$9="YAHOO",VLOOKUP(B240,ADP!A1:E728,2,FALSE),IF(Settings!$E$9="ESPN",VLOOKUP(B240,ADP!A1:E728,3,FALSE),IF(Settings!$E$9="FANTRAX",VLOOKUP(B240,ADP!A1:E728,4,FALSE),VLOOKUP(B240,ADP!A1:E728,5,FALSE))))</f>
        <v>185.6</v>
      </c>
      <c r="N240" s="39">
        <f>IFERROR(M240-A240,"N/A")</f>
        <v>-53.400000000000006</v>
      </c>
      <c r="O240" s="39"/>
      <c r="P240" s="40" t="str">
        <f>IF(Settings!$E$27="ON",VLOOKUP(B240,ADP!A1:H728,8,FALSE)," ")</f>
        <v xml:space="preserve"> </v>
      </c>
      <c r="Q240" s="41">
        <f>IF(Settings!$E$12="YES",VLOOKUP(B240,'Player Data'!A1:E734,5,FALSE),82)</f>
        <v>74.527500000000003</v>
      </c>
      <c r="R240" s="39">
        <f>VLOOKUP(B240,'Player Data'!$A1:$AE734,6,FALSE)</f>
        <v>12.7138915523403</v>
      </c>
      <c r="S240" s="41">
        <f>VLOOKUP(B240,'Player Data'!$A1:$AE734,7,FALSE)*$Q240*IFERROR((VLOOKUP(P240,Settings!$E$28:$F$33,2,FALSE)+1),1)</f>
        <v>20.424529214541693</v>
      </c>
      <c r="T240" s="41">
        <f>VLOOKUP(B240,'Player Data'!$A1:$AE734,8,FALSE)*$Q240*IFERROR((VLOOKUP(P240,Settings!$E$28:$F$33,2,FALSE)+1),1)</f>
        <v>19.985627255906977</v>
      </c>
      <c r="U240" s="41">
        <f>SUM(S240:T240)</f>
        <v>40.410156470448669</v>
      </c>
      <c r="V240" s="41">
        <f>VLOOKUP(B240,'Player Data'!$A1:$AE734,10,FALSE)*$Q240*IFERROR(((VLOOKUP(P240,Settings!$E$28:$F$33,2,FALSE)/2)+1),1)</f>
        <v>167.26345477158358</v>
      </c>
      <c r="W240" s="41">
        <f>VLOOKUP(B240,'Player Data'!$A1:$AE734,11,FALSE)*$Q240*IFERROR((VLOOKUP(P240,Settings!$E$28:$F$33,2,FALSE)+1),1)</f>
        <v>4.1912122490891761</v>
      </c>
      <c r="X240" s="41">
        <f>VLOOKUP(B240,'Player Data'!$A1:$AE734,12,FALSE)*$Q240*IFERROR((VLOOKUP(P240,Settings!$E$28:$F$33,2,FALSE)+1),1)</f>
        <v>9.1959154997430446</v>
      </c>
      <c r="Y240" s="41">
        <f>VLOOKUP(B240,'Player Data'!$A1:$AE734,13,FALSE)*$Q240</f>
        <v>1.3046613248508059E-3</v>
      </c>
      <c r="Z240" s="41">
        <f>VLOOKUP(B240,'Player Data'!$A1:$AE734,14,FALSE)*$Q240</f>
        <v>2.3854331385718798E-3</v>
      </c>
      <c r="AA240" s="41">
        <f>VLOOKUP(B240,'Player Data'!$A1:$AE734,15,FALSE)*$Q240</f>
        <v>20.791679709268855</v>
      </c>
      <c r="AB240" s="41">
        <f>VLOOKUP(B240,'Player Data'!$A1:$AE734,16,FALSE)*$Q240</f>
        <v>54.35018724365478</v>
      </c>
      <c r="AC240" s="41">
        <f>VLOOKUP(B240,'Player Data'!$A1:$AE734,17,FALSE)*$Q240*IFERROR((VLOOKUP(P240,Settings!$E$28:$F$33,2,FALSE)+1),1)</f>
        <v>0.61142727803999009</v>
      </c>
      <c r="AD240" s="41">
        <f>VLOOKUP(B240,'Player Data'!$A1:$AE734,18,FALSE)*$Q240</f>
        <v>17.690917646207886</v>
      </c>
      <c r="AE240" s="41">
        <f>VLOOKUP(B240,'Player Data'!$A1:$AE734,19,FALSE)*$Q240*IFERROR((VLOOKUP(P240,Settings!$E$28:$F$33,2,FALSE)+1),1)</f>
        <v>2.6370386665276455</v>
      </c>
      <c r="AF240" s="41">
        <f>VLOOKUP(B240,'Player Data'!$A1:$AE734,20,FALSE)*$Q240</f>
        <v>1.7921259898854185</v>
      </c>
      <c r="AG240" s="41">
        <f>VLOOKUP(B240,'Player Data'!$A1:$AE734,21,FALSE)*$Q240</f>
        <v>5.127949958283188</v>
      </c>
      <c r="AH240" s="42">
        <f>VLOOKUP(B240,'Player Data'!$A1:$AE734,22,FALSE)</f>
        <v>0.25897490190981198</v>
      </c>
      <c r="AI240" s="39"/>
      <c r="AJ240" s="43"/>
      <c r="AK240" s="41"/>
      <c r="AL240" s="41"/>
      <c r="AM240" s="41"/>
      <c r="AN240" s="41"/>
      <c r="AO240" s="41"/>
      <c r="AP240" s="41"/>
      <c r="AQ240" s="44"/>
      <c r="AR240" s="45"/>
      <c r="AS240" s="39"/>
    </row>
    <row r="241" spans="1:45" ht="21.25" customHeight="1" x14ac:dyDescent="0.15">
      <c r="A241" s="31">
        <f>RANK(K241,K$2:K$727)</f>
        <v>240</v>
      </c>
      <c r="B241" s="8" t="s">
        <v>345</v>
      </c>
      <c r="C241" s="32" t="s">
        <v>106</v>
      </c>
      <c r="D241" s="33" t="str">
        <f>VLOOKUP(B241,'Player Data'!A1:D734,4,FALSE)</f>
        <v>LW</v>
      </c>
      <c r="E241" s="47">
        <f>VLOOKUP(B241,LW!A1:C130,3,FALSE)</f>
        <v>48</v>
      </c>
      <c r="F241" s="35" t="str">
        <f>VLOOKUP(B241,'Player Data'!A1:B734,2,FALSE)</f>
        <v>SJS</v>
      </c>
      <c r="G241" s="9">
        <f>VLOOKUP(B241,'Player Data'!A1:D734,3,FALSE)</f>
        <v>29</v>
      </c>
      <c r="H241" s="36">
        <f>IFERROR(VLOOKUP(B241,ADP!A1:G728,7,FALSE)/1000000,VLOOKUP(B241,ADP!A1:G728,7,FALSE))</f>
        <v>2.5</v>
      </c>
      <c r="I241" s="37">
        <f>IF(Settings!$E$15="POINTS",((R241*Q241)*Settings!$B$12)+(S241*Settings!$B$2)+(T241*Settings!$B$3)+(U241*Settings!$B$4)+(V241*Settings!$B$5)+(X241*Settings!$B$9)+(AA241*Settings!$B$6)+(W241*Settings!$B$8)+(AB241*Settings!$B$7)+(AC241*Settings!$B$14)+(AD241*Settings!$B$15)+(AE241*Settings!$B$16)+(AF241*Settings!$B$17)+(AG241*Settings!$B$18)+(Y241*Settings!$B$10)+(Z241*Settings!$B$11),VLOOKUP(B241,'Standard Deviations'!A1:C728,3,FALSE))</f>
        <v>240.95026054123605</v>
      </c>
      <c r="J241" s="38">
        <f>IF(D241="G",I241/AJ241,I241/Q241)</f>
        <v>3.3044715061051337</v>
      </c>
      <c r="K241" s="37">
        <f>IF(Settings!$E$18="C/LW/RW",VLOOKUP(B241,LW!A1:F130,6,FALSE),VLOOKUP(B241,F!A1:F430,6,FALSE))</f>
        <v>-123.09034431641442</v>
      </c>
      <c r="L241" s="37">
        <f>IFERROR(K241/H241,"N/A")</f>
        <v>-49.236137726565765</v>
      </c>
      <c r="M241" s="53" t="str">
        <f>IF(Settings!$E$9="YAHOO",VLOOKUP(B241,ADP!A1:E728,2,FALSE),IF(Settings!$E$9="ESPN",VLOOKUP(B241,ADP!A1:E728,3,FALSE),IF(Settings!$E$9="FANTRAX",VLOOKUP(B241,ADP!A1:E728,4,FALSE),VLOOKUP(B241,ADP!A1:E728,5,FALSE))))</f>
        <v>-</v>
      </c>
      <c r="N241" s="53" t="str">
        <f>IFERROR(M241-A241,"N/A")</f>
        <v>N/A</v>
      </c>
      <c r="O241" s="39"/>
      <c r="P241" s="40" t="str">
        <f>IF(Settings!$E$27="ON",VLOOKUP(B241,ADP!A1:H728,8,FALSE)," ")</f>
        <v xml:space="preserve"> </v>
      </c>
      <c r="Q241" s="41">
        <f>IF(Settings!$E$12="YES",VLOOKUP(B241,'Player Data'!A1:E734,5,FALSE),82)</f>
        <v>72.916428571428597</v>
      </c>
      <c r="R241" s="39">
        <f>VLOOKUP(B241,'Player Data'!$A1:$AE734,6,FALSE)</f>
        <v>17.477731624681201</v>
      </c>
      <c r="S241" s="41">
        <f>VLOOKUP(B241,'Player Data'!$A1:$AE734,7,FALSE)*$Q241*IFERROR((VLOOKUP(P241,Settings!$E$28:$F$33,2,FALSE)+1),1)</f>
        <v>14.709985894189328</v>
      </c>
      <c r="T241" s="41">
        <f>VLOOKUP(B241,'Player Data'!$A1:$AE734,8,FALSE)*$Q241*IFERROR((VLOOKUP(P241,Settings!$E$28:$F$33,2,FALSE)+1),1)</f>
        <v>32.447517123053821</v>
      </c>
      <c r="U241" s="41">
        <f>SUM(S241:T241)</f>
        <v>47.157503017243151</v>
      </c>
      <c r="V241" s="41">
        <f>VLOOKUP(B241,'Player Data'!$A1:$AE734,10,FALSE)*$Q241*IFERROR(((VLOOKUP(P241,Settings!$E$28:$F$33,2,FALSE)/2)+1),1)</f>
        <v>127.90215821573624</v>
      </c>
      <c r="W241" s="41">
        <f>VLOOKUP(B241,'Player Data'!$A1:$AE734,11,FALSE)*$Q241*IFERROR((VLOOKUP(P241,Settings!$E$28:$F$33,2,FALSE)+1),1)</f>
        <v>3.8368960188124599</v>
      </c>
      <c r="X241" s="41">
        <f>VLOOKUP(B241,'Player Data'!$A1:$AE734,12,FALSE)*$Q241*IFERROR((VLOOKUP(P241,Settings!$E$28:$F$33,2,FALSE)+1),1)</f>
        <v>13.908667579962168</v>
      </c>
      <c r="Y241" s="41">
        <f>VLOOKUP(B241,'Player Data'!$A1:$AE734,13,FALSE)*$Q241</f>
        <v>7.2954687526984004E-3</v>
      </c>
      <c r="Z241" s="41">
        <f>VLOOKUP(B241,'Player Data'!$A1:$AE734,14,FALSE)*$Q241</f>
        <v>1.3593381854616282E-2</v>
      </c>
      <c r="AA241" s="41">
        <f>VLOOKUP(B241,'Player Data'!$A1:$AE734,15,FALSE)*$Q241</f>
        <v>38.410752290024554</v>
      </c>
      <c r="AB241" s="41">
        <f>VLOOKUP(B241,'Player Data'!$A1:$AE734,16,FALSE)*$Q241</f>
        <v>48.566293081721462</v>
      </c>
      <c r="AC241" s="41">
        <f>VLOOKUP(B241,'Player Data'!$A1:$AE734,17,FALSE)*$Q241*IFERROR((VLOOKUP(P241,Settings!$E$28:$F$33,2,FALSE)+1),1)</f>
        <v>9.1881392469833553E-2</v>
      </c>
      <c r="AD241" s="41">
        <f>VLOOKUP(B241,'Player Data'!$A1:$AE734,18,FALSE)*$Q241</f>
        <v>21.611149836797384</v>
      </c>
      <c r="AE241" s="41">
        <f>VLOOKUP(B241,'Player Data'!$A1:$AE734,19,FALSE)*$Q241*IFERROR((VLOOKUP(P241,Settings!$E$28:$F$33,2,FALSE)+1),1)</f>
        <v>1.7861121356105876</v>
      </c>
      <c r="AF241" s="41">
        <f>VLOOKUP(B241,'Player Data'!$A1:$AE734,20,FALSE)*$Q241</f>
        <v>0.45795719141722196</v>
      </c>
      <c r="AG241" s="41">
        <f>VLOOKUP(B241,'Player Data'!$A1:$AE734,21,FALSE)*$Q241</f>
        <v>2.210597495957539</v>
      </c>
      <c r="AH241" s="42">
        <f>VLOOKUP(B241,'Player Data'!$A1:$AE734,22,FALSE)</f>
        <v>0.171612443838558</v>
      </c>
      <c r="AI241" s="39"/>
      <c r="AJ241" s="43"/>
      <c r="AK241" s="41"/>
      <c r="AL241" s="41"/>
      <c r="AM241" s="41"/>
      <c r="AN241" s="41"/>
      <c r="AO241" s="41"/>
      <c r="AP241" s="41"/>
      <c r="AQ241" s="44"/>
      <c r="AR241" s="45"/>
      <c r="AS241" s="39"/>
    </row>
    <row r="242" spans="1:45" ht="21.25" customHeight="1" x14ac:dyDescent="0.15">
      <c r="A242" s="31">
        <f>RANK(K242,K$2:K$727)</f>
        <v>241</v>
      </c>
      <c r="B242" s="8" t="s">
        <v>346</v>
      </c>
      <c r="C242" s="32" t="s">
        <v>106</v>
      </c>
      <c r="D242" s="33" t="str">
        <f>VLOOKUP(B242,'Player Data'!A1:D734,4,FALSE)</f>
        <v>C</v>
      </c>
      <c r="E242" s="34">
        <f>VLOOKUP(B242,'C'!A1:C211,3,FALSE)</f>
        <v>60</v>
      </c>
      <c r="F242" s="35" t="str">
        <f>VLOOKUP(B242,'Player Data'!A1:B734,2,FALSE)</f>
        <v>LAK</v>
      </c>
      <c r="G242" s="9">
        <f>VLOOKUP(B242,'Player Data'!A1:D734,3,FALSE)</f>
        <v>30</v>
      </c>
      <c r="H242" s="36">
        <f>IFERROR(VLOOKUP(B242,ADP!A1:G728,7,FALSE)/1000000,VLOOKUP(B242,ADP!A1:G728,7,FALSE))</f>
        <v>5.5</v>
      </c>
      <c r="I242" s="37">
        <f>IF(Settings!$E$15="POINTS",((R242*Q242)*Settings!$B$12)+(S242*Settings!$B$2)+(T242*Settings!$B$3)+(U242*Settings!$B$4)+(V242*Settings!$B$5)+(X242*Settings!$B$9)+(AA242*Settings!$B$6)+(W242*Settings!$B$8)+(AB242*Settings!$B$7)+(AC242*Settings!$B$14)+(AD242*Settings!$B$15)+(AE242*Settings!$B$16)+(AF242*Settings!$B$17)+(AG242*Settings!$B$18)+(Y242*Settings!$B$10)+(Z242*Settings!$B$11),VLOOKUP(B242,'Standard Deviations'!A1:C728,3,FALSE))</f>
        <v>269.97666385107232</v>
      </c>
      <c r="J242" s="38">
        <f>IF(D242="G",I242/AJ242,I242/Q242)</f>
        <v>3.325728044483268</v>
      </c>
      <c r="K242" s="37">
        <f>IF(Settings!$E$18="C/LW/RW",VLOOKUP(B242,'C'!A1:F211,6,FALSE),VLOOKUP(B242,F!A1:F430,6,FALSE))</f>
        <v>-123.35214191513734</v>
      </c>
      <c r="L242" s="37">
        <f>IFERROR(K242/H242,"N/A")</f>
        <v>-22.427662166388608</v>
      </c>
      <c r="M242" s="53" t="str">
        <f>IF(Settings!$E$9="YAHOO",VLOOKUP(B242,ADP!A1:E728,2,FALSE),IF(Settings!$E$9="ESPN",VLOOKUP(B242,ADP!A1:E728,3,FALSE),IF(Settings!$E$9="FANTRAX",VLOOKUP(B242,ADP!A1:E728,4,FALSE),VLOOKUP(B242,ADP!A1:E728,5,FALSE))))</f>
        <v>-</v>
      </c>
      <c r="N242" s="53" t="str">
        <f>IFERROR(M242-A242,"N/A")</f>
        <v>N/A</v>
      </c>
      <c r="O242" s="39"/>
      <c r="P242" s="40" t="str">
        <f>IF(Settings!$E$27="ON",VLOOKUP(B242,ADP!A1:H728,8,FALSE)," ")</f>
        <v xml:space="preserve"> </v>
      </c>
      <c r="Q242" s="41">
        <f>IF(Settings!$E$12="YES",VLOOKUP(B242,'Player Data'!A1:E734,5,FALSE),82)</f>
        <v>81.178214285714304</v>
      </c>
      <c r="R242" s="39">
        <f>VLOOKUP(B242,'Player Data'!$A1:$AE734,6,FALSE)</f>
        <v>17.865425551579701</v>
      </c>
      <c r="S242" s="41">
        <f>VLOOKUP(B242,'Player Data'!$A1:$AE734,7,FALSE)*$Q242*IFERROR((VLOOKUP(P242,Settings!$E$28:$F$33,2,FALSE)+1),1)</f>
        <v>18.869943314628415</v>
      </c>
      <c r="T242" s="41">
        <f>VLOOKUP(B242,'Player Data'!$A1:$AE734,8,FALSE)*$Q242*IFERROR((VLOOKUP(P242,Settings!$E$28:$F$33,2,FALSE)+1),1)</f>
        <v>30.947317308993828</v>
      </c>
      <c r="U242" s="41">
        <f>SUM(S242:T242)</f>
        <v>49.817260623622246</v>
      </c>
      <c r="V242" s="41">
        <f>VLOOKUP(B242,'Player Data'!$A1:$AE734,10,FALSE)*$Q242*IFERROR(((VLOOKUP(P242,Settings!$E$28:$F$33,2,FALSE)/2)+1),1)</f>
        <v>156.99510778747469</v>
      </c>
      <c r="W242" s="41">
        <f>VLOOKUP(B242,'Player Data'!$A1:$AE734,11,FALSE)*$Q242*IFERROR((VLOOKUP(P242,Settings!$E$28:$F$33,2,FALSE)+1),1)</f>
        <v>2.6722197214502379</v>
      </c>
      <c r="X242" s="41">
        <f>VLOOKUP(B242,'Player Data'!$A1:$AE734,12,FALSE)*$Q242*IFERROR((VLOOKUP(P242,Settings!$E$28:$F$33,2,FALSE)+1),1)</f>
        <v>12.667265733109948</v>
      </c>
      <c r="Y242" s="41">
        <f>VLOOKUP(B242,'Player Data'!$A1:$AE734,13,FALSE)*$Q242</f>
        <v>0.11582618763396055</v>
      </c>
      <c r="Z242" s="41">
        <f>VLOOKUP(B242,'Player Data'!$A1:$AE734,14,FALSE)*$Q242</f>
        <v>2.0901506344970326</v>
      </c>
      <c r="AA242" s="41">
        <f>VLOOKUP(B242,'Player Data'!$A1:$AE734,15,FALSE)*$Q242</f>
        <v>62.562476756271273</v>
      </c>
      <c r="AB242" s="41">
        <f>VLOOKUP(B242,'Player Data'!$A1:$AE734,16,FALSE)*$Q242</f>
        <v>79.109243311953165</v>
      </c>
      <c r="AC242" s="41">
        <f>VLOOKUP(B242,'Player Data'!$A1:$AE734,17,FALSE)*$Q242*IFERROR((VLOOKUP(P242,Settings!$E$28:$F$33,2,FALSE)+1),1)</f>
        <v>0.66959051412821013</v>
      </c>
      <c r="AD242" s="41">
        <f>VLOOKUP(B242,'Player Data'!$A1:$AE734,18,FALSE)*$Q242</f>
        <v>44.680006825104172</v>
      </c>
      <c r="AE242" s="41">
        <f>VLOOKUP(B242,'Player Data'!$A1:$AE734,19,FALSE)*$Q242*IFERROR((VLOOKUP(P242,Settings!$E$28:$F$33,2,FALSE)+1),1)</f>
        <v>2.8015040749107776</v>
      </c>
      <c r="AF242" s="41">
        <f>VLOOKUP(B242,'Player Data'!$A1:$AE734,20,FALSE)*$Q242</f>
        <v>676.86001198567646</v>
      </c>
      <c r="AG242" s="41">
        <f>VLOOKUP(B242,'Player Data'!$A1:$AE734,21,FALSE)*$Q242</f>
        <v>581.33503144966676</v>
      </c>
      <c r="AH242" s="42">
        <f>VLOOKUP(B242,'Player Data'!$A1:$AE734,22,FALSE)</f>
        <v>0.53796111780697797</v>
      </c>
      <c r="AI242" s="39"/>
      <c r="AJ242" s="43"/>
      <c r="AK242" s="41"/>
      <c r="AL242" s="41"/>
      <c r="AM242" s="41"/>
      <c r="AN242" s="41"/>
      <c r="AO242" s="41"/>
      <c r="AP242" s="41"/>
      <c r="AQ242" s="44"/>
      <c r="AR242" s="45"/>
      <c r="AS242" s="39"/>
    </row>
    <row r="243" spans="1:45" ht="21.25" customHeight="1" x14ac:dyDescent="0.15">
      <c r="A243" s="31">
        <f>RANK(K243,K$2:K$727)</f>
        <v>242</v>
      </c>
      <c r="B243" s="8" t="s">
        <v>347</v>
      </c>
      <c r="C243" s="32" t="s">
        <v>106</v>
      </c>
      <c r="D243" s="33" t="str">
        <f>VLOOKUP(B243,'Player Data'!A1:D734,4,FALSE)</f>
        <v>D</v>
      </c>
      <c r="E243" s="49">
        <f>VLOOKUP(B243,D!A1:C227,3,FALSE)</f>
        <v>65</v>
      </c>
      <c r="F243" s="35" t="str">
        <f>VLOOKUP(B243,'Player Data'!A1:B734,2,FALSE)</f>
        <v>CAR</v>
      </c>
      <c r="G243" s="9">
        <f>VLOOKUP(B243,'Player Data'!A1:D734,3,FALSE)</f>
        <v>29</v>
      </c>
      <c r="H243" s="36">
        <f>IFERROR(VLOOKUP(B243,ADP!A1:G728,7,FALSE)/1000000,VLOOKUP(B243,ADP!A1:G728,7,FALSE))</f>
        <v>5.25</v>
      </c>
      <c r="I243" s="37">
        <f>IF(Settings!$E$15="POINTS",((R243*Q243)*Settings!$B$12)+(S243*Settings!$B$2)+(T243*Settings!$B$3)+(U243*Settings!$B$4)+(V243*Settings!$B$5)+(X243*Settings!$B$9)+(AA243*Settings!$B$6)+(W243*Settings!$B$8)+(AB243*Settings!$B$7)+(AC243*Settings!$B$14)+(AD243*Settings!$B$15)+(AE243*Settings!$B$16)+(AF243*Settings!$B$17)+(AG243*Settings!$B$18)+(U243*Settings!$B$13)+(Y243*Settings!$B$10)+(Z243*Settings!$B$11),VLOOKUP(B243,'Standard Deviations'!A1:C728,3,FALSE))</f>
        <v>187.77804299424054</v>
      </c>
      <c r="J243" s="38">
        <f>IF(D243="G",I243/AJ243,I243/Q243)</f>
        <v>2.3297523944694856</v>
      </c>
      <c r="K243" s="37">
        <f>VLOOKUP(B243,D!A1:F227,6,FALSE)</f>
        <v>-123.78743863368692</v>
      </c>
      <c r="L243" s="37">
        <f>IFERROR(K243/H243,"N/A")</f>
        <v>-23.578559739749888</v>
      </c>
      <c r="M243" s="39">
        <f>IF(Settings!$E$9="YAHOO",VLOOKUP(B243,ADP!A1:E728,2,FALSE),IF(Settings!$E$9="ESPN",VLOOKUP(B243,ADP!A1:E728,3,FALSE),IF(Settings!$E$9="FANTRAX",VLOOKUP(B243,ADP!A1:E728,4,FALSE),VLOOKUP(B243,ADP!A1:E728,5,FALSE))))</f>
        <v>138.4</v>
      </c>
      <c r="N243" s="39">
        <f>IFERROR(M243-A243,"N/A")</f>
        <v>-103.6</v>
      </c>
      <c r="O243" s="39"/>
      <c r="P243" s="40" t="str">
        <f>IF(Settings!$E$27="ON",VLOOKUP(B243,ADP!A1:H728,8,FALSE)," ")</f>
        <v xml:space="preserve"> </v>
      </c>
      <c r="Q243" s="41">
        <f>IF(Settings!$E$12="YES",VLOOKUP(B243,'Player Data'!A1:E734,5,FALSE),82)</f>
        <v>80.599999999999994</v>
      </c>
      <c r="R243" s="39">
        <f>VLOOKUP(B243,'Player Data'!$A1:$AE734,6,FALSE)</f>
        <v>19.164236317819601</v>
      </c>
      <c r="S243" s="41">
        <f>VLOOKUP(B243,'Player Data'!$A1:$AE734,7,FALSE)*$Q243*IFERROR((VLOOKUP(P243,Settings!$E$28:$F$33,2,FALSE)+1),1)</f>
        <v>9.7531933469303471</v>
      </c>
      <c r="T243" s="41">
        <f>VLOOKUP(B243,'Player Data'!$A1:$AE734,8,FALSE)*$Q243*IFERROR((VLOOKUP(P243,Settings!$E$28:$F$33,2,FALSE)+1),1)</f>
        <v>19.675356836165985</v>
      </c>
      <c r="U243" s="41">
        <f>SUM(S243:T243)</f>
        <v>29.428550183096334</v>
      </c>
      <c r="V243" s="41">
        <f>VLOOKUP(B243,'Player Data'!$A1:$AE734,10,FALSE)*$Q243*IFERROR(((VLOOKUP(P243,Settings!$E$28:$F$33,2,FALSE)/2)+1),1)</f>
        <v>156.76178220711009</v>
      </c>
      <c r="W243" s="41">
        <f>VLOOKUP(B243,'Player Data'!$A1:$AE734,11,FALSE)*$Q243*IFERROR((VLOOKUP(P243,Settings!$E$28:$F$33,2,FALSE)+1),1)</f>
        <v>1.3523822673105617</v>
      </c>
      <c r="X243" s="41">
        <f>VLOOKUP(B243,'Player Data'!$A1:$AE734,12,FALSE)*$Q243*IFERROR((VLOOKUP(P243,Settings!$E$28:$F$33,2,FALSE)+1),1)</f>
        <v>2.8688075388453855</v>
      </c>
      <c r="Y243" s="41">
        <f>VLOOKUP(B243,'Player Data'!$A1:$AE734,13,FALSE)*$Q243</f>
        <v>0.4117006088477676</v>
      </c>
      <c r="Z243" s="41">
        <f>VLOOKUP(B243,'Player Data'!$A1:$AE734,14,FALSE)*$Q243</f>
        <v>0.63837099325057411</v>
      </c>
      <c r="AA243" s="41">
        <f>VLOOKUP(B243,'Player Data'!$A1:$AE734,15,FALSE)*$Q243</f>
        <v>70.485721386022774</v>
      </c>
      <c r="AB243" s="41">
        <f>VLOOKUP(B243,'Player Data'!$A1:$AE734,16,FALSE)*$Q243</f>
        <v>79.130413029735337</v>
      </c>
      <c r="AC243" s="41">
        <f>VLOOKUP(B243,'Player Data'!$A1:$AE734,17,FALSE)*$Q243*IFERROR((VLOOKUP(P243,Settings!$E$28:$F$33,2,FALSE)+1),1)</f>
        <v>6.4364045944030872</v>
      </c>
      <c r="AD243" s="41">
        <f>VLOOKUP(B243,'Player Data'!$A1:$AE734,18,FALSE)*$Q243</f>
        <v>39.766517770010623</v>
      </c>
      <c r="AE243" s="41">
        <f>VLOOKUP(B243,'Player Data'!$A1:$AE734,19,FALSE)*$Q243*IFERROR((VLOOKUP(P243,Settings!$E$28:$F$33,2,FALSE)+1),1)</f>
        <v>1.7499412769538474</v>
      </c>
      <c r="AF243" s="41">
        <f>VLOOKUP(B243,'Player Data'!$A1:$AE734,20,FALSE)*$Q243</f>
        <v>0</v>
      </c>
      <c r="AG243" s="41">
        <f>VLOOKUP(B243,'Player Data'!$A1:$AE734,21,FALSE)*$Q243</f>
        <v>0</v>
      </c>
      <c r="AH243" s="42">
        <f>VLOOKUP(B243,'Player Data'!$A1:$AE734,22,FALSE)</f>
        <v>0</v>
      </c>
      <c r="AI243" s="39"/>
      <c r="AJ243" s="43"/>
      <c r="AK243" s="41"/>
      <c r="AL243" s="41"/>
      <c r="AM243" s="41"/>
      <c r="AN243" s="41"/>
      <c r="AO243" s="41"/>
      <c r="AP243" s="41"/>
      <c r="AQ243" s="44"/>
      <c r="AR243" s="45"/>
      <c r="AS243" s="39"/>
    </row>
    <row r="244" spans="1:45" ht="21.25" customHeight="1" x14ac:dyDescent="0.15">
      <c r="A244" s="31">
        <f>RANK(K244,K$2:K$727)</f>
        <v>243</v>
      </c>
      <c r="B244" s="8" t="s">
        <v>348</v>
      </c>
      <c r="C244" s="32" t="s">
        <v>106</v>
      </c>
      <c r="D244" s="33" t="str">
        <f>VLOOKUP(B244,'Player Data'!A1:D734,4,FALSE)</f>
        <v>D</v>
      </c>
      <c r="E244" s="49">
        <f>VLOOKUP(B244,D!A1:C227,3,FALSE)</f>
        <v>66</v>
      </c>
      <c r="F244" s="35" t="str">
        <f>VLOOKUP(B244,'Player Data'!A1:B734,2,FALSE)</f>
        <v>SEA</v>
      </c>
      <c r="G244" s="9">
        <f>VLOOKUP(B244,'Player Data'!A1:D734,3,FALSE)</f>
        <v>30</v>
      </c>
      <c r="H244" s="36">
        <f>IFERROR(VLOOKUP(B244,ADP!A1:G728,7,FALSE)/1000000,VLOOKUP(B244,ADP!A1:G728,7,FALSE))</f>
        <v>4</v>
      </c>
      <c r="I244" s="37">
        <f>IF(Settings!$E$15="POINTS",((R244*Q244)*Settings!$B$12)+(S244*Settings!$B$2)+(T244*Settings!$B$3)+(U244*Settings!$B$4)+(V244*Settings!$B$5)+(X244*Settings!$B$9)+(AA244*Settings!$B$6)+(W244*Settings!$B$8)+(AB244*Settings!$B$7)+(AC244*Settings!$B$14)+(AD244*Settings!$B$15)+(AE244*Settings!$B$16)+(AF244*Settings!$B$17)+(AG244*Settings!$B$18)+(U244*Settings!$B$13)+(Y244*Settings!$B$10)+(Z244*Settings!$B$11),VLOOKUP(B244,'Standard Deviations'!A1:C728,3,FALSE))</f>
        <v>187.05287733155211</v>
      </c>
      <c r="J244" s="38">
        <f>IF(D244="G",I244/AJ244,I244/Q244)</f>
        <v>2.2802983948744617</v>
      </c>
      <c r="K244" s="37">
        <f>VLOOKUP(B244,D!A1:F227,6,FALSE)</f>
        <v>-124.51260429637534</v>
      </c>
      <c r="L244" s="37">
        <f>IFERROR(K244/H244,"N/A")</f>
        <v>-31.128151074093836</v>
      </c>
      <c r="M244" s="39">
        <f>IF(Settings!$E$9="YAHOO",VLOOKUP(B244,ADP!A1:E728,2,FALSE),IF(Settings!$E$9="ESPN",VLOOKUP(B244,ADP!A1:E728,3,FALSE),IF(Settings!$E$9="FANTRAX",VLOOKUP(B244,ADP!A1:E728,4,FALSE),VLOOKUP(B244,ADP!A1:E728,5,FALSE))))</f>
        <v>154</v>
      </c>
      <c r="N244" s="39">
        <f>IFERROR(M244-A244,"N/A")</f>
        <v>-89</v>
      </c>
      <c r="O244" s="39"/>
      <c r="P244" s="40" t="str">
        <f>IF(Settings!$E$27="ON",VLOOKUP(B244,ADP!A1:H728,8,FALSE)," ")</f>
        <v xml:space="preserve"> </v>
      </c>
      <c r="Q244" s="41">
        <f>IF(Settings!$E$12="YES",VLOOKUP(B244,'Player Data'!A1:E734,5,FALSE),82)</f>
        <v>82.03</v>
      </c>
      <c r="R244" s="39">
        <f>VLOOKUP(B244,'Player Data'!$A1:$AE734,6,FALSE)</f>
        <v>23.771965354420701</v>
      </c>
      <c r="S244" s="41">
        <f>VLOOKUP(B244,'Player Data'!$A1:$AE734,7,FALSE)*$Q244*IFERROR((VLOOKUP(P244,Settings!$E$28:$F$33,2,FALSE)+1),1)</f>
        <v>7.7898935364489788</v>
      </c>
      <c r="T244" s="41">
        <f>VLOOKUP(B244,'Player Data'!$A1:$AE734,8,FALSE)*$Q244*IFERROR((VLOOKUP(P244,Settings!$E$28:$F$33,2,FALSE)+1),1)</f>
        <v>20.557112953588298</v>
      </c>
      <c r="U244" s="41">
        <f>SUM(S244:T244)</f>
        <v>28.347006490037277</v>
      </c>
      <c r="V244" s="41">
        <f>VLOOKUP(B244,'Player Data'!$A1:$AE734,10,FALSE)*$Q244*IFERROR(((VLOOKUP(P244,Settings!$E$28:$F$33,2,FALSE)/2)+1),1)</f>
        <v>135.59471744983816</v>
      </c>
      <c r="W244" s="41">
        <f>VLOOKUP(B244,'Player Data'!$A1:$AE734,11,FALSE)*$Q244*IFERROR((VLOOKUP(P244,Settings!$E$28:$F$33,2,FALSE)+1),1)</f>
        <v>3.5963893919083591E-2</v>
      </c>
      <c r="X244" s="41">
        <f>VLOOKUP(B244,'Player Data'!$A1:$AE734,12,FALSE)*$Q244*IFERROR((VLOOKUP(P244,Settings!$E$28:$F$33,2,FALSE)+1),1)</f>
        <v>0.32928754215920764</v>
      </c>
      <c r="Y244" s="41">
        <f>VLOOKUP(B244,'Player Data'!$A1:$AE734,13,FALSE)*$Q244</f>
        <v>2.6292445131074843E-2</v>
      </c>
      <c r="Z244" s="41">
        <f>VLOOKUP(B244,'Player Data'!$A1:$AE734,14,FALSE)*$Q244</f>
        <v>0.14059738831438148</v>
      </c>
      <c r="AA244" s="41">
        <f>VLOOKUP(B244,'Player Data'!$A1:$AE734,15,FALSE)*$Q244</f>
        <v>166.37364637787027</v>
      </c>
      <c r="AB244" s="41">
        <f>VLOOKUP(B244,'Player Data'!$A1:$AE734,16,FALSE)*$Q244</f>
        <v>199.11229491797241</v>
      </c>
      <c r="AC244" s="41">
        <f>VLOOKUP(B244,'Player Data'!$A1:$AE734,17,FALSE)*$Q244*IFERROR((VLOOKUP(P244,Settings!$E$28:$F$33,2,FALSE)+1),1)</f>
        <v>0.14885149065120001</v>
      </c>
      <c r="AD244" s="41">
        <f>VLOOKUP(B244,'Player Data'!$A1:$AE734,18,FALSE)*$Q244</f>
        <v>51.098528507185094</v>
      </c>
      <c r="AE244" s="41">
        <f>VLOOKUP(B244,'Player Data'!$A1:$AE734,19,FALSE)*$Q244*IFERROR((VLOOKUP(P244,Settings!$E$28:$F$33,2,FALSE)+1),1)</f>
        <v>1.0949550397213668</v>
      </c>
      <c r="AF244" s="41">
        <f>VLOOKUP(B244,'Player Data'!$A1:$AE734,20,FALSE)*$Q244</f>
        <v>2.4931432900891223E-2</v>
      </c>
      <c r="AG244" s="41">
        <f>VLOOKUP(B244,'Player Data'!$A1:$AE734,21,FALSE)*$Q244</f>
        <v>0.13304640321925137</v>
      </c>
      <c r="AH244" s="42">
        <f>VLOOKUP(B244,'Player Data'!$A1:$AE734,22,FALSE)</f>
        <v>0.15781601719073299</v>
      </c>
      <c r="AI244" s="39"/>
      <c r="AJ244" s="43"/>
      <c r="AK244" s="41"/>
      <c r="AL244" s="41"/>
      <c r="AM244" s="41"/>
      <c r="AN244" s="41"/>
      <c r="AO244" s="41"/>
      <c r="AP244" s="41"/>
      <c r="AQ244" s="44"/>
      <c r="AR244" s="45"/>
      <c r="AS244" s="39"/>
    </row>
    <row r="245" spans="1:45" ht="21.25" customHeight="1" x14ac:dyDescent="0.15">
      <c r="A245" s="31">
        <f>RANK(K245,K$2:K$727)</f>
        <v>244</v>
      </c>
      <c r="B245" s="8" t="s">
        <v>349</v>
      </c>
      <c r="C245" s="32" t="s">
        <v>106</v>
      </c>
      <c r="D245" s="33" t="str">
        <f>VLOOKUP(B245,'Player Data'!A1:D734,4,FALSE)</f>
        <v>D</v>
      </c>
      <c r="E245" s="49">
        <f>VLOOKUP(B245,D!A1:C227,3,FALSE)</f>
        <v>67</v>
      </c>
      <c r="F245" s="35" t="str">
        <f>VLOOKUP(B245,'Player Data'!A1:B734,2,FALSE)</f>
        <v>PHI</v>
      </c>
      <c r="G245" s="9">
        <f>VLOOKUP(B245,'Player Data'!A1:D734,3,FALSE)</f>
        <v>22</v>
      </c>
      <c r="H245" s="36">
        <f>IFERROR(VLOOKUP(B245,ADP!A1:G728,7,FALSE)/1000000,VLOOKUP(B245,ADP!A1:G728,7,FALSE))</f>
        <v>1.6</v>
      </c>
      <c r="I245" s="37">
        <f>IF(Settings!$E$15="POINTS",((R245*Q245)*Settings!$B$12)+(S245*Settings!$B$2)+(T245*Settings!$B$3)+(U245*Settings!$B$4)+(V245*Settings!$B$5)+(X245*Settings!$B$9)+(AA245*Settings!$B$6)+(W245*Settings!$B$8)+(AB245*Settings!$B$7)+(AC245*Settings!$B$14)+(AD245*Settings!$B$15)+(AE245*Settings!$B$16)+(AF245*Settings!$B$17)+(AG245*Settings!$B$18)+(U245*Settings!$B$13)+(Y245*Settings!$B$10)+(Z245*Settings!$B$11),VLOOKUP(B245,'Standard Deviations'!A1:C728,3,FALSE))</f>
        <v>186.80392872043177</v>
      </c>
      <c r="J245" s="38">
        <f>IF(D245="G",I245/AJ245,I245/Q245)</f>
        <v>2.6530880375008064</v>
      </c>
      <c r="K245" s="37">
        <f>VLOOKUP(B245,D!A1:F227,6,FALSE)</f>
        <v>-124.76155290749568</v>
      </c>
      <c r="L245" s="37">
        <f>IFERROR(K245/H245,"N/A")</f>
        <v>-77.975970567184802</v>
      </c>
      <c r="M245" s="53" t="str">
        <f>IF(Settings!$E$9="YAHOO",VLOOKUP(B245,ADP!A1:E728,2,FALSE),IF(Settings!$E$9="ESPN",VLOOKUP(B245,ADP!A1:E728,3,FALSE),IF(Settings!$E$9="FANTRAX",VLOOKUP(B245,ADP!A1:E728,4,FALSE),VLOOKUP(B245,ADP!A1:E728,5,FALSE))))</f>
        <v>-</v>
      </c>
      <c r="N245" s="53" t="str">
        <f>IFERROR(M245-A245,"N/A")</f>
        <v>N/A</v>
      </c>
      <c r="O245" s="39"/>
      <c r="P245" s="40" t="str">
        <f>IF(Settings!$E$27="ON",VLOOKUP(B245,ADP!A1:H728,8,FALSE)," ")</f>
        <v>+</v>
      </c>
      <c r="Q245" s="41">
        <f>IF(Settings!$E$12="YES",VLOOKUP(B245,'Player Data'!A1:E734,5,FALSE),82)</f>
        <v>70.41</v>
      </c>
      <c r="R245" s="39">
        <f>VLOOKUP(B245,'Player Data'!$A1:$AE734,6,FALSE)</f>
        <v>21.6064706247023</v>
      </c>
      <c r="S245" s="41">
        <f>VLOOKUP(B245,'Player Data'!$A1:$AE734,7,FALSE)*$Q245*IFERROR((VLOOKUP(P245,Settings!$E$28:$F$33,2,FALSE)+1),1)</f>
        <v>5.7610314953607604</v>
      </c>
      <c r="T245" s="41">
        <f>VLOOKUP(B245,'Player Data'!$A1:$AE734,8,FALSE)*$Q245*IFERROR((VLOOKUP(P245,Settings!$E$28:$F$33,2,FALSE)+1),1)</f>
        <v>28.361291680210439</v>
      </c>
      <c r="U245" s="41">
        <f>SUM(S245:T245)</f>
        <v>34.122323175571196</v>
      </c>
      <c r="V245" s="41">
        <f>VLOOKUP(B245,'Player Data'!$A1:$AE734,10,FALSE)*$Q245*IFERROR(((VLOOKUP(P245,Settings!$E$28:$F$33,2,FALSE)/2)+1),1)</f>
        <v>83.963124256538165</v>
      </c>
      <c r="W245" s="41">
        <f>VLOOKUP(B245,'Player Data'!$A1:$AE734,11,FALSE)*$Q245*IFERROR((VLOOKUP(P245,Settings!$E$28:$F$33,2,FALSE)+1),1)</f>
        <v>1.4724179960973487</v>
      </c>
      <c r="X245" s="41">
        <f>VLOOKUP(B245,'Player Data'!$A1:$AE734,12,FALSE)*$Q245*IFERROR((VLOOKUP(P245,Settings!$E$28:$F$33,2,FALSE)+1),1)</f>
        <v>11.202767228394928</v>
      </c>
      <c r="Y245" s="41">
        <f>VLOOKUP(B245,'Player Data'!$A1:$AE734,13,FALSE)*$Q245</f>
        <v>1.2662886994799628E-2</v>
      </c>
      <c r="Z245" s="41">
        <f>VLOOKUP(B245,'Player Data'!$A1:$AE734,14,FALSE)*$Q245</f>
        <v>0.23677399577731595</v>
      </c>
      <c r="AA245" s="41">
        <f>VLOOKUP(B245,'Player Data'!$A1:$AE734,15,FALSE)*$Q245</f>
        <v>97.881573085522973</v>
      </c>
      <c r="AB245" s="41">
        <f>VLOOKUP(B245,'Player Data'!$A1:$AE734,16,FALSE)*$Q245</f>
        <v>75.421249053968637</v>
      </c>
      <c r="AC245" s="41">
        <f>VLOOKUP(B245,'Player Data'!$A1:$AE734,17,FALSE)*$Q245*IFERROR((VLOOKUP(P245,Settings!$E$28:$F$33,2,FALSE)+1),1)</f>
        <v>-4.3947372407791709</v>
      </c>
      <c r="AD245" s="41">
        <f>VLOOKUP(B245,'Player Data'!$A1:$AE734,18,FALSE)*$Q245</f>
        <v>26.800159105583482</v>
      </c>
      <c r="AE245" s="41">
        <f>VLOOKUP(B245,'Player Data'!$A1:$AE734,19,FALSE)*$Q245*IFERROR((VLOOKUP(P245,Settings!$E$28:$F$33,2,FALSE)+1),1)</f>
        <v>0.67718414802468008</v>
      </c>
      <c r="AF245" s="41">
        <f>VLOOKUP(B245,'Player Data'!$A1:$AE734,20,FALSE)*$Q245</f>
        <v>0</v>
      </c>
      <c r="AG245" s="41">
        <f>VLOOKUP(B245,'Player Data'!$A1:$AE734,21,FALSE)*$Q245</f>
        <v>0</v>
      </c>
      <c r="AH245" s="42">
        <f>VLOOKUP(B245,'Player Data'!$A1:$AE734,22,FALSE)</f>
        <v>0</v>
      </c>
      <c r="AI245" s="39"/>
      <c r="AJ245" s="43"/>
      <c r="AK245" s="41"/>
      <c r="AL245" s="41"/>
      <c r="AM245" s="41"/>
      <c r="AN245" s="41"/>
      <c r="AO245" s="41"/>
      <c r="AP245" s="41"/>
      <c r="AQ245" s="44"/>
      <c r="AR245" s="45"/>
      <c r="AS245" s="39"/>
    </row>
    <row r="246" spans="1:45" ht="21.25" customHeight="1" x14ac:dyDescent="0.15">
      <c r="A246" s="31">
        <f>RANK(K246,K$2:K$727)</f>
        <v>245</v>
      </c>
      <c r="B246" s="8" t="s">
        <v>350</v>
      </c>
      <c r="C246" s="32" t="s">
        <v>106</v>
      </c>
      <c r="D246" s="33" t="str">
        <f>VLOOKUP(B246,'Player Data'!A1:D734,4,FALSE)</f>
        <v>D</v>
      </c>
      <c r="E246" s="49">
        <f>VLOOKUP(B246,D!A1:C227,3,FALSE)</f>
        <v>68</v>
      </c>
      <c r="F246" s="35" t="str">
        <f>VLOOKUP(B246,'Player Data'!A1:B734,2,FALSE)</f>
        <v>NYR</v>
      </c>
      <c r="G246" s="9">
        <f>VLOOKUP(B246,'Player Data'!A1:D734,3,FALSE)</f>
        <v>23</v>
      </c>
      <c r="H246" s="36">
        <f>IFERROR(VLOOKUP(B246,ADP!A1:G728,7,FALSE)/1000000,VLOOKUP(B246,ADP!A1:G728,7,FALSE))</f>
        <v>3.8719999999999999</v>
      </c>
      <c r="I246" s="37">
        <f>IF(Settings!$E$15="POINTS",((R246*Q246)*Settings!$B$12)+(S246*Settings!$B$2)+(T246*Settings!$B$3)+(U246*Settings!$B$4)+(V246*Settings!$B$5)+(X246*Settings!$B$9)+(AA246*Settings!$B$6)+(W246*Settings!$B$8)+(AB246*Settings!$B$7)+(AC246*Settings!$B$14)+(AD246*Settings!$B$15)+(AE246*Settings!$B$16)+(AF246*Settings!$B$17)+(AG246*Settings!$B$18)+(U246*Settings!$B$13)+(Y246*Settings!$B$10)+(Z246*Settings!$B$11),VLOOKUP(B246,'Standard Deviations'!A1:C728,3,FALSE))</f>
        <v>186.68443459707504</v>
      </c>
      <c r="J246" s="38">
        <f>IF(D246="G",I246/AJ246,I246/Q246)</f>
        <v>2.3030908864960811</v>
      </c>
      <c r="K246" s="37">
        <f>VLOOKUP(B246,D!A1:F227,6,FALSE)</f>
        <v>-124.88104703085241</v>
      </c>
      <c r="L246" s="37">
        <f>IFERROR(K246/H246,"N/A")</f>
        <v>-32.252336526563127</v>
      </c>
      <c r="M246" s="39">
        <f>IF(Settings!$E$9="YAHOO",VLOOKUP(B246,ADP!A1:E728,2,FALSE),IF(Settings!$E$9="ESPN",VLOOKUP(B246,ADP!A1:E728,3,FALSE),IF(Settings!$E$9="FANTRAX",VLOOKUP(B246,ADP!A1:E728,4,FALSE),VLOOKUP(B246,ADP!A1:E728,5,FALSE))))</f>
        <v>145.1</v>
      </c>
      <c r="N246" s="39">
        <f>IFERROR(M246-A246,"N/A")</f>
        <v>-99.9</v>
      </c>
      <c r="O246" s="39"/>
      <c r="P246" s="40" t="str">
        <f>IF(Settings!$E$27="ON",VLOOKUP(B246,ADP!A1:H728,8,FALSE)," ")</f>
        <v xml:space="preserve"> </v>
      </c>
      <c r="Q246" s="41">
        <f>IF(Settings!$E$12="YES",VLOOKUP(B246,'Player Data'!A1:E734,5,FALSE),82)</f>
        <v>81.0582142857143</v>
      </c>
      <c r="R246" s="39">
        <f>VLOOKUP(B246,'Player Data'!$A1:$AE734,6,FALSE)</f>
        <v>22.101937710086101</v>
      </c>
      <c r="S246" s="41">
        <f>VLOOKUP(B246,'Player Data'!$A1:$AE734,7,FALSE)*$Q246*IFERROR((VLOOKUP(P246,Settings!$E$28:$F$33,2,FALSE)+1),1)</f>
        <v>8.6139670995712301</v>
      </c>
      <c r="T246" s="41">
        <f>VLOOKUP(B246,'Player Data'!$A1:$AE734,8,FALSE)*$Q246*IFERROR((VLOOKUP(P246,Settings!$E$28:$F$33,2,FALSE)+1),1)</f>
        <v>25.504105115241671</v>
      </c>
      <c r="U246" s="41">
        <f>SUM(S246:T246)</f>
        <v>34.118072214812898</v>
      </c>
      <c r="V246" s="41">
        <f>VLOOKUP(B246,'Player Data'!$A1:$AE734,10,FALSE)*$Q246*IFERROR(((VLOOKUP(P246,Settings!$E$28:$F$33,2,FALSE)/2)+1),1)</f>
        <v>114.87105643692558</v>
      </c>
      <c r="W246" s="41">
        <f>VLOOKUP(B246,'Player Data'!$A1:$AE734,11,FALSE)*$Q246*IFERROR((VLOOKUP(P246,Settings!$E$28:$F$33,2,FALSE)+1),1)</f>
        <v>0.30696813658836963</v>
      </c>
      <c r="X246" s="41">
        <f>VLOOKUP(B246,'Player Data'!$A1:$AE734,12,FALSE)*$Q246*IFERROR((VLOOKUP(P246,Settings!$E$28:$F$33,2,FALSE)+1),1)</f>
        <v>1.3249242868092066</v>
      </c>
      <c r="Y246" s="41">
        <f>VLOOKUP(B246,'Player Data'!$A1:$AE734,13,FALSE)*$Q246</f>
        <v>2.8233391808321011E-2</v>
      </c>
      <c r="Z246" s="41">
        <f>VLOOKUP(B246,'Player Data'!$A1:$AE734,14,FALSE)*$Q246</f>
        <v>0.90566152592487403</v>
      </c>
      <c r="AA246" s="41">
        <f>VLOOKUP(B246,'Player Data'!$A1:$AE734,15,FALSE)*$Q246</f>
        <v>112.16759054352693</v>
      </c>
      <c r="AB246" s="41">
        <f>VLOOKUP(B246,'Player Data'!$A1:$AE734,16,FALSE)*$Q246</f>
        <v>152.06492164448204</v>
      </c>
      <c r="AC246" s="41">
        <f>VLOOKUP(B246,'Player Data'!$A1:$AE734,17,FALSE)*$Q246*IFERROR((VLOOKUP(P246,Settings!$E$28:$F$33,2,FALSE)+1),1)</f>
        <v>4.2914756837258121</v>
      </c>
      <c r="AD246" s="41">
        <f>VLOOKUP(B246,'Player Data'!$A1:$AE734,18,FALSE)*$Q246</f>
        <v>34.440361119102327</v>
      </c>
      <c r="AE246" s="41">
        <f>VLOOKUP(B246,'Player Data'!$A1:$AE734,19,FALSE)*$Q246*IFERROR((VLOOKUP(P246,Settings!$E$28:$F$33,2,FALSE)+1),1)</f>
        <v>1.4678039082733094</v>
      </c>
      <c r="AF246" s="41">
        <f>VLOOKUP(B246,'Player Data'!$A1:$AE734,20,FALSE)*$Q246</f>
        <v>0</v>
      </c>
      <c r="AG246" s="41">
        <f>VLOOKUP(B246,'Player Data'!$A1:$AE734,21,FALSE)*$Q246</f>
        <v>0</v>
      </c>
      <c r="AH246" s="42">
        <f>VLOOKUP(B246,'Player Data'!$A1:$AE734,22,FALSE)</f>
        <v>0</v>
      </c>
      <c r="AI246" s="39"/>
      <c r="AJ246" s="43"/>
      <c r="AK246" s="41"/>
      <c r="AL246" s="41"/>
      <c r="AM246" s="41"/>
      <c r="AN246" s="41"/>
      <c r="AO246" s="41"/>
      <c r="AP246" s="41"/>
      <c r="AQ246" s="44"/>
      <c r="AR246" s="45"/>
      <c r="AS246" s="39"/>
    </row>
    <row r="247" spans="1:45" ht="21.25" customHeight="1" x14ac:dyDescent="0.15">
      <c r="A247" s="31">
        <f>RANK(K247,K$2:K$727)</f>
        <v>246</v>
      </c>
      <c r="B247" s="8" t="s">
        <v>351</v>
      </c>
      <c r="C247" s="32" t="s">
        <v>106</v>
      </c>
      <c r="D247" s="33" t="str">
        <f>VLOOKUP(B247,'Player Data'!A1:D734,4,FALSE)</f>
        <v>RW</v>
      </c>
      <c r="E247" s="46">
        <f>VLOOKUP(B247,RW!A1:F97,3,FALSE)</f>
        <v>41</v>
      </c>
      <c r="F247" s="35" t="str">
        <f>VLOOKUP(B247,'Player Data'!A1:B734,2,FALSE)</f>
        <v>VAN</v>
      </c>
      <c r="G247" s="9">
        <f>VLOOKUP(B247,'Player Data'!A1:D734,3,FALSE)</f>
        <v>28</v>
      </c>
      <c r="H247" s="36">
        <f>IFERROR(VLOOKUP(B247,ADP!A1:G728,7,FALSE)/1000000,VLOOKUP(B247,ADP!A1:G728,7,FALSE))</f>
        <v>4.75</v>
      </c>
      <c r="I247" s="37">
        <f>IF(Settings!$E$15="POINTS",((R247*Q247)*Settings!$B$12)+(S247*Settings!$B$2)+(T247*Settings!$B$3)+(U247*Settings!$B$4)+(V247*Settings!$B$5)+(X247*Settings!$B$9)+(AA247*Settings!$B$6)+(W247*Settings!$B$8)+(AB247*Settings!$B$7)+(AC247*Settings!$B$14)+(AD247*Settings!$B$15)+(AE247*Settings!$B$16)+(AF247*Settings!$B$17)+(AG247*Settings!$B$18)+(Y247*Settings!$B$10)+(Z247*Settings!$B$11),VLOOKUP(B247,'Standard Deviations'!A1:C728,3,FALSE))</f>
        <v>225.16575244291042</v>
      </c>
      <c r="J247" s="38">
        <f>IF(D247="G",I247/AJ247,I247/Q247)</f>
        <v>3.1553654618714497</v>
      </c>
      <c r="K247" s="37">
        <f>IF(Settings!$E$18="C/LW/RW",VLOOKUP(B247,RW!A1:F97,6,FALSE),VLOOKUP(B247,F!A1:F430,6,FALSE))</f>
        <v>-125.10578810497915</v>
      </c>
      <c r="L247" s="37">
        <f>IFERROR(K247/H247,"N/A")</f>
        <v>-26.338060653679822</v>
      </c>
      <c r="M247" s="39">
        <f>IF(Settings!$E$9="YAHOO",VLOOKUP(B247,ADP!A1:E728,2,FALSE),IF(Settings!$E$9="ESPN",VLOOKUP(B247,ADP!A1:E728,3,FALSE),IF(Settings!$E$9="FANTRAX",VLOOKUP(B247,ADP!A1:E728,4,FALSE),VLOOKUP(B247,ADP!A1:E728,5,FALSE))))</f>
        <v>161.5</v>
      </c>
      <c r="N247" s="39">
        <f>IFERROR(M247-A247,"N/A")</f>
        <v>-84.5</v>
      </c>
      <c r="O247" s="39"/>
      <c r="P247" s="40" t="str">
        <f>IF(Settings!$E$27="ON",VLOOKUP(B247,ADP!A1:H728,8,FALSE)," ")</f>
        <v xml:space="preserve"> </v>
      </c>
      <c r="Q247" s="41">
        <f>IF(Settings!$E$12="YES",VLOOKUP(B247,'Player Data'!A1:E734,5,FALSE),82)</f>
        <v>71.359642857142902</v>
      </c>
      <c r="R247" s="39">
        <f>VLOOKUP(B247,'Player Data'!$A1:$AE734,6,FALSE)</f>
        <v>16.977162616814699</v>
      </c>
      <c r="S247" s="41">
        <f>VLOOKUP(B247,'Player Data'!$A1:$AE734,7,FALSE)*$Q247*IFERROR((VLOOKUP(P247,Settings!$E$28:$F$33,2,FALSE)+1),1)</f>
        <v>20.811545871159694</v>
      </c>
      <c r="T247" s="41">
        <f>VLOOKUP(B247,'Player Data'!$A1:$AE734,8,FALSE)*$Q247*IFERROR((VLOOKUP(P247,Settings!$E$28:$F$33,2,FALSE)+1),1)</f>
        <v>20.719601702427507</v>
      </c>
      <c r="U247" s="41">
        <f>SUM(S247:T247)</f>
        <v>41.531147573587205</v>
      </c>
      <c r="V247" s="41">
        <f>VLOOKUP(B247,'Player Data'!$A1:$AE734,10,FALSE)*$Q247*IFERROR(((VLOOKUP(P247,Settings!$E$28:$F$33,2,FALSE)/2)+1),1)</f>
        <v>160.52656781130042</v>
      </c>
      <c r="W247" s="41">
        <f>VLOOKUP(B247,'Player Data'!$A1:$AE734,11,FALSE)*$Q247*IFERROR((VLOOKUP(P247,Settings!$E$28:$F$33,2,FALSE)+1),1)</f>
        <v>2.6295236253454624</v>
      </c>
      <c r="X247" s="41">
        <f>VLOOKUP(B247,'Player Data'!$A1:$AE734,12,FALSE)*$Q247*IFERROR((VLOOKUP(P247,Settings!$E$28:$F$33,2,FALSE)+1),1)</f>
        <v>5.2782281020648725</v>
      </c>
      <c r="Y247" s="41">
        <f>VLOOKUP(B247,'Player Data'!$A1:$AE734,13,FALSE)*$Q247</f>
        <v>1.7894554082879253</v>
      </c>
      <c r="Z247" s="41">
        <f>VLOOKUP(B247,'Player Data'!$A1:$AE734,14,FALSE)*$Q247</f>
        <v>2.1754689625542816</v>
      </c>
      <c r="AA247" s="41">
        <f>VLOOKUP(B247,'Player Data'!$A1:$AE734,15,FALSE)*$Q247</f>
        <v>27.008158436301589</v>
      </c>
      <c r="AB247" s="41">
        <f>VLOOKUP(B247,'Player Data'!$A1:$AE734,16,FALSE)*$Q247</f>
        <v>45.203662716757982</v>
      </c>
      <c r="AC247" s="41">
        <f>VLOOKUP(B247,'Player Data'!$A1:$AE734,17,FALSE)*$Q247*IFERROR((VLOOKUP(P247,Settings!$E$28:$F$33,2,FALSE)+1),1)</f>
        <v>0.93721025397919966</v>
      </c>
      <c r="AD247" s="41">
        <f>VLOOKUP(B247,'Player Data'!$A1:$AE734,18,FALSE)*$Q247</f>
        <v>15.927613909348834</v>
      </c>
      <c r="AE247" s="41">
        <f>VLOOKUP(B247,'Player Data'!$A1:$AE734,19,FALSE)*$Q247*IFERROR((VLOOKUP(P247,Settings!$E$28:$F$33,2,FALSE)+1),1)</f>
        <v>2.9460751277112478</v>
      </c>
      <c r="AF247" s="41">
        <f>VLOOKUP(B247,'Player Data'!$A1:$AE734,20,FALSE)*$Q247</f>
        <v>3.7992098284302833</v>
      </c>
      <c r="AG247" s="41">
        <f>VLOOKUP(B247,'Player Data'!$A1:$AE734,21,FALSE)*$Q247</f>
        <v>8.0944883658964208</v>
      </c>
      <c r="AH247" s="42">
        <f>VLOOKUP(B247,'Player Data'!$A1:$AE734,22,FALSE)</f>
        <v>0.31943048884849801</v>
      </c>
      <c r="AI247" s="39"/>
      <c r="AJ247" s="43"/>
      <c r="AK247" s="41"/>
      <c r="AL247" s="41"/>
      <c r="AM247" s="41"/>
      <c r="AN247" s="41"/>
      <c r="AO247" s="41"/>
      <c r="AP247" s="41"/>
      <c r="AQ247" s="44"/>
      <c r="AR247" s="45"/>
      <c r="AS247" s="39"/>
    </row>
    <row r="248" spans="1:45" ht="21.25" customHeight="1" x14ac:dyDescent="0.15">
      <c r="A248" s="31">
        <f>RANK(K248,K$2:K$727)</f>
        <v>247</v>
      </c>
      <c r="B248" s="8" t="s">
        <v>352</v>
      </c>
      <c r="C248" s="32" t="s">
        <v>106</v>
      </c>
      <c r="D248" s="33" t="str">
        <f>VLOOKUP(B248,'Player Data'!A1:D734,4,FALSE)</f>
        <v>C</v>
      </c>
      <c r="E248" s="34">
        <f>VLOOKUP(B248,'C'!A1:C211,3,FALSE)</f>
        <v>61</v>
      </c>
      <c r="F248" s="35" t="str">
        <f>VLOOKUP(B248,'Player Data'!A1:B734,2,FALSE)</f>
        <v>DAL</v>
      </c>
      <c r="G248" s="9">
        <f>VLOOKUP(B248,'Player Data'!A1:D734,3,FALSE)</f>
        <v>32</v>
      </c>
      <c r="H248" s="36">
        <f>IFERROR(VLOOKUP(B248,ADP!A1:G728,7,FALSE)/1000000,VLOOKUP(B248,ADP!A1:G728,7,FALSE))</f>
        <v>3</v>
      </c>
      <c r="I248" s="37">
        <f>IF(Settings!$E$15="POINTS",((R248*Q248)*Settings!$B$12)+(S248*Settings!$B$2)+(T248*Settings!$B$3)+(U248*Settings!$B$4)+(V248*Settings!$B$5)+(X248*Settings!$B$9)+(AA248*Settings!$B$6)+(W248*Settings!$B$8)+(AB248*Settings!$B$7)+(AC248*Settings!$B$14)+(AD248*Settings!$B$15)+(AE248*Settings!$B$16)+(AF248*Settings!$B$17)+(AG248*Settings!$B$18)+(Y248*Settings!$B$10)+(Z248*Settings!$B$11),VLOOKUP(B248,'Standard Deviations'!A1:C728,3,FALSE))</f>
        <v>267.13327182063421</v>
      </c>
      <c r="J248" s="38">
        <f>IF(D248="G",I248/AJ248,I248/Q248)</f>
        <v>3.5008128032209385</v>
      </c>
      <c r="K248" s="37">
        <f>IF(Settings!$E$18="C/LW/RW",VLOOKUP(B248,'C'!A1:F211,6,FALSE),VLOOKUP(B248,F!A1:F430,6,FALSE))</f>
        <v>-126.19553394557545</v>
      </c>
      <c r="L248" s="37">
        <f>IFERROR(K248/H248,"N/A")</f>
        <v>-42.065177981858483</v>
      </c>
      <c r="M248" s="39">
        <f>IF(Settings!$E$9="YAHOO",VLOOKUP(B248,ADP!A1:E728,2,FALSE),IF(Settings!$E$9="ESPN",VLOOKUP(B248,ADP!A1:E728,3,FALSE),IF(Settings!$E$9="FANTRAX",VLOOKUP(B248,ADP!A1:E728,4,FALSE),VLOOKUP(B248,ADP!A1:E728,5,FALSE))))</f>
        <v>166</v>
      </c>
      <c r="N248" s="39">
        <f>IFERROR(M248-A248,"N/A")</f>
        <v>-81</v>
      </c>
      <c r="O248" s="39"/>
      <c r="P248" s="40" t="str">
        <f>IF(Settings!$E$27="ON",VLOOKUP(B248,ADP!A1:H728,8,FALSE)," ")</f>
        <v xml:space="preserve"> </v>
      </c>
      <c r="Q248" s="41">
        <f>IF(Settings!$E$12="YES",VLOOKUP(B248,'Player Data'!A1:E734,5,FALSE),82)</f>
        <v>76.3060714285714</v>
      </c>
      <c r="R248" s="39">
        <f>VLOOKUP(B248,'Player Data'!$A1:$AE734,6,FALSE)</f>
        <v>15.8014523746662</v>
      </c>
      <c r="S248" s="41">
        <f>VLOOKUP(B248,'Player Data'!$A1:$AE734,7,FALSE)*$Q248*IFERROR((VLOOKUP(P248,Settings!$E$28:$F$33,2,FALSE)+1),1)</f>
        <v>22.900376286769944</v>
      </c>
      <c r="T248" s="41">
        <f>VLOOKUP(B248,'Player Data'!$A1:$AE734,8,FALSE)*$Q248*IFERROR((VLOOKUP(P248,Settings!$E$28:$F$33,2,FALSE)+1),1)</f>
        <v>29.794578715482896</v>
      </c>
      <c r="U248" s="41">
        <f>SUM(S248:T248)</f>
        <v>52.69495500225284</v>
      </c>
      <c r="V248" s="41">
        <f>VLOOKUP(B248,'Player Data'!$A1:$AE734,10,FALSE)*$Q248*IFERROR(((VLOOKUP(P248,Settings!$E$28:$F$33,2,FALSE)/2)+1),1)</f>
        <v>160.23492419689094</v>
      </c>
      <c r="W248" s="41">
        <f>VLOOKUP(B248,'Player Data'!$A1:$AE734,11,FALSE)*$Q248*IFERROR((VLOOKUP(P248,Settings!$E$28:$F$33,2,FALSE)+1),1)</f>
        <v>5.2402753896007219</v>
      </c>
      <c r="X248" s="41">
        <f>VLOOKUP(B248,'Player Data'!$A1:$AE734,12,FALSE)*$Q248*IFERROR((VLOOKUP(P248,Settings!$E$28:$F$33,2,FALSE)+1),1)</f>
        <v>11.593332451320162</v>
      </c>
      <c r="Y248" s="41">
        <f>VLOOKUP(B248,'Player Data'!$A1:$AE734,13,FALSE)*$Q248</f>
        <v>8.5629283198523972E-3</v>
      </c>
      <c r="Z248" s="41">
        <f>VLOOKUP(B248,'Player Data'!$A1:$AE734,14,FALSE)*$Q248</f>
        <v>1.5759090739257679E-2</v>
      </c>
      <c r="AA248" s="41">
        <f>VLOOKUP(B248,'Player Data'!$A1:$AE734,15,FALSE)*$Q248</f>
        <v>28.563808156556874</v>
      </c>
      <c r="AB248" s="41">
        <f>VLOOKUP(B248,'Player Data'!$A1:$AE734,16,FALSE)*$Q248</f>
        <v>32.045068243012025</v>
      </c>
      <c r="AC248" s="41">
        <f>VLOOKUP(B248,'Player Data'!$A1:$AE734,17,FALSE)*$Q248*IFERROR((VLOOKUP(P248,Settings!$E$28:$F$33,2,FALSE)+1),1)</f>
        <v>5.2074359190382511</v>
      </c>
      <c r="AD248" s="41">
        <f>VLOOKUP(B248,'Player Data'!$A1:$AE734,18,FALSE)*$Q248</f>
        <v>24.929930531258531</v>
      </c>
      <c r="AE248" s="41">
        <f>VLOOKUP(B248,'Player Data'!$A1:$AE734,19,FALSE)*$Q248*IFERROR((VLOOKUP(P248,Settings!$E$28:$F$33,2,FALSE)+1),1)</f>
        <v>3.6638978638685837</v>
      </c>
      <c r="AF248" s="41">
        <f>VLOOKUP(B248,'Player Data'!$A1:$AE734,20,FALSE)*$Q248</f>
        <v>137.816849176967</v>
      </c>
      <c r="AG248" s="41">
        <f>VLOOKUP(B248,'Player Data'!$A1:$AE734,21,FALSE)*$Q248</f>
        <v>119.7108339340019</v>
      </c>
      <c r="AH248" s="42">
        <f>VLOOKUP(B248,'Player Data'!$A1:$AE734,22,FALSE)</f>
        <v>0.53515353189265202</v>
      </c>
      <c r="AI248" s="39"/>
      <c r="AJ248" s="43"/>
      <c r="AK248" s="41"/>
      <c r="AL248" s="41"/>
      <c r="AM248" s="41"/>
      <c r="AN248" s="41"/>
      <c r="AO248" s="41"/>
      <c r="AP248" s="41"/>
      <c r="AQ248" s="44"/>
      <c r="AR248" s="45"/>
      <c r="AS248" s="43"/>
    </row>
    <row r="249" spans="1:45" ht="21.25" customHeight="1" x14ac:dyDescent="0.15">
      <c r="A249" s="31">
        <f>RANK(K249,K$2:K$727)</f>
        <v>248</v>
      </c>
      <c r="B249" s="8" t="s">
        <v>353</v>
      </c>
      <c r="C249" s="32" t="s">
        <v>106</v>
      </c>
      <c r="D249" s="33" t="str">
        <f>VLOOKUP(B249,'Player Data'!A1:D734,4,FALSE)</f>
        <v>D</v>
      </c>
      <c r="E249" s="49">
        <f>VLOOKUP(B249,D!A1:C227,3,FALSE)</f>
        <v>69</v>
      </c>
      <c r="F249" s="35" t="str">
        <f>VLOOKUP(B249,'Player Data'!A1:B734,2,FALSE)</f>
        <v>BOS</v>
      </c>
      <c r="G249" s="9">
        <f>VLOOKUP(B249,'Player Data'!A1:D734,3,FALSE)</f>
        <v>34</v>
      </c>
      <c r="H249" s="36">
        <f>IFERROR(VLOOKUP(B249,ADP!A1:G728,7,FALSE)/1000000,VLOOKUP(B249,ADP!A1:G728,7,FALSE))</f>
        <v>1</v>
      </c>
      <c r="I249" s="37">
        <f>IF(Settings!$E$15="POINTS",((R249*Q249)*Settings!$B$12)+(S249*Settings!$B$2)+(T249*Settings!$B$3)+(U249*Settings!$B$4)+(V249*Settings!$B$5)+(X249*Settings!$B$9)+(AA249*Settings!$B$6)+(W249*Settings!$B$8)+(AB249*Settings!$B$7)+(AC249*Settings!$B$14)+(AD249*Settings!$B$15)+(AE249*Settings!$B$16)+(AF249*Settings!$B$17)+(AG249*Settings!$B$18)+(U249*Settings!$B$13)+(Y249*Settings!$B$10)+(Z249*Settings!$B$11),VLOOKUP(B249,'Standard Deviations'!A1:C728,3,FALSE))</f>
        <v>185.19555770301218</v>
      </c>
      <c r="J249" s="38">
        <f>IF(D249="G",I249/AJ249,I249/Q249)</f>
        <v>2.2965413829732029</v>
      </c>
      <c r="K249" s="37">
        <f>VLOOKUP(B249,D!A1:F227,6,FALSE)</f>
        <v>-126.36992392491527</v>
      </c>
      <c r="L249" s="37">
        <f>IFERROR(K249/H249,"N/A")</f>
        <v>-126.36992392491527</v>
      </c>
      <c r="M249" s="53" t="str">
        <f>IF(Settings!$E$9="YAHOO",VLOOKUP(B249,ADP!A1:E728,2,FALSE),IF(Settings!$E$9="ESPN",VLOOKUP(B249,ADP!A1:E728,3,FALSE),IF(Settings!$E$9="FANTRAX",VLOOKUP(B249,ADP!A1:E728,4,FALSE),VLOOKUP(B249,ADP!A1:E728,5,FALSE))))</f>
        <v>-</v>
      </c>
      <c r="N249" s="53" t="str">
        <f>IFERROR(M249-A249,"N/A")</f>
        <v>N/A</v>
      </c>
      <c r="O249" s="39"/>
      <c r="P249" s="40" t="str">
        <f>IF(Settings!$E$27="ON",VLOOKUP(B249,ADP!A1:H728,8,FALSE)," ")</f>
        <v xml:space="preserve"> </v>
      </c>
      <c r="Q249" s="41">
        <f>IF(Settings!$E$12="YES",VLOOKUP(B249,'Player Data'!A1:E734,5,FALSE),82)</f>
        <v>80.641071428571394</v>
      </c>
      <c r="R249" s="39">
        <f>VLOOKUP(B249,'Player Data'!$A1:$AE734,6,FALSE)</f>
        <v>17.535369512403499</v>
      </c>
      <c r="S249" s="41">
        <f>VLOOKUP(B249,'Player Data'!$A1:$AE734,7,FALSE)*$Q249*IFERROR((VLOOKUP(P249,Settings!$E$28:$F$33,2,FALSE)+1),1)</f>
        <v>4.5046734926007659</v>
      </c>
      <c r="T249" s="41">
        <f>VLOOKUP(B249,'Player Data'!$A1:$AE734,8,FALSE)*$Q249*IFERROR((VLOOKUP(P249,Settings!$E$28:$F$33,2,FALSE)+1),1)</f>
        <v>21.151010477674212</v>
      </c>
      <c r="U249" s="41">
        <f>SUM(S249:T249)</f>
        <v>25.655683970274978</v>
      </c>
      <c r="V249" s="41">
        <f>VLOOKUP(B249,'Player Data'!$A1:$AE734,10,FALSE)*$Q249*IFERROR(((VLOOKUP(P249,Settings!$E$28:$F$33,2,FALSE)/2)+1),1)</f>
        <v>136.99333904503212</v>
      </c>
      <c r="W249" s="41">
        <f>VLOOKUP(B249,'Player Data'!$A1:$AE734,11,FALSE)*$Q249*IFERROR((VLOOKUP(P249,Settings!$E$28:$F$33,2,FALSE)+1),1)</f>
        <v>1.0191248563142756</v>
      </c>
      <c r="X249" s="41">
        <f>VLOOKUP(B249,'Player Data'!$A1:$AE734,12,FALSE)*$Q249*IFERROR((VLOOKUP(P249,Settings!$E$28:$F$33,2,FALSE)+1),1)</f>
        <v>9.5660981988635854</v>
      </c>
      <c r="Y249" s="41">
        <f>VLOOKUP(B249,'Player Data'!$A1:$AE734,13,FALSE)*$Q249</f>
        <v>9.118994422292236E-3</v>
      </c>
      <c r="Z249" s="41">
        <f>VLOOKUP(B249,'Player Data'!$A1:$AE734,14,FALSE)*$Q249</f>
        <v>3.585656957269278E-2</v>
      </c>
      <c r="AA249" s="41">
        <f>VLOOKUP(B249,'Player Data'!$A1:$AE734,15,FALSE)*$Q249</f>
        <v>102.63963366399324</v>
      </c>
      <c r="AB249" s="41">
        <f>VLOOKUP(B249,'Player Data'!$A1:$AE734,16,FALSE)*$Q249</f>
        <v>80.217835301376496</v>
      </c>
      <c r="AC249" s="41">
        <f>VLOOKUP(B249,'Player Data'!$A1:$AE734,17,FALSE)*$Q249*IFERROR((VLOOKUP(P249,Settings!$E$28:$F$33,2,FALSE)+1),1)</f>
        <v>2.3399101001712785</v>
      </c>
      <c r="AD249" s="41">
        <f>VLOOKUP(B249,'Player Data'!$A1:$AE734,18,FALSE)*$Q249</f>
        <v>36.646537729217229</v>
      </c>
      <c r="AE249" s="41">
        <f>VLOOKUP(B249,'Player Data'!$A1:$AE734,19,FALSE)*$Q249*IFERROR((VLOOKUP(P249,Settings!$E$28:$F$33,2,FALSE)+1),1)</f>
        <v>0.75624603022441528</v>
      </c>
      <c r="AF249" s="41">
        <f>VLOOKUP(B249,'Player Data'!$A1:$AE734,20,FALSE)*$Q249</f>
        <v>0</v>
      </c>
      <c r="AG249" s="41">
        <f>VLOOKUP(B249,'Player Data'!$A1:$AE734,21,FALSE)*$Q249</f>
        <v>0.14223819234413548</v>
      </c>
      <c r="AH249" s="42">
        <f>VLOOKUP(B249,'Player Data'!$A1:$AE734,22,FALSE)</f>
        <v>0</v>
      </c>
      <c r="AI249" s="39"/>
      <c r="AJ249" s="43"/>
      <c r="AK249" s="41"/>
      <c r="AL249" s="41"/>
      <c r="AM249" s="41"/>
      <c r="AN249" s="41"/>
      <c r="AO249" s="41"/>
      <c r="AP249" s="41"/>
      <c r="AQ249" s="44"/>
      <c r="AR249" s="45"/>
      <c r="AS249" s="39"/>
    </row>
    <row r="250" spans="1:45" ht="21.25" customHeight="1" x14ac:dyDescent="0.15">
      <c r="A250" s="31">
        <f>RANK(K250,K$2:K$727)</f>
        <v>249</v>
      </c>
      <c r="B250" s="8" t="s">
        <v>354</v>
      </c>
      <c r="C250" s="32" t="s">
        <v>106</v>
      </c>
      <c r="D250" s="33" t="str">
        <f>VLOOKUP(B250,'Player Data'!A1:D734,4,FALSE)</f>
        <v>D</v>
      </c>
      <c r="E250" s="49">
        <f>VLOOKUP(B250,D!A1:C227,3,FALSE)</f>
        <v>70</v>
      </c>
      <c r="F250" s="35" t="str">
        <f>VLOOKUP(B250,'Player Data'!A1:B734,2,FALSE)</f>
        <v>SJS</v>
      </c>
      <c r="G250" s="9">
        <f>VLOOKUP(B250,'Player Data'!A1:D734,3,FALSE)</f>
        <v>24</v>
      </c>
      <c r="H250" s="36">
        <f>IFERROR(VLOOKUP(B250,ADP!A1:G728,7,FALSE)/1000000,VLOOKUP(B250,ADP!A1:G728,7,FALSE))</f>
        <v>3.25</v>
      </c>
      <c r="I250" s="37">
        <f>IF(Settings!$E$15="POINTS",((R250*Q250)*Settings!$B$12)+(S250*Settings!$B$2)+(T250*Settings!$B$3)+(U250*Settings!$B$4)+(V250*Settings!$B$5)+(X250*Settings!$B$9)+(AA250*Settings!$B$6)+(W250*Settings!$B$8)+(AB250*Settings!$B$7)+(AC250*Settings!$B$14)+(AD250*Settings!$B$15)+(AE250*Settings!$B$16)+(AF250*Settings!$B$17)+(AG250*Settings!$B$18)+(U250*Settings!$B$13)+(Y250*Settings!$B$10)+(Z250*Settings!$B$11),VLOOKUP(B250,'Standard Deviations'!A1:C728,3,FALSE))</f>
        <v>184.58884463424846</v>
      </c>
      <c r="J250" s="38">
        <f>IF(D250="G",I250/AJ250,I250/Q250)</f>
        <v>2.4097760396115988</v>
      </c>
      <c r="K250" s="37">
        <f>VLOOKUP(B250,D!A1:F227,6,FALSE)</f>
        <v>-126.97663699367899</v>
      </c>
      <c r="L250" s="37">
        <f>IFERROR(K250/H250,"N/A")</f>
        <v>-39.069734459593533</v>
      </c>
      <c r="M250" s="53" t="str">
        <f>IF(Settings!$E$9="YAHOO",VLOOKUP(B250,ADP!A1:E728,2,FALSE),IF(Settings!$E$9="ESPN",VLOOKUP(B250,ADP!A1:E728,3,FALSE),IF(Settings!$E$9="FANTRAX",VLOOKUP(B250,ADP!A1:E728,4,FALSE),VLOOKUP(B250,ADP!A1:E728,5,FALSE))))</f>
        <v>-</v>
      </c>
      <c r="N250" s="53" t="str">
        <f>IFERROR(M250-A250,"N/A")</f>
        <v>N/A</v>
      </c>
      <c r="O250" s="39"/>
      <c r="P250" s="40" t="str">
        <f>IF(Settings!$E$27="ON",VLOOKUP(B250,ADP!A1:H728,8,FALSE)," ")</f>
        <v xml:space="preserve"> </v>
      </c>
      <c r="Q250" s="41">
        <f>IF(Settings!$E$12="YES",VLOOKUP(B250,'Player Data'!A1:E734,5,FALSE),82)</f>
        <v>76.599999999999994</v>
      </c>
      <c r="R250" s="39">
        <f>VLOOKUP(B250,'Player Data'!$A1:$AE734,6,FALSE)</f>
        <v>25.8324009612213</v>
      </c>
      <c r="S250" s="41">
        <f>VLOOKUP(B250,'Player Data'!$A1:$AE734,7,FALSE)*$Q250*IFERROR((VLOOKUP(P250,Settings!$E$28:$F$33,2,FALSE)+1),1)</f>
        <v>5.190086630639188</v>
      </c>
      <c r="T250" s="41">
        <f>VLOOKUP(B250,'Player Data'!$A1:$AE734,8,FALSE)*$Q250*IFERROR((VLOOKUP(P250,Settings!$E$28:$F$33,2,FALSE)+1),1)</f>
        <v>22.638631681032315</v>
      </c>
      <c r="U250" s="41">
        <f>SUM(S250:T250)</f>
        <v>27.828718311671501</v>
      </c>
      <c r="V250" s="41">
        <f>VLOOKUP(B250,'Player Data'!$A1:$AE734,10,FALSE)*$Q250*IFERROR(((VLOOKUP(P250,Settings!$E$28:$F$33,2,FALSE)/2)+1),1)</f>
        <v>98.148854933191302</v>
      </c>
      <c r="W250" s="41">
        <f>VLOOKUP(B250,'Player Data'!$A1:$AE734,11,FALSE)*$Q250*IFERROR((VLOOKUP(P250,Settings!$E$28:$F$33,2,FALSE)+1),1)</f>
        <v>0.7999566884752789</v>
      </c>
      <c r="X250" s="41">
        <f>VLOOKUP(B250,'Player Data'!$A1:$AE734,12,FALSE)*$Q250*IFERROR((VLOOKUP(P250,Settings!$E$28:$F$33,2,FALSE)+1),1)</f>
        <v>8.7665830346854303</v>
      </c>
      <c r="Y250" s="41">
        <f>VLOOKUP(B250,'Player Data'!$A1:$AE734,13,FALSE)*$Q250</f>
        <v>2.8260162808329724E-2</v>
      </c>
      <c r="Z250" s="41">
        <f>VLOOKUP(B250,'Player Data'!$A1:$AE734,14,FALSE)*$Q250</f>
        <v>0.14855601758070619</v>
      </c>
      <c r="AA250" s="41">
        <f>VLOOKUP(B250,'Player Data'!$A1:$AE734,15,FALSE)*$Q250</f>
        <v>170.98992064053024</v>
      </c>
      <c r="AB250" s="41">
        <f>VLOOKUP(B250,'Player Data'!$A1:$AE734,16,FALSE)*$Q250</f>
        <v>151.73468165943783</v>
      </c>
      <c r="AC250" s="41">
        <f>VLOOKUP(B250,'Player Data'!$A1:$AE734,17,FALSE)*$Q250*IFERROR((VLOOKUP(P250,Settings!$E$28:$F$33,2,FALSE)+1),1)</f>
        <v>-1.9881276237268111</v>
      </c>
      <c r="AD250" s="41">
        <f>VLOOKUP(B250,'Player Data'!$A1:$AE734,18,FALSE)*$Q250</f>
        <v>31.752446570320895</v>
      </c>
      <c r="AE250" s="41">
        <f>VLOOKUP(B250,'Player Data'!$A1:$AE734,19,FALSE)*$Q250*IFERROR((VLOOKUP(P250,Settings!$E$28:$F$33,2,FALSE)+1),1)</f>
        <v>0.63018936812963122</v>
      </c>
      <c r="AF250" s="41">
        <f>VLOOKUP(B250,'Player Data'!$A1:$AE734,20,FALSE)*$Q250</f>
        <v>0</v>
      </c>
      <c r="AG250" s="41">
        <f>VLOOKUP(B250,'Player Data'!$A1:$AE734,21,FALSE)*$Q250</f>
        <v>0.93669119808571366</v>
      </c>
      <c r="AH250" s="42">
        <f>VLOOKUP(B250,'Player Data'!$A1:$AE734,22,FALSE)</f>
        <v>0</v>
      </c>
      <c r="AI250" s="39"/>
      <c r="AJ250" s="43"/>
      <c r="AK250" s="41"/>
      <c r="AL250" s="41"/>
      <c r="AM250" s="41"/>
      <c r="AN250" s="41"/>
      <c r="AO250" s="41"/>
      <c r="AP250" s="41"/>
      <c r="AQ250" s="44"/>
      <c r="AR250" s="45"/>
      <c r="AS250" s="39"/>
    </row>
    <row r="251" spans="1:45" ht="21.25" customHeight="1" x14ac:dyDescent="0.15">
      <c r="A251" s="31">
        <f>RANK(K251,K$2:K$727)</f>
        <v>250</v>
      </c>
      <c r="B251" s="8" t="s">
        <v>355</v>
      </c>
      <c r="C251" s="32" t="s">
        <v>106</v>
      </c>
      <c r="D251" s="33" t="str">
        <f>VLOOKUP(B251,'Player Data'!A1:D734,4,FALSE)</f>
        <v>RW</v>
      </c>
      <c r="E251" s="46">
        <f>VLOOKUP(B251,RW!A1:F97,3,FALSE)</f>
        <v>42</v>
      </c>
      <c r="F251" s="35" t="str">
        <f>VLOOKUP(B251,'Player Data'!A1:B734,2,FALSE)</f>
        <v>PHI</v>
      </c>
      <c r="G251" s="9">
        <f>VLOOKUP(B251,'Player Data'!A1:D734,3,FALSE)</f>
        <v>34</v>
      </c>
      <c r="H251" s="36">
        <f>IFERROR(VLOOKUP(B251,ADP!A1:G728,7,FALSE)/1000000,VLOOKUP(B251,ADP!A1:G728,7,FALSE))</f>
        <v>5.875</v>
      </c>
      <c r="I251" s="37">
        <f>IF(Settings!$E$15="POINTS",((R251*Q251)*Settings!$B$12)+(S251*Settings!$B$2)+(T251*Settings!$B$3)+(U251*Settings!$B$4)+(V251*Settings!$B$5)+(X251*Settings!$B$9)+(AA251*Settings!$B$6)+(W251*Settings!$B$8)+(AB251*Settings!$B$7)+(AC251*Settings!$B$14)+(AD251*Settings!$B$15)+(AE251*Settings!$B$16)+(AF251*Settings!$B$17)+(AG251*Settings!$B$18)+(Y251*Settings!$B$10)+(Z251*Settings!$B$11),VLOOKUP(B251,'Standard Deviations'!A1:C728,3,FALSE))</f>
        <v>222.94512798654398</v>
      </c>
      <c r="J251" s="38">
        <f>IF(D251="G",I251/AJ251,I251/Q251)</f>
        <v>3.3658445440504847</v>
      </c>
      <c r="K251" s="37">
        <f>IF(Settings!$E$18="C/LW/RW",VLOOKUP(B251,RW!A1:F97,6,FALSE),VLOOKUP(B251,F!A1:F430,6,FALSE))</f>
        <v>-127.32641256134559</v>
      </c>
      <c r="L251" s="37">
        <f>IFERROR(K251/H251,"N/A")</f>
        <v>-21.672580861505633</v>
      </c>
      <c r="M251" s="53" t="str">
        <f>IF(Settings!$E$9="YAHOO",VLOOKUP(B251,ADP!A1:E728,2,FALSE),IF(Settings!$E$9="ESPN",VLOOKUP(B251,ADP!A1:E728,3,FALSE),IF(Settings!$E$9="FANTRAX",VLOOKUP(B251,ADP!A1:E728,4,FALSE),VLOOKUP(B251,ADP!A1:E728,5,FALSE))))</f>
        <v>-</v>
      </c>
      <c r="N251" s="53" t="str">
        <f>IFERROR(M251-A251,"N/A")</f>
        <v>N/A</v>
      </c>
      <c r="O251" s="39"/>
      <c r="P251" s="40" t="str">
        <f>IF(Settings!$E$27="ON",VLOOKUP(B251,ADP!A1:H728,8,FALSE)," ")</f>
        <v xml:space="preserve"> </v>
      </c>
      <c r="Q251" s="41">
        <f>IF(Settings!$E$12="YES",VLOOKUP(B251,'Player Data'!A1:E734,5,FALSE),82)</f>
        <v>66.237499999999997</v>
      </c>
      <c r="R251" s="39">
        <f>VLOOKUP(B251,'Player Data'!$A1:$AE734,6,FALSE)</f>
        <v>16.277828060859299</v>
      </c>
      <c r="S251" s="41">
        <f>VLOOKUP(B251,'Player Data'!$A1:$AE734,7,FALSE)*$Q251*IFERROR((VLOOKUP(P251,Settings!$E$28:$F$33,2,FALSE)+1),1)</f>
        <v>15.51055101412798</v>
      </c>
      <c r="T251" s="41">
        <f>VLOOKUP(B251,'Player Data'!$A1:$AE734,8,FALSE)*$Q251*IFERROR((VLOOKUP(P251,Settings!$E$28:$F$33,2,FALSE)+1),1)</f>
        <v>23.416439741063062</v>
      </c>
      <c r="U251" s="41">
        <f>SUM(S251:T251)</f>
        <v>38.926990755191042</v>
      </c>
      <c r="V251" s="41">
        <f>VLOOKUP(B251,'Player Data'!$A1:$AE734,10,FALSE)*$Q251*IFERROR(((VLOOKUP(P251,Settings!$E$28:$F$33,2,FALSE)/2)+1),1)</f>
        <v>164.62275517044856</v>
      </c>
      <c r="W251" s="41">
        <f>VLOOKUP(B251,'Player Data'!$A1:$AE734,11,FALSE)*$Q251*IFERROR((VLOOKUP(P251,Settings!$E$28:$F$33,2,FALSE)+1),1)</f>
        <v>2.8066002402166577</v>
      </c>
      <c r="X251" s="41">
        <f>VLOOKUP(B251,'Player Data'!$A1:$AE734,12,FALSE)*$Q251*IFERROR((VLOOKUP(P251,Settings!$E$28:$F$33,2,FALSE)+1),1)</f>
        <v>8.6109097056207968</v>
      </c>
      <c r="Y251" s="41">
        <f>VLOOKUP(B251,'Player Data'!$A1:$AE734,13,FALSE)*$Q251</f>
        <v>6.3977442897627482E-2</v>
      </c>
      <c r="Z251" s="41">
        <f>VLOOKUP(B251,'Player Data'!$A1:$AE734,14,FALSE)*$Q251</f>
        <v>6.9487802652700367E-2</v>
      </c>
      <c r="AA251" s="41">
        <f>VLOOKUP(B251,'Player Data'!$A1:$AE734,15,FALSE)*$Q251</f>
        <v>32.459915595997842</v>
      </c>
      <c r="AB251" s="41">
        <f>VLOOKUP(B251,'Player Data'!$A1:$AE734,16,FALSE)*$Q251</f>
        <v>36.006789243186638</v>
      </c>
      <c r="AC251" s="41">
        <f>VLOOKUP(B251,'Player Data'!$A1:$AE734,17,FALSE)*$Q251*IFERROR((VLOOKUP(P251,Settings!$E$28:$F$33,2,FALSE)+1),1)</f>
        <v>-3.9315580744508583</v>
      </c>
      <c r="AD251" s="41">
        <f>VLOOKUP(B251,'Player Data'!$A1:$AE734,18,FALSE)*$Q251</f>
        <v>0</v>
      </c>
      <c r="AE251" s="41">
        <f>VLOOKUP(B251,'Player Data'!$A1:$AE734,19,FALSE)*$Q251*IFERROR((VLOOKUP(P251,Settings!$E$28:$F$33,2,FALSE)+1),1)</f>
        <v>1.8231976829763721</v>
      </c>
      <c r="AF251" s="41">
        <f>VLOOKUP(B251,'Player Data'!$A1:$AE734,20,FALSE)*$Q251</f>
        <v>5.7653830088207245</v>
      </c>
      <c r="AG251" s="41">
        <f>VLOOKUP(B251,'Player Data'!$A1:$AE734,21,FALSE)*$Q251</f>
        <v>15.416494567416638</v>
      </c>
      <c r="AH251" s="42">
        <f>VLOOKUP(B251,'Player Data'!$A1:$AE734,22,FALSE)</f>
        <v>0.27218470072211798</v>
      </c>
      <c r="AI251" s="39"/>
      <c r="AJ251" s="43"/>
      <c r="AK251" s="41"/>
      <c r="AL251" s="41"/>
      <c r="AM251" s="41"/>
      <c r="AN251" s="41"/>
      <c r="AO251" s="41"/>
      <c r="AP251" s="41"/>
      <c r="AQ251" s="44"/>
      <c r="AR251" s="45"/>
      <c r="AS251" s="39"/>
    </row>
    <row r="252" spans="1:45" ht="21.25" customHeight="1" x14ac:dyDescent="0.15">
      <c r="A252" s="31">
        <f>RANK(K252,K$2:K$727)</f>
        <v>251</v>
      </c>
      <c r="B252" s="8" t="s">
        <v>356</v>
      </c>
      <c r="C252" s="32" t="s">
        <v>106</v>
      </c>
      <c r="D252" s="33" t="str">
        <f>VLOOKUP(B252,'Player Data'!A1:D734,4,FALSE)</f>
        <v>C</v>
      </c>
      <c r="E252" s="34">
        <f>VLOOKUP(B252,'C'!A1:C211,3,FALSE)</f>
        <v>62</v>
      </c>
      <c r="F252" s="35" t="str">
        <f>VLOOKUP(B252,'Player Data'!A1:B734,2,FALSE)</f>
        <v>CBJ</v>
      </c>
      <c r="G252" s="9">
        <f>VLOOKUP(B252,'Player Data'!A1:D734,3,FALSE)</f>
        <v>18</v>
      </c>
      <c r="H252" s="36">
        <f>IFERROR(VLOOKUP(B252,ADP!A1:G728,7,FALSE)/1000000,VLOOKUP(B252,ADP!A1:G728,7,FALSE))</f>
        <v>0</v>
      </c>
      <c r="I252" s="37">
        <f>IF(Settings!$E$15="POINTS",((R252*Q252)*Settings!$B$12)+(S252*Settings!$B$2)+(T252*Settings!$B$3)+(U252*Settings!$B$4)+(V252*Settings!$B$5)+(X252*Settings!$B$9)+(AA252*Settings!$B$6)+(W252*Settings!$B$8)+(AB252*Settings!$B$7)+(AC252*Settings!$B$14)+(AD252*Settings!$B$15)+(AE252*Settings!$B$16)+(AF252*Settings!$B$17)+(AG252*Settings!$B$18)+(Y252*Settings!$B$10)+(Z252*Settings!$B$11),VLOOKUP(B252,'Standard Deviations'!A1:C728,3,FALSE))</f>
        <v>265.53913167742883</v>
      </c>
      <c r="J252" s="38">
        <f>IF(D252="G",I252/AJ252,I252/Q252)</f>
        <v>3.4043478420183182</v>
      </c>
      <c r="K252" s="37">
        <f>IF(Settings!$E$18="C/LW/RW",VLOOKUP(B252,'C'!A1:F211,6,FALSE),VLOOKUP(B252,F!A1:F430,6,FALSE))</f>
        <v>-127.78967408878083</v>
      </c>
      <c r="L252" s="52" t="str">
        <f>IFERROR(K252/H252,"N/A")</f>
        <v>N/A</v>
      </c>
      <c r="M252" s="39">
        <f>IF(Settings!$E$9="YAHOO",VLOOKUP(B252,ADP!A1:E728,2,FALSE),IF(Settings!$E$9="ESPN",VLOOKUP(B252,ADP!A1:E728,3,FALSE),IF(Settings!$E$9="FANTRAX",VLOOKUP(B252,ADP!A1:E728,4,FALSE),VLOOKUP(B252,ADP!A1:E728,5,FALSE))))</f>
        <v>159.19999999999999</v>
      </c>
      <c r="N252" s="39">
        <f>IFERROR(M252-A252,"N/A")</f>
        <v>-91.800000000000011</v>
      </c>
      <c r="O252" s="39"/>
      <c r="P252" s="40" t="str">
        <f>IF(Settings!$E$27="ON",VLOOKUP(B252,ADP!A1:H728,8,FALSE)," ")</f>
        <v xml:space="preserve"> </v>
      </c>
      <c r="Q252" s="41">
        <f>IF(Settings!$E$12="YES",VLOOKUP(B252,'Player Data'!A1:E734,5,FALSE),82)</f>
        <v>78</v>
      </c>
      <c r="R252" s="39">
        <f>VLOOKUP(B252,'Player Data'!$A1:$AE734,6,FALSE)</f>
        <v>16</v>
      </c>
      <c r="S252" s="41">
        <f>VLOOKUP(B252,'Player Data'!$A1:$AE734,7,FALSE)*$Q252*IFERROR((VLOOKUP(P252,Settings!$E$28:$F$33,2,FALSE)+1),1)</f>
        <v>20.941010050677679</v>
      </c>
      <c r="T252" s="41">
        <f>VLOOKUP(B252,'Player Data'!$A1:$AE734,8,FALSE)*$Q252*IFERROR((VLOOKUP(P252,Settings!$E$28:$F$33,2,FALSE)+1),1)</f>
        <v>29.824446177767747</v>
      </c>
      <c r="U252" s="41">
        <f>SUM(S252:T252)</f>
        <v>50.76545622844543</v>
      </c>
      <c r="V252" s="41">
        <f>VLOOKUP(B252,'Player Data'!$A1:$AE734,10,FALSE)*$Q252*IFERROR(((VLOOKUP(P252,Settings!$E$28:$F$33,2,FALSE)/2)+1),1)</f>
        <v>158.34957650647746</v>
      </c>
      <c r="W252" s="41">
        <f>VLOOKUP(B252,'Player Data'!$A1:$AE734,11,FALSE)*$Q252*IFERROR((VLOOKUP(P252,Settings!$E$28:$F$33,2,FALSE)+1),1)</f>
        <v>5.6297236609045536</v>
      </c>
      <c r="X252" s="41">
        <f>VLOOKUP(B252,'Player Data'!$A1:$AE734,12,FALSE)*$Q252*IFERROR((VLOOKUP(P252,Settings!$E$28:$F$33,2,FALSE)+1),1)</f>
        <v>13.647645906012299</v>
      </c>
      <c r="Y252" s="41">
        <f>VLOOKUP(B252,'Player Data'!$A1:$AE734,13,FALSE)*$Q252</f>
        <v>0</v>
      </c>
      <c r="Z252" s="41">
        <f>VLOOKUP(B252,'Player Data'!$A1:$AE734,14,FALSE)*$Q252</f>
        <v>0</v>
      </c>
      <c r="AA252" s="41">
        <f>VLOOKUP(B252,'Player Data'!$A1:$AE734,15,FALSE)*$Q252</f>
        <v>33.863414634146373</v>
      </c>
      <c r="AB252" s="41">
        <f>VLOOKUP(B252,'Player Data'!$A1:$AE734,16,FALSE)*$Q252</f>
        <v>61.829268292682904</v>
      </c>
      <c r="AC252" s="41">
        <f>VLOOKUP(B252,'Player Data'!$A1:$AE734,17,FALSE)*$Q252*IFERROR((VLOOKUP(P252,Settings!$E$28:$F$33,2,FALSE)+1),1)</f>
        <v>0.16170731707317099</v>
      </c>
      <c r="AD252" s="41">
        <f>VLOOKUP(B252,'Player Data'!$A1:$AE734,18,FALSE)*$Q252</f>
        <v>36.146341463414601</v>
      </c>
      <c r="AE252" s="41">
        <f>VLOOKUP(B252,'Player Data'!$A1:$AE734,19,FALSE)*$Q252*IFERROR((VLOOKUP(P252,Settings!$E$28:$F$33,2,FALSE)+1),1)</f>
        <v>2.2439734097058643</v>
      </c>
      <c r="AF252" s="41">
        <f>VLOOKUP(B252,'Player Data'!$A1:$AE734,20,FALSE)*$Q252</f>
        <v>369.30268501759929</v>
      </c>
      <c r="AG252" s="41">
        <f>VLOOKUP(B252,'Player Data'!$A1:$AE734,21,FALSE)*$Q252</f>
        <v>509.9894221671608</v>
      </c>
      <c r="AH252" s="42">
        <f>VLOOKUP(B252,'Player Data'!$A1:$AE734,22,FALSE)</f>
        <v>0.42</v>
      </c>
      <c r="AI252" s="39"/>
      <c r="AJ252" s="43"/>
      <c r="AK252" s="41"/>
      <c r="AL252" s="41"/>
      <c r="AM252" s="41"/>
      <c r="AN252" s="41"/>
      <c r="AO252" s="41"/>
      <c r="AP252" s="41"/>
      <c r="AQ252" s="44"/>
      <c r="AR252" s="45"/>
      <c r="AS252" s="39"/>
    </row>
    <row r="253" spans="1:45" ht="21.25" customHeight="1" x14ac:dyDescent="0.15">
      <c r="A253" s="31">
        <f>RANK(K253,K$2:K$727)</f>
        <v>252</v>
      </c>
      <c r="B253" s="8" t="s">
        <v>357</v>
      </c>
      <c r="C253" s="32" t="s">
        <v>106</v>
      </c>
      <c r="D253" s="33" t="str">
        <f>VLOOKUP(B253,'Player Data'!A1:D734,4,FALSE)</f>
        <v>D</v>
      </c>
      <c r="E253" s="49">
        <f>VLOOKUP(B253,D!A1:C227,3,FALSE)</f>
        <v>71</v>
      </c>
      <c r="F253" s="35" t="str">
        <f>VLOOKUP(B253,'Player Data'!A1:B734,2,FALSE)</f>
        <v>ARI</v>
      </c>
      <c r="G253" s="9">
        <f>VLOOKUP(B253,'Player Data'!A1:D734,3,FALSE)</f>
        <v>24</v>
      </c>
      <c r="H253" s="36">
        <f>IFERROR(VLOOKUP(B253,ADP!A1:G728,7,FALSE)/1000000,VLOOKUP(B253,ADP!A1:G728,7,FALSE))</f>
        <v>1</v>
      </c>
      <c r="I253" s="37">
        <f>IF(Settings!$E$15="POINTS",((R253*Q253)*Settings!$B$12)+(S253*Settings!$B$2)+(T253*Settings!$B$3)+(U253*Settings!$B$4)+(V253*Settings!$B$5)+(X253*Settings!$B$9)+(AA253*Settings!$B$6)+(W253*Settings!$B$8)+(AB253*Settings!$B$7)+(AC253*Settings!$B$14)+(AD253*Settings!$B$15)+(AE253*Settings!$B$16)+(AF253*Settings!$B$17)+(AG253*Settings!$B$18)+(U253*Settings!$B$13)+(Y253*Settings!$B$10)+(Z253*Settings!$B$11),VLOOKUP(B253,'Standard Deviations'!A1:C728,3,FALSE))</f>
        <v>183.65424305644117</v>
      </c>
      <c r="J253" s="38">
        <f>IF(D253="G",I253/AJ253,I253/Q253)</f>
        <v>2.4067652990392969</v>
      </c>
      <c r="K253" s="37">
        <f>VLOOKUP(B253,D!A1:F227,6,FALSE)</f>
        <v>-127.91123857148628</v>
      </c>
      <c r="L253" s="37">
        <f>IFERROR(K253/H253,"N/A")</f>
        <v>-127.91123857148628</v>
      </c>
      <c r="M253" s="53" t="str">
        <f>IF(Settings!$E$9="YAHOO",VLOOKUP(B253,ADP!A1:E728,2,FALSE),IF(Settings!$E$9="ESPN",VLOOKUP(B253,ADP!A1:E728,3,FALSE),IF(Settings!$E$9="FANTRAX",VLOOKUP(B253,ADP!A1:E728,4,FALSE),VLOOKUP(B253,ADP!A1:E728,5,FALSE))))</f>
        <v>-</v>
      </c>
      <c r="N253" s="53" t="str">
        <f>IFERROR(M253-A253,"N/A")</f>
        <v>N/A</v>
      </c>
      <c r="O253" s="39"/>
      <c r="P253" s="40" t="str">
        <f>IF(Settings!$E$27="ON",VLOOKUP(B253,ADP!A1:H728,8,FALSE)," ")</f>
        <v xml:space="preserve"> </v>
      </c>
      <c r="Q253" s="41">
        <f>IF(Settings!$E$12="YES",VLOOKUP(B253,'Player Data'!A1:E734,5,FALSE),82)</f>
        <v>76.307500000000005</v>
      </c>
      <c r="R253" s="39">
        <f>VLOOKUP(B253,'Player Data'!$A1:$AE734,6,FALSE)</f>
        <v>18.735645757788902</v>
      </c>
      <c r="S253" s="41">
        <f>VLOOKUP(B253,'Player Data'!$A1:$AE734,7,FALSE)*$Q253*IFERROR((VLOOKUP(P253,Settings!$E$28:$F$33,2,FALSE)+1),1)</f>
        <v>4.4461068472091059</v>
      </c>
      <c r="T253" s="41">
        <f>VLOOKUP(B253,'Player Data'!$A1:$AE734,8,FALSE)*$Q253*IFERROR((VLOOKUP(P253,Settings!$E$28:$F$33,2,FALSE)+1),1)</f>
        <v>27.088297919077487</v>
      </c>
      <c r="U253" s="41">
        <f>SUM(S253:T253)</f>
        <v>31.534404766286592</v>
      </c>
      <c r="V253" s="41">
        <f>VLOOKUP(B253,'Player Data'!$A1:$AE734,10,FALSE)*$Q253*IFERROR(((VLOOKUP(P253,Settings!$E$28:$F$33,2,FALSE)/2)+1),1)</f>
        <v>101.04534009475717</v>
      </c>
      <c r="W253" s="41">
        <f>VLOOKUP(B253,'Player Data'!$A1:$AE734,11,FALSE)*$Q253*IFERROR((VLOOKUP(P253,Settings!$E$28:$F$33,2,FALSE)+1),1)</f>
        <v>0.99114567721249602</v>
      </c>
      <c r="X253" s="41">
        <f>VLOOKUP(B253,'Player Data'!$A1:$AE734,12,FALSE)*$Q253*IFERROR((VLOOKUP(P253,Settings!$E$28:$F$33,2,FALSE)+1),1)</f>
        <v>9.4867254002909398</v>
      </c>
      <c r="Y253" s="41">
        <f>VLOOKUP(B253,'Player Data'!$A1:$AE734,13,FALSE)*$Q253</f>
        <v>2.0674943484202714E-2</v>
      </c>
      <c r="Z253" s="41">
        <f>VLOOKUP(B253,'Player Data'!$A1:$AE734,14,FALSE)*$Q253</f>
        <v>7.54283003668232E-2</v>
      </c>
      <c r="AA253" s="41">
        <f>VLOOKUP(B253,'Player Data'!$A1:$AE734,15,FALSE)*$Q253</f>
        <v>97.020256544436435</v>
      </c>
      <c r="AB253" s="41">
        <f>VLOOKUP(B253,'Player Data'!$A1:$AE734,16,FALSE)*$Q253</f>
        <v>69.183875215046641</v>
      </c>
      <c r="AC253" s="41">
        <f>VLOOKUP(B253,'Player Data'!$A1:$AE734,17,FALSE)*$Q253*IFERROR((VLOOKUP(P253,Settings!$E$28:$F$33,2,FALSE)+1),1)</f>
        <v>-2.312371290696464</v>
      </c>
      <c r="AD253" s="41">
        <f>VLOOKUP(B253,'Player Data'!$A1:$AE734,18,FALSE)*$Q253</f>
        <v>48.52265282452835</v>
      </c>
      <c r="AE253" s="41">
        <f>VLOOKUP(B253,'Player Data'!$A1:$AE734,19,FALSE)*$Q253*IFERROR((VLOOKUP(P253,Settings!$E$28:$F$33,2,FALSE)+1),1)</f>
        <v>0.54798265017014824</v>
      </c>
      <c r="AF253" s="41">
        <f>VLOOKUP(B253,'Player Data'!$A1:$AE734,20,FALSE)*$Q253</f>
        <v>0</v>
      </c>
      <c r="AG253" s="41">
        <f>VLOOKUP(B253,'Player Data'!$A1:$AE734,21,FALSE)*$Q253</f>
        <v>0</v>
      </c>
      <c r="AH253" s="42">
        <f>VLOOKUP(B253,'Player Data'!$A1:$AE734,22,FALSE)</f>
        <v>0</v>
      </c>
      <c r="AI253" s="39"/>
      <c r="AJ253" s="43"/>
      <c r="AK253" s="41"/>
      <c r="AL253" s="41"/>
      <c r="AM253" s="41"/>
      <c r="AN253" s="41"/>
      <c r="AO253" s="41"/>
      <c r="AP253" s="41"/>
      <c r="AQ253" s="44"/>
      <c r="AR253" s="45"/>
      <c r="AS253" s="39"/>
    </row>
    <row r="254" spans="1:45" ht="21.25" customHeight="1" x14ac:dyDescent="0.15">
      <c r="A254" s="31">
        <f>RANK(K254,K$2:K$727)</f>
        <v>253</v>
      </c>
      <c r="B254" s="8" t="s">
        <v>358</v>
      </c>
      <c r="C254" s="32" t="s">
        <v>106</v>
      </c>
      <c r="D254" s="33" t="str">
        <f>VLOOKUP(B254,'Player Data'!A1:D734,4,FALSE)</f>
        <v>D</v>
      </c>
      <c r="E254" s="49">
        <f>VLOOKUP(B254,D!A1:C227,3,FALSE)</f>
        <v>72</v>
      </c>
      <c r="F254" s="35" t="str">
        <f>VLOOKUP(B254,'Player Data'!A1:B734,2,FALSE)</f>
        <v>SEA</v>
      </c>
      <c r="G254" s="9">
        <f>VLOOKUP(B254,'Player Data'!A1:D734,3,FALSE)</f>
        <v>33</v>
      </c>
      <c r="H254" s="36">
        <f>IFERROR(VLOOKUP(B254,ADP!A1:G728,7,FALSE)/1000000,VLOOKUP(B254,ADP!A1:G728,7,FALSE))</f>
        <v>3</v>
      </c>
      <c r="I254" s="37">
        <f>IF(Settings!$E$15="POINTS",((R254*Q254)*Settings!$B$12)+(S254*Settings!$B$2)+(T254*Settings!$B$3)+(U254*Settings!$B$4)+(V254*Settings!$B$5)+(X254*Settings!$B$9)+(AA254*Settings!$B$6)+(W254*Settings!$B$8)+(AB254*Settings!$B$7)+(AC254*Settings!$B$14)+(AD254*Settings!$B$15)+(AE254*Settings!$B$16)+(AF254*Settings!$B$17)+(AG254*Settings!$B$18)+(U254*Settings!$B$13)+(Y254*Settings!$B$10)+(Z254*Settings!$B$11),VLOOKUP(B254,'Standard Deviations'!A1:C728,3,FALSE))</f>
        <v>182.34182870964611</v>
      </c>
      <c r="J254" s="38">
        <f>IF(D254="G",I254/AJ254,I254/Q254)</f>
        <v>2.3416721493136712</v>
      </c>
      <c r="K254" s="37">
        <f>VLOOKUP(B254,D!A1:F227,6,FALSE)</f>
        <v>-129.22365291828135</v>
      </c>
      <c r="L254" s="37">
        <f>IFERROR(K254/H254,"N/A")</f>
        <v>-43.074550972760449</v>
      </c>
      <c r="M254" s="53" t="str">
        <f>IF(Settings!$E$9="YAHOO",VLOOKUP(B254,ADP!A1:E728,2,FALSE),IF(Settings!$E$9="ESPN",VLOOKUP(B254,ADP!A1:E728,3,FALSE),IF(Settings!$E$9="FANTRAX",VLOOKUP(B254,ADP!A1:E728,4,FALSE),VLOOKUP(B254,ADP!A1:E728,5,FALSE))))</f>
        <v>-</v>
      </c>
      <c r="N254" s="53" t="str">
        <f>IFERROR(M254-A254,"N/A")</f>
        <v>N/A</v>
      </c>
      <c r="O254" s="39"/>
      <c r="P254" s="40" t="str">
        <f>IF(Settings!$E$27="ON",VLOOKUP(B254,ADP!A1:H728,8,FALSE)," ")</f>
        <v xml:space="preserve"> </v>
      </c>
      <c r="Q254" s="41">
        <f>IF(Settings!$E$12="YES",VLOOKUP(B254,'Player Data'!A1:E734,5,FALSE),82)</f>
        <v>77.868214285714302</v>
      </c>
      <c r="R254" s="39">
        <f>VLOOKUP(B254,'Player Data'!$A1:$AE734,6,FALSE)</f>
        <v>17.458222504210799</v>
      </c>
      <c r="S254" s="41">
        <f>VLOOKUP(B254,'Player Data'!$A1:$AE734,7,FALSE)*$Q254*IFERROR((VLOOKUP(P254,Settings!$E$28:$F$33,2,FALSE)+1),1)</f>
        <v>5.1147858077632939</v>
      </c>
      <c r="T254" s="41">
        <f>VLOOKUP(B254,'Player Data'!$A1:$AE734,8,FALSE)*$Q254*IFERROR((VLOOKUP(P254,Settings!$E$28:$F$33,2,FALSE)+1),1)</f>
        <v>25.90933445623455</v>
      </c>
      <c r="U254" s="41">
        <f>SUM(S254:T254)</f>
        <v>31.024120263997844</v>
      </c>
      <c r="V254" s="41">
        <f>VLOOKUP(B254,'Player Data'!$A1:$AE734,10,FALSE)*$Q254*IFERROR(((VLOOKUP(P254,Settings!$E$28:$F$33,2,FALSE)/2)+1),1)</f>
        <v>102.64936837809982</v>
      </c>
      <c r="W254" s="41">
        <f>VLOOKUP(B254,'Player Data'!$A1:$AE734,11,FALSE)*$Q254*IFERROR((VLOOKUP(P254,Settings!$E$28:$F$33,2,FALSE)+1),1)</f>
        <v>1.2591975966269739</v>
      </c>
      <c r="X254" s="41">
        <f>VLOOKUP(B254,'Player Data'!$A1:$AE734,12,FALSE)*$Q254*IFERROR((VLOOKUP(P254,Settings!$E$28:$F$33,2,FALSE)+1),1)</f>
        <v>10.647786558217376</v>
      </c>
      <c r="Y254" s="41">
        <f>VLOOKUP(B254,'Player Data'!$A1:$AE734,13,FALSE)*$Q254</f>
        <v>4.4757883373761969E-3</v>
      </c>
      <c r="Z254" s="41">
        <f>VLOOKUP(B254,'Player Data'!$A1:$AE734,14,FALSE)*$Q254</f>
        <v>1.7359144866731614E-2</v>
      </c>
      <c r="AA254" s="41">
        <f>VLOOKUP(B254,'Player Data'!$A1:$AE734,15,FALSE)*$Q254</f>
        <v>83.072461612172262</v>
      </c>
      <c r="AB254" s="41">
        <f>VLOOKUP(B254,'Player Data'!$A1:$AE734,16,FALSE)*$Q254</f>
        <v>50.793071054480777</v>
      </c>
      <c r="AC254" s="41">
        <f>VLOOKUP(B254,'Player Data'!$A1:$AE734,17,FALSE)*$Q254*IFERROR((VLOOKUP(P254,Settings!$E$28:$F$33,2,FALSE)+1),1)</f>
        <v>-0.29259301099040341</v>
      </c>
      <c r="AD254" s="41">
        <f>VLOOKUP(B254,'Player Data'!$A1:$AE734,18,FALSE)*$Q254</f>
        <v>30.187002937940285</v>
      </c>
      <c r="AE254" s="41">
        <f>VLOOKUP(B254,'Player Data'!$A1:$AE734,19,FALSE)*$Q254*IFERROR((VLOOKUP(P254,Settings!$E$28:$F$33,2,FALSE)+1),1)</f>
        <v>0.71893928602504398</v>
      </c>
      <c r="AF254" s="41">
        <f>VLOOKUP(B254,'Player Data'!$A1:$AE734,20,FALSE)*$Q254</f>
        <v>0</v>
      </c>
      <c r="AG254" s="41">
        <f>VLOOKUP(B254,'Player Data'!$A1:$AE734,21,FALSE)*$Q254</f>
        <v>0</v>
      </c>
      <c r="AH254" s="42">
        <f>VLOOKUP(B254,'Player Data'!$A1:$AE734,22,FALSE)</f>
        <v>0</v>
      </c>
      <c r="AI254" s="39"/>
      <c r="AJ254" s="43"/>
      <c r="AK254" s="41"/>
      <c r="AL254" s="41"/>
      <c r="AM254" s="41"/>
      <c r="AN254" s="41"/>
      <c r="AO254" s="41"/>
      <c r="AP254" s="41"/>
      <c r="AQ254" s="44"/>
      <c r="AR254" s="45"/>
      <c r="AS254" s="39"/>
    </row>
    <row r="255" spans="1:45" ht="21.25" customHeight="1" x14ac:dyDescent="0.15">
      <c r="A255" s="31">
        <f>RANK(K255,K$2:K$727)</f>
        <v>254</v>
      </c>
      <c r="B255" s="8" t="s">
        <v>359</v>
      </c>
      <c r="C255" s="32" t="s">
        <v>106</v>
      </c>
      <c r="D255" s="33" t="str">
        <f>VLOOKUP(B255,'Player Data'!A1:D734,4,FALSE)</f>
        <v>D</v>
      </c>
      <c r="E255" s="49">
        <f>VLOOKUP(B255,D!A1:C227,3,FALSE)</f>
        <v>73</v>
      </c>
      <c r="F255" s="35" t="str">
        <f>VLOOKUP(B255,'Player Data'!A1:B734,2,FALSE)</f>
        <v>PIT</v>
      </c>
      <c r="G255" s="9">
        <f>VLOOKUP(B255,'Player Data'!A1:D734,3,FALSE)</f>
        <v>28</v>
      </c>
      <c r="H255" s="36">
        <f>IFERROR(VLOOKUP(B255,ADP!A1:G728,7,FALSE)/1000000,VLOOKUP(B255,ADP!A1:G728,7,FALSE))</f>
        <v>4.5</v>
      </c>
      <c r="I255" s="37">
        <f>IF(Settings!$E$15="POINTS",((R255*Q255)*Settings!$B$12)+(S255*Settings!$B$2)+(T255*Settings!$B$3)+(U255*Settings!$B$4)+(V255*Settings!$B$5)+(X255*Settings!$B$9)+(AA255*Settings!$B$6)+(W255*Settings!$B$8)+(AB255*Settings!$B$7)+(AC255*Settings!$B$14)+(AD255*Settings!$B$15)+(AE255*Settings!$B$16)+(AF255*Settings!$B$17)+(AG255*Settings!$B$18)+(U255*Settings!$B$13)+(Y255*Settings!$B$10)+(Z255*Settings!$B$11),VLOOKUP(B255,'Standard Deviations'!A1:C728,3,FALSE))</f>
        <v>181.99716054789923</v>
      </c>
      <c r="J255" s="38">
        <f>IF(D255="G",I255/AJ255,I255/Q255)</f>
        <v>2.2731277384529358</v>
      </c>
      <c r="K255" s="37">
        <f>VLOOKUP(B255,D!A1:F227,6,FALSE)</f>
        <v>-129.56832108002823</v>
      </c>
      <c r="L255" s="37">
        <f>IFERROR(K255/H255,"N/A")</f>
        <v>-28.792960240006273</v>
      </c>
      <c r="M255" s="39">
        <f>IF(Settings!$E$9="YAHOO",VLOOKUP(B255,ADP!A1:E728,2,FALSE),IF(Settings!$E$9="ESPN",VLOOKUP(B255,ADP!A1:E728,3,FALSE),IF(Settings!$E$9="FANTRAX",VLOOKUP(B255,ADP!A1:E728,4,FALSE),VLOOKUP(B255,ADP!A1:E728,5,FALSE))))</f>
        <v>149.80000000000001</v>
      </c>
      <c r="N255" s="39">
        <f>IFERROR(M255-A255,"N/A")</f>
        <v>-104.19999999999999</v>
      </c>
      <c r="O255" s="39"/>
      <c r="P255" s="40" t="str">
        <f>IF(Settings!$E$27="ON",VLOOKUP(B255,ADP!A1:H728,8,FALSE)," ")</f>
        <v xml:space="preserve"> </v>
      </c>
      <c r="Q255" s="41">
        <f>IF(Settings!$E$12="YES",VLOOKUP(B255,'Player Data'!A1:E734,5,FALSE),82)</f>
        <v>80.0646428571429</v>
      </c>
      <c r="R255" s="39">
        <f>VLOOKUP(B255,'Player Data'!$A1:$AE734,6,FALSE)</f>
        <v>20.0840416037368</v>
      </c>
      <c r="S255" s="41">
        <f>VLOOKUP(B255,'Player Data'!$A1:$AE734,7,FALSE)*$Q255*IFERROR((VLOOKUP(P255,Settings!$E$28:$F$33,2,FALSE)+1),1)</f>
        <v>6.329232804293226</v>
      </c>
      <c r="T255" s="41">
        <f>VLOOKUP(B255,'Player Data'!$A1:$AE734,8,FALSE)*$Q255*IFERROR((VLOOKUP(P255,Settings!$E$28:$F$33,2,FALSE)+1),1)</f>
        <v>20.90801950708202</v>
      </c>
      <c r="U255" s="41">
        <f>SUM(S255:T255)</f>
        <v>27.237252311375247</v>
      </c>
      <c r="V255" s="41">
        <f>VLOOKUP(B255,'Player Data'!$A1:$AE734,10,FALSE)*$Q255*IFERROR(((VLOOKUP(P255,Settings!$E$28:$F$33,2,FALSE)/2)+1),1)</f>
        <v>135.9150222328922</v>
      </c>
      <c r="W255" s="41">
        <f>VLOOKUP(B255,'Player Data'!$A1:$AE734,11,FALSE)*$Q255*IFERROR((VLOOKUP(P255,Settings!$E$28:$F$33,2,FALSE)+1),1)</f>
        <v>2.4488375721863406E-2</v>
      </c>
      <c r="X255" s="41">
        <f>VLOOKUP(B255,'Player Data'!$A1:$AE734,12,FALSE)*$Q255*IFERROR((VLOOKUP(P255,Settings!$E$28:$F$33,2,FALSE)+1),1)</f>
        <v>0.16735785275934353</v>
      </c>
      <c r="Y255" s="41">
        <f>VLOOKUP(B255,'Player Data'!$A1:$AE734,13,FALSE)*$Q255</f>
        <v>2.4479446258299471E-2</v>
      </c>
      <c r="Z255" s="41">
        <f>VLOOKUP(B255,'Player Data'!$A1:$AE734,14,FALSE)*$Q255</f>
        <v>1.1103910313390477</v>
      </c>
      <c r="AA255" s="41">
        <f>VLOOKUP(B255,'Player Data'!$A1:$AE734,15,FALSE)*$Q255</f>
        <v>148.86197364565299</v>
      </c>
      <c r="AB255" s="41">
        <f>VLOOKUP(B255,'Player Data'!$A1:$AE734,16,FALSE)*$Q255</f>
        <v>96.411349125231467</v>
      </c>
      <c r="AC255" s="41">
        <f>VLOOKUP(B255,'Player Data'!$A1:$AE734,17,FALSE)*$Q255*IFERROR((VLOOKUP(P255,Settings!$E$28:$F$33,2,FALSE)+1),1)</f>
        <v>2.0748296397454253</v>
      </c>
      <c r="AD255" s="41">
        <f>VLOOKUP(B255,'Player Data'!$A1:$AE734,18,FALSE)*$Q255</f>
        <v>34.063687584610427</v>
      </c>
      <c r="AE255" s="41">
        <f>VLOOKUP(B255,'Player Data'!$A1:$AE734,19,FALSE)*$Q255*IFERROR((VLOOKUP(P255,Settings!$E$28:$F$33,2,FALSE)+1),1)</f>
        <v>1.0072933685097603</v>
      </c>
      <c r="AF255" s="41">
        <f>VLOOKUP(B255,'Player Data'!$A1:$AE734,20,FALSE)*$Q255</f>
        <v>0</v>
      </c>
      <c r="AG255" s="41">
        <f>VLOOKUP(B255,'Player Data'!$A1:$AE734,21,FALSE)*$Q255</f>
        <v>0</v>
      </c>
      <c r="AH255" s="42">
        <f>VLOOKUP(B255,'Player Data'!$A1:$AE734,22,FALSE)</f>
        <v>0</v>
      </c>
      <c r="AI255" s="39"/>
      <c r="AJ255" s="43"/>
      <c r="AK255" s="41"/>
      <c r="AL255" s="41"/>
      <c r="AM255" s="41"/>
      <c r="AN255" s="41"/>
      <c r="AO255" s="41"/>
      <c r="AP255" s="41"/>
      <c r="AQ255" s="44"/>
      <c r="AR255" s="45"/>
      <c r="AS255" s="39"/>
    </row>
    <row r="256" spans="1:45" ht="21.25" customHeight="1" x14ac:dyDescent="0.15">
      <c r="A256" s="31">
        <f>RANK(K256,K$2:K$727)</f>
        <v>255</v>
      </c>
      <c r="B256" s="8" t="s">
        <v>360</v>
      </c>
      <c r="C256" s="32" t="s">
        <v>106</v>
      </c>
      <c r="D256" s="33" t="str">
        <f>VLOOKUP(B256,'Player Data'!A1:D734,4,FALSE)</f>
        <v>D</v>
      </c>
      <c r="E256" s="49">
        <f>VLOOKUP(B256,D!A1:C227,3,FALSE)</f>
        <v>74</v>
      </c>
      <c r="F256" s="35" t="str">
        <f>VLOOKUP(B256,'Player Data'!A1:B734,2,FALSE)</f>
        <v>CBJ</v>
      </c>
      <c r="G256" s="9">
        <f>VLOOKUP(B256,'Player Data'!A1:D734,3,FALSE)</f>
        <v>26</v>
      </c>
      <c r="H256" s="36">
        <f>IFERROR(VLOOKUP(B256,ADP!A1:G728,7,FALSE)/1000000,VLOOKUP(B256,ADP!A1:G728,7,FALSE))</f>
        <v>4.7249999999999996</v>
      </c>
      <c r="I256" s="37">
        <f>IF(Settings!$E$15="POINTS",((R256*Q256)*Settings!$B$12)+(S256*Settings!$B$2)+(T256*Settings!$B$3)+(U256*Settings!$B$4)+(V256*Settings!$B$5)+(X256*Settings!$B$9)+(AA256*Settings!$B$6)+(W256*Settings!$B$8)+(AB256*Settings!$B$7)+(AC256*Settings!$B$14)+(AD256*Settings!$B$15)+(AE256*Settings!$B$16)+(AF256*Settings!$B$17)+(AG256*Settings!$B$18)+(U256*Settings!$B$13)+(Y256*Settings!$B$10)+(Z256*Settings!$B$11),VLOOKUP(B256,'Standard Deviations'!A1:C728,3,FALSE))</f>
        <v>181.6669786734017</v>
      </c>
      <c r="J256" s="38">
        <f>IF(D256="G",I256/AJ256,I256/Q256)</f>
        <v>2.225833659122145</v>
      </c>
      <c r="K256" s="37">
        <f>VLOOKUP(B256,D!A1:F227,6,FALSE)</f>
        <v>-129.89850295452575</v>
      </c>
      <c r="L256" s="37">
        <f>IFERROR(K256/H256,"N/A")</f>
        <v>-27.491746657042491</v>
      </c>
      <c r="M256" s="53" t="str">
        <f>IF(Settings!$E$9="YAHOO",VLOOKUP(B256,ADP!A1:E728,2,FALSE),IF(Settings!$E$9="ESPN",VLOOKUP(B256,ADP!A1:E728,3,FALSE),IF(Settings!$E$9="FANTRAX",VLOOKUP(B256,ADP!A1:E728,4,FALSE),VLOOKUP(B256,ADP!A1:E728,5,FALSE))))</f>
        <v>-</v>
      </c>
      <c r="N256" s="53" t="str">
        <f>IFERROR(M256-A256,"N/A")</f>
        <v>N/A</v>
      </c>
      <c r="O256" s="39"/>
      <c r="P256" s="40" t="str">
        <f>IF(Settings!$E$27="ON",VLOOKUP(B256,ADP!A1:H728,8,FALSE)," ")</f>
        <v xml:space="preserve"> </v>
      </c>
      <c r="Q256" s="41">
        <f>IF(Settings!$E$12="YES",VLOOKUP(B256,'Player Data'!A1:E734,5,FALSE),82)</f>
        <v>81.617500000000007</v>
      </c>
      <c r="R256" s="39">
        <f>VLOOKUP(B256,'Player Data'!$A1:$AE734,6,FALSE)</f>
        <v>21.6247563504729</v>
      </c>
      <c r="S256" s="41">
        <f>VLOOKUP(B256,'Player Data'!$A1:$AE734,7,FALSE)*$Q256*IFERROR((VLOOKUP(P256,Settings!$E$28:$F$33,2,FALSE)+1),1)</f>
        <v>7.227017194784521</v>
      </c>
      <c r="T256" s="41">
        <f>VLOOKUP(B256,'Player Data'!$A1:$AE734,8,FALSE)*$Q256*IFERROR((VLOOKUP(P256,Settings!$E$28:$F$33,2,FALSE)+1),1)</f>
        <v>19.617211642655882</v>
      </c>
      <c r="U256" s="41">
        <f>SUM(S256:T256)</f>
        <v>26.844228837440404</v>
      </c>
      <c r="V256" s="41">
        <f>VLOOKUP(B256,'Player Data'!$A1:$AE734,10,FALSE)*$Q256*IFERROR(((VLOOKUP(P256,Settings!$E$28:$F$33,2,FALSE)/2)+1),1)</f>
        <v>123.15651860229079</v>
      </c>
      <c r="W256" s="41">
        <f>VLOOKUP(B256,'Player Data'!$A1:$AE734,11,FALSE)*$Q256*IFERROR((VLOOKUP(P256,Settings!$E$28:$F$33,2,FALSE)+1),1)</f>
        <v>0.19905477721356293</v>
      </c>
      <c r="X256" s="41">
        <f>VLOOKUP(B256,'Player Data'!$A1:$AE734,12,FALSE)*$Q256*IFERROR((VLOOKUP(P256,Settings!$E$28:$F$33,2,FALSE)+1),1)</f>
        <v>2.8453594702121539</v>
      </c>
      <c r="Y256" s="41">
        <f>VLOOKUP(B256,'Player Data'!$A1:$AE734,13,FALSE)*$Q256</f>
        <v>2.4401705410203686E-2</v>
      </c>
      <c r="Z256" s="41">
        <f>VLOOKUP(B256,'Player Data'!$A1:$AE734,14,FALSE)*$Q256</f>
        <v>1.6625378146128835</v>
      </c>
      <c r="AA256" s="41">
        <f>VLOOKUP(B256,'Player Data'!$A1:$AE734,15,FALSE)*$Q256</f>
        <v>152.70119145142502</v>
      </c>
      <c r="AB256" s="41">
        <f>VLOOKUP(B256,'Player Data'!$A1:$AE734,16,FALSE)*$Q256</f>
        <v>92.651194787635319</v>
      </c>
      <c r="AC256" s="41">
        <f>VLOOKUP(B256,'Player Data'!$A1:$AE734,17,FALSE)*$Q256*IFERROR((VLOOKUP(P256,Settings!$E$28:$F$33,2,FALSE)+1),1)</f>
        <v>-6.7310007570557708</v>
      </c>
      <c r="AD256" s="41">
        <f>VLOOKUP(B256,'Player Data'!$A1:$AE734,18,FALSE)*$Q256</f>
        <v>30.203418882926822</v>
      </c>
      <c r="AE256" s="41">
        <f>VLOOKUP(B256,'Player Data'!$A1:$AE734,19,FALSE)*$Q256*IFERROR((VLOOKUP(P256,Settings!$E$28:$F$33,2,FALSE)+1),1)</f>
        <v>0.77442465178792552</v>
      </c>
      <c r="AF256" s="41">
        <f>VLOOKUP(B256,'Player Data'!$A1:$AE734,20,FALSE)*$Q256</f>
        <v>0</v>
      </c>
      <c r="AG256" s="41">
        <f>VLOOKUP(B256,'Player Data'!$A1:$AE734,21,FALSE)*$Q256</f>
        <v>0</v>
      </c>
      <c r="AH256" s="42">
        <f>VLOOKUP(B256,'Player Data'!$A1:$AE734,22,FALSE)</f>
        <v>0</v>
      </c>
      <c r="AI256" s="39"/>
      <c r="AJ256" s="43"/>
      <c r="AK256" s="41"/>
      <c r="AL256" s="41"/>
      <c r="AM256" s="41"/>
      <c r="AN256" s="41"/>
      <c r="AO256" s="41"/>
      <c r="AP256" s="41"/>
      <c r="AQ256" s="44"/>
      <c r="AR256" s="45"/>
      <c r="AS256" s="39"/>
    </row>
    <row r="257" spans="1:45" ht="21.25" customHeight="1" x14ac:dyDescent="0.15">
      <c r="A257" s="31">
        <f>RANK(K257,K$2:K$727)</f>
        <v>256</v>
      </c>
      <c r="B257" s="8" t="s">
        <v>361</v>
      </c>
      <c r="C257" s="32" t="s">
        <v>106</v>
      </c>
      <c r="D257" s="33" t="str">
        <f>VLOOKUP(B257,'Player Data'!A1:D734,4,FALSE)</f>
        <v>C</v>
      </c>
      <c r="E257" s="34">
        <f>VLOOKUP(B257,'C'!A1:C211,3,FALSE)</f>
        <v>63</v>
      </c>
      <c r="F257" s="35" t="str">
        <f>VLOOKUP(B257,'Player Data'!A1:B734,2,FALSE)</f>
        <v>CBJ</v>
      </c>
      <c r="G257" s="9">
        <f>VLOOKUP(B257,'Player Data'!A1:D734,3,FALSE)</f>
        <v>30</v>
      </c>
      <c r="H257" s="36">
        <f>IFERROR(VLOOKUP(B257,ADP!A1:G728,7,FALSE)/1000000,VLOOKUP(B257,ADP!A1:G728,7,FALSE))</f>
        <v>3.75</v>
      </c>
      <c r="I257" s="37">
        <f>IF(Settings!$E$15="POINTS",((R257*Q257)*Settings!$B$12)+(S257*Settings!$B$2)+(T257*Settings!$B$3)+(U257*Settings!$B$4)+(V257*Settings!$B$5)+(X257*Settings!$B$9)+(AA257*Settings!$B$6)+(W257*Settings!$B$8)+(AB257*Settings!$B$7)+(AC257*Settings!$B$14)+(AD257*Settings!$B$15)+(AE257*Settings!$B$16)+(AF257*Settings!$B$17)+(AG257*Settings!$B$18)+(Y257*Settings!$B$10)+(Z257*Settings!$B$11),VLOOKUP(B257,'Standard Deviations'!A1:C728,3,FALSE))</f>
        <v>262.80243065219219</v>
      </c>
      <c r="J257" s="38">
        <f>IF(D257="G",I257/AJ257,I257/Q257)</f>
        <v>3.5280229648569232</v>
      </c>
      <c r="K257" s="37">
        <f>IF(Settings!$E$18="C/LW/RW",VLOOKUP(B257,'C'!A1:F211,6,FALSE),VLOOKUP(B257,F!A1:F430,6,FALSE))</f>
        <v>-130.52637511401747</v>
      </c>
      <c r="L257" s="37">
        <f>IFERROR(K257/H257,"N/A")</f>
        <v>-34.807033363737993</v>
      </c>
      <c r="M257" s="53" t="str">
        <f>IF(Settings!$E$9="YAHOO",VLOOKUP(B257,ADP!A1:E728,2,FALSE),IF(Settings!$E$9="ESPN",VLOOKUP(B257,ADP!A1:E728,3,FALSE),IF(Settings!$E$9="FANTRAX",VLOOKUP(B257,ADP!A1:E728,4,FALSE),VLOOKUP(B257,ADP!A1:E728,5,FALSE))))</f>
        <v>-</v>
      </c>
      <c r="N257" s="53" t="str">
        <f>IFERROR(M257-A257,"N/A")</f>
        <v>N/A</v>
      </c>
      <c r="O257" s="39"/>
      <c r="P257" s="40" t="str">
        <f>IF(Settings!$E$27="ON",VLOOKUP(B257,ADP!A1:H728,8,FALSE)," ")</f>
        <v xml:space="preserve"> </v>
      </c>
      <c r="Q257" s="41">
        <f>IF(Settings!$E$12="YES",VLOOKUP(B257,'Player Data'!A1:E734,5,FALSE),82)</f>
        <v>74.489999999999995</v>
      </c>
      <c r="R257" s="39">
        <f>VLOOKUP(B257,'Player Data'!$A1:$AE734,6,FALSE)</f>
        <v>18.172821028107698</v>
      </c>
      <c r="S257" s="41">
        <f>VLOOKUP(B257,'Player Data'!$A1:$AE734,7,FALSE)*$Q257*IFERROR((VLOOKUP(P257,Settings!$E$28:$F$33,2,FALSE)+1),1)</f>
        <v>23.078013848755763</v>
      </c>
      <c r="T257" s="41">
        <f>VLOOKUP(B257,'Player Data'!$A1:$AE734,8,FALSE)*$Q257*IFERROR((VLOOKUP(P257,Settings!$E$28:$F$33,2,FALSE)+1),1)</f>
        <v>21.610249240797703</v>
      </c>
      <c r="U257" s="41">
        <f>SUM(S257:T257)</f>
        <v>44.688263089553466</v>
      </c>
      <c r="V257" s="41">
        <f>VLOOKUP(B257,'Player Data'!$A1:$AE734,10,FALSE)*$Q257*IFERROR(((VLOOKUP(P257,Settings!$E$28:$F$33,2,FALSE)/2)+1),1)</f>
        <v>196.92647494014994</v>
      </c>
      <c r="W257" s="41">
        <f>VLOOKUP(B257,'Player Data'!$A1:$AE734,11,FALSE)*$Q257*IFERROR((VLOOKUP(P257,Settings!$E$28:$F$33,2,FALSE)+1),1)</f>
        <v>5.3678080516879092</v>
      </c>
      <c r="X257" s="41">
        <f>VLOOKUP(B257,'Player Data'!$A1:$AE734,12,FALSE)*$Q257*IFERROR((VLOOKUP(P257,Settings!$E$28:$F$33,2,FALSE)+1),1)</f>
        <v>8.3385013862789776</v>
      </c>
      <c r="Y257" s="41">
        <f>VLOOKUP(B257,'Player Data'!$A1:$AE734,13,FALSE)*$Q257</f>
        <v>0.17882446057711562</v>
      </c>
      <c r="Z257" s="41">
        <f>VLOOKUP(B257,'Player Data'!$A1:$AE734,14,FALSE)*$Q257</f>
        <v>0.23587556457519557</v>
      </c>
      <c r="AA257" s="41">
        <f>VLOOKUP(B257,'Player Data'!$A1:$AE734,15,FALSE)*$Q257</f>
        <v>65.628250058742182</v>
      </c>
      <c r="AB257" s="41">
        <f>VLOOKUP(B257,'Player Data'!$A1:$AE734,16,FALSE)*$Q257</f>
        <v>116.66500039402409</v>
      </c>
      <c r="AC257" s="41">
        <f>VLOOKUP(B257,'Player Data'!$A1:$AE734,17,FALSE)*$Q257*IFERROR((VLOOKUP(P257,Settings!$E$28:$F$33,2,FALSE)+1),1)</f>
        <v>-5.7556209851146312</v>
      </c>
      <c r="AD257" s="41">
        <f>VLOOKUP(B257,'Player Data'!$A1:$AE734,18,FALSE)*$Q257</f>
        <v>31.167787918030289</v>
      </c>
      <c r="AE257" s="41">
        <f>VLOOKUP(B257,'Player Data'!$A1:$AE734,19,FALSE)*$Q257*IFERROR((VLOOKUP(P257,Settings!$E$28:$F$33,2,FALSE)+1),1)</f>
        <v>2.4729680803412672</v>
      </c>
      <c r="AF257" s="41">
        <f>VLOOKUP(B257,'Player Data'!$A1:$AE734,20,FALSE)*$Q257</f>
        <v>723.67940869873439</v>
      </c>
      <c r="AG257" s="41">
        <f>VLOOKUP(B257,'Player Data'!$A1:$AE734,21,FALSE)*$Q257</f>
        <v>607.46379947000526</v>
      </c>
      <c r="AH257" s="42">
        <f>VLOOKUP(B257,'Player Data'!$A1:$AE734,22,FALSE)</f>
        <v>0.54365255688326997</v>
      </c>
      <c r="AI257" s="39"/>
      <c r="AJ257" s="43"/>
      <c r="AK257" s="41"/>
      <c r="AL257" s="41"/>
      <c r="AM257" s="41"/>
      <c r="AN257" s="41"/>
      <c r="AO257" s="41"/>
      <c r="AP257" s="41"/>
      <c r="AQ257" s="44"/>
      <c r="AR257" s="45"/>
      <c r="AS257" s="39"/>
    </row>
    <row r="258" spans="1:45" ht="21.25" customHeight="1" x14ac:dyDescent="0.15">
      <c r="A258" s="31">
        <f>RANK(K258,K$2:K$727)</f>
        <v>257</v>
      </c>
      <c r="B258" s="8" t="s">
        <v>362</v>
      </c>
      <c r="C258" s="32" t="s">
        <v>106</v>
      </c>
      <c r="D258" s="33" t="str">
        <f>VLOOKUP(B258,'Player Data'!A1:D734,4,FALSE)</f>
        <v>LW</v>
      </c>
      <c r="E258" s="47">
        <f>VLOOKUP(B258,LW!A1:C130,3,FALSE)</f>
        <v>49</v>
      </c>
      <c r="F258" s="35" t="str">
        <f>VLOOKUP(B258,'Player Data'!A1:B734,2,FALSE)</f>
        <v>PHI</v>
      </c>
      <c r="G258" s="9">
        <f>VLOOKUP(B258,'Player Data'!A1:D734,3,FALSE)</f>
        <v>23</v>
      </c>
      <c r="H258" s="36">
        <f>IFERROR(VLOOKUP(B258,ADP!A1:G728,7,FALSE)/1000000,VLOOKUP(B258,ADP!A1:G728,7,FALSE))</f>
        <v>5</v>
      </c>
      <c r="I258" s="37">
        <f>IF(Settings!$E$15="POINTS",((R258*Q258)*Settings!$B$12)+(S258*Settings!$B$2)+(T258*Settings!$B$3)+(U258*Settings!$B$4)+(V258*Settings!$B$5)+(X258*Settings!$B$9)+(AA258*Settings!$B$6)+(W258*Settings!$B$8)+(AB258*Settings!$B$7)+(AC258*Settings!$B$14)+(AD258*Settings!$B$15)+(AE258*Settings!$B$16)+(AF258*Settings!$B$17)+(AG258*Settings!$B$18)+(Y258*Settings!$B$10)+(Z258*Settings!$B$11),VLOOKUP(B258,'Standard Deviations'!A1:C728,3,FALSE))</f>
        <v>232.35057379035044</v>
      </c>
      <c r="J258" s="38">
        <f>IF(D258="G",I258/AJ258,I258/Q258)</f>
        <v>2.9310891048030556</v>
      </c>
      <c r="K258" s="37">
        <f>IF(Settings!$E$18="C/LW/RW",VLOOKUP(B258,LW!A1:F130,6,FALSE),VLOOKUP(B258,F!A1:F430,6,FALSE))</f>
        <v>-131.69003106730003</v>
      </c>
      <c r="L258" s="37">
        <f>IFERROR(K258/H258,"N/A")</f>
        <v>-26.338006213460005</v>
      </c>
      <c r="M258" s="53" t="str">
        <f>IF(Settings!$E$9="YAHOO",VLOOKUP(B258,ADP!A1:E728,2,FALSE),IF(Settings!$E$9="ESPN",VLOOKUP(B258,ADP!A1:E728,3,FALSE),IF(Settings!$E$9="FANTRAX",VLOOKUP(B258,ADP!A1:E728,4,FALSE),VLOOKUP(B258,ADP!A1:E728,5,FALSE))))</f>
        <v>-</v>
      </c>
      <c r="N258" s="53" t="str">
        <f>IFERROR(M258-A258,"N/A")</f>
        <v>N/A</v>
      </c>
      <c r="O258" s="39"/>
      <c r="P258" s="40" t="str">
        <f>IF(Settings!$E$27="ON",VLOOKUP(B258,ADP!A1:H728,8,FALSE)," ")</f>
        <v xml:space="preserve"> </v>
      </c>
      <c r="Q258" s="41">
        <f>IF(Settings!$E$12="YES",VLOOKUP(B258,'Player Data'!A1:E734,5,FALSE),82)</f>
        <v>79.271071428571403</v>
      </c>
      <c r="R258" s="39">
        <f>VLOOKUP(B258,'Player Data'!$A1:$AE734,6,FALSE)</f>
        <v>17.166990350609701</v>
      </c>
      <c r="S258" s="41">
        <f>VLOOKUP(B258,'Player Data'!$A1:$AE734,7,FALSE)*$Q258*IFERROR((VLOOKUP(P258,Settings!$E$28:$F$33,2,FALSE)+1),1)</f>
        <v>19.94320477617098</v>
      </c>
      <c r="T258" s="41">
        <f>VLOOKUP(B258,'Player Data'!$A1:$AE734,8,FALSE)*$Q258*IFERROR((VLOOKUP(P258,Settings!$E$28:$F$33,2,FALSE)+1),1)</f>
        <v>25.865957983143698</v>
      </c>
      <c r="U258" s="41">
        <f>SUM(S258:T258)</f>
        <v>45.809162759314674</v>
      </c>
      <c r="V258" s="41">
        <f>VLOOKUP(B258,'Player Data'!$A1:$AE734,10,FALSE)*$Q258*IFERROR(((VLOOKUP(P258,Settings!$E$28:$F$33,2,FALSE)/2)+1),1)</f>
        <v>150.83516761396285</v>
      </c>
      <c r="W258" s="41">
        <f>VLOOKUP(B258,'Player Data'!$A1:$AE734,11,FALSE)*$Q258*IFERROR((VLOOKUP(P258,Settings!$E$28:$F$33,2,FALSE)+1),1)</f>
        <v>1.6043746038295568</v>
      </c>
      <c r="X258" s="41">
        <f>VLOOKUP(B258,'Player Data'!$A1:$AE734,12,FALSE)*$Q258*IFERROR((VLOOKUP(P258,Settings!$E$28:$F$33,2,FALSE)+1),1)</f>
        <v>5.1270936860680258</v>
      </c>
      <c r="Y258" s="41">
        <f>VLOOKUP(B258,'Player Data'!$A1:$AE734,13,FALSE)*$Q258</f>
        <v>0.30863080383778063</v>
      </c>
      <c r="Z258" s="41">
        <f>VLOOKUP(B258,'Player Data'!$A1:$AE734,14,FALSE)*$Q258</f>
        <v>0.3785353238809831</v>
      </c>
      <c r="AA258" s="41">
        <f>VLOOKUP(B258,'Player Data'!$A1:$AE734,15,FALSE)*$Q258</f>
        <v>42.471218427634874</v>
      </c>
      <c r="AB258" s="41">
        <f>VLOOKUP(B258,'Player Data'!$A1:$AE734,16,FALSE)*$Q258</f>
        <v>75.064619514038398</v>
      </c>
      <c r="AC258" s="41">
        <f>VLOOKUP(B258,'Player Data'!$A1:$AE734,17,FALSE)*$Q258*IFERROR((VLOOKUP(P258,Settings!$E$28:$F$33,2,FALSE)+1),1)</f>
        <v>-5.1928667421068537</v>
      </c>
      <c r="AD258" s="41">
        <f>VLOOKUP(B258,'Player Data'!$A1:$AE734,18,FALSE)*$Q258</f>
        <v>41.78668342925166</v>
      </c>
      <c r="AE258" s="41">
        <f>VLOOKUP(B258,'Player Data'!$A1:$AE734,19,FALSE)*$Q258*IFERROR((VLOOKUP(P258,Settings!$E$28:$F$33,2,FALSE)+1),1)</f>
        <v>2.3442368169846928</v>
      </c>
      <c r="AF258" s="41">
        <f>VLOOKUP(B258,'Player Data'!$A1:$AE734,20,FALSE)*$Q258</f>
        <v>19.960483634606558</v>
      </c>
      <c r="AG258" s="41">
        <f>VLOOKUP(B258,'Player Data'!$A1:$AE734,21,FALSE)*$Q258</f>
        <v>38.51474652903488</v>
      </c>
      <c r="AH258" s="42">
        <f>VLOOKUP(B258,'Player Data'!$A1:$AE734,22,FALSE)</f>
        <v>0.34134938124651498</v>
      </c>
      <c r="AI258" s="39"/>
      <c r="AJ258" s="43"/>
      <c r="AK258" s="41"/>
      <c r="AL258" s="41"/>
      <c r="AM258" s="41"/>
      <c r="AN258" s="41"/>
      <c r="AO258" s="41"/>
      <c r="AP258" s="41"/>
      <c r="AQ258" s="44"/>
      <c r="AR258" s="45"/>
      <c r="AS258" s="39"/>
    </row>
    <row r="259" spans="1:45" ht="21.25" customHeight="1" x14ac:dyDescent="0.15">
      <c r="A259" s="31">
        <f>RANK(K259,K$2:K$727)</f>
        <v>258</v>
      </c>
      <c r="B259" s="8" t="s">
        <v>363</v>
      </c>
      <c r="C259" s="32" t="s">
        <v>106</v>
      </c>
      <c r="D259" s="33" t="str">
        <f>VLOOKUP(B259,'Player Data'!A1:D734,4,FALSE)</f>
        <v>C</v>
      </c>
      <c r="E259" s="34">
        <f>VLOOKUP(B259,'C'!A1:C211,3,FALSE)</f>
        <v>64</v>
      </c>
      <c r="F259" s="35" t="str">
        <f>VLOOKUP(B259,'Player Data'!A1:B734,2,FALSE)</f>
        <v>DAL</v>
      </c>
      <c r="G259" s="9">
        <f>VLOOKUP(B259,'Player Data'!A1:D734,3,FALSE)</f>
        <v>20</v>
      </c>
      <c r="H259" s="36">
        <f>IFERROR(VLOOKUP(B259,ADP!A1:G728,7,FALSE)/1000000,VLOOKUP(B259,ADP!A1:G728,7,FALSE))</f>
        <v>0.89416700000000005</v>
      </c>
      <c r="I259" s="37">
        <f>IF(Settings!$E$15="POINTS",((R259*Q259)*Settings!$B$12)+(S259*Settings!$B$2)+(T259*Settings!$B$3)+(U259*Settings!$B$4)+(V259*Settings!$B$5)+(X259*Settings!$B$9)+(AA259*Settings!$B$6)+(W259*Settings!$B$8)+(AB259*Settings!$B$7)+(AC259*Settings!$B$14)+(AD259*Settings!$B$15)+(AE259*Settings!$B$16)+(AF259*Settings!$B$17)+(AG259*Settings!$B$18)+(Y259*Settings!$B$10)+(Z259*Settings!$B$11),VLOOKUP(B259,'Standard Deviations'!A1:C728,3,FALSE))</f>
        <v>261.45214284262335</v>
      </c>
      <c r="J259" s="38">
        <f>IF(D259="G",I259/AJ259,I259/Q259)</f>
        <v>3.234592884357582</v>
      </c>
      <c r="K259" s="37">
        <f>IF(Settings!$E$18="C/LW/RW",VLOOKUP(B259,'C'!A1:F211,6,FALSE),VLOOKUP(B259,F!A1:F430,6,FALSE))</f>
        <v>-131.87666292358631</v>
      </c>
      <c r="L259" s="37">
        <f>IFERROR(K259/H259,"N/A")</f>
        <v>-147.48549535331352</v>
      </c>
      <c r="M259" s="53" t="str">
        <f>IF(Settings!$E$9="YAHOO",VLOOKUP(B259,ADP!A1:E728,2,FALSE),IF(Settings!$E$9="ESPN",VLOOKUP(B259,ADP!A1:E728,3,FALSE),IF(Settings!$E$9="FANTRAX",VLOOKUP(B259,ADP!A1:E728,4,FALSE),VLOOKUP(B259,ADP!A1:E728,5,FALSE))))</f>
        <v>-</v>
      </c>
      <c r="N259" s="53" t="str">
        <f>IFERROR(M259-A259,"N/A")</f>
        <v>N/A</v>
      </c>
      <c r="O259" s="39"/>
      <c r="P259" s="40" t="str">
        <f>IF(Settings!$E$27="ON",VLOOKUP(B259,ADP!A1:H728,8,FALSE)," ")</f>
        <v>+</v>
      </c>
      <c r="Q259" s="41">
        <f>IF(Settings!$E$12="YES",VLOOKUP(B259,'Player Data'!A1:E734,5,FALSE),82)</f>
        <v>80.83</v>
      </c>
      <c r="R259" s="39">
        <f>VLOOKUP(B259,'Player Data'!$A1:$AE734,6,FALSE)</f>
        <v>16.282738376672199</v>
      </c>
      <c r="S259" s="41">
        <f>VLOOKUP(B259,'Player Data'!$A1:$AE734,7,FALSE)*$Q259*IFERROR((VLOOKUP(P259,Settings!$E$28:$F$33,2,FALSE)+1),1)</f>
        <v>26.671271269207018</v>
      </c>
      <c r="T259" s="41">
        <f>VLOOKUP(B259,'Player Data'!$A1:$AE734,8,FALSE)*$Q259*IFERROR((VLOOKUP(P259,Settings!$E$28:$F$33,2,FALSE)+1),1)</f>
        <v>23.550528107106821</v>
      </c>
      <c r="U259" s="41">
        <f>SUM(S259:T259)</f>
        <v>50.22179937631384</v>
      </c>
      <c r="V259" s="41">
        <f>VLOOKUP(B259,'Player Data'!$A1:$AE734,10,FALSE)*$Q259*IFERROR(((VLOOKUP(P259,Settings!$E$28:$F$33,2,FALSE)/2)+1),1)</f>
        <v>169.82028773392906</v>
      </c>
      <c r="W259" s="41">
        <f>VLOOKUP(B259,'Player Data'!$A1:$AE734,11,FALSE)*$Q259*IFERROR((VLOOKUP(P259,Settings!$E$28:$F$33,2,FALSE)+1),1)</f>
        <v>3.8431696688954542</v>
      </c>
      <c r="X259" s="41">
        <f>VLOOKUP(B259,'Player Data'!$A1:$AE734,12,FALSE)*$Q259*IFERROR((VLOOKUP(P259,Settings!$E$28:$F$33,2,FALSE)+1),1)</f>
        <v>9.2978185030000304</v>
      </c>
      <c r="Y259" s="41">
        <f>VLOOKUP(B259,'Player Data'!$A1:$AE734,13,FALSE)*$Q259</f>
        <v>0.17802862901145181</v>
      </c>
      <c r="Z259" s="41">
        <f>VLOOKUP(B259,'Player Data'!$A1:$AE734,14,FALSE)*$Q259</f>
        <v>0.32888973118415332</v>
      </c>
      <c r="AA259" s="41">
        <f>VLOOKUP(B259,'Player Data'!$A1:$AE734,15,FALSE)*$Q259</f>
        <v>33.115921891744598</v>
      </c>
      <c r="AB259" s="41">
        <f>VLOOKUP(B259,'Player Data'!$A1:$AE734,16,FALSE)*$Q259</f>
        <v>31.914360248079923</v>
      </c>
      <c r="AC259" s="41">
        <f>VLOOKUP(B259,'Player Data'!$A1:$AE734,17,FALSE)*$Q259*IFERROR((VLOOKUP(P259,Settings!$E$28:$F$33,2,FALSE)+1),1)</f>
        <v>5.5396139121633761</v>
      </c>
      <c r="AD259" s="41">
        <f>VLOOKUP(B259,'Player Data'!$A1:$AE734,18,FALSE)*$Q259</f>
        <v>24.543652691031454</v>
      </c>
      <c r="AE259" s="41">
        <f>VLOOKUP(B259,'Player Data'!$A1:$AE734,19,FALSE)*$Q259*IFERROR((VLOOKUP(P259,Settings!$E$28:$F$33,2,FALSE)+1),1)</f>
        <v>4.2672143289786169</v>
      </c>
      <c r="AF259" s="41">
        <f>VLOOKUP(B259,'Player Data'!$A1:$AE734,20,FALSE)*$Q259</f>
        <v>150.3264220031742</v>
      </c>
      <c r="AG259" s="41">
        <f>VLOOKUP(B259,'Player Data'!$A1:$AE734,21,FALSE)*$Q259</f>
        <v>196.97944952140108</v>
      </c>
      <c r="AH259" s="42">
        <f>VLOOKUP(B259,'Player Data'!$A1:$AE734,22,FALSE)</f>
        <v>0.43283582089552203</v>
      </c>
      <c r="AI259" s="39"/>
      <c r="AJ259" s="43"/>
      <c r="AK259" s="41"/>
      <c r="AL259" s="41"/>
      <c r="AM259" s="41"/>
      <c r="AN259" s="41"/>
      <c r="AO259" s="41"/>
      <c r="AP259" s="41"/>
      <c r="AQ259" s="44"/>
      <c r="AR259" s="45"/>
      <c r="AS259" s="39"/>
    </row>
    <row r="260" spans="1:45" ht="21.25" customHeight="1" x14ac:dyDescent="0.15">
      <c r="A260" s="31">
        <f>RANK(K260,K$2:K$727)</f>
        <v>259</v>
      </c>
      <c r="B260" s="8" t="s">
        <v>364</v>
      </c>
      <c r="C260" s="32" t="s">
        <v>106</v>
      </c>
      <c r="D260" s="33" t="str">
        <f>VLOOKUP(B260,'Player Data'!A1:D734,4,FALSE)</f>
        <v>C</v>
      </c>
      <c r="E260" s="34">
        <f>VLOOKUP(B260,'C'!A1:C211,3,FALSE)</f>
        <v>65</v>
      </c>
      <c r="F260" s="35" t="str">
        <f>VLOOKUP(B260,'Player Data'!A1:B734,2,FALSE)</f>
        <v>CBJ</v>
      </c>
      <c r="G260" s="9">
        <f>VLOOKUP(B260,'Player Data'!A1:D734,3,FALSE)</f>
        <v>20</v>
      </c>
      <c r="H260" s="36">
        <f>IFERROR(VLOOKUP(B260,ADP!A1:G728,7,FALSE)/1000000,VLOOKUP(B260,ADP!A1:G728,7,FALSE))</f>
        <v>0.92500000000000004</v>
      </c>
      <c r="I260" s="37">
        <f>IF(Settings!$E$15="POINTS",((R260*Q260)*Settings!$B$12)+(S260*Settings!$B$2)+(T260*Settings!$B$3)+(U260*Settings!$B$4)+(V260*Settings!$B$5)+(X260*Settings!$B$9)+(AA260*Settings!$B$6)+(W260*Settings!$B$8)+(AB260*Settings!$B$7)+(AC260*Settings!$B$14)+(AD260*Settings!$B$15)+(AE260*Settings!$B$16)+(AF260*Settings!$B$17)+(AG260*Settings!$B$18)+(Y260*Settings!$B$10)+(Z260*Settings!$B$11),VLOOKUP(B260,'Standard Deviations'!A1:C728,3,FALSE))</f>
        <v>260.90760995895317</v>
      </c>
      <c r="J260" s="38">
        <f>IF(D260="G",I260/AJ260,I260/Q260)</f>
        <v>3.229654143206699</v>
      </c>
      <c r="K260" s="37">
        <f>IF(Settings!$E$18="C/LW/RW",VLOOKUP(B260,'C'!A1:F211,6,FALSE),VLOOKUP(B260,F!A1:F430,6,FALSE))</f>
        <v>-132.42119580725648</v>
      </c>
      <c r="L260" s="37">
        <f>IFERROR(K260/H260,"N/A")</f>
        <v>-143.15804952135835</v>
      </c>
      <c r="M260" s="53" t="str">
        <f>IF(Settings!$E$9="YAHOO",VLOOKUP(B260,ADP!A1:E728,2,FALSE),IF(Settings!$E$9="ESPN",VLOOKUP(B260,ADP!A1:E728,3,FALSE),IF(Settings!$E$9="FANTRAX",VLOOKUP(B260,ADP!A1:E728,4,FALSE),VLOOKUP(B260,ADP!A1:E728,5,FALSE))))</f>
        <v>-</v>
      </c>
      <c r="N260" s="53" t="str">
        <f>IFERROR(M260-A260,"N/A")</f>
        <v>N/A</v>
      </c>
      <c r="O260" s="39"/>
      <c r="P260" s="40" t="str">
        <f>IF(Settings!$E$27="ON",VLOOKUP(B260,ADP!A1:H728,8,FALSE)," ")</f>
        <v>+</v>
      </c>
      <c r="Q260" s="41">
        <f>IF(Settings!$E$12="YES",VLOOKUP(B260,'Player Data'!A1:E734,5,FALSE),82)</f>
        <v>80.784999999999997</v>
      </c>
      <c r="R260" s="39">
        <f>VLOOKUP(B260,'Player Data'!$A1:$AE734,6,FALSE)</f>
        <v>15.947180340111601</v>
      </c>
      <c r="S260" s="41">
        <f>VLOOKUP(B260,'Player Data'!$A1:$AE734,7,FALSE)*$Q260*IFERROR((VLOOKUP(P260,Settings!$E$28:$F$33,2,FALSE)+1),1)</f>
        <v>20.263337116699088</v>
      </c>
      <c r="T260" s="41">
        <f>VLOOKUP(B260,'Player Data'!$A1:$AE734,8,FALSE)*$Q260*IFERROR((VLOOKUP(P260,Settings!$E$28:$F$33,2,FALSE)+1),1)</f>
        <v>30.2438057274282</v>
      </c>
      <c r="U260" s="41">
        <f>SUM(S260:T260)</f>
        <v>50.507142844127287</v>
      </c>
      <c r="V260" s="41">
        <f>VLOOKUP(B260,'Player Data'!$A1:$AE734,10,FALSE)*$Q260*IFERROR(((VLOOKUP(P260,Settings!$E$28:$F$33,2,FALSE)/2)+1),1)</f>
        <v>146.87423180430767</v>
      </c>
      <c r="W260" s="41">
        <f>VLOOKUP(B260,'Player Data'!$A1:$AE734,11,FALSE)*$Q260*IFERROR((VLOOKUP(P260,Settings!$E$28:$F$33,2,FALSE)+1),1)</f>
        <v>4.7892343389363985</v>
      </c>
      <c r="X260" s="41">
        <f>VLOOKUP(B260,'Player Data'!$A1:$AE734,12,FALSE)*$Q260*IFERROR((VLOOKUP(P260,Settings!$E$28:$F$33,2,FALSE)+1),1)</f>
        <v>14.657287603574973</v>
      </c>
      <c r="Y260" s="41">
        <f>VLOOKUP(B260,'Player Data'!$A1:$AE734,13,FALSE)*$Q260</f>
        <v>4.5552658001096263E-3</v>
      </c>
      <c r="Z260" s="41">
        <f>VLOOKUP(B260,'Player Data'!$A1:$AE734,14,FALSE)*$Q260</f>
        <v>8.2384107186041396E-3</v>
      </c>
      <c r="AA260" s="41">
        <f>VLOOKUP(B260,'Player Data'!$A1:$AE734,15,FALSE)*$Q260</f>
        <v>33.090067479151685</v>
      </c>
      <c r="AB260" s="41">
        <f>VLOOKUP(B260,'Player Data'!$A1:$AE734,16,FALSE)*$Q260</f>
        <v>28.08615743799071</v>
      </c>
      <c r="AC260" s="41">
        <f>VLOOKUP(B260,'Player Data'!$A1:$AE734,17,FALSE)*$Q260*IFERROR((VLOOKUP(P260,Settings!$E$28:$F$33,2,FALSE)+1),1)</f>
        <v>-6.1744623090663682</v>
      </c>
      <c r="AD260" s="41">
        <f>VLOOKUP(B260,'Player Data'!$A1:$AE734,18,FALSE)*$Q260</f>
        <v>21.298515099017493</v>
      </c>
      <c r="AE260" s="41">
        <f>VLOOKUP(B260,'Player Data'!$A1:$AE734,19,FALSE)*$Q260*IFERROR((VLOOKUP(P260,Settings!$E$28:$F$33,2,FALSE)+1),1)</f>
        <v>2.1713560889250023</v>
      </c>
      <c r="AF260" s="41">
        <f>VLOOKUP(B260,'Player Data'!$A1:$AE734,20,FALSE)*$Q260</f>
        <v>41.767894049268925</v>
      </c>
      <c r="AG260" s="41">
        <f>VLOOKUP(B260,'Player Data'!$A1:$AE734,21,FALSE)*$Q260</f>
        <v>111.30407706293123</v>
      </c>
      <c r="AH260" s="42">
        <f>VLOOKUP(B260,'Player Data'!$A1:$AE734,22,FALSE)</f>
        <v>0.27286441629900798</v>
      </c>
      <c r="AI260" s="39"/>
      <c r="AJ260" s="43"/>
      <c r="AK260" s="41"/>
      <c r="AL260" s="41"/>
      <c r="AM260" s="41"/>
      <c r="AN260" s="41"/>
      <c r="AO260" s="41"/>
      <c r="AP260" s="41"/>
      <c r="AQ260" s="44"/>
      <c r="AR260" s="45"/>
      <c r="AS260" s="39"/>
    </row>
    <row r="261" spans="1:45" ht="21.25" customHeight="1" x14ac:dyDescent="0.15">
      <c r="A261" s="31">
        <f>RANK(K261,K$2:K$727)</f>
        <v>260</v>
      </c>
      <c r="B261" s="8" t="s">
        <v>365</v>
      </c>
      <c r="C261" s="32" t="s">
        <v>106</v>
      </c>
      <c r="D261" s="33" t="str">
        <f>VLOOKUP(B261,'Player Data'!A1:D734,4,FALSE)</f>
        <v>LW</v>
      </c>
      <c r="E261" s="47">
        <f>VLOOKUP(B261,LW!A1:C130,3,FALSE)</f>
        <v>50</v>
      </c>
      <c r="F261" s="35" t="str">
        <f>VLOOKUP(B261,'Player Data'!A1:B734,2,FALSE)</f>
        <v>OTT</v>
      </c>
      <c r="G261" s="9">
        <f>VLOOKUP(B261,'Player Data'!A1:D734,3,FALSE)</f>
        <v>27</v>
      </c>
      <c r="H261" s="36">
        <f>IFERROR(VLOOKUP(B261,ADP!A1:G728,7,FALSE)/1000000,VLOOKUP(B261,ADP!A1:G728,7,FALSE))</f>
        <v>2.5</v>
      </c>
      <c r="I261" s="37">
        <f>IF(Settings!$E$15="POINTS",((R261*Q261)*Settings!$B$12)+(S261*Settings!$B$2)+(T261*Settings!$B$3)+(U261*Settings!$B$4)+(V261*Settings!$B$5)+(X261*Settings!$B$9)+(AA261*Settings!$B$6)+(W261*Settings!$B$8)+(AB261*Settings!$B$7)+(AC261*Settings!$B$14)+(AD261*Settings!$B$15)+(AE261*Settings!$B$16)+(AF261*Settings!$B$17)+(AG261*Settings!$B$18)+(Y261*Settings!$B$10)+(Z261*Settings!$B$11),VLOOKUP(B261,'Standard Deviations'!A1:C728,3,FALSE))</f>
        <v>231.50808315538004</v>
      </c>
      <c r="J261" s="38">
        <f>IF(D261="G",I261/AJ261,I261/Q261)</f>
        <v>2.8474903373866738</v>
      </c>
      <c r="K261" s="37">
        <f>IF(Settings!$E$18="C/LW/RW",VLOOKUP(B261,LW!A1:F130,6,FALSE),VLOOKUP(B261,F!A1:F430,6,FALSE))</f>
        <v>-132.53252170227043</v>
      </c>
      <c r="L261" s="37">
        <f>IFERROR(K261/H261,"N/A")</f>
        <v>-53.013008680908172</v>
      </c>
      <c r="M261" s="39">
        <f>IF(Settings!$E$9="YAHOO",VLOOKUP(B261,ADP!A1:E728,2,FALSE),IF(Settings!$E$9="ESPN",VLOOKUP(B261,ADP!A1:E728,3,FALSE),IF(Settings!$E$9="FANTRAX",VLOOKUP(B261,ADP!A1:E728,4,FALSE),VLOOKUP(B261,ADP!A1:E728,5,FALSE))))</f>
        <v>180.3</v>
      </c>
      <c r="N261" s="39">
        <f>IFERROR(M261-A261,"N/A")</f>
        <v>-79.699999999999989</v>
      </c>
      <c r="O261" s="39"/>
      <c r="P261" s="40" t="str">
        <f>IF(Settings!$E$27="ON",VLOOKUP(B261,ADP!A1:H728,8,FALSE)," ")</f>
        <v xml:space="preserve"> </v>
      </c>
      <c r="Q261" s="41">
        <f>IF(Settings!$E$12="YES",VLOOKUP(B261,'Player Data'!A1:E734,5,FALSE),82)</f>
        <v>81.302499999999995</v>
      </c>
      <c r="R261" s="39">
        <f>VLOOKUP(B261,'Player Data'!$A1:$AE734,6,FALSE)</f>
        <v>14.2950883828788</v>
      </c>
      <c r="S261" s="41">
        <f>VLOOKUP(B261,'Player Data'!$A1:$AE734,7,FALSE)*$Q261*IFERROR((VLOOKUP(P261,Settings!$E$28:$F$33,2,FALSE)+1),1)</f>
        <v>17.732022489852728</v>
      </c>
      <c r="T261" s="41">
        <f>VLOOKUP(B261,'Player Data'!$A1:$AE734,8,FALSE)*$Q261*IFERROR((VLOOKUP(P261,Settings!$E$28:$F$33,2,FALSE)+1),1)</f>
        <v>21.991733751512577</v>
      </c>
      <c r="U261" s="41">
        <f>SUM(S261:T261)</f>
        <v>39.723756241365308</v>
      </c>
      <c r="V261" s="41">
        <f>VLOOKUP(B261,'Player Data'!$A1:$AE734,10,FALSE)*$Q261*IFERROR(((VLOOKUP(P261,Settings!$E$28:$F$33,2,FALSE)/2)+1),1)</f>
        <v>165.31764532354853</v>
      </c>
      <c r="W261" s="41">
        <f>VLOOKUP(B261,'Player Data'!$A1:$AE734,11,FALSE)*$Q261*IFERROR((VLOOKUP(P261,Settings!$E$28:$F$33,2,FALSE)+1),1)</f>
        <v>4.5023114709011773</v>
      </c>
      <c r="X261" s="41">
        <f>VLOOKUP(B261,'Player Data'!$A1:$AE734,12,FALSE)*$Q261*IFERROR((VLOOKUP(P261,Settings!$E$28:$F$33,2,FALSE)+1),1)</f>
        <v>12.040227306156948</v>
      </c>
      <c r="Y261" s="41">
        <f>VLOOKUP(B261,'Player Data'!$A1:$AE734,13,FALSE)*$Q261</f>
        <v>2.3884513159325552E-2</v>
      </c>
      <c r="Z261" s="41">
        <f>VLOOKUP(B261,'Player Data'!$A1:$AE734,14,FALSE)*$Q261</f>
        <v>4.3785005085198843E-2</v>
      </c>
      <c r="AA261" s="41">
        <f>VLOOKUP(B261,'Player Data'!$A1:$AE734,15,FALSE)*$Q261</f>
        <v>27.549835735127871</v>
      </c>
      <c r="AB261" s="41">
        <f>VLOOKUP(B261,'Player Data'!$A1:$AE734,16,FALSE)*$Q261</f>
        <v>89.064333931104045</v>
      </c>
      <c r="AC261" s="41">
        <f>VLOOKUP(B261,'Player Data'!$A1:$AE734,17,FALSE)*$Q261*IFERROR((VLOOKUP(P261,Settings!$E$28:$F$33,2,FALSE)+1),1)</f>
        <v>0.81453841946435501</v>
      </c>
      <c r="AD261" s="41">
        <f>VLOOKUP(B261,'Player Data'!$A1:$AE734,18,FALSE)*$Q261</f>
        <v>22.612230725044693</v>
      </c>
      <c r="AE261" s="41">
        <f>VLOOKUP(B261,'Player Data'!$A1:$AE734,19,FALSE)*$Q261*IFERROR((VLOOKUP(P261,Settings!$E$28:$F$33,2,FALSE)+1),1)</f>
        <v>2.4629945856382331</v>
      </c>
      <c r="AF261" s="41">
        <f>VLOOKUP(B261,'Player Data'!$A1:$AE734,20,FALSE)*$Q261</f>
        <v>10.320073423174577</v>
      </c>
      <c r="AG261" s="41">
        <f>VLOOKUP(B261,'Player Data'!$A1:$AE734,21,FALSE)*$Q261</f>
        <v>18.18513917419542</v>
      </c>
      <c r="AH261" s="42">
        <f>VLOOKUP(B261,'Player Data'!$A1:$AE734,22,FALSE)</f>
        <v>0.36204162266541901</v>
      </c>
      <c r="AI261" s="39"/>
      <c r="AJ261" s="43"/>
      <c r="AK261" s="41"/>
      <c r="AL261" s="41"/>
      <c r="AM261" s="41"/>
      <c r="AN261" s="41"/>
      <c r="AO261" s="41"/>
      <c r="AP261" s="41"/>
      <c r="AQ261" s="44"/>
      <c r="AR261" s="45"/>
      <c r="AS261" s="43"/>
    </row>
    <row r="262" spans="1:45" ht="21.25" customHeight="1" x14ac:dyDescent="0.15">
      <c r="A262" s="31">
        <f>RANK(K262,K$2:K$727)</f>
        <v>261</v>
      </c>
      <c r="B262" s="8" t="s">
        <v>366</v>
      </c>
      <c r="C262" s="32" t="s">
        <v>106</v>
      </c>
      <c r="D262" s="33" t="str">
        <f>VLOOKUP(B262,'Player Data'!A1:D734,4,FALSE)</f>
        <v>D</v>
      </c>
      <c r="E262" s="49">
        <f>VLOOKUP(B262,D!A1:C227,3,FALSE)</f>
        <v>75</v>
      </c>
      <c r="F262" s="35" t="str">
        <f>VLOOKUP(B262,'Player Data'!A1:B734,2,FALSE)</f>
        <v>PHI</v>
      </c>
      <c r="G262" s="9">
        <f>VLOOKUP(B262,'Player Data'!A1:D734,3,FALSE)</f>
        <v>27</v>
      </c>
      <c r="H262" s="36">
        <f>IFERROR(VLOOKUP(B262,ADP!A1:G728,7,FALSE)/1000000,VLOOKUP(B262,ADP!A1:G728,7,FALSE))</f>
        <v>6.25</v>
      </c>
      <c r="I262" s="37">
        <f>IF(Settings!$E$15="POINTS",((R262*Q262)*Settings!$B$12)+(S262*Settings!$B$2)+(T262*Settings!$B$3)+(U262*Settings!$B$4)+(V262*Settings!$B$5)+(X262*Settings!$B$9)+(AA262*Settings!$B$6)+(W262*Settings!$B$8)+(AB262*Settings!$B$7)+(AC262*Settings!$B$14)+(AD262*Settings!$B$15)+(AE262*Settings!$B$16)+(AF262*Settings!$B$17)+(AG262*Settings!$B$18)+(U262*Settings!$B$13)+(Y262*Settings!$B$10)+(Z262*Settings!$B$11),VLOOKUP(B262,'Standard Deviations'!A1:C728,3,FALSE))</f>
        <v>176.82156181873248</v>
      </c>
      <c r="J262" s="38">
        <f>IF(D262="G",I262/AJ262,I262/Q262)</f>
        <v>2.1714261978467815</v>
      </c>
      <c r="K262" s="37">
        <f>VLOOKUP(B262,D!A1:F227,6,FALSE)</f>
        <v>-134.74391980919498</v>
      </c>
      <c r="L262" s="37">
        <f>IFERROR(K262/H262,"N/A")</f>
        <v>-21.559027169471197</v>
      </c>
      <c r="M262" s="53" t="str">
        <f>IF(Settings!$E$9="YAHOO",VLOOKUP(B262,ADP!A1:E728,2,FALSE),IF(Settings!$E$9="ESPN",VLOOKUP(B262,ADP!A1:E728,3,FALSE),IF(Settings!$E$9="FANTRAX",VLOOKUP(B262,ADP!A1:E728,4,FALSE),VLOOKUP(B262,ADP!A1:E728,5,FALSE))))</f>
        <v>-</v>
      </c>
      <c r="N262" s="53" t="str">
        <f>IFERROR(M262-A262,"N/A")</f>
        <v>N/A</v>
      </c>
      <c r="O262" s="39"/>
      <c r="P262" s="40" t="str">
        <f>IF(Settings!$E$27="ON",VLOOKUP(B262,ADP!A1:H728,8,FALSE)," ")</f>
        <v xml:space="preserve"> </v>
      </c>
      <c r="Q262" s="41">
        <f>IF(Settings!$E$12="YES",VLOOKUP(B262,'Player Data'!A1:E734,5,FALSE),82)</f>
        <v>81.4310714285714</v>
      </c>
      <c r="R262" s="39">
        <f>VLOOKUP(B262,'Player Data'!$A1:$AE734,6,FALSE)</f>
        <v>21.562490076345298</v>
      </c>
      <c r="S262" s="41">
        <f>VLOOKUP(B262,'Player Data'!$A1:$AE734,7,FALSE)*$Q262*IFERROR((VLOOKUP(P262,Settings!$E$28:$F$33,2,FALSE)+1),1)</f>
        <v>6.9200374862342944</v>
      </c>
      <c r="T262" s="41">
        <f>VLOOKUP(B262,'Player Data'!$A1:$AE734,8,FALSE)*$Q262*IFERROR((VLOOKUP(P262,Settings!$E$28:$F$33,2,FALSE)+1),1)</f>
        <v>21.210322369531337</v>
      </c>
      <c r="U262" s="41">
        <f>SUM(S262:T262)</f>
        <v>28.130359855765633</v>
      </c>
      <c r="V262" s="41">
        <f>VLOOKUP(B262,'Player Data'!$A1:$AE734,10,FALSE)*$Q262*IFERROR(((VLOOKUP(P262,Settings!$E$28:$F$33,2,FALSE)/2)+1),1)</f>
        <v>123.17684877055649</v>
      </c>
      <c r="W262" s="41">
        <f>VLOOKUP(B262,'Player Data'!$A1:$AE734,11,FALSE)*$Q262*IFERROR((VLOOKUP(P262,Settings!$E$28:$F$33,2,FALSE)+1),1)</f>
        <v>0.10436338327299056</v>
      </c>
      <c r="X262" s="41">
        <f>VLOOKUP(B262,'Player Data'!$A1:$AE734,12,FALSE)*$Q262*IFERROR((VLOOKUP(P262,Settings!$E$28:$F$33,2,FALSE)+1),1)</f>
        <v>1.0607358463057053</v>
      </c>
      <c r="Y262" s="41">
        <f>VLOOKUP(B262,'Player Data'!$A1:$AE734,13,FALSE)*$Q262</f>
        <v>0.48814437768063063</v>
      </c>
      <c r="Z262" s="41">
        <f>VLOOKUP(B262,'Player Data'!$A1:$AE734,14,FALSE)*$Q262</f>
        <v>0.58182823196076194</v>
      </c>
      <c r="AA262" s="41">
        <f>VLOOKUP(B262,'Player Data'!$A1:$AE734,15,FALSE)*$Q262</f>
        <v>137.78464854812205</v>
      </c>
      <c r="AB262" s="41">
        <f>VLOOKUP(B262,'Player Data'!$A1:$AE734,16,FALSE)*$Q262</f>
        <v>69.814606165786657</v>
      </c>
      <c r="AC262" s="41">
        <f>VLOOKUP(B262,'Player Data'!$A1:$AE734,17,FALSE)*$Q262*IFERROR((VLOOKUP(P262,Settings!$E$28:$F$33,2,FALSE)+1),1)</f>
        <v>-5.8075331497846143</v>
      </c>
      <c r="AD262" s="41">
        <f>VLOOKUP(B262,'Player Data'!$A1:$AE734,18,FALSE)*$Q262</f>
        <v>38.119550475084772</v>
      </c>
      <c r="AE262" s="41">
        <f>VLOOKUP(B262,'Player Data'!$A1:$AE734,19,FALSE)*$Q262*IFERROR((VLOOKUP(P262,Settings!$E$28:$F$33,2,FALSE)+1),1)</f>
        <v>0.81342025177054933</v>
      </c>
      <c r="AF262" s="41">
        <f>VLOOKUP(B262,'Player Data'!$A1:$AE734,20,FALSE)*$Q262</f>
        <v>0</v>
      </c>
      <c r="AG262" s="41">
        <f>VLOOKUP(B262,'Player Data'!$A1:$AE734,21,FALSE)*$Q262</f>
        <v>0</v>
      </c>
      <c r="AH262" s="42">
        <f>VLOOKUP(B262,'Player Data'!$A1:$AE734,22,FALSE)</f>
        <v>0</v>
      </c>
      <c r="AI262" s="39"/>
      <c r="AJ262" s="43"/>
      <c r="AK262" s="41"/>
      <c r="AL262" s="41"/>
      <c r="AM262" s="41"/>
      <c r="AN262" s="41"/>
      <c r="AO262" s="41"/>
      <c r="AP262" s="41"/>
      <c r="AQ262" s="44"/>
      <c r="AR262" s="45"/>
      <c r="AS262" s="39"/>
    </row>
    <row r="263" spans="1:45" ht="21.25" customHeight="1" x14ac:dyDescent="0.15">
      <c r="A263" s="31">
        <f>RANK(K263,K$2:K$727)</f>
        <v>262</v>
      </c>
      <c r="B263" s="8" t="s">
        <v>367</v>
      </c>
      <c r="C263" s="32" t="s">
        <v>106</v>
      </c>
      <c r="D263" s="33" t="str">
        <f>VLOOKUP(B263,'Player Data'!A1:D734,4,FALSE)</f>
        <v>D</v>
      </c>
      <c r="E263" s="49">
        <f>VLOOKUP(B263,D!A1:C227,3,FALSE)</f>
        <v>76</v>
      </c>
      <c r="F263" s="35" t="str">
        <f>VLOOKUP(B263,'Player Data'!A1:B734,2,FALSE)</f>
        <v>COL</v>
      </c>
      <c r="G263" s="9">
        <f>VLOOKUP(B263,'Player Data'!A1:D734,3,FALSE)</f>
        <v>22</v>
      </c>
      <c r="H263" s="36">
        <f>IFERROR(VLOOKUP(B263,ADP!A1:G728,7,FALSE)/1000000,VLOOKUP(B263,ADP!A1:G728,7,FALSE))</f>
        <v>3.85</v>
      </c>
      <c r="I263" s="37">
        <f>IF(Settings!$E$15="POINTS",((R263*Q263)*Settings!$B$12)+(S263*Settings!$B$2)+(T263*Settings!$B$3)+(U263*Settings!$B$4)+(V263*Settings!$B$5)+(X263*Settings!$B$9)+(AA263*Settings!$B$6)+(W263*Settings!$B$8)+(AB263*Settings!$B$7)+(AC263*Settings!$B$14)+(AD263*Settings!$B$15)+(AE263*Settings!$B$16)+(AF263*Settings!$B$17)+(AG263*Settings!$B$18)+(U263*Settings!$B$13)+(Y263*Settings!$B$10)+(Z263*Settings!$B$11),VLOOKUP(B263,'Standard Deviations'!A1:C728,3,FALSE))</f>
        <v>176.32508144132476</v>
      </c>
      <c r="J263" s="38">
        <f>IF(D263="G",I263/AJ263,I263/Q263)</f>
        <v>2.7548641737571247</v>
      </c>
      <c r="K263" s="37">
        <f>VLOOKUP(B263,D!A1:F227,6,FALSE)</f>
        <v>-135.2404001866027</v>
      </c>
      <c r="L263" s="37">
        <f>IFERROR(K263/H263,"N/A")</f>
        <v>-35.127376671844857</v>
      </c>
      <c r="M263" s="39">
        <f>IF(Settings!$E$9="YAHOO",VLOOKUP(B263,ADP!A1:E728,2,FALSE),IF(Settings!$E$9="ESPN",VLOOKUP(B263,ADP!A1:E728,3,FALSE),IF(Settings!$E$9="FANTRAX",VLOOKUP(B263,ADP!A1:E728,4,FALSE),VLOOKUP(B263,ADP!A1:E728,5,FALSE))))</f>
        <v>164.7</v>
      </c>
      <c r="N263" s="39">
        <f>IFERROR(M263-A263,"N/A")</f>
        <v>-97.300000000000011</v>
      </c>
      <c r="O263" s="39"/>
      <c r="P263" s="40" t="str">
        <f>IF(Settings!$E$27="ON",VLOOKUP(B263,ADP!A1:H728,8,FALSE)," ")</f>
        <v xml:space="preserve"> </v>
      </c>
      <c r="Q263" s="41">
        <f>IF(Settings!$E$12="YES",VLOOKUP(B263,'Player Data'!A1:E734,5,FALSE),82)</f>
        <v>64.004999999999995</v>
      </c>
      <c r="R263" s="39">
        <f>VLOOKUP(B263,'Player Data'!$A1:$AE734,6,FALSE)</f>
        <v>20.4503001873904</v>
      </c>
      <c r="S263" s="41">
        <f>VLOOKUP(B263,'Player Data'!$A1:$AE734,7,FALSE)*$Q263*IFERROR((VLOOKUP(P263,Settings!$E$28:$F$33,2,FALSE)+1),1)</f>
        <v>10.472070546553724</v>
      </c>
      <c r="T263" s="41">
        <f>VLOOKUP(B263,'Player Data'!$A1:$AE734,8,FALSE)*$Q263*IFERROR((VLOOKUP(P263,Settings!$E$28:$F$33,2,FALSE)+1),1)</f>
        <v>21.582364766187265</v>
      </c>
      <c r="U263" s="41">
        <f>SUM(S263:T263)</f>
        <v>32.054435312740992</v>
      </c>
      <c r="V263" s="41">
        <f>VLOOKUP(B263,'Player Data'!$A1:$AE734,10,FALSE)*$Q263*IFERROR(((VLOOKUP(P263,Settings!$E$28:$F$33,2,FALSE)/2)+1),1)</f>
        <v>98.231707446885792</v>
      </c>
      <c r="W263" s="41">
        <f>VLOOKUP(B263,'Player Data'!$A1:$AE734,11,FALSE)*$Q263*IFERROR((VLOOKUP(P263,Settings!$E$28:$F$33,2,FALSE)+1),1)</f>
        <v>2.1882623593668566</v>
      </c>
      <c r="X263" s="41">
        <f>VLOOKUP(B263,'Player Data'!$A1:$AE734,12,FALSE)*$Q263*IFERROR((VLOOKUP(P263,Settings!$E$28:$F$33,2,FALSE)+1),1)</f>
        <v>6.6121861944271139</v>
      </c>
      <c r="Y263" s="41">
        <f>VLOOKUP(B263,'Player Data'!$A1:$AE734,13,FALSE)*$Q263</f>
        <v>0.61345372715145408</v>
      </c>
      <c r="Z263" s="41">
        <f>VLOOKUP(B263,'Player Data'!$A1:$AE734,14,FALSE)*$Q263</f>
        <v>0.72549000721050516</v>
      </c>
      <c r="AA263" s="41">
        <f>VLOOKUP(B263,'Player Data'!$A1:$AE734,15,FALSE)*$Q263</f>
        <v>81.852846881918268</v>
      </c>
      <c r="AB263" s="41">
        <f>VLOOKUP(B263,'Player Data'!$A1:$AE734,16,FALSE)*$Q263</f>
        <v>110.84859836630254</v>
      </c>
      <c r="AC263" s="41">
        <f>VLOOKUP(B263,'Player Data'!$A1:$AE734,17,FALSE)*$Q263*IFERROR((VLOOKUP(P263,Settings!$E$28:$F$33,2,FALSE)+1),1)</f>
        <v>2.53123081264282</v>
      </c>
      <c r="AD263" s="41">
        <f>VLOOKUP(B263,'Player Data'!$A1:$AE734,18,FALSE)*$Q263</f>
        <v>46.718929476563481</v>
      </c>
      <c r="AE263" s="41">
        <f>VLOOKUP(B263,'Player Data'!$A1:$AE734,19,FALSE)*$Q263*IFERROR((VLOOKUP(P263,Settings!$E$28:$F$33,2,FALSE)+1),1)</f>
        <v>1.656839340427783</v>
      </c>
      <c r="AF263" s="41">
        <f>VLOOKUP(B263,'Player Data'!$A1:$AE734,20,FALSE)*$Q263</f>
        <v>0</v>
      </c>
      <c r="AG263" s="41">
        <f>VLOOKUP(B263,'Player Data'!$A1:$AE734,21,FALSE)*$Q263</f>
        <v>0</v>
      </c>
      <c r="AH263" s="42">
        <f>VLOOKUP(B263,'Player Data'!$A1:$AE734,22,FALSE)</f>
        <v>0</v>
      </c>
      <c r="AI263" s="39"/>
      <c r="AJ263" s="43"/>
      <c r="AK263" s="41"/>
      <c r="AL263" s="41"/>
      <c r="AM263" s="41"/>
      <c r="AN263" s="41"/>
      <c r="AO263" s="41"/>
      <c r="AP263" s="41"/>
      <c r="AQ263" s="44"/>
      <c r="AR263" s="45"/>
      <c r="AS263" s="39"/>
    </row>
    <row r="264" spans="1:45" ht="21.25" customHeight="1" x14ac:dyDescent="0.15">
      <c r="A264" s="31">
        <f>RANK(K264,K$2:K$727)</f>
        <v>263</v>
      </c>
      <c r="B264" s="8" t="s">
        <v>368</v>
      </c>
      <c r="C264" s="32" t="s">
        <v>106</v>
      </c>
      <c r="D264" s="33" t="str">
        <f>VLOOKUP(B264,'Player Data'!A1:D734,4,FALSE)</f>
        <v>D</v>
      </c>
      <c r="E264" s="49">
        <f>VLOOKUP(B264,D!A1:C227,3,FALSE)</f>
        <v>77</v>
      </c>
      <c r="F264" s="35" t="str">
        <f>VLOOKUP(B264,'Player Data'!A1:B734,2,FALSE)</f>
        <v>MIN</v>
      </c>
      <c r="G264" s="9">
        <f>VLOOKUP(B264,'Player Data'!A1:D734,3,FALSE)</f>
        <v>23</v>
      </c>
      <c r="H264" s="36">
        <f>IFERROR(VLOOKUP(B264,ADP!A1:G728,7,FALSE)/1000000,VLOOKUP(B264,ADP!A1:G728,7,FALSE))</f>
        <v>0</v>
      </c>
      <c r="I264" s="37">
        <f>IF(Settings!$E$15="POINTS",((R264*Q264)*Settings!$B$12)+(S264*Settings!$B$2)+(T264*Settings!$B$3)+(U264*Settings!$B$4)+(V264*Settings!$B$5)+(X264*Settings!$B$9)+(AA264*Settings!$B$6)+(W264*Settings!$B$8)+(AB264*Settings!$B$7)+(AC264*Settings!$B$14)+(AD264*Settings!$B$15)+(AE264*Settings!$B$16)+(AF264*Settings!$B$17)+(AG264*Settings!$B$18)+(U264*Settings!$B$13)+(Y264*Settings!$B$10)+(Z264*Settings!$B$11),VLOOKUP(B264,'Standard Deviations'!A1:C728,3,FALSE))</f>
        <v>176.01447209291587</v>
      </c>
      <c r="J264" s="38">
        <f>IF(D264="G",I264/AJ264,I264/Q264)</f>
        <v>2.7234174855781506</v>
      </c>
      <c r="K264" s="37">
        <f>VLOOKUP(B264,D!A1:F227,6,FALSE)</f>
        <v>-135.55100953501159</v>
      </c>
      <c r="L264" s="52" t="str">
        <f>IFERROR(K264/H264,"N/A")</f>
        <v>N/A</v>
      </c>
      <c r="M264" s="53" t="str">
        <f>IF(Settings!$E$9="YAHOO",VLOOKUP(B264,ADP!A1:E728,2,FALSE),IF(Settings!$E$9="ESPN",VLOOKUP(B264,ADP!A1:E728,3,FALSE),IF(Settings!$E$9="FANTRAX",VLOOKUP(B264,ADP!A1:E728,4,FALSE),VLOOKUP(B264,ADP!A1:E728,5,FALSE))))</f>
        <v>-</v>
      </c>
      <c r="N264" s="53" t="str">
        <f>IFERROR(M264-A264,"N/A")</f>
        <v>N/A</v>
      </c>
      <c r="O264" s="39"/>
      <c r="P264" s="40" t="str">
        <f>IF(Settings!$E$27="ON",VLOOKUP(B264,ADP!A1:H728,8,FALSE)," ")</f>
        <v xml:space="preserve"> </v>
      </c>
      <c r="Q264" s="41">
        <f>IF(Settings!$E$12="YES",VLOOKUP(B264,'Player Data'!A1:E734,5,FALSE),82)</f>
        <v>64.63</v>
      </c>
      <c r="R264" s="39">
        <f>VLOOKUP(B264,'Player Data'!$A1:$AE734,6,FALSE)</f>
        <v>16.1527448932349</v>
      </c>
      <c r="S264" s="41">
        <f>VLOOKUP(B264,'Player Data'!$A1:$AE734,7,FALSE)*$Q264*IFERROR((VLOOKUP(P264,Settings!$E$28:$F$33,2,FALSE)+1),1)</f>
        <v>3.8390147188868062</v>
      </c>
      <c r="T264" s="41">
        <f>VLOOKUP(B264,'Player Data'!$A1:$AE734,8,FALSE)*$Q264*IFERROR((VLOOKUP(P264,Settings!$E$28:$F$33,2,FALSE)+1),1)</f>
        <v>25.861902727325763</v>
      </c>
      <c r="U264" s="41">
        <f>SUM(S264:T264)</f>
        <v>29.700917446212568</v>
      </c>
      <c r="V264" s="41">
        <f>VLOOKUP(B264,'Player Data'!$A1:$AE734,10,FALSE)*$Q264*IFERROR(((VLOOKUP(P264,Settings!$E$28:$F$33,2,FALSE)/2)+1),1)</f>
        <v>81.557396055765992</v>
      </c>
      <c r="W264" s="41">
        <f>VLOOKUP(B264,'Player Data'!$A1:$AE734,11,FALSE)*$Q264*IFERROR((VLOOKUP(P264,Settings!$E$28:$F$33,2,FALSE)+1),1)</f>
        <v>0.45842474567546665</v>
      </c>
      <c r="X264" s="41">
        <f>VLOOKUP(B264,'Player Data'!$A1:$AE734,12,FALSE)*$Q264*IFERROR((VLOOKUP(P264,Settings!$E$28:$F$33,2,FALSE)+1),1)</f>
        <v>18.212330711867143</v>
      </c>
      <c r="Y264" s="41">
        <f>VLOOKUP(B264,'Player Data'!$A1:$AE734,13,FALSE)*$Q264</f>
        <v>4.4551995376366687E-3</v>
      </c>
      <c r="Z264" s="41">
        <f>VLOOKUP(B264,'Player Data'!$A1:$AE734,14,FALSE)*$Q264</f>
        <v>1.6171573076664884E-2</v>
      </c>
      <c r="AA264" s="41">
        <f>VLOOKUP(B264,'Player Data'!$A1:$AE734,15,FALSE)*$Q264</f>
        <v>48.380085782537833</v>
      </c>
      <c r="AB264" s="41">
        <f>VLOOKUP(B264,'Player Data'!$A1:$AE734,16,FALSE)*$Q264</f>
        <v>45.382333069389603</v>
      </c>
      <c r="AC264" s="41">
        <f>VLOOKUP(B264,'Player Data'!$A1:$AE734,17,FALSE)*$Q264*IFERROR((VLOOKUP(P264,Settings!$E$28:$F$33,2,FALSE)+1),1)</f>
        <v>0.15685442605937436</v>
      </c>
      <c r="AD264" s="41">
        <f>VLOOKUP(B264,'Player Data'!$A1:$AE734,18,FALSE)*$Q264</f>
        <v>22.526026227086103</v>
      </c>
      <c r="AE264" s="41">
        <f>VLOOKUP(B264,'Player Data'!$A1:$AE734,19,FALSE)*$Q264*IFERROR((VLOOKUP(P264,Settings!$E$28:$F$33,2,FALSE)+1),1)</f>
        <v>0.61645522274356801</v>
      </c>
      <c r="AF264" s="41">
        <f>VLOOKUP(B264,'Player Data'!$A1:$AE734,20,FALSE)*$Q264</f>
        <v>0</v>
      </c>
      <c r="AG264" s="41">
        <f>VLOOKUP(B264,'Player Data'!$A1:$AE734,21,FALSE)*$Q264</f>
        <v>0</v>
      </c>
      <c r="AH264" s="42">
        <f>VLOOKUP(B264,'Player Data'!$A1:$AE734,22,FALSE)</f>
        <v>0</v>
      </c>
      <c r="AI264" s="39"/>
      <c r="AJ264" s="43"/>
      <c r="AK264" s="41"/>
      <c r="AL264" s="41"/>
      <c r="AM264" s="41"/>
      <c r="AN264" s="41"/>
      <c r="AO264" s="41"/>
      <c r="AP264" s="41"/>
      <c r="AQ264" s="44"/>
      <c r="AR264" s="45"/>
      <c r="AS264" s="43"/>
    </row>
    <row r="265" spans="1:45" ht="21.25" customHeight="1" x14ac:dyDescent="0.15">
      <c r="A265" s="31">
        <f>RANK(K265,K$2:K$727)</f>
        <v>264</v>
      </c>
      <c r="B265" s="8" t="s">
        <v>369</v>
      </c>
      <c r="C265" s="32" t="s">
        <v>106</v>
      </c>
      <c r="D265" s="33" t="str">
        <f>VLOOKUP(B265,'Player Data'!A1:D734,4,FALSE)</f>
        <v>RW</v>
      </c>
      <c r="E265" s="46">
        <f>VLOOKUP(B265,RW!A1:F97,3,FALSE)</f>
        <v>43</v>
      </c>
      <c r="F265" s="35" t="str">
        <f>VLOOKUP(B265,'Player Data'!A1:B734,2,FALSE)</f>
        <v>MTL</v>
      </c>
      <c r="G265" s="9">
        <f>VLOOKUP(B265,'Player Data'!A1:D734,3,FALSE)</f>
        <v>29</v>
      </c>
      <c r="H265" s="36">
        <f>IFERROR(VLOOKUP(B265,ADP!A1:G728,7,FALSE)/1000000,VLOOKUP(B265,ADP!A1:G728,7,FALSE))</f>
        <v>5.5</v>
      </c>
      <c r="I265" s="37">
        <f>IF(Settings!$E$15="POINTS",((R265*Q265)*Settings!$B$12)+(S265*Settings!$B$2)+(T265*Settings!$B$3)+(U265*Settings!$B$4)+(V265*Settings!$B$5)+(X265*Settings!$B$9)+(AA265*Settings!$B$6)+(W265*Settings!$B$8)+(AB265*Settings!$B$7)+(AC265*Settings!$B$14)+(AD265*Settings!$B$15)+(AE265*Settings!$B$16)+(AF265*Settings!$B$17)+(AG265*Settings!$B$18)+(Y265*Settings!$B$10)+(Z265*Settings!$B$11),VLOOKUP(B265,'Standard Deviations'!A1:C728,3,FALSE))</f>
        <v>214.53981343040812</v>
      </c>
      <c r="J265" s="38">
        <f>IF(D265="G",I265/AJ265,I265/Q265)</f>
        <v>2.7736495747727972</v>
      </c>
      <c r="K265" s="37">
        <f>IF(Settings!$E$18="C/LW/RW",VLOOKUP(B265,RW!A1:F97,6,FALSE),VLOOKUP(B265,F!A1:F430,6,FALSE))</f>
        <v>-135.73172711748146</v>
      </c>
      <c r="L265" s="37">
        <f>IFERROR(K265/H265,"N/A")</f>
        <v>-24.678495839542084</v>
      </c>
      <c r="M265" s="39">
        <f>IF(Settings!$E$9="YAHOO",VLOOKUP(B265,ADP!A1:E728,2,FALSE),IF(Settings!$E$9="ESPN",VLOOKUP(B265,ADP!A1:E728,3,FALSE),IF(Settings!$E$9="FANTRAX",VLOOKUP(B265,ADP!A1:E728,4,FALSE),VLOOKUP(B265,ADP!A1:E728,5,FALSE))))</f>
        <v>182.4</v>
      </c>
      <c r="N265" s="39">
        <f>IFERROR(M265-A265,"N/A")</f>
        <v>-81.599999999999994</v>
      </c>
      <c r="O265" s="39"/>
      <c r="P265" s="40" t="str">
        <f>IF(Settings!$E$27="ON",VLOOKUP(B265,ADP!A1:H728,8,FALSE)," ")</f>
        <v xml:space="preserve"> </v>
      </c>
      <c r="Q265" s="41">
        <f>IF(Settings!$E$12="YES",VLOOKUP(B265,'Player Data'!A1:E734,5,FALSE),82)</f>
        <v>77.349285714285699</v>
      </c>
      <c r="R265" s="39">
        <f>VLOOKUP(B265,'Player Data'!$A1:$AE734,6,FALSE)</f>
        <v>16.739677973027099</v>
      </c>
      <c r="S265" s="41">
        <f>VLOOKUP(B265,'Player Data'!$A1:$AE734,7,FALSE)*$Q265*IFERROR((VLOOKUP(P265,Settings!$E$28:$F$33,2,FALSE)+1),1)</f>
        <v>21.296376972941889</v>
      </c>
      <c r="T265" s="41">
        <f>VLOOKUP(B265,'Player Data'!$A1:$AE734,8,FALSE)*$Q265*IFERROR((VLOOKUP(P265,Settings!$E$28:$F$33,2,FALSE)+1),1)</f>
        <v>14.346017552192142</v>
      </c>
      <c r="U265" s="41">
        <f>SUM(S265:T265)</f>
        <v>35.64239452513403</v>
      </c>
      <c r="V265" s="41">
        <f>VLOOKUP(B265,'Player Data'!$A1:$AE734,10,FALSE)*$Q265*IFERROR(((VLOOKUP(P265,Settings!$E$28:$F$33,2,FALSE)/2)+1),1)</f>
        <v>174.83347879034082</v>
      </c>
      <c r="W265" s="41">
        <f>VLOOKUP(B265,'Player Data'!$A1:$AE734,11,FALSE)*$Q265*IFERROR((VLOOKUP(P265,Settings!$E$28:$F$33,2,FALSE)+1),1)</f>
        <v>2.6281566263908891</v>
      </c>
      <c r="X265" s="41">
        <f>VLOOKUP(B265,'Player Data'!$A1:$AE734,12,FALSE)*$Q265*IFERROR((VLOOKUP(P265,Settings!$E$28:$F$33,2,FALSE)+1),1)</f>
        <v>3.7868850351273067</v>
      </c>
      <c r="Y265" s="41">
        <f>VLOOKUP(B265,'Player Data'!$A1:$AE734,13,FALSE)*$Q265</f>
        <v>1.2333483748401581</v>
      </c>
      <c r="Z265" s="41">
        <f>VLOOKUP(B265,'Player Data'!$A1:$AE734,14,FALSE)*$Q265</f>
        <v>1.3757652019628661</v>
      </c>
      <c r="AA265" s="41">
        <f>VLOOKUP(B265,'Player Data'!$A1:$AE734,15,FALSE)*$Q265</f>
        <v>49.35294992827626</v>
      </c>
      <c r="AB265" s="41">
        <f>VLOOKUP(B265,'Player Data'!$A1:$AE734,16,FALSE)*$Q265</f>
        <v>147.71208338641043</v>
      </c>
      <c r="AC265" s="41">
        <f>VLOOKUP(B265,'Player Data'!$A1:$AE734,17,FALSE)*$Q265*IFERROR((VLOOKUP(P265,Settings!$E$28:$F$33,2,FALSE)+1),1)</f>
        <v>-7.8755189778999926</v>
      </c>
      <c r="AD265" s="41">
        <f>VLOOKUP(B265,'Player Data'!$A1:$AE734,18,FALSE)*$Q265</f>
        <v>53.728431326742843</v>
      </c>
      <c r="AE265" s="41">
        <f>VLOOKUP(B265,'Player Data'!$A1:$AE734,19,FALSE)*$Q265*IFERROR((VLOOKUP(P265,Settings!$E$28:$F$33,2,FALSE)+1),1)</f>
        <v>2.3078691485448886</v>
      </c>
      <c r="AF265" s="41">
        <f>VLOOKUP(B265,'Player Data'!$A1:$AE734,20,FALSE)*$Q265</f>
        <v>21.395923055900674</v>
      </c>
      <c r="AG265" s="41">
        <f>VLOOKUP(B265,'Player Data'!$A1:$AE734,21,FALSE)*$Q265</f>
        <v>23.468812825696403</v>
      </c>
      <c r="AH265" s="42">
        <f>VLOOKUP(B265,'Player Data'!$A1:$AE734,22,FALSE)</f>
        <v>0.47689845121047603</v>
      </c>
      <c r="AI265" s="39"/>
      <c r="AJ265" s="43"/>
      <c r="AK265" s="41"/>
      <c r="AL265" s="41"/>
      <c r="AM265" s="41"/>
      <c r="AN265" s="41"/>
      <c r="AO265" s="41"/>
      <c r="AP265" s="41"/>
      <c r="AQ265" s="44"/>
      <c r="AR265" s="45"/>
      <c r="AS265" s="39"/>
    </row>
    <row r="266" spans="1:45" ht="21.25" customHeight="1" x14ac:dyDescent="0.15">
      <c r="A266" s="31">
        <f>RANK(K266,K$2:K$727)</f>
        <v>265</v>
      </c>
      <c r="B266" s="8" t="s">
        <v>370</v>
      </c>
      <c r="C266" s="32" t="s">
        <v>106</v>
      </c>
      <c r="D266" s="33" t="str">
        <f>VLOOKUP(B266,'Player Data'!A1:D734,4,FALSE)</f>
        <v>LW</v>
      </c>
      <c r="E266" s="47">
        <f>VLOOKUP(B266,LW!A1:C130,3,FALSE)</f>
        <v>51</v>
      </c>
      <c r="F266" s="35" t="str">
        <f>VLOOKUP(B266,'Player Data'!A1:B734,2,FALSE)</f>
        <v>SJS</v>
      </c>
      <c r="G266" s="9">
        <f>VLOOKUP(B266,'Player Data'!A1:D734,3,FALSE)</f>
        <v>27</v>
      </c>
      <c r="H266" s="36">
        <f>IFERROR(VLOOKUP(B266,ADP!A1:G728,7,FALSE)/1000000,VLOOKUP(B266,ADP!A1:G728,7,FALSE))</f>
        <v>3</v>
      </c>
      <c r="I266" s="37">
        <f>IF(Settings!$E$15="POINTS",((R266*Q266)*Settings!$B$12)+(S266*Settings!$B$2)+(T266*Settings!$B$3)+(U266*Settings!$B$4)+(V266*Settings!$B$5)+(X266*Settings!$B$9)+(AA266*Settings!$B$6)+(W266*Settings!$B$8)+(AB266*Settings!$B$7)+(AC266*Settings!$B$14)+(AD266*Settings!$B$15)+(AE266*Settings!$B$16)+(AF266*Settings!$B$17)+(AG266*Settings!$B$18)+(Y266*Settings!$B$10)+(Z266*Settings!$B$11),VLOOKUP(B266,'Standard Deviations'!A1:C728,3,FALSE))</f>
        <v>228.15776765830245</v>
      </c>
      <c r="J266" s="38">
        <f>IF(D266="G",I266/AJ266,I266/Q266)</f>
        <v>3.4206561867811458</v>
      </c>
      <c r="K266" s="37">
        <f>IF(Settings!$E$18="C/LW/RW",VLOOKUP(B266,LW!A1:F130,6,FALSE),VLOOKUP(B266,F!A1:F430,6,FALSE))</f>
        <v>-135.88283719934802</v>
      </c>
      <c r="L266" s="37">
        <f>IFERROR(K266/H266,"N/A")</f>
        <v>-45.294279066449342</v>
      </c>
      <c r="M266" s="53" t="str">
        <f>IF(Settings!$E$9="YAHOO",VLOOKUP(B266,ADP!A1:E728,2,FALSE),IF(Settings!$E$9="ESPN",VLOOKUP(B266,ADP!A1:E728,3,FALSE),IF(Settings!$E$9="FANTRAX",VLOOKUP(B266,ADP!A1:E728,4,FALSE),VLOOKUP(B266,ADP!A1:E728,5,FALSE))))</f>
        <v>-</v>
      </c>
      <c r="N266" s="53" t="str">
        <f>IFERROR(M266-A266,"N/A")</f>
        <v>N/A</v>
      </c>
      <c r="O266" s="39"/>
      <c r="P266" s="40" t="str">
        <f>IF(Settings!$E$27="ON",VLOOKUP(B266,ADP!A1:H728,8,FALSE)," ")</f>
        <v xml:space="preserve"> </v>
      </c>
      <c r="Q266" s="41">
        <f>IF(Settings!$E$12="YES",VLOOKUP(B266,'Player Data'!A1:E734,5,FALSE),82)</f>
        <v>66.7</v>
      </c>
      <c r="R266" s="39">
        <f>VLOOKUP(B266,'Player Data'!$A1:$AE734,6,FALSE)</f>
        <v>15.500003491192</v>
      </c>
      <c r="S266" s="41">
        <f>VLOOKUP(B266,'Player Data'!$A1:$AE734,7,FALSE)*$Q266*IFERROR((VLOOKUP(P266,Settings!$E$28:$F$33,2,FALSE)+1),1)</f>
        <v>19.25340703777367</v>
      </c>
      <c r="T266" s="41">
        <f>VLOOKUP(B266,'Player Data'!$A1:$AE734,8,FALSE)*$Q266*IFERROR((VLOOKUP(P266,Settings!$E$28:$F$33,2,FALSE)+1),1)</f>
        <v>25.032630970542577</v>
      </c>
      <c r="U266" s="41">
        <f>SUM(S266:T266)</f>
        <v>44.286038008316247</v>
      </c>
      <c r="V266" s="41">
        <f>VLOOKUP(B266,'Player Data'!$A1:$AE734,10,FALSE)*$Q266*IFERROR(((VLOOKUP(P266,Settings!$E$28:$F$33,2,FALSE)/2)+1),1)</f>
        <v>150.10115631737955</v>
      </c>
      <c r="W266" s="41">
        <f>VLOOKUP(B266,'Player Data'!$A1:$AE734,11,FALSE)*$Q266*IFERROR((VLOOKUP(P266,Settings!$E$28:$F$33,2,FALSE)+1),1)</f>
        <v>3.2848561505278413</v>
      </c>
      <c r="X266" s="41">
        <f>VLOOKUP(B266,'Player Data'!$A1:$AE734,12,FALSE)*$Q266*IFERROR((VLOOKUP(P266,Settings!$E$28:$F$33,2,FALSE)+1),1)</f>
        <v>7.7645785041193207</v>
      </c>
      <c r="Y266" s="41">
        <f>VLOOKUP(B266,'Player Data'!$A1:$AE734,13,FALSE)*$Q266</f>
        <v>9.9173742352941414E-3</v>
      </c>
      <c r="Z266" s="41">
        <f>VLOOKUP(B266,'Player Data'!$A1:$AE734,14,FALSE)*$Q266</f>
        <v>3.4482445990739831E-2</v>
      </c>
      <c r="AA266" s="41">
        <f>VLOOKUP(B266,'Player Data'!$A1:$AE734,15,FALSE)*$Q266</f>
        <v>23.254767872219201</v>
      </c>
      <c r="AB266" s="41">
        <f>VLOOKUP(B266,'Player Data'!$A1:$AE734,16,FALSE)*$Q266</f>
        <v>54.066348542960462</v>
      </c>
      <c r="AC266" s="41">
        <f>VLOOKUP(B266,'Player Data'!$A1:$AE734,17,FALSE)*$Q266*IFERROR((VLOOKUP(P266,Settings!$E$28:$F$33,2,FALSE)+1),1)</f>
        <v>1.0969120027981571</v>
      </c>
      <c r="AD266" s="41">
        <f>VLOOKUP(B266,'Player Data'!$A1:$AE734,18,FALSE)*$Q266</f>
        <v>20.690795318124824</v>
      </c>
      <c r="AE266" s="41">
        <f>VLOOKUP(B266,'Player Data'!$A1:$AE734,19,FALSE)*$Q266*IFERROR((VLOOKUP(P266,Settings!$E$28:$F$33,2,FALSE)+1),1)</f>
        <v>2.3377822527757885</v>
      </c>
      <c r="AF266" s="41">
        <f>VLOOKUP(B266,'Player Data'!$A1:$AE734,20,FALSE)*$Q266</f>
        <v>0.36539550247164382</v>
      </c>
      <c r="AG266" s="41">
        <f>VLOOKUP(B266,'Player Data'!$A1:$AE734,21,FALSE)*$Q266</f>
        <v>0.91618834164318919</v>
      </c>
      <c r="AH266" s="42">
        <f>VLOOKUP(B266,'Player Data'!$A1:$AE734,22,FALSE)</f>
        <v>0.28511244437855399</v>
      </c>
      <c r="AI266" s="39"/>
      <c r="AJ266" s="43"/>
      <c r="AK266" s="41"/>
      <c r="AL266" s="41"/>
      <c r="AM266" s="41"/>
      <c r="AN266" s="41"/>
      <c r="AO266" s="41"/>
      <c r="AP266" s="41"/>
      <c r="AQ266" s="44"/>
      <c r="AR266" s="45"/>
      <c r="AS266" s="39"/>
    </row>
    <row r="267" spans="1:45" ht="21.25" customHeight="1" x14ac:dyDescent="0.15">
      <c r="A267" s="31">
        <f>RANK(K267,K$2:K$727)</f>
        <v>266</v>
      </c>
      <c r="B267" s="8" t="s">
        <v>371</v>
      </c>
      <c r="C267" s="32" t="s">
        <v>106</v>
      </c>
      <c r="D267" s="33" t="str">
        <f>VLOOKUP(B267,'Player Data'!A1:D734,4,FALSE)</f>
        <v>D</v>
      </c>
      <c r="E267" s="49">
        <f>VLOOKUP(B267,D!A1:C227,3,FALSE)</f>
        <v>78</v>
      </c>
      <c r="F267" s="35" t="str">
        <f>VLOOKUP(B267,'Player Data'!A1:B734,2,FALSE)</f>
        <v>MIN</v>
      </c>
      <c r="G267" s="9">
        <f>VLOOKUP(B267,'Player Data'!A1:D734,3,FALSE)</f>
        <v>20</v>
      </c>
      <c r="H267" s="36">
        <f>IFERROR(VLOOKUP(B267,ADP!A1:G728,7,FALSE)/1000000,VLOOKUP(B267,ADP!A1:G728,7,FALSE))</f>
        <v>0</v>
      </c>
      <c r="I267" s="37">
        <f>IF(Settings!$E$15="POINTS",((R267*Q267)*Settings!$B$12)+(S267*Settings!$B$2)+(T267*Settings!$B$3)+(U267*Settings!$B$4)+(V267*Settings!$B$5)+(X267*Settings!$B$9)+(AA267*Settings!$B$6)+(W267*Settings!$B$8)+(AB267*Settings!$B$7)+(AC267*Settings!$B$14)+(AD267*Settings!$B$15)+(AE267*Settings!$B$16)+(AF267*Settings!$B$17)+(AG267*Settings!$B$18)+(U267*Settings!$B$13)+(Y267*Settings!$B$10)+(Z267*Settings!$B$11),VLOOKUP(B267,'Standard Deviations'!A1:C728,3,FALSE))</f>
        <v>175.59300286342969</v>
      </c>
      <c r="J267" s="38">
        <f>IF(D267="G",I267/AJ267,I267/Q267)</f>
        <v>2.3728784170733741</v>
      </c>
      <c r="K267" s="37">
        <f>VLOOKUP(B267,D!A1:F227,6,FALSE)</f>
        <v>-135.97247876449777</v>
      </c>
      <c r="L267" s="52" t="str">
        <f>IFERROR(K267/H267,"N/A")</f>
        <v>N/A</v>
      </c>
      <c r="M267" s="53" t="str">
        <f>IF(Settings!$E$9="YAHOO",VLOOKUP(B267,ADP!A1:E728,2,FALSE),IF(Settings!$E$9="ESPN",VLOOKUP(B267,ADP!A1:E728,3,FALSE),IF(Settings!$E$9="FANTRAX",VLOOKUP(B267,ADP!A1:E728,4,FALSE),VLOOKUP(B267,ADP!A1:E728,5,FALSE))))</f>
        <v>-</v>
      </c>
      <c r="N267" s="53" t="str">
        <f>IFERROR(M267-A267,"N/A")</f>
        <v>N/A</v>
      </c>
      <c r="O267" s="39"/>
      <c r="P267" s="40" t="str">
        <f>IF(Settings!$E$27="ON",VLOOKUP(B267,ADP!A1:H728,8,FALSE)," ")</f>
        <v xml:space="preserve"> </v>
      </c>
      <c r="Q267" s="41">
        <f>IF(Settings!$E$12="YES",VLOOKUP(B267,'Player Data'!A1:E734,5,FALSE),82)</f>
        <v>74</v>
      </c>
      <c r="R267" s="39">
        <f>VLOOKUP(B267,'Player Data'!$A1:$AE734,6,FALSE)</f>
        <v>20</v>
      </c>
      <c r="S267" s="41">
        <f>VLOOKUP(B267,'Player Data'!$A1:$AE734,7,FALSE)*$Q267*IFERROR((VLOOKUP(P267,Settings!$E$28:$F$33,2,FALSE)+1),1)</f>
        <v>5.7214518787522861</v>
      </c>
      <c r="T267" s="41">
        <f>VLOOKUP(B267,'Player Data'!$A1:$AE734,8,FALSE)*$Q267*IFERROR((VLOOKUP(P267,Settings!$E$28:$F$33,2,FALSE)+1),1)</f>
        <v>23.519256794615643</v>
      </c>
      <c r="U267" s="41">
        <f>SUM(S267:T267)</f>
        <v>29.24070867336793</v>
      </c>
      <c r="V267" s="41">
        <f>VLOOKUP(B267,'Player Data'!$A1:$AE734,10,FALSE)*$Q267*IFERROR(((VLOOKUP(P267,Settings!$E$28:$F$33,2,FALSE)/2)+1),1)</f>
        <v>115.96149785804357</v>
      </c>
      <c r="W267" s="41">
        <f>VLOOKUP(B267,'Player Data'!$A1:$AE734,11,FALSE)*$Q267*IFERROR((VLOOKUP(P267,Settings!$E$28:$F$33,2,FALSE)+1),1)</f>
        <v>1.0525358059207433</v>
      </c>
      <c r="X267" s="41">
        <f>VLOOKUP(B267,'Player Data'!$A1:$AE734,12,FALSE)*$Q267*IFERROR((VLOOKUP(P267,Settings!$E$28:$F$33,2,FALSE)+1),1)</f>
        <v>5.3792102986154688</v>
      </c>
      <c r="Y267" s="41">
        <f>VLOOKUP(B267,'Player Data'!$A1:$AE734,13,FALSE)*$Q267</f>
        <v>0</v>
      </c>
      <c r="Z267" s="41">
        <f>VLOOKUP(B267,'Player Data'!$A1:$AE734,14,FALSE)*$Q267</f>
        <v>0</v>
      </c>
      <c r="AA267" s="41">
        <f>VLOOKUP(B267,'Player Data'!$A1:$AE734,15,FALSE)*$Q267</f>
        <v>95.658536585365994</v>
      </c>
      <c r="AB267" s="41">
        <f>VLOOKUP(B267,'Player Data'!$A1:$AE734,16,FALSE)*$Q267</f>
        <v>97.528346243638964</v>
      </c>
      <c r="AC267" s="41">
        <f>VLOOKUP(B267,'Player Data'!$A1:$AE734,17,FALSE)*$Q267*IFERROR((VLOOKUP(P267,Settings!$E$28:$F$33,2,FALSE)+1),1)</f>
        <v>0.73097560975609721</v>
      </c>
      <c r="AD267" s="41">
        <f>VLOOKUP(B267,'Player Data'!$A1:$AE734,18,FALSE)*$Q267</f>
        <v>34.854742090404095</v>
      </c>
      <c r="AE267" s="41">
        <f>VLOOKUP(B267,'Player Data'!$A1:$AE734,19,FALSE)*$Q267*IFERROR((VLOOKUP(P267,Settings!$E$28:$F$33,2,FALSE)+1),1)</f>
        <v>0.91873023434397183</v>
      </c>
      <c r="AF267" s="41">
        <f>VLOOKUP(B267,'Player Data'!$A1:$AE734,20,FALSE)*$Q267</f>
        <v>0</v>
      </c>
      <c r="AG267" s="41">
        <f>VLOOKUP(B267,'Player Data'!$A1:$AE734,21,FALSE)*$Q267</f>
        <v>0</v>
      </c>
      <c r="AH267" s="42">
        <f>VLOOKUP(B267,'Player Data'!$A1:$AE734,22,FALSE)</f>
        <v>0</v>
      </c>
      <c r="AI267" s="39"/>
      <c r="AJ267" s="43"/>
      <c r="AK267" s="41"/>
      <c r="AL267" s="41"/>
      <c r="AM267" s="41"/>
      <c r="AN267" s="41"/>
      <c r="AO267" s="41"/>
      <c r="AP267" s="41"/>
      <c r="AQ267" s="44"/>
      <c r="AR267" s="45"/>
      <c r="AS267" s="39"/>
    </row>
    <row r="268" spans="1:45" ht="21.25" customHeight="1" x14ac:dyDescent="0.15">
      <c r="A268" s="31">
        <f>RANK(K268,K$2:K$727)</f>
        <v>267</v>
      </c>
      <c r="B268" s="8" t="s">
        <v>372</v>
      </c>
      <c r="C268" s="32" t="s">
        <v>106</v>
      </c>
      <c r="D268" s="33" t="str">
        <f>VLOOKUP(B268,'Player Data'!A1:D734,4,FALSE)</f>
        <v>C</v>
      </c>
      <c r="E268" s="34">
        <f>VLOOKUP(B268,'C'!A1:C211,3,FALSE)</f>
        <v>66</v>
      </c>
      <c r="F268" s="35" t="str">
        <f>VLOOKUP(B268,'Player Data'!A1:B734,2,FALSE)</f>
        <v>ANA</v>
      </c>
      <c r="G268" s="9">
        <f>VLOOKUP(B268,'Player Data'!A1:D734,3,FALSE)</f>
        <v>33</v>
      </c>
      <c r="H268" s="36">
        <f>IFERROR(VLOOKUP(B268,ADP!A1:G728,7,FALSE)/1000000,VLOOKUP(B268,ADP!A1:G728,7,FALSE))</f>
        <v>5.8250000000000002</v>
      </c>
      <c r="I268" s="37">
        <f>IF(Settings!$E$15="POINTS",((R268*Q268)*Settings!$B$12)+(S268*Settings!$B$2)+(T268*Settings!$B$3)+(U268*Settings!$B$4)+(V268*Settings!$B$5)+(X268*Settings!$B$9)+(AA268*Settings!$B$6)+(W268*Settings!$B$8)+(AB268*Settings!$B$7)+(AC268*Settings!$B$14)+(AD268*Settings!$B$15)+(AE268*Settings!$B$16)+(AF268*Settings!$B$17)+(AG268*Settings!$B$18)+(Y268*Settings!$B$10)+(Z268*Settings!$B$11),VLOOKUP(B268,'Standard Deviations'!A1:C728,3,FALSE))</f>
        <v>256.3913603262269</v>
      </c>
      <c r="J268" s="38">
        <f>IF(D268="G",I268/AJ268,I268/Q268)</f>
        <v>3.4456573085099707</v>
      </c>
      <c r="K268" s="37">
        <f>IF(Settings!$E$18="C/LW/RW",VLOOKUP(B268,'C'!A1:F211,6,FALSE),VLOOKUP(B268,F!A1:F430,6,FALSE))</f>
        <v>-136.93744543998275</v>
      </c>
      <c r="L268" s="37">
        <f>IFERROR(K268/H268,"N/A")</f>
        <v>-23.508574324460557</v>
      </c>
      <c r="M268" s="53" t="str">
        <f>IF(Settings!$E$9="YAHOO",VLOOKUP(B268,ADP!A1:E728,2,FALSE),IF(Settings!$E$9="ESPN",VLOOKUP(B268,ADP!A1:E728,3,FALSE),IF(Settings!$E$9="FANTRAX",VLOOKUP(B268,ADP!A1:E728,4,FALSE),VLOOKUP(B268,ADP!A1:E728,5,FALSE))))</f>
        <v>-</v>
      </c>
      <c r="N268" s="53" t="str">
        <f>IFERROR(M268-A268,"N/A")</f>
        <v>N/A</v>
      </c>
      <c r="O268" s="39"/>
      <c r="P268" s="40" t="str">
        <f>IF(Settings!$E$27="ON",VLOOKUP(B268,ADP!A1:H728,8,FALSE)," ")</f>
        <v xml:space="preserve"> </v>
      </c>
      <c r="Q268" s="41">
        <f>IF(Settings!$E$12="YES",VLOOKUP(B268,'Player Data'!A1:E734,5,FALSE),82)</f>
        <v>74.41</v>
      </c>
      <c r="R268" s="39">
        <f>VLOOKUP(B268,'Player Data'!$A1:$AE734,6,FALSE)</f>
        <v>19.085270646253299</v>
      </c>
      <c r="S268" s="41">
        <f>VLOOKUP(B268,'Player Data'!$A1:$AE734,7,FALSE)*$Q268*IFERROR((VLOOKUP(P268,Settings!$E$28:$F$33,2,FALSE)+1),1)</f>
        <v>23.010269111622442</v>
      </c>
      <c r="T268" s="41">
        <f>VLOOKUP(B268,'Player Data'!$A1:$AE734,8,FALSE)*$Q268*IFERROR((VLOOKUP(P268,Settings!$E$28:$F$33,2,FALSE)+1),1)</f>
        <v>22.771914525468052</v>
      </c>
      <c r="U268" s="41">
        <f>SUM(S268:T268)</f>
        <v>45.782183637090498</v>
      </c>
      <c r="V268" s="41">
        <f>VLOOKUP(B268,'Player Data'!$A1:$AE734,10,FALSE)*$Q268*IFERROR(((VLOOKUP(P268,Settings!$E$28:$F$33,2,FALSE)/2)+1),1)</f>
        <v>168.60183725447953</v>
      </c>
      <c r="W268" s="41">
        <f>VLOOKUP(B268,'Player Data'!$A1:$AE734,11,FALSE)*$Q268*IFERROR((VLOOKUP(P268,Settings!$E$28:$F$33,2,FALSE)+1),1)</f>
        <v>4.8926283827533315</v>
      </c>
      <c r="X268" s="41">
        <f>VLOOKUP(B268,'Player Data'!$A1:$AE734,12,FALSE)*$Q268*IFERROR((VLOOKUP(P268,Settings!$E$28:$F$33,2,FALSE)+1),1)</f>
        <v>10.981113152181603</v>
      </c>
      <c r="Y268" s="41">
        <f>VLOOKUP(B268,'Player Data'!$A1:$AE734,13,FALSE)*$Q268</f>
        <v>0.11788710479610023</v>
      </c>
      <c r="Z268" s="41">
        <f>VLOOKUP(B268,'Player Data'!$A1:$AE734,14,FALSE)*$Q268</f>
        <v>0.51468590745901521</v>
      </c>
      <c r="AA268" s="41">
        <f>VLOOKUP(B268,'Player Data'!$A1:$AE734,15,FALSE)*$Q268</f>
        <v>58.761463342171965</v>
      </c>
      <c r="AB268" s="41">
        <f>VLOOKUP(B268,'Player Data'!$A1:$AE734,16,FALSE)*$Q268</f>
        <v>41.619420905424128</v>
      </c>
      <c r="AC268" s="41">
        <f>VLOOKUP(B268,'Player Data'!$A1:$AE734,17,FALSE)*$Q268*IFERROR((VLOOKUP(P268,Settings!$E$28:$F$33,2,FALSE)+1),1)</f>
        <v>-5.8903221528319847</v>
      </c>
      <c r="AD268" s="41">
        <f>VLOOKUP(B268,'Player Data'!$A1:$AE734,18,FALSE)*$Q268</f>
        <v>26.347372443675411</v>
      </c>
      <c r="AE268" s="41">
        <f>VLOOKUP(B268,'Player Data'!$A1:$AE734,19,FALSE)*$Q268*IFERROR((VLOOKUP(P268,Settings!$E$28:$F$33,2,FALSE)+1),1)</f>
        <v>2.4945302557030642</v>
      </c>
      <c r="AF268" s="41">
        <f>VLOOKUP(B268,'Player Data'!$A1:$AE734,20,FALSE)*$Q268</f>
        <v>0.37766316770207825</v>
      </c>
      <c r="AG268" s="41">
        <f>VLOOKUP(B268,'Player Data'!$A1:$AE734,21,FALSE)*$Q268</f>
        <v>0.3296629570031005</v>
      </c>
      <c r="AH268" s="42">
        <f>VLOOKUP(B268,'Player Data'!$A1:$AE734,22,FALSE)</f>
        <v>0.53393074921344497</v>
      </c>
      <c r="AI268" s="39"/>
      <c r="AJ268" s="41"/>
      <c r="AK268" s="41"/>
      <c r="AL268" s="41"/>
      <c r="AM268" s="41"/>
      <c r="AN268" s="41"/>
      <c r="AO268" s="41"/>
      <c r="AP268" s="41"/>
      <c r="AQ268" s="44"/>
      <c r="AR268" s="45"/>
      <c r="AS268" s="39"/>
    </row>
    <row r="269" spans="1:45" ht="21.25" customHeight="1" x14ac:dyDescent="0.15">
      <c r="A269" s="31">
        <f>RANK(K269,K$2:K$727)</f>
        <v>268</v>
      </c>
      <c r="B269" s="8" t="s">
        <v>373</v>
      </c>
      <c r="C269" s="32" t="s">
        <v>106</v>
      </c>
      <c r="D269" s="33" t="str">
        <f>VLOOKUP(B269,'Player Data'!A1:D734,4,FALSE)</f>
        <v>G</v>
      </c>
      <c r="E269" s="50">
        <f>VLOOKUP(B269,G!A1:D75,3,FALSE)</f>
        <v>32</v>
      </c>
      <c r="F269" s="35" t="str">
        <f>VLOOKUP(B269,'Player Data'!A1:B734,2,FALSE)</f>
        <v>NJD</v>
      </c>
      <c r="G269" s="9">
        <f>VLOOKUP(B269,'Player Data'!A1:D734,3,FALSE)</f>
        <v>23</v>
      </c>
      <c r="H269" s="36">
        <f>IFERROR(VLOOKUP(B269,ADP!A1:G728,7,FALSE)/1000000,VLOOKUP(B269,ADP!A1:G728,7,FALSE))</f>
        <v>0</v>
      </c>
      <c r="I269" s="37">
        <f>IF(Settings!$E$15="POINTS",(AJ269*Settings!$B$29)+(AK269*Settings!$B$21)+(AL269*Settings!$B$22)+(AN269*Settings!$B$24)+(AO269*Settings!$B$25)+(AP269*Settings!$B$27)+(AM269*Settings!$B$23),VLOOKUP(B269,'Standard Deviations'!A1:C728,3,FALSE))</f>
        <v>261.13243287100988</v>
      </c>
      <c r="J269" s="38">
        <f>IF(D269="G",I269/AJ269,I269/Q269)</f>
        <v>7.2536786908613857</v>
      </c>
      <c r="K269" s="37">
        <f>VLOOKUP(B269,G!A1:F75,6,FALSE)</f>
        <v>-137.64322921830632</v>
      </c>
      <c r="L269" s="52" t="str">
        <f>IFERROR(K269/H269,"N/A")</f>
        <v>N/A</v>
      </c>
      <c r="M269" s="39">
        <f>IF(Settings!$E$9="YAHOO",VLOOKUP(B269,ADP!A1:E728,2,FALSE),IF(Settings!$E$9="ESPN",VLOOKUP(B269,ADP!A1:E728,3,FALSE),IF(Settings!$E$9="FANTRAX",VLOOKUP(B269,ADP!A1:E728,4,FALSE),VLOOKUP(B269,ADP!A1:E728,5,FALSE))))</f>
        <v>160.4</v>
      </c>
      <c r="N269" s="39">
        <f>IFERROR(M269-A269,"N/A")</f>
        <v>-107.6</v>
      </c>
      <c r="O269" s="39"/>
      <c r="P269" s="40" t="str">
        <f>IF(Settings!$E$27="ON",VLOOKUP(B269,ADP!A1:H728,8,FALSE)," ")</f>
        <v>+</v>
      </c>
      <c r="Q269" s="41"/>
      <c r="R269" s="5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2"/>
      <c r="AI269" s="39"/>
      <c r="AJ269" s="43">
        <f>VLOOKUP(B269,'Player Data'!$A1:$AE734,24,FALSE)</f>
        <v>36</v>
      </c>
      <c r="AK269" s="41">
        <f>VLOOKUP(B269,'Player Data'!$A1:$AE734,25,FALSE)*$AJ269*IFERROR((VLOOKUP(P269,Settings!$E$28:$F$33,2,FALSE)+1),1)</f>
        <v>21.474366633264925</v>
      </c>
      <c r="AL269" s="41">
        <f>AJ269-AK269-AM269</f>
        <v>10.025633366735075</v>
      </c>
      <c r="AM269" s="41">
        <f>VLOOKUP(B269,'Player Data'!$A1:$AE734,27,FALSE)*$AJ269</f>
        <v>4.5</v>
      </c>
      <c r="AN269" s="41">
        <f>VLOOKUP(B269,'Player Data'!$A1:$AE734,28,FALSE)*AJ269</f>
        <v>1.9823571955155095</v>
      </c>
      <c r="AO269" s="41">
        <f>VLOOKUP(B269,'Player Data'!$A1:$AE734,29,FALSE)*$AJ269*IFERROR((VLOOKUP(P269,Settings!$E$28:$F$33,2,FALSE)/4)+1,1)</f>
        <v>987.79517455003588</v>
      </c>
      <c r="AP269" s="41">
        <f>VLOOKUP(B269,'Player Data'!$A1:$AE734,31,FALSE)*$AJ269*(IFERROR(1-(VLOOKUP(P269,Settings!$E$28:$F$33,2,FALSE)/4),1))</f>
        <v>100.38432289827794</v>
      </c>
      <c r="AQ269" s="44">
        <f>1-(AP269/(AO269+AP269))</f>
        <v>0.90775021663827482</v>
      </c>
      <c r="AR269" s="45">
        <f>AP269/AJ269</f>
        <v>2.7884534138410539</v>
      </c>
      <c r="AS269" s="39"/>
    </row>
    <row r="270" spans="1:45" ht="21.25" customHeight="1" x14ac:dyDescent="0.15">
      <c r="A270" s="31">
        <f>RANK(K270,K$2:K$727)</f>
        <v>269</v>
      </c>
      <c r="B270" s="8" t="s">
        <v>374</v>
      </c>
      <c r="C270" s="32" t="s">
        <v>106</v>
      </c>
      <c r="D270" s="33" t="str">
        <f>VLOOKUP(B270,'Player Data'!A1:D734,4,FALSE)</f>
        <v>RW</v>
      </c>
      <c r="E270" s="46">
        <f>VLOOKUP(B270,RW!A1:F97,3,FALSE)</f>
        <v>44</v>
      </c>
      <c r="F270" s="35" t="str">
        <f>VLOOKUP(B270,'Player Data'!A1:B734,2,FALSE)</f>
        <v>CHI</v>
      </c>
      <c r="G270" s="9">
        <f>VLOOKUP(B270,'Player Data'!A1:D734,3,FALSE)</f>
        <v>25</v>
      </c>
      <c r="H270" s="36">
        <f>IFERROR(VLOOKUP(B270,ADP!A1:G728,7,FALSE)/1000000,VLOOKUP(B270,ADP!A1:G728,7,FALSE))</f>
        <v>0.75833300000000003</v>
      </c>
      <c r="I270" s="37">
        <f>IF(Settings!$E$15="POINTS",((R270*Q270)*Settings!$B$12)+(S270*Settings!$B$2)+(T270*Settings!$B$3)+(U270*Settings!$B$4)+(V270*Settings!$B$5)+(X270*Settings!$B$9)+(AA270*Settings!$B$6)+(W270*Settings!$B$8)+(AB270*Settings!$B$7)+(AC270*Settings!$B$14)+(AD270*Settings!$B$15)+(AE270*Settings!$B$16)+(AF270*Settings!$B$17)+(AG270*Settings!$B$18)+(Y270*Settings!$B$10)+(Z270*Settings!$B$11),VLOOKUP(B270,'Standard Deviations'!A1:C728,3,FALSE))</f>
        <v>212.60522244929504</v>
      </c>
      <c r="J270" s="38">
        <f>IF(D270="G",I270/AJ270,I270/Q270)</f>
        <v>2.676973337311698</v>
      </c>
      <c r="K270" s="37">
        <f>IF(Settings!$E$18="C/LW/RW",VLOOKUP(B270,RW!A1:F97,6,FALSE),VLOOKUP(B270,F!A1:F430,6,FALSE))</f>
        <v>-137.66631809859453</v>
      </c>
      <c r="L270" s="37">
        <f>IFERROR(K270/H270,"N/A")</f>
        <v>-181.5380816852155</v>
      </c>
      <c r="M270" s="53" t="str">
        <f>IF(Settings!$E$9="YAHOO",VLOOKUP(B270,ADP!A1:E728,2,FALSE),IF(Settings!$E$9="ESPN",VLOOKUP(B270,ADP!A1:E728,3,FALSE),IF(Settings!$E$9="FANTRAX",VLOOKUP(B270,ADP!A1:E728,4,FALSE),VLOOKUP(B270,ADP!A1:E728,5,FALSE))))</f>
        <v>-</v>
      </c>
      <c r="N270" s="53" t="str">
        <f>IFERROR(M270-A270,"N/A")</f>
        <v>N/A</v>
      </c>
      <c r="O270" s="39"/>
      <c r="P270" s="40" t="str">
        <f>IF(Settings!$E$27="ON",VLOOKUP(B270,ADP!A1:H728,8,FALSE)," ")</f>
        <v xml:space="preserve"> </v>
      </c>
      <c r="Q270" s="41">
        <f>IF(Settings!$E$12="YES",VLOOKUP(B270,'Player Data'!A1:E734,5,FALSE),82)</f>
        <v>79.42</v>
      </c>
      <c r="R270" s="39">
        <f>VLOOKUP(B270,'Player Data'!$A1:$AE734,6,FALSE)</f>
        <v>15.9991238602388</v>
      </c>
      <c r="S270" s="41">
        <f>VLOOKUP(B270,'Player Data'!$A1:$AE734,7,FALSE)*$Q270*IFERROR((VLOOKUP(P270,Settings!$E$28:$F$33,2,FALSE)+1),1)</f>
        <v>18.704624882816674</v>
      </c>
      <c r="T270" s="41">
        <f>VLOOKUP(B270,'Player Data'!$A1:$AE734,8,FALSE)*$Q270*IFERROR((VLOOKUP(P270,Settings!$E$28:$F$33,2,FALSE)+1),1)</f>
        <v>19.396187148738473</v>
      </c>
      <c r="U270" s="41">
        <f>SUM(S270:T270)</f>
        <v>38.100812031555151</v>
      </c>
      <c r="V270" s="41">
        <f>VLOOKUP(B270,'Player Data'!$A1:$AE734,10,FALSE)*$Q270*IFERROR(((VLOOKUP(P270,Settings!$E$28:$F$33,2,FALSE)/2)+1),1)</f>
        <v>134.42289010466715</v>
      </c>
      <c r="W270" s="41">
        <f>VLOOKUP(B270,'Player Data'!$A1:$AE734,11,FALSE)*$Q270*IFERROR((VLOOKUP(P270,Settings!$E$28:$F$33,2,FALSE)+1),1)</f>
        <v>5.7898526408506976</v>
      </c>
      <c r="X270" s="41">
        <f>VLOOKUP(B270,'Player Data'!$A1:$AE734,12,FALSE)*$Q270*IFERROR((VLOOKUP(P270,Settings!$E$28:$F$33,2,FALSE)+1),1)</f>
        <v>12.005555946230317</v>
      </c>
      <c r="Y270" s="41">
        <f>VLOOKUP(B270,'Player Data'!$A1:$AE734,13,FALSE)*$Q270</f>
        <v>3.6592454102550437E-3</v>
      </c>
      <c r="Z270" s="41">
        <f>VLOOKUP(B270,'Player Data'!$A1:$AE734,14,FALSE)*$Q270</f>
        <v>4.5149202290407963E-3</v>
      </c>
      <c r="AA270" s="41">
        <f>VLOOKUP(B270,'Player Data'!$A1:$AE734,15,FALSE)*$Q270</f>
        <v>35.355997846886623</v>
      </c>
      <c r="AB270" s="41">
        <f>VLOOKUP(B270,'Player Data'!$A1:$AE734,16,FALSE)*$Q270</f>
        <v>92.949472640897326</v>
      </c>
      <c r="AC270" s="41">
        <f>VLOOKUP(B270,'Player Data'!$A1:$AE734,17,FALSE)*$Q270*IFERROR((VLOOKUP(P270,Settings!$E$28:$F$33,2,FALSE)+1),1)</f>
        <v>-5.9764967145117618</v>
      </c>
      <c r="AD270" s="41">
        <f>VLOOKUP(B270,'Player Data'!$A1:$AE734,18,FALSE)*$Q270</f>
        <v>18.885849633733663</v>
      </c>
      <c r="AE270" s="41">
        <f>VLOOKUP(B270,'Player Data'!$A1:$AE734,19,FALSE)*$Q270*IFERROR((VLOOKUP(P270,Settings!$E$28:$F$33,2,FALSE)+1),1)</f>
        <v>2.1918369724482467</v>
      </c>
      <c r="AF270" s="41">
        <f>VLOOKUP(B270,'Player Data'!$A1:$AE734,20,FALSE)*$Q270</f>
        <v>8.9369793051038435</v>
      </c>
      <c r="AG270" s="41">
        <f>VLOOKUP(B270,'Player Data'!$A1:$AE734,21,FALSE)*$Q270</f>
        <v>9.344898988343898</v>
      </c>
      <c r="AH270" s="42">
        <f>VLOOKUP(B270,'Player Data'!$A1:$AE734,22,FALSE)</f>
        <v>0.48884360576379599</v>
      </c>
      <c r="AI270" s="39"/>
      <c r="AJ270" s="43"/>
      <c r="AK270" s="41"/>
      <c r="AL270" s="41"/>
      <c r="AM270" s="41"/>
      <c r="AN270" s="41"/>
      <c r="AO270" s="41"/>
      <c r="AP270" s="41"/>
      <c r="AQ270" s="44"/>
      <c r="AR270" s="45"/>
      <c r="AS270" s="39"/>
    </row>
    <row r="271" spans="1:45" ht="21.25" customHeight="1" x14ac:dyDescent="0.15">
      <c r="A271" s="31">
        <f>RANK(K271,K$2:K$727)</f>
        <v>270</v>
      </c>
      <c r="B271" s="8" t="s">
        <v>375</v>
      </c>
      <c r="C271" s="32" t="s">
        <v>106</v>
      </c>
      <c r="D271" s="33" t="str">
        <f>VLOOKUP(B271,'Player Data'!A1:D734,4,FALSE)</f>
        <v>C</v>
      </c>
      <c r="E271" s="34">
        <f>VLOOKUP(B271,'C'!A1:C211,3,FALSE)</f>
        <v>67</v>
      </c>
      <c r="F271" s="35" t="str">
        <f>VLOOKUP(B271,'Player Data'!A1:B734,2,FALSE)</f>
        <v>MTL</v>
      </c>
      <c r="G271" s="9">
        <f>VLOOKUP(B271,'Player Data'!A1:D734,3,FALSE)</f>
        <v>22</v>
      </c>
      <c r="H271" s="36">
        <f>IFERROR(VLOOKUP(B271,ADP!A1:G728,7,FALSE)/1000000,VLOOKUP(B271,ADP!A1:G728,7,FALSE))</f>
        <v>3.3624999999999998</v>
      </c>
      <c r="I271" s="37">
        <f>IF(Settings!$E$15="POINTS",((R271*Q271)*Settings!$B$12)+(S271*Settings!$B$2)+(T271*Settings!$B$3)+(U271*Settings!$B$4)+(V271*Settings!$B$5)+(X271*Settings!$B$9)+(AA271*Settings!$B$6)+(W271*Settings!$B$8)+(AB271*Settings!$B$7)+(AC271*Settings!$B$14)+(AD271*Settings!$B$15)+(AE271*Settings!$B$16)+(AF271*Settings!$B$17)+(AG271*Settings!$B$18)+(Y271*Settings!$B$10)+(Z271*Settings!$B$11),VLOOKUP(B271,'Standard Deviations'!A1:C728,3,FALSE))</f>
        <v>255.61706143361724</v>
      </c>
      <c r="J271" s="38">
        <f>IF(D271="G",I271/AJ271,I271/Q271)</f>
        <v>3.6229108304183528</v>
      </c>
      <c r="K271" s="37">
        <f>IF(Settings!$E$18="C/LW/RW",VLOOKUP(B271,'C'!A1:F211,6,FALSE),VLOOKUP(B271,F!A1:F430,6,FALSE))</f>
        <v>-137.71174433259242</v>
      </c>
      <c r="L271" s="37">
        <f>IFERROR(K271/H271,"N/A")</f>
        <v>-40.955165600770982</v>
      </c>
      <c r="M271" s="53" t="str">
        <f>IF(Settings!$E$9="YAHOO",VLOOKUP(B271,ADP!A1:E728,2,FALSE),IF(Settings!$E$9="ESPN",VLOOKUP(B271,ADP!A1:E728,3,FALSE),IF(Settings!$E$9="FANTRAX",VLOOKUP(B271,ADP!A1:E728,4,FALSE),VLOOKUP(B271,ADP!A1:E728,5,FALSE))))</f>
        <v>-</v>
      </c>
      <c r="N271" s="53" t="str">
        <f>IFERROR(M271-A271,"N/A")</f>
        <v>N/A</v>
      </c>
      <c r="O271" s="39"/>
      <c r="P271" s="40" t="str">
        <f>IF(Settings!$E$27="ON",VLOOKUP(B271,ADP!A1:H728,8,FALSE)," ")</f>
        <v>+</v>
      </c>
      <c r="Q271" s="41">
        <f>IF(Settings!$E$12="YES",VLOOKUP(B271,'Player Data'!A1:E734,5,FALSE),82)</f>
        <v>70.555714285714302</v>
      </c>
      <c r="R271" s="39">
        <f>VLOOKUP(B271,'Player Data'!$A1:$AE734,6,FALSE)</f>
        <v>18.252363030649398</v>
      </c>
      <c r="S271" s="41">
        <f>VLOOKUP(B271,'Player Data'!$A1:$AE734,7,FALSE)*$Q271*IFERROR((VLOOKUP(P271,Settings!$E$28:$F$33,2,FALSE)+1),1)</f>
        <v>18.074599890516261</v>
      </c>
      <c r="T271" s="41">
        <f>VLOOKUP(B271,'Player Data'!$A1:$AE734,8,FALSE)*$Q271*IFERROR((VLOOKUP(P271,Settings!$E$28:$F$33,2,FALSE)+1),1)</f>
        <v>29.251086502849638</v>
      </c>
      <c r="U271" s="41">
        <f>SUM(S271:T271)</f>
        <v>47.325686393365899</v>
      </c>
      <c r="V271" s="41">
        <f>VLOOKUP(B271,'Player Data'!$A1:$AE734,10,FALSE)*$Q271*IFERROR(((VLOOKUP(P271,Settings!$E$28:$F$33,2,FALSE)/2)+1),1)</f>
        <v>137.21070684213188</v>
      </c>
      <c r="W271" s="41">
        <f>VLOOKUP(B271,'Player Data'!$A1:$AE734,11,FALSE)*$Q271*IFERROR((VLOOKUP(P271,Settings!$E$28:$F$33,2,FALSE)+1),1)</f>
        <v>6.4769313400176545</v>
      </c>
      <c r="X271" s="41">
        <f>VLOOKUP(B271,'Player Data'!$A1:$AE734,12,FALSE)*$Q271*IFERROR((VLOOKUP(P271,Settings!$E$28:$F$33,2,FALSE)+1),1)</f>
        <v>17.522280272992301</v>
      </c>
      <c r="Y271" s="41">
        <f>VLOOKUP(B271,'Player Data'!$A1:$AE734,13,FALSE)*$Q271</f>
        <v>4.8029089930020391E-2</v>
      </c>
      <c r="Z271" s="41">
        <f>VLOOKUP(B271,'Player Data'!$A1:$AE734,14,FALSE)*$Q271</f>
        <v>0.66548001718176464</v>
      </c>
      <c r="AA271" s="41">
        <f>VLOOKUP(B271,'Player Data'!$A1:$AE734,15,FALSE)*$Q271</f>
        <v>43.295641260527361</v>
      </c>
      <c r="AB271" s="41">
        <f>VLOOKUP(B271,'Player Data'!$A1:$AE734,16,FALSE)*$Q271</f>
        <v>59.769979865804082</v>
      </c>
      <c r="AC271" s="41">
        <f>VLOOKUP(B271,'Player Data'!$A1:$AE734,17,FALSE)*$Q271*IFERROR((VLOOKUP(P271,Settings!$E$28:$F$33,2,FALSE)+1),1)</f>
        <v>-5.8195879385525453</v>
      </c>
      <c r="AD271" s="41">
        <f>VLOOKUP(B271,'Player Data'!$A1:$AE734,18,FALSE)*$Q271</f>
        <v>44.181686307806359</v>
      </c>
      <c r="AE271" s="41">
        <f>VLOOKUP(B271,'Player Data'!$A1:$AE734,19,FALSE)*$Q271*IFERROR((VLOOKUP(P271,Settings!$E$28:$F$33,2,FALSE)+1),1)</f>
        <v>1.9587280743863045</v>
      </c>
      <c r="AF271" s="41">
        <f>VLOOKUP(B271,'Player Data'!$A1:$AE734,20,FALSE)*$Q271</f>
        <v>125.26391180511909</v>
      </c>
      <c r="AG271" s="41">
        <f>VLOOKUP(B271,'Player Data'!$A1:$AE734,21,FALSE)*$Q271</f>
        <v>222.53660675691472</v>
      </c>
      <c r="AH271" s="42">
        <f>VLOOKUP(B271,'Player Data'!$A1:$AE734,22,FALSE)</f>
        <v>0.36016022150575699</v>
      </c>
      <c r="AI271" s="39"/>
      <c r="AJ271" s="43"/>
      <c r="AK271" s="41"/>
      <c r="AL271" s="41"/>
      <c r="AM271" s="41"/>
      <c r="AN271" s="41"/>
      <c r="AO271" s="41"/>
      <c r="AP271" s="41"/>
      <c r="AQ271" s="44"/>
      <c r="AR271" s="45"/>
      <c r="AS271" s="39"/>
    </row>
    <row r="272" spans="1:45" ht="21.25" customHeight="1" x14ac:dyDescent="0.15">
      <c r="A272" s="31">
        <f>RANK(K272,K$2:K$727)</f>
        <v>271</v>
      </c>
      <c r="B272" s="8" t="s">
        <v>376</v>
      </c>
      <c r="C272" s="32" t="s">
        <v>106</v>
      </c>
      <c r="D272" s="33" t="str">
        <f>VLOOKUP(B272,'Player Data'!A1:D734,4,FALSE)</f>
        <v>LW</v>
      </c>
      <c r="E272" s="47">
        <f>VLOOKUP(B272,LW!A1:C130,3,FALSE)</f>
        <v>52</v>
      </c>
      <c r="F272" s="35" t="str">
        <f>VLOOKUP(B272,'Player Data'!A1:B734,2,FALSE)</f>
        <v>STL</v>
      </c>
      <c r="G272" s="9">
        <f>VLOOKUP(B272,'Player Data'!A1:D734,3,FALSE)</f>
        <v>30</v>
      </c>
      <c r="H272" s="36">
        <f>IFERROR(VLOOKUP(B272,ADP!A1:G728,7,FALSE)/1000000,VLOOKUP(B272,ADP!A1:G728,7,FALSE))</f>
        <v>4.5</v>
      </c>
      <c r="I272" s="37">
        <f>IF(Settings!$E$15="POINTS",((R272*Q272)*Settings!$B$12)+(S272*Settings!$B$2)+(T272*Settings!$B$3)+(U272*Settings!$B$4)+(V272*Settings!$B$5)+(X272*Settings!$B$9)+(AA272*Settings!$B$6)+(W272*Settings!$B$8)+(AB272*Settings!$B$7)+(AC272*Settings!$B$14)+(AD272*Settings!$B$15)+(AE272*Settings!$B$16)+(AF272*Settings!$B$17)+(AG272*Settings!$B$18)+(Y272*Settings!$B$10)+(Z272*Settings!$B$11),VLOOKUP(B272,'Standard Deviations'!A1:C728,3,FALSE))</f>
        <v>225.79907354198809</v>
      </c>
      <c r="J272" s="38">
        <f>IF(D272="G",I272/AJ272,I272/Q272)</f>
        <v>2.903407954359984</v>
      </c>
      <c r="K272" s="37">
        <f>IF(Settings!$E$18="C/LW/RW",VLOOKUP(B272,LW!A1:F130,6,FALSE),VLOOKUP(B272,F!A1:F430,6,FALSE))</f>
        <v>-138.24153131566237</v>
      </c>
      <c r="L272" s="37">
        <f>IFERROR(K272/H272,"N/A")</f>
        <v>-30.720340292369414</v>
      </c>
      <c r="M272" s="53" t="str">
        <f>IF(Settings!$E$9="YAHOO",VLOOKUP(B272,ADP!A1:E728,2,FALSE),IF(Settings!$E$9="ESPN",VLOOKUP(B272,ADP!A1:E728,3,FALSE),IF(Settings!$E$9="FANTRAX",VLOOKUP(B272,ADP!A1:E728,4,FALSE),VLOOKUP(B272,ADP!A1:E728,5,FALSE))))</f>
        <v>-</v>
      </c>
      <c r="N272" s="53" t="str">
        <f>IFERROR(M272-A272,"N/A")</f>
        <v>N/A</v>
      </c>
      <c r="O272" s="39"/>
      <c r="P272" s="40" t="str">
        <f>IF(Settings!$E$27="ON",VLOOKUP(B272,ADP!A1:H728,8,FALSE)," ")</f>
        <v xml:space="preserve"> </v>
      </c>
      <c r="Q272" s="41">
        <f>IF(Settings!$E$12="YES",VLOOKUP(B272,'Player Data'!A1:E734,5,FALSE),82)</f>
        <v>77.770357142857094</v>
      </c>
      <c r="R272" s="39">
        <f>VLOOKUP(B272,'Player Data'!$A1:$AE734,6,FALSE)</f>
        <v>16.414531949716601</v>
      </c>
      <c r="S272" s="41">
        <f>VLOOKUP(B272,'Player Data'!$A1:$AE734,7,FALSE)*$Q272*IFERROR((VLOOKUP(P272,Settings!$E$28:$F$33,2,FALSE)+1),1)</f>
        <v>21.215499095530536</v>
      </c>
      <c r="T272" s="41">
        <f>VLOOKUP(B272,'Player Data'!$A1:$AE734,8,FALSE)*$Q272*IFERROR((VLOOKUP(P272,Settings!$E$28:$F$33,2,FALSE)+1),1)</f>
        <v>21.606962343336011</v>
      </c>
      <c r="U272" s="41">
        <f>SUM(S272:T272)</f>
        <v>42.822461438866547</v>
      </c>
      <c r="V272" s="41">
        <f>VLOOKUP(B272,'Player Data'!$A1:$AE734,10,FALSE)*$Q272*IFERROR(((VLOOKUP(P272,Settings!$E$28:$F$33,2,FALSE)/2)+1),1)</f>
        <v>143.71696269118794</v>
      </c>
      <c r="W272" s="41">
        <f>VLOOKUP(B272,'Player Data'!$A1:$AE734,11,FALSE)*$Q272*IFERROR((VLOOKUP(P272,Settings!$E$28:$F$33,2,FALSE)+1),1)</f>
        <v>3.8716093667493467</v>
      </c>
      <c r="X272" s="41">
        <f>VLOOKUP(B272,'Player Data'!$A1:$AE734,12,FALSE)*$Q272*IFERROR((VLOOKUP(P272,Settings!$E$28:$F$33,2,FALSE)+1),1)</f>
        <v>7.1864797284402</v>
      </c>
      <c r="Y272" s="41">
        <f>VLOOKUP(B272,'Player Data'!$A1:$AE734,13,FALSE)*$Q272</f>
        <v>1.3603121368126041</v>
      </c>
      <c r="Z272" s="41">
        <f>VLOOKUP(B272,'Player Data'!$A1:$AE734,14,FALSE)*$Q272</f>
        <v>2.5147003267082102</v>
      </c>
      <c r="AA272" s="41">
        <f>VLOOKUP(B272,'Player Data'!$A1:$AE734,15,FALSE)*$Q272</f>
        <v>30.354238847488286</v>
      </c>
      <c r="AB272" s="41">
        <f>VLOOKUP(B272,'Player Data'!$A1:$AE734,16,FALSE)*$Q272</f>
        <v>31.129995841679293</v>
      </c>
      <c r="AC272" s="41">
        <f>VLOOKUP(B272,'Player Data'!$A1:$AE734,17,FALSE)*$Q272*IFERROR((VLOOKUP(P272,Settings!$E$28:$F$33,2,FALSE)+1),1)</f>
        <v>-3.6540122441889267</v>
      </c>
      <c r="AD272" s="41">
        <f>VLOOKUP(B272,'Player Data'!$A1:$AE734,18,FALSE)*$Q272</f>
        <v>17.884347240544194</v>
      </c>
      <c r="AE272" s="41">
        <f>VLOOKUP(B272,'Player Data'!$A1:$AE734,19,FALSE)*$Q272*IFERROR((VLOOKUP(P272,Settings!$E$28:$F$33,2,FALSE)+1),1)</f>
        <v>2.4413254345391708</v>
      </c>
      <c r="AF272" s="41">
        <f>VLOOKUP(B272,'Player Data'!$A1:$AE734,20,FALSE)*$Q272</f>
        <v>9.198465124655737</v>
      </c>
      <c r="AG272" s="41">
        <f>VLOOKUP(B272,'Player Data'!$A1:$AE734,21,FALSE)*$Q272</f>
        <v>10.841974360322789</v>
      </c>
      <c r="AH272" s="42">
        <f>VLOOKUP(B272,'Player Data'!$A1:$AE734,22,FALSE)</f>
        <v>0.45899517979885202</v>
      </c>
      <c r="AI272" s="39"/>
      <c r="AJ272" s="43"/>
      <c r="AK272" s="41"/>
      <c r="AL272" s="41"/>
      <c r="AM272" s="41"/>
      <c r="AN272" s="41"/>
      <c r="AO272" s="41"/>
      <c r="AP272" s="41"/>
      <c r="AQ272" s="44"/>
      <c r="AR272" s="45"/>
      <c r="AS272" s="39"/>
    </row>
    <row r="273" spans="1:45" ht="21.25" customHeight="1" x14ac:dyDescent="0.15">
      <c r="A273" s="31">
        <f>RANK(K273,K$2:K$727)</f>
        <v>272</v>
      </c>
      <c r="B273" s="8" t="s">
        <v>377</v>
      </c>
      <c r="C273" s="32" t="s">
        <v>106</v>
      </c>
      <c r="D273" s="33" t="str">
        <f>VLOOKUP(B273,'Player Data'!A1:D734,4,FALSE)</f>
        <v>D</v>
      </c>
      <c r="E273" s="49">
        <f>VLOOKUP(B273,D!A1:C227,3,FALSE)</f>
        <v>79</v>
      </c>
      <c r="F273" s="35" t="str">
        <f>VLOOKUP(B273,'Player Data'!A1:B734,2,FALSE)</f>
        <v>NYI</v>
      </c>
      <c r="G273" s="9">
        <f>VLOOKUP(B273,'Player Data'!A1:D734,3,FALSE)</f>
        <v>28</v>
      </c>
      <c r="H273" s="36">
        <f>IFERROR(VLOOKUP(B273,ADP!A1:G728,7,FALSE)/1000000,VLOOKUP(B273,ADP!A1:G728,7,FALSE))</f>
        <v>6.15</v>
      </c>
      <c r="I273" s="37">
        <f>IF(Settings!$E$15="POINTS",((R273*Q273)*Settings!$B$12)+(S273*Settings!$B$2)+(T273*Settings!$B$3)+(U273*Settings!$B$4)+(V273*Settings!$B$5)+(X273*Settings!$B$9)+(AA273*Settings!$B$6)+(W273*Settings!$B$8)+(AB273*Settings!$B$7)+(AC273*Settings!$B$14)+(AD273*Settings!$B$15)+(AE273*Settings!$B$16)+(AF273*Settings!$B$17)+(AG273*Settings!$B$18)+(U273*Settings!$B$13)+(Y273*Settings!$B$10)+(Z273*Settings!$B$11),VLOOKUP(B273,'Standard Deviations'!A1:C728,3,FALSE))</f>
        <v>173.31986172934421</v>
      </c>
      <c r="J273" s="38">
        <f>IF(D273="G",I273/AJ273,I273/Q273)</f>
        <v>2.2091627267776968</v>
      </c>
      <c r="K273" s="37">
        <f>VLOOKUP(B273,D!A1:F227,6,FALSE)</f>
        <v>-138.24561989858324</v>
      </c>
      <c r="L273" s="37">
        <f>IFERROR(K273/H273,"N/A")</f>
        <v>-22.478962585135484</v>
      </c>
      <c r="M273" s="53" t="str">
        <f>IF(Settings!$E$9="YAHOO",VLOOKUP(B273,ADP!A1:E728,2,FALSE),IF(Settings!$E$9="ESPN",VLOOKUP(B273,ADP!A1:E728,3,FALSE),IF(Settings!$E$9="FANTRAX",VLOOKUP(B273,ADP!A1:E728,4,FALSE),VLOOKUP(B273,ADP!A1:E728,5,FALSE))))</f>
        <v>-</v>
      </c>
      <c r="N273" s="53" t="str">
        <f>IFERROR(M273-A273,"N/A")</f>
        <v>N/A</v>
      </c>
      <c r="O273" s="39"/>
      <c r="P273" s="40" t="str">
        <f>IF(Settings!$E$27="ON",VLOOKUP(B273,ADP!A1:H728,8,FALSE)," ")</f>
        <v xml:space="preserve"> </v>
      </c>
      <c r="Q273" s="41">
        <f>IF(Settings!$E$12="YES",VLOOKUP(B273,'Player Data'!A1:E734,5,FALSE),82)</f>
        <v>78.454999999999998</v>
      </c>
      <c r="R273" s="39">
        <f>VLOOKUP(B273,'Player Data'!$A1:$AE734,6,FALSE)</f>
        <v>20.772920297141798</v>
      </c>
      <c r="S273" s="41">
        <f>VLOOKUP(B273,'Player Data'!$A1:$AE734,7,FALSE)*$Q273*IFERROR((VLOOKUP(P273,Settings!$E$28:$F$33,2,FALSE)+1),1)</f>
        <v>4.7037840235511812</v>
      </c>
      <c r="T273" s="41">
        <f>VLOOKUP(B273,'Player Data'!$A1:$AE734,8,FALSE)*$Q273*IFERROR((VLOOKUP(P273,Settings!$E$28:$F$33,2,FALSE)+1),1)</f>
        <v>19.925520213168859</v>
      </c>
      <c r="U273" s="41">
        <f>SUM(S273:T273)</f>
        <v>24.629304236720039</v>
      </c>
      <c r="V273" s="41">
        <f>VLOOKUP(B273,'Player Data'!$A1:$AE734,10,FALSE)*$Q273*IFERROR(((VLOOKUP(P273,Settings!$E$28:$F$33,2,FALSE)/2)+1),1)</f>
        <v>130.63259085397016</v>
      </c>
      <c r="W273" s="41">
        <f>VLOOKUP(B273,'Player Data'!$A1:$AE734,11,FALSE)*$Q273*IFERROR((VLOOKUP(P273,Settings!$E$28:$F$33,2,FALSE)+1),1)</f>
        <v>0.71861381522961276</v>
      </c>
      <c r="X273" s="41">
        <f>VLOOKUP(B273,'Player Data'!$A1:$AE734,12,FALSE)*$Q273*IFERROR((VLOOKUP(P273,Settings!$E$28:$F$33,2,FALSE)+1),1)</f>
        <v>3.20210343943095</v>
      </c>
      <c r="Y273" s="41">
        <f>VLOOKUP(B273,'Player Data'!$A1:$AE734,13,FALSE)*$Q273</f>
        <v>3.2020394791340542E-2</v>
      </c>
      <c r="Z273" s="41">
        <f>VLOOKUP(B273,'Player Data'!$A1:$AE734,14,FALSE)*$Q273</f>
        <v>0.40645565187417776</v>
      </c>
      <c r="AA273" s="41">
        <f>VLOOKUP(B273,'Player Data'!$A1:$AE734,15,FALSE)*$Q273</f>
        <v>134.49267704794372</v>
      </c>
      <c r="AB273" s="41">
        <f>VLOOKUP(B273,'Player Data'!$A1:$AE734,16,FALSE)*$Q273</f>
        <v>130.13851284132389</v>
      </c>
      <c r="AC273" s="41">
        <f>VLOOKUP(B273,'Player Data'!$A1:$AE734,17,FALSE)*$Q273*IFERROR((VLOOKUP(P273,Settings!$E$28:$F$33,2,FALSE)+1),1)</f>
        <v>1.0825510672516543</v>
      </c>
      <c r="AD273" s="41">
        <f>VLOOKUP(B273,'Player Data'!$A1:$AE734,18,FALSE)*$Q273</f>
        <v>14.430108084231824</v>
      </c>
      <c r="AE273" s="41">
        <f>VLOOKUP(B273,'Player Data'!$A1:$AE734,19,FALSE)*$Q273*IFERROR((VLOOKUP(P273,Settings!$E$28:$F$33,2,FALSE)+1),1)</f>
        <v>0.7268374438575228</v>
      </c>
      <c r="AF273" s="41">
        <f>VLOOKUP(B273,'Player Data'!$A1:$AE734,20,FALSE)*$Q273</f>
        <v>0</v>
      </c>
      <c r="AG273" s="41">
        <f>VLOOKUP(B273,'Player Data'!$A1:$AE734,21,FALSE)*$Q273</f>
        <v>0</v>
      </c>
      <c r="AH273" s="42">
        <f>VLOOKUP(B273,'Player Data'!$A1:$AE734,22,FALSE)</f>
        <v>0</v>
      </c>
      <c r="AI273" s="39"/>
      <c r="AJ273" s="43"/>
      <c r="AK273" s="41"/>
      <c r="AL273" s="41"/>
      <c r="AM273" s="41"/>
      <c r="AN273" s="41"/>
      <c r="AO273" s="41"/>
      <c r="AP273" s="41"/>
      <c r="AQ273" s="44"/>
      <c r="AR273" s="45"/>
      <c r="AS273" s="39"/>
    </row>
    <row r="274" spans="1:45" ht="21.25" customHeight="1" x14ac:dyDescent="0.15">
      <c r="A274" s="31">
        <f>RANK(K274,K$2:K$727)</f>
        <v>273</v>
      </c>
      <c r="B274" s="8" t="s">
        <v>378</v>
      </c>
      <c r="C274" s="32" t="s">
        <v>106</v>
      </c>
      <c r="D274" s="33" t="str">
        <f>VLOOKUP(B274,'Player Data'!A1:D734,4,FALSE)</f>
        <v>C</v>
      </c>
      <c r="E274" s="34">
        <f>VLOOKUP(B274,'C'!A1:C211,3,FALSE)</f>
        <v>68</v>
      </c>
      <c r="F274" s="35" t="str">
        <f>VLOOKUP(B274,'Player Data'!A1:B734,2,FALSE)</f>
        <v>VGK</v>
      </c>
      <c r="G274" s="9">
        <f>VLOOKUP(B274,'Player Data'!A1:D734,3,FALSE)</f>
        <v>30</v>
      </c>
      <c r="H274" s="36">
        <f>IFERROR(VLOOKUP(B274,ADP!A1:G728,7,FALSE)/1000000,VLOOKUP(B274,ADP!A1:G728,7,FALSE))</f>
        <v>5.9</v>
      </c>
      <c r="I274" s="37">
        <f>IF(Settings!$E$15="POINTS",((R274*Q274)*Settings!$B$12)+(S274*Settings!$B$2)+(T274*Settings!$B$3)+(U274*Settings!$B$4)+(V274*Settings!$B$5)+(X274*Settings!$B$9)+(AA274*Settings!$B$6)+(W274*Settings!$B$8)+(AB274*Settings!$B$7)+(AC274*Settings!$B$14)+(AD274*Settings!$B$15)+(AE274*Settings!$B$16)+(AF274*Settings!$B$17)+(AG274*Settings!$B$18)+(Y274*Settings!$B$10)+(Z274*Settings!$B$11),VLOOKUP(B274,'Standard Deviations'!A1:C728,3,FALSE))</f>
        <v>254.33919820763199</v>
      </c>
      <c r="J274" s="38">
        <f>IF(D274="G",I274/AJ274,I274/Q274)</f>
        <v>3.1805320687483287</v>
      </c>
      <c r="K274" s="37">
        <f>IF(Settings!$E$18="C/LW/RW",VLOOKUP(B274,'C'!A1:F211,6,FALSE),VLOOKUP(B274,F!A1:F430,6,FALSE))</f>
        <v>-138.98960755857766</v>
      </c>
      <c r="L274" s="37">
        <f>IFERROR(K274/H274,"N/A")</f>
        <v>-23.557560603148755</v>
      </c>
      <c r="M274" s="53" t="str">
        <f>IF(Settings!$E$9="YAHOO",VLOOKUP(B274,ADP!A1:E728,2,FALSE),IF(Settings!$E$9="ESPN",VLOOKUP(B274,ADP!A1:E728,3,FALSE),IF(Settings!$E$9="FANTRAX",VLOOKUP(B274,ADP!A1:E728,4,FALSE),VLOOKUP(B274,ADP!A1:E728,5,FALSE))))</f>
        <v>-</v>
      </c>
      <c r="N274" s="53" t="str">
        <f>IFERROR(M274-A274,"N/A")</f>
        <v>N/A</v>
      </c>
      <c r="O274" s="39"/>
      <c r="P274" s="40" t="str">
        <f>IF(Settings!$E$27="ON",VLOOKUP(B274,ADP!A1:H728,8,FALSE)," ")</f>
        <v xml:space="preserve"> </v>
      </c>
      <c r="Q274" s="41">
        <f>IF(Settings!$E$12="YES",VLOOKUP(B274,'Player Data'!A1:E734,5,FALSE),82)</f>
        <v>79.967500000000001</v>
      </c>
      <c r="R274" s="39">
        <f>VLOOKUP(B274,'Player Data'!$A1:$AE734,6,FALSE)</f>
        <v>17.934939206364302</v>
      </c>
      <c r="S274" s="41">
        <f>VLOOKUP(B274,'Player Data'!$A1:$AE734,7,FALSE)*$Q274*IFERROR((VLOOKUP(P274,Settings!$E$28:$F$33,2,FALSE)+1),1)</f>
        <v>14.871521766385138</v>
      </c>
      <c r="T274" s="41">
        <f>VLOOKUP(B274,'Player Data'!$A1:$AE734,8,FALSE)*$Q274*IFERROR((VLOOKUP(P274,Settings!$E$28:$F$33,2,FALSE)+1),1)</f>
        <v>33.179534961610287</v>
      </c>
      <c r="U274" s="41">
        <f>SUM(S274:T274)</f>
        <v>48.051056727995423</v>
      </c>
      <c r="V274" s="41">
        <f>VLOOKUP(B274,'Player Data'!$A1:$AE734,10,FALSE)*$Q274*IFERROR(((VLOOKUP(P274,Settings!$E$28:$F$33,2,FALSE)/2)+1),1)</f>
        <v>159.1699978239198</v>
      </c>
      <c r="W274" s="41">
        <f>VLOOKUP(B274,'Player Data'!$A1:$AE734,11,FALSE)*$Q274*IFERROR((VLOOKUP(P274,Settings!$E$28:$F$33,2,FALSE)+1),1)</f>
        <v>1.4199879112925751</v>
      </c>
      <c r="X274" s="41">
        <f>VLOOKUP(B274,'Player Data'!$A1:$AE734,12,FALSE)*$Q274*IFERROR((VLOOKUP(P274,Settings!$E$28:$F$33,2,FALSE)+1),1)</f>
        <v>6.8614523126092219</v>
      </c>
      <c r="Y274" s="41">
        <f>VLOOKUP(B274,'Player Data'!$A1:$AE734,13,FALSE)*$Q274</f>
        <v>1.5334904314375475</v>
      </c>
      <c r="Z274" s="41">
        <f>VLOOKUP(B274,'Player Data'!$A1:$AE734,14,FALSE)*$Q274</f>
        <v>3.570976031482521</v>
      </c>
      <c r="AA274" s="41">
        <f>VLOOKUP(B274,'Player Data'!$A1:$AE734,15,FALSE)*$Q274</f>
        <v>48.680862117511758</v>
      </c>
      <c r="AB274" s="41">
        <f>VLOOKUP(B274,'Player Data'!$A1:$AE734,16,FALSE)*$Q274</f>
        <v>52.735467760104136</v>
      </c>
      <c r="AC274" s="41">
        <f>VLOOKUP(B274,'Player Data'!$A1:$AE734,17,FALSE)*$Q274*IFERROR((VLOOKUP(P274,Settings!$E$28:$F$33,2,FALSE)+1),1)</f>
        <v>6.196098032270549</v>
      </c>
      <c r="AD274" s="41">
        <f>VLOOKUP(B274,'Player Data'!$A1:$AE734,18,FALSE)*$Q274</f>
        <v>13.837874058405925</v>
      </c>
      <c r="AE274" s="41">
        <f>VLOOKUP(B274,'Player Data'!$A1:$AE734,19,FALSE)*$Q274*IFERROR((VLOOKUP(P274,Settings!$E$28:$F$33,2,FALSE)+1),1)</f>
        <v>2.4304124224985619</v>
      </c>
      <c r="AF274" s="41">
        <f>VLOOKUP(B274,'Player Data'!$A1:$AE734,20,FALSE)*$Q274</f>
        <v>627.37676183868712</v>
      </c>
      <c r="AG274" s="41">
        <f>VLOOKUP(B274,'Player Data'!$A1:$AE734,21,FALSE)*$Q274</f>
        <v>536.56036251579451</v>
      </c>
      <c r="AH274" s="42">
        <f>VLOOKUP(B274,'Player Data'!$A1:$AE734,22,FALSE)</f>
        <v>0.53901258814700104</v>
      </c>
      <c r="AI274" s="39"/>
      <c r="AJ274" s="43"/>
      <c r="AK274" s="41"/>
      <c r="AL274" s="41"/>
      <c r="AM274" s="41"/>
      <c r="AN274" s="41"/>
      <c r="AO274" s="41"/>
      <c r="AP274" s="41"/>
      <c r="AQ274" s="44"/>
      <c r="AR274" s="45"/>
      <c r="AS274" s="39"/>
    </row>
    <row r="275" spans="1:45" ht="21.25" customHeight="1" x14ac:dyDescent="0.15">
      <c r="A275" s="31">
        <f>RANK(K275,K$2:K$727)</f>
        <v>274</v>
      </c>
      <c r="B275" s="8" t="s">
        <v>379</v>
      </c>
      <c r="C275" s="32" t="s">
        <v>106</v>
      </c>
      <c r="D275" s="33" t="str">
        <f>VLOOKUP(B275,'Player Data'!A1:D734,4,FALSE)</f>
        <v>C</v>
      </c>
      <c r="E275" s="34">
        <f>VLOOKUP(B275,'C'!A1:C211,3,FALSE)</f>
        <v>69</v>
      </c>
      <c r="F275" s="35" t="str">
        <f>VLOOKUP(B275,'Player Data'!A1:B734,2,FALSE)</f>
        <v>PHI</v>
      </c>
      <c r="G275" s="9">
        <f>VLOOKUP(B275,'Player Data'!A1:D734,3,FALSE)</f>
        <v>30</v>
      </c>
      <c r="H275" s="36">
        <f>IFERROR(VLOOKUP(B275,ADP!A1:G728,7,FALSE)/1000000,VLOOKUP(B275,ADP!A1:G728,7,FALSE))</f>
        <v>7.75</v>
      </c>
      <c r="I275" s="37">
        <f>IF(Settings!$E$15="POINTS",((R275*Q275)*Settings!$B$12)+(S275*Settings!$B$2)+(T275*Settings!$B$3)+(U275*Settings!$B$4)+(V275*Settings!$B$5)+(X275*Settings!$B$9)+(AA275*Settings!$B$6)+(W275*Settings!$B$8)+(AB275*Settings!$B$7)+(AC275*Settings!$B$14)+(AD275*Settings!$B$15)+(AE275*Settings!$B$16)+(AF275*Settings!$B$17)+(AG275*Settings!$B$18)+(Y275*Settings!$B$10)+(Z275*Settings!$B$11),VLOOKUP(B275,'Standard Deviations'!A1:C728,3,FALSE))</f>
        <v>253.99470579268629</v>
      </c>
      <c r="J275" s="38">
        <f>IF(D275="G",I275/AJ275,I275/Q275)</f>
        <v>4.3360983825840433</v>
      </c>
      <c r="K275" s="37">
        <f>IF(Settings!$E$18="C/LW/RW",VLOOKUP(B275,'C'!A1:F211,6,FALSE),VLOOKUP(B275,F!A1:F430,6,FALSE))</f>
        <v>-139.33409997352337</v>
      </c>
      <c r="L275" s="37">
        <f>IFERROR(K275/H275,"N/A")</f>
        <v>-17.978593544970757</v>
      </c>
      <c r="M275" s="53" t="str">
        <f>IF(Settings!$E$9="YAHOO",VLOOKUP(B275,ADP!A1:E728,2,FALSE),IF(Settings!$E$9="ESPN",VLOOKUP(B275,ADP!A1:E728,3,FALSE),IF(Settings!$E$9="FANTRAX",VLOOKUP(B275,ADP!A1:E728,4,FALSE),VLOOKUP(B275,ADP!A1:E728,5,FALSE))))</f>
        <v>-</v>
      </c>
      <c r="N275" s="53" t="str">
        <f>IFERROR(M275-A275,"N/A")</f>
        <v>N/A</v>
      </c>
      <c r="O275" s="39"/>
      <c r="P275" s="40" t="str">
        <f>IF(Settings!$E$27="ON",VLOOKUP(B275,ADP!A1:H728,8,FALSE)," ")</f>
        <v xml:space="preserve"> </v>
      </c>
      <c r="Q275" s="41">
        <f>IF(Settings!$E$12="YES",VLOOKUP(B275,'Player Data'!A1:E734,5,FALSE),82)</f>
        <v>58.576785714285698</v>
      </c>
      <c r="R275" s="39">
        <f>VLOOKUP(B275,'Player Data'!$A1:$AE734,6,FALSE)</f>
        <v>20.2187346493902</v>
      </c>
      <c r="S275" s="41">
        <f>VLOOKUP(B275,'Player Data'!$A1:$AE734,7,FALSE)*$Q275*IFERROR((VLOOKUP(P275,Settings!$E$28:$F$33,2,FALSE)+1),1)</f>
        <v>18.935061058243939</v>
      </c>
      <c r="T275" s="41">
        <f>VLOOKUP(B275,'Player Data'!$A1:$AE734,8,FALSE)*$Q275*IFERROR((VLOOKUP(P275,Settings!$E$28:$F$33,2,FALSE)+1),1)</f>
        <v>27.659291687054129</v>
      </c>
      <c r="U275" s="41">
        <f>SUM(S275:T275)</f>
        <v>46.594352745298067</v>
      </c>
      <c r="V275" s="41">
        <f>VLOOKUP(B275,'Player Data'!$A1:$AE734,10,FALSE)*$Q275*IFERROR(((VLOOKUP(P275,Settings!$E$28:$F$33,2,FALSE)/2)+1),1)</f>
        <v>164.90309803523635</v>
      </c>
      <c r="W275" s="41">
        <f>VLOOKUP(B275,'Player Data'!$A1:$AE734,11,FALSE)*$Q275*IFERROR((VLOOKUP(P275,Settings!$E$28:$F$33,2,FALSE)+1),1)</f>
        <v>3.9367868384162157</v>
      </c>
      <c r="X275" s="41">
        <f>VLOOKUP(B275,'Player Data'!$A1:$AE734,12,FALSE)*$Q275*IFERROR((VLOOKUP(P275,Settings!$E$28:$F$33,2,FALSE)+1),1)</f>
        <v>11.318284233221494</v>
      </c>
      <c r="Y275" s="41">
        <f>VLOOKUP(B275,'Player Data'!$A1:$AE734,13,FALSE)*$Q275</f>
        <v>0.28856863955793977</v>
      </c>
      <c r="Z275" s="41">
        <f>VLOOKUP(B275,'Player Data'!$A1:$AE734,14,FALSE)*$Q275</f>
        <v>1.1526345960981228</v>
      </c>
      <c r="AA275" s="41">
        <f>VLOOKUP(B275,'Player Data'!$A1:$AE734,15,FALSE)*$Q275</f>
        <v>34.091304402673494</v>
      </c>
      <c r="AB275" s="41">
        <f>VLOOKUP(B275,'Player Data'!$A1:$AE734,16,FALSE)*$Q275</f>
        <v>52.066224210602705</v>
      </c>
      <c r="AC275" s="41">
        <f>VLOOKUP(B275,'Player Data'!$A1:$AE734,17,FALSE)*$Q275*IFERROR((VLOOKUP(P275,Settings!$E$28:$F$33,2,FALSE)+1),1)</f>
        <v>-3.7084602711384416</v>
      </c>
      <c r="AD275" s="41">
        <f>VLOOKUP(B275,'Player Data'!$A1:$AE734,18,FALSE)*$Q275</f>
        <v>0</v>
      </c>
      <c r="AE275" s="41">
        <f>VLOOKUP(B275,'Player Data'!$A1:$AE734,19,FALSE)*$Q275*IFERROR((VLOOKUP(P275,Settings!$E$28:$F$33,2,FALSE)+1),1)</f>
        <v>2.2257339160266572</v>
      </c>
      <c r="AF275" s="41">
        <f>VLOOKUP(B275,'Player Data'!$A1:$AE734,20,FALSE)*$Q275</f>
        <v>537.60141093165703</v>
      </c>
      <c r="AG275" s="41">
        <f>VLOOKUP(B275,'Player Data'!$A1:$AE734,21,FALSE)*$Q275</f>
        <v>417.55559264283136</v>
      </c>
      <c r="AH275" s="42">
        <f>VLOOKUP(B275,'Player Data'!$A1:$AE734,22,FALSE)</f>
        <v>0.56284088261907605</v>
      </c>
      <c r="AI275" s="39"/>
      <c r="AJ275" s="43"/>
      <c r="AK275" s="41"/>
      <c r="AL275" s="41"/>
      <c r="AM275" s="41"/>
      <c r="AN275" s="41"/>
      <c r="AO275" s="41"/>
      <c r="AP275" s="41"/>
      <c r="AQ275" s="44"/>
      <c r="AR275" s="45"/>
      <c r="AS275" s="39"/>
    </row>
    <row r="276" spans="1:45" ht="21.25" customHeight="1" x14ac:dyDescent="0.15">
      <c r="A276" s="31">
        <f>RANK(K276,K$2:K$727)</f>
        <v>275</v>
      </c>
      <c r="B276" s="8" t="s">
        <v>380</v>
      </c>
      <c r="C276" s="32" t="s">
        <v>106</v>
      </c>
      <c r="D276" s="33" t="str">
        <f>VLOOKUP(B276,'Player Data'!A1:D734,4,FALSE)</f>
        <v>D</v>
      </c>
      <c r="E276" s="49">
        <f>VLOOKUP(B276,D!A1:C227,3,FALSE)</f>
        <v>80</v>
      </c>
      <c r="F276" s="35" t="str">
        <f>VLOOKUP(B276,'Player Data'!A1:B734,2,FALSE)</f>
        <v>MIN</v>
      </c>
      <c r="G276" s="9">
        <f>VLOOKUP(B276,'Player Data'!A1:D734,3,FALSE)</f>
        <v>30</v>
      </c>
      <c r="H276" s="36">
        <f>IFERROR(VLOOKUP(B276,ADP!A1:G728,7,FALSE)/1000000,VLOOKUP(B276,ADP!A1:G728,7,FALSE))</f>
        <v>6</v>
      </c>
      <c r="I276" s="37">
        <f>IF(Settings!$E$15="POINTS",((R276*Q276)*Settings!$B$12)+(S276*Settings!$B$2)+(T276*Settings!$B$3)+(U276*Settings!$B$4)+(V276*Settings!$B$5)+(X276*Settings!$B$9)+(AA276*Settings!$B$6)+(W276*Settings!$B$8)+(AB276*Settings!$B$7)+(AC276*Settings!$B$14)+(AD276*Settings!$B$15)+(AE276*Settings!$B$16)+(AF276*Settings!$B$17)+(AG276*Settings!$B$18)+(U276*Settings!$B$13)+(Y276*Settings!$B$10)+(Z276*Settings!$B$11),VLOOKUP(B276,'Standard Deviations'!A1:C728,3,FALSE))</f>
        <v>171.84125767868238</v>
      </c>
      <c r="J276" s="38">
        <f>IF(D276="G",I276/AJ276,I276/Q276)</f>
        <v>2.2230434369816607</v>
      </c>
      <c r="K276" s="37">
        <f>VLOOKUP(B276,D!A1:F227,6,FALSE)</f>
        <v>-139.72422394924507</v>
      </c>
      <c r="L276" s="37">
        <f>IFERROR(K276/H276,"N/A")</f>
        <v>-23.287370658207511</v>
      </c>
      <c r="M276" s="53" t="str">
        <f>IF(Settings!$E$9="YAHOO",VLOOKUP(B276,ADP!A1:E728,2,FALSE),IF(Settings!$E$9="ESPN",VLOOKUP(B276,ADP!A1:E728,3,FALSE),IF(Settings!$E$9="FANTRAX",VLOOKUP(B276,ADP!A1:E728,4,FALSE),VLOOKUP(B276,ADP!A1:E728,5,FALSE))))</f>
        <v>-</v>
      </c>
      <c r="N276" s="53" t="str">
        <f>IFERROR(M276-A276,"N/A")</f>
        <v>N/A</v>
      </c>
      <c r="O276" s="39"/>
      <c r="P276" s="40" t="str">
        <f>IF(Settings!$E$27="ON",VLOOKUP(B276,ADP!A1:H728,8,FALSE)," ")</f>
        <v xml:space="preserve"> </v>
      </c>
      <c r="Q276" s="41">
        <f>IF(Settings!$E$12="YES",VLOOKUP(B276,'Player Data'!A1:E734,5,FALSE),82)</f>
        <v>77.3</v>
      </c>
      <c r="R276" s="39">
        <f>VLOOKUP(B276,'Player Data'!$A1:$AE734,6,FALSE)</f>
        <v>22.577507709603701</v>
      </c>
      <c r="S276" s="41">
        <f>VLOOKUP(B276,'Player Data'!$A1:$AE734,7,FALSE)*$Q276*IFERROR((VLOOKUP(P276,Settings!$E$28:$F$33,2,FALSE)+1),1)</f>
        <v>5.9439392670543985</v>
      </c>
      <c r="T276" s="41">
        <f>VLOOKUP(B276,'Player Data'!$A1:$AE734,8,FALSE)*$Q276*IFERROR((VLOOKUP(P276,Settings!$E$28:$F$33,2,FALSE)+1),1)</f>
        <v>19.639445368741246</v>
      </c>
      <c r="U276" s="41">
        <f>SUM(S276:T276)</f>
        <v>25.583384635795646</v>
      </c>
      <c r="V276" s="41">
        <f>VLOOKUP(B276,'Player Data'!$A1:$AE734,10,FALSE)*$Q276*IFERROR(((VLOOKUP(P276,Settings!$E$28:$F$33,2,FALSE)/2)+1),1)</f>
        <v>119.06860790692166</v>
      </c>
      <c r="W276" s="41">
        <f>VLOOKUP(B276,'Player Data'!$A1:$AE734,11,FALSE)*$Q276*IFERROR((VLOOKUP(P276,Settings!$E$28:$F$33,2,FALSE)+1),1)</f>
        <v>0.2169206294489899</v>
      </c>
      <c r="X276" s="41">
        <f>VLOOKUP(B276,'Player Data'!$A1:$AE734,12,FALSE)*$Q276*IFERROR((VLOOKUP(P276,Settings!$E$28:$F$33,2,FALSE)+1),1)</f>
        <v>1.1675092871742201</v>
      </c>
      <c r="Y276" s="41">
        <f>VLOOKUP(B276,'Player Data'!$A1:$AE734,13,FALSE)*$Q276</f>
        <v>2.7212846214567436E-2</v>
      </c>
      <c r="Z276" s="41">
        <f>VLOOKUP(B276,'Player Data'!$A1:$AE734,14,FALSE)*$Q276</f>
        <v>1.559977014842125</v>
      </c>
      <c r="AA276" s="41">
        <f>VLOOKUP(B276,'Player Data'!$A1:$AE734,15,FALSE)*$Q276</f>
        <v>150.50913606900957</v>
      </c>
      <c r="AB276" s="41">
        <f>VLOOKUP(B276,'Player Data'!$A1:$AE734,16,FALSE)*$Q276</f>
        <v>63.977831943076581</v>
      </c>
      <c r="AC276" s="41">
        <f>VLOOKUP(B276,'Player Data'!$A1:$AE734,17,FALSE)*$Q276*IFERROR((VLOOKUP(P276,Settings!$E$28:$F$33,2,FALSE)+1),1)</f>
        <v>3.1266027285559375</v>
      </c>
      <c r="AD276" s="41">
        <f>VLOOKUP(B276,'Player Data'!$A1:$AE734,18,FALSE)*$Q276</f>
        <v>30.560682680699998</v>
      </c>
      <c r="AE276" s="41">
        <f>VLOOKUP(B276,'Player Data'!$A1:$AE734,19,FALSE)*$Q276*IFERROR((VLOOKUP(P276,Settings!$E$28:$F$33,2,FALSE)+1),1)</f>
        <v>0.95445646165919928</v>
      </c>
      <c r="AF276" s="41">
        <f>VLOOKUP(B276,'Player Data'!$A1:$AE734,20,FALSE)*$Q276</f>
        <v>0</v>
      </c>
      <c r="AG276" s="41">
        <f>VLOOKUP(B276,'Player Data'!$A1:$AE734,21,FALSE)*$Q276</f>
        <v>0</v>
      </c>
      <c r="AH276" s="42">
        <f>VLOOKUP(B276,'Player Data'!$A1:$AE734,22,FALSE)</f>
        <v>0</v>
      </c>
      <c r="AI276" s="39"/>
      <c r="AJ276" s="43"/>
      <c r="AK276" s="41"/>
      <c r="AL276" s="41"/>
      <c r="AM276" s="41"/>
      <c r="AN276" s="41"/>
      <c r="AO276" s="41"/>
      <c r="AP276" s="41"/>
      <c r="AQ276" s="44"/>
      <c r="AR276" s="45"/>
      <c r="AS276" s="39"/>
    </row>
    <row r="277" spans="1:45" ht="21.25" customHeight="1" x14ac:dyDescent="0.15">
      <c r="A277" s="31">
        <f>RANK(K277,K$2:K$727)</f>
        <v>276</v>
      </c>
      <c r="B277" s="8" t="s">
        <v>381</v>
      </c>
      <c r="C277" s="32" t="s">
        <v>106</v>
      </c>
      <c r="D277" s="33" t="str">
        <f>VLOOKUP(B277,'Player Data'!A1:D734,4,FALSE)</f>
        <v>LW</v>
      </c>
      <c r="E277" s="47">
        <f>VLOOKUP(B277,LW!A1:C130,3,FALSE)</f>
        <v>53</v>
      </c>
      <c r="F277" s="35" t="str">
        <f>VLOOKUP(B277,'Player Data'!A1:B734,2,FALSE)</f>
        <v>DET</v>
      </c>
      <c r="G277" s="9">
        <f>VLOOKUP(B277,'Player Data'!A1:D734,3,FALSE)</f>
        <v>28</v>
      </c>
      <c r="H277" s="36">
        <f>IFERROR(VLOOKUP(B277,ADP!A1:G728,7,FALSE)/1000000,VLOOKUP(B277,ADP!A1:G728,7,FALSE))</f>
        <v>5.0999999999999996</v>
      </c>
      <c r="I277" s="37">
        <f>IF(Settings!$E$15="POINTS",((R277*Q277)*Settings!$B$12)+(S277*Settings!$B$2)+(T277*Settings!$B$3)+(U277*Settings!$B$4)+(V277*Settings!$B$5)+(X277*Settings!$B$9)+(AA277*Settings!$B$6)+(W277*Settings!$B$8)+(AB277*Settings!$B$7)+(AC277*Settings!$B$14)+(AD277*Settings!$B$15)+(AE277*Settings!$B$16)+(AF277*Settings!$B$17)+(AG277*Settings!$B$18)+(Y277*Settings!$B$10)+(Z277*Settings!$B$11),VLOOKUP(B277,'Standard Deviations'!A1:C728,3,FALSE))</f>
        <v>223.93816402109007</v>
      </c>
      <c r="J277" s="38">
        <f>IF(D277="G",I277/AJ277,I277/Q277)</f>
        <v>2.827196097369749</v>
      </c>
      <c r="K277" s="37">
        <f>IF(Settings!$E$18="C/LW/RW",VLOOKUP(B277,LW!A1:F130,6,FALSE),VLOOKUP(B277,F!A1:F430,6,FALSE))</f>
        <v>-140.10244083656039</v>
      </c>
      <c r="L277" s="37">
        <f>IFERROR(K277/H277,"N/A")</f>
        <v>-27.471066830698117</v>
      </c>
      <c r="M277" s="39">
        <f>IF(Settings!$E$9="YAHOO",VLOOKUP(B277,ADP!A1:E728,2,FALSE),IF(Settings!$E$9="ESPN",VLOOKUP(B277,ADP!A1:E728,3,FALSE),IF(Settings!$E$9="FANTRAX",VLOOKUP(B277,ADP!A1:E728,4,FALSE),VLOOKUP(B277,ADP!A1:E728,5,FALSE))))</f>
        <v>164.7</v>
      </c>
      <c r="N277" s="39">
        <f>IFERROR(M277-A277,"N/A")</f>
        <v>-111.30000000000001</v>
      </c>
      <c r="O277" s="39"/>
      <c r="P277" s="40" t="str">
        <f>IF(Settings!$E$27="ON",VLOOKUP(B277,ADP!A1:H728,8,FALSE)," ")</f>
        <v xml:space="preserve"> </v>
      </c>
      <c r="Q277" s="41">
        <f>IF(Settings!$E$12="YES",VLOOKUP(B277,'Player Data'!A1:E734,5,FALSE),82)</f>
        <v>79.208571428571403</v>
      </c>
      <c r="R277" s="39">
        <f>VLOOKUP(B277,'Player Data'!$A1:$AE734,6,FALSE)</f>
        <v>18.2927089835242</v>
      </c>
      <c r="S277" s="41">
        <f>VLOOKUP(B277,'Player Data'!$A1:$AE734,7,FALSE)*$Q277*IFERROR((VLOOKUP(P277,Settings!$E$28:$F$33,2,FALSE)+1),1)</f>
        <v>17.048500896390117</v>
      </c>
      <c r="T277" s="41">
        <f>VLOOKUP(B277,'Player Data'!$A1:$AE734,8,FALSE)*$Q277*IFERROR((VLOOKUP(P277,Settings!$E$28:$F$33,2,FALSE)+1),1)</f>
        <v>25.779071729133726</v>
      </c>
      <c r="U277" s="41">
        <f>SUM(S277:T277)</f>
        <v>42.827572625523842</v>
      </c>
      <c r="V277" s="41">
        <f>VLOOKUP(B277,'Player Data'!$A1:$AE734,10,FALSE)*$Q277*IFERROR(((VLOOKUP(P277,Settings!$E$28:$F$33,2,FALSE)/2)+1),1)</f>
        <v>131.04844977249516</v>
      </c>
      <c r="W277" s="41">
        <f>VLOOKUP(B277,'Player Data'!$A1:$AE734,11,FALSE)*$Q277*IFERROR((VLOOKUP(P277,Settings!$E$28:$F$33,2,FALSE)+1),1)</f>
        <v>3.1470158128802761</v>
      </c>
      <c r="X277" s="41">
        <f>VLOOKUP(B277,'Player Data'!$A1:$AE734,12,FALSE)*$Q277*IFERROR((VLOOKUP(P277,Settings!$E$28:$F$33,2,FALSE)+1),1)</f>
        <v>7.4409460956204798</v>
      </c>
      <c r="Y277" s="41">
        <f>VLOOKUP(B277,'Player Data'!$A1:$AE734,13,FALSE)*$Q277</f>
        <v>0.41290356196227185</v>
      </c>
      <c r="Z277" s="41">
        <f>VLOOKUP(B277,'Player Data'!$A1:$AE734,14,FALSE)*$Q277</f>
        <v>0.5081961110526465</v>
      </c>
      <c r="AA277" s="41">
        <f>VLOOKUP(B277,'Player Data'!$A1:$AE734,15,FALSE)*$Q277</f>
        <v>70.164684224623727</v>
      </c>
      <c r="AB277" s="41">
        <f>VLOOKUP(B277,'Player Data'!$A1:$AE734,16,FALSE)*$Q277</f>
        <v>40.388058434022902</v>
      </c>
      <c r="AC277" s="41">
        <f>VLOOKUP(B277,'Player Data'!$A1:$AE734,17,FALSE)*$Q277*IFERROR((VLOOKUP(P277,Settings!$E$28:$F$33,2,FALSE)+1),1)</f>
        <v>-0.76308634984173751</v>
      </c>
      <c r="AD277" s="41">
        <f>VLOOKUP(B277,'Player Data'!$A1:$AE734,18,FALSE)*$Q277</f>
        <v>31.868632195054001</v>
      </c>
      <c r="AE277" s="41">
        <f>VLOOKUP(B277,'Player Data'!$A1:$AE734,19,FALSE)*$Q277*IFERROR((VLOOKUP(P277,Settings!$E$28:$F$33,2,FALSE)+1),1)</f>
        <v>2.2011550718194037</v>
      </c>
      <c r="AF277" s="41">
        <f>VLOOKUP(B277,'Player Data'!$A1:$AE734,20,FALSE)*$Q277</f>
        <v>657.3800884660709</v>
      </c>
      <c r="AG277" s="41">
        <f>VLOOKUP(B277,'Player Data'!$A1:$AE734,21,FALSE)*$Q277</f>
        <v>677.74655234169165</v>
      </c>
      <c r="AH277" s="42">
        <f>VLOOKUP(B277,'Player Data'!$A1:$AE734,22,FALSE)</f>
        <v>0.49237283443640301</v>
      </c>
      <c r="AI277" s="39"/>
      <c r="AJ277" s="43"/>
      <c r="AK277" s="41"/>
      <c r="AL277" s="41"/>
      <c r="AM277" s="41"/>
      <c r="AN277" s="41"/>
      <c r="AO277" s="41"/>
      <c r="AP277" s="41"/>
      <c r="AQ277" s="44"/>
      <c r="AR277" s="45"/>
      <c r="AS277" s="39"/>
    </row>
    <row r="278" spans="1:45" ht="21.25" customHeight="1" x14ac:dyDescent="0.15">
      <c r="A278" s="31">
        <f>RANK(K278,K$2:K$727)</f>
        <v>277</v>
      </c>
      <c r="B278" s="8" t="s">
        <v>382</v>
      </c>
      <c r="C278" s="32" t="s">
        <v>106</v>
      </c>
      <c r="D278" s="33" t="str">
        <f>VLOOKUP(B278,'Player Data'!A1:D734,4,FALSE)</f>
        <v>D</v>
      </c>
      <c r="E278" s="49">
        <f>VLOOKUP(B278,D!A1:C227,3,FALSE)</f>
        <v>81</v>
      </c>
      <c r="F278" s="35" t="str">
        <f>VLOOKUP(B278,'Player Data'!A1:B734,2,FALSE)</f>
        <v>NYI</v>
      </c>
      <c r="G278" s="9">
        <f>VLOOKUP(B278,'Player Data'!A1:D734,3,FALSE)</f>
        <v>29</v>
      </c>
      <c r="H278" s="36">
        <f>IFERROR(VLOOKUP(B278,ADP!A1:G728,7,FALSE)/1000000,VLOOKUP(B278,ADP!A1:G728,7,FALSE))</f>
        <v>5.75</v>
      </c>
      <c r="I278" s="37">
        <f>IF(Settings!$E$15="POINTS",((R278*Q278)*Settings!$B$12)+(S278*Settings!$B$2)+(T278*Settings!$B$3)+(U278*Settings!$B$4)+(V278*Settings!$B$5)+(X278*Settings!$B$9)+(AA278*Settings!$B$6)+(W278*Settings!$B$8)+(AB278*Settings!$B$7)+(AC278*Settings!$B$14)+(AD278*Settings!$B$15)+(AE278*Settings!$B$16)+(AF278*Settings!$B$17)+(AG278*Settings!$B$18)+(U278*Settings!$B$13)+(Y278*Settings!$B$10)+(Z278*Settings!$B$11),VLOOKUP(B278,'Standard Deviations'!A1:C728,3,FALSE))</f>
        <v>171.04031889721404</v>
      </c>
      <c r="J278" s="38">
        <f>IF(D278="G",I278/AJ278,I278/Q278)</f>
        <v>2.1998047509368064</v>
      </c>
      <c r="K278" s="37">
        <f>VLOOKUP(B278,D!A1:F227,6,FALSE)</f>
        <v>-140.52516273071342</v>
      </c>
      <c r="L278" s="37">
        <f>IFERROR(K278/H278,"N/A")</f>
        <v>-24.439158735776246</v>
      </c>
      <c r="M278" s="53" t="str">
        <f>IF(Settings!$E$9="YAHOO",VLOOKUP(B278,ADP!A1:E728,2,FALSE),IF(Settings!$E$9="ESPN",VLOOKUP(B278,ADP!A1:E728,3,FALSE),IF(Settings!$E$9="FANTRAX",VLOOKUP(B278,ADP!A1:E728,4,FALSE),VLOOKUP(B278,ADP!A1:E728,5,FALSE))))</f>
        <v>-</v>
      </c>
      <c r="N278" s="53" t="str">
        <f>IFERROR(M278-A278,"N/A")</f>
        <v>N/A</v>
      </c>
      <c r="O278" s="39"/>
      <c r="P278" s="40" t="str">
        <f>IF(Settings!$E$27="ON",VLOOKUP(B278,ADP!A1:H728,8,FALSE)," ")</f>
        <v xml:space="preserve"> </v>
      </c>
      <c r="Q278" s="41">
        <f>IF(Settings!$E$12="YES",VLOOKUP(B278,'Player Data'!A1:E734,5,FALSE),82)</f>
        <v>77.752499999999998</v>
      </c>
      <c r="R278" s="39">
        <f>VLOOKUP(B278,'Player Data'!$A1:$AE734,6,FALSE)</f>
        <v>21.800020605478402</v>
      </c>
      <c r="S278" s="41">
        <f>VLOOKUP(B278,'Player Data'!$A1:$AE734,7,FALSE)*$Q278*IFERROR((VLOOKUP(P278,Settings!$E$28:$F$33,2,FALSE)+1),1)</f>
        <v>5.3740483592314536</v>
      </c>
      <c r="T278" s="41">
        <f>VLOOKUP(B278,'Player Data'!$A1:$AE734,8,FALSE)*$Q278*IFERROR((VLOOKUP(P278,Settings!$E$28:$F$33,2,FALSE)+1),1)</f>
        <v>21.244751895573309</v>
      </c>
      <c r="U278" s="41">
        <f>SUM(S278:T278)</f>
        <v>26.618800254804761</v>
      </c>
      <c r="V278" s="41">
        <f>VLOOKUP(B278,'Player Data'!$A1:$AE734,10,FALSE)*$Q278*IFERROR(((VLOOKUP(P278,Settings!$E$28:$F$33,2,FALSE)/2)+1),1)</f>
        <v>119.92893581928695</v>
      </c>
      <c r="W278" s="41">
        <f>VLOOKUP(B278,'Player Data'!$A1:$AE734,11,FALSE)*$Q278*IFERROR((VLOOKUP(P278,Settings!$E$28:$F$33,2,FALSE)+1),1)</f>
        <v>3.4477659919521828E-2</v>
      </c>
      <c r="X278" s="41">
        <f>VLOOKUP(B278,'Player Data'!$A1:$AE734,12,FALSE)*$Q278*IFERROR((VLOOKUP(P278,Settings!$E$28:$F$33,2,FALSE)+1),1)</f>
        <v>0.23774170293644262</v>
      </c>
      <c r="Y278" s="41">
        <f>VLOOKUP(B278,'Player Data'!$A1:$AE734,13,FALSE)*$Q278</f>
        <v>0.22335654375101363</v>
      </c>
      <c r="Z278" s="41">
        <f>VLOOKUP(B278,'Player Data'!$A1:$AE734,14,FALSE)*$Q278</f>
        <v>1.7879664567027882</v>
      </c>
      <c r="AA278" s="41">
        <f>VLOOKUP(B278,'Player Data'!$A1:$AE734,15,FALSE)*$Q278</f>
        <v>135.84016951938906</v>
      </c>
      <c r="AB278" s="41">
        <f>VLOOKUP(B278,'Player Data'!$A1:$AE734,16,FALSE)*$Q278</f>
        <v>96.796560908970918</v>
      </c>
      <c r="AC278" s="41">
        <f>VLOOKUP(B278,'Player Data'!$A1:$AE734,17,FALSE)*$Q278*IFERROR((VLOOKUP(P278,Settings!$E$28:$F$33,2,FALSE)+1),1)</f>
        <v>2.3541194598035227</v>
      </c>
      <c r="AD278" s="41">
        <f>VLOOKUP(B278,'Player Data'!$A1:$AE734,18,FALSE)*$Q278</f>
        <v>38.579246918295482</v>
      </c>
      <c r="AE278" s="41">
        <f>VLOOKUP(B278,'Player Data'!$A1:$AE734,19,FALSE)*$Q278*IFERROR((VLOOKUP(P278,Settings!$E$28:$F$33,2,FALSE)+1),1)</f>
        <v>0.83040793391733436</v>
      </c>
      <c r="AF278" s="41">
        <f>VLOOKUP(B278,'Player Data'!$A1:$AE734,20,FALSE)*$Q278</f>
        <v>0</v>
      </c>
      <c r="AG278" s="41">
        <f>VLOOKUP(B278,'Player Data'!$A1:$AE734,21,FALSE)*$Q278</f>
        <v>0</v>
      </c>
      <c r="AH278" s="42">
        <f>VLOOKUP(B278,'Player Data'!$A1:$AE734,22,FALSE)</f>
        <v>0</v>
      </c>
      <c r="AI278" s="39"/>
      <c r="AJ278" s="43"/>
      <c r="AK278" s="41"/>
      <c r="AL278" s="41"/>
      <c r="AM278" s="41"/>
      <c r="AN278" s="41"/>
      <c r="AO278" s="41"/>
      <c r="AP278" s="41"/>
      <c r="AQ278" s="44"/>
      <c r="AR278" s="45"/>
      <c r="AS278" s="39"/>
    </row>
    <row r="279" spans="1:45" ht="21.25" customHeight="1" x14ac:dyDescent="0.15">
      <c r="A279" s="31">
        <f>RANK(K279,K$2:K$727)</f>
        <v>278</v>
      </c>
      <c r="B279" s="8" t="s">
        <v>383</v>
      </c>
      <c r="C279" s="32" t="s">
        <v>106</v>
      </c>
      <c r="D279" s="33" t="str">
        <f>VLOOKUP(B279,'Player Data'!A1:D734,4,FALSE)</f>
        <v>C</v>
      </c>
      <c r="E279" s="34">
        <f>VLOOKUP(B279,'C'!A1:C211,3,FALSE)</f>
        <v>70</v>
      </c>
      <c r="F279" s="35" t="str">
        <f>VLOOKUP(B279,'Player Data'!A1:B734,2,FALSE)</f>
        <v>NSH</v>
      </c>
      <c r="G279" s="9">
        <f>VLOOKUP(B279,'Player Data'!A1:D734,3,FALSE)</f>
        <v>32</v>
      </c>
      <c r="H279" s="36">
        <f>IFERROR(VLOOKUP(B279,ADP!A1:G728,7,FALSE)/1000000,VLOOKUP(B279,ADP!A1:G728,7,FALSE))</f>
        <v>4.5</v>
      </c>
      <c r="I279" s="37">
        <f>IF(Settings!$E$15="POINTS",((R279*Q279)*Settings!$B$12)+(S279*Settings!$B$2)+(T279*Settings!$B$3)+(U279*Settings!$B$4)+(V279*Settings!$B$5)+(X279*Settings!$B$9)+(AA279*Settings!$B$6)+(W279*Settings!$B$8)+(AB279*Settings!$B$7)+(AC279*Settings!$B$14)+(AD279*Settings!$B$15)+(AE279*Settings!$B$16)+(AF279*Settings!$B$17)+(AG279*Settings!$B$18)+(Y279*Settings!$B$10)+(Z279*Settings!$B$11),VLOOKUP(B279,'Standard Deviations'!A1:C728,3,FALSE))</f>
        <v>248.82831213527587</v>
      </c>
      <c r="J279" s="38">
        <f>IF(D279="G",I279/AJ279,I279/Q279)</f>
        <v>3.2597951349068337</v>
      </c>
      <c r="K279" s="37">
        <f>IF(Settings!$E$18="C/LW/RW",VLOOKUP(B279,'C'!A1:F211,6,FALSE),VLOOKUP(B279,F!A1:F430,6,FALSE))</f>
        <v>-144.50049363093379</v>
      </c>
      <c r="L279" s="37">
        <f>IFERROR(K279/H279,"N/A")</f>
        <v>-32.111220806874172</v>
      </c>
      <c r="M279" s="53" t="str">
        <f>IF(Settings!$E$9="YAHOO",VLOOKUP(B279,ADP!A1:E728,2,FALSE),IF(Settings!$E$9="ESPN",VLOOKUP(B279,ADP!A1:E728,3,FALSE),IF(Settings!$E$9="FANTRAX",VLOOKUP(B279,ADP!A1:E728,4,FALSE),VLOOKUP(B279,ADP!A1:E728,5,FALSE))))</f>
        <v>-</v>
      </c>
      <c r="N279" s="53" t="str">
        <f>IFERROR(M279-A279,"N/A")</f>
        <v>N/A</v>
      </c>
      <c r="O279" s="39"/>
      <c r="P279" s="40" t="str">
        <f>IF(Settings!$E$27="ON",VLOOKUP(B279,ADP!A1:H728,8,FALSE)," ")</f>
        <v xml:space="preserve"> </v>
      </c>
      <c r="Q279" s="41">
        <f>IF(Settings!$E$12="YES",VLOOKUP(B279,'Player Data'!A1:E734,5,FALSE),82)</f>
        <v>76.332499999999996</v>
      </c>
      <c r="R279" s="39">
        <f>VLOOKUP(B279,'Player Data'!$A1:$AE734,6,FALSE)</f>
        <v>18.4505426505694</v>
      </c>
      <c r="S279" s="41">
        <f>VLOOKUP(B279,'Player Data'!$A1:$AE734,7,FALSE)*$Q279*IFERROR((VLOOKUP(P279,Settings!$E$28:$F$33,2,FALSE)+1),1)</f>
        <v>20.364253145486568</v>
      </c>
      <c r="T279" s="41">
        <f>VLOOKUP(B279,'Player Data'!$A1:$AE734,8,FALSE)*$Q279*IFERROR((VLOOKUP(P279,Settings!$E$28:$F$33,2,FALSE)+1),1)</f>
        <v>27.089674505290187</v>
      </c>
      <c r="U279" s="41">
        <f>SUM(S279:T279)</f>
        <v>47.453927650776755</v>
      </c>
      <c r="V279" s="41">
        <f>VLOOKUP(B279,'Player Data'!$A1:$AE734,10,FALSE)*$Q279*IFERROR(((VLOOKUP(P279,Settings!$E$28:$F$33,2,FALSE)/2)+1),1)</f>
        <v>155.6839672289351</v>
      </c>
      <c r="W279" s="41">
        <f>VLOOKUP(B279,'Player Data'!$A1:$AE734,11,FALSE)*$Q279*IFERROR((VLOOKUP(P279,Settings!$E$28:$F$33,2,FALSE)+1),1)</f>
        <v>3.4955649459569371</v>
      </c>
      <c r="X279" s="41">
        <f>VLOOKUP(B279,'Player Data'!$A1:$AE734,12,FALSE)*$Q279*IFERROR((VLOOKUP(P279,Settings!$E$28:$F$33,2,FALSE)+1),1)</f>
        <v>9.028554246670824</v>
      </c>
      <c r="Y279" s="41">
        <f>VLOOKUP(B279,'Player Data'!$A1:$AE734,13,FALSE)*$Q279</f>
        <v>1.1885034482322632</v>
      </c>
      <c r="Z279" s="41">
        <f>VLOOKUP(B279,'Player Data'!$A1:$AE734,14,FALSE)*$Q279</f>
        <v>1.6744541137990228</v>
      </c>
      <c r="AA279" s="41">
        <f>VLOOKUP(B279,'Player Data'!$A1:$AE734,15,FALSE)*$Q279</f>
        <v>36.092644237691744</v>
      </c>
      <c r="AB279" s="41">
        <f>VLOOKUP(B279,'Player Data'!$A1:$AE734,16,FALSE)*$Q279</f>
        <v>31.565314998808578</v>
      </c>
      <c r="AC279" s="41">
        <f>VLOOKUP(B279,'Player Data'!$A1:$AE734,17,FALSE)*$Q279*IFERROR((VLOOKUP(P279,Settings!$E$28:$F$33,2,FALSE)+1),1)</f>
        <v>-0.54997633098438614</v>
      </c>
      <c r="AD279" s="41">
        <f>VLOOKUP(B279,'Player Data'!$A1:$AE734,18,FALSE)*$Q279</f>
        <v>21.260709759244488</v>
      </c>
      <c r="AE279" s="41">
        <f>VLOOKUP(B279,'Player Data'!$A1:$AE734,19,FALSE)*$Q279*IFERROR((VLOOKUP(P279,Settings!$E$28:$F$33,2,FALSE)+1),1)</f>
        <v>2.9737135674922057</v>
      </c>
      <c r="AF279" s="41">
        <f>VLOOKUP(B279,'Player Data'!$A1:$AE734,20,FALSE)*$Q279</f>
        <v>785.90571268978135</v>
      </c>
      <c r="AG279" s="41">
        <f>VLOOKUP(B279,'Player Data'!$A1:$AE734,21,FALSE)*$Q279</f>
        <v>594.8828595733853</v>
      </c>
      <c r="AH279" s="42">
        <f>VLOOKUP(B279,'Player Data'!$A1:$AE734,22,FALSE)</f>
        <v>0.56917165196526198</v>
      </c>
      <c r="AI279" s="39"/>
      <c r="AJ279" s="41"/>
      <c r="AK279" s="41"/>
      <c r="AL279" s="41"/>
      <c r="AM279" s="41"/>
      <c r="AN279" s="41"/>
      <c r="AO279" s="41"/>
      <c r="AP279" s="41"/>
      <c r="AQ279" s="44"/>
      <c r="AR279" s="45"/>
      <c r="AS279" s="39"/>
    </row>
    <row r="280" spans="1:45" ht="21.25" customHeight="1" x14ac:dyDescent="0.15">
      <c r="A280" s="31">
        <f>RANK(K280,K$2:K$727)</f>
        <v>279</v>
      </c>
      <c r="B280" s="8" t="s">
        <v>384</v>
      </c>
      <c r="C280" s="32" t="s">
        <v>106</v>
      </c>
      <c r="D280" s="33" t="str">
        <f>VLOOKUP(B280,'Player Data'!A1:D734,4,FALSE)</f>
        <v>C</v>
      </c>
      <c r="E280" s="34">
        <f>VLOOKUP(B280,'C'!A1:C211,3,FALSE)</f>
        <v>71</v>
      </c>
      <c r="F280" s="35" t="str">
        <f>VLOOKUP(B280,'Player Data'!A1:B734,2,FALSE)</f>
        <v>VGK</v>
      </c>
      <c r="G280" s="9">
        <f>VLOOKUP(B280,'Player Data'!A1:D734,3,FALSE)</f>
        <v>27</v>
      </c>
      <c r="H280" s="36">
        <f>IFERROR(VLOOKUP(B280,ADP!A1:G728,7,FALSE)/1000000,VLOOKUP(B280,ADP!A1:G728,7,FALSE))</f>
        <v>5</v>
      </c>
      <c r="I280" s="37">
        <f>IF(Settings!$E$15="POINTS",((R280*Q280)*Settings!$B$12)+(S280*Settings!$B$2)+(T280*Settings!$B$3)+(U280*Settings!$B$4)+(V280*Settings!$B$5)+(X280*Settings!$B$9)+(AA280*Settings!$B$6)+(W280*Settings!$B$8)+(AB280*Settings!$B$7)+(AC280*Settings!$B$14)+(AD280*Settings!$B$15)+(AE280*Settings!$B$16)+(AF280*Settings!$B$17)+(AG280*Settings!$B$18)+(Y280*Settings!$B$10)+(Z280*Settings!$B$11),VLOOKUP(B280,'Standard Deviations'!A1:C728,3,FALSE))</f>
        <v>247.66637071976439</v>
      </c>
      <c r="J280" s="38">
        <f>IF(D280="G",I280/AJ280,I280/Q280)</f>
        <v>3.1248601427337923</v>
      </c>
      <c r="K280" s="37">
        <f>IF(Settings!$E$18="C/LW/RW",VLOOKUP(B280,'C'!A1:F211,6,FALSE),VLOOKUP(B280,F!A1:F430,6,FALSE))</f>
        <v>-145.66243504644527</v>
      </c>
      <c r="L280" s="37">
        <f>IFERROR(K280/H280,"N/A")</f>
        <v>-29.132487009289054</v>
      </c>
      <c r="M280" s="39">
        <f>IF(Settings!$E$9="YAHOO",VLOOKUP(B280,ADP!A1:E728,2,FALSE),IF(Settings!$E$9="ESPN",VLOOKUP(B280,ADP!A1:E728,3,FALSE),IF(Settings!$E$9="FANTRAX",VLOOKUP(B280,ADP!A1:E728,4,FALSE),VLOOKUP(B280,ADP!A1:E728,5,FALSE))))</f>
        <v>164.2</v>
      </c>
      <c r="N280" s="39">
        <f>IFERROR(M280-A280,"N/A")</f>
        <v>-114.80000000000001</v>
      </c>
      <c r="O280" s="39"/>
      <c r="P280" s="40" t="str">
        <f>IF(Settings!$E$27="ON",VLOOKUP(B280,ADP!A1:H728,8,FALSE)," ")</f>
        <v>+</v>
      </c>
      <c r="Q280" s="41">
        <f>IF(Settings!$E$12="YES",VLOOKUP(B280,'Player Data'!A1:E734,5,FALSE),82)</f>
        <v>79.256785714285698</v>
      </c>
      <c r="R280" s="39">
        <f>VLOOKUP(B280,'Player Data'!$A1:$AE734,6,FALSE)</f>
        <v>17.26152693653</v>
      </c>
      <c r="S280" s="41">
        <f>VLOOKUP(B280,'Player Data'!$A1:$AE734,7,FALSE)*$Q280*IFERROR((VLOOKUP(P280,Settings!$E$28:$F$33,2,FALSE)+1),1)</f>
        <v>20.708086993113998</v>
      </c>
      <c r="T280" s="41">
        <f>VLOOKUP(B280,'Player Data'!$A1:$AE734,8,FALSE)*$Q280*IFERROR((VLOOKUP(P280,Settings!$E$28:$F$33,2,FALSE)+1),1)</f>
        <v>32.026743945630642</v>
      </c>
      <c r="U280" s="41">
        <f>SUM(S280:T280)</f>
        <v>52.734830938744636</v>
      </c>
      <c r="V280" s="41">
        <f>VLOOKUP(B280,'Player Data'!$A1:$AE734,10,FALSE)*$Q280*IFERROR(((VLOOKUP(P280,Settings!$E$28:$F$33,2,FALSE)/2)+1),1)</f>
        <v>129.90842367811308</v>
      </c>
      <c r="W280" s="41">
        <f>VLOOKUP(B280,'Player Data'!$A1:$AE734,11,FALSE)*$Q280*IFERROR((VLOOKUP(P280,Settings!$E$28:$F$33,2,FALSE)+1),1)</f>
        <v>3.2612178858453773</v>
      </c>
      <c r="X280" s="41">
        <f>VLOOKUP(B280,'Player Data'!$A1:$AE734,12,FALSE)*$Q280*IFERROR((VLOOKUP(P280,Settings!$E$28:$F$33,2,FALSE)+1),1)</f>
        <v>7.6210553145243098</v>
      </c>
      <c r="Y280" s="41">
        <f>VLOOKUP(B280,'Player Data'!$A1:$AE734,13,FALSE)*$Q280</f>
        <v>0.32754402465378141</v>
      </c>
      <c r="Z280" s="41">
        <f>VLOOKUP(B280,'Player Data'!$A1:$AE734,14,FALSE)*$Q280</f>
        <v>0.64547340126330821</v>
      </c>
      <c r="AA280" s="41">
        <f>VLOOKUP(B280,'Player Data'!$A1:$AE734,15,FALSE)*$Q280</f>
        <v>39.873043164493382</v>
      </c>
      <c r="AB280" s="41">
        <f>VLOOKUP(B280,'Player Data'!$A1:$AE734,16,FALSE)*$Q280</f>
        <v>164.40769108907062</v>
      </c>
      <c r="AC280" s="41">
        <f>VLOOKUP(B280,'Player Data'!$A1:$AE734,17,FALSE)*$Q280*IFERROR((VLOOKUP(P280,Settings!$E$28:$F$33,2,FALSE)+1),1)</f>
        <v>3.9105503719906562</v>
      </c>
      <c r="AD280" s="41">
        <f>VLOOKUP(B280,'Player Data'!$A1:$AE734,18,FALSE)*$Q280</f>
        <v>37.942387612611462</v>
      </c>
      <c r="AE280" s="41">
        <f>VLOOKUP(B280,'Player Data'!$A1:$AE734,19,FALSE)*$Q280*IFERROR((VLOOKUP(P280,Settings!$E$28:$F$33,2,FALSE)+1),1)</f>
        <v>3.3842664298153209</v>
      </c>
      <c r="AF280" s="41">
        <f>VLOOKUP(B280,'Player Data'!$A1:$AE734,20,FALSE)*$Q280</f>
        <v>77.763436240526545</v>
      </c>
      <c r="AG280" s="41">
        <f>VLOOKUP(B280,'Player Data'!$A1:$AE734,21,FALSE)*$Q280</f>
        <v>117.67219968644214</v>
      </c>
      <c r="AH280" s="42">
        <f>VLOOKUP(B280,'Player Data'!$A1:$AE734,22,FALSE)</f>
        <v>0.39789793643153898</v>
      </c>
      <c r="AI280" s="39"/>
      <c r="AJ280" s="43"/>
      <c r="AK280" s="41"/>
      <c r="AL280" s="41"/>
      <c r="AM280" s="41"/>
      <c r="AN280" s="41"/>
      <c r="AO280" s="41"/>
      <c r="AP280" s="41"/>
      <c r="AQ280" s="44"/>
      <c r="AR280" s="45"/>
      <c r="AS280" s="43"/>
    </row>
    <row r="281" spans="1:45" ht="21.25" customHeight="1" x14ac:dyDescent="0.15">
      <c r="A281" s="31">
        <f>RANK(K281,K$2:K$727)</f>
        <v>280</v>
      </c>
      <c r="B281" s="8" t="s">
        <v>385</v>
      </c>
      <c r="C281" s="32" t="s">
        <v>106</v>
      </c>
      <c r="D281" s="33" t="str">
        <f>VLOOKUP(B281,'Player Data'!A1:D734,4,FALSE)</f>
        <v>D</v>
      </c>
      <c r="E281" s="49">
        <f>VLOOKUP(B281,D!A1:C227,3,FALSE)</f>
        <v>82</v>
      </c>
      <c r="F281" s="35" t="str">
        <f>VLOOKUP(B281,'Player Data'!A1:B734,2,FALSE)</f>
        <v>DAL</v>
      </c>
      <c r="G281" s="9">
        <f>VLOOKUP(B281,'Player Data'!A1:D734,3,FALSE)</f>
        <v>29</v>
      </c>
      <c r="H281" s="36">
        <f>IFERROR(VLOOKUP(B281,ADP!A1:G728,7,FALSE)/1000000,VLOOKUP(B281,ADP!A1:G728,7,FALSE))</f>
        <v>5.8</v>
      </c>
      <c r="I281" s="37">
        <f>IF(Settings!$E$15="POINTS",((R281*Q281)*Settings!$B$12)+(S281*Settings!$B$2)+(T281*Settings!$B$3)+(U281*Settings!$B$4)+(V281*Settings!$B$5)+(X281*Settings!$B$9)+(AA281*Settings!$B$6)+(W281*Settings!$B$8)+(AB281*Settings!$B$7)+(AC281*Settings!$B$14)+(AD281*Settings!$B$15)+(AE281*Settings!$B$16)+(AF281*Settings!$B$17)+(AG281*Settings!$B$18)+(U281*Settings!$B$13)+(Y281*Settings!$B$10)+(Z281*Settings!$B$11),VLOOKUP(B281,'Standard Deviations'!A1:C728,3,FALSE))</f>
        <v>165.41463961080629</v>
      </c>
      <c r="J281" s="38">
        <f>IF(D281="G",I281/AJ281,I281/Q281)</f>
        <v>2.037000672505465</v>
      </c>
      <c r="K281" s="37">
        <f>VLOOKUP(B281,D!A1:F227,6,FALSE)</f>
        <v>-146.15084201712116</v>
      </c>
      <c r="L281" s="37">
        <f>IFERROR(K281/H281,"N/A")</f>
        <v>-25.198421037434684</v>
      </c>
      <c r="M281" s="39">
        <f>IF(Settings!$E$9="YAHOO",VLOOKUP(B281,ADP!A1:E728,2,FALSE),IF(Settings!$E$9="ESPN",VLOOKUP(B281,ADP!A1:E728,3,FALSE),IF(Settings!$E$9="FANTRAX",VLOOKUP(B281,ADP!A1:E728,4,FALSE),VLOOKUP(B281,ADP!A1:E728,5,FALSE))))</f>
        <v>156.4</v>
      </c>
      <c r="N281" s="39">
        <f>IFERROR(M281-A281,"N/A")</f>
        <v>-123.6</v>
      </c>
      <c r="O281" s="39"/>
      <c r="P281" s="40" t="str">
        <f>IF(Settings!$E$27="ON",VLOOKUP(B281,ADP!A1:H728,8,FALSE)," ")</f>
        <v xml:space="preserve"> </v>
      </c>
      <c r="Q281" s="41">
        <f>IF(Settings!$E$12="YES",VLOOKUP(B281,'Player Data'!A1:E734,5,FALSE),82)</f>
        <v>81.204999999999998</v>
      </c>
      <c r="R281" s="39">
        <f>VLOOKUP(B281,'Player Data'!$A1:$AE734,6,FALSE)</f>
        <v>20.837838780110499</v>
      </c>
      <c r="S281" s="41">
        <f>VLOOKUP(B281,'Player Data'!$A1:$AE734,7,FALSE)*$Q281*IFERROR((VLOOKUP(P281,Settings!$E$28:$F$33,2,FALSE)+1),1)</f>
        <v>5.910711412691553</v>
      </c>
      <c r="T281" s="41">
        <f>VLOOKUP(B281,'Player Data'!$A1:$AE734,8,FALSE)*$Q281*IFERROR((VLOOKUP(P281,Settings!$E$28:$F$33,2,FALSE)+1),1)</f>
        <v>16.957629354492173</v>
      </c>
      <c r="U281" s="41">
        <f>SUM(S281:T281)</f>
        <v>22.868340767183724</v>
      </c>
      <c r="V281" s="41">
        <f>VLOOKUP(B281,'Player Data'!$A1:$AE734,10,FALSE)*$Q281*IFERROR(((VLOOKUP(P281,Settings!$E$28:$F$33,2,FALSE)/2)+1),1)</f>
        <v>123.12379324460666</v>
      </c>
      <c r="W281" s="41">
        <f>VLOOKUP(B281,'Player Data'!$A1:$AE734,11,FALSE)*$Q281*IFERROR((VLOOKUP(P281,Settings!$E$28:$F$33,2,FALSE)+1),1)</f>
        <v>9.0953800363085969E-3</v>
      </c>
      <c r="X281" s="41">
        <f>VLOOKUP(B281,'Player Data'!$A1:$AE734,12,FALSE)*$Q281*IFERROR((VLOOKUP(P281,Settings!$E$28:$F$33,2,FALSE)+1),1)</f>
        <v>0.15681811058316628</v>
      </c>
      <c r="Y281" s="41">
        <f>VLOOKUP(B281,'Player Data'!$A1:$AE734,13,FALSE)*$Q281</f>
        <v>0.50849857203800708</v>
      </c>
      <c r="Z281" s="41">
        <f>VLOOKUP(B281,'Player Data'!$A1:$AE734,14,FALSE)*$Q281</f>
        <v>2.3181639548857782</v>
      </c>
      <c r="AA281" s="41">
        <f>VLOOKUP(B281,'Player Data'!$A1:$AE734,15,FALSE)*$Q281</f>
        <v>151.48878278006967</v>
      </c>
      <c r="AB281" s="41">
        <f>VLOOKUP(B281,'Player Data'!$A1:$AE734,16,FALSE)*$Q281</f>
        <v>105.54194188577999</v>
      </c>
      <c r="AC281" s="41">
        <f>VLOOKUP(B281,'Player Data'!$A1:$AE734,17,FALSE)*$Q281*IFERROR((VLOOKUP(P281,Settings!$E$28:$F$33,2,FALSE)+1),1)</f>
        <v>5.1440194600116707</v>
      </c>
      <c r="AD281" s="41">
        <f>VLOOKUP(B281,'Player Data'!$A1:$AE734,18,FALSE)*$Q281</f>
        <v>17.830325122096077</v>
      </c>
      <c r="AE281" s="41">
        <f>VLOOKUP(B281,'Player Data'!$A1:$AE734,19,FALSE)*$Q281*IFERROR((VLOOKUP(P281,Settings!$E$28:$F$33,2,FALSE)+1),1)</f>
        <v>0.94567192467555905</v>
      </c>
      <c r="AF281" s="41">
        <f>VLOOKUP(B281,'Player Data'!$A1:$AE734,20,FALSE)*$Q281</f>
        <v>0</v>
      </c>
      <c r="AG281" s="41">
        <f>VLOOKUP(B281,'Player Data'!$A1:$AE734,21,FALSE)*$Q281</f>
        <v>0.15517782167024827</v>
      </c>
      <c r="AH281" s="42">
        <f>VLOOKUP(B281,'Player Data'!$A1:$AE734,22,FALSE)</f>
        <v>0</v>
      </c>
      <c r="AI281" s="39"/>
      <c r="AJ281" s="41"/>
      <c r="AK281" s="41"/>
      <c r="AL281" s="41"/>
      <c r="AM281" s="41"/>
      <c r="AN281" s="41"/>
      <c r="AO281" s="41"/>
      <c r="AP281" s="41"/>
      <c r="AQ281" s="44"/>
      <c r="AR281" s="45"/>
      <c r="AS281" s="39"/>
    </row>
    <row r="282" spans="1:45" ht="21.25" customHeight="1" x14ac:dyDescent="0.15">
      <c r="A282" s="31">
        <f>RANK(K282,K$2:K$727)</f>
        <v>281</v>
      </c>
      <c r="B282" s="8" t="s">
        <v>386</v>
      </c>
      <c r="C282" s="32" t="s">
        <v>106</v>
      </c>
      <c r="D282" s="33" t="str">
        <f>VLOOKUP(B282,'Player Data'!A1:D734,4,FALSE)</f>
        <v>LW</v>
      </c>
      <c r="E282" s="47">
        <f>VLOOKUP(B282,LW!A1:C130,3,FALSE)</f>
        <v>54</v>
      </c>
      <c r="F282" s="35" t="str">
        <f>VLOOKUP(B282,'Player Data'!A1:B734,2,FALSE)</f>
        <v>NYR</v>
      </c>
      <c r="G282" s="9">
        <f>VLOOKUP(B282,'Player Data'!A1:D734,3,FALSE)</f>
        <v>21</v>
      </c>
      <c r="H282" s="36">
        <f>IFERROR(VLOOKUP(B282,ADP!A1:G728,7,FALSE)/1000000,VLOOKUP(B282,ADP!A1:G728,7,FALSE))</f>
        <v>0</v>
      </c>
      <c r="I282" s="37">
        <f>IF(Settings!$E$15="POINTS",((R282*Q282)*Settings!$B$12)+(S282*Settings!$B$2)+(T282*Settings!$B$3)+(U282*Settings!$B$4)+(V282*Settings!$B$5)+(X282*Settings!$B$9)+(AA282*Settings!$B$6)+(W282*Settings!$B$8)+(AB282*Settings!$B$7)+(AC282*Settings!$B$14)+(AD282*Settings!$B$15)+(AE282*Settings!$B$16)+(AF282*Settings!$B$17)+(AG282*Settings!$B$18)+(Y282*Settings!$B$10)+(Z282*Settings!$B$11),VLOOKUP(B282,'Standard Deviations'!A1:C728,3,FALSE))</f>
        <v>217.48996895058011</v>
      </c>
      <c r="J282" s="38">
        <f>IF(D282="G",I282/AJ282,I282/Q282)</f>
        <v>2.6705546285680271</v>
      </c>
      <c r="K282" s="37">
        <f>IF(Settings!$E$18="C/LW/RW",VLOOKUP(B282,LW!A1:F130,6,FALSE),VLOOKUP(B282,F!A1:F430,6,FALSE))</f>
        <v>-146.55063590707036</v>
      </c>
      <c r="L282" s="52" t="str">
        <f>IFERROR(K282/H282,"N/A")</f>
        <v>N/A</v>
      </c>
      <c r="M282" s="39">
        <f>IF(Settings!$E$9="YAHOO",VLOOKUP(B282,ADP!A1:E728,2,FALSE),IF(Settings!$E$9="ESPN",VLOOKUP(B282,ADP!A1:E728,3,FALSE),IF(Settings!$E$9="FANTRAX",VLOOKUP(B282,ADP!A1:E728,4,FALSE),VLOOKUP(B282,ADP!A1:E728,5,FALSE))))</f>
        <v>171.2</v>
      </c>
      <c r="N282" s="39">
        <f>IFERROR(M282-A282,"N/A")</f>
        <v>-109.80000000000001</v>
      </c>
      <c r="O282" s="39"/>
      <c r="P282" s="40" t="str">
        <f>IF(Settings!$E$27="ON",VLOOKUP(B282,ADP!A1:H728,8,FALSE)," ")</f>
        <v>+</v>
      </c>
      <c r="Q282" s="41">
        <f>IF(Settings!$E$12="YES",VLOOKUP(B282,'Player Data'!A1:E734,5,FALSE),82)</f>
        <v>81.44</v>
      </c>
      <c r="R282" s="39">
        <f>VLOOKUP(B282,'Player Data'!$A1:$AE734,6,FALSE)</f>
        <v>15.339075122421701</v>
      </c>
      <c r="S282" s="41">
        <f>VLOOKUP(B282,'Player Data'!$A1:$AE734,7,FALSE)*$Q282*IFERROR((VLOOKUP(P282,Settings!$E$28:$F$33,2,FALSE)+1),1)</f>
        <v>21.101584047957072</v>
      </c>
      <c r="T282" s="41">
        <f>VLOOKUP(B282,'Player Data'!$A1:$AE734,8,FALSE)*$Q282*IFERROR((VLOOKUP(P282,Settings!$E$28:$F$33,2,FALSE)+1),1)</f>
        <v>23.218612841286848</v>
      </c>
      <c r="U282" s="41">
        <f>SUM(S282:T282)</f>
        <v>44.320196889243917</v>
      </c>
      <c r="V282" s="41">
        <f>VLOOKUP(B282,'Player Data'!$A1:$AE734,10,FALSE)*$Q282*IFERROR(((VLOOKUP(P282,Settings!$E$28:$F$33,2,FALSE)/2)+1),1)</f>
        <v>137.97052805067591</v>
      </c>
      <c r="W282" s="41">
        <f>VLOOKUP(B282,'Player Data'!$A1:$AE734,11,FALSE)*$Q282*IFERROR((VLOOKUP(P282,Settings!$E$28:$F$33,2,FALSE)+1),1)</f>
        <v>2.4594694999756963</v>
      </c>
      <c r="X282" s="41">
        <f>VLOOKUP(B282,'Player Data'!$A1:$AE734,12,FALSE)*$Q282*IFERROR((VLOOKUP(P282,Settings!$E$28:$F$33,2,FALSE)+1),1)</f>
        <v>4.8607156237390496</v>
      </c>
      <c r="Y282" s="41">
        <f>VLOOKUP(B282,'Player Data'!$A1:$AE734,13,FALSE)*$Q282</f>
        <v>1.8589672448182732E-2</v>
      </c>
      <c r="Z282" s="41">
        <f>VLOOKUP(B282,'Player Data'!$A1:$AE734,14,FALSE)*$Q282</f>
        <v>3.4073564795958605E-2</v>
      </c>
      <c r="AA282" s="41">
        <f>VLOOKUP(B282,'Player Data'!$A1:$AE734,15,FALSE)*$Q282</f>
        <v>28.772679402201735</v>
      </c>
      <c r="AB282" s="41">
        <f>VLOOKUP(B282,'Player Data'!$A1:$AE734,16,FALSE)*$Q282</f>
        <v>126.68377402787436</v>
      </c>
      <c r="AC282" s="41">
        <f>VLOOKUP(B282,'Player Data'!$A1:$AE734,17,FALSE)*$Q282*IFERROR((VLOOKUP(P282,Settings!$E$28:$F$33,2,FALSE)+1),1)</f>
        <v>4.3647392863445651</v>
      </c>
      <c r="AD282" s="41">
        <f>VLOOKUP(B282,'Player Data'!$A1:$AE734,18,FALSE)*$Q282</f>
        <v>32.22153024938688</v>
      </c>
      <c r="AE282" s="41">
        <f>VLOOKUP(B282,'Player Data'!$A1:$AE734,19,FALSE)*$Q282*IFERROR((VLOOKUP(P282,Settings!$E$28:$F$33,2,FALSE)+1),1)</f>
        <v>3.5956705172336814</v>
      </c>
      <c r="AF282" s="41">
        <f>VLOOKUP(B282,'Player Data'!$A1:$AE734,20,FALSE)*$Q282</f>
        <v>24.920936524068342</v>
      </c>
      <c r="AG282" s="41">
        <f>VLOOKUP(B282,'Player Data'!$A1:$AE734,21,FALSE)*$Q282</f>
        <v>46.208016569267684</v>
      </c>
      <c r="AH282" s="42">
        <f>VLOOKUP(B282,'Player Data'!$A1:$AE734,22,FALSE)</f>
        <v>0.35036276284520701</v>
      </c>
      <c r="AI282" s="39"/>
      <c r="AJ282" s="43"/>
      <c r="AK282" s="41"/>
      <c r="AL282" s="41"/>
      <c r="AM282" s="41"/>
      <c r="AN282" s="41"/>
      <c r="AO282" s="41"/>
      <c r="AP282" s="41"/>
      <c r="AQ282" s="44"/>
      <c r="AR282" s="45"/>
      <c r="AS282" s="39"/>
    </row>
    <row r="283" spans="1:45" ht="21.25" customHeight="1" x14ac:dyDescent="0.15">
      <c r="A283" s="31">
        <f>RANK(K283,K$2:K$727)</f>
        <v>282</v>
      </c>
      <c r="B283" s="8" t="s">
        <v>387</v>
      </c>
      <c r="C283" s="32" t="s">
        <v>106</v>
      </c>
      <c r="D283" s="33" t="str">
        <f>VLOOKUP(B283,'Player Data'!A1:D734,4,FALSE)</f>
        <v>LW</v>
      </c>
      <c r="E283" s="47">
        <f>VLOOKUP(B283,LW!A1:C130,3,FALSE)</f>
        <v>55</v>
      </c>
      <c r="F283" s="35" t="str">
        <f>VLOOKUP(B283,'Player Data'!A1:B734,2,FALSE)</f>
        <v>BUF</v>
      </c>
      <c r="G283" s="9">
        <f>VLOOKUP(B283,'Player Data'!A1:D734,3,FALSE)</f>
        <v>28</v>
      </c>
      <c r="H283" s="36">
        <f>IFERROR(VLOOKUP(B283,ADP!A1:G728,7,FALSE)/1000000,VLOOKUP(B283,ADP!A1:G728,7,FALSE))</f>
        <v>4.75</v>
      </c>
      <c r="I283" s="37">
        <f>IF(Settings!$E$15="POINTS",((R283*Q283)*Settings!$B$12)+(S283*Settings!$B$2)+(T283*Settings!$B$3)+(U283*Settings!$B$4)+(V283*Settings!$B$5)+(X283*Settings!$B$9)+(AA283*Settings!$B$6)+(W283*Settings!$B$8)+(AB283*Settings!$B$7)+(AC283*Settings!$B$14)+(AD283*Settings!$B$15)+(AE283*Settings!$B$16)+(AF283*Settings!$B$17)+(AG283*Settings!$B$18)+(Y283*Settings!$B$10)+(Z283*Settings!$B$11),VLOOKUP(B283,'Standard Deviations'!A1:C728,3,FALSE))</f>
        <v>217.2318647513402</v>
      </c>
      <c r="J283" s="38">
        <f>IF(D283="G",I283/AJ283,I283/Q283)</f>
        <v>2.7354870423590771</v>
      </c>
      <c r="K283" s="37">
        <f>IF(Settings!$E$18="C/LW/RW",VLOOKUP(B283,LW!A1:F130,6,FALSE),VLOOKUP(B283,F!A1:F430,6,FALSE))</f>
        <v>-146.80874010631027</v>
      </c>
      <c r="L283" s="37">
        <f>IFERROR(K283/H283,"N/A")</f>
        <v>-30.907103180275847</v>
      </c>
      <c r="M283" s="53" t="str">
        <f>IF(Settings!$E$9="YAHOO",VLOOKUP(B283,ADP!A1:E728,2,FALSE),IF(Settings!$E$9="ESPN",VLOOKUP(B283,ADP!A1:E728,3,FALSE),IF(Settings!$E$9="FANTRAX",VLOOKUP(B283,ADP!A1:E728,4,FALSE),VLOOKUP(B283,ADP!A1:E728,5,FALSE))))</f>
        <v>-</v>
      </c>
      <c r="N283" s="53" t="str">
        <f>IFERROR(M283-A283,"N/A")</f>
        <v>N/A</v>
      </c>
      <c r="O283" s="39"/>
      <c r="P283" s="40" t="str">
        <f>IF(Settings!$E$27="ON",VLOOKUP(B283,ADP!A1:H728,8,FALSE)," ")</f>
        <v xml:space="preserve"> </v>
      </c>
      <c r="Q283" s="41">
        <f>IF(Settings!$E$12="YES",VLOOKUP(B283,'Player Data'!A1:E734,5,FALSE),82)</f>
        <v>79.412499999999994</v>
      </c>
      <c r="R283" s="39">
        <f>VLOOKUP(B283,'Player Data'!$A1:$AE734,6,FALSE)</f>
        <v>13.671634468597601</v>
      </c>
      <c r="S283" s="41">
        <f>VLOOKUP(B283,'Player Data'!$A1:$AE734,7,FALSE)*$Q283*IFERROR((VLOOKUP(P283,Settings!$E$28:$F$33,2,FALSE)+1),1)</f>
        <v>20.638142940582998</v>
      </c>
      <c r="T283" s="41">
        <f>VLOOKUP(B283,'Player Data'!$A1:$AE734,8,FALSE)*$Q283*IFERROR((VLOOKUP(P283,Settings!$E$28:$F$33,2,FALSE)+1),1)</f>
        <v>18.254571917321467</v>
      </c>
      <c r="U283" s="41">
        <f>SUM(S283:T283)</f>
        <v>38.892714857904465</v>
      </c>
      <c r="V283" s="41">
        <f>VLOOKUP(B283,'Player Data'!$A1:$AE734,10,FALSE)*$Q283*IFERROR(((VLOOKUP(P283,Settings!$E$28:$F$33,2,FALSE)/2)+1),1)</f>
        <v>153.62515553794046</v>
      </c>
      <c r="W283" s="41">
        <f>VLOOKUP(B283,'Player Data'!$A1:$AE734,11,FALSE)*$Q283*IFERROR((VLOOKUP(P283,Settings!$E$28:$F$33,2,FALSE)+1),1)</f>
        <v>5.3634047552597028</v>
      </c>
      <c r="X283" s="41">
        <f>VLOOKUP(B283,'Player Data'!$A1:$AE734,12,FALSE)*$Q283*IFERROR((VLOOKUP(P283,Settings!$E$28:$F$33,2,FALSE)+1),1)</f>
        <v>10.030398619599087</v>
      </c>
      <c r="Y283" s="41">
        <f>VLOOKUP(B283,'Player Data'!$A1:$AE734,13,FALSE)*$Q283</f>
        <v>7.8576385979572394E-3</v>
      </c>
      <c r="Z283" s="41">
        <f>VLOOKUP(B283,'Player Data'!$A1:$AE734,14,FALSE)*$Q283</f>
        <v>3.5660505083965212E-2</v>
      </c>
      <c r="AA283" s="41">
        <f>VLOOKUP(B283,'Player Data'!$A1:$AE734,15,FALSE)*$Q283</f>
        <v>18.045120796452377</v>
      </c>
      <c r="AB283" s="41">
        <f>VLOOKUP(B283,'Player Data'!$A1:$AE734,16,FALSE)*$Q283</f>
        <v>27.769950605082776</v>
      </c>
      <c r="AC283" s="41">
        <f>VLOOKUP(B283,'Player Data'!$A1:$AE734,17,FALSE)*$Q283*IFERROR((VLOOKUP(P283,Settings!$E$28:$F$33,2,FALSE)+1),1)</f>
        <v>-4.103797104542509</v>
      </c>
      <c r="AD283" s="41">
        <f>VLOOKUP(B283,'Player Data'!$A1:$AE734,18,FALSE)*$Q283</f>
        <v>9.8968613945260717</v>
      </c>
      <c r="AE283" s="41">
        <f>VLOOKUP(B283,'Player Data'!$A1:$AE734,19,FALSE)*$Q283*IFERROR((VLOOKUP(P283,Settings!$E$28:$F$33,2,FALSE)+1),1)</f>
        <v>2.6596028693672826</v>
      </c>
      <c r="AF283" s="41">
        <f>VLOOKUP(B283,'Player Data'!$A1:$AE734,20,FALSE)*$Q283</f>
        <v>0.86756273830588726</v>
      </c>
      <c r="AG283" s="41">
        <f>VLOOKUP(B283,'Player Data'!$A1:$AE734,21,FALSE)*$Q283</f>
        <v>3.9097849543761174</v>
      </c>
      <c r="AH283" s="42">
        <f>VLOOKUP(B283,'Player Data'!$A1:$AE734,22,FALSE)</f>
        <v>0.18159924588173201</v>
      </c>
      <c r="AI283" s="39"/>
      <c r="AJ283" s="43"/>
      <c r="AK283" s="41"/>
      <c r="AL283" s="41"/>
      <c r="AM283" s="41"/>
      <c r="AN283" s="41"/>
      <c r="AO283" s="41"/>
      <c r="AP283" s="41"/>
      <c r="AQ283" s="44"/>
      <c r="AR283" s="45"/>
      <c r="AS283" s="39"/>
    </row>
    <row r="284" spans="1:45" ht="21.25" customHeight="1" x14ac:dyDescent="0.15">
      <c r="A284" s="31">
        <f>RANK(K284,K$2:K$727)</f>
        <v>283</v>
      </c>
      <c r="B284" s="8" t="s">
        <v>388</v>
      </c>
      <c r="C284" s="32" t="s">
        <v>106</v>
      </c>
      <c r="D284" s="33" t="str">
        <f>VLOOKUP(B284,'Player Data'!A1:D734,4,FALSE)</f>
        <v>RW</v>
      </c>
      <c r="E284" s="46">
        <f>VLOOKUP(B284,RW!A1:F97,3,FALSE)</f>
        <v>45</v>
      </c>
      <c r="F284" s="35" t="str">
        <f>VLOOKUP(B284,'Player Data'!A1:B734,2,FALSE)</f>
        <v>NYI</v>
      </c>
      <c r="G284" s="9">
        <f>VLOOKUP(B284,'Player Data'!A1:D734,3,FALSE)</f>
        <v>32</v>
      </c>
      <c r="H284" s="36">
        <f>IFERROR(VLOOKUP(B284,ADP!A1:G728,7,FALSE)/1000000,VLOOKUP(B284,ADP!A1:G728,7,FALSE))</f>
        <v>5</v>
      </c>
      <c r="I284" s="37">
        <f>IF(Settings!$E$15="POINTS",((R284*Q284)*Settings!$B$12)+(S284*Settings!$B$2)+(T284*Settings!$B$3)+(U284*Settings!$B$4)+(V284*Settings!$B$5)+(X284*Settings!$B$9)+(AA284*Settings!$B$6)+(W284*Settings!$B$8)+(AB284*Settings!$B$7)+(AC284*Settings!$B$14)+(AD284*Settings!$B$15)+(AE284*Settings!$B$16)+(AF284*Settings!$B$17)+(AG284*Settings!$B$18)+(Y284*Settings!$B$10)+(Z284*Settings!$B$11),VLOOKUP(B284,'Standard Deviations'!A1:C728,3,FALSE))</f>
        <v>203.26732339472701</v>
      </c>
      <c r="J284" s="38">
        <f>IF(D284="G",I284/AJ284,I284/Q284)</f>
        <v>2.7204651092454277</v>
      </c>
      <c r="K284" s="37">
        <f>IF(Settings!$E$18="C/LW/RW",VLOOKUP(B284,RW!A1:F97,6,FALSE),VLOOKUP(B284,F!A1:F430,6,FALSE))</f>
        <v>-147.00421715316256</v>
      </c>
      <c r="L284" s="37">
        <f>IFERROR(K284/H284,"N/A")</f>
        <v>-29.400843430632513</v>
      </c>
      <c r="M284" s="53" t="str">
        <f>IF(Settings!$E$9="YAHOO",VLOOKUP(B284,ADP!A1:E728,2,FALSE),IF(Settings!$E$9="ESPN",VLOOKUP(B284,ADP!A1:E728,3,FALSE),IF(Settings!$E$9="FANTRAX",VLOOKUP(B284,ADP!A1:E728,4,FALSE),VLOOKUP(B284,ADP!A1:E728,5,FALSE))))</f>
        <v>-</v>
      </c>
      <c r="N284" s="53" t="str">
        <f>IFERROR(M284-A284,"N/A")</f>
        <v>N/A</v>
      </c>
      <c r="O284" s="39"/>
      <c r="P284" s="40" t="str">
        <f>IF(Settings!$E$27="ON",VLOOKUP(B284,ADP!A1:H728,8,FALSE)," ")</f>
        <v xml:space="preserve"> </v>
      </c>
      <c r="Q284" s="41">
        <f>IF(Settings!$E$12="YES",VLOOKUP(B284,'Player Data'!A1:E734,5,FALSE),82)</f>
        <v>74.717857142857099</v>
      </c>
      <c r="R284" s="39">
        <f>VLOOKUP(B284,'Player Data'!$A1:$AE734,6,FALSE)</f>
        <v>15.767185415919799</v>
      </c>
      <c r="S284" s="41">
        <f>VLOOKUP(B284,'Player Data'!$A1:$AE734,7,FALSE)*$Q284*IFERROR((VLOOKUP(P284,Settings!$E$28:$F$33,2,FALSE)+1),1)</f>
        <v>16.672104444572089</v>
      </c>
      <c r="T284" s="41">
        <f>VLOOKUP(B284,'Player Data'!$A1:$AE734,8,FALSE)*$Q284*IFERROR((VLOOKUP(P284,Settings!$E$28:$F$33,2,FALSE)+1),1)</f>
        <v>19.92019194743407</v>
      </c>
      <c r="U284" s="41">
        <f>SUM(S284:T284)</f>
        <v>36.592296392006162</v>
      </c>
      <c r="V284" s="41">
        <f>VLOOKUP(B284,'Player Data'!$A1:$AE734,10,FALSE)*$Q284*IFERROR(((VLOOKUP(P284,Settings!$E$28:$F$33,2,FALSE)/2)+1),1)</f>
        <v>153.62887617615468</v>
      </c>
      <c r="W284" s="41">
        <f>VLOOKUP(B284,'Player Data'!$A1:$AE734,11,FALSE)*$Q284*IFERROR((VLOOKUP(P284,Settings!$E$28:$F$33,2,FALSE)+1),1)</f>
        <v>2.5667994198102124</v>
      </c>
      <c r="X284" s="41">
        <f>VLOOKUP(B284,'Player Data'!$A1:$AE734,12,FALSE)*$Q284*IFERROR((VLOOKUP(P284,Settings!$E$28:$F$33,2,FALSE)+1),1)</f>
        <v>5.8398536826670959</v>
      </c>
      <c r="Y284" s="41">
        <f>VLOOKUP(B284,'Player Data'!$A1:$AE734,13,FALSE)*$Q284</f>
        <v>0.16770538265835946</v>
      </c>
      <c r="Z284" s="41">
        <f>VLOOKUP(B284,'Player Data'!$A1:$AE734,14,FALSE)*$Q284</f>
        <v>0.22303281884522813</v>
      </c>
      <c r="AA284" s="41">
        <f>VLOOKUP(B284,'Player Data'!$A1:$AE734,15,FALSE)*$Q284</f>
        <v>22.75111563803279</v>
      </c>
      <c r="AB284" s="41">
        <f>VLOOKUP(B284,'Player Data'!$A1:$AE734,16,FALSE)*$Q284</f>
        <v>88.996518563156599</v>
      </c>
      <c r="AC284" s="41">
        <f>VLOOKUP(B284,'Player Data'!$A1:$AE734,17,FALSE)*$Q284*IFERROR((VLOOKUP(P284,Settings!$E$28:$F$33,2,FALSE)+1),1)</f>
        <v>1.8826271790782734</v>
      </c>
      <c r="AD284" s="41">
        <f>VLOOKUP(B284,'Player Data'!$A1:$AE734,18,FALSE)*$Q284</f>
        <v>35.598929966525908</v>
      </c>
      <c r="AE284" s="41">
        <f>VLOOKUP(B284,'Player Data'!$A1:$AE734,19,FALSE)*$Q284*IFERROR((VLOOKUP(P284,Settings!$E$28:$F$33,2,FALSE)+1),1)</f>
        <v>2.5762045445849004</v>
      </c>
      <c r="AF284" s="41">
        <f>VLOOKUP(B284,'Player Data'!$A1:$AE734,20,FALSE)*$Q284</f>
        <v>11.891875547861439</v>
      </c>
      <c r="AG284" s="41">
        <f>VLOOKUP(B284,'Player Data'!$A1:$AE734,21,FALSE)*$Q284</f>
        <v>22.151701824934815</v>
      </c>
      <c r="AH284" s="42">
        <f>VLOOKUP(B284,'Player Data'!$A1:$AE734,22,FALSE)</f>
        <v>0.34931333501290901</v>
      </c>
      <c r="AI284" s="39"/>
      <c r="AJ284" s="43"/>
      <c r="AK284" s="41"/>
      <c r="AL284" s="41"/>
      <c r="AM284" s="41"/>
      <c r="AN284" s="41"/>
      <c r="AO284" s="41"/>
      <c r="AP284" s="41"/>
      <c r="AQ284" s="44"/>
      <c r="AR284" s="45"/>
      <c r="AS284" s="39"/>
    </row>
    <row r="285" spans="1:45" ht="21.25" customHeight="1" x14ac:dyDescent="0.15">
      <c r="A285" s="31">
        <f>RANK(K285,K$2:K$727)</f>
        <v>284</v>
      </c>
      <c r="B285" s="8" t="s">
        <v>389</v>
      </c>
      <c r="C285" s="32" t="s">
        <v>106</v>
      </c>
      <c r="D285" s="33" t="str">
        <f>VLOOKUP(B285,'Player Data'!A1:D734,4,FALSE)</f>
        <v>D</v>
      </c>
      <c r="E285" s="49">
        <f>VLOOKUP(B285,D!A1:C227,3,FALSE)</f>
        <v>83</v>
      </c>
      <c r="F285" s="35" t="str">
        <f>VLOOKUP(B285,'Player Data'!A1:B734,2,FALSE)</f>
        <v>LAK</v>
      </c>
      <c r="G285" s="9">
        <f>VLOOKUP(B285,'Player Data'!A1:D734,3,FALSE)</f>
        <v>27</v>
      </c>
      <c r="H285" s="36">
        <f>IFERROR(VLOOKUP(B285,ADP!A1:G728,7,FALSE)/1000000,VLOOKUP(B285,ADP!A1:G728,7,FALSE))</f>
        <v>5.875</v>
      </c>
      <c r="I285" s="37">
        <f>IF(Settings!$E$15="POINTS",((R285*Q285)*Settings!$B$12)+(S285*Settings!$B$2)+(T285*Settings!$B$3)+(U285*Settings!$B$4)+(V285*Settings!$B$5)+(X285*Settings!$B$9)+(AA285*Settings!$B$6)+(W285*Settings!$B$8)+(AB285*Settings!$B$7)+(AC285*Settings!$B$14)+(AD285*Settings!$B$15)+(AE285*Settings!$B$16)+(AF285*Settings!$B$17)+(AG285*Settings!$B$18)+(U285*Settings!$B$13)+(Y285*Settings!$B$10)+(Z285*Settings!$B$11),VLOOKUP(B285,'Standard Deviations'!A1:C728,3,FALSE))</f>
        <v>164.24728799504925</v>
      </c>
      <c r="J285" s="38">
        <f>IF(D285="G",I285/AJ285,I285/Q285)</f>
        <v>2.0573711667403529</v>
      </c>
      <c r="K285" s="37">
        <f>VLOOKUP(B285,D!A1:F227,6,FALSE)</f>
        <v>-147.31819363287821</v>
      </c>
      <c r="L285" s="37">
        <f>IFERROR(K285/H285,"N/A")</f>
        <v>-25.07543721410693</v>
      </c>
      <c r="M285" s="53" t="str">
        <f>IF(Settings!$E$9="YAHOO",VLOOKUP(B285,ADP!A1:E728,2,FALSE),IF(Settings!$E$9="ESPN",VLOOKUP(B285,ADP!A1:E728,3,FALSE),IF(Settings!$E$9="FANTRAX",VLOOKUP(B285,ADP!A1:E728,4,FALSE),VLOOKUP(B285,ADP!A1:E728,5,FALSE))))</f>
        <v>-</v>
      </c>
      <c r="N285" s="53" t="str">
        <f>IFERROR(M285-A285,"N/A")</f>
        <v>N/A</v>
      </c>
      <c r="O285" s="39"/>
      <c r="P285" s="40" t="str">
        <f>IF(Settings!$E$27="ON",VLOOKUP(B285,ADP!A1:H728,8,FALSE)," ")</f>
        <v xml:space="preserve"> </v>
      </c>
      <c r="Q285" s="41">
        <f>IF(Settings!$E$12="YES",VLOOKUP(B285,'Player Data'!A1:E734,5,FALSE),82)</f>
        <v>79.833571428571403</v>
      </c>
      <c r="R285" s="39">
        <f>VLOOKUP(B285,'Player Data'!$A1:$AE734,6,FALSE)</f>
        <v>21.9373527078676</v>
      </c>
      <c r="S285" s="41">
        <f>VLOOKUP(B285,'Player Data'!$A1:$AE734,7,FALSE)*$Q285*IFERROR((VLOOKUP(P285,Settings!$E$28:$F$33,2,FALSE)+1),1)</f>
        <v>5.8119839022368476</v>
      </c>
      <c r="T285" s="41">
        <f>VLOOKUP(B285,'Player Data'!$A1:$AE734,8,FALSE)*$Q285*IFERROR((VLOOKUP(P285,Settings!$E$28:$F$33,2,FALSE)+1),1)</f>
        <v>21.477077597853242</v>
      </c>
      <c r="U285" s="41">
        <f>SUM(S285:T285)</f>
        <v>27.289061500090089</v>
      </c>
      <c r="V285" s="41">
        <f>VLOOKUP(B285,'Player Data'!$A1:$AE734,10,FALSE)*$Q285*IFERROR(((VLOOKUP(P285,Settings!$E$28:$F$33,2,FALSE)/2)+1),1)</f>
        <v>103.4851144061742</v>
      </c>
      <c r="W285" s="41">
        <f>VLOOKUP(B285,'Player Data'!$A1:$AE734,11,FALSE)*$Q285*IFERROR((VLOOKUP(P285,Settings!$E$28:$F$33,2,FALSE)+1),1)</f>
        <v>8.1177883799273487E-2</v>
      </c>
      <c r="X285" s="41">
        <f>VLOOKUP(B285,'Player Data'!$A1:$AE734,12,FALSE)*$Q285*IFERROR((VLOOKUP(P285,Settings!$E$28:$F$33,2,FALSE)+1),1)</f>
        <v>0.55418742411021693</v>
      </c>
      <c r="Y285" s="41">
        <f>VLOOKUP(B285,'Player Data'!$A1:$AE734,13,FALSE)*$Q285</f>
        <v>0.57148085055158326</v>
      </c>
      <c r="Z285" s="41">
        <f>VLOOKUP(B285,'Player Data'!$A1:$AE734,14,FALSE)*$Q285</f>
        <v>1.567798720727914</v>
      </c>
      <c r="AA285" s="41">
        <f>VLOOKUP(B285,'Player Data'!$A1:$AE734,15,FALSE)*$Q285</f>
        <v>131.9678700100782</v>
      </c>
      <c r="AB285" s="41">
        <f>VLOOKUP(B285,'Player Data'!$A1:$AE734,16,FALSE)*$Q285</f>
        <v>94.415977348715373</v>
      </c>
      <c r="AC285" s="41">
        <f>VLOOKUP(B285,'Player Data'!$A1:$AE734,17,FALSE)*$Q285*IFERROR((VLOOKUP(P285,Settings!$E$28:$F$33,2,FALSE)+1),1)</f>
        <v>-7.7526419501056765E-2</v>
      </c>
      <c r="AD285" s="41">
        <f>VLOOKUP(B285,'Player Data'!$A1:$AE734,18,FALSE)*$Q285</f>
        <v>47.800198949639451</v>
      </c>
      <c r="AE285" s="41">
        <f>VLOOKUP(B285,'Player Data'!$A1:$AE734,19,FALSE)*$Q285*IFERROR((VLOOKUP(P285,Settings!$E$28:$F$33,2,FALSE)+1),1)</f>
        <v>0.86286939573422006</v>
      </c>
      <c r="AF285" s="41">
        <f>VLOOKUP(B285,'Player Data'!$A1:$AE734,20,FALSE)*$Q285</f>
        <v>0</v>
      </c>
      <c r="AG285" s="41">
        <f>VLOOKUP(B285,'Player Data'!$A1:$AE734,21,FALSE)*$Q285</f>
        <v>0</v>
      </c>
      <c r="AH285" s="42">
        <f>VLOOKUP(B285,'Player Data'!$A1:$AE734,22,FALSE)</f>
        <v>0</v>
      </c>
      <c r="AI285" s="39"/>
      <c r="AJ285" s="43"/>
      <c r="AK285" s="41"/>
      <c r="AL285" s="41"/>
      <c r="AM285" s="41"/>
      <c r="AN285" s="41"/>
      <c r="AO285" s="41"/>
      <c r="AP285" s="41"/>
      <c r="AQ285" s="44"/>
      <c r="AR285" s="45"/>
      <c r="AS285" s="39"/>
    </row>
    <row r="286" spans="1:45" ht="21.25" customHeight="1" x14ac:dyDescent="0.15">
      <c r="A286" s="31">
        <f>RANK(K286,K$2:K$727)</f>
        <v>285</v>
      </c>
      <c r="B286" s="8" t="s">
        <v>390</v>
      </c>
      <c r="C286" s="32" t="s">
        <v>106</v>
      </c>
      <c r="D286" s="33" t="str">
        <f>VLOOKUP(B286,'Player Data'!A1:D734,4,FALSE)</f>
        <v>C</v>
      </c>
      <c r="E286" s="34">
        <f>VLOOKUP(B286,'C'!A1:C211,3,FALSE)</f>
        <v>72</v>
      </c>
      <c r="F286" s="35" t="str">
        <f>VLOOKUP(B286,'Player Data'!A1:B734,2,FALSE)</f>
        <v>FLA</v>
      </c>
      <c r="G286" s="9">
        <f>VLOOKUP(B286,'Player Data'!A1:D734,3,FALSE)</f>
        <v>21</v>
      </c>
      <c r="H286" s="36">
        <f>IFERROR(VLOOKUP(B286,ADP!A1:G728,7,FALSE)/1000000,VLOOKUP(B286,ADP!A1:G728,7,FALSE))</f>
        <v>0.92500000000000004</v>
      </c>
      <c r="I286" s="37">
        <f>IF(Settings!$E$15="POINTS",((R286*Q286)*Settings!$B$12)+(S286*Settings!$B$2)+(T286*Settings!$B$3)+(U286*Settings!$B$4)+(V286*Settings!$B$5)+(X286*Settings!$B$9)+(AA286*Settings!$B$6)+(W286*Settings!$B$8)+(AB286*Settings!$B$7)+(AC286*Settings!$B$14)+(AD286*Settings!$B$15)+(AE286*Settings!$B$16)+(AF286*Settings!$B$17)+(AG286*Settings!$B$18)+(Y286*Settings!$B$10)+(Z286*Settings!$B$11),VLOOKUP(B286,'Standard Deviations'!A1:C728,3,FALSE))</f>
        <v>245.37592554833034</v>
      </c>
      <c r="J286" s="38">
        <f>IF(D286="G",I286/AJ286,I286/Q286)</f>
        <v>3.1952070518696574</v>
      </c>
      <c r="K286" s="37">
        <f>IF(Settings!$E$18="C/LW/RW",VLOOKUP(B286,'C'!A1:F211,6,FALSE),VLOOKUP(B286,F!A1:F430,6,FALSE))</f>
        <v>-147.95288021787931</v>
      </c>
      <c r="L286" s="37">
        <f>IFERROR(K286/H286,"N/A")</f>
        <v>-159.94905969500465</v>
      </c>
      <c r="M286" s="53" t="str">
        <f>IF(Settings!$E$9="YAHOO",VLOOKUP(B286,ADP!A1:E728,2,FALSE),IF(Settings!$E$9="ESPN",VLOOKUP(B286,ADP!A1:E728,3,FALSE),IF(Settings!$E$9="FANTRAX",VLOOKUP(B286,ADP!A1:E728,4,FALSE),VLOOKUP(B286,ADP!A1:E728,5,FALSE))))</f>
        <v>-</v>
      </c>
      <c r="N286" s="53" t="str">
        <f>IFERROR(M286-A286,"N/A")</f>
        <v>N/A</v>
      </c>
      <c r="O286" s="39"/>
      <c r="P286" s="40" t="str">
        <f>IF(Settings!$E$27="ON",VLOOKUP(B286,ADP!A1:H728,8,FALSE)," ")</f>
        <v xml:space="preserve"> </v>
      </c>
      <c r="Q286" s="41">
        <f>IF(Settings!$E$12="YES",VLOOKUP(B286,'Player Data'!A1:E734,5,FALSE),82)</f>
        <v>76.795000000000002</v>
      </c>
      <c r="R286" s="39">
        <f>VLOOKUP(B286,'Player Data'!$A1:$AE734,6,FALSE)</f>
        <v>16.623593486120601</v>
      </c>
      <c r="S286" s="41">
        <f>VLOOKUP(B286,'Player Data'!$A1:$AE734,7,FALSE)*$Q286*IFERROR((VLOOKUP(P286,Settings!$E$28:$F$33,2,FALSE)+1),1)</f>
        <v>18.149360064437378</v>
      </c>
      <c r="T286" s="41">
        <f>VLOOKUP(B286,'Player Data'!$A1:$AE734,8,FALSE)*$Q286*IFERROR((VLOOKUP(P286,Settings!$E$28:$F$33,2,FALSE)+1),1)</f>
        <v>27.72155361865175</v>
      </c>
      <c r="U286" s="41">
        <f>SUM(S286:T286)</f>
        <v>45.870913683089128</v>
      </c>
      <c r="V286" s="41">
        <f>VLOOKUP(B286,'Player Data'!$A1:$AE734,10,FALSE)*$Q286*IFERROR(((VLOOKUP(P286,Settings!$E$28:$F$33,2,FALSE)/2)+1),1)</f>
        <v>161.12458915285444</v>
      </c>
      <c r="W286" s="41">
        <f>VLOOKUP(B286,'Player Data'!$A1:$AE734,11,FALSE)*$Q286*IFERROR((VLOOKUP(P286,Settings!$E$28:$F$33,2,FALSE)+1),1)</f>
        <v>1.2176822917611838</v>
      </c>
      <c r="X286" s="41">
        <f>VLOOKUP(B286,'Player Data'!$A1:$AE734,12,FALSE)*$Q286*IFERROR((VLOOKUP(P286,Settings!$E$28:$F$33,2,FALSE)+1),1)</f>
        <v>6.5660915388838443</v>
      </c>
      <c r="Y286" s="41">
        <f>VLOOKUP(B286,'Player Data'!$A1:$AE734,13,FALSE)*$Q286</f>
        <v>1.6512114207161903</v>
      </c>
      <c r="Z286" s="41">
        <f>VLOOKUP(B286,'Player Data'!$A1:$AE734,14,FALSE)*$Q286</f>
        <v>2.7438651848126709</v>
      </c>
      <c r="AA286" s="41">
        <f>VLOOKUP(B286,'Player Data'!$A1:$AE734,15,FALSE)*$Q286</f>
        <v>42.904882376213592</v>
      </c>
      <c r="AB286" s="41">
        <f>VLOOKUP(B286,'Player Data'!$A1:$AE734,16,FALSE)*$Q286</f>
        <v>39.929413245327837</v>
      </c>
      <c r="AC286" s="41">
        <f>VLOOKUP(B286,'Player Data'!$A1:$AE734,17,FALSE)*$Q286*IFERROR((VLOOKUP(P286,Settings!$E$28:$F$33,2,FALSE)+1),1)</f>
        <v>4.5332030408986235</v>
      </c>
      <c r="AD286" s="41">
        <f>VLOOKUP(B286,'Player Data'!$A1:$AE734,18,FALSE)*$Q286</f>
        <v>35.907161871926824</v>
      </c>
      <c r="AE286" s="41">
        <f>VLOOKUP(B286,'Player Data'!$A1:$AE734,19,FALSE)*$Q286*IFERROR((VLOOKUP(P286,Settings!$E$28:$F$33,2,FALSE)+1),1)</f>
        <v>2.603567099620967</v>
      </c>
      <c r="AF286" s="41">
        <f>VLOOKUP(B286,'Player Data'!$A1:$AE734,20,FALSE)*$Q286</f>
        <v>304.15480203171427</v>
      </c>
      <c r="AG286" s="41">
        <f>VLOOKUP(B286,'Player Data'!$A1:$AE734,21,FALSE)*$Q286</f>
        <v>360.57399286610763</v>
      </c>
      <c r="AH286" s="42">
        <f>VLOOKUP(B286,'Player Data'!$A1:$AE734,22,FALSE)</f>
        <v>0.45756224849333799</v>
      </c>
      <c r="AI286" s="39"/>
      <c r="AJ286" s="43"/>
      <c r="AK286" s="41"/>
      <c r="AL286" s="41"/>
      <c r="AM286" s="41"/>
      <c r="AN286" s="41"/>
      <c r="AO286" s="41"/>
      <c r="AP286" s="41"/>
      <c r="AQ286" s="44"/>
      <c r="AR286" s="45"/>
      <c r="AS286" s="43"/>
    </row>
    <row r="287" spans="1:45" ht="21.25" customHeight="1" x14ac:dyDescent="0.15">
      <c r="A287" s="31">
        <f>RANK(K287,K$2:K$727)</f>
        <v>286</v>
      </c>
      <c r="B287" s="8" t="s">
        <v>391</v>
      </c>
      <c r="C287" s="32" t="s">
        <v>106</v>
      </c>
      <c r="D287" s="33" t="str">
        <f>VLOOKUP(B287,'Player Data'!A1:D734,4,FALSE)</f>
        <v>C</v>
      </c>
      <c r="E287" s="34">
        <f>VLOOKUP(B287,'C'!A1:C211,3,FALSE)</f>
        <v>73</v>
      </c>
      <c r="F287" s="35" t="str">
        <f>VLOOKUP(B287,'Player Data'!A1:B734,2,FALSE)</f>
        <v>DAL</v>
      </c>
      <c r="G287" s="9">
        <f>VLOOKUP(B287,'Player Data'!A1:D734,3,FALSE)</f>
        <v>31</v>
      </c>
      <c r="H287" s="36">
        <f>IFERROR(VLOOKUP(B287,ADP!A1:G728,7,FALSE)/1000000,VLOOKUP(B287,ADP!A1:G728,7,FALSE))</f>
        <v>9.85</v>
      </c>
      <c r="I287" s="37">
        <f>IF(Settings!$E$15="POINTS",((R287*Q287)*Settings!$B$12)+(S287*Settings!$B$2)+(T287*Settings!$B$3)+(U287*Settings!$B$4)+(V287*Settings!$B$5)+(X287*Settings!$B$9)+(AA287*Settings!$B$6)+(W287*Settings!$B$8)+(AB287*Settings!$B$7)+(AC287*Settings!$B$14)+(AD287*Settings!$B$15)+(AE287*Settings!$B$16)+(AF287*Settings!$B$17)+(AG287*Settings!$B$18)+(Y287*Settings!$B$10)+(Z287*Settings!$B$11),VLOOKUP(B287,'Standard Deviations'!A1:C728,3,FALSE))</f>
        <v>245.03212184167259</v>
      </c>
      <c r="J287" s="38">
        <f>IF(D287="G",I287/AJ287,I287/Q287)</f>
        <v>3.3535363496052213</v>
      </c>
      <c r="K287" s="37">
        <f>IF(Settings!$E$18="C/LW/RW",VLOOKUP(B287,'C'!A1:F211,6,FALSE),VLOOKUP(B287,F!A1:F430,6,FALSE))</f>
        <v>-148.29668392453706</v>
      </c>
      <c r="L287" s="37">
        <f>IFERROR(K287/H287,"N/A")</f>
        <v>-15.055500906044372</v>
      </c>
      <c r="M287" s="53" t="str">
        <f>IF(Settings!$E$9="YAHOO",VLOOKUP(B287,ADP!A1:E728,2,FALSE),IF(Settings!$E$9="ESPN",VLOOKUP(B287,ADP!A1:E728,3,FALSE),IF(Settings!$E$9="FANTRAX",VLOOKUP(B287,ADP!A1:E728,4,FALSE),VLOOKUP(B287,ADP!A1:E728,5,FALSE))))</f>
        <v>-</v>
      </c>
      <c r="N287" s="53" t="str">
        <f>IFERROR(M287-A287,"N/A")</f>
        <v>N/A</v>
      </c>
      <c r="O287" s="39"/>
      <c r="P287" s="40" t="str">
        <f>IF(Settings!$E$27="ON",VLOOKUP(B287,ADP!A1:H728,8,FALSE)," ")</f>
        <v xml:space="preserve"> </v>
      </c>
      <c r="Q287" s="41">
        <f>IF(Settings!$E$12="YES",VLOOKUP(B287,'Player Data'!A1:E734,5,FALSE),82)</f>
        <v>73.0667857142857</v>
      </c>
      <c r="R287" s="39">
        <f>VLOOKUP(B287,'Player Data'!$A1:$AE734,6,FALSE)</f>
        <v>16.814175211007701</v>
      </c>
      <c r="S287" s="41">
        <f>VLOOKUP(B287,'Player Data'!$A1:$AE734,7,FALSE)*$Q287*IFERROR((VLOOKUP(P287,Settings!$E$28:$F$33,2,FALSE)+1),1)</f>
        <v>19.046775735426436</v>
      </c>
      <c r="T287" s="41">
        <f>VLOOKUP(B287,'Player Data'!$A1:$AE734,8,FALSE)*$Q287*IFERROR((VLOOKUP(P287,Settings!$E$28:$F$33,2,FALSE)+1),1)</f>
        <v>23.918555168449558</v>
      </c>
      <c r="U287" s="41">
        <f>SUM(S287:T287)</f>
        <v>42.965330903875994</v>
      </c>
      <c r="V287" s="41">
        <f>VLOOKUP(B287,'Player Data'!$A1:$AE734,10,FALSE)*$Q287*IFERROR(((VLOOKUP(P287,Settings!$E$28:$F$33,2,FALSE)/2)+1),1)</f>
        <v>177.29370679719267</v>
      </c>
      <c r="W287" s="41">
        <f>VLOOKUP(B287,'Player Data'!$A1:$AE734,11,FALSE)*$Q287*IFERROR((VLOOKUP(P287,Settings!$E$28:$F$33,2,FALSE)+1),1)</f>
        <v>4.3554623805283015</v>
      </c>
      <c r="X287" s="41">
        <f>VLOOKUP(B287,'Player Data'!$A1:$AE734,12,FALSE)*$Q287*IFERROR((VLOOKUP(P287,Settings!$E$28:$F$33,2,FALSE)+1),1)</f>
        <v>9.3194879301063729</v>
      </c>
      <c r="Y287" s="41">
        <f>VLOOKUP(B287,'Player Data'!$A1:$AE734,13,FALSE)*$Q287</f>
        <v>0.90069136233456215</v>
      </c>
      <c r="Z287" s="41">
        <f>VLOOKUP(B287,'Player Data'!$A1:$AE734,14,FALSE)*$Q287</f>
        <v>1.7988524717172316</v>
      </c>
      <c r="AA287" s="41">
        <f>VLOOKUP(B287,'Player Data'!$A1:$AE734,15,FALSE)*$Q287</f>
        <v>26.262974639005375</v>
      </c>
      <c r="AB287" s="41">
        <f>VLOOKUP(B287,'Player Data'!$A1:$AE734,16,FALSE)*$Q287</f>
        <v>80.211311481380335</v>
      </c>
      <c r="AC287" s="41">
        <f>VLOOKUP(B287,'Player Data'!$A1:$AE734,17,FALSE)*$Q287*IFERROR((VLOOKUP(P287,Settings!$E$28:$F$33,2,FALSE)+1),1)</f>
        <v>3.4300028286305353</v>
      </c>
      <c r="AD287" s="41">
        <f>VLOOKUP(B287,'Player Data'!$A1:$AE734,18,FALSE)*$Q287</f>
        <v>25.374013873892991</v>
      </c>
      <c r="AE287" s="41">
        <f>VLOOKUP(B287,'Player Data'!$A1:$AE734,19,FALSE)*$Q287*IFERROR((VLOOKUP(P287,Settings!$E$28:$F$33,2,FALSE)+1),1)</f>
        <v>3.0473490940377799</v>
      </c>
      <c r="AF287" s="41">
        <f>VLOOKUP(B287,'Player Data'!$A1:$AE734,20,FALSE)*$Q287</f>
        <v>453.58380358411284</v>
      </c>
      <c r="AG287" s="41">
        <f>VLOOKUP(B287,'Player Data'!$A1:$AE734,21,FALSE)*$Q287</f>
        <v>365.97246585102613</v>
      </c>
      <c r="AH287" s="42">
        <f>VLOOKUP(B287,'Player Data'!$A1:$AE734,22,FALSE)</f>
        <v>0.55345047131020697</v>
      </c>
      <c r="AI287" s="39"/>
      <c r="AJ287" s="43"/>
      <c r="AK287" s="41"/>
      <c r="AL287" s="41"/>
      <c r="AM287" s="41"/>
      <c r="AN287" s="41"/>
      <c r="AO287" s="41"/>
      <c r="AP287" s="41"/>
      <c r="AQ287" s="44"/>
      <c r="AR287" s="45"/>
      <c r="AS287" s="39"/>
    </row>
    <row r="288" spans="1:45" ht="21.25" customHeight="1" x14ac:dyDescent="0.15">
      <c r="A288" s="31">
        <f>RANK(K288,K$2:K$727)</f>
        <v>287</v>
      </c>
      <c r="B288" s="8" t="s">
        <v>392</v>
      </c>
      <c r="C288" s="32" t="s">
        <v>106</v>
      </c>
      <c r="D288" s="33" t="str">
        <f>VLOOKUP(B288,'Player Data'!A1:D734,4,FALSE)</f>
        <v>LW</v>
      </c>
      <c r="E288" s="47">
        <f>VLOOKUP(B288,LW!A1:C130,3,FALSE)</f>
        <v>56</v>
      </c>
      <c r="F288" s="35" t="str">
        <f>VLOOKUP(B288,'Player Data'!A1:B734,2,FALSE)</f>
        <v>ARI</v>
      </c>
      <c r="G288" s="9">
        <f>VLOOKUP(B288,'Player Data'!A1:D734,3,FALSE)</f>
        <v>26</v>
      </c>
      <c r="H288" s="36">
        <f>IFERROR(VLOOKUP(B288,ADP!A1:G728,7,FALSE)/1000000,VLOOKUP(B288,ADP!A1:G728,7,FALSE))</f>
        <v>4.3</v>
      </c>
      <c r="I288" s="37">
        <f>IF(Settings!$E$15="POINTS",((R288*Q288)*Settings!$B$12)+(S288*Settings!$B$2)+(T288*Settings!$B$3)+(U288*Settings!$B$4)+(V288*Settings!$B$5)+(X288*Settings!$B$9)+(AA288*Settings!$B$6)+(W288*Settings!$B$8)+(AB288*Settings!$B$7)+(AC288*Settings!$B$14)+(AD288*Settings!$B$15)+(AE288*Settings!$B$16)+(AF288*Settings!$B$17)+(AG288*Settings!$B$18)+(Y288*Settings!$B$10)+(Z288*Settings!$B$11),VLOOKUP(B288,'Standard Deviations'!A1:C728,3,FALSE))</f>
        <v>215.69960956836934</v>
      </c>
      <c r="J288" s="38">
        <f>IF(D288="G",I288/AJ288,I288/Q288)</f>
        <v>2.7627989734471212</v>
      </c>
      <c r="K288" s="37">
        <f>IF(Settings!$E$18="C/LW/RW",VLOOKUP(B288,LW!A1:F130,6,FALSE),VLOOKUP(B288,F!A1:F430,6,FALSE))</f>
        <v>-148.34099528928112</v>
      </c>
      <c r="L288" s="37">
        <f>IFERROR(K288/H288,"N/A")</f>
        <v>-34.497905881228171</v>
      </c>
      <c r="M288" s="39">
        <f>IF(Settings!$E$9="YAHOO",VLOOKUP(B288,ADP!A1:E728,2,FALSE),IF(Settings!$E$9="ESPN",VLOOKUP(B288,ADP!A1:E728,3,FALSE),IF(Settings!$E$9="FANTRAX",VLOOKUP(B288,ADP!A1:E728,4,FALSE),VLOOKUP(B288,ADP!A1:E728,5,FALSE))))</f>
        <v>175</v>
      </c>
      <c r="N288" s="39">
        <f>IFERROR(M288-A288,"N/A")</f>
        <v>-112</v>
      </c>
      <c r="O288" s="39"/>
      <c r="P288" s="40" t="str">
        <f>IF(Settings!$E$27="ON",VLOOKUP(B288,ADP!A1:H728,8,FALSE)," ")</f>
        <v xml:space="preserve"> </v>
      </c>
      <c r="Q288" s="41">
        <f>IF(Settings!$E$12="YES",VLOOKUP(B288,'Player Data'!A1:E734,5,FALSE),82)</f>
        <v>78.072857142857103</v>
      </c>
      <c r="R288" s="39">
        <f>VLOOKUP(B288,'Player Data'!$A1:$AE734,6,FALSE)</f>
        <v>16.7469938562724</v>
      </c>
      <c r="S288" s="41">
        <f>VLOOKUP(B288,'Player Data'!$A1:$AE734,7,FALSE)*$Q288*IFERROR((VLOOKUP(P288,Settings!$E$28:$F$33,2,FALSE)+1),1)</f>
        <v>20.25159689072477</v>
      </c>
      <c r="T288" s="41">
        <f>VLOOKUP(B288,'Player Data'!$A1:$AE734,8,FALSE)*$Q288*IFERROR((VLOOKUP(P288,Settings!$E$28:$F$33,2,FALSE)+1),1)</f>
        <v>19.573607356019647</v>
      </c>
      <c r="U288" s="41">
        <f>SUM(S288:T288)</f>
        <v>39.82520424674442</v>
      </c>
      <c r="V288" s="41">
        <f>VLOOKUP(B288,'Player Data'!$A1:$AE734,10,FALSE)*$Q288*IFERROR(((VLOOKUP(P288,Settings!$E$28:$F$33,2,FALSE)/2)+1),1)</f>
        <v>145.0528486039232</v>
      </c>
      <c r="W288" s="41">
        <f>VLOOKUP(B288,'Player Data'!$A1:$AE734,11,FALSE)*$Q288*IFERROR((VLOOKUP(P288,Settings!$E$28:$F$33,2,FALSE)+1),1)</f>
        <v>3.6296421128269651</v>
      </c>
      <c r="X288" s="41">
        <f>VLOOKUP(B288,'Player Data'!$A1:$AE734,12,FALSE)*$Q288*IFERROR((VLOOKUP(P288,Settings!$E$28:$F$33,2,FALSE)+1),1)</f>
        <v>6.1367834094115343</v>
      </c>
      <c r="Y288" s="41">
        <f>VLOOKUP(B288,'Player Data'!$A1:$AE734,13,FALSE)*$Q288</f>
        <v>0.42757026696525402</v>
      </c>
      <c r="Z288" s="41">
        <f>VLOOKUP(B288,'Player Data'!$A1:$AE734,14,FALSE)*$Q288</f>
        <v>0.52313366645523285</v>
      </c>
      <c r="AA288" s="41">
        <f>VLOOKUP(B288,'Player Data'!$A1:$AE734,15,FALSE)*$Q288</f>
        <v>51.88869187220471</v>
      </c>
      <c r="AB288" s="41">
        <f>VLOOKUP(B288,'Player Data'!$A1:$AE734,16,FALSE)*$Q288</f>
        <v>183.67154473127243</v>
      </c>
      <c r="AC288" s="41">
        <f>VLOOKUP(B288,'Player Data'!$A1:$AE734,17,FALSE)*$Q288*IFERROR((VLOOKUP(P288,Settings!$E$28:$F$33,2,FALSE)+1),1)</f>
        <v>-2.6884675974942249</v>
      </c>
      <c r="AD288" s="41">
        <f>VLOOKUP(B288,'Player Data'!$A1:$AE734,18,FALSE)*$Q288</f>
        <v>42.011446193938674</v>
      </c>
      <c r="AE288" s="41">
        <f>VLOOKUP(B288,'Player Data'!$A1:$AE734,19,FALSE)*$Q288*IFERROR((VLOOKUP(P288,Settings!$E$28:$F$33,2,FALSE)+1),1)</f>
        <v>2.4960092313847548</v>
      </c>
      <c r="AF288" s="41">
        <f>VLOOKUP(B288,'Player Data'!$A1:$AE734,20,FALSE)*$Q288</f>
        <v>29.2310027534627</v>
      </c>
      <c r="AG288" s="41">
        <f>VLOOKUP(B288,'Player Data'!$A1:$AE734,21,FALSE)*$Q288</f>
        <v>46.004188428908883</v>
      </c>
      <c r="AH288" s="42">
        <f>VLOOKUP(B288,'Player Data'!$A1:$AE734,22,FALSE)</f>
        <v>0.38852832423335198</v>
      </c>
      <c r="AI288" s="39"/>
      <c r="AJ288" s="43"/>
      <c r="AK288" s="41"/>
      <c r="AL288" s="41"/>
      <c r="AM288" s="41"/>
      <c r="AN288" s="41"/>
      <c r="AO288" s="41"/>
      <c r="AP288" s="41"/>
      <c r="AQ288" s="44"/>
      <c r="AR288" s="45"/>
      <c r="AS288" s="39"/>
    </row>
    <row r="289" spans="1:45" ht="21.25" customHeight="1" x14ac:dyDescent="0.15">
      <c r="A289" s="31">
        <f>RANK(K289,K$2:K$727)</f>
        <v>288</v>
      </c>
      <c r="B289" s="8" t="s">
        <v>393</v>
      </c>
      <c r="C289" s="32" t="s">
        <v>106</v>
      </c>
      <c r="D289" s="33" t="str">
        <f>VLOOKUP(B289,'Player Data'!A1:D734,4,FALSE)</f>
        <v>C</v>
      </c>
      <c r="E289" s="34">
        <f>VLOOKUP(B289,'C'!A1:C211,3,FALSE)</f>
        <v>74</v>
      </c>
      <c r="F289" s="35" t="str">
        <f>VLOOKUP(B289,'Player Data'!A1:B734,2,FALSE)</f>
        <v>WSH</v>
      </c>
      <c r="G289" s="9">
        <f>VLOOKUP(B289,'Player Data'!A1:D734,3,FALSE)</f>
        <v>26</v>
      </c>
      <c r="H289" s="36">
        <f>IFERROR(VLOOKUP(B289,ADP!A1:G728,7,FALSE)/1000000,VLOOKUP(B289,ADP!A1:G728,7,FALSE))</f>
        <v>5</v>
      </c>
      <c r="I289" s="37">
        <f>IF(Settings!$E$15="POINTS",((R289*Q289)*Settings!$B$12)+(S289*Settings!$B$2)+(T289*Settings!$B$3)+(U289*Settings!$B$4)+(V289*Settings!$B$5)+(X289*Settings!$B$9)+(AA289*Settings!$B$6)+(W289*Settings!$B$8)+(AB289*Settings!$B$7)+(AC289*Settings!$B$14)+(AD289*Settings!$B$15)+(AE289*Settings!$B$16)+(AF289*Settings!$B$17)+(AG289*Settings!$B$18)+(Y289*Settings!$B$10)+(Z289*Settings!$B$11),VLOOKUP(B289,'Standard Deviations'!A1:C728,3,FALSE))</f>
        <v>244.41287298071077</v>
      </c>
      <c r="J289" s="38">
        <f>IF(D289="G",I289/AJ289,I289/Q289)</f>
        <v>3.1447006476642518</v>
      </c>
      <c r="K289" s="37">
        <f>IF(Settings!$E$18="C/LW/RW",VLOOKUP(B289,'C'!A1:F211,6,FALSE),VLOOKUP(B289,F!A1:F430,6,FALSE))</f>
        <v>-148.91593278549888</v>
      </c>
      <c r="L289" s="37">
        <f>IFERROR(K289/H289,"N/A")</f>
        <v>-29.783186557099775</v>
      </c>
      <c r="M289" s="39">
        <f>IF(Settings!$E$9="YAHOO",VLOOKUP(B289,ADP!A1:E728,2,FALSE),IF(Settings!$E$9="ESPN",VLOOKUP(B289,ADP!A1:E728,3,FALSE),IF(Settings!$E$9="FANTRAX",VLOOKUP(B289,ADP!A1:E728,4,FALSE),VLOOKUP(B289,ADP!A1:E728,5,FALSE))))</f>
        <v>158.69999999999999</v>
      </c>
      <c r="N289" s="39">
        <f>IFERROR(M289-A289,"N/A")</f>
        <v>-129.30000000000001</v>
      </c>
      <c r="O289" s="39"/>
      <c r="P289" s="40" t="str">
        <f>IF(Settings!$E$27="ON",VLOOKUP(B289,ADP!A1:H728,8,FALSE)," ")</f>
        <v xml:space="preserve"> </v>
      </c>
      <c r="Q289" s="41">
        <f>IF(Settings!$E$12="YES",VLOOKUP(B289,'Player Data'!A1:E734,5,FALSE),82)</f>
        <v>77.722142857142899</v>
      </c>
      <c r="R289" s="39">
        <f>VLOOKUP(B289,'Player Data'!$A1:$AE734,6,FALSE)</f>
        <v>15.472794847265501</v>
      </c>
      <c r="S289" s="41">
        <f>VLOOKUP(B289,'Player Data'!$A1:$AE734,7,FALSE)*$Q289*IFERROR((VLOOKUP(P289,Settings!$E$28:$F$33,2,FALSE)+1),1)</f>
        <v>20.325808323130758</v>
      </c>
      <c r="T289" s="41">
        <f>VLOOKUP(B289,'Player Data'!$A1:$AE734,8,FALSE)*$Q289*IFERROR((VLOOKUP(P289,Settings!$E$28:$F$33,2,FALSE)+1),1)</f>
        <v>28.807360633666761</v>
      </c>
      <c r="U289" s="41">
        <f>SUM(S289:T289)</f>
        <v>49.133168956797519</v>
      </c>
      <c r="V289" s="41">
        <f>VLOOKUP(B289,'Player Data'!$A1:$AE734,10,FALSE)*$Q289*IFERROR(((VLOOKUP(P289,Settings!$E$28:$F$33,2,FALSE)/2)+1),1)</f>
        <v>136.87955171303591</v>
      </c>
      <c r="W289" s="41">
        <f>VLOOKUP(B289,'Player Data'!$A1:$AE734,11,FALSE)*$Q289*IFERROR((VLOOKUP(P289,Settings!$E$28:$F$33,2,FALSE)+1),1)</f>
        <v>2.6245951635610845</v>
      </c>
      <c r="X289" s="41">
        <f>VLOOKUP(B289,'Player Data'!$A1:$AE734,12,FALSE)*$Q289*IFERROR((VLOOKUP(P289,Settings!$E$28:$F$33,2,FALSE)+1),1)</f>
        <v>10.393085024265911</v>
      </c>
      <c r="Y289" s="41">
        <f>VLOOKUP(B289,'Player Data'!$A1:$AE734,13,FALSE)*$Q289</f>
        <v>1.0867979472995682E-2</v>
      </c>
      <c r="Z289" s="41">
        <f>VLOOKUP(B289,'Player Data'!$A1:$AE734,14,FALSE)*$Q289</f>
        <v>1.9863018989249984E-2</v>
      </c>
      <c r="AA289" s="41">
        <f>VLOOKUP(B289,'Player Data'!$A1:$AE734,15,FALSE)*$Q289</f>
        <v>38.738470836449736</v>
      </c>
      <c r="AB289" s="41">
        <f>VLOOKUP(B289,'Player Data'!$A1:$AE734,16,FALSE)*$Q289</f>
        <v>23.766472599684771</v>
      </c>
      <c r="AC289" s="41">
        <f>VLOOKUP(B289,'Player Data'!$A1:$AE734,17,FALSE)*$Q289*IFERROR((VLOOKUP(P289,Settings!$E$28:$F$33,2,FALSE)+1),1)</f>
        <v>-1.2387300891502546</v>
      </c>
      <c r="AD289" s="41">
        <f>VLOOKUP(B289,'Player Data'!$A1:$AE734,18,FALSE)*$Q289</f>
        <v>25.451834723101321</v>
      </c>
      <c r="AE289" s="41">
        <f>VLOOKUP(B289,'Player Data'!$A1:$AE734,19,FALSE)*$Q289*IFERROR((VLOOKUP(P289,Settings!$E$28:$F$33,2,FALSE)+1),1)</f>
        <v>2.5001940755266858</v>
      </c>
      <c r="AF289" s="41">
        <f>VLOOKUP(B289,'Player Data'!$A1:$AE734,20,FALSE)*$Q289</f>
        <v>468.54567266550617</v>
      </c>
      <c r="AG289" s="41">
        <f>VLOOKUP(B289,'Player Data'!$A1:$AE734,21,FALSE)*$Q289</f>
        <v>471.17557363945406</v>
      </c>
      <c r="AH289" s="42">
        <f>VLOOKUP(B289,'Player Data'!$A1:$AE734,22,FALSE)</f>
        <v>0.49860070154618202</v>
      </c>
      <c r="AI289" s="39"/>
      <c r="AJ289" s="43"/>
      <c r="AK289" s="41"/>
      <c r="AL289" s="41"/>
      <c r="AM289" s="41"/>
      <c r="AN289" s="41"/>
      <c r="AO289" s="41"/>
      <c r="AP289" s="41"/>
      <c r="AQ289" s="44"/>
      <c r="AR289" s="45"/>
      <c r="AS289" s="39"/>
    </row>
    <row r="290" spans="1:45" ht="21.25" customHeight="1" x14ac:dyDescent="0.15">
      <c r="A290" s="31">
        <f>RANK(K290,K$2:K$727)</f>
        <v>289</v>
      </c>
      <c r="B290" s="8" t="s">
        <v>394</v>
      </c>
      <c r="C290" s="32" t="s">
        <v>106</v>
      </c>
      <c r="D290" s="33" t="str">
        <f>VLOOKUP(B290,'Player Data'!A1:D734,4,FALSE)</f>
        <v>D</v>
      </c>
      <c r="E290" s="49">
        <f>VLOOKUP(B290,D!A1:C227,3,FALSE)</f>
        <v>84</v>
      </c>
      <c r="F290" s="35" t="str">
        <f>VLOOKUP(B290,'Player Data'!A1:B734,2,FALSE)</f>
        <v>DET</v>
      </c>
      <c r="G290" s="9">
        <f>VLOOKUP(B290,'Player Data'!A1:D734,3,FALSE)</f>
        <v>27</v>
      </c>
      <c r="H290" s="36">
        <f>IFERROR(VLOOKUP(B290,ADP!A1:G728,7,FALSE)/1000000,VLOOKUP(B290,ADP!A1:G728,7,FALSE))</f>
        <v>3.4</v>
      </c>
      <c r="I290" s="37">
        <f>IF(Settings!$E$15="POINTS",((R290*Q290)*Settings!$B$12)+(S290*Settings!$B$2)+(T290*Settings!$B$3)+(U290*Settings!$B$4)+(V290*Settings!$B$5)+(X290*Settings!$B$9)+(AA290*Settings!$B$6)+(W290*Settings!$B$8)+(AB290*Settings!$B$7)+(AC290*Settings!$B$14)+(AD290*Settings!$B$15)+(AE290*Settings!$B$16)+(AF290*Settings!$B$17)+(AG290*Settings!$B$18)+(U290*Settings!$B$13)+(Y290*Settings!$B$10)+(Z290*Settings!$B$11),VLOOKUP(B290,'Standard Deviations'!A1:C728,3,FALSE))</f>
        <v>162.61266489043254</v>
      </c>
      <c r="J290" s="38">
        <f>IF(D290="G",I290/AJ290,I290/Q290)</f>
        <v>2.3327260238603755</v>
      </c>
      <c r="K290" s="37">
        <f>VLOOKUP(B290,D!A1:F227,6,FALSE)</f>
        <v>-148.95281673749491</v>
      </c>
      <c r="L290" s="37">
        <f>IFERROR(K290/H290,"N/A")</f>
        <v>-43.809651981616149</v>
      </c>
      <c r="M290" s="53" t="str">
        <f>IF(Settings!$E$9="YAHOO",VLOOKUP(B290,ADP!A1:E728,2,FALSE),IF(Settings!$E$9="ESPN",VLOOKUP(B290,ADP!A1:E728,3,FALSE),IF(Settings!$E$9="FANTRAX",VLOOKUP(B290,ADP!A1:E728,4,FALSE),VLOOKUP(B290,ADP!A1:E728,5,FALSE))))</f>
        <v>-</v>
      </c>
      <c r="N290" s="53" t="str">
        <f>IFERROR(M290-A290,"N/A")</f>
        <v>N/A</v>
      </c>
      <c r="O290" s="39"/>
      <c r="P290" s="40" t="str">
        <f>IF(Settings!$E$27="ON",VLOOKUP(B290,ADP!A1:H728,8,FALSE)," ")</f>
        <v xml:space="preserve"> </v>
      </c>
      <c r="Q290" s="41">
        <f>IF(Settings!$E$12="YES",VLOOKUP(B290,'Player Data'!A1:E734,5,FALSE),82)</f>
        <v>69.709285714285699</v>
      </c>
      <c r="R290" s="39">
        <f>VLOOKUP(B290,'Player Data'!$A1:$AE734,6,FALSE)</f>
        <v>20.133092868455002</v>
      </c>
      <c r="S290" s="41">
        <f>VLOOKUP(B290,'Player Data'!$A1:$AE734,7,FALSE)*$Q290*IFERROR((VLOOKUP(P290,Settings!$E$28:$F$33,2,FALSE)+1),1)</f>
        <v>7.46798211796711</v>
      </c>
      <c r="T290" s="41">
        <f>VLOOKUP(B290,'Player Data'!$A1:$AE734,8,FALSE)*$Q290*IFERROR((VLOOKUP(P290,Settings!$E$28:$F$33,2,FALSE)+1),1)</f>
        <v>12.148083048551726</v>
      </c>
      <c r="U290" s="41">
        <f>SUM(S290:T290)</f>
        <v>19.616065166518837</v>
      </c>
      <c r="V290" s="41">
        <f>VLOOKUP(B290,'Player Data'!$A1:$AE734,10,FALSE)*$Q290*IFERROR(((VLOOKUP(P290,Settings!$E$28:$F$33,2,FALSE)/2)+1),1)</f>
        <v>150.61846247808313</v>
      </c>
      <c r="W290" s="41">
        <f>VLOOKUP(B290,'Player Data'!$A1:$AE734,11,FALSE)*$Q290*IFERROR((VLOOKUP(P290,Settings!$E$28:$F$33,2,FALSE)+1),1)</f>
        <v>7.7473111660047195E-2</v>
      </c>
      <c r="X290" s="41">
        <f>VLOOKUP(B290,'Player Data'!$A1:$AE734,12,FALSE)*$Q290*IFERROR((VLOOKUP(P290,Settings!$E$28:$F$33,2,FALSE)+1),1)</f>
        <v>1.2266781077219437</v>
      </c>
      <c r="Y290" s="41">
        <f>VLOOKUP(B290,'Player Data'!$A1:$AE734,13,FALSE)*$Q290</f>
        <v>4.1497255823158746E-2</v>
      </c>
      <c r="Z290" s="41">
        <f>VLOOKUP(B290,'Player Data'!$A1:$AE734,14,FALSE)*$Q290</f>
        <v>0.16035503870300141</v>
      </c>
      <c r="AA290" s="41">
        <f>VLOOKUP(B290,'Player Data'!$A1:$AE734,15,FALSE)*$Q290</f>
        <v>128.40585929492289</v>
      </c>
      <c r="AB290" s="41">
        <f>VLOOKUP(B290,'Player Data'!$A1:$AE734,16,FALSE)*$Q290</f>
        <v>76.011826206630602</v>
      </c>
      <c r="AC290" s="41">
        <f>VLOOKUP(B290,'Player Data'!$A1:$AE734,17,FALSE)*$Q290*IFERROR((VLOOKUP(P290,Settings!$E$28:$F$33,2,FALSE)+1),1)</f>
        <v>-0.86667122601405977</v>
      </c>
      <c r="AD290" s="41">
        <f>VLOOKUP(B290,'Player Data'!$A1:$AE734,18,FALSE)*$Q290</f>
        <v>39.542543153668895</v>
      </c>
      <c r="AE290" s="41">
        <f>VLOOKUP(B290,'Player Data'!$A1:$AE734,19,FALSE)*$Q290*IFERROR((VLOOKUP(P290,Settings!$E$28:$F$33,2,FALSE)+1),1)</f>
        <v>0.96420129928846421</v>
      </c>
      <c r="AF290" s="41">
        <f>VLOOKUP(B290,'Player Data'!$A1:$AE734,20,FALSE)*$Q290</f>
        <v>0</v>
      </c>
      <c r="AG290" s="41">
        <f>VLOOKUP(B290,'Player Data'!$A1:$AE734,21,FALSE)*$Q290</f>
        <v>0</v>
      </c>
      <c r="AH290" s="42">
        <f>VLOOKUP(B290,'Player Data'!$A1:$AE734,22,FALSE)</f>
        <v>0</v>
      </c>
      <c r="AI290" s="39"/>
      <c r="AJ290" s="43"/>
      <c r="AK290" s="41"/>
      <c r="AL290" s="41"/>
      <c r="AM290" s="41"/>
      <c r="AN290" s="41"/>
      <c r="AO290" s="41"/>
      <c r="AP290" s="41"/>
      <c r="AQ290" s="44"/>
      <c r="AR290" s="45"/>
      <c r="AS290" s="43"/>
    </row>
    <row r="291" spans="1:45" ht="21.25" customHeight="1" x14ac:dyDescent="0.15">
      <c r="A291" s="31">
        <f>RANK(K291,K$2:K$727)</f>
        <v>290</v>
      </c>
      <c r="B291" s="8" t="s">
        <v>395</v>
      </c>
      <c r="C291" s="32" t="s">
        <v>106</v>
      </c>
      <c r="D291" s="33" t="str">
        <f>VLOOKUP(B291,'Player Data'!A1:D734,4,FALSE)</f>
        <v>C</v>
      </c>
      <c r="E291" s="34">
        <f>VLOOKUP(B291,'C'!A1:C211,3,FALSE)</f>
        <v>75</v>
      </c>
      <c r="F291" s="35" t="str">
        <f>VLOOKUP(B291,'Player Data'!A1:B734,2,FALSE)</f>
        <v>ARI</v>
      </c>
      <c r="G291" s="9">
        <f>VLOOKUP(B291,'Player Data'!A1:D734,3,FALSE)</f>
        <v>23</v>
      </c>
      <c r="H291" s="36">
        <f>IFERROR(VLOOKUP(B291,ADP!A1:G728,7,FALSE)/1000000,VLOOKUP(B291,ADP!A1:G728,7,FALSE))</f>
        <v>1.7749999999999999</v>
      </c>
      <c r="I291" s="37">
        <f>IF(Settings!$E$15="POINTS",((R291*Q291)*Settings!$B$12)+(S291*Settings!$B$2)+(T291*Settings!$B$3)+(U291*Settings!$B$4)+(V291*Settings!$B$5)+(X291*Settings!$B$9)+(AA291*Settings!$B$6)+(W291*Settings!$B$8)+(AB291*Settings!$B$7)+(AC291*Settings!$B$14)+(AD291*Settings!$B$15)+(AE291*Settings!$B$16)+(AF291*Settings!$B$17)+(AG291*Settings!$B$18)+(Y291*Settings!$B$10)+(Z291*Settings!$B$11),VLOOKUP(B291,'Standard Deviations'!A1:C728,3,FALSE))</f>
        <v>243.44090235014107</v>
      </c>
      <c r="J291" s="38">
        <f>IF(D291="G",I291/AJ291,I291/Q291)</f>
        <v>3.1695970620420684</v>
      </c>
      <c r="K291" s="37">
        <f>IF(Settings!$E$18="C/LW/RW",VLOOKUP(B291,'C'!A1:F211,6,FALSE),VLOOKUP(B291,F!A1:F430,6,FALSE))</f>
        <v>-149.88790341606858</v>
      </c>
      <c r="L291" s="37">
        <f>IFERROR(K291/H291,"N/A")</f>
        <v>-84.443889248489342</v>
      </c>
      <c r="M291" s="53" t="str">
        <f>IF(Settings!$E$9="YAHOO",VLOOKUP(B291,ADP!A1:E728,2,FALSE),IF(Settings!$E$9="ESPN",VLOOKUP(B291,ADP!A1:E728,3,FALSE),IF(Settings!$E$9="FANTRAX",VLOOKUP(B291,ADP!A1:E728,4,FALSE),VLOOKUP(B291,ADP!A1:E728,5,FALSE))))</f>
        <v>-</v>
      </c>
      <c r="N291" s="53" t="str">
        <f>IFERROR(M291-A291,"N/A")</f>
        <v>N/A</v>
      </c>
      <c r="O291" s="39"/>
      <c r="P291" s="40" t="str">
        <f>IF(Settings!$E$27="ON",VLOOKUP(B291,ADP!A1:H728,8,FALSE)," ")</f>
        <v xml:space="preserve"> </v>
      </c>
      <c r="Q291" s="41">
        <f>IF(Settings!$E$12="YES",VLOOKUP(B291,'Player Data'!A1:E734,5,FALSE),82)</f>
        <v>76.805000000000007</v>
      </c>
      <c r="R291" s="39">
        <f>VLOOKUP(B291,'Player Data'!$A1:$AE734,6,FALSE)</f>
        <v>17.855118617800301</v>
      </c>
      <c r="S291" s="41">
        <f>VLOOKUP(B291,'Player Data'!$A1:$AE734,7,FALSE)*$Q291*IFERROR((VLOOKUP(P291,Settings!$E$28:$F$33,2,FALSE)+1),1)</f>
        <v>18.875179572425385</v>
      </c>
      <c r="T291" s="41">
        <f>VLOOKUP(B291,'Player Data'!$A1:$AE734,8,FALSE)*$Q291*IFERROR((VLOOKUP(P291,Settings!$E$28:$F$33,2,FALSE)+1),1)</f>
        <v>24.903397610606088</v>
      </c>
      <c r="U291" s="41">
        <f>SUM(S291:T291)</f>
        <v>43.778577183031473</v>
      </c>
      <c r="V291" s="41">
        <f>VLOOKUP(B291,'Player Data'!$A1:$AE734,10,FALSE)*$Q291*IFERROR(((VLOOKUP(P291,Settings!$E$28:$F$33,2,FALSE)/2)+1),1)</f>
        <v>162.5046215594063</v>
      </c>
      <c r="W291" s="41">
        <f>VLOOKUP(B291,'Player Data'!$A1:$AE734,11,FALSE)*$Q291*IFERROR((VLOOKUP(P291,Settings!$E$28:$F$33,2,FALSE)+1),1)</f>
        <v>4.2478921390264901</v>
      </c>
      <c r="X291" s="41">
        <f>VLOOKUP(B291,'Player Data'!$A1:$AE734,12,FALSE)*$Q291*IFERROR((VLOOKUP(P291,Settings!$E$28:$F$33,2,FALSE)+1),1)</f>
        <v>11.287078698398258</v>
      </c>
      <c r="Y291" s="41">
        <f>VLOOKUP(B291,'Player Data'!$A1:$AE734,13,FALSE)*$Q291</f>
        <v>0.10955811272336057</v>
      </c>
      <c r="Z291" s="41">
        <f>VLOOKUP(B291,'Player Data'!$A1:$AE734,14,FALSE)*$Q291</f>
        <v>0.71786117729547561</v>
      </c>
      <c r="AA291" s="41">
        <f>VLOOKUP(B291,'Player Data'!$A1:$AE734,15,FALSE)*$Q291</f>
        <v>34.214901349780192</v>
      </c>
      <c r="AB291" s="41">
        <f>VLOOKUP(B291,'Player Data'!$A1:$AE734,16,FALSE)*$Q291</f>
        <v>86.691082680037667</v>
      </c>
      <c r="AC291" s="41">
        <f>VLOOKUP(B291,'Player Data'!$A1:$AE734,17,FALSE)*$Q291*IFERROR((VLOOKUP(P291,Settings!$E$28:$F$33,2,FALSE)+1),1)</f>
        <v>-2.5342823246255093</v>
      </c>
      <c r="AD291" s="41">
        <f>VLOOKUP(B291,'Player Data'!$A1:$AE734,18,FALSE)*$Q291</f>
        <v>34.730001864327846</v>
      </c>
      <c r="AE291" s="41">
        <f>VLOOKUP(B291,'Player Data'!$A1:$AE734,19,FALSE)*$Q291*IFERROR((VLOOKUP(P291,Settings!$E$28:$F$33,2,FALSE)+1),1)</f>
        <v>2.3263658027084393</v>
      </c>
      <c r="AF291" s="41">
        <f>VLOOKUP(B291,'Player Data'!$A1:$AE734,20,FALSE)*$Q291</f>
        <v>585.82959568625733</v>
      </c>
      <c r="AG291" s="41">
        <f>VLOOKUP(B291,'Player Data'!$A1:$AE734,21,FALSE)*$Q291</f>
        <v>585.55232056634497</v>
      </c>
      <c r="AH291" s="42">
        <f>VLOOKUP(B291,'Player Data'!$A1:$AE734,22,FALSE)</f>
        <v>0.50011835385029701</v>
      </c>
      <c r="AI291" s="39"/>
      <c r="AJ291" s="43"/>
      <c r="AK291" s="41"/>
      <c r="AL291" s="41"/>
      <c r="AM291" s="41"/>
      <c r="AN291" s="41"/>
      <c r="AO291" s="41"/>
      <c r="AP291" s="41"/>
      <c r="AQ291" s="44"/>
      <c r="AR291" s="45"/>
      <c r="AS291" s="39"/>
    </row>
    <row r="292" spans="1:45" ht="21.25" customHeight="1" x14ac:dyDescent="0.15">
      <c r="A292" s="31">
        <f>RANK(K292,K$2:K$727)</f>
        <v>291</v>
      </c>
      <c r="B292" s="8" t="s">
        <v>396</v>
      </c>
      <c r="C292" s="32" t="s">
        <v>106</v>
      </c>
      <c r="D292" s="33" t="str">
        <f>VLOOKUP(B292,'Player Data'!A1:D734,4,FALSE)</f>
        <v>D</v>
      </c>
      <c r="E292" s="49">
        <f>VLOOKUP(B292,D!A1:C227,3,FALSE)</f>
        <v>85</v>
      </c>
      <c r="F292" s="35" t="str">
        <f>VLOOKUP(B292,'Player Data'!A1:B734,2,FALSE)</f>
        <v>WSH</v>
      </c>
      <c r="G292" s="9">
        <f>VLOOKUP(B292,'Player Data'!A1:D734,3,FALSE)</f>
        <v>23</v>
      </c>
      <c r="H292" s="36">
        <f>IFERROR(VLOOKUP(B292,ADP!A1:G728,7,FALSE)/1000000,VLOOKUP(B292,ADP!A1:G728,7,FALSE))</f>
        <v>1.4</v>
      </c>
      <c r="I292" s="37">
        <f>IF(Settings!$E$15="POINTS",((R292*Q292)*Settings!$B$12)+(S292*Settings!$B$2)+(T292*Settings!$B$3)+(U292*Settings!$B$4)+(V292*Settings!$B$5)+(X292*Settings!$B$9)+(AA292*Settings!$B$6)+(W292*Settings!$B$8)+(AB292*Settings!$B$7)+(AC292*Settings!$B$14)+(AD292*Settings!$B$15)+(AE292*Settings!$B$16)+(AF292*Settings!$B$17)+(AG292*Settings!$B$18)+(U292*Settings!$B$13)+(Y292*Settings!$B$10)+(Z292*Settings!$B$11),VLOOKUP(B292,'Standard Deviations'!A1:C728,3,FALSE))</f>
        <v>161.30302849867556</v>
      </c>
      <c r="J292" s="38">
        <f>IF(D292="G",I292/AJ292,I292/Q292)</f>
        <v>2.2218048002572393</v>
      </c>
      <c r="K292" s="37">
        <f>VLOOKUP(B292,D!A1:F227,6,FALSE)</f>
        <v>-150.2624531292519</v>
      </c>
      <c r="L292" s="37">
        <f>IFERROR(K292/H292,"N/A")</f>
        <v>-107.33032366375136</v>
      </c>
      <c r="M292" s="39">
        <f>IF(Settings!$E$9="YAHOO",VLOOKUP(B292,ADP!A1:E728,2,FALSE),IF(Settings!$E$9="ESPN",VLOOKUP(B292,ADP!A1:E728,3,FALSE),IF(Settings!$E$9="FANTRAX",VLOOKUP(B292,ADP!A1:E728,4,FALSE),VLOOKUP(B292,ADP!A1:E728,5,FALSE))))</f>
        <v>168.1</v>
      </c>
      <c r="N292" s="39">
        <f>IFERROR(M292-A292,"N/A")</f>
        <v>-122.9</v>
      </c>
      <c r="O292" s="39"/>
      <c r="P292" s="40" t="str">
        <f>IF(Settings!$E$27="ON",VLOOKUP(B292,ADP!A1:H728,8,FALSE)," ")</f>
        <v xml:space="preserve"> </v>
      </c>
      <c r="Q292" s="41">
        <f>IF(Settings!$E$12="YES",VLOOKUP(B292,'Player Data'!A1:E734,5,FALSE),82)</f>
        <v>72.599999999999994</v>
      </c>
      <c r="R292" s="39">
        <f>VLOOKUP(B292,'Player Data'!$A1:$AE734,6,FALSE)</f>
        <v>18.639695703996701</v>
      </c>
      <c r="S292" s="41">
        <f>VLOOKUP(B292,'Player Data'!$A1:$AE734,7,FALSE)*$Q292*IFERROR((VLOOKUP(P292,Settings!$E$28:$F$33,2,FALSE)+1),1)</f>
        <v>7.046891451509036</v>
      </c>
      <c r="T292" s="41">
        <f>VLOOKUP(B292,'Player Data'!$A1:$AE734,8,FALSE)*$Q292*IFERROR((VLOOKUP(P292,Settings!$E$28:$F$33,2,FALSE)+1),1)</f>
        <v>23.426909544254976</v>
      </c>
      <c r="U292" s="41">
        <f>SUM(S292:T292)</f>
        <v>30.473800995764012</v>
      </c>
      <c r="V292" s="41">
        <f>VLOOKUP(B292,'Player Data'!$A1:$AE734,10,FALSE)*$Q292*IFERROR(((VLOOKUP(P292,Settings!$E$28:$F$33,2,FALSE)/2)+1),1)</f>
        <v>82.88886838436099</v>
      </c>
      <c r="W292" s="41">
        <f>VLOOKUP(B292,'Player Data'!$A1:$AE734,11,FALSE)*$Q292*IFERROR((VLOOKUP(P292,Settings!$E$28:$F$33,2,FALSE)+1),1)</f>
        <v>0.12040642062657173</v>
      </c>
      <c r="X292" s="41">
        <f>VLOOKUP(B292,'Player Data'!$A1:$AE734,12,FALSE)*$Q292*IFERROR((VLOOKUP(P292,Settings!$E$28:$F$33,2,FALSE)+1),1)</f>
        <v>5.624879283762084</v>
      </c>
      <c r="Y292" s="41">
        <f>VLOOKUP(B292,'Player Data'!$A1:$AE734,13,FALSE)*$Q292</f>
        <v>8.7856312441023706E-3</v>
      </c>
      <c r="Z292" s="41">
        <f>VLOOKUP(B292,'Player Data'!$A1:$AE734,14,FALSE)*$Q292</f>
        <v>3.2539163576451424E-2</v>
      </c>
      <c r="AA292" s="41">
        <f>VLOOKUP(B292,'Player Data'!$A1:$AE734,15,FALSE)*$Q292</f>
        <v>85.611772122629858</v>
      </c>
      <c r="AB292" s="41">
        <f>VLOOKUP(B292,'Player Data'!$A1:$AE734,16,FALSE)*$Q292</f>
        <v>129.09683042753738</v>
      </c>
      <c r="AC292" s="41">
        <f>VLOOKUP(B292,'Player Data'!$A1:$AE734,17,FALSE)*$Q292*IFERROR((VLOOKUP(P292,Settings!$E$28:$F$33,2,FALSE)+1),1)</f>
        <v>-1.2456433187798475</v>
      </c>
      <c r="AD292" s="41">
        <f>VLOOKUP(B292,'Player Data'!$A1:$AE734,18,FALSE)*$Q292</f>
        <v>28.779770457906274</v>
      </c>
      <c r="AE292" s="41">
        <f>VLOOKUP(B292,'Player Data'!$A1:$AE734,19,FALSE)*$Q292*IFERROR((VLOOKUP(P292,Settings!$E$28:$F$33,2,FALSE)+1),1)</f>
        <v>0.86680913141804505</v>
      </c>
      <c r="AF292" s="41">
        <f>VLOOKUP(B292,'Player Data'!$A1:$AE734,20,FALSE)*$Q292</f>
        <v>0</v>
      </c>
      <c r="AG292" s="41">
        <f>VLOOKUP(B292,'Player Data'!$A1:$AE734,21,FALSE)*$Q292</f>
        <v>0</v>
      </c>
      <c r="AH292" s="42">
        <f>VLOOKUP(B292,'Player Data'!$A1:$AE734,22,FALSE)</f>
        <v>0</v>
      </c>
      <c r="AI292" s="39"/>
      <c r="AJ292" s="43"/>
      <c r="AK292" s="41"/>
      <c r="AL292" s="41"/>
      <c r="AM292" s="41"/>
      <c r="AN292" s="41"/>
      <c r="AO292" s="41"/>
      <c r="AP292" s="41"/>
      <c r="AQ292" s="44"/>
      <c r="AR292" s="45"/>
      <c r="AS292" s="43"/>
    </row>
    <row r="293" spans="1:45" ht="21.25" customHeight="1" x14ac:dyDescent="0.15">
      <c r="A293" s="31">
        <f>RANK(K293,K$2:K$727)</f>
        <v>292</v>
      </c>
      <c r="B293" s="8" t="s">
        <v>397</v>
      </c>
      <c r="C293" s="32" t="s">
        <v>106</v>
      </c>
      <c r="D293" s="33" t="str">
        <f>VLOOKUP(B293,'Player Data'!A1:D734,4,FALSE)</f>
        <v>D</v>
      </c>
      <c r="E293" s="49">
        <f>VLOOKUP(B293,D!A1:C227,3,FALSE)</f>
        <v>86</v>
      </c>
      <c r="F293" s="35" t="str">
        <f>VLOOKUP(B293,'Player Data'!A1:B734,2,FALSE)</f>
        <v>TBL</v>
      </c>
      <c r="G293" s="9">
        <f>VLOOKUP(B293,'Player Data'!A1:D734,3,FALSE)</f>
        <v>25</v>
      </c>
      <c r="H293" s="36">
        <f>IFERROR(VLOOKUP(B293,ADP!A1:G728,7,FALSE)/1000000,VLOOKUP(B293,ADP!A1:G728,7,FALSE))</f>
        <v>1.125</v>
      </c>
      <c r="I293" s="37">
        <f>IF(Settings!$E$15="POINTS",((R293*Q293)*Settings!$B$12)+(S293*Settings!$B$2)+(T293*Settings!$B$3)+(U293*Settings!$B$4)+(V293*Settings!$B$5)+(X293*Settings!$B$9)+(AA293*Settings!$B$6)+(W293*Settings!$B$8)+(AB293*Settings!$B$7)+(AC293*Settings!$B$14)+(AD293*Settings!$B$15)+(AE293*Settings!$B$16)+(AF293*Settings!$B$17)+(AG293*Settings!$B$18)+(U293*Settings!$B$13)+(Y293*Settings!$B$10)+(Z293*Settings!$B$11),VLOOKUP(B293,'Standard Deviations'!A1:C728,3,FALSE))</f>
        <v>161.20417068895219</v>
      </c>
      <c r="J293" s="38">
        <f>IF(D293="G",I293/AJ293,I293/Q293)</f>
        <v>2.0614344077871123</v>
      </c>
      <c r="K293" s="37">
        <f>VLOOKUP(B293,D!A1:F227,6,FALSE)</f>
        <v>-150.36131093897527</v>
      </c>
      <c r="L293" s="37">
        <f>IFERROR(K293/H293,"N/A")</f>
        <v>-133.65449861242246</v>
      </c>
      <c r="M293" s="53" t="str">
        <f>IF(Settings!$E$9="YAHOO",VLOOKUP(B293,ADP!A1:E728,2,FALSE),IF(Settings!$E$9="ESPN",VLOOKUP(B293,ADP!A1:E728,3,FALSE),IF(Settings!$E$9="FANTRAX",VLOOKUP(B293,ADP!A1:E728,4,FALSE),VLOOKUP(B293,ADP!A1:E728,5,FALSE))))</f>
        <v>-</v>
      </c>
      <c r="N293" s="53" t="str">
        <f>IFERROR(M293-A293,"N/A")</f>
        <v>N/A</v>
      </c>
      <c r="O293" s="39"/>
      <c r="P293" s="40" t="str">
        <f>IF(Settings!$E$27="ON",VLOOKUP(B293,ADP!A1:H728,8,FALSE)," ")</f>
        <v xml:space="preserve"> </v>
      </c>
      <c r="Q293" s="41">
        <f>IF(Settings!$E$12="YES",VLOOKUP(B293,'Player Data'!A1:E734,5,FALSE),82)</f>
        <v>78.2</v>
      </c>
      <c r="R293" s="39">
        <f>VLOOKUP(B293,'Player Data'!$A1:$AE734,6,FALSE)</f>
        <v>17.1333307564481</v>
      </c>
      <c r="S293" s="41">
        <f>VLOOKUP(B293,'Player Data'!$A1:$AE734,7,FALSE)*$Q293*IFERROR((VLOOKUP(P293,Settings!$E$28:$F$33,2,FALSE)+1),1)</f>
        <v>6.1929372142676273</v>
      </c>
      <c r="T293" s="41">
        <f>VLOOKUP(B293,'Player Data'!$A1:$AE734,8,FALSE)*$Q293*IFERROR((VLOOKUP(P293,Settings!$E$28:$F$33,2,FALSE)+1),1)</f>
        <v>19.325617913589873</v>
      </c>
      <c r="U293" s="41">
        <f>SUM(S293:T293)</f>
        <v>25.5185551278575</v>
      </c>
      <c r="V293" s="41">
        <f>VLOOKUP(B293,'Player Data'!$A1:$AE734,10,FALSE)*$Q293*IFERROR(((VLOOKUP(P293,Settings!$E$28:$F$33,2,FALSE)/2)+1),1)</f>
        <v>133.07438636627683</v>
      </c>
      <c r="W293" s="41">
        <f>VLOOKUP(B293,'Player Data'!$A1:$AE734,11,FALSE)*$Q293*IFERROR((VLOOKUP(P293,Settings!$E$28:$F$33,2,FALSE)+1),1)</f>
        <v>2.2745386619681809E-2</v>
      </c>
      <c r="X293" s="41">
        <f>VLOOKUP(B293,'Player Data'!$A1:$AE734,12,FALSE)*$Q293*IFERROR((VLOOKUP(P293,Settings!$E$28:$F$33,2,FALSE)+1),1)</f>
        <v>0.15442269614249873</v>
      </c>
      <c r="Y293" s="41">
        <f>VLOOKUP(B293,'Player Data'!$A1:$AE734,13,FALSE)*$Q293</f>
        <v>5.2015191750975562E-3</v>
      </c>
      <c r="Z293" s="41">
        <f>VLOOKUP(B293,'Player Data'!$A1:$AE734,14,FALSE)*$Q293</f>
        <v>1.9345309261627679E-2</v>
      </c>
      <c r="AA293" s="41">
        <f>VLOOKUP(B293,'Player Data'!$A1:$AE734,15,FALSE)*$Q293</f>
        <v>88.818880557165144</v>
      </c>
      <c r="AB293" s="41">
        <f>VLOOKUP(B293,'Player Data'!$A1:$AE734,16,FALSE)*$Q293</f>
        <v>97.330542065774665</v>
      </c>
      <c r="AC293" s="41">
        <f>VLOOKUP(B293,'Player Data'!$A1:$AE734,17,FALSE)*$Q293*IFERROR((VLOOKUP(P293,Settings!$E$28:$F$33,2,FALSE)+1),1)</f>
        <v>0.46435320040643308</v>
      </c>
      <c r="AD293" s="41">
        <f>VLOOKUP(B293,'Player Data'!$A1:$AE734,18,FALSE)*$Q293</f>
        <v>29.837413456145651</v>
      </c>
      <c r="AE293" s="41">
        <f>VLOOKUP(B293,'Player Data'!$A1:$AE734,19,FALSE)*$Q293*IFERROR((VLOOKUP(P293,Settings!$E$28:$F$33,2,FALSE)+1),1)</f>
        <v>0.96919692362119481</v>
      </c>
      <c r="AF293" s="41">
        <f>VLOOKUP(B293,'Player Data'!$A1:$AE734,20,FALSE)*$Q293</f>
        <v>0</v>
      </c>
      <c r="AG293" s="41">
        <f>VLOOKUP(B293,'Player Data'!$A1:$AE734,21,FALSE)*$Q293</f>
        <v>0</v>
      </c>
      <c r="AH293" s="42">
        <f>VLOOKUP(B293,'Player Data'!$A1:$AE734,22,FALSE)</f>
        <v>0</v>
      </c>
      <c r="AI293" s="39"/>
      <c r="AJ293" s="43"/>
      <c r="AK293" s="41"/>
      <c r="AL293" s="41"/>
      <c r="AM293" s="41"/>
      <c r="AN293" s="41"/>
      <c r="AO293" s="41"/>
      <c r="AP293" s="41"/>
      <c r="AQ293" s="44"/>
      <c r="AR293" s="45"/>
      <c r="AS293" s="43"/>
    </row>
    <row r="294" spans="1:45" ht="21.25" customHeight="1" x14ac:dyDescent="0.15">
      <c r="A294" s="31">
        <f>RANK(K294,K$2:K$727)</f>
        <v>293</v>
      </c>
      <c r="B294" s="8" t="s">
        <v>398</v>
      </c>
      <c r="C294" s="32" t="s">
        <v>106</v>
      </c>
      <c r="D294" s="33" t="str">
        <f>VLOOKUP(B294,'Player Data'!A1:D734,4,FALSE)</f>
        <v>D</v>
      </c>
      <c r="E294" s="49">
        <f>VLOOKUP(B294,D!A1:C227,3,FALSE)</f>
        <v>87</v>
      </c>
      <c r="F294" s="35" t="str">
        <f>VLOOKUP(B294,'Player Data'!A1:B734,2,FALSE)</f>
        <v>PHI</v>
      </c>
      <c r="G294" s="9">
        <f>VLOOKUP(B294,'Player Data'!A1:D734,3,FALSE)</f>
        <v>28</v>
      </c>
      <c r="H294" s="36">
        <f>IFERROR(VLOOKUP(B294,ADP!A1:G728,7,FALSE)/1000000,VLOOKUP(B294,ADP!A1:G728,7,FALSE))</f>
        <v>5.0999999999999996</v>
      </c>
      <c r="I294" s="37">
        <f>IF(Settings!$E$15="POINTS",((R294*Q294)*Settings!$B$12)+(S294*Settings!$B$2)+(T294*Settings!$B$3)+(U294*Settings!$B$4)+(V294*Settings!$B$5)+(X294*Settings!$B$9)+(AA294*Settings!$B$6)+(W294*Settings!$B$8)+(AB294*Settings!$B$7)+(AC294*Settings!$B$14)+(AD294*Settings!$B$15)+(AE294*Settings!$B$16)+(AF294*Settings!$B$17)+(AG294*Settings!$B$18)+(U294*Settings!$B$13)+(Y294*Settings!$B$10)+(Z294*Settings!$B$11),VLOOKUP(B294,'Standard Deviations'!A1:C728,3,FALSE))</f>
        <v>161.20385883989394</v>
      </c>
      <c r="J294" s="38">
        <f>IF(D294="G",I294/AJ294,I294/Q294)</f>
        <v>2.083140903791354</v>
      </c>
      <c r="K294" s="37">
        <f>VLOOKUP(B294,D!A1:F227,6,FALSE)</f>
        <v>-150.36162278803351</v>
      </c>
      <c r="L294" s="37">
        <f>IFERROR(K294/H294,"N/A")</f>
        <v>-29.482671134908536</v>
      </c>
      <c r="M294" s="53" t="str">
        <f>IF(Settings!$E$9="YAHOO",VLOOKUP(B294,ADP!A1:E728,2,FALSE),IF(Settings!$E$9="ESPN",VLOOKUP(B294,ADP!A1:E728,3,FALSE),IF(Settings!$E$9="FANTRAX",VLOOKUP(B294,ADP!A1:E728,4,FALSE),VLOOKUP(B294,ADP!A1:E728,5,FALSE))))</f>
        <v>-</v>
      </c>
      <c r="N294" s="53" t="str">
        <f>IFERROR(M294-A294,"N/A")</f>
        <v>N/A</v>
      </c>
      <c r="O294" s="39"/>
      <c r="P294" s="40" t="str">
        <f>IF(Settings!$E$27="ON",VLOOKUP(B294,ADP!A1:H728,8,FALSE)," ")</f>
        <v xml:space="preserve"> </v>
      </c>
      <c r="Q294" s="41">
        <f>IF(Settings!$E$12="YES",VLOOKUP(B294,'Player Data'!A1:E734,5,FALSE),82)</f>
        <v>77.385000000000005</v>
      </c>
      <c r="R294" s="39">
        <f>VLOOKUP(B294,'Player Data'!$A1:$AE734,6,FALSE)</f>
        <v>20.747243389522801</v>
      </c>
      <c r="S294" s="41">
        <f>VLOOKUP(B294,'Player Data'!$A1:$AE734,7,FALSE)*$Q294*IFERROR((VLOOKUP(P294,Settings!$E$28:$F$33,2,FALSE)+1),1)</f>
        <v>3.9434033306175582</v>
      </c>
      <c r="T294" s="41">
        <f>VLOOKUP(B294,'Player Data'!$A1:$AE734,8,FALSE)*$Q294*IFERROR((VLOOKUP(P294,Settings!$E$28:$F$33,2,FALSE)+1),1)</f>
        <v>18.89133755286074</v>
      </c>
      <c r="U294" s="41">
        <f>SUM(S294:T294)</f>
        <v>22.834740883478297</v>
      </c>
      <c r="V294" s="41">
        <f>VLOOKUP(B294,'Player Data'!$A1:$AE734,10,FALSE)*$Q294*IFERROR(((VLOOKUP(P294,Settings!$E$28:$F$33,2,FALSE)/2)+1),1)</f>
        <v>104.86415023265869</v>
      </c>
      <c r="W294" s="41">
        <f>VLOOKUP(B294,'Player Data'!$A1:$AE734,11,FALSE)*$Q294*IFERROR((VLOOKUP(P294,Settings!$E$28:$F$33,2,FALSE)+1),1)</f>
        <v>0.64917729150920078</v>
      </c>
      <c r="X294" s="41">
        <f>VLOOKUP(B294,'Player Data'!$A1:$AE734,12,FALSE)*$Q294*IFERROR((VLOOKUP(P294,Settings!$E$28:$F$33,2,FALSE)+1),1)</f>
        <v>4.1508445817118469</v>
      </c>
      <c r="Y294" s="41">
        <f>VLOOKUP(B294,'Player Data'!$A1:$AE734,13,FALSE)*$Q294</f>
        <v>0.47445936175073877</v>
      </c>
      <c r="Z294" s="41">
        <f>VLOOKUP(B294,'Player Data'!$A1:$AE734,14,FALSE)*$Q294</f>
        <v>1.484878649646846</v>
      </c>
      <c r="AA294" s="41">
        <f>VLOOKUP(B294,'Player Data'!$A1:$AE734,15,FALSE)*$Q294</f>
        <v>144.98057305206157</v>
      </c>
      <c r="AB294" s="41">
        <f>VLOOKUP(B294,'Player Data'!$A1:$AE734,16,FALSE)*$Q294</f>
        <v>190.86059496299197</v>
      </c>
      <c r="AC294" s="41">
        <f>VLOOKUP(B294,'Player Data'!$A1:$AE734,17,FALSE)*$Q294*IFERROR((VLOOKUP(P294,Settings!$E$28:$F$33,2,FALSE)+1),1)</f>
        <v>-5.7900737702764129</v>
      </c>
      <c r="AD294" s="41">
        <f>VLOOKUP(B294,'Player Data'!$A1:$AE734,18,FALSE)*$Q294</f>
        <v>41.88056626211047</v>
      </c>
      <c r="AE294" s="41">
        <f>VLOOKUP(B294,'Player Data'!$A1:$AE734,19,FALSE)*$Q294*IFERROR((VLOOKUP(P294,Settings!$E$28:$F$33,2,FALSE)+1),1)</f>
        <v>0.46352987775060128</v>
      </c>
      <c r="AF294" s="41">
        <f>VLOOKUP(B294,'Player Data'!$A1:$AE734,20,FALSE)*$Q294</f>
        <v>0</v>
      </c>
      <c r="AG294" s="41">
        <f>VLOOKUP(B294,'Player Data'!$A1:$AE734,21,FALSE)*$Q294</f>
        <v>0</v>
      </c>
      <c r="AH294" s="42">
        <f>VLOOKUP(B294,'Player Data'!$A1:$AE734,22,FALSE)</f>
        <v>0</v>
      </c>
      <c r="AI294" s="39"/>
      <c r="AJ294" s="43"/>
      <c r="AK294" s="41"/>
      <c r="AL294" s="41"/>
      <c r="AM294" s="41"/>
      <c r="AN294" s="41"/>
      <c r="AO294" s="41"/>
      <c r="AP294" s="41"/>
      <c r="AQ294" s="44"/>
      <c r="AR294" s="45"/>
      <c r="AS294" s="39"/>
    </row>
    <row r="295" spans="1:45" ht="21.25" customHeight="1" x14ac:dyDescent="0.15">
      <c r="A295" s="31">
        <f>RANK(K295,K$2:K$727)</f>
        <v>294</v>
      </c>
      <c r="B295" s="8" t="s">
        <v>399</v>
      </c>
      <c r="C295" s="32" t="s">
        <v>106</v>
      </c>
      <c r="D295" s="33" t="str">
        <f>VLOOKUP(B295,'Player Data'!A1:D734,4,FALSE)</f>
        <v>D</v>
      </c>
      <c r="E295" s="49">
        <f>VLOOKUP(B295,D!A1:C227,3,FALSE)</f>
        <v>88</v>
      </c>
      <c r="F295" s="35" t="str">
        <f>VLOOKUP(B295,'Player Data'!A1:B734,2,FALSE)</f>
        <v>LAK</v>
      </c>
      <c r="G295" s="9">
        <f>VLOOKUP(B295,'Player Data'!A1:D734,3,FALSE)</f>
        <v>28</v>
      </c>
      <c r="H295" s="36">
        <f>IFERROR(VLOOKUP(B295,ADP!A1:G728,7,FALSE)/1000000,VLOOKUP(B295,ADP!A1:G728,7,FALSE))</f>
        <v>3.15</v>
      </c>
      <c r="I295" s="37">
        <f>IF(Settings!$E$15="POINTS",((R295*Q295)*Settings!$B$12)+(S295*Settings!$B$2)+(T295*Settings!$B$3)+(U295*Settings!$B$4)+(V295*Settings!$B$5)+(X295*Settings!$B$9)+(AA295*Settings!$B$6)+(W295*Settings!$B$8)+(AB295*Settings!$B$7)+(AC295*Settings!$B$14)+(AD295*Settings!$B$15)+(AE295*Settings!$B$16)+(AF295*Settings!$B$17)+(AG295*Settings!$B$18)+(U295*Settings!$B$13)+(Y295*Settings!$B$10)+(Z295*Settings!$B$11),VLOOKUP(B295,'Standard Deviations'!A1:C728,3,FALSE))</f>
        <v>159.28737845612349</v>
      </c>
      <c r="J295" s="38">
        <f>IF(D295="G",I295/AJ295,I295/Q295)</f>
        <v>2.0366532550819723</v>
      </c>
      <c r="K295" s="37">
        <f>VLOOKUP(B295,D!A1:F227,6,FALSE)</f>
        <v>-152.27810317180396</v>
      </c>
      <c r="L295" s="37">
        <f>IFERROR(K295/H295,"N/A")</f>
        <v>-48.342254975175862</v>
      </c>
      <c r="M295" s="53" t="str">
        <f>IF(Settings!$E$9="YAHOO",VLOOKUP(B295,ADP!A1:E728,2,FALSE),IF(Settings!$E$9="ESPN",VLOOKUP(B295,ADP!A1:E728,3,FALSE),IF(Settings!$E$9="FANTRAX",VLOOKUP(B295,ADP!A1:E728,4,FALSE),VLOOKUP(B295,ADP!A1:E728,5,FALSE))))</f>
        <v>-</v>
      </c>
      <c r="N295" s="53" t="str">
        <f>IFERROR(M295-A295,"N/A")</f>
        <v>N/A</v>
      </c>
      <c r="O295" s="39"/>
      <c r="P295" s="40" t="str">
        <f>IF(Settings!$E$27="ON",VLOOKUP(B295,ADP!A1:H728,8,FALSE)," ")</f>
        <v xml:space="preserve"> </v>
      </c>
      <c r="Q295" s="41">
        <f>IF(Settings!$E$12="YES",VLOOKUP(B295,'Player Data'!A1:E734,5,FALSE),82)</f>
        <v>78.210357142857106</v>
      </c>
      <c r="R295" s="39">
        <f>VLOOKUP(B295,'Player Data'!$A1:$AE734,6,FALSE)</f>
        <v>18.755442891387201</v>
      </c>
      <c r="S295" s="41">
        <f>VLOOKUP(B295,'Player Data'!$A1:$AE734,7,FALSE)*$Q295*IFERROR((VLOOKUP(P295,Settings!$E$28:$F$33,2,FALSE)+1),1)</f>
        <v>5.1662601794509895</v>
      </c>
      <c r="T295" s="41">
        <f>VLOOKUP(B295,'Player Data'!$A1:$AE734,8,FALSE)*$Q295*IFERROR((VLOOKUP(P295,Settings!$E$28:$F$33,2,FALSE)+1),1)</f>
        <v>16.323554237398152</v>
      </c>
      <c r="U295" s="41">
        <f>SUM(S295:T295)</f>
        <v>21.489814416849143</v>
      </c>
      <c r="V295" s="41">
        <f>VLOOKUP(B295,'Player Data'!$A1:$AE734,10,FALSE)*$Q295*IFERROR(((VLOOKUP(P295,Settings!$E$28:$F$33,2,FALSE)/2)+1),1)</f>
        <v>129.84174220346108</v>
      </c>
      <c r="W295" s="41">
        <f>VLOOKUP(B295,'Player Data'!$A1:$AE734,11,FALSE)*$Q295*IFERROR((VLOOKUP(P295,Settings!$E$28:$F$33,2,FALSE)+1),1)</f>
        <v>1.3064164310259235E-2</v>
      </c>
      <c r="X295" s="41">
        <f>VLOOKUP(B295,'Player Data'!$A1:$AE734,12,FALSE)*$Q295*IFERROR((VLOOKUP(P295,Settings!$E$28:$F$33,2,FALSE)+1),1)</f>
        <v>0.17222458027983301</v>
      </c>
      <c r="Y295" s="41">
        <f>VLOOKUP(B295,'Player Data'!$A1:$AE734,13,FALSE)*$Q295</f>
        <v>0.48780825088542162</v>
      </c>
      <c r="Z295" s="41">
        <f>VLOOKUP(B295,'Player Data'!$A1:$AE734,14,FALSE)*$Q295</f>
        <v>1.7440748974051259</v>
      </c>
      <c r="AA295" s="41">
        <f>VLOOKUP(B295,'Player Data'!$A1:$AE734,15,FALSE)*$Q295</f>
        <v>130.32232574237813</v>
      </c>
      <c r="AB295" s="41">
        <f>VLOOKUP(B295,'Player Data'!$A1:$AE734,16,FALSE)*$Q295</f>
        <v>117.6391641744095</v>
      </c>
      <c r="AC295" s="41">
        <f>VLOOKUP(B295,'Player Data'!$A1:$AE734,17,FALSE)*$Q295*IFERROR((VLOOKUP(P295,Settings!$E$28:$F$33,2,FALSE)+1),1)</f>
        <v>0.52593049148995197</v>
      </c>
      <c r="AD295" s="41">
        <f>VLOOKUP(B295,'Player Data'!$A1:$AE734,18,FALSE)*$Q295</f>
        <v>24.79240287203347</v>
      </c>
      <c r="AE295" s="41">
        <f>VLOOKUP(B295,'Player Data'!$A1:$AE734,19,FALSE)*$Q295*IFERROR((VLOOKUP(P295,Settings!$E$28:$F$33,2,FALSE)+1),1)</f>
        <v>0.76700277809320394</v>
      </c>
      <c r="AF295" s="41">
        <f>VLOOKUP(B295,'Player Data'!$A1:$AE734,20,FALSE)*$Q295</f>
        <v>0</v>
      </c>
      <c r="AG295" s="41">
        <f>VLOOKUP(B295,'Player Data'!$A1:$AE734,21,FALSE)*$Q295</f>
        <v>0</v>
      </c>
      <c r="AH295" s="42">
        <f>VLOOKUP(B295,'Player Data'!$A1:$AE734,22,FALSE)</f>
        <v>0</v>
      </c>
      <c r="AI295" s="39"/>
      <c r="AJ295" s="43"/>
      <c r="AK295" s="41"/>
      <c r="AL295" s="41"/>
      <c r="AM295" s="41"/>
      <c r="AN295" s="41"/>
      <c r="AO295" s="41"/>
      <c r="AP295" s="41"/>
      <c r="AQ295" s="44"/>
      <c r="AR295" s="45"/>
      <c r="AS295" s="39"/>
    </row>
    <row r="296" spans="1:45" ht="21.25" customHeight="1" x14ac:dyDescent="0.15">
      <c r="A296" s="31">
        <f>RANK(K296,K$2:K$727)</f>
        <v>295</v>
      </c>
      <c r="B296" s="8" t="s">
        <v>400</v>
      </c>
      <c r="C296" s="32" t="s">
        <v>106</v>
      </c>
      <c r="D296" s="33" t="str">
        <f>VLOOKUP(B296,'Player Data'!A1:D734,4,FALSE)</f>
        <v>LW</v>
      </c>
      <c r="E296" s="47">
        <f>VLOOKUP(B296,LW!A1:C130,3,FALSE)</f>
        <v>57</v>
      </c>
      <c r="F296" s="35" t="str">
        <f>VLOOKUP(B296,'Player Data'!A1:B734,2,FALSE)</f>
        <v>WPG</v>
      </c>
      <c r="G296" s="9">
        <f>VLOOKUP(B296,'Player Data'!A1:D734,3,FALSE)</f>
        <v>29</v>
      </c>
      <c r="H296" s="36">
        <f>IFERROR(VLOOKUP(B296,ADP!A1:G728,7,FALSE)/1000000,VLOOKUP(B296,ADP!A1:G728,7,FALSE))</f>
        <v>4</v>
      </c>
      <c r="I296" s="37">
        <f>IF(Settings!$E$15="POINTS",((R296*Q296)*Settings!$B$12)+(S296*Settings!$B$2)+(T296*Settings!$B$3)+(U296*Settings!$B$4)+(V296*Settings!$B$5)+(X296*Settings!$B$9)+(AA296*Settings!$B$6)+(W296*Settings!$B$8)+(AB296*Settings!$B$7)+(AC296*Settings!$B$14)+(AD296*Settings!$B$15)+(AE296*Settings!$B$16)+(AF296*Settings!$B$17)+(AG296*Settings!$B$18)+(Y296*Settings!$B$10)+(Z296*Settings!$B$11),VLOOKUP(B296,'Standard Deviations'!A1:C728,3,FALSE))</f>
        <v>211.73169901424731</v>
      </c>
      <c r="J296" s="38">
        <f>IF(D296="G",I296/AJ296,I296/Q296)</f>
        <v>2.7605175881909689</v>
      </c>
      <c r="K296" s="37">
        <f>IF(Settings!$E$18="C/LW/RW",VLOOKUP(B296,LW!A1:F130,6,FALSE),VLOOKUP(B296,F!A1:F430,6,FALSE))</f>
        <v>-152.30890584340315</v>
      </c>
      <c r="L296" s="37">
        <f>IFERROR(K296/H296,"N/A")</f>
        <v>-38.077226460850788</v>
      </c>
      <c r="M296" s="53" t="str">
        <f>IF(Settings!$E$9="YAHOO",VLOOKUP(B296,ADP!A1:E728,2,FALSE),IF(Settings!$E$9="ESPN",VLOOKUP(B296,ADP!A1:E728,3,FALSE),IF(Settings!$E$9="FANTRAX",VLOOKUP(B296,ADP!A1:E728,4,FALSE),VLOOKUP(B296,ADP!A1:E728,5,FALSE))))</f>
        <v>-</v>
      </c>
      <c r="N296" s="53" t="str">
        <f>IFERROR(M296-A296,"N/A")</f>
        <v>N/A</v>
      </c>
      <c r="O296" s="39"/>
      <c r="P296" s="40" t="str">
        <f>IF(Settings!$E$27="ON",VLOOKUP(B296,ADP!A1:H728,8,FALSE)," ")</f>
        <v xml:space="preserve"> </v>
      </c>
      <c r="Q296" s="41">
        <f>IF(Settings!$E$12="YES",VLOOKUP(B296,'Player Data'!A1:E734,5,FALSE),82)</f>
        <v>76.7</v>
      </c>
      <c r="R296" s="39">
        <f>VLOOKUP(B296,'Player Data'!$A1:$AE734,6,FALSE)</f>
        <v>16.158772970752398</v>
      </c>
      <c r="S296" s="41">
        <f>VLOOKUP(B296,'Player Data'!$A1:$AE734,7,FALSE)*$Q296*IFERROR((VLOOKUP(P296,Settings!$E$28:$F$33,2,FALSE)+1),1)</f>
        <v>14.361490198870451</v>
      </c>
      <c r="T296" s="41">
        <f>VLOOKUP(B296,'Player Data'!$A1:$AE734,8,FALSE)*$Q296*IFERROR((VLOOKUP(P296,Settings!$E$28:$F$33,2,FALSE)+1),1)</f>
        <v>22.089034484156382</v>
      </c>
      <c r="U296" s="41">
        <f>SUM(S296:T296)</f>
        <v>36.450524683026835</v>
      </c>
      <c r="V296" s="41">
        <f>VLOOKUP(B296,'Player Data'!$A1:$AE734,10,FALSE)*$Q296*IFERROR(((VLOOKUP(P296,Settings!$E$28:$F$33,2,FALSE)/2)+1),1)</f>
        <v>164.29183689905929</v>
      </c>
      <c r="W296" s="41">
        <f>VLOOKUP(B296,'Player Data'!$A1:$AE734,11,FALSE)*$Q296*IFERROR((VLOOKUP(P296,Settings!$E$28:$F$33,2,FALSE)+1),1)</f>
        <v>3.1622916057795378</v>
      </c>
      <c r="X296" s="41">
        <f>VLOOKUP(B296,'Player Data'!$A1:$AE734,12,FALSE)*$Q296*IFERROR((VLOOKUP(P296,Settings!$E$28:$F$33,2,FALSE)+1),1)</f>
        <v>5.0511068445372249</v>
      </c>
      <c r="Y296" s="41">
        <f>VLOOKUP(B296,'Player Data'!$A1:$AE734,13,FALSE)*$Q296</f>
        <v>0.34337899505792691</v>
      </c>
      <c r="Z296" s="41">
        <f>VLOOKUP(B296,'Player Data'!$A1:$AE734,14,FALSE)*$Q296</f>
        <v>0.68324479598368903</v>
      </c>
      <c r="AA296" s="41">
        <f>VLOOKUP(B296,'Player Data'!$A1:$AE734,15,FALSE)*$Q296</f>
        <v>43.82751617297675</v>
      </c>
      <c r="AB296" s="41">
        <f>VLOOKUP(B296,'Player Data'!$A1:$AE734,16,FALSE)*$Q296</f>
        <v>45.736036709778794</v>
      </c>
      <c r="AC296" s="41">
        <f>VLOOKUP(B296,'Player Data'!$A1:$AE734,17,FALSE)*$Q296*IFERROR((VLOOKUP(P296,Settings!$E$28:$F$33,2,FALSE)+1),1)</f>
        <v>1.94800202020658</v>
      </c>
      <c r="AD296" s="41">
        <f>VLOOKUP(B296,'Player Data'!$A1:$AE734,18,FALSE)*$Q296</f>
        <v>16.269793799850575</v>
      </c>
      <c r="AE296" s="41">
        <f>VLOOKUP(B296,'Player Data'!$A1:$AE734,19,FALSE)*$Q296*IFERROR((VLOOKUP(P296,Settings!$E$28:$F$33,2,FALSE)+1),1)</f>
        <v>2.2404405415455515</v>
      </c>
      <c r="AF296" s="41">
        <f>VLOOKUP(B296,'Player Data'!$A1:$AE734,20,FALSE)*$Q296</f>
        <v>7.8962508281510475</v>
      </c>
      <c r="AG296" s="41">
        <f>VLOOKUP(B296,'Player Data'!$A1:$AE734,21,FALSE)*$Q296</f>
        <v>9.6219299709999664</v>
      </c>
      <c r="AH296" s="42">
        <f>VLOOKUP(B296,'Player Data'!$A1:$AE734,22,FALSE)</f>
        <v>0.45074605169811699</v>
      </c>
      <c r="AI296" s="39"/>
      <c r="AJ296" s="41"/>
      <c r="AK296" s="41"/>
      <c r="AL296" s="41"/>
      <c r="AM296" s="41"/>
      <c r="AN296" s="41"/>
      <c r="AO296" s="41"/>
      <c r="AP296" s="41"/>
      <c r="AQ296" s="44"/>
      <c r="AR296" s="45"/>
      <c r="AS296" s="39"/>
    </row>
    <row r="297" spans="1:45" ht="21.25" customHeight="1" x14ac:dyDescent="0.15">
      <c r="A297" s="31">
        <f>RANK(K297,K$2:K$727)</f>
        <v>296</v>
      </c>
      <c r="B297" s="8" t="s">
        <v>401</v>
      </c>
      <c r="C297" s="32" t="s">
        <v>106</v>
      </c>
      <c r="D297" s="33" t="str">
        <f>VLOOKUP(B297,'Player Data'!A1:D734,4,FALSE)</f>
        <v>D</v>
      </c>
      <c r="E297" s="49">
        <f>VLOOKUP(B297,D!A1:C227,3,FALSE)</f>
        <v>89</v>
      </c>
      <c r="F297" s="35" t="str">
        <f>VLOOKUP(B297,'Player Data'!A1:B734,2,FALSE)</f>
        <v>WSH</v>
      </c>
      <c r="G297" s="9">
        <f>VLOOKUP(B297,'Player Data'!A1:D734,3,FALSE)</f>
        <v>32</v>
      </c>
      <c r="H297" s="36">
        <f>IFERROR(VLOOKUP(B297,ADP!A1:G728,7,FALSE)/1000000,VLOOKUP(B297,ADP!A1:G728,7,FALSE))</f>
        <v>4.05</v>
      </c>
      <c r="I297" s="37">
        <f>IF(Settings!$E$15="POINTS",((R297*Q297)*Settings!$B$12)+(S297*Settings!$B$2)+(T297*Settings!$B$3)+(U297*Settings!$B$4)+(V297*Settings!$B$5)+(X297*Settings!$B$9)+(AA297*Settings!$B$6)+(W297*Settings!$B$8)+(AB297*Settings!$B$7)+(AC297*Settings!$B$14)+(AD297*Settings!$B$15)+(AE297*Settings!$B$16)+(AF297*Settings!$B$17)+(AG297*Settings!$B$18)+(U297*Settings!$B$13)+(Y297*Settings!$B$10)+(Z297*Settings!$B$11),VLOOKUP(B297,'Standard Deviations'!A1:C728,3,FALSE))</f>
        <v>158.80583084949359</v>
      </c>
      <c r="J297" s="38">
        <f>IF(D297="G",I297/AJ297,I297/Q297)</f>
        <v>1.9963020848459283</v>
      </c>
      <c r="K297" s="37">
        <f>VLOOKUP(B297,D!A1:F227,6,FALSE)</f>
        <v>-152.75965077843387</v>
      </c>
      <c r="L297" s="37">
        <f>IFERROR(K297/H297,"N/A")</f>
        <v>-37.718432290971329</v>
      </c>
      <c r="M297" s="53" t="str">
        <f>IF(Settings!$E$9="YAHOO",VLOOKUP(B297,ADP!A1:E728,2,FALSE),IF(Settings!$E$9="ESPN",VLOOKUP(B297,ADP!A1:E728,3,FALSE),IF(Settings!$E$9="FANTRAX",VLOOKUP(B297,ADP!A1:E728,4,FALSE),VLOOKUP(B297,ADP!A1:E728,5,FALSE))))</f>
        <v>-</v>
      </c>
      <c r="N297" s="53" t="str">
        <f>IFERROR(M297-A297,"N/A")</f>
        <v>N/A</v>
      </c>
      <c r="O297" s="39"/>
      <c r="P297" s="40" t="str">
        <f>IF(Settings!$E$27="ON",VLOOKUP(B297,ADP!A1:H728,8,FALSE)," ")</f>
        <v xml:space="preserve"> </v>
      </c>
      <c r="Q297" s="41">
        <f>IF(Settings!$E$12="YES",VLOOKUP(B297,'Player Data'!A1:E734,5,FALSE),82)</f>
        <v>79.55</v>
      </c>
      <c r="R297" s="39">
        <f>VLOOKUP(B297,'Player Data'!$A1:$AE734,6,FALSE)</f>
        <v>20.778134799549601</v>
      </c>
      <c r="S297" s="41">
        <f>VLOOKUP(B297,'Player Data'!$A1:$AE734,7,FALSE)*$Q297*IFERROR((VLOOKUP(P297,Settings!$E$28:$F$33,2,FALSE)+1),1)</f>
        <v>4.7932563093582532</v>
      </c>
      <c r="T297" s="41">
        <f>VLOOKUP(B297,'Player Data'!$A1:$AE734,8,FALSE)*$Q297*IFERROR((VLOOKUP(P297,Settings!$E$28:$F$33,2,FALSE)+1),1)</f>
        <v>20.785905033134725</v>
      </c>
      <c r="U297" s="41">
        <f>SUM(S297:T297)</f>
        <v>25.579161342492977</v>
      </c>
      <c r="V297" s="41">
        <f>VLOOKUP(B297,'Player Data'!$A1:$AE734,10,FALSE)*$Q297*IFERROR(((VLOOKUP(P297,Settings!$E$28:$F$33,2,FALSE)/2)+1),1)</f>
        <v>110.05302900694292</v>
      </c>
      <c r="W297" s="41">
        <f>VLOOKUP(B297,'Player Data'!$A1:$AE734,11,FALSE)*$Q297*IFERROR((VLOOKUP(P297,Settings!$E$28:$F$33,2,FALSE)+1),1)</f>
        <v>1.3797061266008541E-2</v>
      </c>
      <c r="X297" s="41">
        <f>VLOOKUP(B297,'Player Data'!$A1:$AE734,12,FALSE)*$Q297*IFERROR((VLOOKUP(P297,Settings!$E$28:$F$33,2,FALSE)+1),1)</f>
        <v>9.7584454156457737E-2</v>
      </c>
      <c r="Y297" s="41">
        <f>VLOOKUP(B297,'Player Data'!$A1:$AE734,13,FALSE)*$Q297</f>
        <v>2.3340567959569621E-2</v>
      </c>
      <c r="Z297" s="41">
        <f>VLOOKUP(B297,'Player Data'!$A1:$AE734,14,FALSE)*$Q297</f>
        <v>0.61232434562036009</v>
      </c>
      <c r="AA297" s="41">
        <f>VLOOKUP(B297,'Player Data'!$A1:$AE734,15,FALSE)*$Q297</f>
        <v>128.11007359494769</v>
      </c>
      <c r="AB297" s="41">
        <f>VLOOKUP(B297,'Player Data'!$A1:$AE734,16,FALSE)*$Q297</f>
        <v>123.19048482940805</v>
      </c>
      <c r="AC297" s="41">
        <f>VLOOKUP(B297,'Player Data'!$A1:$AE734,17,FALSE)*$Q297*IFERROR((VLOOKUP(P297,Settings!$E$28:$F$33,2,FALSE)+1),1)</f>
        <v>-1.999946365285449</v>
      </c>
      <c r="AD297" s="41">
        <f>VLOOKUP(B297,'Player Data'!$A1:$AE734,18,FALSE)*$Q297</f>
        <v>24.471638993424257</v>
      </c>
      <c r="AE297" s="41">
        <f>VLOOKUP(B297,'Player Data'!$A1:$AE734,19,FALSE)*$Q297*IFERROR((VLOOKUP(P297,Settings!$E$28:$F$33,2,FALSE)+1),1)</f>
        <v>0.58959874247660704</v>
      </c>
      <c r="AF297" s="41">
        <f>VLOOKUP(B297,'Player Data'!$A1:$AE734,20,FALSE)*$Q297</f>
        <v>0</v>
      </c>
      <c r="AG297" s="41">
        <f>VLOOKUP(B297,'Player Data'!$A1:$AE734,21,FALSE)*$Q297</f>
        <v>0</v>
      </c>
      <c r="AH297" s="42">
        <f>VLOOKUP(B297,'Player Data'!$A1:$AE734,22,FALSE)</f>
        <v>0</v>
      </c>
      <c r="AI297" s="39"/>
      <c r="AJ297" s="43"/>
      <c r="AK297" s="41"/>
      <c r="AL297" s="41"/>
      <c r="AM297" s="41"/>
      <c r="AN297" s="41"/>
      <c r="AO297" s="41"/>
      <c r="AP297" s="41"/>
      <c r="AQ297" s="44"/>
      <c r="AR297" s="45"/>
      <c r="AS297" s="39"/>
    </row>
    <row r="298" spans="1:45" ht="21.25" customHeight="1" x14ac:dyDescent="0.15">
      <c r="A298" s="31">
        <f>RANK(K298,K$2:K$727)</f>
        <v>297</v>
      </c>
      <c r="B298" s="8" t="s">
        <v>402</v>
      </c>
      <c r="C298" s="32" t="s">
        <v>106</v>
      </c>
      <c r="D298" s="33" t="str">
        <f>VLOOKUP(B298,'Player Data'!A1:D734,4,FALSE)</f>
        <v>C</v>
      </c>
      <c r="E298" s="34">
        <f>VLOOKUP(B298,'C'!A1:C211,3,FALSE)</f>
        <v>76</v>
      </c>
      <c r="F298" s="35" t="str">
        <f>VLOOKUP(B298,'Player Data'!A1:B734,2,FALSE)</f>
        <v>PHI</v>
      </c>
      <c r="G298" s="9">
        <f>VLOOKUP(B298,'Player Data'!A1:D734,3,FALSE)</f>
        <v>29</v>
      </c>
      <c r="H298" s="36">
        <f>IFERROR(VLOOKUP(B298,ADP!A1:G728,7,FALSE)/1000000,VLOOKUP(B298,ADP!A1:G728,7,FALSE))</f>
        <v>3</v>
      </c>
      <c r="I298" s="37">
        <f>IF(Settings!$E$15="POINTS",((R298*Q298)*Settings!$B$12)+(S298*Settings!$B$2)+(T298*Settings!$B$3)+(U298*Settings!$B$4)+(V298*Settings!$B$5)+(X298*Settings!$B$9)+(AA298*Settings!$B$6)+(W298*Settings!$B$8)+(AB298*Settings!$B$7)+(AC298*Settings!$B$14)+(AD298*Settings!$B$15)+(AE298*Settings!$B$16)+(AF298*Settings!$B$17)+(AG298*Settings!$B$18)+(Y298*Settings!$B$10)+(Z298*Settings!$B$11),VLOOKUP(B298,'Standard Deviations'!A1:C728,3,FALSE))</f>
        <v>239.67744807680134</v>
      </c>
      <c r="J298" s="38">
        <f>IF(D298="G",I298/AJ298,I298/Q298)</f>
        <v>3.0408890920565117</v>
      </c>
      <c r="K298" s="37">
        <f>IF(Settings!$E$18="C/LW/RW",VLOOKUP(B298,'C'!A1:F211,6,FALSE),VLOOKUP(B298,F!A1:F430,6,FALSE))</f>
        <v>-153.65135768940831</v>
      </c>
      <c r="L298" s="37">
        <f>IFERROR(K298/H298,"N/A")</f>
        <v>-51.217119229802769</v>
      </c>
      <c r="M298" s="53" t="str">
        <f>IF(Settings!$E$9="YAHOO",VLOOKUP(B298,ADP!A1:E728,2,FALSE),IF(Settings!$E$9="ESPN",VLOOKUP(B298,ADP!A1:E728,3,FALSE),IF(Settings!$E$9="FANTRAX",VLOOKUP(B298,ADP!A1:E728,4,FALSE),VLOOKUP(B298,ADP!A1:E728,5,FALSE))))</f>
        <v>-</v>
      </c>
      <c r="N298" s="53" t="str">
        <f>IFERROR(M298-A298,"N/A")</f>
        <v>N/A</v>
      </c>
      <c r="O298" s="39"/>
      <c r="P298" s="40" t="str">
        <f>IF(Settings!$E$27="ON",VLOOKUP(B298,ADP!A1:H728,8,FALSE)," ")</f>
        <v xml:space="preserve"> </v>
      </c>
      <c r="Q298" s="41">
        <f>IF(Settings!$E$12="YES",VLOOKUP(B298,'Player Data'!A1:E734,5,FALSE),82)</f>
        <v>78.818214285714305</v>
      </c>
      <c r="R298" s="39">
        <f>VLOOKUP(B298,'Player Data'!$A1:$AE734,6,FALSE)</f>
        <v>17.653290222509799</v>
      </c>
      <c r="S298" s="41">
        <f>VLOOKUP(B298,'Player Data'!$A1:$AE734,7,FALSE)*$Q298*IFERROR((VLOOKUP(P298,Settings!$E$28:$F$33,2,FALSE)+1),1)</f>
        <v>16.928168603546453</v>
      </c>
      <c r="T298" s="41">
        <f>VLOOKUP(B298,'Player Data'!$A1:$AE734,8,FALSE)*$Q298*IFERROR((VLOOKUP(P298,Settings!$E$28:$F$33,2,FALSE)+1),1)</f>
        <v>24.459743431628869</v>
      </c>
      <c r="U298" s="41">
        <f>SUM(S298:T298)</f>
        <v>41.387912035175319</v>
      </c>
      <c r="V298" s="41">
        <f>VLOOKUP(B298,'Player Data'!$A1:$AE734,10,FALSE)*$Q298*IFERROR(((VLOOKUP(P298,Settings!$E$28:$F$33,2,FALSE)/2)+1),1)</f>
        <v>162.28731721835837</v>
      </c>
      <c r="W298" s="41">
        <f>VLOOKUP(B298,'Player Data'!$A1:$AE734,11,FALSE)*$Q298*IFERROR((VLOOKUP(P298,Settings!$E$28:$F$33,2,FALSE)+1),1)</f>
        <v>3.8362761669697107</v>
      </c>
      <c r="X298" s="41">
        <f>VLOOKUP(B298,'Player Data'!$A1:$AE734,12,FALSE)*$Q298*IFERROR((VLOOKUP(P298,Settings!$E$28:$F$33,2,FALSE)+1),1)</f>
        <v>7.350562882816952</v>
      </c>
      <c r="Y298" s="41">
        <f>VLOOKUP(B298,'Player Data'!$A1:$AE734,13,FALSE)*$Q298</f>
        <v>2.3257857239283064</v>
      </c>
      <c r="Z298" s="41">
        <f>VLOOKUP(B298,'Player Data'!$A1:$AE734,14,FALSE)*$Q298</f>
        <v>4.4528399133459775</v>
      </c>
      <c r="AA298" s="41">
        <f>VLOOKUP(B298,'Player Data'!$A1:$AE734,15,FALSE)*$Q298</f>
        <v>53.816238848851739</v>
      </c>
      <c r="AB298" s="41">
        <f>VLOOKUP(B298,'Player Data'!$A1:$AE734,16,FALSE)*$Q298</f>
        <v>152.32550941873598</v>
      </c>
      <c r="AC298" s="41">
        <f>VLOOKUP(B298,'Player Data'!$A1:$AE734,17,FALSE)*$Q298*IFERROR((VLOOKUP(P298,Settings!$E$28:$F$33,2,FALSE)+1),1)</f>
        <v>-5.9822921299745602</v>
      </c>
      <c r="AD298" s="41">
        <f>VLOOKUP(B298,'Player Data'!$A1:$AE734,18,FALSE)*$Q298</f>
        <v>41.14801039008303</v>
      </c>
      <c r="AE298" s="41">
        <f>VLOOKUP(B298,'Player Data'!$A1:$AE734,19,FALSE)*$Q298*IFERROR((VLOOKUP(P298,Settings!$E$28:$F$33,2,FALSE)+1),1)</f>
        <v>1.989832453206003</v>
      </c>
      <c r="AF298" s="41">
        <f>VLOOKUP(B298,'Player Data'!$A1:$AE734,20,FALSE)*$Q298</f>
        <v>494.31460198998138</v>
      </c>
      <c r="AG298" s="41">
        <f>VLOOKUP(B298,'Player Data'!$A1:$AE734,21,FALSE)*$Q298</f>
        <v>518.71787733397991</v>
      </c>
      <c r="AH298" s="42">
        <f>VLOOKUP(B298,'Player Data'!$A1:$AE734,22,FALSE)</f>
        <v>0.48795533418618298</v>
      </c>
      <c r="AI298" s="39"/>
      <c r="AJ298" s="43"/>
      <c r="AK298" s="41"/>
      <c r="AL298" s="41"/>
      <c r="AM298" s="41"/>
      <c r="AN298" s="41"/>
      <c r="AO298" s="41"/>
      <c r="AP298" s="41"/>
      <c r="AQ298" s="44"/>
      <c r="AR298" s="45"/>
      <c r="AS298" s="39"/>
    </row>
    <row r="299" spans="1:45" ht="21.25" customHeight="1" x14ac:dyDescent="0.15">
      <c r="A299" s="31">
        <f>RANK(K299,K$2:K$727)</f>
        <v>298</v>
      </c>
      <c r="B299" s="8" t="s">
        <v>403</v>
      </c>
      <c r="C299" s="32" t="s">
        <v>106</v>
      </c>
      <c r="D299" s="33" t="str">
        <f>VLOOKUP(B299,'Player Data'!A1:D734,4,FALSE)</f>
        <v>LW</v>
      </c>
      <c r="E299" s="47">
        <f>VLOOKUP(B299,LW!A1:C130,3,FALSE)</f>
        <v>58</v>
      </c>
      <c r="F299" s="35" t="str">
        <f>VLOOKUP(B299,'Player Data'!A1:B734,2,FALSE)</f>
        <v>TBL</v>
      </c>
      <c r="G299" s="9">
        <f>VLOOKUP(B299,'Player Data'!A1:D734,3,FALSE)</f>
        <v>31</v>
      </c>
      <c r="H299" s="36">
        <f>IFERROR(VLOOKUP(B299,ADP!A1:G728,7,FALSE)/1000000,VLOOKUP(B299,ADP!A1:G728,7,FALSE))</f>
        <v>2</v>
      </c>
      <c r="I299" s="37">
        <f>IF(Settings!$E$15="POINTS",((R299*Q299)*Settings!$B$12)+(S299*Settings!$B$2)+(T299*Settings!$B$3)+(U299*Settings!$B$4)+(V299*Settings!$B$5)+(X299*Settings!$B$9)+(AA299*Settings!$B$6)+(W299*Settings!$B$8)+(AB299*Settings!$B$7)+(AC299*Settings!$B$14)+(AD299*Settings!$B$15)+(AE299*Settings!$B$16)+(AF299*Settings!$B$17)+(AG299*Settings!$B$18)+(Y299*Settings!$B$10)+(Z299*Settings!$B$11),VLOOKUP(B299,'Standard Deviations'!A1:C728,3,FALSE))</f>
        <v>210.3649955694188</v>
      </c>
      <c r="J299" s="38">
        <f>IF(D299="G",I299/AJ299,I299/Q299)</f>
        <v>2.6269940887898553</v>
      </c>
      <c r="K299" s="37">
        <f>IF(Settings!$E$18="C/LW/RW",VLOOKUP(B299,LW!A1:F130,6,FALSE),VLOOKUP(B299,F!A1:F430,6,FALSE))</f>
        <v>-153.67560928823167</v>
      </c>
      <c r="L299" s="37">
        <f>IFERROR(K299/H299,"N/A")</f>
        <v>-76.837804644115835</v>
      </c>
      <c r="M299" s="53" t="str">
        <f>IF(Settings!$E$9="YAHOO",VLOOKUP(B299,ADP!A1:E728,2,FALSE),IF(Settings!$E$9="ESPN",VLOOKUP(B299,ADP!A1:E728,3,FALSE),IF(Settings!$E$9="FANTRAX",VLOOKUP(B299,ADP!A1:E728,4,FALSE),VLOOKUP(B299,ADP!A1:E728,5,FALSE))))</f>
        <v>-</v>
      </c>
      <c r="N299" s="53" t="str">
        <f>IFERROR(M299-A299,"N/A")</f>
        <v>N/A</v>
      </c>
      <c r="O299" s="39"/>
      <c r="P299" s="40" t="str">
        <f>IF(Settings!$E$27="ON",VLOOKUP(B299,ADP!A1:H728,8,FALSE)," ")</f>
        <v xml:space="preserve"> </v>
      </c>
      <c r="Q299" s="41">
        <f>IF(Settings!$E$12="YES",VLOOKUP(B299,'Player Data'!A1:E734,5,FALSE),82)</f>
        <v>80.078214285714296</v>
      </c>
      <c r="R299" s="39">
        <f>VLOOKUP(B299,'Player Data'!$A1:$AE734,6,FALSE)</f>
        <v>15.7947745426829</v>
      </c>
      <c r="S299" s="41">
        <f>VLOOKUP(B299,'Player Data'!$A1:$AE734,7,FALSE)*$Q299*IFERROR((VLOOKUP(P299,Settings!$E$28:$F$33,2,FALSE)+1),1)</f>
        <v>16.515461482895244</v>
      </c>
      <c r="T299" s="41">
        <f>VLOOKUP(B299,'Player Data'!$A1:$AE734,8,FALSE)*$Q299*IFERROR((VLOOKUP(P299,Settings!$E$28:$F$33,2,FALSE)+1),1)</f>
        <v>21.086444811739945</v>
      </c>
      <c r="U299" s="41">
        <f>SUM(S299:T299)</f>
        <v>37.601906294635185</v>
      </c>
      <c r="V299" s="41">
        <f>VLOOKUP(B299,'Player Data'!$A1:$AE734,10,FALSE)*$Q299*IFERROR(((VLOOKUP(P299,Settings!$E$28:$F$33,2,FALSE)/2)+1),1)</f>
        <v>150.27251344004867</v>
      </c>
      <c r="W299" s="41">
        <f>VLOOKUP(B299,'Player Data'!$A1:$AE734,11,FALSE)*$Q299*IFERROR((VLOOKUP(P299,Settings!$E$28:$F$33,2,FALSE)+1),1)</f>
        <v>1.9938016715014037</v>
      </c>
      <c r="X299" s="41">
        <f>VLOOKUP(B299,'Player Data'!$A1:$AE734,12,FALSE)*$Q299*IFERROR((VLOOKUP(P299,Settings!$E$28:$F$33,2,FALSE)+1),1)</f>
        <v>6.1907846976181995</v>
      </c>
      <c r="Y299" s="41">
        <f>VLOOKUP(B299,'Player Data'!$A1:$AE734,13,FALSE)*$Q299</f>
        <v>0.77682140465763572</v>
      </c>
      <c r="Z299" s="41">
        <f>VLOOKUP(B299,'Player Data'!$A1:$AE734,14,FALSE)*$Q299</f>
        <v>0.90073606673663098</v>
      </c>
      <c r="AA299" s="41">
        <f>VLOOKUP(B299,'Player Data'!$A1:$AE734,15,FALSE)*$Q299</f>
        <v>41.199892183896246</v>
      </c>
      <c r="AB299" s="41">
        <f>VLOOKUP(B299,'Player Data'!$A1:$AE734,16,FALSE)*$Q299</f>
        <v>58.46437103037001</v>
      </c>
      <c r="AC299" s="41">
        <f>VLOOKUP(B299,'Player Data'!$A1:$AE734,17,FALSE)*$Q299*IFERROR((VLOOKUP(P299,Settings!$E$28:$F$33,2,FALSE)+1),1)</f>
        <v>9.63949234483963E-2</v>
      </c>
      <c r="AD299" s="41">
        <f>VLOOKUP(B299,'Player Data'!$A1:$AE734,18,FALSE)*$Q299</f>
        <v>22.478664919680806</v>
      </c>
      <c r="AE299" s="41">
        <f>VLOOKUP(B299,'Player Data'!$A1:$AE734,19,FALSE)*$Q299*IFERROR((VLOOKUP(P299,Settings!$E$28:$F$33,2,FALSE)+1),1)</f>
        <v>2.5846757213248122</v>
      </c>
      <c r="AF299" s="41">
        <f>VLOOKUP(B299,'Player Data'!$A1:$AE734,20,FALSE)*$Q299</f>
        <v>15.64084785229978</v>
      </c>
      <c r="AG299" s="41">
        <f>VLOOKUP(B299,'Player Data'!$A1:$AE734,21,FALSE)*$Q299</f>
        <v>19.754186538972618</v>
      </c>
      <c r="AH299" s="42">
        <f>VLOOKUP(B299,'Player Data'!$A1:$AE734,22,FALSE)</f>
        <v>0.44189384531736697</v>
      </c>
      <c r="AI299" s="39"/>
      <c r="AJ299" s="43"/>
      <c r="AK299" s="41"/>
      <c r="AL299" s="41"/>
      <c r="AM299" s="41"/>
      <c r="AN299" s="41"/>
      <c r="AO299" s="41"/>
      <c r="AP299" s="41"/>
      <c r="AQ299" s="44"/>
      <c r="AR299" s="45"/>
      <c r="AS299" s="43"/>
    </row>
    <row r="300" spans="1:45" ht="21.25" customHeight="1" x14ac:dyDescent="0.15">
      <c r="A300" s="31">
        <f>RANK(K300,K$2:K$727)</f>
        <v>299</v>
      </c>
      <c r="B300" s="8" t="s">
        <v>404</v>
      </c>
      <c r="C300" s="32" t="s">
        <v>106</v>
      </c>
      <c r="D300" s="33" t="str">
        <f>VLOOKUP(B300,'Player Data'!A1:D734,4,FALSE)</f>
        <v>D</v>
      </c>
      <c r="E300" s="49">
        <f>VLOOKUP(B300,D!A1:C227,3,FALSE)</f>
        <v>90</v>
      </c>
      <c r="F300" s="35" t="str">
        <f>VLOOKUP(B300,'Player Data'!A1:B734,2,FALSE)</f>
        <v>ARI</v>
      </c>
      <c r="G300" s="9">
        <f>VLOOKUP(B300,'Player Data'!A1:D734,3,FALSE)</f>
        <v>29</v>
      </c>
      <c r="H300" s="36">
        <f>IFERROR(VLOOKUP(B300,ADP!A1:G728,7,FALSE)/1000000,VLOOKUP(B300,ADP!A1:G728,7,FALSE))</f>
        <v>5.45</v>
      </c>
      <c r="I300" s="37">
        <f>IF(Settings!$E$15="POINTS",((R300*Q300)*Settings!$B$12)+(S300*Settings!$B$2)+(T300*Settings!$B$3)+(U300*Settings!$B$4)+(V300*Settings!$B$5)+(X300*Settings!$B$9)+(AA300*Settings!$B$6)+(W300*Settings!$B$8)+(AB300*Settings!$B$7)+(AC300*Settings!$B$14)+(AD300*Settings!$B$15)+(AE300*Settings!$B$16)+(AF300*Settings!$B$17)+(AG300*Settings!$B$18)+(U300*Settings!$B$13)+(Y300*Settings!$B$10)+(Z300*Settings!$B$11),VLOOKUP(B300,'Standard Deviations'!A1:C728,3,FALSE))</f>
        <v>157.56579772175147</v>
      </c>
      <c r="J300" s="38">
        <f>IF(D300="G",I300/AJ300,I300/Q300)</f>
        <v>2.0376330541613368</v>
      </c>
      <c r="K300" s="37">
        <f>VLOOKUP(B300,D!A1:F227,6,FALSE)</f>
        <v>-153.99968390617599</v>
      </c>
      <c r="L300" s="37">
        <f>IFERROR(K300/H300,"N/A")</f>
        <v>-28.256822735078163</v>
      </c>
      <c r="M300" s="53" t="str">
        <f>IF(Settings!$E$9="YAHOO",VLOOKUP(B300,ADP!A1:E728,2,FALSE),IF(Settings!$E$9="ESPN",VLOOKUP(B300,ADP!A1:E728,3,FALSE),IF(Settings!$E$9="FANTRAX",VLOOKUP(B300,ADP!A1:E728,4,FALSE),VLOOKUP(B300,ADP!A1:E728,5,FALSE))))</f>
        <v>-</v>
      </c>
      <c r="N300" s="53" t="str">
        <f>IFERROR(M300-A300,"N/A")</f>
        <v>N/A</v>
      </c>
      <c r="O300" s="39"/>
      <c r="P300" s="40" t="str">
        <f>IF(Settings!$E$27="ON",VLOOKUP(B300,ADP!A1:H728,8,FALSE)," ")</f>
        <v xml:space="preserve"> </v>
      </c>
      <c r="Q300" s="41">
        <f>IF(Settings!$E$12="YES",VLOOKUP(B300,'Player Data'!A1:E734,5,FALSE),82)</f>
        <v>77.327857142857098</v>
      </c>
      <c r="R300" s="39">
        <f>VLOOKUP(B300,'Player Data'!$A1:$AE734,6,FALSE)</f>
        <v>21.6868044566707</v>
      </c>
      <c r="S300" s="41">
        <f>VLOOKUP(B300,'Player Data'!$A1:$AE734,7,FALSE)*$Q300*IFERROR((VLOOKUP(P300,Settings!$E$28:$F$33,2,FALSE)+1),1)</f>
        <v>6.4600038686531205</v>
      </c>
      <c r="T300" s="41">
        <f>VLOOKUP(B300,'Player Data'!$A1:$AE734,8,FALSE)*$Q300*IFERROR((VLOOKUP(P300,Settings!$E$28:$F$33,2,FALSE)+1),1)</f>
        <v>17.893734345666399</v>
      </c>
      <c r="U300" s="41">
        <f>SUM(S300:T300)</f>
        <v>24.35373821431952</v>
      </c>
      <c r="V300" s="41">
        <f>VLOOKUP(B300,'Player Data'!$A1:$AE734,10,FALSE)*$Q300*IFERROR(((VLOOKUP(P300,Settings!$E$28:$F$33,2,FALSE)/2)+1),1)</f>
        <v>115.49234028404001</v>
      </c>
      <c r="W300" s="41">
        <f>VLOOKUP(B300,'Player Data'!$A1:$AE734,11,FALSE)*$Q300*IFERROR((VLOOKUP(P300,Settings!$E$28:$F$33,2,FALSE)+1),1)</f>
        <v>0.32427843323169669</v>
      </c>
      <c r="X300" s="41">
        <f>VLOOKUP(B300,'Player Data'!$A1:$AE734,12,FALSE)*$Q300*IFERROR((VLOOKUP(P300,Settings!$E$28:$F$33,2,FALSE)+1),1)</f>
        <v>1.7665077646329297</v>
      </c>
      <c r="Y300" s="41">
        <f>VLOOKUP(B300,'Player Data'!$A1:$AE734,13,FALSE)*$Q300</f>
        <v>3.0194238698077597E-2</v>
      </c>
      <c r="Z300" s="41">
        <f>VLOOKUP(B300,'Player Data'!$A1:$AE734,14,FALSE)*$Q300</f>
        <v>0.11689289303242525</v>
      </c>
      <c r="AA300" s="41">
        <f>VLOOKUP(B300,'Player Data'!$A1:$AE734,15,FALSE)*$Q300</f>
        <v>114.95805810721083</v>
      </c>
      <c r="AB300" s="41">
        <f>VLOOKUP(B300,'Player Data'!$A1:$AE734,16,FALSE)*$Q300</f>
        <v>108.46691498844427</v>
      </c>
      <c r="AC300" s="41">
        <f>VLOOKUP(B300,'Player Data'!$A1:$AE734,17,FALSE)*$Q300*IFERROR((VLOOKUP(P300,Settings!$E$28:$F$33,2,FALSE)+1),1)</f>
        <v>-3.234447160560344</v>
      </c>
      <c r="AD300" s="41">
        <f>VLOOKUP(B300,'Player Data'!$A1:$AE734,18,FALSE)*$Q300</f>
        <v>58.416428468393093</v>
      </c>
      <c r="AE300" s="41">
        <f>VLOOKUP(B300,'Player Data'!$A1:$AE734,19,FALSE)*$Q300*IFERROR((VLOOKUP(P300,Settings!$E$28:$F$33,2,FALSE)+1),1)</f>
        <v>0.79619544957091171</v>
      </c>
      <c r="AF300" s="41">
        <f>VLOOKUP(B300,'Player Data'!$A1:$AE734,20,FALSE)*$Q300</f>
        <v>0</v>
      </c>
      <c r="AG300" s="41">
        <f>VLOOKUP(B300,'Player Data'!$A1:$AE734,21,FALSE)*$Q300</f>
        <v>0</v>
      </c>
      <c r="AH300" s="42">
        <f>VLOOKUP(B300,'Player Data'!$A1:$AE734,22,FALSE)</f>
        <v>0</v>
      </c>
      <c r="AI300" s="39"/>
      <c r="AJ300" s="43"/>
      <c r="AK300" s="41"/>
      <c r="AL300" s="41"/>
      <c r="AM300" s="41"/>
      <c r="AN300" s="41"/>
      <c r="AO300" s="41"/>
      <c r="AP300" s="41"/>
      <c r="AQ300" s="44"/>
      <c r="AR300" s="45"/>
      <c r="AS300" s="39"/>
    </row>
    <row r="301" spans="1:45" ht="21.25" customHeight="1" x14ac:dyDescent="0.15">
      <c r="A301" s="31">
        <f>RANK(K301,K$2:K$727)</f>
        <v>300</v>
      </c>
      <c r="B301" s="8" t="s">
        <v>405</v>
      </c>
      <c r="C301" s="32" t="s">
        <v>106</v>
      </c>
      <c r="D301" s="33" t="str">
        <f>VLOOKUP(B301,'Player Data'!A1:D734,4,FALSE)</f>
        <v>C</v>
      </c>
      <c r="E301" s="34">
        <f>VLOOKUP(B301,'C'!A1:C211,3,FALSE)</f>
        <v>77</v>
      </c>
      <c r="F301" s="35" t="str">
        <f>VLOOKUP(B301,'Player Data'!A1:B734,2,FALSE)</f>
        <v>ANA</v>
      </c>
      <c r="G301" s="9">
        <f>VLOOKUP(B301,'Player Data'!A1:D734,3,FALSE)</f>
        <v>29</v>
      </c>
      <c r="H301" s="36">
        <f>IFERROR(VLOOKUP(B301,ADP!A1:G728,7,FALSE)/1000000,VLOOKUP(B301,ADP!A1:G728,7,FALSE))</f>
        <v>3.65</v>
      </c>
      <c r="I301" s="37">
        <f>IF(Settings!$E$15="POINTS",((R301*Q301)*Settings!$B$12)+(S301*Settings!$B$2)+(T301*Settings!$B$3)+(U301*Settings!$B$4)+(V301*Settings!$B$5)+(X301*Settings!$B$9)+(AA301*Settings!$B$6)+(W301*Settings!$B$8)+(AB301*Settings!$B$7)+(AC301*Settings!$B$14)+(AD301*Settings!$B$15)+(AE301*Settings!$B$16)+(AF301*Settings!$B$17)+(AG301*Settings!$B$18)+(Y301*Settings!$B$10)+(Z301*Settings!$B$11),VLOOKUP(B301,'Standard Deviations'!A1:C728,3,FALSE))</f>
        <v>239.21970989118435</v>
      </c>
      <c r="J301" s="38">
        <f>IF(D301="G",I301/AJ301,I301/Q301)</f>
        <v>2.9775916093002781</v>
      </c>
      <c r="K301" s="37">
        <f>IF(Settings!$E$18="C/LW/RW",VLOOKUP(B301,'C'!A1:F211,6,FALSE),VLOOKUP(B301,F!A1:F430,6,FALSE))</f>
        <v>-154.1090958750253</v>
      </c>
      <c r="L301" s="37">
        <f>IFERROR(K301/H301,"N/A")</f>
        <v>-42.221670102746657</v>
      </c>
      <c r="M301" s="53" t="str">
        <f>IF(Settings!$E$9="YAHOO",VLOOKUP(B301,ADP!A1:E728,2,FALSE),IF(Settings!$E$9="ESPN",VLOOKUP(B301,ADP!A1:E728,3,FALSE),IF(Settings!$E$9="FANTRAX",VLOOKUP(B301,ADP!A1:E728,4,FALSE),VLOOKUP(B301,ADP!A1:E728,5,FALSE))))</f>
        <v>-</v>
      </c>
      <c r="N301" s="53" t="str">
        <f>IFERROR(M301-A301,"N/A")</f>
        <v>N/A</v>
      </c>
      <c r="O301" s="39"/>
      <c r="P301" s="40" t="str">
        <f>IF(Settings!$E$27="ON",VLOOKUP(B301,ADP!A1:H728,8,FALSE)," ")</f>
        <v xml:space="preserve"> </v>
      </c>
      <c r="Q301" s="41">
        <f>IF(Settings!$E$12="YES",VLOOKUP(B301,'Player Data'!A1:E734,5,FALSE),82)</f>
        <v>80.34</v>
      </c>
      <c r="R301" s="39">
        <f>VLOOKUP(B301,'Player Data'!$A1:$AE734,6,FALSE)</f>
        <v>15.2412928125782</v>
      </c>
      <c r="S301" s="41">
        <f>VLOOKUP(B301,'Player Data'!$A1:$AE734,7,FALSE)*$Q301*IFERROR((VLOOKUP(P301,Settings!$E$28:$F$33,2,FALSE)+1),1)</f>
        <v>20.056377341252116</v>
      </c>
      <c r="T301" s="41">
        <f>VLOOKUP(B301,'Player Data'!$A1:$AE734,8,FALSE)*$Q301*IFERROR((VLOOKUP(P301,Settings!$E$28:$F$33,2,FALSE)+1),1)</f>
        <v>17.21545308341738</v>
      </c>
      <c r="U301" s="41">
        <f>SUM(S301:T301)</f>
        <v>37.271830424669496</v>
      </c>
      <c r="V301" s="41">
        <f>VLOOKUP(B301,'Player Data'!$A1:$AE734,10,FALSE)*$Q301*IFERROR(((VLOOKUP(P301,Settings!$E$28:$F$33,2,FALSE)/2)+1),1)</f>
        <v>204.0372324034623</v>
      </c>
      <c r="W301" s="41">
        <f>VLOOKUP(B301,'Player Data'!$A1:$AE734,11,FALSE)*$Q301*IFERROR((VLOOKUP(P301,Settings!$E$28:$F$33,2,FALSE)+1),1)</f>
        <v>3.4161131599691354</v>
      </c>
      <c r="X301" s="41">
        <f>VLOOKUP(B301,'Player Data'!$A1:$AE734,12,FALSE)*$Q301*IFERROR((VLOOKUP(P301,Settings!$E$28:$F$33,2,FALSE)+1),1)</f>
        <v>6.7314429124767043</v>
      </c>
      <c r="Y301" s="41">
        <f>VLOOKUP(B301,'Player Data'!$A1:$AE734,13,FALSE)*$Q301</f>
        <v>0.13838953311637625</v>
      </c>
      <c r="Z301" s="41">
        <f>VLOOKUP(B301,'Player Data'!$A1:$AE734,14,FALSE)*$Q301</f>
        <v>0.25294101705653443</v>
      </c>
      <c r="AA301" s="41">
        <f>VLOOKUP(B301,'Player Data'!$A1:$AE734,15,FALSE)*$Q301</f>
        <v>57.084172781891169</v>
      </c>
      <c r="AB301" s="41">
        <f>VLOOKUP(B301,'Player Data'!$A1:$AE734,16,FALSE)*$Q301</f>
        <v>81.214106180458202</v>
      </c>
      <c r="AC301" s="41">
        <f>VLOOKUP(B301,'Player Data'!$A1:$AE734,17,FALSE)*$Q301*IFERROR((VLOOKUP(P301,Settings!$E$28:$F$33,2,FALSE)+1),1)</f>
        <v>-10.254207398451529</v>
      </c>
      <c r="AD301" s="41">
        <f>VLOOKUP(B301,'Player Data'!$A1:$AE734,18,FALSE)*$Q301</f>
        <v>32.495337877830259</v>
      </c>
      <c r="AE301" s="41">
        <f>VLOOKUP(B301,'Player Data'!$A1:$AE734,19,FALSE)*$Q301*IFERROR((VLOOKUP(P301,Settings!$E$28:$F$33,2,FALSE)+1),1)</f>
        <v>2.174300520122125</v>
      </c>
      <c r="AF301" s="41">
        <f>VLOOKUP(B301,'Player Data'!$A1:$AE734,20,FALSE)*$Q301</f>
        <v>7.3928639230334552</v>
      </c>
      <c r="AG301" s="41">
        <f>VLOOKUP(B301,'Player Data'!$A1:$AE734,21,FALSE)*$Q301</f>
        <v>11.409741741787542</v>
      </c>
      <c r="AH301" s="42">
        <f>VLOOKUP(B301,'Player Data'!$A1:$AE734,22,FALSE)</f>
        <v>0.39318294787542402</v>
      </c>
      <c r="AI301" s="39"/>
      <c r="AJ301" s="43"/>
      <c r="AK301" s="41"/>
      <c r="AL301" s="41"/>
      <c r="AM301" s="41"/>
      <c r="AN301" s="41"/>
      <c r="AO301" s="41"/>
      <c r="AP301" s="41"/>
      <c r="AQ301" s="44"/>
      <c r="AR301" s="45"/>
      <c r="AS301" s="39"/>
    </row>
    <row r="302" spans="1:45" ht="21.25" customHeight="1" x14ac:dyDescent="0.15">
      <c r="A302" s="31">
        <f>RANK(K302,K$2:K$727)</f>
        <v>301</v>
      </c>
      <c r="B302" s="8" t="s">
        <v>406</v>
      </c>
      <c r="C302" s="32" t="s">
        <v>106</v>
      </c>
      <c r="D302" s="33" t="str">
        <f>VLOOKUP(B302,'Player Data'!A1:D734,4,FALSE)</f>
        <v>LW</v>
      </c>
      <c r="E302" s="47">
        <f>VLOOKUP(B302,LW!A1:C130,3,FALSE)</f>
        <v>59</v>
      </c>
      <c r="F302" s="35" t="str">
        <f>VLOOKUP(B302,'Player Data'!A1:B734,2,FALSE)</f>
        <v>PHI</v>
      </c>
      <c r="G302" s="9">
        <f>VLOOKUP(B302,'Player Data'!A1:D734,3,FALSE)</f>
        <v>24</v>
      </c>
      <c r="H302" s="36">
        <f>IFERROR(VLOOKUP(B302,ADP!A1:G728,7,FALSE)/1000000,VLOOKUP(B302,ADP!A1:G728,7,FALSE))</f>
        <v>2.625</v>
      </c>
      <c r="I302" s="37">
        <f>IF(Settings!$E$15="POINTS",((R302*Q302)*Settings!$B$12)+(S302*Settings!$B$2)+(T302*Settings!$B$3)+(U302*Settings!$B$4)+(V302*Settings!$B$5)+(X302*Settings!$B$9)+(AA302*Settings!$B$6)+(W302*Settings!$B$8)+(AB302*Settings!$B$7)+(AC302*Settings!$B$14)+(AD302*Settings!$B$15)+(AE302*Settings!$B$16)+(AF302*Settings!$B$17)+(AG302*Settings!$B$18)+(Y302*Settings!$B$10)+(Z302*Settings!$B$11),VLOOKUP(B302,'Standard Deviations'!A1:C728,3,FALSE))</f>
        <v>209.9109817223231</v>
      </c>
      <c r="J302" s="38">
        <f>IF(D302="G",I302/AJ302,I302/Q302)</f>
        <v>2.829274949925169</v>
      </c>
      <c r="K302" s="37">
        <f>IF(Settings!$E$18="C/LW/RW",VLOOKUP(B302,LW!A1:F130,6,FALSE),VLOOKUP(B302,F!A1:F430,6,FALSE))</f>
        <v>-154.12962313532736</v>
      </c>
      <c r="L302" s="37">
        <f>IFERROR(K302/H302,"N/A")</f>
        <v>-58.716046908696136</v>
      </c>
      <c r="M302" s="53" t="str">
        <f>IF(Settings!$E$9="YAHOO",VLOOKUP(B302,ADP!A1:E728,2,FALSE),IF(Settings!$E$9="ESPN",VLOOKUP(B302,ADP!A1:E728,3,FALSE),IF(Settings!$E$9="FANTRAX",VLOOKUP(B302,ADP!A1:E728,4,FALSE),VLOOKUP(B302,ADP!A1:E728,5,FALSE))))</f>
        <v>-</v>
      </c>
      <c r="N302" s="53" t="str">
        <f>IFERROR(M302-A302,"N/A")</f>
        <v>N/A</v>
      </c>
      <c r="O302" s="39"/>
      <c r="P302" s="40" t="str">
        <f>IF(Settings!$E$27="ON",VLOOKUP(B302,ADP!A1:H728,8,FALSE)," ")</f>
        <v xml:space="preserve"> </v>
      </c>
      <c r="Q302" s="41">
        <f>IF(Settings!$E$12="YES",VLOOKUP(B302,'Player Data'!A1:E734,5,FALSE),82)</f>
        <v>74.192499999999995</v>
      </c>
      <c r="R302" s="39">
        <f>VLOOKUP(B302,'Player Data'!$A1:$AE734,6,FALSE)</f>
        <v>17.9930099085366</v>
      </c>
      <c r="S302" s="41">
        <f>VLOOKUP(B302,'Player Data'!$A1:$AE734,7,FALSE)*$Q302*IFERROR((VLOOKUP(P302,Settings!$E$28:$F$33,2,FALSE)+1),1)</f>
        <v>15.912921805556817</v>
      </c>
      <c r="T302" s="41">
        <f>VLOOKUP(B302,'Player Data'!$A1:$AE734,8,FALSE)*$Q302*IFERROR((VLOOKUP(P302,Settings!$E$28:$F$33,2,FALSE)+1),1)</f>
        <v>25.306621191167206</v>
      </c>
      <c r="U302" s="41">
        <f>SUM(S302:T302)</f>
        <v>41.219542996724023</v>
      </c>
      <c r="V302" s="41">
        <f>VLOOKUP(B302,'Player Data'!$A1:$AE734,10,FALSE)*$Q302*IFERROR(((VLOOKUP(P302,Settings!$E$28:$F$33,2,FALSE)/2)+1),1)</f>
        <v>107.98242502649023</v>
      </c>
      <c r="W302" s="41">
        <f>VLOOKUP(B302,'Player Data'!$A1:$AE734,11,FALSE)*$Q302*IFERROR((VLOOKUP(P302,Settings!$E$28:$F$33,2,FALSE)+1),1)</f>
        <v>3.5996560647073363</v>
      </c>
      <c r="X302" s="41">
        <f>VLOOKUP(B302,'Player Data'!$A1:$AE734,12,FALSE)*$Q302*IFERROR((VLOOKUP(P302,Settings!$E$28:$F$33,2,FALSE)+1),1)</f>
        <v>8.7223341258760598</v>
      </c>
      <c r="Y302" s="41">
        <f>VLOOKUP(B302,'Player Data'!$A1:$AE734,13,FALSE)*$Q302</f>
        <v>0.99369416558797374</v>
      </c>
      <c r="Z302" s="41">
        <f>VLOOKUP(B302,'Player Data'!$A1:$AE734,14,FALSE)*$Q302</f>
        <v>1.9266598975196234</v>
      </c>
      <c r="AA302" s="41">
        <f>VLOOKUP(B302,'Player Data'!$A1:$AE734,15,FALSE)*$Q302</f>
        <v>54.815760860572674</v>
      </c>
      <c r="AB302" s="41">
        <f>VLOOKUP(B302,'Player Data'!$A1:$AE734,16,FALSE)*$Q302</f>
        <v>80.00273254214801</v>
      </c>
      <c r="AC302" s="41">
        <f>VLOOKUP(B302,'Player Data'!$A1:$AE734,17,FALSE)*$Q302*IFERROR((VLOOKUP(P302,Settings!$E$28:$F$33,2,FALSE)+1),1)</f>
        <v>-3.9641513432181421</v>
      </c>
      <c r="AD302" s="41">
        <f>VLOOKUP(B302,'Player Data'!$A1:$AE734,18,FALSE)*$Q302</f>
        <v>17.828933030463983</v>
      </c>
      <c r="AE302" s="41">
        <f>VLOOKUP(B302,'Player Data'!$A1:$AE734,19,FALSE)*$Q302*IFERROR((VLOOKUP(P302,Settings!$E$28:$F$33,2,FALSE)+1),1)</f>
        <v>1.8704946161389784</v>
      </c>
      <c r="AF302" s="41">
        <f>VLOOKUP(B302,'Player Data'!$A1:$AE734,20,FALSE)*$Q302</f>
        <v>329.79508924735006</v>
      </c>
      <c r="AG302" s="41">
        <f>VLOOKUP(B302,'Player Data'!$A1:$AE734,21,FALSE)*$Q302</f>
        <v>607.93747788786254</v>
      </c>
      <c r="AH302" s="42">
        <f>VLOOKUP(B302,'Player Data'!$A1:$AE734,22,FALSE)</f>
        <v>0.35169418318794099</v>
      </c>
      <c r="AI302" s="39"/>
      <c r="AJ302" s="43"/>
      <c r="AK302" s="41"/>
      <c r="AL302" s="41"/>
      <c r="AM302" s="41"/>
      <c r="AN302" s="41"/>
      <c r="AO302" s="41"/>
      <c r="AP302" s="41"/>
      <c r="AQ302" s="44"/>
      <c r="AR302" s="45"/>
      <c r="AS302" s="43"/>
    </row>
    <row r="303" spans="1:45" ht="21.25" customHeight="1" x14ac:dyDescent="0.15">
      <c r="A303" s="31">
        <f>RANK(K303,K$2:K$727)</f>
        <v>302</v>
      </c>
      <c r="B303" s="8" t="s">
        <v>407</v>
      </c>
      <c r="C303" s="32" t="s">
        <v>106</v>
      </c>
      <c r="D303" s="33" t="str">
        <f>VLOOKUP(B303,'Player Data'!A1:D734,4,FALSE)</f>
        <v>C</v>
      </c>
      <c r="E303" s="34">
        <f>VLOOKUP(B303,'C'!A1:C211,3,FALSE)</f>
        <v>78</v>
      </c>
      <c r="F303" s="35" t="str">
        <f>VLOOKUP(B303,'Player Data'!A1:B734,2,FALSE)</f>
        <v>BOS</v>
      </c>
      <c r="G303" s="9">
        <f>VLOOKUP(B303,'Player Data'!A1:D734,3,FALSE)</f>
        <v>31</v>
      </c>
      <c r="H303" s="36">
        <f>IFERROR(VLOOKUP(B303,ADP!A1:G728,7,FALSE)/1000000,VLOOKUP(B303,ADP!A1:G728,7,FALSE))</f>
        <v>5.25</v>
      </c>
      <c r="I303" s="37">
        <f>IF(Settings!$E$15="POINTS",((R303*Q303)*Settings!$B$12)+(S303*Settings!$B$2)+(T303*Settings!$B$3)+(U303*Settings!$B$4)+(V303*Settings!$B$5)+(X303*Settings!$B$9)+(AA303*Settings!$B$6)+(W303*Settings!$B$8)+(AB303*Settings!$B$7)+(AC303*Settings!$B$14)+(AD303*Settings!$B$15)+(AE303*Settings!$B$16)+(AF303*Settings!$B$17)+(AG303*Settings!$B$18)+(Y303*Settings!$B$10)+(Z303*Settings!$B$11),VLOOKUP(B303,'Standard Deviations'!A1:C728,3,FALSE))</f>
        <v>239.10143637824899</v>
      </c>
      <c r="J303" s="38">
        <f>IF(D303="G",I303/AJ303,I303/Q303)</f>
        <v>2.9410545957945544</v>
      </c>
      <c r="K303" s="37">
        <f>IF(Settings!$E$18="C/LW/RW",VLOOKUP(B303,'C'!A1:F211,6,FALSE),VLOOKUP(B303,F!A1:F430,6,FALSE))</f>
        <v>-154.22736938796066</v>
      </c>
      <c r="L303" s="37">
        <f>IFERROR(K303/H303,"N/A")</f>
        <v>-29.376641788182983</v>
      </c>
      <c r="M303" s="39">
        <f>IF(Settings!$E$9="YAHOO",VLOOKUP(B303,ADP!A1:E728,2,FALSE),IF(Settings!$E$9="ESPN",VLOOKUP(B303,ADP!A1:E728,3,FALSE),IF(Settings!$E$9="FANTRAX",VLOOKUP(B303,ADP!A1:E728,4,FALSE),VLOOKUP(B303,ADP!A1:E728,5,FALSE))))</f>
        <v>154.19999999999999</v>
      </c>
      <c r="N303" s="39">
        <f>IFERROR(M303-A303,"N/A")</f>
        <v>-147.80000000000001</v>
      </c>
      <c r="O303" s="39"/>
      <c r="P303" s="40" t="str">
        <f>IF(Settings!$E$27="ON",VLOOKUP(B303,ADP!A1:H728,8,FALSE)," ")</f>
        <v xml:space="preserve"> </v>
      </c>
      <c r="Q303" s="41">
        <f>IF(Settings!$E$12="YES",VLOOKUP(B303,'Player Data'!A1:E734,5,FALSE),82)</f>
        <v>81.297857142857097</v>
      </c>
      <c r="R303" s="39">
        <f>VLOOKUP(B303,'Player Data'!$A1:$AE734,6,FALSE)</f>
        <v>18.719396489353102</v>
      </c>
      <c r="S303" s="41">
        <f>VLOOKUP(B303,'Player Data'!$A1:$AE734,7,FALSE)*$Q303*IFERROR((VLOOKUP(P303,Settings!$E$28:$F$33,2,FALSE)+1),1)</f>
        <v>15.964633318182536</v>
      </c>
      <c r="T303" s="41">
        <f>VLOOKUP(B303,'Player Data'!$A1:$AE734,8,FALSE)*$Q303*IFERROR((VLOOKUP(P303,Settings!$E$28:$F$33,2,FALSE)+1),1)</f>
        <v>28.853453510746952</v>
      </c>
      <c r="U303" s="41">
        <f>SUM(S303:T303)</f>
        <v>44.818086828929488</v>
      </c>
      <c r="V303" s="41">
        <f>VLOOKUP(B303,'Player Data'!$A1:$AE734,10,FALSE)*$Q303*IFERROR(((VLOOKUP(P303,Settings!$E$28:$F$33,2,FALSE)/2)+1),1)</f>
        <v>154.3105446220674</v>
      </c>
      <c r="W303" s="41">
        <f>VLOOKUP(B303,'Player Data'!$A1:$AE734,11,FALSE)*$Q303*IFERROR((VLOOKUP(P303,Settings!$E$28:$F$33,2,FALSE)+1),1)</f>
        <v>1.8687913269185252</v>
      </c>
      <c r="X303" s="41">
        <f>VLOOKUP(B303,'Player Data'!$A1:$AE734,12,FALSE)*$Q303*IFERROR((VLOOKUP(P303,Settings!$E$28:$F$33,2,FALSE)+1),1)</f>
        <v>5.7654628353619417</v>
      </c>
      <c r="Y303" s="41">
        <f>VLOOKUP(B303,'Player Data'!$A1:$AE734,13,FALSE)*$Q303</f>
        <v>0.59196343609024449</v>
      </c>
      <c r="Z303" s="41">
        <f>VLOOKUP(B303,'Player Data'!$A1:$AE734,14,FALSE)*$Q303</f>
        <v>2.2936513292827407</v>
      </c>
      <c r="AA303" s="41">
        <f>VLOOKUP(B303,'Player Data'!$A1:$AE734,15,FALSE)*$Q303</f>
        <v>56.868376255687309</v>
      </c>
      <c r="AB303" s="41">
        <f>VLOOKUP(B303,'Player Data'!$A1:$AE734,16,FALSE)*$Q303</f>
        <v>78.454331325484759</v>
      </c>
      <c r="AC303" s="41">
        <f>VLOOKUP(B303,'Player Data'!$A1:$AE734,17,FALSE)*$Q303*IFERROR((VLOOKUP(P303,Settings!$E$28:$F$33,2,FALSE)+1),1)</f>
        <v>2.8977692515611215</v>
      </c>
      <c r="AD303" s="41">
        <f>VLOOKUP(B303,'Player Data'!$A1:$AE734,18,FALSE)*$Q303</f>
        <v>31.472849400979264</v>
      </c>
      <c r="AE303" s="41">
        <f>VLOOKUP(B303,'Player Data'!$A1:$AE734,19,FALSE)*$Q303*IFERROR((VLOOKUP(P303,Settings!$E$28:$F$33,2,FALSE)+1),1)</f>
        <v>2.6801477600307826</v>
      </c>
      <c r="AF303" s="41">
        <f>VLOOKUP(B303,'Player Data'!$A1:$AE734,20,FALSE)*$Q303</f>
        <v>559.59846461553195</v>
      </c>
      <c r="AG303" s="41">
        <f>VLOOKUP(B303,'Player Data'!$A1:$AE734,21,FALSE)*$Q303</f>
        <v>547.35820798961811</v>
      </c>
      <c r="AH303" s="42">
        <f>VLOOKUP(B303,'Player Data'!$A1:$AE734,22,FALSE)</f>
        <v>0.50552878758890696</v>
      </c>
      <c r="AI303" s="39"/>
      <c r="AJ303" s="43"/>
      <c r="AK303" s="41"/>
      <c r="AL303" s="41"/>
      <c r="AM303" s="41"/>
      <c r="AN303" s="41"/>
      <c r="AO303" s="41"/>
      <c r="AP303" s="41"/>
      <c r="AQ303" s="44"/>
      <c r="AR303" s="45"/>
      <c r="AS303" s="39"/>
    </row>
    <row r="304" spans="1:45" ht="21.25" customHeight="1" x14ac:dyDescent="0.15">
      <c r="A304" s="31">
        <f>RANK(K304,K$2:K$727)</f>
        <v>303</v>
      </c>
      <c r="B304" s="8" t="s">
        <v>408</v>
      </c>
      <c r="C304" s="32" t="s">
        <v>106</v>
      </c>
      <c r="D304" s="33" t="str">
        <f>VLOOKUP(B304,'Player Data'!A1:D734,4,FALSE)</f>
        <v>RW</v>
      </c>
      <c r="E304" s="46">
        <f>VLOOKUP(B304,RW!A1:F97,3,FALSE)</f>
        <v>46</v>
      </c>
      <c r="F304" s="35" t="str">
        <f>VLOOKUP(B304,'Player Data'!A1:B734,2,FALSE)</f>
        <v>NYR</v>
      </c>
      <c r="G304" s="9">
        <f>VLOOKUP(B304,'Player Data'!A1:D734,3,FALSE)</f>
        <v>22</v>
      </c>
      <c r="H304" s="36">
        <f>IFERROR(VLOOKUP(B304,ADP!A1:G728,7,FALSE)/1000000,VLOOKUP(B304,ADP!A1:G728,7,FALSE))</f>
        <v>2.1</v>
      </c>
      <c r="I304" s="37">
        <f>IF(Settings!$E$15="POINTS",((R304*Q304)*Settings!$B$12)+(S304*Settings!$B$2)+(T304*Settings!$B$3)+(U304*Settings!$B$4)+(V304*Settings!$B$5)+(X304*Settings!$B$9)+(AA304*Settings!$B$6)+(W304*Settings!$B$8)+(AB304*Settings!$B$7)+(AC304*Settings!$B$14)+(AD304*Settings!$B$15)+(AE304*Settings!$B$16)+(AF304*Settings!$B$17)+(AG304*Settings!$B$18)+(Y304*Settings!$B$10)+(Z304*Settings!$B$11),VLOOKUP(B304,'Standard Deviations'!A1:C728,3,FALSE))</f>
        <v>195.39912329851066</v>
      </c>
      <c r="J304" s="38">
        <f>IF(D304="G",I304/AJ304,I304/Q304)</f>
        <v>2.5882025329408345</v>
      </c>
      <c r="K304" s="37">
        <f>IF(Settings!$E$18="C/LW/RW",VLOOKUP(B304,RW!A1:F97,6,FALSE),VLOOKUP(B304,F!A1:F430,6,FALSE))</f>
        <v>-154.87241724937891</v>
      </c>
      <c r="L304" s="37">
        <f>IFERROR(K304/H304,"N/A")</f>
        <v>-73.748770118751864</v>
      </c>
      <c r="M304" s="39">
        <f>IF(Settings!$E$9="YAHOO",VLOOKUP(B304,ADP!A1:E728,2,FALSE),IF(Settings!$E$9="ESPN",VLOOKUP(B304,ADP!A1:E728,3,FALSE),IF(Settings!$E$9="FANTRAX",VLOOKUP(B304,ADP!A1:E728,4,FALSE),VLOOKUP(B304,ADP!A1:E728,5,FALSE))))</f>
        <v>176.8</v>
      </c>
      <c r="N304" s="39">
        <f>IFERROR(M304-A304,"N/A")</f>
        <v>-126.19999999999999</v>
      </c>
      <c r="O304" s="39"/>
      <c r="P304" s="40" t="str">
        <f>IF(Settings!$E$27="ON",VLOOKUP(B304,ADP!A1:H728,8,FALSE)," ")</f>
        <v>+</v>
      </c>
      <c r="Q304" s="41">
        <f>IF(Settings!$E$12="YES",VLOOKUP(B304,'Player Data'!A1:E734,5,FALSE),82)</f>
        <v>75.496071428571398</v>
      </c>
      <c r="R304" s="39">
        <f>VLOOKUP(B304,'Player Data'!$A1:$AE734,6,FALSE)</f>
        <v>15.4288605306783</v>
      </c>
      <c r="S304" s="41">
        <f>VLOOKUP(B304,'Player Data'!$A1:$AE734,7,FALSE)*$Q304*IFERROR((VLOOKUP(P304,Settings!$E$28:$F$33,2,FALSE)+1),1)</f>
        <v>17.70320124564012</v>
      </c>
      <c r="T304" s="41">
        <f>VLOOKUP(B304,'Player Data'!$A1:$AE734,8,FALSE)*$Q304*IFERROR((VLOOKUP(P304,Settings!$E$28:$F$33,2,FALSE)+1),1)</f>
        <v>22.54957946659917</v>
      </c>
      <c r="U304" s="41">
        <f>SUM(S304:T304)</f>
        <v>40.252780712239286</v>
      </c>
      <c r="V304" s="41">
        <f>VLOOKUP(B304,'Player Data'!$A1:$AE734,10,FALSE)*$Q304*IFERROR(((VLOOKUP(P304,Settings!$E$28:$F$33,2,FALSE)/2)+1),1)</f>
        <v>123.88583978209945</v>
      </c>
      <c r="W304" s="41">
        <f>VLOOKUP(B304,'Player Data'!$A1:$AE734,11,FALSE)*$Q304*IFERROR((VLOOKUP(P304,Settings!$E$28:$F$33,2,FALSE)+1),1)</f>
        <v>1.0238005257044225</v>
      </c>
      <c r="X304" s="41">
        <f>VLOOKUP(B304,'Player Data'!$A1:$AE734,12,FALSE)*$Q304*IFERROR((VLOOKUP(P304,Settings!$E$28:$F$33,2,FALSE)+1),1)</f>
        <v>3.5035970855138219</v>
      </c>
      <c r="Y304" s="41">
        <f>VLOOKUP(B304,'Player Data'!$A1:$AE734,13,FALSE)*$Q304</f>
        <v>0.10395602160617975</v>
      </c>
      <c r="Z304" s="41">
        <f>VLOOKUP(B304,'Player Data'!$A1:$AE734,14,FALSE)*$Q304</f>
        <v>0.1895325218152322</v>
      </c>
      <c r="AA304" s="41">
        <f>VLOOKUP(B304,'Player Data'!$A1:$AE734,15,FALSE)*$Q304</f>
        <v>26.55801028042476</v>
      </c>
      <c r="AB304" s="41">
        <f>VLOOKUP(B304,'Player Data'!$A1:$AE734,16,FALSE)*$Q304</f>
        <v>29.27940185113032</v>
      </c>
      <c r="AC304" s="41">
        <f>VLOOKUP(B304,'Player Data'!$A1:$AE734,17,FALSE)*$Q304*IFERROR((VLOOKUP(P304,Settings!$E$28:$F$33,2,FALSE)+1),1)</f>
        <v>5.5918332560598412</v>
      </c>
      <c r="AD304" s="41">
        <f>VLOOKUP(B304,'Player Data'!$A1:$AE734,18,FALSE)*$Q304</f>
        <v>15.186243336522613</v>
      </c>
      <c r="AE304" s="41">
        <f>VLOOKUP(B304,'Player Data'!$A1:$AE734,19,FALSE)*$Q304*IFERROR((VLOOKUP(P304,Settings!$E$28:$F$33,2,FALSE)+1),1)</f>
        <v>3.0165924337687469</v>
      </c>
      <c r="AF304" s="41">
        <f>VLOOKUP(B304,'Player Data'!$A1:$AE734,20,FALSE)*$Q304</f>
        <v>1.3382522795861609</v>
      </c>
      <c r="AG304" s="41">
        <f>VLOOKUP(B304,'Player Data'!$A1:$AE734,21,FALSE)*$Q304</f>
        <v>3.8891478072069785</v>
      </c>
      <c r="AH304" s="42">
        <f>VLOOKUP(B304,'Player Data'!$A1:$AE734,22,FALSE)</f>
        <v>0.25600724210247799</v>
      </c>
      <c r="AI304" s="39"/>
      <c r="AJ304" s="43"/>
      <c r="AK304" s="41"/>
      <c r="AL304" s="41"/>
      <c r="AM304" s="41"/>
      <c r="AN304" s="41"/>
      <c r="AO304" s="41"/>
      <c r="AP304" s="41"/>
      <c r="AQ304" s="44"/>
      <c r="AR304" s="45"/>
      <c r="AS304" s="39"/>
    </row>
    <row r="305" spans="1:45" ht="21.25" customHeight="1" x14ac:dyDescent="0.15">
      <c r="A305" s="31">
        <f>RANK(K305,K$2:K$727)</f>
        <v>304</v>
      </c>
      <c r="B305" s="8" t="s">
        <v>409</v>
      </c>
      <c r="C305" s="32" t="s">
        <v>106</v>
      </c>
      <c r="D305" s="33" t="str">
        <f>VLOOKUP(B305,'Player Data'!A1:D734,4,FALSE)</f>
        <v>C</v>
      </c>
      <c r="E305" s="34">
        <f>VLOOKUP(B305,'C'!A1:C211,3,FALSE)</f>
        <v>79</v>
      </c>
      <c r="F305" s="35" t="str">
        <f>VLOOKUP(B305,'Player Data'!A1:B734,2,FALSE)</f>
        <v>STL</v>
      </c>
      <c r="G305" s="9">
        <f>VLOOKUP(B305,'Player Data'!A1:D734,3,FALSE)</f>
        <v>31</v>
      </c>
      <c r="H305" s="36">
        <f>IFERROR(VLOOKUP(B305,ADP!A1:G728,7,FALSE)/1000000,VLOOKUP(B305,ADP!A1:G728,7,FALSE))</f>
        <v>3.5714290000000002</v>
      </c>
      <c r="I305" s="37">
        <f>IF(Settings!$E$15="POINTS",((R305*Q305)*Settings!$B$12)+(S305*Settings!$B$2)+(T305*Settings!$B$3)+(U305*Settings!$B$4)+(V305*Settings!$B$5)+(X305*Settings!$B$9)+(AA305*Settings!$B$6)+(W305*Settings!$B$8)+(AB305*Settings!$B$7)+(AC305*Settings!$B$14)+(AD305*Settings!$B$15)+(AE305*Settings!$B$16)+(AF305*Settings!$B$17)+(AG305*Settings!$B$18)+(Y305*Settings!$B$10)+(Z305*Settings!$B$11),VLOOKUP(B305,'Standard Deviations'!A1:C728,3,FALSE))</f>
        <v>237.82741049660606</v>
      </c>
      <c r="J305" s="38">
        <f>IF(D305="G",I305/AJ305,I305/Q305)</f>
        <v>3.0742943445786719</v>
      </c>
      <c r="K305" s="37">
        <f>IF(Settings!$E$18="C/LW/RW",VLOOKUP(B305,'C'!A1:F211,6,FALSE),VLOOKUP(B305,F!A1:F430,6,FALSE))</f>
        <v>-155.50139526960359</v>
      </c>
      <c r="L305" s="37">
        <f>IFERROR(K305/H305,"N/A")</f>
        <v>-43.540385450642752</v>
      </c>
      <c r="M305" s="39">
        <f>IF(Settings!$E$9="YAHOO",VLOOKUP(B305,ADP!A1:E728,2,FALSE),IF(Settings!$E$9="ESPN",VLOOKUP(B305,ADP!A1:E728,3,FALSE),IF(Settings!$E$9="FANTRAX",VLOOKUP(B305,ADP!A1:E728,4,FALSE),VLOOKUP(B305,ADP!A1:E728,5,FALSE))))</f>
        <v>147.80000000000001</v>
      </c>
      <c r="N305" s="39">
        <f>IFERROR(M305-A305,"N/A")</f>
        <v>-156.19999999999999</v>
      </c>
      <c r="O305" s="39"/>
      <c r="P305" s="40" t="str">
        <f>IF(Settings!$E$27="ON",VLOOKUP(B305,ADP!A1:H728,8,FALSE)," ")</f>
        <v xml:space="preserve"> </v>
      </c>
      <c r="Q305" s="41">
        <f>IF(Settings!$E$12="YES",VLOOKUP(B305,'Player Data'!A1:E734,5,FALSE),82)</f>
        <v>77.36</v>
      </c>
      <c r="R305" s="39">
        <f>VLOOKUP(B305,'Player Data'!$A1:$AE734,6,FALSE)</f>
        <v>15.7061840258178</v>
      </c>
      <c r="S305" s="41">
        <f>VLOOKUP(B305,'Player Data'!$A1:$AE734,7,FALSE)*$Q305*IFERROR((VLOOKUP(P305,Settings!$E$28:$F$33,2,FALSE)+1),1)</f>
        <v>14.317935271558696</v>
      </c>
      <c r="T305" s="41">
        <f>VLOOKUP(B305,'Player Data'!$A1:$AE734,8,FALSE)*$Q305*IFERROR((VLOOKUP(P305,Settings!$E$28:$F$33,2,FALSE)+1),1)</f>
        <v>27.825118651348227</v>
      </c>
      <c r="U305" s="41">
        <f>SUM(S305:T305)</f>
        <v>42.143053922906923</v>
      </c>
      <c r="V305" s="41">
        <f>VLOOKUP(B305,'Player Data'!$A1:$AE734,10,FALSE)*$Q305*IFERROR(((VLOOKUP(P305,Settings!$E$28:$F$33,2,FALSE)/2)+1),1)</f>
        <v>174.73673436041707</v>
      </c>
      <c r="W305" s="41">
        <f>VLOOKUP(B305,'Player Data'!$A1:$AE734,11,FALSE)*$Q305*IFERROR((VLOOKUP(P305,Settings!$E$28:$F$33,2,FALSE)+1),1)</f>
        <v>3.5166727888572735</v>
      </c>
      <c r="X305" s="41">
        <f>VLOOKUP(B305,'Player Data'!$A1:$AE734,12,FALSE)*$Q305*IFERROR((VLOOKUP(P305,Settings!$E$28:$F$33,2,FALSE)+1),1)</f>
        <v>9.7989189713145208</v>
      </c>
      <c r="Y305" s="41">
        <f>VLOOKUP(B305,'Player Data'!$A1:$AE734,13,FALSE)*$Q305</f>
        <v>2.2842180672246061E-2</v>
      </c>
      <c r="Z305" s="41">
        <f>VLOOKUP(B305,'Player Data'!$A1:$AE734,14,FALSE)*$Q305</f>
        <v>0.10641070283251043</v>
      </c>
      <c r="AA305" s="41">
        <f>VLOOKUP(B305,'Player Data'!$A1:$AE734,15,FALSE)*$Q305</f>
        <v>21.096110996913442</v>
      </c>
      <c r="AB305" s="41">
        <f>VLOOKUP(B305,'Player Data'!$A1:$AE734,16,FALSE)*$Q305</f>
        <v>52.935697744333567</v>
      </c>
      <c r="AC305" s="41">
        <f>VLOOKUP(B305,'Player Data'!$A1:$AE734,17,FALSE)*$Q305*IFERROR((VLOOKUP(P305,Settings!$E$28:$F$33,2,FALSE)+1),1)</f>
        <v>-4.0166520796926424</v>
      </c>
      <c r="AD305" s="41">
        <f>VLOOKUP(B305,'Player Data'!$A1:$AE734,18,FALSE)*$Q305</f>
        <v>23.605227092418581</v>
      </c>
      <c r="AE305" s="41">
        <f>VLOOKUP(B305,'Player Data'!$A1:$AE734,19,FALSE)*$Q305*IFERROR((VLOOKUP(P305,Settings!$E$28:$F$33,2,FALSE)+1),1)</f>
        <v>1.6476039234875062</v>
      </c>
      <c r="AF305" s="41">
        <f>VLOOKUP(B305,'Player Data'!$A1:$AE734,20,FALSE)*$Q305</f>
        <v>289.1579373364188</v>
      </c>
      <c r="AG305" s="41">
        <f>VLOOKUP(B305,'Player Data'!$A1:$AE734,21,FALSE)*$Q305</f>
        <v>318.6067919126707</v>
      </c>
      <c r="AH305" s="42">
        <f>VLOOKUP(B305,'Player Data'!$A1:$AE734,22,FALSE)</f>
        <v>0.475772817046625</v>
      </c>
      <c r="AI305" s="39"/>
      <c r="AJ305" s="43"/>
      <c r="AK305" s="41"/>
      <c r="AL305" s="41"/>
      <c r="AM305" s="41"/>
      <c r="AN305" s="41"/>
      <c r="AO305" s="41"/>
      <c r="AP305" s="41"/>
      <c r="AQ305" s="44"/>
      <c r="AR305" s="45"/>
      <c r="AS305" s="39"/>
    </row>
    <row r="306" spans="1:45" ht="21.25" customHeight="1" x14ac:dyDescent="0.15">
      <c r="A306" s="31">
        <f>RANK(K306,K$2:K$727)</f>
        <v>305</v>
      </c>
      <c r="B306" s="8" t="s">
        <v>410</v>
      </c>
      <c r="C306" s="32" t="s">
        <v>106</v>
      </c>
      <c r="D306" s="33" t="str">
        <f>VLOOKUP(B306,'Player Data'!A1:D734,4,FALSE)</f>
        <v>G</v>
      </c>
      <c r="E306" s="50">
        <f>VLOOKUP(B306,G!A1:D75,3,FALSE)</f>
        <v>33</v>
      </c>
      <c r="F306" s="35" t="str">
        <f>VLOOKUP(B306,'Player Data'!A1:B734,2,FALSE)</f>
        <v>OTT</v>
      </c>
      <c r="G306" s="9">
        <f>VLOOKUP(B306,'Player Data'!A1:D734,3,FALSE)</f>
        <v>30</v>
      </c>
      <c r="H306" s="36">
        <f>IFERROR(VLOOKUP(B306,ADP!A1:G728,7,FALSE)/1000000,VLOOKUP(B306,ADP!A1:G728,7,FALSE))</f>
        <v>2.75</v>
      </c>
      <c r="I306" s="37">
        <f>IF(Settings!$E$15="POINTS",(AJ306*Settings!$B$29)+(AK306*Settings!$B$21)+(AL306*Settings!$B$22)+(AN306*Settings!$B$24)+(AO306*Settings!$B$25)+(AP306*Settings!$B$27)+(AM306*Settings!$B$23),VLOOKUP(B306,'Standard Deviations'!A1:C728,3,FALSE))</f>
        <v>243.14902065736396</v>
      </c>
      <c r="J306" s="38">
        <f>IF(D306="G",I306/AJ306,I306/Q306)</f>
        <v>7.1514417840401165</v>
      </c>
      <c r="K306" s="37">
        <f>VLOOKUP(B306,G!A1:F75,6,FALSE)</f>
        <v>-155.62664143195224</v>
      </c>
      <c r="L306" s="37">
        <f>IFERROR(K306/H306,"N/A")</f>
        <v>-56.591505975255359</v>
      </c>
      <c r="M306" s="53" t="str">
        <f>IF(Settings!$E$9="YAHOO",VLOOKUP(B306,ADP!A1:E728,2,FALSE),IF(Settings!$E$9="ESPN",VLOOKUP(B306,ADP!A1:E728,3,FALSE),IF(Settings!$E$9="FANTRAX",VLOOKUP(B306,ADP!A1:E728,4,FALSE),VLOOKUP(B306,ADP!A1:E728,5,FALSE))))</f>
        <v>-</v>
      </c>
      <c r="N306" s="53" t="str">
        <f>IFERROR(M306-A306,"N/A")</f>
        <v>N/A</v>
      </c>
      <c r="O306" s="39"/>
      <c r="P306" s="40" t="str">
        <f>IF(Settings!$E$27="ON",VLOOKUP(B306,ADP!A1:H728,8,FALSE)," ")</f>
        <v xml:space="preserve"> </v>
      </c>
      <c r="Q306" s="41"/>
      <c r="R306" s="5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2"/>
      <c r="AI306" s="39"/>
      <c r="AJ306" s="43">
        <f>VLOOKUP(B306,'Player Data'!$A1:$AE734,24,FALSE)</f>
        <v>34</v>
      </c>
      <c r="AK306" s="41">
        <f>VLOOKUP(B306,'Player Data'!$A1:$AE734,25,FALSE)*$AJ306*IFERROR((VLOOKUP(P306,Settings!$E$28:$F$33,2,FALSE)+1),1)</f>
        <v>18.110061310343724</v>
      </c>
      <c r="AL306" s="41">
        <f>AJ306-AK306-AM306</f>
        <v>11.639938689656276</v>
      </c>
      <c r="AM306" s="41">
        <f>VLOOKUP(B306,'Player Data'!$A1:$AE734,27,FALSE)*$AJ306</f>
        <v>4.25</v>
      </c>
      <c r="AN306" s="41">
        <f>VLOOKUP(B306,'Player Data'!$A1:$AE734,28,FALSE)*AJ306</f>
        <v>1.8598168303231188</v>
      </c>
      <c r="AO306" s="41">
        <f>VLOOKUP(B306,'Player Data'!$A1:$AE734,29,FALSE)*$AJ306*IFERROR((VLOOKUP(P306,Settings!$E$28:$F$33,2,FALSE)/4)+1,1)</f>
        <v>947.21802678662561</v>
      </c>
      <c r="AP306" s="41">
        <f>VLOOKUP(B306,'Player Data'!$A1:$AE734,31,FALSE)*$AJ306*(IFERROR(1-(VLOOKUP(P306,Settings!$E$28:$F$33,2,FALSE)/4),1))</f>
        <v>96.169936775875414</v>
      </c>
      <c r="AQ306" s="44">
        <f>1-(AP306/(AO306+AP306))</f>
        <v>0.90782916792760693</v>
      </c>
      <c r="AR306" s="45">
        <f>AP306/AJ306</f>
        <v>2.82852755223163</v>
      </c>
      <c r="AS306" s="39"/>
    </row>
    <row r="307" spans="1:45" ht="21.25" customHeight="1" x14ac:dyDescent="0.15">
      <c r="A307" s="31">
        <f>RANK(K307,K$2:K$727)</f>
        <v>306</v>
      </c>
      <c r="B307" s="8" t="s">
        <v>411</v>
      </c>
      <c r="C307" s="32" t="s">
        <v>106</v>
      </c>
      <c r="D307" s="33" t="str">
        <f>VLOOKUP(B307,'Player Data'!A1:D734,4,FALSE)</f>
        <v>LW</v>
      </c>
      <c r="E307" s="47">
        <f>VLOOKUP(B307,LW!A1:C130,3,FALSE)</f>
        <v>60</v>
      </c>
      <c r="F307" s="35" t="str">
        <f>VLOOKUP(B307,'Player Data'!A1:B734,2,FALSE)</f>
        <v>ANA</v>
      </c>
      <c r="G307" s="9">
        <f>VLOOKUP(B307,'Player Data'!A1:D734,3,FALSE)</f>
        <v>30</v>
      </c>
      <c r="H307" s="36">
        <f>IFERROR(VLOOKUP(B307,ADP!A1:G728,7,FALSE)/1000000,VLOOKUP(B307,ADP!A1:G728,7,FALSE))</f>
        <v>5</v>
      </c>
      <c r="I307" s="37">
        <f>IF(Settings!$E$15="POINTS",((R307*Q307)*Settings!$B$12)+(S307*Settings!$B$2)+(T307*Settings!$B$3)+(U307*Settings!$B$4)+(V307*Settings!$B$5)+(X307*Settings!$B$9)+(AA307*Settings!$B$6)+(W307*Settings!$B$8)+(AB307*Settings!$B$7)+(AC307*Settings!$B$14)+(AD307*Settings!$B$15)+(AE307*Settings!$B$16)+(AF307*Settings!$B$17)+(AG307*Settings!$B$18)+(Y307*Settings!$B$10)+(Z307*Settings!$B$11),VLOOKUP(B307,'Standard Deviations'!A1:C728,3,FALSE))</f>
        <v>207.82392255357354</v>
      </c>
      <c r="J307" s="38">
        <f>IF(D307="G",I307/AJ307,I307/Q307)</f>
        <v>2.567946652089133</v>
      </c>
      <c r="K307" s="37">
        <f>IF(Settings!$E$18="C/LW/RW",VLOOKUP(B307,LW!A1:F130,6,FALSE),VLOOKUP(B307,F!A1:F430,6,FALSE))</f>
        <v>-156.21668230407693</v>
      </c>
      <c r="L307" s="37">
        <f>IFERROR(K307/H307,"N/A")</f>
        <v>-31.243336460815385</v>
      </c>
      <c r="M307" s="53" t="str">
        <f>IF(Settings!$E$9="YAHOO",VLOOKUP(B307,ADP!A1:E728,2,FALSE),IF(Settings!$E$9="ESPN",VLOOKUP(B307,ADP!A1:E728,3,FALSE),IF(Settings!$E$9="FANTRAX",VLOOKUP(B307,ADP!A1:E728,4,FALSE),VLOOKUP(B307,ADP!A1:E728,5,FALSE))))</f>
        <v>-</v>
      </c>
      <c r="N307" s="53" t="str">
        <f>IFERROR(M307-A307,"N/A")</f>
        <v>N/A</v>
      </c>
      <c r="O307" s="39"/>
      <c r="P307" s="40" t="str">
        <f>IF(Settings!$E$27="ON",VLOOKUP(B307,ADP!A1:H728,8,FALSE)," ")</f>
        <v xml:space="preserve"> </v>
      </c>
      <c r="Q307" s="41">
        <f>IF(Settings!$E$12="YES",VLOOKUP(B307,'Player Data'!A1:E734,5,FALSE),82)</f>
        <v>80.930000000000007</v>
      </c>
      <c r="R307" s="39">
        <f>VLOOKUP(B307,'Player Data'!$A1:$AE734,6,FALSE)</f>
        <v>15.152437596701301</v>
      </c>
      <c r="S307" s="41">
        <f>VLOOKUP(B307,'Player Data'!$A1:$AE734,7,FALSE)*$Q307*IFERROR((VLOOKUP(P307,Settings!$E$28:$F$33,2,FALSE)+1),1)</f>
        <v>14.798781983978817</v>
      </c>
      <c r="T307" s="41">
        <f>VLOOKUP(B307,'Player Data'!$A1:$AE734,8,FALSE)*$Q307*IFERROR((VLOOKUP(P307,Settings!$E$28:$F$33,2,FALSE)+1),1)</f>
        <v>26.538482735130174</v>
      </c>
      <c r="U307" s="41">
        <f>SUM(S307:T307)</f>
        <v>41.337264719108987</v>
      </c>
      <c r="V307" s="41">
        <f>VLOOKUP(B307,'Player Data'!$A1:$AE734,10,FALSE)*$Q307*IFERROR(((VLOOKUP(P307,Settings!$E$28:$F$33,2,FALSE)/2)+1),1)</f>
        <v>128.12796723216346</v>
      </c>
      <c r="W307" s="41">
        <f>VLOOKUP(B307,'Player Data'!$A1:$AE734,11,FALSE)*$Q307*IFERROR((VLOOKUP(P307,Settings!$E$28:$F$33,2,FALSE)+1),1)</f>
        <v>2.2575805134681328</v>
      </c>
      <c r="X307" s="41">
        <f>VLOOKUP(B307,'Player Data'!$A1:$AE734,12,FALSE)*$Q307*IFERROR((VLOOKUP(P307,Settings!$E$28:$F$33,2,FALSE)+1),1)</f>
        <v>7.4014853343488811</v>
      </c>
      <c r="Y307" s="41">
        <f>VLOOKUP(B307,'Player Data'!$A1:$AE734,13,FALSE)*$Q307</f>
        <v>0.1245658629647584</v>
      </c>
      <c r="Z307" s="41">
        <f>VLOOKUP(B307,'Player Data'!$A1:$AE734,14,FALSE)*$Q307</f>
        <v>0.26933598088681115</v>
      </c>
      <c r="AA307" s="41">
        <f>VLOOKUP(B307,'Player Data'!$A1:$AE734,15,FALSE)*$Q307</f>
        <v>22.03251074846731</v>
      </c>
      <c r="AB307" s="41">
        <f>VLOOKUP(B307,'Player Data'!$A1:$AE734,16,FALSE)*$Q307</f>
        <v>35.874318273028024</v>
      </c>
      <c r="AC307" s="41">
        <f>VLOOKUP(B307,'Player Data'!$A1:$AE734,17,FALSE)*$Q307*IFERROR((VLOOKUP(P307,Settings!$E$28:$F$33,2,FALSE)+1),1)</f>
        <v>-9.4136079282134606</v>
      </c>
      <c r="AD307" s="41">
        <f>VLOOKUP(B307,'Player Data'!$A1:$AE734,18,FALSE)*$Q307</f>
        <v>49.549127126966411</v>
      </c>
      <c r="AE307" s="41">
        <f>VLOOKUP(B307,'Player Data'!$A1:$AE734,19,FALSE)*$Q307*IFERROR((VLOOKUP(P307,Settings!$E$28:$F$33,2,FALSE)+1),1)</f>
        <v>1.6043275820682328</v>
      </c>
      <c r="AF307" s="41">
        <f>VLOOKUP(B307,'Player Data'!$A1:$AE734,20,FALSE)*$Q307</f>
        <v>353.65477717902411</v>
      </c>
      <c r="AG307" s="41">
        <f>VLOOKUP(B307,'Player Data'!$A1:$AE734,21,FALSE)*$Q307</f>
        <v>452.14783108966702</v>
      </c>
      <c r="AH307" s="42">
        <f>VLOOKUP(B307,'Player Data'!$A1:$AE734,22,FALSE)</f>
        <v>0.43888512341610503</v>
      </c>
      <c r="AI307" s="39"/>
      <c r="AJ307" s="43"/>
      <c r="AK307" s="41"/>
      <c r="AL307" s="41"/>
      <c r="AM307" s="41"/>
      <c r="AN307" s="41"/>
      <c r="AO307" s="41"/>
      <c r="AP307" s="41"/>
      <c r="AQ307" s="44"/>
      <c r="AR307" s="45"/>
      <c r="AS307" s="39"/>
    </row>
    <row r="308" spans="1:45" ht="21.25" customHeight="1" x14ac:dyDescent="0.15">
      <c r="A308" s="31">
        <f>RANK(K308,K$2:K$727)</f>
        <v>307</v>
      </c>
      <c r="B308" s="8" t="s">
        <v>412</v>
      </c>
      <c r="C308" s="32" t="s">
        <v>106</v>
      </c>
      <c r="D308" s="33" t="str">
        <f>VLOOKUP(B308,'Player Data'!A1:D734,4,FALSE)</f>
        <v>C</v>
      </c>
      <c r="E308" s="34">
        <f>VLOOKUP(B308,'C'!A1:C211,3,FALSE)</f>
        <v>80</v>
      </c>
      <c r="F308" s="35" t="str">
        <f>VLOOKUP(B308,'Player Data'!A1:B734,2,FALSE)</f>
        <v>WPG</v>
      </c>
      <c r="G308" s="9">
        <f>VLOOKUP(B308,'Player Data'!A1:D734,3,FALSE)</f>
        <v>24</v>
      </c>
      <c r="H308" s="36">
        <f>IFERROR(VLOOKUP(B308,ADP!A1:G728,7,FALSE)/1000000,VLOOKUP(B308,ADP!A1:G728,7,FALSE))</f>
        <v>3.4375</v>
      </c>
      <c r="I308" s="37">
        <f>IF(Settings!$E$15="POINTS",((R308*Q308)*Settings!$B$12)+(S308*Settings!$B$2)+(T308*Settings!$B$3)+(U308*Settings!$B$4)+(V308*Settings!$B$5)+(X308*Settings!$B$9)+(AA308*Settings!$B$6)+(W308*Settings!$B$8)+(AB308*Settings!$B$7)+(AC308*Settings!$B$14)+(AD308*Settings!$B$15)+(AE308*Settings!$B$16)+(AF308*Settings!$B$17)+(AG308*Settings!$B$18)+(Y308*Settings!$B$10)+(Z308*Settings!$B$11),VLOOKUP(B308,'Standard Deviations'!A1:C728,3,FALSE))</f>
        <v>236.79843533421618</v>
      </c>
      <c r="J308" s="38">
        <f>IF(D308="G",I308/AJ308,I308/Q308)</f>
        <v>3.3575503804806908</v>
      </c>
      <c r="K308" s="37">
        <f>IF(Settings!$E$18="C/LW/RW",VLOOKUP(B308,'C'!A1:F211,6,FALSE),VLOOKUP(B308,F!A1:F430,6,FALSE))</f>
        <v>-156.53037043199348</v>
      </c>
      <c r="L308" s="37">
        <f>IFERROR(K308/H308,"N/A")</f>
        <v>-45.536107762034469</v>
      </c>
      <c r="M308" s="53" t="str">
        <f>IF(Settings!$E$9="YAHOO",VLOOKUP(B308,ADP!A1:E728,2,FALSE),IF(Settings!$E$9="ESPN",VLOOKUP(B308,ADP!A1:E728,3,FALSE),IF(Settings!$E$9="FANTRAX",VLOOKUP(B308,ADP!A1:E728,4,FALSE),VLOOKUP(B308,ADP!A1:E728,5,FALSE))))</f>
        <v>-</v>
      </c>
      <c r="N308" s="53" t="str">
        <f>IFERROR(M308-A308,"N/A")</f>
        <v>N/A</v>
      </c>
      <c r="O308" s="39"/>
      <c r="P308" s="40" t="str">
        <f>IF(Settings!$E$27="ON",VLOOKUP(B308,ADP!A1:H728,8,FALSE)," ")</f>
        <v xml:space="preserve"> </v>
      </c>
      <c r="Q308" s="41">
        <f>IF(Settings!$E$12="YES",VLOOKUP(B308,'Player Data'!A1:E734,5,FALSE),82)</f>
        <v>70.527142857142906</v>
      </c>
      <c r="R308" s="39">
        <f>VLOOKUP(B308,'Player Data'!$A1:$AE734,6,FALSE)</f>
        <v>16.4654352775596</v>
      </c>
      <c r="S308" s="41">
        <f>VLOOKUP(B308,'Player Data'!$A1:$AE734,7,FALSE)*$Q308*IFERROR((VLOOKUP(P308,Settings!$E$28:$F$33,2,FALSE)+1),1)</f>
        <v>23.683742216395189</v>
      </c>
      <c r="T308" s="41">
        <f>VLOOKUP(B308,'Player Data'!$A1:$AE734,8,FALSE)*$Q308*IFERROR((VLOOKUP(P308,Settings!$E$28:$F$33,2,FALSE)+1),1)</f>
        <v>21.884076277691406</v>
      </c>
      <c r="U308" s="41">
        <f>SUM(S308:T308)</f>
        <v>45.567818494086595</v>
      </c>
      <c r="V308" s="41">
        <f>VLOOKUP(B308,'Player Data'!$A1:$AE734,10,FALSE)*$Q308*IFERROR(((VLOOKUP(P308,Settings!$E$28:$F$33,2,FALSE)/2)+1),1)</f>
        <v>139.87181319179683</v>
      </c>
      <c r="W308" s="41">
        <f>VLOOKUP(B308,'Player Data'!$A1:$AE734,11,FALSE)*$Q308*IFERROR((VLOOKUP(P308,Settings!$E$28:$F$33,2,FALSE)+1),1)</f>
        <v>6.2641026745495765</v>
      </c>
      <c r="X308" s="41">
        <f>VLOOKUP(B308,'Player Data'!$A1:$AE734,12,FALSE)*$Q308*IFERROR((VLOOKUP(P308,Settings!$E$28:$F$33,2,FALSE)+1),1)</f>
        <v>11.446560260400902</v>
      </c>
      <c r="Y308" s="41">
        <f>VLOOKUP(B308,'Player Data'!$A1:$AE734,13,FALSE)*$Q308</f>
        <v>1.1781437896653844E-2</v>
      </c>
      <c r="Z308" s="41">
        <f>VLOOKUP(B308,'Player Data'!$A1:$AE734,14,FALSE)*$Q308</f>
        <v>2.1590642450901466E-2</v>
      </c>
      <c r="AA308" s="41">
        <f>VLOOKUP(B308,'Player Data'!$A1:$AE734,15,FALSE)*$Q308</f>
        <v>36.113857251771925</v>
      </c>
      <c r="AB308" s="41">
        <f>VLOOKUP(B308,'Player Data'!$A1:$AE734,16,FALSE)*$Q308</f>
        <v>48.079729870204815</v>
      </c>
      <c r="AC308" s="41">
        <f>VLOOKUP(B308,'Player Data'!$A1:$AE734,17,FALSE)*$Q308*IFERROR((VLOOKUP(P308,Settings!$E$28:$F$33,2,FALSE)+1),1)</f>
        <v>2.3890906946536852</v>
      </c>
      <c r="AD308" s="41">
        <f>VLOOKUP(B308,'Player Data'!$A1:$AE734,18,FALSE)*$Q308</f>
        <v>21.347989699467274</v>
      </c>
      <c r="AE308" s="41">
        <f>VLOOKUP(B308,'Player Data'!$A1:$AE734,19,FALSE)*$Q308*IFERROR((VLOOKUP(P308,Settings!$E$28:$F$33,2,FALSE)+1),1)</f>
        <v>3.6947430595537409</v>
      </c>
      <c r="AF308" s="41">
        <f>VLOOKUP(B308,'Player Data'!$A1:$AE734,20,FALSE)*$Q308</f>
        <v>119.94263021597746</v>
      </c>
      <c r="AG308" s="41">
        <f>VLOOKUP(B308,'Player Data'!$A1:$AE734,21,FALSE)*$Q308</f>
        <v>138.25983025540017</v>
      </c>
      <c r="AH308" s="42">
        <f>VLOOKUP(B308,'Player Data'!$A1:$AE734,22,FALSE)</f>
        <v>0.46452938518482201</v>
      </c>
      <c r="AI308" s="39"/>
      <c r="AJ308" s="43"/>
      <c r="AK308" s="41"/>
      <c r="AL308" s="41"/>
      <c r="AM308" s="41"/>
      <c r="AN308" s="41"/>
      <c r="AO308" s="41"/>
      <c r="AP308" s="41"/>
      <c r="AQ308" s="44"/>
      <c r="AR308" s="45"/>
      <c r="AS308" s="39"/>
    </row>
    <row r="309" spans="1:45" ht="21.25" customHeight="1" x14ac:dyDescent="0.15">
      <c r="A309" s="31">
        <f>RANK(K309,K$2:K$727)</f>
        <v>308</v>
      </c>
      <c r="B309" s="8" t="s">
        <v>413</v>
      </c>
      <c r="C309" s="32" t="s">
        <v>106</v>
      </c>
      <c r="D309" s="33" t="str">
        <f>VLOOKUP(B309,'Player Data'!A1:D734,4,FALSE)</f>
        <v>D</v>
      </c>
      <c r="E309" s="49">
        <f>VLOOKUP(B309,D!A1:C227,3,FALSE)</f>
        <v>91</v>
      </c>
      <c r="F309" s="35" t="str">
        <f>VLOOKUP(B309,'Player Data'!A1:B734,2,FALSE)</f>
        <v>ANA</v>
      </c>
      <c r="G309" s="9">
        <f>VLOOKUP(B309,'Player Data'!A1:D734,3,FALSE)</f>
        <v>33</v>
      </c>
      <c r="H309" s="36">
        <f>IFERROR(VLOOKUP(B309,ADP!A1:G728,7,FALSE)/1000000,VLOOKUP(B309,ADP!A1:G728,7,FALSE))</f>
        <v>4</v>
      </c>
      <c r="I309" s="37">
        <f>IF(Settings!$E$15="POINTS",((R309*Q309)*Settings!$B$12)+(S309*Settings!$B$2)+(T309*Settings!$B$3)+(U309*Settings!$B$4)+(V309*Settings!$B$5)+(X309*Settings!$B$9)+(AA309*Settings!$B$6)+(W309*Settings!$B$8)+(AB309*Settings!$B$7)+(AC309*Settings!$B$14)+(AD309*Settings!$B$15)+(AE309*Settings!$B$16)+(AF309*Settings!$B$17)+(AG309*Settings!$B$18)+(U309*Settings!$B$13)+(Y309*Settings!$B$10)+(Z309*Settings!$B$11),VLOOKUP(B309,'Standard Deviations'!A1:C728,3,FALSE))</f>
        <v>154.73815201560046</v>
      </c>
      <c r="J309" s="38">
        <f>IF(D309="G",I309/AJ309,I309/Q309)</f>
        <v>1.9519249338586968</v>
      </c>
      <c r="K309" s="37">
        <f>VLOOKUP(B309,D!A1:F227,6,FALSE)</f>
        <v>-156.82732961232699</v>
      </c>
      <c r="L309" s="37">
        <f>IFERROR(K309/H309,"N/A")</f>
        <v>-39.206832403081748</v>
      </c>
      <c r="M309" s="39">
        <f>IF(Settings!$E$9="YAHOO",VLOOKUP(B309,ADP!A1:E728,2,FALSE),IF(Settings!$E$9="ESPN",VLOOKUP(B309,ADP!A1:E728,3,FALSE),IF(Settings!$E$9="FANTRAX",VLOOKUP(B309,ADP!A1:E728,4,FALSE),VLOOKUP(B309,ADP!A1:E728,5,FALSE))))</f>
        <v>151.5</v>
      </c>
      <c r="N309" s="39">
        <f>IFERROR(M309-A309,"N/A")</f>
        <v>-156.5</v>
      </c>
      <c r="O309" s="39"/>
      <c r="P309" s="40" t="str">
        <f>IF(Settings!$E$27="ON",VLOOKUP(B309,ADP!A1:H728,8,FALSE)," ")</f>
        <v xml:space="preserve"> </v>
      </c>
      <c r="Q309" s="41">
        <f>IF(Settings!$E$12="YES",VLOOKUP(B309,'Player Data'!A1:E734,5,FALSE),82)</f>
        <v>79.274642857142894</v>
      </c>
      <c r="R309" s="39">
        <f>VLOOKUP(B309,'Player Data'!$A1:$AE734,6,FALSE)</f>
        <v>20.005505301360301</v>
      </c>
      <c r="S309" s="41">
        <f>VLOOKUP(B309,'Player Data'!$A1:$AE734,7,FALSE)*$Q309*IFERROR((VLOOKUP(P309,Settings!$E$28:$F$33,2,FALSE)+1),1)</f>
        <v>2.9768305993231561</v>
      </c>
      <c r="T309" s="41">
        <f>VLOOKUP(B309,'Player Data'!$A1:$AE734,8,FALSE)*$Q309*IFERROR((VLOOKUP(P309,Settings!$E$28:$F$33,2,FALSE)+1),1)</f>
        <v>16.506387730619686</v>
      </c>
      <c r="U309" s="41">
        <f>SUM(S309:T309)</f>
        <v>19.483218329942844</v>
      </c>
      <c r="V309" s="41">
        <f>VLOOKUP(B309,'Player Data'!$A1:$AE734,10,FALSE)*$Q309*IFERROR(((VLOOKUP(P309,Settings!$E$28:$F$33,2,FALSE)/2)+1),1)</f>
        <v>131.25863995920409</v>
      </c>
      <c r="W309" s="41">
        <f>VLOOKUP(B309,'Player Data'!$A1:$AE734,11,FALSE)*$Q309*IFERROR((VLOOKUP(P309,Settings!$E$28:$F$33,2,FALSE)+1),1)</f>
        <v>5.1052935456849392E-2</v>
      </c>
      <c r="X309" s="41">
        <f>VLOOKUP(B309,'Player Data'!$A1:$AE734,12,FALSE)*$Q309*IFERROR((VLOOKUP(P309,Settings!$E$28:$F$33,2,FALSE)+1),1)</f>
        <v>0.3806078522538931</v>
      </c>
      <c r="Y309" s="41">
        <f>VLOOKUP(B309,'Player Data'!$A1:$AE734,13,FALSE)*$Q309</f>
        <v>0.25250554365053735</v>
      </c>
      <c r="Z309" s="41">
        <f>VLOOKUP(B309,'Player Data'!$A1:$AE734,14,FALSE)*$Q309</f>
        <v>0.3772787316641521</v>
      </c>
      <c r="AA309" s="41">
        <f>VLOOKUP(B309,'Player Data'!$A1:$AE734,15,FALSE)*$Q309</f>
        <v>145.71701939166906</v>
      </c>
      <c r="AB309" s="41">
        <f>VLOOKUP(B309,'Player Data'!$A1:$AE734,16,FALSE)*$Q309</f>
        <v>335.38642588180522</v>
      </c>
      <c r="AC309" s="41">
        <f>VLOOKUP(B309,'Player Data'!$A1:$AE734,17,FALSE)*$Q309*IFERROR((VLOOKUP(P309,Settings!$E$28:$F$33,2,FALSE)+1),1)</f>
        <v>-4.3701590334584504</v>
      </c>
      <c r="AD309" s="41">
        <f>VLOOKUP(B309,'Player Data'!$A1:$AE734,18,FALSE)*$Q309</f>
        <v>87.259408683997322</v>
      </c>
      <c r="AE309" s="41">
        <f>VLOOKUP(B309,'Player Data'!$A1:$AE734,19,FALSE)*$Q309*IFERROR((VLOOKUP(P309,Settings!$E$28:$F$33,2,FALSE)+1),1)</f>
        <v>0.32271652104944476</v>
      </c>
      <c r="AF309" s="41">
        <f>VLOOKUP(B309,'Player Data'!$A1:$AE734,20,FALSE)*$Q309</f>
        <v>0</v>
      </c>
      <c r="AG309" s="41">
        <f>VLOOKUP(B309,'Player Data'!$A1:$AE734,21,FALSE)*$Q309</f>
        <v>0</v>
      </c>
      <c r="AH309" s="42">
        <f>VLOOKUP(B309,'Player Data'!$A1:$AE734,22,FALSE)</f>
        <v>0</v>
      </c>
      <c r="AI309" s="39"/>
      <c r="AJ309" s="43"/>
      <c r="AK309" s="41"/>
      <c r="AL309" s="41"/>
      <c r="AM309" s="41"/>
      <c r="AN309" s="41"/>
      <c r="AO309" s="41"/>
      <c r="AP309" s="41"/>
      <c r="AQ309" s="44"/>
      <c r="AR309" s="45"/>
      <c r="AS309" s="39"/>
    </row>
    <row r="310" spans="1:45" ht="21.25" customHeight="1" x14ac:dyDescent="0.15">
      <c r="A310" s="31">
        <f>RANK(K310,K$2:K$727)</f>
        <v>309</v>
      </c>
      <c r="B310" s="8" t="s">
        <v>414</v>
      </c>
      <c r="C310" s="32" t="s">
        <v>106</v>
      </c>
      <c r="D310" s="33" t="str">
        <f>VLOOKUP(B310,'Player Data'!A1:D734,4,FALSE)</f>
        <v>LW</v>
      </c>
      <c r="E310" s="47">
        <f>VLOOKUP(B310,LW!A1:C130,3,FALSE)</f>
        <v>61</v>
      </c>
      <c r="F310" s="35" t="str">
        <f>VLOOKUP(B310,'Player Data'!A1:B734,2,FALSE)</f>
        <v>NSH</v>
      </c>
      <c r="G310" s="9">
        <f>VLOOKUP(B310,'Player Data'!A1:D734,3,FALSE)</f>
        <v>33</v>
      </c>
      <c r="H310" s="36">
        <f>IFERROR(VLOOKUP(B310,ADP!A1:G728,7,FALSE)/1000000,VLOOKUP(B310,ADP!A1:G728,7,FALSE))</f>
        <v>3.1850000000000001</v>
      </c>
      <c r="I310" s="37">
        <f>IF(Settings!$E$15="POINTS",((R310*Q310)*Settings!$B$12)+(S310*Settings!$B$2)+(T310*Settings!$B$3)+(U310*Settings!$B$4)+(V310*Settings!$B$5)+(X310*Settings!$B$9)+(AA310*Settings!$B$6)+(W310*Settings!$B$8)+(AB310*Settings!$B$7)+(AC310*Settings!$B$14)+(AD310*Settings!$B$15)+(AE310*Settings!$B$16)+(AF310*Settings!$B$17)+(AG310*Settings!$B$18)+(Y310*Settings!$B$10)+(Z310*Settings!$B$11),VLOOKUP(B310,'Standard Deviations'!A1:C728,3,FALSE))</f>
        <v>207.01949141282424</v>
      </c>
      <c r="J310" s="38">
        <f>IF(D310="G",I310/AJ310,I310/Q310)</f>
        <v>2.7592481611785575</v>
      </c>
      <c r="K310" s="37">
        <f>IF(Settings!$E$18="C/LW/RW",VLOOKUP(B310,LW!A1:F130,6,FALSE),VLOOKUP(B310,F!A1:F430,6,FALSE))</f>
        <v>-157.02111344482623</v>
      </c>
      <c r="L310" s="37">
        <f>IFERROR(K310/H310,"N/A")</f>
        <v>-49.300192604341042</v>
      </c>
      <c r="M310" s="53" t="str">
        <f>IF(Settings!$E$9="YAHOO",VLOOKUP(B310,ADP!A1:E728,2,FALSE),IF(Settings!$E$9="ESPN",VLOOKUP(B310,ADP!A1:E728,3,FALSE),IF(Settings!$E$9="FANTRAX",VLOOKUP(B310,ADP!A1:E728,4,FALSE),VLOOKUP(B310,ADP!A1:E728,5,FALSE))))</f>
        <v>-</v>
      </c>
      <c r="N310" s="53" t="str">
        <f>IFERROR(M310-A310,"N/A")</f>
        <v>N/A</v>
      </c>
      <c r="O310" s="39"/>
      <c r="P310" s="40" t="str">
        <f>IF(Settings!$E$27="ON",VLOOKUP(B310,ADP!A1:H728,8,FALSE)," ")</f>
        <v xml:space="preserve"> </v>
      </c>
      <c r="Q310" s="41">
        <f>IF(Settings!$E$12="YES",VLOOKUP(B310,'Player Data'!A1:E734,5,FALSE),82)</f>
        <v>75.027500000000003</v>
      </c>
      <c r="R310" s="39">
        <f>VLOOKUP(B310,'Player Data'!$A1:$AE734,6,FALSE)</f>
        <v>16.642927150180199</v>
      </c>
      <c r="S310" s="41">
        <f>VLOOKUP(B310,'Player Data'!$A1:$AE734,7,FALSE)*$Q310*IFERROR((VLOOKUP(P310,Settings!$E$28:$F$33,2,FALSE)+1),1)</f>
        <v>14.118530241841091</v>
      </c>
      <c r="T310" s="41">
        <f>VLOOKUP(B310,'Player Data'!$A1:$AE734,8,FALSE)*$Q310*IFERROR((VLOOKUP(P310,Settings!$E$28:$F$33,2,FALSE)+1),1)</f>
        <v>25.216676944389622</v>
      </c>
      <c r="U310" s="41">
        <f>SUM(S310:T310)</f>
        <v>39.335207186230711</v>
      </c>
      <c r="V310" s="41">
        <f>VLOOKUP(B310,'Player Data'!$A1:$AE734,10,FALSE)*$Q310*IFERROR(((VLOOKUP(P310,Settings!$E$28:$F$33,2,FALSE)/2)+1),1)</f>
        <v>133.56589556371645</v>
      </c>
      <c r="W310" s="41">
        <f>VLOOKUP(B310,'Player Data'!$A1:$AE734,11,FALSE)*$Q310*IFERROR((VLOOKUP(P310,Settings!$E$28:$F$33,2,FALSE)+1),1)</f>
        <v>1.8456924940154553</v>
      </c>
      <c r="X310" s="41">
        <f>VLOOKUP(B310,'Player Data'!$A1:$AE734,12,FALSE)*$Q310*IFERROR((VLOOKUP(P310,Settings!$E$28:$F$33,2,FALSE)+1),1)</f>
        <v>5.2899803324331653</v>
      </c>
      <c r="Y310" s="41">
        <f>VLOOKUP(B310,'Player Data'!$A1:$AE734,13,FALSE)*$Q310</f>
        <v>1.5756397183050743</v>
      </c>
      <c r="Z310" s="41">
        <f>VLOOKUP(B310,'Player Data'!$A1:$AE734,14,FALSE)*$Q310</f>
        <v>1.7188359199113517</v>
      </c>
      <c r="AA310" s="41">
        <f>VLOOKUP(B310,'Player Data'!$A1:$AE734,15,FALSE)*$Q310</f>
        <v>41.066447837924187</v>
      </c>
      <c r="AB310" s="41">
        <f>VLOOKUP(B310,'Player Data'!$A1:$AE734,16,FALSE)*$Q310</f>
        <v>52.175400826492158</v>
      </c>
      <c r="AC310" s="41">
        <f>VLOOKUP(B310,'Player Data'!$A1:$AE734,17,FALSE)*$Q310*IFERROR((VLOOKUP(P310,Settings!$E$28:$F$33,2,FALSE)+1),1)</f>
        <v>-1.763383745241843</v>
      </c>
      <c r="AD310" s="41">
        <f>VLOOKUP(B310,'Player Data'!$A1:$AE734,18,FALSE)*$Q310</f>
        <v>24.275651467632958</v>
      </c>
      <c r="AE310" s="41">
        <f>VLOOKUP(B310,'Player Data'!$A1:$AE734,19,FALSE)*$Q310*IFERROR((VLOOKUP(P310,Settings!$E$28:$F$33,2,FALSE)+1),1)</f>
        <v>2.0616746724402724</v>
      </c>
      <c r="AF310" s="41">
        <f>VLOOKUP(B310,'Player Data'!$A1:$AE734,20,FALSE)*$Q310</f>
        <v>18.048188132247706</v>
      </c>
      <c r="AG310" s="41">
        <f>VLOOKUP(B310,'Player Data'!$A1:$AE734,21,FALSE)*$Q310</f>
        <v>21.683030646740839</v>
      </c>
      <c r="AH310" s="42">
        <f>VLOOKUP(B310,'Player Data'!$A1:$AE734,22,FALSE)</f>
        <v>0.45425709774078998</v>
      </c>
      <c r="AI310" s="39"/>
      <c r="AJ310" s="43"/>
      <c r="AK310" s="41"/>
      <c r="AL310" s="41"/>
      <c r="AM310" s="41"/>
      <c r="AN310" s="41"/>
      <c r="AO310" s="41"/>
      <c r="AP310" s="41"/>
      <c r="AQ310" s="44"/>
      <c r="AR310" s="45"/>
      <c r="AS310" s="39"/>
    </row>
    <row r="311" spans="1:45" ht="21.25" customHeight="1" x14ac:dyDescent="0.15">
      <c r="A311" s="31">
        <f>RANK(K311,K$2:K$727)</f>
        <v>310</v>
      </c>
      <c r="B311" s="8" t="s">
        <v>415</v>
      </c>
      <c r="C311" s="32" t="s">
        <v>106</v>
      </c>
      <c r="D311" s="33" t="str">
        <f>VLOOKUP(B311,'Player Data'!A1:D734,4,FALSE)</f>
        <v>RW</v>
      </c>
      <c r="E311" s="46">
        <f>VLOOKUP(B311,RW!A1:F97,3,FALSE)</f>
        <v>47</v>
      </c>
      <c r="F311" s="35" t="str">
        <f>VLOOKUP(B311,'Player Data'!A1:B734,2,FALSE)</f>
        <v>SEA</v>
      </c>
      <c r="G311" s="9">
        <f>VLOOKUP(B311,'Player Data'!A1:D734,3,FALSE)</f>
        <v>24</v>
      </c>
      <c r="H311" s="36">
        <f>IFERROR(VLOOKUP(B311,ADP!A1:G728,7,FALSE)/1000000,VLOOKUP(B311,ADP!A1:G728,7,FALSE))</f>
        <v>1.45</v>
      </c>
      <c r="I311" s="37">
        <f>IF(Settings!$E$15="POINTS",((R311*Q311)*Settings!$B$12)+(S311*Settings!$B$2)+(T311*Settings!$B$3)+(U311*Settings!$B$4)+(V311*Settings!$B$5)+(X311*Settings!$B$9)+(AA311*Settings!$B$6)+(W311*Settings!$B$8)+(AB311*Settings!$B$7)+(AC311*Settings!$B$14)+(AD311*Settings!$B$15)+(AE311*Settings!$B$16)+(AF311*Settings!$B$17)+(AG311*Settings!$B$18)+(Y311*Settings!$B$10)+(Z311*Settings!$B$11),VLOOKUP(B311,'Standard Deviations'!A1:C728,3,FALSE))</f>
        <v>192.8107458287582</v>
      </c>
      <c r="J311" s="38">
        <f>IF(D311="G",I311/AJ311,I311/Q311)</f>
        <v>2.6412430935446327</v>
      </c>
      <c r="K311" s="37">
        <f>IF(Settings!$E$18="C/LW/RW",VLOOKUP(B311,RW!A1:F97,6,FALSE),VLOOKUP(B311,F!A1:F430,6,FALSE))</f>
        <v>-157.46079471913137</v>
      </c>
      <c r="L311" s="37">
        <f>IFERROR(K311/H311,"N/A")</f>
        <v>-108.59365153043544</v>
      </c>
      <c r="M311" s="39">
        <f>IF(Settings!$E$9="YAHOO",VLOOKUP(B311,ADP!A1:E728,2,FALSE),IF(Settings!$E$9="ESPN",VLOOKUP(B311,ADP!A1:E728,3,FALSE),IF(Settings!$E$9="FANTRAX",VLOOKUP(B311,ADP!A1:E728,4,FALSE),VLOOKUP(B311,ADP!A1:E728,5,FALSE))))</f>
        <v>169.1</v>
      </c>
      <c r="N311" s="39">
        <f>IFERROR(M311-A311,"N/A")</f>
        <v>-140.9</v>
      </c>
      <c r="O311" s="39"/>
      <c r="P311" s="40" t="str">
        <f>IF(Settings!$E$27="ON",VLOOKUP(B311,ADP!A1:H728,8,FALSE)," ")</f>
        <v xml:space="preserve"> </v>
      </c>
      <c r="Q311" s="41">
        <f>IF(Settings!$E$12="YES",VLOOKUP(B311,'Player Data'!A1:E734,5,FALSE),82)</f>
        <v>73</v>
      </c>
      <c r="R311" s="39">
        <f>VLOOKUP(B311,'Player Data'!$A1:$AE734,6,FALSE)</f>
        <v>14.1531691711759</v>
      </c>
      <c r="S311" s="41">
        <f>VLOOKUP(B311,'Player Data'!$A1:$AE734,7,FALSE)*$Q311*IFERROR((VLOOKUP(P311,Settings!$E$28:$F$33,2,FALSE)+1),1)</f>
        <v>16.95081618764339</v>
      </c>
      <c r="T311" s="41">
        <f>VLOOKUP(B311,'Player Data'!$A1:$AE734,8,FALSE)*$Q311*IFERROR((VLOOKUP(P311,Settings!$E$28:$F$33,2,FALSE)+1),1)</f>
        <v>15.771755689282033</v>
      </c>
      <c r="U311" s="41">
        <f>SUM(S311:T311)</f>
        <v>32.722571876925421</v>
      </c>
      <c r="V311" s="41">
        <f>VLOOKUP(B311,'Player Data'!$A1:$AE734,10,FALSE)*$Q311*IFERROR(((VLOOKUP(P311,Settings!$E$28:$F$33,2,FALSE)/2)+1),1)</f>
        <v>133.98264573984355</v>
      </c>
      <c r="W311" s="41">
        <f>VLOOKUP(B311,'Player Data'!$A1:$AE734,11,FALSE)*$Q311*IFERROR((VLOOKUP(P311,Settings!$E$28:$F$33,2,FALSE)+1),1)</f>
        <v>3.8035014088472283</v>
      </c>
      <c r="X311" s="41">
        <f>VLOOKUP(B311,'Player Data'!$A1:$AE734,12,FALSE)*$Q311*IFERROR((VLOOKUP(P311,Settings!$E$28:$F$33,2,FALSE)+1),1)</f>
        <v>8.6295869644359922</v>
      </c>
      <c r="Y311" s="41">
        <f>VLOOKUP(B311,'Player Data'!$A1:$AE734,13,FALSE)*$Q311</f>
        <v>5.3214570463718545E-2</v>
      </c>
      <c r="Z311" s="41">
        <f>VLOOKUP(B311,'Player Data'!$A1:$AE734,14,FALSE)*$Q311</f>
        <v>9.774661821429606E-2</v>
      </c>
      <c r="AA311" s="41">
        <f>VLOOKUP(B311,'Player Data'!$A1:$AE734,15,FALSE)*$Q311</f>
        <v>50.985200813797938</v>
      </c>
      <c r="AB311" s="41">
        <f>VLOOKUP(B311,'Player Data'!$A1:$AE734,16,FALSE)*$Q311</f>
        <v>127.08339910091485</v>
      </c>
      <c r="AC311" s="41">
        <f>VLOOKUP(B311,'Player Data'!$A1:$AE734,17,FALSE)*$Q311*IFERROR((VLOOKUP(P311,Settings!$E$28:$F$33,2,FALSE)+1),1)</f>
        <v>0.50884848003656569</v>
      </c>
      <c r="AD311" s="41">
        <f>VLOOKUP(B311,'Player Data'!$A1:$AE734,18,FALSE)*$Q311</f>
        <v>17.230844142475881</v>
      </c>
      <c r="AE311" s="41">
        <f>VLOOKUP(B311,'Player Data'!$A1:$AE734,19,FALSE)*$Q311*IFERROR((VLOOKUP(P311,Settings!$E$28:$F$33,2,FALSE)+1),1)</f>
        <v>2.3826232701649182</v>
      </c>
      <c r="AF311" s="41">
        <f>VLOOKUP(B311,'Player Data'!$A1:$AE734,20,FALSE)*$Q311</f>
        <v>1.5437886147180344</v>
      </c>
      <c r="AG311" s="41">
        <f>VLOOKUP(B311,'Player Data'!$A1:$AE734,21,FALSE)*$Q311</f>
        <v>9.8876726592574062</v>
      </c>
      <c r="AH311" s="42">
        <f>VLOOKUP(B311,'Player Data'!$A1:$AE734,22,FALSE)</f>
        <v>0.135047355514608</v>
      </c>
      <c r="AI311" s="39"/>
      <c r="AJ311" s="43"/>
      <c r="AK311" s="41"/>
      <c r="AL311" s="41"/>
      <c r="AM311" s="41"/>
      <c r="AN311" s="41"/>
      <c r="AO311" s="41"/>
      <c r="AP311" s="41"/>
      <c r="AQ311" s="44"/>
      <c r="AR311" s="45"/>
      <c r="AS311" s="39"/>
    </row>
    <row r="312" spans="1:45" ht="21.25" customHeight="1" x14ac:dyDescent="0.15">
      <c r="A312" s="31">
        <f>RANK(K312,K$2:K$727)</f>
        <v>311</v>
      </c>
      <c r="B312" s="8" t="s">
        <v>416</v>
      </c>
      <c r="C312" s="32" t="s">
        <v>106</v>
      </c>
      <c r="D312" s="33" t="str">
        <f>VLOOKUP(B312,'Player Data'!A1:D734,4,FALSE)</f>
        <v>D</v>
      </c>
      <c r="E312" s="49">
        <f>VLOOKUP(B312,D!A1:C227,3,FALSE)</f>
        <v>92</v>
      </c>
      <c r="F312" s="35" t="str">
        <f>VLOOKUP(B312,'Player Data'!A1:B734,2,FALSE)</f>
        <v>CAR</v>
      </c>
      <c r="G312" s="9">
        <f>VLOOKUP(B312,'Player Data'!A1:D734,3,FALSE)</f>
        <v>27</v>
      </c>
      <c r="H312" s="36">
        <f>IFERROR(VLOOKUP(B312,ADP!A1:G728,7,FALSE)/1000000,VLOOKUP(B312,ADP!A1:G728,7,FALSE))</f>
        <v>1.675</v>
      </c>
      <c r="I312" s="37">
        <f>IF(Settings!$E$15="POINTS",((R312*Q312)*Settings!$B$12)+(S312*Settings!$B$2)+(T312*Settings!$B$3)+(U312*Settings!$B$4)+(V312*Settings!$B$5)+(X312*Settings!$B$9)+(AA312*Settings!$B$6)+(W312*Settings!$B$8)+(AB312*Settings!$B$7)+(AC312*Settings!$B$14)+(AD312*Settings!$B$15)+(AE312*Settings!$B$16)+(AF312*Settings!$B$17)+(AG312*Settings!$B$18)+(U312*Settings!$B$13)+(Y312*Settings!$B$10)+(Z312*Settings!$B$11),VLOOKUP(B312,'Standard Deviations'!A1:C728,3,FALSE))</f>
        <v>153.82610547922943</v>
      </c>
      <c r="J312" s="38">
        <f>IF(D312="G",I312/AJ312,I312/Q312)</f>
        <v>2.3166582150486357</v>
      </c>
      <c r="K312" s="37">
        <f>VLOOKUP(B312,D!A1:F227,6,FALSE)</f>
        <v>-157.73937614869803</v>
      </c>
      <c r="L312" s="37">
        <f>IFERROR(K312/H312,"N/A")</f>
        <v>-94.172761879819717</v>
      </c>
      <c r="M312" s="39">
        <f>IF(Settings!$E$9="YAHOO",VLOOKUP(B312,ADP!A1:E728,2,FALSE),IF(Settings!$E$9="ESPN",VLOOKUP(B312,ADP!A1:E728,3,FALSE),IF(Settings!$E$9="FANTRAX",VLOOKUP(B312,ADP!A1:E728,4,FALSE),VLOOKUP(B312,ADP!A1:E728,5,FALSE))))</f>
        <v>126.9</v>
      </c>
      <c r="N312" s="39">
        <f>IFERROR(M312-A312,"N/A")</f>
        <v>-184.1</v>
      </c>
      <c r="O312" s="39"/>
      <c r="P312" s="40" t="str">
        <f>IF(Settings!$E$27="ON",VLOOKUP(B312,ADP!A1:H728,8,FALSE)," ")</f>
        <v xml:space="preserve"> </v>
      </c>
      <c r="Q312" s="41">
        <f>IF(Settings!$E$12="YES",VLOOKUP(B312,'Player Data'!A1:E734,5,FALSE),82)</f>
        <v>66.400000000000006</v>
      </c>
      <c r="R312" s="39">
        <f>VLOOKUP(B312,'Player Data'!$A1:$AE734,6,FALSE)</f>
        <v>16.0190706365964</v>
      </c>
      <c r="S312" s="41">
        <f>VLOOKUP(B312,'Player Data'!$A1:$AE734,7,FALSE)*$Q312*IFERROR((VLOOKUP(P312,Settings!$E$28:$F$33,2,FALSE)+1),1)</f>
        <v>6.3563074242252204</v>
      </c>
      <c r="T312" s="41">
        <f>VLOOKUP(B312,'Player Data'!$A1:$AE734,8,FALSE)*$Q312*IFERROR((VLOOKUP(P312,Settings!$E$28:$F$33,2,FALSE)+1),1)</f>
        <v>19.491248846810286</v>
      </c>
      <c r="U312" s="41">
        <f>SUM(S312:T312)</f>
        <v>25.847556271035508</v>
      </c>
      <c r="V312" s="41">
        <f>VLOOKUP(B312,'Player Data'!$A1:$AE734,10,FALSE)*$Q312*IFERROR(((VLOOKUP(P312,Settings!$E$28:$F$33,2,FALSE)/2)+1),1)</f>
        <v>110.66822833609147</v>
      </c>
      <c r="W312" s="41">
        <f>VLOOKUP(B312,'Player Data'!$A1:$AE734,11,FALSE)*$Q312*IFERROR((VLOOKUP(P312,Settings!$E$28:$F$33,2,FALSE)+1),1)</f>
        <v>0.71887240880012093</v>
      </c>
      <c r="X312" s="41">
        <f>VLOOKUP(B312,'Player Data'!$A1:$AE734,12,FALSE)*$Q312*IFERROR((VLOOKUP(P312,Settings!$E$28:$F$33,2,FALSE)+1),1)</f>
        <v>4.4265018731648489</v>
      </c>
      <c r="Y312" s="41">
        <f>VLOOKUP(B312,'Player Data'!$A1:$AE734,13,FALSE)*$Q312</f>
        <v>3.1933102746787155E-3</v>
      </c>
      <c r="Z312" s="41">
        <f>VLOOKUP(B312,'Player Data'!$A1:$AE734,14,FALSE)*$Q312</f>
        <v>1.1873816476411175E-2</v>
      </c>
      <c r="AA312" s="41">
        <f>VLOOKUP(B312,'Player Data'!$A1:$AE734,15,FALSE)*$Q312</f>
        <v>60.362855593973237</v>
      </c>
      <c r="AB312" s="41">
        <f>VLOOKUP(B312,'Player Data'!$A1:$AE734,16,FALSE)*$Q312</f>
        <v>48.215286350944936</v>
      </c>
      <c r="AC312" s="41">
        <f>VLOOKUP(B312,'Player Data'!$A1:$AE734,17,FALSE)*$Q312*IFERROR((VLOOKUP(P312,Settings!$E$28:$F$33,2,FALSE)+1),1)</f>
        <v>3.8485588085045479</v>
      </c>
      <c r="AD312" s="41">
        <f>VLOOKUP(B312,'Player Data'!$A1:$AE734,18,FALSE)*$Q312</f>
        <v>29.982888223293166</v>
      </c>
      <c r="AE312" s="41">
        <f>VLOOKUP(B312,'Player Data'!$A1:$AE734,19,FALSE)*$Q312*IFERROR((VLOOKUP(P312,Settings!$E$28:$F$33,2,FALSE)+1),1)</f>
        <v>0.74715623948994891</v>
      </c>
      <c r="AF312" s="41">
        <f>VLOOKUP(B312,'Player Data'!$A1:$AE734,20,FALSE)*$Q312</f>
        <v>0</v>
      </c>
      <c r="AG312" s="41">
        <f>VLOOKUP(B312,'Player Data'!$A1:$AE734,21,FALSE)*$Q312</f>
        <v>0</v>
      </c>
      <c r="AH312" s="42">
        <f>VLOOKUP(B312,'Player Data'!$A1:$AE734,22,FALSE)</f>
        <v>0</v>
      </c>
      <c r="AI312" s="39"/>
      <c r="AJ312" s="43"/>
      <c r="AK312" s="41"/>
      <c r="AL312" s="41"/>
      <c r="AM312" s="41"/>
      <c r="AN312" s="41"/>
      <c r="AO312" s="41"/>
      <c r="AP312" s="41"/>
      <c r="AQ312" s="44"/>
      <c r="AR312" s="45"/>
      <c r="AS312" s="39"/>
    </row>
    <row r="313" spans="1:45" ht="21.25" customHeight="1" x14ac:dyDescent="0.15">
      <c r="A313" s="31">
        <f>RANK(K313,K$2:K$727)</f>
        <v>312</v>
      </c>
      <c r="B313" s="8" t="s">
        <v>417</v>
      </c>
      <c r="C313" s="32" t="s">
        <v>106</v>
      </c>
      <c r="D313" s="33" t="str">
        <f>VLOOKUP(B313,'Player Data'!A1:D734,4,FALSE)</f>
        <v>G</v>
      </c>
      <c r="E313" s="50">
        <f>VLOOKUP(B313,G!A1:D75,3,FALSE)</f>
        <v>34</v>
      </c>
      <c r="F313" s="35" t="str">
        <f>VLOOKUP(B313,'Player Data'!A1:B734,2,FALSE)</f>
        <v>VGK</v>
      </c>
      <c r="G313" s="9">
        <f>VLOOKUP(B313,'Player Data'!A1:D734,3,FALSE)</f>
        <v>26</v>
      </c>
      <c r="H313" s="36">
        <f>IFERROR(VLOOKUP(B313,ADP!A1:G728,7,FALSE)/1000000,VLOOKUP(B313,ADP!A1:G728,7,FALSE))</f>
        <v>0.76666699999999999</v>
      </c>
      <c r="I313" s="37">
        <f>IF(Settings!$E$15="POINTS",(AJ313*Settings!$B$29)+(AK313*Settings!$B$21)+(AL313*Settings!$B$22)+(AN313*Settings!$B$24)+(AO313*Settings!$B$25)+(AP313*Settings!$B$27)+(AM313*Settings!$B$23),VLOOKUP(B313,'Standard Deviations'!A1:C728,3,FALSE))</f>
        <v>240.99151353119362</v>
      </c>
      <c r="J313" s="38">
        <f>IF(D313="G",I313/AJ313,I313/Q313)</f>
        <v>7.5309847978498006</v>
      </c>
      <c r="K313" s="37">
        <f>VLOOKUP(B313,G!A1:F75,6,FALSE)</f>
        <v>-157.78414855812258</v>
      </c>
      <c r="L313" s="37">
        <f>IFERROR(K313/H313,"N/A")</f>
        <v>-205.80532168219395</v>
      </c>
      <c r="M313" s="39">
        <f>IF(Settings!$E$9="YAHOO",VLOOKUP(B313,ADP!A1:E728,2,FALSE),IF(Settings!$E$9="ESPN",VLOOKUP(B313,ADP!A1:E728,3,FALSE),IF(Settings!$E$9="FANTRAX",VLOOKUP(B313,ADP!A1:E728,4,FALSE),VLOOKUP(B313,ADP!A1:E728,5,FALSE))))</f>
        <v>162.19999999999999</v>
      </c>
      <c r="N313" s="39">
        <f>IFERROR(M313-A313,"N/A")</f>
        <v>-149.80000000000001</v>
      </c>
      <c r="O313" s="39"/>
      <c r="P313" s="40" t="str">
        <f>IF(Settings!$E$27="ON",VLOOKUP(B313,ADP!A1:H728,8,FALSE)," ")</f>
        <v xml:space="preserve"> </v>
      </c>
      <c r="Q313" s="41"/>
      <c r="R313" s="5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2"/>
      <c r="AI313" s="39"/>
      <c r="AJ313" s="43">
        <f>VLOOKUP(B313,'Player Data'!$A1:$AE734,24,FALSE)</f>
        <v>32</v>
      </c>
      <c r="AK313" s="41">
        <f>VLOOKUP(B313,'Player Data'!$A1:$AE734,25,FALSE)*$AJ313*IFERROR((VLOOKUP(P313,Settings!$E$28:$F$33,2,FALSE)+1),1)</f>
        <v>18.533939753153536</v>
      </c>
      <c r="AL313" s="41">
        <f>AJ313-AK313-AM313</f>
        <v>9.4660602468464639</v>
      </c>
      <c r="AM313" s="41">
        <f>VLOOKUP(B313,'Player Data'!$A1:$AE734,27,FALSE)*$AJ313</f>
        <v>4</v>
      </c>
      <c r="AN313" s="41">
        <f>VLOOKUP(B313,'Player Data'!$A1:$AE734,28,FALSE)*AJ313</f>
        <v>1.8412957306177185</v>
      </c>
      <c r="AO313" s="41">
        <f>VLOOKUP(B313,'Player Data'!$A1:$AE734,29,FALSE)*$AJ313*IFERROR((VLOOKUP(P313,Settings!$E$28:$F$33,2,FALSE)/4)+1,1)</f>
        <v>899.35433148871357</v>
      </c>
      <c r="AP313" s="41">
        <f>VLOOKUP(B313,'Player Data'!$A1:$AE734,31,FALSE)*$AJ313*(IFERROR(1-(VLOOKUP(P313,Settings!$E$28:$F$33,2,FALSE)/4),1))</f>
        <v>89.323354311286394</v>
      </c>
      <c r="AQ313" s="44">
        <f>1-(AP313/(AO313+AP313))</f>
        <v>0.90965371668218709</v>
      </c>
      <c r="AR313" s="45">
        <f>AP313/AJ313</f>
        <v>2.7913548222276998</v>
      </c>
      <c r="AS313" s="39"/>
    </row>
    <row r="314" spans="1:45" ht="21.25" customHeight="1" x14ac:dyDescent="0.15">
      <c r="A314" s="31">
        <f>RANK(K314,K$2:K$727)</f>
        <v>313</v>
      </c>
      <c r="B314" s="8" t="s">
        <v>418</v>
      </c>
      <c r="C314" s="32" t="s">
        <v>106</v>
      </c>
      <c r="D314" s="33" t="str">
        <f>VLOOKUP(B314,'Player Data'!A1:D734,4,FALSE)</f>
        <v>C</v>
      </c>
      <c r="E314" s="34">
        <f>VLOOKUP(B314,'C'!A1:C211,3,FALSE)</f>
        <v>81</v>
      </c>
      <c r="F314" s="35" t="str">
        <f>VLOOKUP(B314,'Player Data'!A1:B734,2,FALSE)</f>
        <v>NSH</v>
      </c>
      <c r="G314" s="9">
        <f>VLOOKUP(B314,'Player Data'!A1:D734,3,FALSE)</f>
        <v>24</v>
      </c>
      <c r="H314" s="36">
        <f>IFERROR(VLOOKUP(B314,ADP!A1:G728,7,FALSE)/1000000,VLOOKUP(B314,ADP!A1:G728,7,FALSE))</f>
        <v>2.5</v>
      </c>
      <c r="I314" s="37">
        <f>IF(Settings!$E$15="POINTS",((R314*Q314)*Settings!$B$12)+(S314*Settings!$B$2)+(T314*Settings!$B$3)+(U314*Settings!$B$4)+(V314*Settings!$B$5)+(X314*Settings!$B$9)+(AA314*Settings!$B$6)+(W314*Settings!$B$8)+(AB314*Settings!$B$7)+(AC314*Settings!$B$14)+(AD314*Settings!$B$15)+(AE314*Settings!$B$16)+(AF314*Settings!$B$17)+(AG314*Settings!$B$18)+(Y314*Settings!$B$10)+(Z314*Settings!$B$11),VLOOKUP(B314,'Standard Deviations'!A1:C728,3,FALSE))</f>
        <v>234.89158609710728</v>
      </c>
      <c r="J314" s="38">
        <f>IF(D314="G",I314/AJ314,I314/Q314)</f>
        <v>3.3474773085765297</v>
      </c>
      <c r="K314" s="37">
        <f>IF(Settings!$E$18="C/LW/RW",VLOOKUP(B314,'C'!A1:F211,6,FALSE),VLOOKUP(B314,F!A1:F430,6,FALSE))</f>
        <v>-158.43721966910238</v>
      </c>
      <c r="L314" s="37">
        <f>IFERROR(K314/H314,"N/A")</f>
        <v>-63.37488786764095</v>
      </c>
      <c r="M314" s="53" t="str">
        <f>IF(Settings!$E$9="YAHOO",VLOOKUP(B314,ADP!A1:E728,2,FALSE),IF(Settings!$E$9="ESPN",VLOOKUP(B314,ADP!A1:E728,3,FALSE),IF(Settings!$E$9="FANTRAX",VLOOKUP(B314,ADP!A1:E728,4,FALSE),VLOOKUP(B314,ADP!A1:E728,5,FALSE))))</f>
        <v>-</v>
      </c>
      <c r="N314" s="53" t="str">
        <f>IFERROR(M314-A314,"N/A")</f>
        <v>N/A</v>
      </c>
      <c r="O314" s="39"/>
      <c r="P314" s="40" t="str">
        <f>IF(Settings!$E$27="ON",VLOOKUP(B314,ADP!A1:H728,8,FALSE)," ")</f>
        <v>+</v>
      </c>
      <c r="Q314" s="41">
        <f>IF(Settings!$E$12="YES",VLOOKUP(B314,'Player Data'!A1:E734,5,FALSE),82)</f>
        <v>70.1697321428571</v>
      </c>
      <c r="R314" s="39">
        <f>VLOOKUP(B314,'Player Data'!$A1:$AE734,6,FALSE)</f>
        <v>16.462381640232898</v>
      </c>
      <c r="S314" s="41">
        <f>VLOOKUP(B314,'Player Data'!$A1:$AE734,7,FALSE)*$Q314*IFERROR((VLOOKUP(P314,Settings!$E$28:$F$33,2,FALSE)+1),1)</f>
        <v>17.546676867820334</v>
      </c>
      <c r="T314" s="41">
        <f>VLOOKUP(B314,'Player Data'!$A1:$AE734,8,FALSE)*$Q314*IFERROR((VLOOKUP(P314,Settings!$E$28:$F$33,2,FALSE)+1),1)</f>
        <v>25.856827464514513</v>
      </c>
      <c r="U314" s="41">
        <f>SUM(S314:T314)</f>
        <v>43.403504332334848</v>
      </c>
      <c r="V314" s="41">
        <f>VLOOKUP(B314,'Player Data'!$A1:$AE734,10,FALSE)*$Q314*IFERROR(((VLOOKUP(P314,Settings!$E$28:$F$33,2,FALSE)/2)+1),1)</f>
        <v>144.35375260895006</v>
      </c>
      <c r="W314" s="41">
        <f>VLOOKUP(B314,'Player Data'!$A1:$AE734,11,FALSE)*$Q314*IFERROR((VLOOKUP(P314,Settings!$E$28:$F$33,2,FALSE)+1),1)</f>
        <v>7.5765139153219394</v>
      </c>
      <c r="X314" s="41">
        <f>VLOOKUP(B314,'Player Data'!$A1:$AE734,12,FALSE)*$Q314*IFERROR((VLOOKUP(P314,Settings!$E$28:$F$33,2,FALSE)+1),1)</f>
        <v>12.813530078458518</v>
      </c>
      <c r="Y314" s="41">
        <f>VLOOKUP(B314,'Player Data'!$A1:$AE734,13,FALSE)*$Q314</f>
        <v>5.8526529492188478E-2</v>
      </c>
      <c r="Z314" s="41">
        <f>VLOOKUP(B314,'Player Data'!$A1:$AE734,14,FALSE)*$Q314</f>
        <v>0.10653199756840337</v>
      </c>
      <c r="AA314" s="41">
        <f>VLOOKUP(B314,'Player Data'!$A1:$AE734,15,FALSE)*$Q314</f>
        <v>33.320363217869343</v>
      </c>
      <c r="AB314" s="41">
        <f>VLOOKUP(B314,'Player Data'!$A1:$AE734,16,FALSE)*$Q314</f>
        <v>68.518372851699979</v>
      </c>
      <c r="AC314" s="41">
        <f>VLOOKUP(B314,'Player Data'!$A1:$AE734,17,FALSE)*$Q314*IFERROR((VLOOKUP(P314,Settings!$E$28:$F$33,2,FALSE)+1),1)</f>
        <v>1.0512155156362091</v>
      </c>
      <c r="AD314" s="41">
        <f>VLOOKUP(B314,'Player Data'!$A1:$AE734,18,FALSE)*$Q314</f>
        <v>23.359715299859321</v>
      </c>
      <c r="AE314" s="41">
        <f>VLOOKUP(B314,'Player Data'!$A1:$AE734,19,FALSE)*$Q314*IFERROR((VLOOKUP(P314,Settings!$E$28:$F$33,2,FALSE)+1),1)</f>
        <v>2.5622737398451365</v>
      </c>
      <c r="AF314" s="41">
        <f>VLOOKUP(B314,'Player Data'!$A1:$AE734,20,FALSE)*$Q314</f>
        <v>374.78504006565106</v>
      </c>
      <c r="AG314" s="41">
        <f>VLOOKUP(B314,'Player Data'!$A1:$AE734,21,FALSE)*$Q314</f>
        <v>411.0454418112285</v>
      </c>
      <c r="AH314" s="42">
        <f>VLOOKUP(B314,'Player Data'!$A1:$AE734,22,FALSE)</f>
        <v>0.47692861082521698</v>
      </c>
      <c r="AI314" s="39"/>
      <c r="AJ314" s="43"/>
      <c r="AK314" s="41"/>
      <c r="AL314" s="41"/>
      <c r="AM314" s="41"/>
      <c r="AN314" s="41"/>
      <c r="AO314" s="41"/>
      <c r="AP314" s="41"/>
      <c r="AQ314" s="44"/>
      <c r="AR314" s="45"/>
      <c r="AS314" s="39"/>
    </row>
    <row r="315" spans="1:45" ht="21.25" customHeight="1" x14ac:dyDescent="0.15">
      <c r="A315" s="31">
        <f>RANK(K315,K$2:K$727)</f>
        <v>314</v>
      </c>
      <c r="B315" s="8" t="s">
        <v>419</v>
      </c>
      <c r="C315" s="32" t="s">
        <v>106</v>
      </c>
      <c r="D315" s="33" t="str">
        <f>VLOOKUP(B315,'Player Data'!A1:D734,4,FALSE)</f>
        <v>D</v>
      </c>
      <c r="E315" s="49">
        <f>VLOOKUP(B315,D!A1:C227,3,FALSE)</f>
        <v>93</v>
      </c>
      <c r="F315" s="35" t="str">
        <f>VLOOKUP(B315,'Player Data'!A1:B734,2,FALSE)</f>
        <v>PIT</v>
      </c>
      <c r="G315" s="9">
        <f>VLOOKUP(B315,'Player Data'!A1:D734,3,FALSE)</f>
        <v>27</v>
      </c>
      <c r="H315" s="36">
        <f>IFERROR(VLOOKUP(B315,ADP!A1:G728,7,FALSE)/1000000,VLOOKUP(B315,ADP!A1:G728,7,FALSE))</f>
        <v>4.0250000000000004</v>
      </c>
      <c r="I315" s="37">
        <f>IF(Settings!$E$15="POINTS",((R315*Q315)*Settings!$B$12)+(S315*Settings!$B$2)+(T315*Settings!$B$3)+(U315*Settings!$B$4)+(V315*Settings!$B$5)+(X315*Settings!$B$9)+(AA315*Settings!$B$6)+(W315*Settings!$B$8)+(AB315*Settings!$B$7)+(AC315*Settings!$B$14)+(AD315*Settings!$B$15)+(AE315*Settings!$B$16)+(AF315*Settings!$B$17)+(AG315*Settings!$B$18)+(U315*Settings!$B$13)+(Y315*Settings!$B$10)+(Z315*Settings!$B$11),VLOOKUP(B315,'Standard Deviations'!A1:C728,3,FALSE))</f>
        <v>152.64994446691412</v>
      </c>
      <c r="J315" s="38">
        <f>IF(D315="G",I315/AJ315,I315/Q315)</f>
        <v>1.9862809128259242</v>
      </c>
      <c r="K315" s="37">
        <f>VLOOKUP(B315,D!A1:F227,6,FALSE)</f>
        <v>-158.91553716101333</v>
      </c>
      <c r="L315" s="37">
        <f>IFERROR(K315/H315,"N/A")</f>
        <v>-39.482121033792126</v>
      </c>
      <c r="M315" s="53" t="str">
        <f>IF(Settings!$E$9="YAHOO",VLOOKUP(B315,ADP!A1:E728,2,FALSE),IF(Settings!$E$9="ESPN",VLOOKUP(B315,ADP!A1:E728,3,FALSE),IF(Settings!$E$9="FANTRAX",VLOOKUP(B315,ADP!A1:E728,4,FALSE),VLOOKUP(B315,ADP!A1:E728,5,FALSE))))</f>
        <v>-</v>
      </c>
      <c r="N315" s="53" t="str">
        <f>IFERROR(M315-A315,"N/A")</f>
        <v>N/A</v>
      </c>
      <c r="O315" s="39"/>
      <c r="P315" s="40" t="str">
        <f>IF(Settings!$E$27="ON",VLOOKUP(B315,ADP!A1:H728,8,FALSE)," ")</f>
        <v xml:space="preserve"> </v>
      </c>
      <c r="Q315" s="41">
        <f>IF(Settings!$E$12="YES",VLOOKUP(B315,'Player Data'!A1:E734,5,FALSE),82)</f>
        <v>76.852142857142894</v>
      </c>
      <c r="R315" s="39">
        <f>VLOOKUP(B315,'Player Data'!$A1:$AE734,6,FALSE)</f>
        <v>19.897084429174502</v>
      </c>
      <c r="S315" s="41">
        <f>VLOOKUP(B315,'Player Data'!$A1:$AE734,7,FALSE)*$Q315*IFERROR((VLOOKUP(P315,Settings!$E$28:$F$33,2,FALSE)+1),1)</f>
        <v>2.7811190881607559</v>
      </c>
      <c r="T315" s="41">
        <f>VLOOKUP(B315,'Player Data'!$A1:$AE734,8,FALSE)*$Q315*IFERROR((VLOOKUP(P315,Settings!$E$28:$F$33,2,FALSE)+1),1)</f>
        <v>21.469927144103604</v>
      </c>
      <c r="U315" s="41">
        <f>SUM(S315:T315)</f>
        <v>24.251046232264361</v>
      </c>
      <c r="V315" s="41">
        <f>VLOOKUP(B315,'Player Data'!$A1:$AE734,10,FALSE)*$Q315*IFERROR(((VLOOKUP(P315,Settings!$E$28:$F$33,2,FALSE)/2)+1),1)</f>
        <v>105.16924923927567</v>
      </c>
      <c r="W315" s="41">
        <f>VLOOKUP(B315,'Player Data'!$A1:$AE734,11,FALSE)*$Q315*IFERROR((VLOOKUP(P315,Settings!$E$28:$F$33,2,FALSE)+1),1)</f>
        <v>3.3020054810760972E-2</v>
      </c>
      <c r="X315" s="41">
        <f>VLOOKUP(B315,'Player Data'!$A1:$AE734,12,FALSE)*$Q315*IFERROR((VLOOKUP(P315,Settings!$E$28:$F$33,2,FALSE)+1),1)</f>
        <v>0.2256520501191944</v>
      </c>
      <c r="Y315" s="41">
        <f>VLOOKUP(B315,'Player Data'!$A1:$AE734,13,FALSE)*$Q315</f>
        <v>3.929194690509915E-2</v>
      </c>
      <c r="Z315" s="41">
        <f>VLOOKUP(B315,'Player Data'!$A1:$AE734,14,FALSE)*$Q315</f>
        <v>0.209729323102917</v>
      </c>
      <c r="AA315" s="41">
        <f>VLOOKUP(B315,'Player Data'!$A1:$AE734,15,FALSE)*$Q315</f>
        <v>132.20709202019486</v>
      </c>
      <c r="AB315" s="41">
        <f>VLOOKUP(B315,'Player Data'!$A1:$AE734,16,FALSE)*$Q315</f>
        <v>141.69508119297018</v>
      </c>
      <c r="AC315" s="41">
        <f>VLOOKUP(B315,'Player Data'!$A1:$AE734,17,FALSE)*$Q315*IFERROR((VLOOKUP(P315,Settings!$E$28:$F$33,2,FALSE)+1),1)</f>
        <v>2.895399813569608</v>
      </c>
      <c r="AD315" s="41">
        <f>VLOOKUP(B315,'Player Data'!$A1:$AE734,18,FALSE)*$Q315</f>
        <v>48.56012628114231</v>
      </c>
      <c r="AE315" s="41">
        <f>VLOOKUP(B315,'Player Data'!$A1:$AE734,19,FALSE)*$Q315*IFERROR((VLOOKUP(P315,Settings!$E$28:$F$33,2,FALSE)+1),1)</f>
        <v>0.44261333105649059</v>
      </c>
      <c r="AF315" s="41">
        <f>VLOOKUP(B315,'Player Data'!$A1:$AE734,20,FALSE)*$Q315</f>
        <v>0</v>
      </c>
      <c r="AG315" s="41">
        <f>VLOOKUP(B315,'Player Data'!$A1:$AE734,21,FALSE)*$Q315</f>
        <v>0</v>
      </c>
      <c r="AH315" s="42">
        <f>VLOOKUP(B315,'Player Data'!$A1:$AE734,22,FALSE)</f>
        <v>0</v>
      </c>
      <c r="AI315" s="39"/>
      <c r="AJ315" s="43"/>
      <c r="AK315" s="41"/>
      <c r="AL315" s="41"/>
      <c r="AM315" s="41"/>
      <c r="AN315" s="41"/>
      <c r="AO315" s="41"/>
      <c r="AP315" s="41"/>
      <c r="AQ315" s="44"/>
      <c r="AR315" s="45"/>
      <c r="AS315" s="39"/>
    </row>
    <row r="316" spans="1:45" ht="21.25" customHeight="1" x14ac:dyDescent="0.15">
      <c r="A316" s="31">
        <f>RANK(K316,K$2:K$727)</f>
        <v>315</v>
      </c>
      <c r="B316" s="8" t="s">
        <v>420</v>
      </c>
      <c r="C316" s="32" t="s">
        <v>106</v>
      </c>
      <c r="D316" s="33" t="str">
        <f>VLOOKUP(B316,'Player Data'!A1:D734,4,FALSE)</f>
        <v>D</v>
      </c>
      <c r="E316" s="49">
        <f>VLOOKUP(B316,D!A1:C227,3,FALSE)</f>
        <v>94</v>
      </c>
      <c r="F316" s="35" t="str">
        <f>VLOOKUP(B316,'Player Data'!A1:B734,2,FALSE)</f>
        <v>NYI</v>
      </c>
      <c r="G316" s="9">
        <f>VLOOKUP(B316,'Player Data'!A1:D734,3,FALSE)</f>
        <v>30</v>
      </c>
      <c r="H316" s="36">
        <f>IFERROR(VLOOKUP(B316,ADP!A1:G728,7,FALSE)/1000000,VLOOKUP(B316,ADP!A1:G728,7,FALSE))</f>
        <v>3.5</v>
      </c>
      <c r="I316" s="37">
        <f>IF(Settings!$E$15="POINTS",((R316*Q316)*Settings!$B$12)+(S316*Settings!$B$2)+(T316*Settings!$B$3)+(U316*Settings!$B$4)+(V316*Settings!$B$5)+(X316*Settings!$B$9)+(AA316*Settings!$B$6)+(W316*Settings!$B$8)+(AB316*Settings!$B$7)+(AC316*Settings!$B$14)+(AD316*Settings!$B$15)+(AE316*Settings!$B$16)+(AF316*Settings!$B$17)+(AG316*Settings!$B$18)+(U316*Settings!$B$13)+(Y316*Settings!$B$10)+(Z316*Settings!$B$11),VLOOKUP(B316,'Standard Deviations'!A1:C728,3,FALSE))</f>
        <v>152.41357013442607</v>
      </c>
      <c r="J316" s="38">
        <f>IF(D316="G",I316/AJ316,I316/Q316)</f>
        <v>1.925811923232474</v>
      </c>
      <c r="K316" s="37">
        <f>VLOOKUP(B316,D!A1:F227,6,FALSE)</f>
        <v>-159.15191149350139</v>
      </c>
      <c r="L316" s="37">
        <f>IFERROR(K316/H316,"N/A")</f>
        <v>-45.471974712428967</v>
      </c>
      <c r="M316" s="53" t="str">
        <f>IF(Settings!$E$9="YAHOO",VLOOKUP(B316,ADP!A1:E728,2,FALSE),IF(Settings!$E$9="ESPN",VLOOKUP(B316,ADP!A1:E728,3,FALSE),IF(Settings!$E$9="FANTRAX",VLOOKUP(B316,ADP!A1:E728,4,FALSE),VLOOKUP(B316,ADP!A1:E728,5,FALSE))))</f>
        <v>-</v>
      </c>
      <c r="N316" s="53" t="str">
        <f>IFERROR(M316-A316,"N/A")</f>
        <v>N/A</v>
      </c>
      <c r="O316" s="39"/>
      <c r="P316" s="40" t="str">
        <f>IF(Settings!$E$27="ON",VLOOKUP(B316,ADP!A1:H728,8,FALSE)," ")</f>
        <v xml:space="preserve"> </v>
      </c>
      <c r="Q316" s="41">
        <f>IF(Settings!$E$12="YES",VLOOKUP(B316,'Player Data'!A1:E734,5,FALSE),82)</f>
        <v>79.142499999999998</v>
      </c>
      <c r="R316" s="39">
        <f>VLOOKUP(B316,'Player Data'!$A1:$AE734,6,FALSE)</f>
        <v>20.1785387060396</v>
      </c>
      <c r="S316" s="41">
        <f>VLOOKUP(B316,'Player Data'!$A1:$AE734,7,FALSE)*$Q316*IFERROR((VLOOKUP(P316,Settings!$E$28:$F$33,2,FALSE)+1),1)</f>
        <v>4.3746303889270335</v>
      </c>
      <c r="T316" s="41">
        <f>VLOOKUP(B316,'Player Data'!$A1:$AE734,8,FALSE)*$Q316*IFERROR((VLOOKUP(P316,Settings!$E$28:$F$33,2,FALSE)+1),1)</f>
        <v>17.720159448538272</v>
      </c>
      <c r="U316" s="41">
        <f>SUM(S316:T316)</f>
        <v>22.094789837465306</v>
      </c>
      <c r="V316" s="41">
        <f>VLOOKUP(B316,'Player Data'!$A1:$AE734,10,FALSE)*$Q316*IFERROR(((VLOOKUP(P316,Settings!$E$28:$F$33,2,FALSE)/2)+1),1)</f>
        <v>108.78966126187471</v>
      </c>
      <c r="W316" s="41">
        <f>VLOOKUP(B316,'Player Data'!$A1:$AE734,11,FALSE)*$Q316*IFERROR((VLOOKUP(P316,Settings!$E$28:$F$33,2,FALSE)+1),1)</f>
        <v>1.9057301280515537E-2</v>
      </c>
      <c r="X316" s="41">
        <f>VLOOKUP(B316,'Player Data'!$A1:$AE734,12,FALSE)*$Q316*IFERROR((VLOOKUP(P316,Settings!$E$28:$F$33,2,FALSE)+1),1)</f>
        <v>0.13284480588218905</v>
      </c>
      <c r="Y316" s="41">
        <f>VLOOKUP(B316,'Player Data'!$A1:$AE734,13,FALSE)*$Q316</f>
        <v>2.6547286696529681E-2</v>
      </c>
      <c r="Z316" s="41">
        <f>VLOOKUP(B316,'Player Data'!$A1:$AE734,14,FALSE)*$Q316</f>
        <v>0.45417749104269495</v>
      </c>
      <c r="AA316" s="41">
        <f>VLOOKUP(B316,'Player Data'!$A1:$AE734,15,FALSE)*$Q316</f>
        <v>152.80162698621513</v>
      </c>
      <c r="AB316" s="41">
        <f>VLOOKUP(B316,'Player Data'!$A1:$AE734,16,FALSE)*$Q316</f>
        <v>104.19637127262176</v>
      </c>
      <c r="AC316" s="41">
        <f>VLOOKUP(B316,'Player Data'!$A1:$AE734,17,FALSE)*$Q316*IFERROR((VLOOKUP(P316,Settings!$E$28:$F$33,2,FALSE)+1),1)</f>
        <v>0.2298846848226048</v>
      </c>
      <c r="AD316" s="41">
        <f>VLOOKUP(B316,'Player Data'!$A1:$AE734,18,FALSE)*$Q316</f>
        <v>53.116837098369885</v>
      </c>
      <c r="AE316" s="41">
        <f>VLOOKUP(B316,'Player Data'!$A1:$AE734,19,FALSE)*$Q316*IFERROR((VLOOKUP(P316,Settings!$E$28:$F$33,2,FALSE)+1),1)</f>
        <v>0.67597601288433473</v>
      </c>
      <c r="AF316" s="41">
        <f>VLOOKUP(B316,'Player Data'!$A1:$AE734,20,FALSE)*$Q316</f>
        <v>0</v>
      </c>
      <c r="AG316" s="41">
        <f>VLOOKUP(B316,'Player Data'!$A1:$AE734,21,FALSE)*$Q316</f>
        <v>0</v>
      </c>
      <c r="AH316" s="42">
        <f>VLOOKUP(B316,'Player Data'!$A1:$AE734,22,FALSE)</f>
        <v>0</v>
      </c>
      <c r="AI316" s="39"/>
      <c r="AJ316" s="43"/>
      <c r="AK316" s="41"/>
      <c r="AL316" s="41"/>
      <c r="AM316" s="41"/>
      <c r="AN316" s="41"/>
      <c r="AO316" s="41"/>
      <c r="AP316" s="41"/>
      <c r="AQ316" s="44"/>
      <c r="AR316" s="45"/>
      <c r="AS316" s="39"/>
    </row>
    <row r="317" spans="1:45" ht="21.25" customHeight="1" x14ac:dyDescent="0.15">
      <c r="A317" s="31">
        <f>RANK(K317,K$2:K$727)</f>
        <v>316</v>
      </c>
      <c r="B317" s="8" t="s">
        <v>421</v>
      </c>
      <c r="C317" s="32" t="s">
        <v>106</v>
      </c>
      <c r="D317" s="33" t="str">
        <f>VLOOKUP(B317,'Player Data'!A1:D734,4,FALSE)</f>
        <v>D</v>
      </c>
      <c r="E317" s="49">
        <f>VLOOKUP(B317,D!A1:C227,3,FALSE)</f>
        <v>95</v>
      </c>
      <c r="F317" s="35" t="str">
        <f>VLOOKUP(B317,'Player Data'!A1:B734,2,FALSE)</f>
        <v>MTL</v>
      </c>
      <c r="G317" s="9">
        <f>VLOOKUP(B317,'Player Data'!A1:D734,3,FALSE)</f>
        <v>21</v>
      </c>
      <c r="H317" s="36">
        <f>IFERROR(VLOOKUP(B317,ADP!A1:G728,7,FALSE)/1000000,VLOOKUP(B317,ADP!A1:G728,7,FALSE))</f>
        <v>0.86333300000000002</v>
      </c>
      <c r="I317" s="37">
        <f>IF(Settings!$E$15="POINTS",((R317*Q317)*Settings!$B$12)+(S317*Settings!$B$2)+(T317*Settings!$B$3)+(U317*Settings!$B$4)+(V317*Settings!$B$5)+(X317*Settings!$B$9)+(AA317*Settings!$B$6)+(W317*Settings!$B$8)+(AB317*Settings!$B$7)+(AC317*Settings!$B$14)+(AD317*Settings!$B$15)+(AE317*Settings!$B$16)+(AF317*Settings!$B$17)+(AG317*Settings!$B$18)+(U317*Settings!$B$13)+(Y317*Settings!$B$10)+(Z317*Settings!$B$11),VLOOKUP(B317,'Standard Deviations'!A1:C728,3,FALSE))</f>
        <v>152.09103621944632</v>
      </c>
      <c r="J317" s="38">
        <f>IF(D317="G",I317/AJ317,I317/Q317)</f>
        <v>2.2953672837224013</v>
      </c>
      <c r="K317" s="37">
        <f>VLOOKUP(B317,D!A1:F227,6,FALSE)</f>
        <v>-159.47444540848113</v>
      </c>
      <c r="L317" s="37">
        <f>IFERROR(K317/H317,"N/A")</f>
        <v>-184.71950615635117</v>
      </c>
      <c r="M317" s="53" t="str">
        <f>IF(Settings!$E$9="YAHOO",VLOOKUP(B317,ADP!A1:E728,2,FALSE),IF(Settings!$E$9="ESPN",VLOOKUP(B317,ADP!A1:E728,3,FALSE),IF(Settings!$E$9="FANTRAX",VLOOKUP(B317,ADP!A1:E728,4,FALSE),VLOOKUP(B317,ADP!A1:E728,5,FALSE))))</f>
        <v>-</v>
      </c>
      <c r="N317" s="53" t="str">
        <f>IFERROR(M317-A317,"N/A")</f>
        <v>N/A</v>
      </c>
      <c r="O317" s="39"/>
      <c r="P317" s="40" t="str">
        <f>IF(Settings!$E$27="ON",VLOOKUP(B317,ADP!A1:H728,8,FALSE)," ")</f>
        <v xml:space="preserve"> </v>
      </c>
      <c r="Q317" s="41">
        <f>IF(Settings!$E$12="YES",VLOOKUP(B317,'Player Data'!A1:E734,5,FALSE),82)</f>
        <v>66.260000000000005</v>
      </c>
      <c r="R317" s="39">
        <f>VLOOKUP(B317,'Player Data'!$A1:$AE734,6,FALSE)</f>
        <v>20.604517182303201</v>
      </c>
      <c r="S317" s="41">
        <f>VLOOKUP(B317,'Player Data'!$A1:$AE734,7,FALSE)*$Q317*IFERROR((VLOOKUP(P317,Settings!$E$28:$F$33,2,FALSE)+1),1)</f>
        <v>6.1409721613376185</v>
      </c>
      <c r="T317" s="41">
        <f>VLOOKUP(B317,'Player Data'!$A1:$AE734,8,FALSE)*$Q317*IFERROR((VLOOKUP(P317,Settings!$E$28:$F$33,2,FALSE)+1),1)</f>
        <v>21.765835758940185</v>
      </c>
      <c r="U317" s="41">
        <f>SUM(S317:T317)</f>
        <v>27.906807920277803</v>
      </c>
      <c r="V317" s="41">
        <f>VLOOKUP(B317,'Player Data'!$A1:$AE734,10,FALSE)*$Q317*IFERROR(((VLOOKUP(P317,Settings!$E$28:$F$33,2,FALSE)/2)+1),1)</f>
        <v>83.34974199608871</v>
      </c>
      <c r="W317" s="41">
        <f>VLOOKUP(B317,'Player Data'!$A1:$AE734,11,FALSE)*$Q317*IFERROR((VLOOKUP(P317,Settings!$E$28:$F$33,2,FALSE)+1),1)</f>
        <v>0.3108040381878695</v>
      </c>
      <c r="X317" s="41">
        <f>VLOOKUP(B317,'Player Data'!$A1:$AE734,12,FALSE)*$Q317*IFERROR((VLOOKUP(P317,Settings!$E$28:$F$33,2,FALSE)+1),1)</f>
        <v>2.097044184262741</v>
      </c>
      <c r="Y317" s="41">
        <f>VLOOKUP(B317,'Player Data'!$A1:$AE734,13,FALSE)*$Q317</f>
        <v>5.2893126642819061E-2</v>
      </c>
      <c r="Z317" s="41">
        <f>VLOOKUP(B317,'Player Data'!$A1:$AE734,14,FALSE)*$Q317</f>
        <v>0.20179440603735332</v>
      </c>
      <c r="AA317" s="41">
        <f>VLOOKUP(B317,'Player Data'!$A1:$AE734,15,FALSE)*$Q317</f>
        <v>110.49032139984197</v>
      </c>
      <c r="AB317" s="41">
        <f>VLOOKUP(B317,'Player Data'!$A1:$AE734,16,FALSE)*$Q317</f>
        <v>116.52557884842359</v>
      </c>
      <c r="AC317" s="41">
        <f>VLOOKUP(B317,'Player Data'!$A1:$AE734,17,FALSE)*$Q317*IFERROR((VLOOKUP(P317,Settings!$E$28:$F$33,2,FALSE)+1),1)</f>
        <v>-7.7756451536743949</v>
      </c>
      <c r="AD317" s="41">
        <f>VLOOKUP(B317,'Player Data'!$A1:$AE734,18,FALSE)*$Q317</f>
        <v>38.407290133690857</v>
      </c>
      <c r="AE317" s="41">
        <f>VLOOKUP(B317,'Player Data'!$A1:$AE734,19,FALSE)*$Q317*IFERROR((VLOOKUP(P317,Settings!$E$28:$F$33,2,FALSE)+1),1)</f>
        <v>0.66549160973394939</v>
      </c>
      <c r="AF317" s="41">
        <f>VLOOKUP(B317,'Player Data'!$A1:$AE734,20,FALSE)*$Q317</f>
        <v>0</v>
      </c>
      <c r="AG317" s="41">
        <f>VLOOKUP(B317,'Player Data'!$A1:$AE734,21,FALSE)*$Q317</f>
        <v>0</v>
      </c>
      <c r="AH317" s="42">
        <f>VLOOKUP(B317,'Player Data'!$A1:$AE734,22,FALSE)</f>
        <v>0</v>
      </c>
      <c r="AI317" s="39"/>
      <c r="AJ317" s="43"/>
      <c r="AK317" s="41"/>
      <c r="AL317" s="41"/>
      <c r="AM317" s="41"/>
      <c r="AN317" s="41"/>
      <c r="AO317" s="41"/>
      <c r="AP317" s="41"/>
      <c r="AQ317" s="44"/>
      <c r="AR317" s="45"/>
      <c r="AS317" s="39"/>
    </row>
    <row r="318" spans="1:45" ht="21.25" customHeight="1" x14ac:dyDescent="0.15">
      <c r="A318" s="31">
        <f>RANK(K318,K$2:K$727)</f>
        <v>317</v>
      </c>
      <c r="B318" s="8" t="s">
        <v>422</v>
      </c>
      <c r="C318" s="32" t="s">
        <v>106</v>
      </c>
      <c r="D318" s="33" t="str">
        <f>VLOOKUP(B318,'Player Data'!A1:D734,4,FALSE)</f>
        <v>G</v>
      </c>
      <c r="E318" s="50">
        <f>VLOOKUP(B318,G!A1:D75,3,FALSE)</f>
        <v>35</v>
      </c>
      <c r="F318" s="35" t="str">
        <f>VLOOKUP(B318,'Player Data'!A1:B734,2,FALSE)</f>
        <v>ARI</v>
      </c>
      <c r="G318" s="9">
        <f>VLOOKUP(B318,'Player Data'!A1:D734,3,FALSE)</f>
        <v>26</v>
      </c>
      <c r="H318" s="36">
        <f>IFERROR(VLOOKUP(B318,ADP!A1:G728,7,FALSE)/1000000,VLOOKUP(B318,ADP!A1:G728,7,FALSE))</f>
        <v>0</v>
      </c>
      <c r="I318" s="37">
        <f>IF(Settings!$E$15="POINTS",(AJ318*Settings!$B$29)+(AK318*Settings!$B$21)+(AL318*Settings!$B$22)+(AN318*Settings!$B$24)+(AO318*Settings!$B$25)+(AP318*Settings!$B$27)+(AM318*Settings!$B$23),VLOOKUP(B318,'Standard Deviations'!A1:C728,3,FALSE))</f>
        <v>238.41774472443512</v>
      </c>
      <c r="J318" s="38">
        <f>IF(D318="G",I318/AJ318,I318/Q318)</f>
        <v>6.8119355635552896</v>
      </c>
      <c r="K318" s="37">
        <f>VLOOKUP(B318,G!A1:F75,6,FALSE)</f>
        <v>-160.35791736488108</v>
      </c>
      <c r="L318" s="52" t="str">
        <f>IFERROR(K318/H318,"N/A")</f>
        <v>N/A</v>
      </c>
      <c r="M318" s="53" t="str">
        <f>IF(Settings!$E$9="YAHOO",VLOOKUP(B318,ADP!A1:E728,2,FALSE),IF(Settings!$E$9="ESPN",VLOOKUP(B318,ADP!A1:E728,3,FALSE),IF(Settings!$E$9="FANTRAX",VLOOKUP(B318,ADP!A1:E728,4,FALSE),VLOOKUP(B318,ADP!A1:E728,5,FALSE))))</f>
        <v>-</v>
      </c>
      <c r="N318" s="53" t="str">
        <f>IFERROR(M318-A318,"N/A")</f>
        <v>N/A</v>
      </c>
      <c r="O318" s="39"/>
      <c r="P318" s="40" t="str">
        <f>IF(Settings!$E$27="ON",VLOOKUP(B318,ADP!A1:H728,8,FALSE)," ")</f>
        <v xml:space="preserve"> </v>
      </c>
      <c r="Q318" s="41"/>
      <c r="R318" s="5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2"/>
      <c r="AI318" s="39"/>
      <c r="AJ318" s="43">
        <f>VLOOKUP(B318,'Player Data'!$A1:$AE734,24,FALSE)</f>
        <v>35</v>
      </c>
      <c r="AK318" s="41">
        <f>VLOOKUP(B318,'Player Data'!$A1:$AE734,25,FALSE)*$AJ318*IFERROR((VLOOKUP(P318,Settings!$E$28:$F$33,2,FALSE)+1),1)</f>
        <v>15.392644164046869</v>
      </c>
      <c r="AL318" s="41">
        <f>AJ318-AK318-AM318</f>
        <v>15.232355835953129</v>
      </c>
      <c r="AM318" s="41">
        <f>VLOOKUP(B318,'Player Data'!$A1:$AE734,27,FALSE)*$AJ318</f>
        <v>4.375</v>
      </c>
      <c r="AN318" s="41">
        <f>VLOOKUP(B318,'Player Data'!$A1:$AE734,28,FALSE)*AJ318</f>
        <v>1.7724686636322819</v>
      </c>
      <c r="AO318" s="41">
        <f>VLOOKUP(B318,'Player Data'!$A1:$AE734,29,FALSE)*$AJ318*IFERROR((VLOOKUP(P318,Settings!$E$28:$F$33,2,FALSE)/4)+1,1)</f>
        <v>982.53618983893807</v>
      </c>
      <c r="AP318" s="41">
        <f>VLOOKUP(B318,'Player Data'!$A1:$AE734,31,FALSE)*$AJ318*(IFERROR(1-(VLOOKUP(P318,Settings!$E$28:$F$33,2,FALSE)/4),1))</f>
        <v>100.85774000481304</v>
      </c>
      <c r="AQ318" s="44">
        <f>1-(AP318/(AO318+AP318))</f>
        <v>0.906905754936841</v>
      </c>
      <c r="AR318" s="45">
        <f>AP318/AJ318</f>
        <v>2.8816497144232298</v>
      </c>
      <c r="AS318" s="39"/>
    </row>
    <row r="319" spans="1:45" ht="21.25" customHeight="1" x14ac:dyDescent="0.15">
      <c r="A319" s="31">
        <f>RANK(K319,K$2:K$727)</f>
        <v>318</v>
      </c>
      <c r="B319" s="8" t="s">
        <v>423</v>
      </c>
      <c r="C319" s="32" t="s">
        <v>106</v>
      </c>
      <c r="D319" s="33" t="str">
        <f>VLOOKUP(B319,'Player Data'!A1:D734,4,FALSE)</f>
        <v>LW</v>
      </c>
      <c r="E319" s="47">
        <f>VLOOKUP(B319,LW!A1:C130,3,FALSE)</f>
        <v>62</v>
      </c>
      <c r="F319" s="35" t="str">
        <f>VLOOKUP(B319,'Player Data'!A1:B734,2,FALSE)</f>
        <v>BOS</v>
      </c>
      <c r="G319" s="9">
        <f>VLOOKUP(B319,'Player Data'!A1:D734,3,FALSE)</f>
        <v>34</v>
      </c>
      <c r="H319" s="36">
        <f>IFERROR(VLOOKUP(B319,ADP!A1:G728,7,FALSE)/1000000,VLOOKUP(B319,ADP!A1:G728,7,FALSE))</f>
        <v>1</v>
      </c>
      <c r="I319" s="37">
        <f>IF(Settings!$E$15="POINTS",((R319*Q319)*Settings!$B$12)+(S319*Settings!$B$2)+(T319*Settings!$B$3)+(U319*Settings!$B$4)+(V319*Settings!$B$5)+(X319*Settings!$B$9)+(AA319*Settings!$B$6)+(W319*Settings!$B$8)+(AB319*Settings!$B$7)+(AC319*Settings!$B$14)+(AD319*Settings!$B$15)+(AE319*Settings!$B$16)+(AF319*Settings!$B$17)+(AG319*Settings!$B$18)+(Y319*Settings!$B$10)+(Z319*Settings!$B$11),VLOOKUP(B319,'Standard Deviations'!A1:C728,3,FALSE))</f>
        <v>203.51951999577028</v>
      </c>
      <c r="J319" s="38">
        <f>IF(D319="G",I319/AJ319,I319/Q319)</f>
        <v>2.5991445994159865</v>
      </c>
      <c r="K319" s="37">
        <f>IF(Settings!$E$18="C/LW/RW",VLOOKUP(B319,LW!A1:F130,6,FALSE),VLOOKUP(B319,F!A1:F430,6,FALSE))</f>
        <v>-160.52108486188018</v>
      </c>
      <c r="L319" s="37">
        <f>IFERROR(K319/H319,"N/A")</f>
        <v>-160.52108486188018</v>
      </c>
      <c r="M319" s="53" t="str">
        <f>IF(Settings!$E$9="YAHOO",VLOOKUP(B319,ADP!A1:E728,2,FALSE),IF(Settings!$E$9="ESPN",VLOOKUP(B319,ADP!A1:E728,3,FALSE),IF(Settings!$E$9="FANTRAX",VLOOKUP(B319,ADP!A1:E728,4,FALSE),VLOOKUP(B319,ADP!A1:E728,5,FALSE))))</f>
        <v>-</v>
      </c>
      <c r="N319" s="53" t="str">
        <f>IFERROR(M319-A319,"N/A")</f>
        <v>N/A</v>
      </c>
      <c r="O319" s="39"/>
      <c r="P319" s="40" t="str">
        <f>IF(Settings!$E$27="ON",VLOOKUP(B319,ADP!A1:H728,8,FALSE)," ")</f>
        <v xml:space="preserve"> </v>
      </c>
      <c r="Q319" s="41">
        <f>IF(Settings!$E$12="YES",VLOOKUP(B319,'Player Data'!A1:E734,5,FALSE),82)</f>
        <v>78.302499999999995</v>
      </c>
      <c r="R319" s="39">
        <f>VLOOKUP(B319,'Player Data'!$A1:$AE734,6,FALSE)</f>
        <v>15.3075794547175</v>
      </c>
      <c r="S319" s="41">
        <f>VLOOKUP(B319,'Player Data'!$A1:$AE734,7,FALSE)*$Q319*IFERROR((VLOOKUP(P319,Settings!$E$28:$F$33,2,FALSE)+1),1)</f>
        <v>16.654531245479504</v>
      </c>
      <c r="T319" s="41">
        <f>VLOOKUP(B319,'Player Data'!$A1:$AE734,8,FALSE)*$Q319*IFERROR((VLOOKUP(P319,Settings!$E$28:$F$33,2,FALSE)+1),1)</f>
        <v>18.474948226219169</v>
      </c>
      <c r="U319" s="41">
        <f>SUM(S319:T319)</f>
        <v>35.129479471698673</v>
      </c>
      <c r="V319" s="41">
        <f>VLOOKUP(B319,'Player Data'!$A1:$AE734,10,FALSE)*$Q319*IFERROR(((VLOOKUP(P319,Settings!$E$28:$F$33,2,FALSE)/2)+1),1)</f>
        <v>157.9901286626762</v>
      </c>
      <c r="W319" s="41">
        <f>VLOOKUP(B319,'Player Data'!$A1:$AE734,11,FALSE)*$Q319*IFERROR((VLOOKUP(P319,Settings!$E$28:$F$33,2,FALSE)+1),1)</f>
        <v>4.9083740240843925</v>
      </c>
      <c r="X319" s="41">
        <f>VLOOKUP(B319,'Player Data'!$A1:$AE734,12,FALSE)*$Q319*IFERROR((VLOOKUP(P319,Settings!$E$28:$F$33,2,FALSE)+1),1)</f>
        <v>6.9484433697235293</v>
      </c>
      <c r="Y319" s="41">
        <f>VLOOKUP(B319,'Player Data'!$A1:$AE734,13,FALSE)*$Q319</f>
        <v>2.3536863202714372E-3</v>
      </c>
      <c r="Z319" s="41">
        <f>VLOOKUP(B319,'Player Data'!$A1:$AE734,14,FALSE)*$Q319</f>
        <v>4.3271679846696529E-3</v>
      </c>
      <c r="AA319" s="41">
        <f>VLOOKUP(B319,'Player Data'!$A1:$AE734,15,FALSE)*$Q319</f>
        <v>26.152380869598822</v>
      </c>
      <c r="AB319" s="41">
        <f>VLOOKUP(B319,'Player Data'!$A1:$AE734,16,FALSE)*$Q319</f>
        <v>36.054606110471738</v>
      </c>
      <c r="AC319" s="41">
        <f>VLOOKUP(B319,'Player Data'!$A1:$AE734,17,FALSE)*$Q319*IFERROR((VLOOKUP(P319,Settings!$E$28:$F$33,2,FALSE)+1),1)</f>
        <v>3.8614109764808222</v>
      </c>
      <c r="AD319" s="41">
        <f>VLOOKUP(B319,'Player Data'!$A1:$AE734,18,FALSE)*$Q319</f>
        <v>27.390029341563729</v>
      </c>
      <c r="AE319" s="41">
        <f>VLOOKUP(B319,'Player Data'!$A1:$AE734,19,FALSE)*$Q319*IFERROR((VLOOKUP(P319,Settings!$E$28:$F$33,2,FALSE)+1),1)</f>
        <v>2.7959680452601869</v>
      </c>
      <c r="AF319" s="41">
        <f>VLOOKUP(B319,'Player Data'!$A1:$AE734,20,FALSE)*$Q319</f>
        <v>9.0120538912732542</v>
      </c>
      <c r="AG319" s="41">
        <f>VLOOKUP(B319,'Player Data'!$A1:$AE734,21,FALSE)*$Q319</f>
        <v>10.386720554504986</v>
      </c>
      <c r="AH319" s="42">
        <f>VLOOKUP(B319,'Player Data'!$A1:$AE734,22,FALSE)</f>
        <v>0.46456820849497399</v>
      </c>
      <c r="AI319" s="39"/>
      <c r="AJ319" s="43"/>
      <c r="AK319" s="41"/>
      <c r="AL319" s="41"/>
      <c r="AM319" s="41"/>
      <c r="AN319" s="41"/>
      <c r="AO319" s="41"/>
      <c r="AP319" s="41"/>
      <c r="AQ319" s="44"/>
      <c r="AR319" s="45"/>
      <c r="AS319" s="39"/>
    </row>
    <row r="320" spans="1:45" ht="21.25" customHeight="1" x14ac:dyDescent="0.15">
      <c r="A320" s="31">
        <f>RANK(K320,K$2:K$727)</f>
        <v>319</v>
      </c>
      <c r="B320" s="8" t="s">
        <v>424</v>
      </c>
      <c r="C320" s="32" t="s">
        <v>106</v>
      </c>
      <c r="D320" s="33" t="str">
        <f>VLOOKUP(B320,'Player Data'!A1:D734,4,FALSE)</f>
        <v>D</v>
      </c>
      <c r="E320" s="49">
        <f>VLOOKUP(B320,D!A1:C227,3,FALSE)</f>
        <v>96</v>
      </c>
      <c r="F320" s="35" t="str">
        <f>VLOOKUP(B320,'Player Data'!A1:B734,2,FALSE)</f>
        <v>SJS</v>
      </c>
      <c r="G320" s="9">
        <f>VLOOKUP(B320,'Player Data'!A1:D734,3,FALSE)</f>
        <v>29</v>
      </c>
      <c r="H320" s="36">
        <f>IFERROR(VLOOKUP(B320,ADP!A1:G728,7,FALSE)/1000000,VLOOKUP(B320,ADP!A1:G728,7,FALSE))</f>
        <v>1.25</v>
      </c>
      <c r="I320" s="37">
        <f>IF(Settings!$E$15="POINTS",((R320*Q320)*Settings!$B$12)+(S320*Settings!$B$2)+(T320*Settings!$B$3)+(U320*Settings!$B$4)+(V320*Settings!$B$5)+(X320*Settings!$B$9)+(AA320*Settings!$B$6)+(W320*Settings!$B$8)+(AB320*Settings!$B$7)+(AC320*Settings!$B$14)+(AD320*Settings!$B$15)+(AE320*Settings!$B$16)+(AF320*Settings!$B$17)+(AG320*Settings!$B$18)+(U320*Settings!$B$13)+(Y320*Settings!$B$10)+(Z320*Settings!$B$11),VLOOKUP(B320,'Standard Deviations'!A1:C728,3,FALSE))</f>
        <v>150.95949698066937</v>
      </c>
      <c r="J320" s="38">
        <f>IF(D320="G",I320/AJ320,I320/Q320)</f>
        <v>2.0455216393044631</v>
      </c>
      <c r="K320" s="37">
        <f>VLOOKUP(B320,D!A1:F227,6,FALSE)</f>
        <v>-160.60598464725808</v>
      </c>
      <c r="L320" s="37">
        <f>IFERROR(K320/H320,"N/A")</f>
        <v>-128.48478771780646</v>
      </c>
      <c r="M320" s="53" t="str">
        <f>IF(Settings!$E$9="YAHOO",VLOOKUP(B320,ADP!A1:E728,2,FALSE),IF(Settings!$E$9="ESPN",VLOOKUP(B320,ADP!A1:E728,3,FALSE),IF(Settings!$E$9="FANTRAX",VLOOKUP(B320,ADP!A1:E728,4,FALSE),VLOOKUP(B320,ADP!A1:E728,5,FALSE))))</f>
        <v>-</v>
      </c>
      <c r="N320" s="53" t="str">
        <f>IFERROR(M320-A320,"N/A")</f>
        <v>N/A</v>
      </c>
      <c r="O320" s="39"/>
      <c r="P320" s="40" t="str">
        <f>IF(Settings!$E$27="ON",VLOOKUP(B320,ADP!A1:H728,8,FALSE)," ")</f>
        <v xml:space="preserve"> </v>
      </c>
      <c r="Q320" s="41">
        <f>IF(Settings!$E$12="YES",VLOOKUP(B320,'Player Data'!A1:E734,5,FALSE),82)</f>
        <v>73.8</v>
      </c>
      <c r="R320" s="39">
        <f>VLOOKUP(B320,'Player Data'!$A1:$AE734,6,FALSE)</f>
        <v>22.920313332288799</v>
      </c>
      <c r="S320" s="41">
        <f>VLOOKUP(B320,'Player Data'!$A1:$AE734,7,FALSE)*$Q320*IFERROR((VLOOKUP(P320,Settings!$E$28:$F$33,2,FALSE)+1),1)</f>
        <v>2.4537159039641026</v>
      </c>
      <c r="T320" s="41">
        <f>VLOOKUP(B320,'Player Data'!$A1:$AE734,8,FALSE)*$Q320*IFERROR((VLOOKUP(P320,Settings!$E$28:$F$33,2,FALSE)+1),1)</f>
        <v>22.395916961967664</v>
      </c>
      <c r="U320" s="41">
        <f>SUM(S320:T320)</f>
        <v>24.849632865931767</v>
      </c>
      <c r="V320" s="41">
        <f>VLOOKUP(B320,'Player Data'!$A1:$AE734,10,FALSE)*$Q320*IFERROR(((VLOOKUP(P320,Settings!$E$28:$F$33,2,FALSE)/2)+1),1)</f>
        <v>85.113496350168603</v>
      </c>
      <c r="W320" s="41">
        <f>VLOOKUP(B320,'Player Data'!$A1:$AE734,11,FALSE)*$Q320*IFERROR((VLOOKUP(P320,Settings!$E$28:$F$33,2,FALSE)+1),1)</f>
        <v>0.52819611028789981</v>
      </c>
      <c r="X320" s="41">
        <f>VLOOKUP(B320,'Player Data'!$A1:$AE734,12,FALSE)*$Q320*IFERROR((VLOOKUP(P320,Settings!$E$28:$F$33,2,FALSE)+1),1)</f>
        <v>4.0704241883176602</v>
      </c>
      <c r="Y320" s="41">
        <f>VLOOKUP(B320,'Player Data'!$A1:$AE734,13,FALSE)*$Q320</f>
        <v>2.1223877218558541E-2</v>
      </c>
      <c r="Z320" s="41">
        <f>VLOOKUP(B320,'Player Data'!$A1:$AE734,14,FALSE)*$Q320</f>
        <v>0.71999570734784291</v>
      </c>
      <c r="AA320" s="41">
        <f>VLOOKUP(B320,'Player Data'!$A1:$AE734,15,FALSE)*$Q320</f>
        <v>121.36505208229383</v>
      </c>
      <c r="AB320" s="41">
        <f>VLOOKUP(B320,'Player Data'!$A1:$AE734,16,FALSE)*$Q320</f>
        <v>107.9750378478372</v>
      </c>
      <c r="AC320" s="41">
        <f>VLOOKUP(B320,'Player Data'!$A1:$AE734,17,FALSE)*$Q320*IFERROR((VLOOKUP(P320,Settings!$E$28:$F$33,2,FALSE)+1),1)</f>
        <v>-0.80926841232886781</v>
      </c>
      <c r="AD320" s="41">
        <f>VLOOKUP(B320,'Player Data'!$A1:$AE734,18,FALSE)*$Q320</f>
        <v>40.321233982061962</v>
      </c>
      <c r="AE320" s="41">
        <f>VLOOKUP(B320,'Player Data'!$A1:$AE734,19,FALSE)*$Q320*IFERROR((VLOOKUP(P320,Settings!$E$28:$F$33,2,FALSE)+1),1)</f>
        <v>0.2979344633594922</v>
      </c>
      <c r="AF320" s="41">
        <f>VLOOKUP(B320,'Player Data'!$A1:$AE734,20,FALSE)*$Q320</f>
        <v>0</v>
      </c>
      <c r="AG320" s="41">
        <f>VLOOKUP(B320,'Player Data'!$A1:$AE734,21,FALSE)*$Q320</f>
        <v>0</v>
      </c>
      <c r="AH320" s="42">
        <f>VLOOKUP(B320,'Player Data'!$A1:$AE734,22,FALSE)</f>
        <v>0</v>
      </c>
      <c r="AI320" s="39"/>
      <c r="AJ320" s="43"/>
      <c r="AK320" s="41"/>
      <c r="AL320" s="41"/>
      <c r="AM320" s="41"/>
      <c r="AN320" s="41"/>
      <c r="AO320" s="41"/>
      <c r="AP320" s="41"/>
      <c r="AQ320" s="44"/>
      <c r="AR320" s="45"/>
      <c r="AS320" s="39"/>
    </row>
    <row r="321" spans="1:45" ht="21.25" customHeight="1" x14ac:dyDescent="0.15">
      <c r="A321" s="31">
        <f>RANK(K321,K$2:K$727)</f>
        <v>320</v>
      </c>
      <c r="B321" s="8" t="s">
        <v>425</v>
      </c>
      <c r="C321" s="32" t="s">
        <v>106</v>
      </c>
      <c r="D321" s="33" t="str">
        <f>VLOOKUP(B321,'Player Data'!A1:D734,4,FALSE)</f>
        <v>LW</v>
      </c>
      <c r="E321" s="47">
        <f>VLOOKUP(B321,LW!A1:C130,3,FALSE)</f>
        <v>63</v>
      </c>
      <c r="F321" s="35" t="str">
        <f>VLOOKUP(B321,'Player Data'!A1:B734,2,FALSE)</f>
        <v>ARI</v>
      </c>
      <c r="G321" s="9">
        <f>VLOOKUP(B321,'Player Data'!A1:D734,3,FALSE)</f>
        <v>31</v>
      </c>
      <c r="H321" s="36">
        <f>IFERROR(VLOOKUP(B321,ADP!A1:G728,7,FALSE)/1000000,VLOOKUP(B321,ADP!A1:G728,7,FALSE))</f>
        <v>5.3</v>
      </c>
      <c r="I321" s="37">
        <f>IF(Settings!$E$15="POINTS",((R321*Q321)*Settings!$B$12)+(S321*Settings!$B$2)+(T321*Settings!$B$3)+(U321*Settings!$B$4)+(V321*Settings!$B$5)+(X321*Settings!$B$9)+(AA321*Settings!$B$6)+(W321*Settings!$B$8)+(AB321*Settings!$B$7)+(AC321*Settings!$B$14)+(AD321*Settings!$B$15)+(AE321*Settings!$B$16)+(AF321*Settings!$B$17)+(AG321*Settings!$B$18)+(Y321*Settings!$B$10)+(Z321*Settings!$B$11),VLOOKUP(B321,'Standard Deviations'!A1:C728,3,FALSE))</f>
        <v>203.41190511985511</v>
      </c>
      <c r="J321" s="38">
        <f>IF(D321="G",I321/AJ321,I321/Q321)</f>
        <v>2.7846797518987065</v>
      </c>
      <c r="K321" s="37">
        <f>IF(Settings!$E$18="C/LW/RW",VLOOKUP(B321,LW!A1:F130,6,FALSE),VLOOKUP(B321,F!A1:F430,6,FALSE))</f>
        <v>-160.62869973779536</v>
      </c>
      <c r="L321" s="37">
        <f>IFERROR(K321/H321,"N/A")</f>
        <v>-30.30730183731988</v>
      </c>
      <c r="M321" s="39">
        <f>IF(Settings!$E$9="YAHOO",VLOOKUP(B321,ADP!A1:E728,2,FALSE),IF(Settings!$E$9="ESPN",VLOOKUP(B321,ADP!A1:E728,3,FALSE),IF(Settings!$E$9="FANTRAX",VLOOKUP(B321,ADP!A1:E728,4,FALSE),VLOOKUP(B321,ADP!A1:E728,5,FALSE))))</f>
        <v>171.4</v>
      </c>
      <c r="N321" s="39">
        <f>IFERROR(M321-A321,"N/A")</f>
        <v>-148.6</v>
      </c>
      <c r="O321" s="39"/>
      <c r="P321" s="40" t="str">
        <f>IF(Settings!$E$27="ON",VLOOKUP(B321,ADP!A1:H728,8,FALSE)," ")</f>
        <v xml:space="preserve"> </v>
      </c>
      <c r="Q321" s="41">
        <f>IF(Settings!$E$12="YES",VLOOKUP(B321,'Player Data'!A1:E734,5,FALSE),82)</f>
        <v>73.046785714285704</v>
      </c>
      <c r="R321" s="39">
        <f>VLOOKUP(B321,'Player Data'!$A1:$AE734,6,FALSE)</f>
        <v>14.687193654655101</v>
      </c>
      <c r="S321" s="41">
        <f>VLOOKUP(B321,'Player Data'!$A1:$AE734,7,FALSE)*$Q321*IFERROR((VLOOKUP(P321,Settings!$E$28:$F$33,2,FALSE)+1),1)</f>
        <v>18.994332217476305</v>
      </c>
      <c r="T321" s="41">
        <f>VLOOKUP(B321,'Player Data'!$A1:$AE734,8,FALSE)*$Q321*IFERROR((VLOOKUP(P321,Settings!$E$28:$F$33,2,FALSE)+1),1)</f>
        <v>16.722606046651482</v>
      </c>
      <c r="U321" s="41">
        <f>SUM(S321:T321)</f>
        <v>35.716938264127791</v>
      </c>
      <c r="V321" s="41">
        <f>VLOOKUP(B321,'Player Data'!$A1:$AE734,10,FALSE)*$Q321*IFERROR(((VLOOKUP(P321,Settings!$E$28:$F$33,2,FALSE)/2)+1),1)</f>
        <v>165.51135212127832</v>
      </c>
      <c r="W321" s="41">
        <f>VLOOKUP(B321,'Player Data'!$A1:$AE734,11,FALSE)*$Q321*IFERROR((VLOOKUP(P321,Settings!$E$28:$F$33,2,FALSE)+1),1)</f>
        <v>1.1318515606625696</v>
      </c>
      <c r="X321" s="41">
        <f>VLOOKUP(B321,'Player Data'!$A1:$AE734,12,FALSE)*$Q321*IFERROR((VLOOKUP(P321,Settings!$E$28:$F$33,2,FALSE)+1),1)</f>
        <v>3.9174875133298372</v>
      </c>
      <c r="Y321" s="41">
        <f>VLOOKUP(B321,'Player Data'!$A1:$AE734,13,FALSE)*$Q321</f>
        <v>1.0948401018673159E-3</v>
      </c>
      <c r="Z321" s="41">
        <f>VLOOKUP(B321,'Player Data'!$A1:$AE734,14,FALSE)*$Q321</f>
        <v>1.9970987981032928E-3</v>
      </c>
      <c r="AA321" s="41">
        <f>VLOOKUP(B321,'Player Data'!$A1:$AE734,15,FALSE)*$Q321</f>
        <v>28.332225212883625</v>
      </c>
      <c r="AB321" s="41">
        <f>VLOOKUP(B321,'Player Data'!$A1:$AE734,16,FALSE)*$Q321</f>
        <v>153.88491362576073</v>
      </c>
      <c r="AC321" s="41">
        <f>VLOOKUP(B321,'Player Data'!$A1:$AE734,17,FALSE)*$Q321*IFERROR((VLOOKUP(P321,Settings!$E$28:$F$33,2,FALSE)+1),1)</f>
        <v>-1.6511195305129371</v>
      </c>
      <c r="AD321" s="41">
        <f>VLOOKUP(B321,'Player Data'!$A1:$AE734,18,FALSE)*$Q321</f>
        <v>31.016445275044259</v>
      </c>
      <c r="AE321" s="41">
        <f>VLOOKUP(B321,'Player Data'!$A1:$AE734,19,FALSE)*$Q321*IFERROR((VLOOKUP(P321,Settings!$E$28:$F$33,2,FALSE)+1),1)</f>
        <v>2.341051365708525</v>
      </c>
      <c r="AF321" s="41">
        <f>VLOOKUP(B321,'Player Data'!$A1:$AE734,20,FALSE)*$Q321</f>
        <v>4.0066283319540501</v>
      </c>
      <c r="AG321" s="41">
        <f>VLOOKUP(B321,'Player Data'!$A1:$AE734,21,FALSE)*$Q321</f>
        <v>10.707524426039898</v>
      </c>
      <c r="AH321" s="42">
        <f>VLOOKUP(B321,'Player Data'!$A1:$AE734,22,FALSE)</f>
        <v>0.272297589800224</v>
      </c>
      <c r="AI321" s="39"/>
      <c r="AJ321" s="43"/>
      <c r="AK321" s="41"/>
      <c r="AL321" s="41"/>
      <c r="AM321" s="41"/>
      <c r="AN321" s="41"/>
      <c r="AO321" s="41"/>
      <c r="AP321" s="41"/>
      <c r="AQ321" s="44"/>
      <c r="AR321" s="45"/>
      <c r="AS321" s="39"/>
    </row>
    <row r="322" spans="1:45" ht="21.25" customHeight="1" x14ac:dyDescent="0.15">
      <c r="A322" s="31">
        <f>RANK(K322,K$2:K$727)</f>
        <v>321</v>
      </c>
      <c r="B322" s="8" t="s">
        <v>426</v>
      </c>
      <c r="C322" s="32" t="s">
        <v>106</v>
      </c>
      <c r="D322" s="33" t="str">
        <f>VLOOKUP(B322,'Player Data'!A1:D734,4,FALSE)</f>
        <v>C</v>
      </c>
      <c r="E322" s="34">
        <f>VLOOKUP(B322,'C'!A1:C211,3,FALSE)</f>
        <v>82</v>
      </c>
      <c r="F322" s="35" t="str">
        <f>VLOOKUP(B322,'Player Data'!A1:B734,2,FALSE)</f>
        <v>LAK</v>
      </c>
      <c r="G322" s="9">
        <f>VLOOKUP(B322,'Player Data'!A1:D734,3,FALSE)</f>
        <v>21</v>
      </c>
      <c r="H322" s="36">
        <f>IFERROR(VLOOKUP(B322,ADP!A1:G728,7,FALSE)/1000000,VLOOKUP(B322,ADP!A1:G728,7,FALSE))</f>
        <v>0.89416700000000005</v>
      </c>
      <c r="I322" s="37">
        <f>IF(Settings!$E$15="POINTS",((R322*Q322)*Settings!$B$12)+(S322*Settings!$B$2)+(T322*Settings!$B$3)+(U322*Settings!$B$4)+(V322*Settings!$B$5)+(X322*Settings!$B$9)+(AA322*Settings!$B$6)+(W322*Settings!$B$8)+(AB322*Settings!$B$7)+(AC322*Settings!$B$14)+(AD322*Settings!$B$15)+(AE322*Settings!$B$16)+(AF322*Settings!$B$17)+(AG322*Settings!$B$18)+(Y322*Settings!$B$10)+(Z322*Settings!$B$11),VLOOKUP(B322,'Standard Deviations'!A1:C728,3,FALSE))</f>
        <v>232.66702668700711</v>
      </c>
      <c r="J322" s="38">
        <f>IF(D322="G",I322/AJ322,I322/Q322)</f>
        <v>3.2660751245763415</v>
      </c>
      <c r="K322" s="37">
        <f>IF(Settings!$E$18="C/LW/RW",VLOOKUP(B322,'C'!A1:F211,6,FALSE),VLOOKUP(B322,F!A1:F430,6,FALSE))</f>
        <v>-160.66177907920255</v>
      </c>
      <c r="L322" s="37">
        <f>IFERROR(K322/H322,"N/A")</f>
        <v>-179.67759834483104</v>
      </c>
      <c r="M322" s="53" t="str">
        <f>IF(Settings!$E$9="YAHOO",VLOOKUP(B322,ADP!A1:E728,2,FALSE),IF(Settings!$E$9="ESPN",VLOOKUP(B322,ADP!A1:E728,3,FALSE),IF(Settings!$E$9="FANTRAX",VLOOKUP(B322,ADP!A1:E728,4,FALSE),VLOOKUP(B322,ADP!A1:E728,5,FALSE))))</f>
        <v>-</v>
      </c>
      <c r="N322" s="53" t="str">
        <f>IFERROR(M322-A322,"N/A")</f>
        <v>N/A</v>
      </c>
      <c r="O322" s="39"/>
      <c r="P322" s="40" t="str">
        <f>IF(Settings!$E$27="ON",VLOOKUP(B322,ADP!A1:H728,8,FALSE)," ")</f>
        <v>+ + +</v>
      </c>
      <c r="Q322" s="41">
        <f>IF(Settings!$E$12="YES",VLOOKUP(B322,'Player Data'!A1:E734,5,FALSE),82)</f>
        <v>71.237499999999997</v>
      </c>
      <c r="R322" s="39">
        <f>VLOOKUP(B322,'Player Data'!$A1:$AE734,6,FALSE)</f>
        <v>16.834877080397501</v>
      </c>
      <c r="S322" s="41">
        <f>VLOOKUP(B322,'Player Data'!$A1:$AE734,7,FALSE)*$Q322*IFERROR((VLOOKUP(P322,Settings!$E$28:$F$33,2,FALSE)+1),1)</f>
        <v>14.840773729527582</v>
      </c>
      <c r="T322" s="41">
        <f>VLOOKUP(B322,'Player Data'!$A1:$AE734,8,FALSE)*$Q322*IFERROR((VLOOKUP(P322,Settings!$E$28:$F$33,2,FALSE)+1),1)</f>
        <v>32.30771798662623</v>
      </c>
      <c r="U322" s="41">
        <f>SUM(S322:T322)</f>
        <v>47.148491716153814</v>
      </c>
      <c r="V322" s="41">
        <f>VLOOKUP(B322,'Player Data'!$A1:$AE734,10,FALSE)*$Q322*IFERROR(((VLOOKUP(P322,Settings!$E$28:$F$33,2,FALSE)/2)+1),1)</f>
        <v>139.37648262428303</v>
      </c>
      <c r="W322" s="41">
        <f>VLOOKUP(B322,'Player Data'!$A1:$AE734,11,FALSE)*$Q322*IFERROR((VLOOKUP(P322,Settings!$E$28:$F$33,2,FALSE)+1),1)</f>
        <v>3.9773118404691257</v>
      </c>
      <c r="X322" s="41">
        <f>VLOOKUP(B322,'Player Data'!$A1:$AE734,12,FALSE)*$Q322*IFERROR((VLOOKUP(P322,Settings!$E$28:$F$33,2,FALSE)+1),1)</f>
        <v>8.0855207141186209</v>
      </c>
      <c r="Y322" s="41">
        <f>VLOOKUP(B322,'Player Data'!$A1:$AE734,13,FALSE)*$Q322</f>
        <v>4.0088074236283654E-2</v>
      </c>
      <c r="Z322" s="41">
        <f>VLOOKUP(B322,'Player Data'!$A1:$AE734,14,FALSE)*$Q322</f>
        <v>7.0495302099120735E-2</v>
      </c>
      <c r="AA322" s="41">
        <f>VLOOKUP(B322,'Player Data'!$A1:$AE734,15,FALSE)*$Q322</f>
        <v>26.106390969843439</v>
      </c>
      <c r="AB322" s="41">
        <f>VLOOKUP(B322,'Player Data'!$A1:$AE734,16,FALSE)*$Q322</f>
        <v>73.160650298156895</v>
      </c>
      <c r="AC322" s="41">
        <f>VLOOKUP(B322,'Player Data'!$A1:$AE734,17,FALSE)*$Q322*IFERROR((VLOOKUP(P322,Settings!$E$28:$F$33,2,FALSE)+1),1)</f>
        <v>0.81750605081442607</v>
      </c>
      <c r="AD322" s="41">
        <f>VLOOKUP(B322,'Player Data'!$A1:$AE734,18,FALSE)*$Q322</f>
        <v>41.948740860214926</v>
      </c>
      <c r="AE322" s="41">
        <f>VLOOKUP(B322,'Player Data'!$A1:$AE734,19,FALSE)*$Q322*IFERROR((VLOOKUP(P322,Settings!$E$28:$F$33,2,FALSE)+1),1)</f>
        <v>2.2033181226288927</v>
      </c>
      <c r="AF322" s="41">
        <f>VLOOKUP(B322,'Player Data'!$A1:$AE734,20,FALSE)*$Q322</f>
        <v>114.19271785314103</v>
      </c>
      <c r="AG322" s="41">
        <f>VLOOKUP(B322,'Player Data'!$A1:$AE734,21,FALSE)*$Q322</f>
        <v>132.58940737880954</v>
      </c>
      <c r="AH322" s="42">
        <f>VLOOKUP(B322,'Player Data'!$A1:$AE734,22,FALSE)</f>
        <v>0.46272685975862698</v>
      </c>
      <c r="AI322" s="39"/>
      <c r="AJ322" s="43"/>
      <c r="AK322" s="41"/>
      <c r="AL322" s="41"/>
      <c r="AM322" s="41"/>
      <c r="AN322" s="41"/>
      <c r="AO322" s="41"/>
      <c r="AP322" s="41"/>
      <c r="AQ322" s="44"/>
      <c r="AR322" s="45"/>
      <c r="AS322" s="39"/>
    </row>
    <row r="323" spans="1:45" ht="21.25" customHeight="1" x14ac:dyDescent="0.15">
      <c r="A323" s="31">
        <f>RANK(K323,K$2:K$727)</f>
        <v>322</v>
      </c>
      <c r="B323" s="8" t="s">
        <v>427</v>
      </c>
      <c r="C323" s="32" t="s">
        <v>106</v>
      </c>
      <c r="D323" s="33" t="str">
        <f>VLOOKUP(B323,'Player Data'!A1:D734,4,FALSE)</f>
        <v>D</v>
      </c>
      <c r="E323" s="49">
        <f>VLOOKUP(B323,D!A1:C227,3,FALSE)</f>
        <v>97</v>
      </c>
      <c r="F323" s="35" t="str">
        <f>VLOOKUP(B323,'Player Data'!A1:B734,2,FALSE)</f>
        <v>WPG</v>
      </c>
      <c r="G323" s="9">
        <f>VLOOKUP(B323,'Player Data'!A1:D734,3,FALSE)</f>
        <v>32</v>
      </c>
      <c r="H323" s="36">
        <f>IFERROR(VLOOKUP(B323,ADP!A1:G728,7,FALSE)/1000000,VLOOKUP(B323,ADP!A1:G728,7,FALSE))</f>
        <v>5.95</v>
      </c>
      <c r="I323" s="37">
        <f>IF(Settings!$E$15="POINTS",((R323*Q323)*Settings!$B$12)+(S323*Settings!$B$2)+(T323*Settings!$B$3)+(U323*Settings!$B$4)+(V323*Settings!$B$5)+(X323*Settings!$B$9)+(AA323*Settings!$B$6)+(W323*Settings!$B$8)+(AB323*Settings!$B$7)+(AC323*Settings!$B$14)+(AD323*Settings!$B$15)+(AE323*Settings!$B$16)+(AF323*Settings!$B$17)+(AG323*Settings!$B$18)+(U323*Settings!$B$13)+(Y323*Settings!$B$10)+(Z323*Settings!$B$11),VLOOKUP(B323,'Standard Deviations'!A1:C728,3,FALSE))</f>
        <v>150.16710158224225</v>
      </c>
      <c r="J323" s="38">
        <f>IF(D323="G",I323/AJ323,I323/Q323)</f>
        <v>1.898514866124287</v>
      </c>
      <c r="K323" s="37">
        <f>VLOOKUP(B323,D!A1:F227,6,FALSE)</f>
        <v>-161.3983800456852</v>
      </c>
      <c r="L323" s="37">
        <f>IFERROR(K323/H323,"N/A")</f>
        <v>-27.12577815893869</v>
      </c>
      <c r="M323" s="53" t="str">
        <f>IF(Settings!$E$9="YAHOO",VLOOKUP(B323,ADP!A1:E728,2,FALSE),IF(Settings!$E$9="ESPN",VLOOKUP(B323,ADP!A1:E728,3,FALSE),IF(Settings!$E$9="FANTRAX",VLOOKUP(B323,ADP!A1:E728,4,FALSE),VLOOKUP(B323,ADP!A1:E728,5,FALSE))))</f>
        <v>-</v>
      </c>
      <c r="N323" s="53" t="str">
        <f>IFERROR(M323-A323,"N/A")</f>
        <v>N/A</v>
      </c>
      <c r="O323" s="39"/>
      <c r="P323" s="40" t="str">
        <f>IF(Settings!$E$27="ON",VLOOKUP(B323,ADP!A1:H728,8,FALSE)," ")</f>
        <v xml:space="preserve"> </v>
      </c>
      <c r="Q323" s="41">
        <f>IF(Settings!$E$12="YES",VLOOKUP(B323,'Player Data'!A1:E734,5,FALSE),82)</f>
        <v>79.097142857142899</v>
      </c>
      <c r="R323" s="39">
        <f>VLOOKUP(B323,'Player Data'!$A1:$AE734,6,FALSE)</f>
        <v>17.7943389967472</v>
      </c>
      <c r="S323" s="41">
        <f>VLOOKUP(B323,'Player Data'!$A1:$AE734,7,FALSE)*$Q323*IFERROR((VLOOKUP(P323,Settings!$E$28:$F$33,2,FALSE)+1),1)</f>
        <v>5.2295657445811079</v>
      </c>
      <c r="T323" s="41">
        <f>VLOOKUP(B323,'Player Data'!$A1:$AE734,8,FALSE)*$Q323*IFERROR((VLOOKUP(P323,Settings!$E$28:$F$33,2,FALSE)+1),1)</f>
        <v>17.31100550746439</v>
      </c>
      <c r="U323" s="41">
        <f>SUM(S323:T323)</f>
        <v>22.540571252045499</v>
      </c>
      <c r="V323" s="41">
        <f>VLOOKUP(B323,'Player Data'!$A1:$AE734,10,FALSE)*$Q323*IFERROR(((VLOOKUP(P323,Settings!$E$28:$F$33,2,FALSE)/2)+1),1)</f>
        <v>106.21924263746561</v>
      </c>
      <c r="W323" s="41">
        <f>VLOOKUP(B323,'Player Data'!$A1:$AE734,11,FALSE)*$Q323*IFERROR((VLOOKUP(P323,Settings!$E$28:$F$33,2,FALSE)+1),1)</f>
        <v>1.1164990638002183</v>
      </c>
      <c r="X323" s="41">
        <f>VLOOKUP(B323,'Player Data'!$A1:$AE734,12,FALSE)*$Q323*IFERROR((VLOOKUP(P323,Settings!$E$28:$F$33,2,FALSE)+1),1)</f>
        <v>5.1724525591979678</v>
      </c>
      <c r="Y323" s="41">
        <f>VLOOKUP(B323,'Player Data'!$A1:$AE734,13,FALSE)*$Q323</f>
        <v>1.7800833993539177E-2</v>
      </c>
      <c r="Z323" s="41">
        <f>VLOOKUP(B323,'Player Data'!$A1:$AE734,14,FALSE)*$Q323</f>
        <v>0.22679218693857103</v>
      </c>
      <c r="AA323" s="41">
        <f>VLOOKUP(B323,'Player Data'!$A1:$AE734,15,FALSE)*$Q323</f>
        <v>93.186385075499359</v>
      </c>
      <c r="AB323" s="41">
        <f>VLOOKUP(B323,'Player Data'!$A1:$AE734,16,FALSE)*$Q323</f>
        <v>57.750151539323014</v>
      </c>
      <c r="AC323" s="41">
        <f>VLOOKUP(B323,'Player Data'!$A1:$AE734,17,FALSE)*$Q323*IFERROR((VLOOKUP(P323,Settings!$E$28:$F$33,2,FALSE)+1),1)</f>
        <v>1.97551958292043</v>
      </c>
      <c r="AD323" s="41">
        <f>VLOOKUP(B323,'Player Data'!$A1:$AE734,18,FALSE)*$Q323</f>
        <v>12.273765621418743</v>
      </c>
      <c r="AE323" s="41">
        <f>VLOOKUP(B323,'Player Data'!$A1:$AE734,19,FALSE)*$Q323*IFERROR((VLOOKUP(P323,Settings!$E$28:$F$33,2,FALSE)+1),1)</f>
        <v>0.81582976046308309</v>
      </c>
      <c r="AF323" s="41">
        <f>VLOOKUP(B323,'Player Data'!$A1:$AE734,20,FALSE)*$Q323</f>
        <v>0</v>
      </c>
      <c r="AG323" s="41">
        <f>VLOOKUP(B323,'Player Data'!$A1:$AE734,21,FALSE)*$Q323</f>
        <v>0</v>
      </c>
      <c r="AH323" s="42">
        <f>VLOOKUP(B323,'Player Data'!$A1:$AE734,22,FALSE)</f>
        <v>0</v>
      </c>
      <c r="AI323" s="39"/>
      <c r="AJ323" s="41"/>
      <c r="AK323" s="41"/>
      <c r="AL323" s="41"/>
      <c r="AM323" s="41"/>
      <c r="AN323" s="41"/>
      <c r="AO323" s="41"/>
      <c r="AP323" s="41"/>
      <c r="AQ323" s="44"/>
      <c r="AR323" s="45"/>
      <c r="AS323" s="39"/>
    </row>
    <row r="324" spans="1:45" ht="21.25" customHeight="1" x14ac:dyDescent="0.15">
      <c r="A324" s="31">
        <f>RANK(K324,K$2:K$727)</f>
        <v>323</v>
      </c>
      <c r="B324" s="8" t="s">
        <v>428</v>
      </c>
      <c r="C324" s="32" t="s">
        <v>106</v>
      </c>
      <c r="D324" s="33" t="str">
        <f>VLOOKUP(B324,'Player Data'!A1:D734,4,FALSE)</f>
        <v>D</v>
      </c>
      <c r="E324" s="49">
        <f>VLOOKUP(B324,D!A1:C227,3,FALSE)</f>
        <v>98</v>
      </c>
      <c r="F324" s="35" t="str">
        <f>VLOOKUP(B324,'Player Data'!A1:B734,2,FALSE)</f>
        <v>TOR</v>
      </c>
      <c r="G324" s="9">
        <f>VLOOKUP(B324,'Player Data'!A1:D734,3,FALSE)</f>
        <v>24</v>
      </c>
      <c r="H324" s="36">
        <f>IFERROR(VLOOKUP(B324,ADP!A1:G728,7,FALSE)/1000000,VLOOKUP(B324,ADP!A1:G728,7,FALSE))</f>
        <v>1.4</v>
      </c>
      <c r="I324" s="37">
        <f>IF(Settings!$E$15="POINTS",((R324*Q324)*Settings!$B$12)+(S324*Settings!$B$2)+(T324*Settings!$B$3)+(U324*Settings!$B$4)+(V324*Settings!$B$5)+(X324*Settings!$B$9)+(AA324*Settings!$B$6)+(W324*Settings!$B$8)+(AB324*Settings!$B$7)+(AC324*Settings!$B$14)+(AD324*Settings!$B$15)+(AE324*Settings!$B$16)+(AF324*Settings!$B$17)+(AG324*Settings!$B$18)+(U324*Settings!$B$13)+(Y324*Settings!$B$10)+(Z324*Settings!$B$11),VLOOKUP(B324,'Standard Deviations'!A1:C728,3,FALSE))</f>
        <v>149.14144371363494</v>
      </c>
      <c r="J324" s="38">
        <f>IF(D324="G",I324/AJ324,I324/Q324)</f>
        <v>1.9970734294809176</v>
      </c>
      <c r="K324" s="37">
        <f>VLOOKUP(B324,D!A1:F227,6,FALSE)</f>
        <v>-162.42403791429251</v>
      </c>
      <c r="L324" s="37">
        <f>IFERROR(K324/H324,"N/A")</f>
        <v>-116.01716993878037</v>
      </c>
      <c r="M324" s="53" t="str">
        <f>IF(Settings!$E$9="YAHOO",VLOOKUP(B324,ADP!A1:E728,2,FALSE),IF(Settings!$E$9="ESPN",VLOOKUP(B324,ADP!A1:E728,3,FALSE),IF(Settings!$E$9="FANTRAX",VLOOKUP(B324,ADP!A1:E728,4,FALSE),VLOOKUP(B324,ADP!A1:E728,5,FALSE))))</f>
        <v>-</v>
      </c>
      <c r="N324" s="53" t="str">
        <f>IFERROR(M324-A324,"N/A")</f>
        <v>N/A</v>
      </c>
      <c r="O324" s="39"/>
      <c r="P324" s="40" t="str">
        <f>IF(Settings!$E$27="ON",VLOOKUP(B324,ADP!A1:H728,8,FALSE)," ")</f>
        <v xml:space="preserve"> </v>
      </c>
      <c r="Q324" s="41">
        <f>IF(Settings!$E$12="YES",VLOOKUP(B324,'Player Data'!A1:E734,5,FALSE),82)</f>
        <v>74.680000000000007</v>
      </c>
      <c r="R324" s="39">
        <f>VLOOKUP(B324,'Player Data'!$A1:$AE734,6,FALSE)</f>
        <v>18.9095921721681</v>
      </c>
      <c r="S324" s="41">
        <f>VLOOKUP(B324,'Player Data'!$A1:$AE734,7,FALSE)*$Q324*IFERROR((VLOOKUP(P324,Settings!$E$28:$F$33,2,FALSE)+1),1)</f>
        <v>6.4372898776969691</v>
      </c>
      <c r="T324" s="41">
        <f>VLOOKUP(B324,'Player Data'!$A1:$AE734,8,FALSE)*$Q324*IFERROR((VLOOKUP(P324,Settings!$E$28:$F$33,2,FALSE)+1),1)</f>
        <v>17.81967291358875</v>
      </c>
      <c r="U324" s="41">
        <f>SUM(S324:T324)</f>
        <v>24.256962791285719</v>
      </c>
      <c r="V324" s="41">
        <f>VLOOKUP(B324,'Player Data'!$A1:$AE734,10,FALSE)*$Q324*IFERROR(((VLOOKUP(P324,Settings!$E$28:$F$33,2,FALSE)/2)+1),1)</f>
        <v>100.15012311594309</v>
      </c>
      <c r="W324" s="41">
        <f>VLOOKUP(B324,'Player Data'!$A1:$AE734,11,FALSE)*$Q324*IFERROR((VLOOKUP(P324,Settings!$E$28:$F$33,2,FALSE)+1),1)</f>
        <v>0.2173261388342905</v>
      </c>
      <c r="X324" s="41">
        <f>VLOOKUP(B324,'Player Data'!$A1:$AE734,12,FALSE)*$Q324*IFERROR((VLOOKUP(P324,Settings!$E$28:$F$33,2,FALSE)+1),1)</f>
        <v>0.9801225416216196</v>
      </c>
      <c r="Y324" s="41">
        <f>VLOOKUP(B324,'Player Data'!$A1:$AE734,13,FALSE)*$Q324</f>
        <v>0.73858730318282695</v>
      </c>
      <c r="Z324" s="41">
        <f>VLOOKUP(B324,'Player Data'!$A1:$AE734,14,FALSE)*$Q324</f>
        <v>1.5801183987846354</v>
      </c>
      <c r="AA324" s="41">
        <f>VLOOKUP(B324,'Player Data'!$A1:$AE734,15,FALSE)*$Q324</f>
        <v>105.87505950496872</v>
      </c>
      <c r="AB324" s="41">
        <f>VLOOKUP(B324,'Player Data'!$A1:$AE734,16,FALSE)*$Q324</f>
        <v>122.39849517855588</v>
      </c>
      <c r="AC324" s="41">
        <f>VLOOKUP(B324,'Player Data'!$A1:$AE734,17,FALSE)*$Q324*IFERROR((VLOOKUP(P324,Settings!$E$28:$F$33,2,FALSE)+1),1)</f>
        <v>6.9230622143152658</v>
      </c>
      <c r="AD324" s="41">
        <f>VLOOKUP(B324,'Player Data'!$A1:$AE734,18,FALSE)*$Q324</f>
        <v>31.297328971468026</v>
      </c>
      <c r="AE324" s="41">
        <f>VLOOKUP(B324,'Player Data'!$A1:$AE734,19,FALSE)*$Q324*IFERROR((VLOOKUP(P324,Settings!$E$28:$F$33,2,FALSE)+1),1)</f>
        <v>1.0341489078463071</v>
      </c>
      <c r="AF324" s="41">
        <f>VLOOKUP(B324,'Player Data'!$A1:$AE734,20,FALSE)*$Q324</f>
        <v>0</v>
      </c>
      <c r="AG324" s="41">
        <f>VLOOKUP(B324,'Player Data'!$A1:$AE734,21,FALSE)*$Q324</f>
        <v>0</v>
      </c>
      <c r="AH324" s="42">
        <f>VLOOKUP(B324,'Player Data'!$A1:$AE734,22,FALSE)</f>
        <v>0</v>
      </c>
      <c r="AI324" s="39"/>
      <c r="AJ324" s="43"/>
      <c r="AK324" s="41"/>
      <c r="AL324" s="41"/>
      <c r="AM324" s="41"/>
      <c r="AN324" s="41"/>
      <c r="AO324" s="41"/>
      <c r="AP324" s="41"/>
      <c r="AQ324" s="44"/>
      <c r="AR324" s="45"/>
      <c r="AS324" s="39"/>
    </row>
    <row r="325" spans="1:45" ht="21.25" customHeight="1" x14ac:dyDescent="0.15">
      <c r="A325" s="31">
        <f>RANK(K325,K$2:K$727)</f>
        <v>324</v>
      </c>
      <c r="B325" s="8" t="s">
        <v>429</v>
      </c>
      <c r="C325" s="32" t="s">
        <v>106</v>
      </c>
      <c r="D325" s="33" t="str">
        <f>VLOOKUP(B325,'Player Data'!A1:D734,4,FALSE)</f>
        <v>D</v>
      </c>
      <c r="E325" s="49">
        <f>VLOOKUP(B325,D!A1:C227,3,FALSE)</f>
        <v>99</v>
      </c>
      <c r="F325" s="35" t="str">
        <f>VLOOKUP(B325,'Player Data'!A1:B734,2,FALSE)</f>
        <v>CBJ</v>
      </c>
      <c r="G325" s="9">
        <f>VLOOKUP(B325,'Player Data'!A1:D734,3,FALSE)</f>
        <v>23</v>
      </c>
      <c r="H325" s="36">
        <f>IFERROR(VLOOKUP(B325,ADP!A1:G728,7,FALSE)/1000000,VLOOKUP(B325,ADP!A1:G728,7,FALSE))</f>
        <v>2.6</v>
      </c>
      <c r="I325" s="37">
        <f>IF(Settings!$E$15="POINTS",((R325*Q325)*Settings!$B$12)+(S325*Settings!$B$2)+(T325*Settings!$B$3)+(U325*Settings!$B$4)+(V325*Settings!$B$5)+(X325*Settings!$B$9)+(AA325*Settings!$B$6)+(W325*Settings!$B$8)+(AB325*Settings!$B$7)+(AC325*Settings!$B$14)+(AD325*Settings!$B$15)+(AE325*Settings!$B$16)+(AF325*Settings!$B$17)+(AG325*Settings!$B$18)+(U325*Settings!$B$13)+(Y325*Settings!$B$10)+(Z325*Settings!$B$11),VLOOKUP(B325,'Standard Deviations'!A1:C728,3,FALSE))</f>
        <v>149.12886191845334</v>
      </c>
      <c r="J325" s="38">
        <f>IF(D325="G",I325/AJ325,I325/Q325)</f>
        <v>2.0683614690492838</v>
      </c>
      <c r="K325" s="37">
        <f>VLOOKUP(B325,D!A1:F227,6,FALSE)</f>
        <v>-162.43661970947412</v>
      </c>
      <c r="L325" s="37">
        <f>IFERROR(K325/H325,"N/A")</f>
        <v>-62.475622965182353</v>
      </c>
      <c r="M325" s="53" t="str">
        <f>IF(Settings!$E$9="YAHOO",VLOOKUP(B325,ADP!A1:E728,2,FALSE),IF(Settings!$E$9="ESPN",VLOOKUP(B325,ADP!A1:E728,3,FALSE),IF(Settings!$E$9="FANTRAX",VLOOKUP(B325,ADP!A1:E728,4,FALSE),VLOOKUP(B325,ADP!A1:E728,5,FALSE))))</f>
        <v>-</v>
      </c>
      <c r="N325" s="53" t="str">
        <f>IFERROR(M325-A325,"N/A")</f>
        <v>N/A</v>
      </c>
      <c r="O325" s="39"/>
      <c r="P325" s="40" t="str">
        <f>IF(Settings!$E$27="ON",VLOOKUP(B325,ADP!A1:H728,8,FALSE)," ")</f>
        <v xml:space="preserve"> </v>
      </c>
      <c r="Q325" s="41">
        <f>IF(Settings!$E$12="YES",VLOOKUP(B325,'Player Data'!A1:E734,5,FALSE),82)</f>
        <v>72.099999999999994</v>
      </c>
      <c r="R325" s="39">
        <f>VLOOKUP(B325,'Player Data'!$A1:$AE734,6,FALSE)</f>
        <v>16.758948498417599</v>
      </c>
      <c r="S325" s="41">
        <f>VLOOKUP(B325,'Player Data'!$A1:$AE734,7,FALSE)*$Q325*IFERROR((VLOOKUP(P325,Settings!$E$28:$F$33,2,FALSE)+1),1)</f>
        <v>8.0987211168705286</v>
      </c>
      <c r="T325" s="41">
        <f>VLOOKUP(B325,'Player Data'!$A1:$AE734,8,FALSE)*$Q325*IFERROR((VLOOKUP(P325,Settings!$E$28:$F$33,2,FALSE)+1),1)</f>
        <v>18.699638919537904</v>
      </c>
      <c r="U325" s="41">
        <f>SUM(S325:T325)</f>
        <v>26.798360036408432</v>
      </c>
      <c r="V325" s="41">
        <f>VLOOKUP(B325,'Player Data'!$A1:$AE734,10,FALSE)*$Q325*IFERROR(((VLOOKUP(P325,Settings!$E$28:$F$33,2,FALSE)/2)+1),1)</f>
        <v>86.728672104283092</v>
      </c>
      <c r="W325" s="41">
        <f>VLOOKUP(B325,'Player Data'!$A1:$AE734,11,FALSE)*$Q325*IFERROR((VLOOKUP(P325,Settings!$E$28:$F$33,2,FALSE)+1),1)</f>
        <v>0.81169458540334372</v>
      </c>
      <c r="X325" s="41">
        <f>VLOOKUP(B325,'Player Data'!$A1:$AE734,12,FALSE)*$Q325*IFERROR((VLOOKUP(P325,Settings!$E$28:$F$33,2,FALSE)+1),1)</f>
        <v>5.3523603905579433</v>
      </c>
      <c r="Y325" s="41">
        <f>VLOOKUP(B325,'Player Data'!$A1:$AE734,13,FALSE)*$Q325</f>
        <v>3.1070246187579007E-3</v>
      </c>
      <c r="Z325" s="41">
        <f>VLOOKUP(B325,'Player Data'!$A1:$AE734,14,FALSE)*$Q325</f>
        <v>1.1591240249799323E-2</v>
      </c>
      <c r="AA325" s="41">
        <f>VLOOKUP(B325,'Player Data'!$A1:$AE734,15,FALSE)*$Q325</f>
        <v>73.20771247735513</v>
      </c>
      <c r="AB325" s="41">
        <f>VLOOKUP(B325,'Player Data'!$A1:$AE734,16,FALSE)*$Q325</f>
        <v>54.533250122158172</v>
      </c>
      <c r="AC325" s="41">
        <f>VLOOKUP(B325,'Player Data'!$A1:$AE734,17,FALSE)*$Q325*IFERROR((VLOOKUP(P325,Settings!$E$28:$F$33,2,FALSE)+1),1)</f>
        <v>-4.9813443339949659</v>
      </c>
      <c r="AD325" s="41">
        <f>VLOOKUP(B325,'Player Data'!$A1:$AE734,18,FALSE)*$Q325</f>
        <v>20.158848069196047</v>
      </c>
      <c r="AE325" s="41">
        <f>VLOOKUP(B325,'Player Data'!$A1:$AE734,19,FALSE)*$Q325*IFERROR((VLOOKUP(P325,Settings!$E$28:$F$33,2,FALSE)+1),1)</f>
        <v>0.86783372888418886</v>
      </c>
      <c r="AF325" s="41">
        <f>VLOOKUP(B325,'Player Data'!$A1:$AE734,20,FALSE)*$Q325</f>
        <v>0</v>
      </c>
      <c r="AG325" s="41">
        <f>VLOOKUP(B325,'Player Data'!$A1:$AE734,21,FALSE)*$Q325</f>
        <v>0</v>
      </c>
      <c r="AH325" s="42">
        <f>VLOOKUP(B325,'Player Data'!$A1:$AE734,22,FALSE)</f>
        <v>0</v>
      </c>
      <c r="AI325" s="39"/>
      <c r="AJ325" s="43"/>
      <c r="AK325" s="41"/>
      <c r="AL325" s="41"/>
      <c r="AM325" s="41"/>
      <c r="AN325" s="41"/>
      <c r="AO325" s="41"/>
      <c r="AP325" s="41"/>
      <c r="AQ325" s="44"/>
      <c r="AR325" s="45"/>
      <c r="AS325" s="39"/>
    </row>
    <row r="326" spans="1:45" ht="21.25" customHeight="1" x14ac:dyDescent="0.15">
      <c r="A326" s="31">
        <f>RANK(K326,K$2:K$727)</f>
        <v>325</v>
      </c>
      <c r="B326" s="8" t="s">
        <v>430</v>
      </c>
      <c r="C326" s="32" t="s">
        <v>106</v>
      </c>
      <c r="D326" s="33" t="str">
        <f>VLOOKUP(B326,'Player Data'!A1:D734,4,FALSE)</f>
        <v>RW</v>
      </c>
      <c r="E326" s="46">
        <f>VLOOKUP(B326,RW!A1:F97,3,FALSE)</f>
        <v>48</v>
      </c>
      <c r="F326" s="35" t="str">
        <f>VLOOKUP(B326,'Player Data'!A1:B734,2,FALSE)</f>
        <v>STL</v>
      </c>
      <c r="G326" s="9">
        <f>VLOOKUP(B326,'Player Data'!A1:D734,3,FALSE)</f>
        <v>27</v>
      </c>
      <c r="H326" s="36">
        <f>IFERROR(VLOOKUP(B326,ADP!A1:G728,7,FALSE)/1000000,VLOOKUP(B326,ADP!A1:G728,7,FALSE))</f>
        <v>3.2</v>
      </c>
      <c r="I326" s="37">
        <f>IF(Settings!$E$15="POINTS",((R326*Q326)*Settings!$B$12)+(S326*Settings!$B$2)+(T326*Settings!$B$3)+(U326*Settings!$B$4)+(V326*Settings!$B$5)+(X326*Settings!$B$9)+(AA326*Settings!$B$6)+(W326*Settings!$B$8)+(AB326*Settings!$B$7)+(AC326*Settings!$B$14)+(AD326*Settings!$B$15)+(AE326*Settings!$B$16)+(AF326*Settings!$B$17)+(AG326*Settings!$B$18)+(Y326*Settings!$B$10)+(Z326*Settings!$B$11),VLOOKUP(B326,'Standard Deviations'!A1:C728,3,FALSE))</f>
        <v>187.42853374233067</v>
      </c>
      <c r="J326" s="38">
        <f>IF(D326="G",I326/AJ326,I326/Q326)</f>
        <v>2.452141159246815</v>
      </c>
      <c r="K326" s="37">
        <f>IF(Settings!$E$18="C/LW/RW",VLOOKUP(B326,RW!A1:F97,6,FALSE),VLOOKUP(B326,F!A1:F430,6,FALSE))</f>
        <v>-162.8430068055589</v>
      </c>
      <c r="L326" s="37">
        <f>IFERROR(K326/H326,"N/A")</f>
        <v>-50.888439626737153</v>
      </c>
      <c r="M326" s="39">
        <f>IF(Settings!$E$9="YAHOO",VLOOKUP(B326,ADP!A1:E728,2,FALSE),IF(Settings!$E$9="ESPN",VLOOKUP(B326,ADP!A1:E728,3,FALSE),IF(Settings!$E$9="FANTRAX",VLOOKUP(B326,ADP!A1:E728,4,FALSE),VLOOKUP(B326,ADP!A1:E728,5,FALSE))))</f>
        <v>181.9</v>
      </c>
      <c r="N326" s="39">
        <f>IFERROR(M326-A326,"N/A")</f>
        <v>-143.1</v>
      </c>
      <c r="O326" s="39"/>
      <c r="P326" s="40" t="str">
        <f>IF(Settings!$E$27="ON",VLOOKUP(B326,ADP!A1:H728,8,FALSE)," ")</f>
        <v xml:space="preserve"> </v>
      </c>
      <c r="Q326" s="41">
        <f>IF(Settings!$E$12="YES",VLOOKUP(B326,'Player Data'!A1:E734,5,FALSE),82)</f>
        <v>76.434642857142904</v>
      </c>
      <c r="R326" s="39">
        <f>VLOOKUP(B326,'Player Data'!$A1:$AE734,6,FALSE)</f>
        <v>13.9940849690036</v>
      </c>
      <c r="S326" s="41">
        <f>VLOOKUP(B326,'Player Data'!$A1:$AE734,7,FALSE)*$Q326*IFERROR((VLOOKUP(P326,Settings!$E$28:$F$33,2,FALSE)+1),1)</f>
        <v>14.38777143042647</v>
      </c>
      <c r="T326" s="41">
        <f>VLOOKUP(B326,'Player Data'!$A1:$AE734,8,FALSE)*$Q326*IFERROR((VLOOKUP(P326,Settings!$E$28:$F$33,2,FALSE)+1),1)</f>
        <v>21.086684741212192</v>
      </c>
      <c r="U326" s="41">
        <f>SUM(S326:T326)</f>
        <v>35.474456171638664</v>
      </c>
      <c r="V326" s="41">
        <f>VLOOKUP(B326,'Player Data'!$A1:$AE734,10,FALSE)*$Q326*IFERROR(((VLOOKUP(P326,Settings!$E$28:$F$33,2,FALSE)/2)+1),1)</f>
        <v>128.9435593723091</v>
      </c>
      <c r="W326" s="41">
        <f>VLOOKUP(B326,'Player Data'!$A1:$AE734,11,FALSE)*$Q326*IFERROR((VLOOKUP(P326,Settings!$E$28:$F$33,2,FALSE)+1),1)</f>
        <v>1.6634663336566688</v>
      </c>
      <c r="X326" s="41">
        <f>VLOOKUP(B326,'Player Data'!$A1:$AE734,12,FALSE)*$Q326*IFERROR((VLOOKUP(P326,Settings!$E$28:$F$33,2,FALSE)+1),1)</f>
        <v>4.941239297969652</v>
      </c>
      <c r="Y326" s="41">
        <f>VLOOKUP(B326,'Player Data'!$A1:$AE734,13,FALSE)*$Q326</f>
        <v>0.79412507780785424</v>
      </c>
      <c r="Z326" s="41">
        <f>VLOOKUP(B326,'Player Data'!$A1:$AE734,14,FALSE)*$Q326</f>
        <v>0.91787006858206333</v>
      </c>
      <c r="AA326" s="41">
        <f>VLOOKUP(B326,'Player Data'!$A1:$AE734,15,FALSE)*$Q326</f>
        <v>24.075834040783626</v>
      </c>
      <c r="AB326" s="41">
        <f>VLOOKUP(B326,'Player Data'!$A1:$AE734,16,FALSE)*$Q326</f>
        <v>110.44120607315776</v>
      </c>
      <c r="AC326" s="41">
        <f>VLOOKUP(B326,'Player Data'!$A1:$AE734,17,FALSE)*$Q326*IFERROR((VLOOKUP(P326,Settings!$E$28:$F$33,2,FALSE)+1),1)</f>
        <v>-4.1110938473120271</v>
      </c>
      <c r="AD326" s="41">
        <f>VLOOKUP(B326,'Player Data'!$A1:$AE734,18,FALSE)*$Q326</f>
        <v>19.240928892235651</v>
      </c>
      <c r="AE326" s="41">
        <f>VLOOKUP(B326,'Player Data'!$A1:$AE734,19,FALSE)*$Q326*IFERROR((VLOOKUP(P326,Settings!$E$28:$F$33,2,FALSE)+1),1)</f>
        <v>1.6556401610573552</v>
      </c>
      <c r="AF326" s="41">
        <f>VLOOKUP(B326,'Player Data'!$A1:$AE734,20,FALSE)*$Q326</f>
        <v>22.959068780095446</v>
      </c>
      <c r="AG326" s="41">
        <f>VLOOKUP(B326,'Player Data'!$A1:$AE734,21,FALSE)*$Q326</f>
        <v>45.96898387456222</v>
      </c>
      <c r="AH326" s="42">
        <f>VLOOKUP(B326,'Player Data'!$A1:$AE734,22,FALSE)</f>
        <v>0.33308744257036599</v>
      </c>
      <c r="AI326" s="39"/>
      <c r="AJ326" s="41"/>
      <c r="AK326" s="41"/>
      <c r="AL326" s="41"/>
      <c r="AM326" s="41"/>
      <c r="AN326" s="41"/>
      <c r="AO326" s="41"/>
      <c r="AP326" s="41"/>
      <c r="AQ326" s="44"/>
      <c r="AR326" s="45"/>
      <c r="AS326" s="39"/>
    </row>
    <row r="327" spans="1:45" ht="21.25" customHeight="1" x14ac:dyDescent="0.15">
      <c r="A327" s="31">
        <f>RANK(K327,K$2:K$727)</f>
        <v>326</v>
      </c>
      <c r="B327" s="8" t="s">
        <v>431</v>
      </c>
      <c r="C327" s="32" t="s">
        <v>106</v>
      </c>
      <c r="D327" s="33" t="str">
        <f>VLOOKUP(B327,'Player Data'!A1:D734,4,FALSE)</f>
        <v>C</v>
      </c>
      <c r="E327" s="34">
        <f>VLOOKUP(B327,'C'!A1:C211,3,FALSE)</f>
        <v>83</v>
      </c>
      <c r="F327" s="35" t="str">
        <f>VLOOKUP(B327,'Player Data'!A1:B734,2,FALSE)</f>
        <v>NYR</v>
      </c>
      <c r="G327" s="9">
        <f>VLOOKUP(B327,'Player Data'!A1:D734,3,FALSE)</f>
        <v>23</v>
      </c>
      <c r="H327" s="36">
        <f>IFERROR(VLOOKUP(B327,ADP!A1:G728,7,FALSE)/1000000,VLOOKUP(B327,ADP!A1:G728,7,FALSE))</f>
        <v>4.4375</v>
      </c>
      <c r="I327" s="37">
        <f>IF(Settings!$E$15="POINTS",((R327*Q327)*Settings!$B$12)+(S327*Settings!$B$2)+(T327*Settings!$B$3)+(U327*Settings!$B$4)+(V327*Settings!$B$5)+(X327*Settings!$B$9)+(AA327*Settings!$B$6)+(W327*Settings!$B$8)+(AB327*Settings!$B$7)+(AC327*Settings!$B$14)+(AD327*Settings!$B$15)+(AE327*Settings!$B$16)+(AF327*Settings!$B$17)+(AG327*Settings!$B$18)+(Y327*Settings!$B$10)+(Z327*Settings!$B$11),VLOOKUP(B327,'Standard Deviations'!A1:C728,3,FALSE))</f>
        <v>230.17002993868331</v>
      </c>
      <c r="J327" s="38">
        <f>IF(D327="G",I327/AJ327,I327/Q327)</f>
        <v>3.0088568899465122</v>
      </c>
      <c r="K327" s="37">
        <f>IF(Settings!$E$18="C/LW/RW",VLOOKUP(B327,'C'!A1:F211,6,FALSE),VLOOKUP(B327,F!A1:F430,6,FALSE))</f>
        <v>-163.15877582752634</v>
      </c>
      <c r="L327" s="37">
        <f>IFERROR(K327/H327,"N/A")</f>
        <v>-36.768174834372132</v>
      </c>
      <c r="M327" s="53" t="str">
        <f>IF(Settings!$E$9="YAHOO",VLOOKUP(B327,ADP!A1:E728,2,FALSE),IF(Settings!$E$9="ESPN",VLOOKUP(B327,ADP!A1:E728,3,FALSE),IF(Settings!$E$9="FANTRAX",VLOOKUP(B327,ADP!A1:E728,4,FALSE),VLOOKUP(B327,ADP!A1:E728,5,FALSE))))</f>
        <v>-</v>
      </c>
      <c r="N327" s="53" t="str">
        <f>IFERROR(M327-A327,"N/A")</f>
        <v>N/A</v>
      </c>
      <c r="O327" s="39"/>
      <c r="P327" s="40" t="str">
        <f>IF(Settings!$E$27="ON",VLOOKUP(B327,ADP!A1:H728,8,FALSE)," ")</f>
        <v xml:space="preserve"> </v>
      </c>
      <c r="Q327" s="41">
        <f>IF(Settings!$E$12="YES",VLOOKUP(B327,'Player Data'!A1:E734,5,FALSE),82)</f>
        <v>76.497500000000002</v>
      </c>
      <c r="R327" s="39">
        <f>VLOOKUP(B327,'Player Data'!$A1:$AE734,6,FALSE)</f>
        <v>14.831663035055801</v>
      </c>
      <c r="S327" s="41">
        <f>VLOOKUP(B327,'Player Data'!$A1:$AE734,7,FALSE)*$Q327*IFERROR((VLOOKUP(P327,Settings!$E$28:$F$33,2,FALSE)+1),1)</f>
        <v>18.601632359610679</v>
      </c>
      <c r="T327" s="41">
        <f>VLOOKUP(B327,'Player Data'!$A1:$AE734,8,FALSE)*$Q327*IFERROR((VLOOKUP(P327,Settings!$E$28:$F$33,2,FALSE)+1),1)</f>
        <v>23.581689835059006</v>
      </c>
      <c r="U327" s="41">
        <f>SUM(S327:T327)</f>
        <v>42.183322194669685</v>
      </c>
      <c r="V327" s="41">
        <f>VLOOKUP(B327,'Player Data'!$A1:$AE734,10,FALSE)*$Q327*IFERROR(((VLOOKUP(P327,Settings!$E$28:$F$33,2,FALSE)/2)+1),1)</f>
        <v>175.68841399424736</v>
      </c>
      <c r="W327" s="41">
        <f>VLOOKUP(B327,'Player Data'!$A1:$AE734,11,FALSE)*$Q327*IFERROR((VLOOKUP(P327,Settings!$E$28:$F$33,2,FALSE)+1),1)</f>
        <v>1.3866005976299889</v>
      </c>
      <c r="X327" s="41">
        <f>VLOOKUP(B327,'Player Data'!$A1:$AE734,12,FALSE)*$Q327*IFERROR((VLOOKUP(P327,Settings!$E$28:$F$33,2,FALSE)+1),1)</f>
        <v>4.0728590352523089</v>
      </c>
      <c r="Y327" s="41">
        <f>VLOOKUP(B327,'Player Data'!$A1:$AE734,13,FALSE)*$Q327</f>
        <v>2.2575969287494179E-2</v>
      </c>
      <c r="Z327" s="41">
        <f>VLOOKUP(B327,'Player Data'!$A1:$AE734,14,FALSE)*$Q327</f>
        <v>4.1167476301070358E-2</v>
      </c>
      <c r="AA327" s="41">
        <f>VLOOKUP(B327,'Player Data'!$A1:$AE734,15,FALSE)*$Q327</f>
        <v>37.739016672219044</v>
      </c>
      <c r="AB327" s="41">
        <f>VLOOKUP(B327,'Player Data'!$A1:$AE734,16,FALSE)*$Q327</f>
        <v>42.438435489219643</v>
      </c>
      <c r="AC327" s="41">
        <f>VLOOKUP(B327,'Player Data'!$A1:$AE734,17,FALSE)*$Q327*IFERROR((VLOOKUP(P327,Settings!$E$28:$F$33,2,FALSE)+1),1)</f>
        <v>4.8967866191056828</v>
      </c>
      <c r="AD327" s="41">
        <f>VLOOKUP(B327,'Player Data'!$A1:$AE734,18,FALSE)*$Q327</f>
        <v>26.134120756065677</v>
      </c>
      <c r="AE327" s="41">
        <f>VLOOKUP(B327,'Player Data'!$A1:$AE734,19,FALSE)*$Q327*IFERROR((VLOOKUP(P327,Settings!$E$28:$F$33,2,FALSE)+1),1)</f>
        <v>3.1696834178829048</v>
      </c>
      <c r="AF327" s="41">
        <f>VLOOKUP(B327,'Player Data'!$A1:$AE734,20,FALSE)*$Q327</f>
        <v>257.81400655254492</v>
      </c>
      <c r="AG327" s="41">
        <f>VLOOKUP(B327,'Player Data'!$A1:$AE734,21,FALSE)*$Q327</f>
        <v>363.85059410481705</v>
      </c>
      <c r="AH327" s="42">
        <f>VLOOKUP(B327,'Player Data'!$A1:$AE734,22,FALSE)</f>
        <v>0.41471559789623902</v>
      </c>
      <c r="AI327" s="39"/>
      <c r="AJ327" s="43"/>
      <c r="AK327" s="41"/>
      <c r="AL327" s="41"/>
      <c r="AM327" s="41"/>
      <c r="AN327" s="41"/>
      <c r="AO327" s="41"/>
      <c r="AP327" s="41"/>
      <c r="AQ327" s="44"/>
      <c r="AR327" s="45"/>
      <c r="AS327" s="39"/>
    </row>
    <row r="328" spans="1:45" ht="21.25" customHeight="1" x14ac:dyDescent="0.15">
      <c r="A328" s="31">
        <f>RANK(K328,K$2:K$727)</f>
        <v>327</v>
      </c>
      <c r="B328" s="8" t="s">
        <v>432</v>
      </c>
      <c r="C328" s="32" t="s">
        <v>106</v>
      </c>
      <c r="D328" s="33" t="str">
        <f>VLOOKUP(B328,'Player Data'!A1:D734,4,FALSE)</f>
        <v>D</v>
      </c>
      <c r="E328" s="49">
        <f>VLOOKUP(B328,D!A1:C227,3,FALSE)</f>
        <v>100</v>
      </c>
      <c r="F328" s="35" t="str">
        <f>VLOOKUP(B328,'Player Data'!A1:B734,2,FALSE)</f>
        <v>BOS</v>
      </c>
      <c r="G328" s="9">
        <f>VLOOKUP(B328,'Player Data'!A1:D734,3,FALSE)</f>
        <v>29</v>
      </c>
      <c r="H328" s="36">
        <f>IFERROR(VLOOKUP(B328,ADP!A1:G728,7,FALSE)/1000000,VLOOKUP(B328,ADP!A1:G728,7,FALSE))</f>
        <v>3.6875</v>
      </c>
      <c r="I328" s="37">
        <f>IF(Settings!$E$15="POINTS",((R328*Q328)*Settings!$B$12)+(S328*Settings!$B$2)+(T328*Settings!$B$3)+(U328*Settings!$B$4)+(V328*Settings!$B$5)+(X328*Settings!$B$9)+(AA328*Settings!$B$6)+(W328*Settings!$B$8)+(AB328*Settings!$B$7)+(AC328*Settings!$B$14)+(AD328*Settings!$B$15)+(AE328*Settings!$B$16)+(AF328*Settings!$B$17)+(AG328*Settings!$B$18)+(U328*Settings!$B$13)+(Y328*Settings!$B$10)+(Z328*Settings!$B$11),VLOOKUP(B328,'Standard Deviations'!A1:C728,3,FALSE))</f>
        <v>147.5987347363704</v>
      </c>
      <c r="J328" s="38">
        <f>IF(D328="G",I328/AJ328,I328/Q328)</f>
        <v>1.9226632112669801</v>
      </c>
      <c r="K328" s="37">
        <f>VLOOKUP(B328,D!A1:F227,6,FALSE)</f>
        <v>-163.96674689155705</v>
      </c>
      <c r="L328" s="37">
        <f>IFERROR(K328/H328,"N/A")</f>
        <v>-44.465558479066317</v>
      </c>
      <c r="M328" s="39">
        <f>IF(Settings!$E$9="YAHOO",VLOOKUP(B328,ADP!A1:E728,2,FALSE),IF(Settings!$E$9="ESPN",VLOOKUP(B328,ADP!A1:E728,3,FALSE),IF(Settings!$E$9="FANTRAX",VLOOKUP(B328,ADP!A1:E728,4,FALSE),VLOOKUP(B328,ADP!A1:E728,5,FALSE))))</f>
        <v>168.4</v>
      </c>
      <c r="N328" s="39">
        <f>IFERROR(M328-A328,"N/A")</f>
        <v>-158.6</v>
      </c>
      <c r="O328" s="39"/>
      <c r="P328" s="40" t="str">
        <f>IF(Settings!$E$27="ON",VLOOKUP(B328,ADP!A1:H728,8,FALSE)," ")</f>
        <v xml:space="preserve"> </v>
      </c>
      <c r="Q328" s="41">
        <f>IF(Settings!$E$12="YES",VLOOKUP(B328,'Player Data'!A1:E734,5,FALSE),82)</f>
        <v>76.767857142857096</v>
      </c>
      <c r="R328" s="39">
        <f>VLOOKUP(B328,'Player Data'!$A1:$AE734,6,FALSE)</f>
        <v>17.3033809175813</v>
      </c>
      <c r="S328" s="41">
        <f>VLOOKUP(B328,'Player Data'!$A1:$AE734,7,FALSE)*$Q328*IFERROR((VLOOKUP(P328,Settings!$E$28:$F$33,2,FALSE)+1),1)</f>
        <v>4.6063724649842195</v>
      </c>
      <c r="T328" s="41">
        <f>VLOOKUP(B328,'Player Data'!$A1:$AE734,8,FALSE)*$Q328*IFERROR((VLOOKUP(P328,Settings!$E$28:$F$33,2,FALSE)+1),1)</f>
        <v>19.707446604320353</v>
      </c>
      <c r="U328" s="41">
        <f>SUM(S328:T328)</f>
        <v>24.313819069304571</v>
      </c>
      <c r="V328" s="41">
        <f>VLOOKUP(B328,'Player Data'!$A1:$AE734,10,FALSE)*$Q328*IFERROR(((VLOOKUP(P328,Settings!$E$28:$F$33,2,FALSE)/2)+1),1)</f>
        <v>108.38453966276161</v>
      </c>
      <c r="W328" s="41">
        <f>VLOOKUP(B328,'Player Data'!$A1:$AE734,11,FALSE)*$Q328*IFERROR((VLOOKUP(P328,Settings!$E$28:$F$33,2,FALSE)+1),1)</f>
        <v>0.1565258394118558</v>
      </c>
      <c r="X328" s="41">
        <f>VLOOKUP(B328,'Player Data'!$A1:$AE734,12,FALSE)*$Q328*IFERROR((VLOOKUP(P328,Settings!$E$28:$F$33,2,FALSE)+1),1)</f>
        <v>1.7833846280730747</v>
      </c>
      <c r="Y328" s="41">
        <f>VLOOKUP(B328,'Player Data'!$A1:$AE734,13,FALSE)*$Q328</f>
        <v>1.0027877287387498E-2</v>
      </c>
      <c r="Z328" s="41">
        <f>VLOOKUP(B328,'Player Data'!$A1:$AE734,14,FALSE)*$Q328</f>
        <v>3.7820245802662307E-2</v>
      </c>
      <c r="AA328" s="41">
        <f>VLOOKUP(B328,'Player Data'!$A1:$AE734,15,FALSE)*$Q328</f>
        <v>84.112989746622048</v>
      </c>
      <c r="AB328" s="41">
        <f>VLOOKUP(B328,'Player Data'!$A1:$AE734,16,FALSE)*$Q328</f>
        <v>60.842810257559201</v>
      </c>
      <c r="AC328" s="41">
        <f>VLOOKUP(B328,'Player Data'!$A1:$AE734,17,FALSE)*$Q328*IFERROR((VLOOKUP(P328,Settings!$E$28:$F$33,2,FALSE)+1),1)</f>
        <v>6.9802309634634092</v>
      </c>
      <c r="AD328" s="41">
        <f>VLOOKUP(B328,'Player Data'!$A1:$AE734,18,FALSE)*$Q328</f>
        <v>29.374129426995644</v>
      </c>
      <c r="AE328" s="41">
        <f>VLOOKUP(B328,'Player Data'!$A1:$AE734,19,FALSE)*$Q328*IFERROR((VLOOKUP(P328,Settings!$E$28:$F$33,2,FALSE)+1),1)</f>
        <v>0.77331928631483382</v>
      </c>
      <c r="AF328" s="41">
        <f>VLOOKUP(B328,'Player Data'!$A1:$AE734,20,FALSE)*$Q328</f>
        <v>0</v>
      </c>
      <c r="AG328" s="41">
        <f>VLOOKUP(B328,'Player Data'!$A1:$AE734,21,FALSE)*$Q328</f>
        <v>0</v>
      </c>
      <c r="AH328" s="42">
        <f>VLOOKUP(B328,'Player Data'!$A1:$AE734,22,FALSE)</f>
        <v>0</v>
      </c>
      <c r="AI328" s="39"/>
      <c r="AJ328" s="43"/>
      <c r="AK328" s="41"/>
      <c r="AL328" s="41"/>
      <c r="AM328" s="41"/>
      <c r="AN328" s="41"/>
      <c r="AO328" s="41"/>
      <c r="AP328" s="41"/>
      <c r="AQ328" s="44"/>
      <c r="AR328" s="45"/>
      <c r="AS328" s="39"/>
    </row>
    <row r="329" spans="1:45" ht="21.25" customHeight="1" x14ac:dyDescent="0.15">
      <c r="A329" s="31">
        <f>RANK(K329,K$2:K$727)</f>
        <v>328</v>
      </c>
      <c r="B329" s="8" t="s">
        <v>433</v>
      </c>
      <c r="C329" s="32" t="s">
        <v>106</v>
      </c>
      <c r="D329" s="33" t="str">
        <f>VLOOKUP(B329,'Player Data'!A1:D734,4,FALSE)</f>
        <v>LW</v>
      </c>
      <c r="E329" s="47">
        <f>VLOOKUP(B329,LW!A1:C130,3,FALSE)</f>
        <v>64</v>
      </c>
      <c r="F329" s="35" t="str">
        <f>VLOOKUP(B329,'Player Data'!A1:B734,2,FALSE)</f>
        <v>TBL</v>
      </c>
      <c r="G329" s="9">
        <f>VLOOKUP(B329,'Player Data'!A1:D734,3,FALSE)</f>
        <v>28</v>
      </c>
      <c r="H329" s="36">
        <f>IFERROR(VLOOKUP(B329,ADP!A1:G728,7,FALSE)/1000000,VLOOKUP(B329,ADP!A1:G728,7,FALSE))</f>
        <v>3.15</v>
      </c>
      <c r="I329" s="37">
        <f>IF(Settings!$E$15="POINTS",((R329*Q329)*Settings!$B$12)+(S329*Settings!$B$2)+(T329*Settings!$B$3)+(U329*Settings!$B$4)+(V329*Settings!$B$5)+(X329*Settings!$B$9)+(AA329*Settings!$B$6)+(W329*Settings!$B$8)+(AB329*Settings!$B$7)+(AC329*Settings!$B$14)+(AD329*Settings!$B$15)+(AE329*Settings!$B$16)+(AF329*Settings!$B$17)+(AG329*Settings!$B$18)+(Y329*Settings!$B$10)+(Z329*Settings!$B$11),VLOOKUP(B329,'Standard Deviations'!A1:C728,3,FALSE))</f>
        <v>199.43019185720101</v>
      </c>
      <c r="J329" s="38">
        <f>IF(D329="G",I329/AJ329,I329/Q329)</f>
        <v>2.4500023569680711</v>
      </c>
      <c r="K329" s="37">
        <f>IF(Settings!$E$18="C/LW/RW",VLOOKUP(B329,LW!A1:F130,6,FALSE),VLOOKUP(B329,F!A1:F430,6,FALSE))</f>
        <v>-164.61041300044946</v>
      </c>
      <c r="L329" s="37">
        <f>IFERROR(K329/H329,"N/A")</f>
        <v>-52.257273968396653</v>
      </c>
      <c r="M329" s="53" t="str">
        <f>IF(Settings!$E$9="YAHOO",VLOOKUP(B329,ADP!A1:E728,2,FALSE),IF(Settings!$E$9="ESPN",VLOOKUP(B329,ADP!A1:E728,3,FALSE),IF(Settings!$E$9="FANTRAX",VLOOKUP(B329,ADP!A1:E728,4,FALSE),VLOOKUP(B329,ADP!A1:E728,5,FALSE))))</f>
        <v>-</v>
      </c>
      <c r="N329" s="53" t="str">
        <f>IFERROR(M329-A329,"N/A")</f>
        <v>N/A</v>
      </c>
      <c r="O329" s="39"/>
      <c r="P329" s="40" t="str">
        <f>IF(Settings!$E$27="ON",VLOOKUP(B329,ADP!A1:H728,8,FALSE)," ")</f>
        <v xml:space="preserve"> </v>
      </c>
      <c r="Q329" s="41">
        <f>IF(Settings!$E$12="YES",VLOOKUP(B329,'Player Data'!A1:E734,5,FALSE),82)</f>
        <v>81.400000000000006</v>
      </c>
      <c r="R329" s="39">
        <f>VLOOKUP(B329,'Player Data'!$A1:$AE734,6,FALSE)</f>
        <v>16.317860285823201</v>
      </c>
      <c r="S329" s="41">
        <f>VLOOKUP(B329,'Player Data'!$A1:$AE734,7,FALSE)*$Q329*IFERROR((VLOOKUP(P329,Settings!$E$28:$F$33,2,FALSE)+1),1)</f>
        <v>16.779043203189918</v>
      </c>
      <c r="T329" s="41">
        <f>VLOOKUP(B329,'Player Data'!$A1:$AE734,8,FALSE)*$Q329*IFERROR((VLOOKUP(P329,Settings!$E$28:$F$33,2,FALSE)+1),1)</f>
        <v>18.446970845359832</v>
      </c>
      <c r="U329" s="41">
        <f>SUM(S329:T329)</f>
        <v>35.22601404854975</v>
      </c>
      <c r="V329" s="41">
        <f>VLOOKUP(B329,'Player Data'!$A1:$AE734,10,FALSE)*$Q329*IFERROR(((VLOOKUP(P329,Settings!$E$28:$F$33,2,FALSE)/2)+1),1)</f>
        <v>140.96078802656308</v>
      </c>
      <c r="W329" s="41">
        <f>VLOOKUP(B329,'Player Data'!$A1:$AE734,11,FALSE)*$Q329*IFERROR((VLOOKUP(P329,Settings!$E$28:$F$33,2,FALSE)+1),1)</f>
        <v>3.9970904327330512</v>
      </c>
      <c r="X329" s="41">
        <f>VLOOKUP(B329,'Player Data'!$A1:$AE734,12,FALSE)*$Q329*IFERROR((VLOOKUP(P329,Settings!$E$28:$F$33,2,FALSE)+1),1)</f>
        <v>5.7640646161034264</v>
      </c>
      <c r="Y329" s="41">
        <f>VLOOKUP(B329,'Player Data'!$A1:$AE734,13,FALSE)*$Q329</f>
        <v>0.43346168836028037</v>
      </c>
      <c r="Z329" s="41">
        <f>VLOOKUP(B329,'Player Data'!$A1:$AE734,14,FALSE)*$Q329</f>
        <v>1.1321089866470975</v>
      </c>
      <c r="AA329" s="41">
        <f>VLOOKUP(B329,'Player Data'!$A1:$AE734,15,FALSE)*$Q329</f>
        <v>47.397042463845843</v>
      </c>
      <c r="AB329" s="41">
        <f>VLOOKUP(B329,'Player Data'!$A1:$AE734,16,FALSE)*$Q329</f>
        <v>106.91633673990881</v>
      </c>
      <c r="AC329" s="41">
        <f>VLOOKUP(B329,'Player Data'!$A1:$AE734,17,FALSE)*$Q329*IFERROR((VLOOKUP(P329,Settings!$E$28:$F$33,2,FALSE)+1),1)</f>
        <v>-0.23134500721452134</v>
      </c>
      <c r="AD329" s="41">
        <f>VLOOKUP(B329,'Player Data'!$A1:$AE734,18,FALSE)*$Q329</f>
        <v>31.555308428378698</v>
      </c>
      <c r="AE329" s="41">
        <f>VLOOKUP(B329,'Player Data'!$A1:$AE734,19,FALSE)*$Q329*IFERROR((VLOOKUP(P329,Settings!$E$28:$F$33,2,FALSE)+1),1)</f>
        <v>2.6259263562971475</v>
      </c>
      <c r="AF329" s="41">
        <f>VLOOKUP(B329,'Player Data'!$A1:$AE734,20,FALSE)*$Q329</f>
        <v>468.07267537862782</v>
      </c>
      <c r="AG329" s="41">
        <f>VLOOKUP(B329,'Player Data'!$A1:$AE734,21,FALSE)*$Q329</f>
        <v>428.54916074273956</v>
      </c>
      <c r="AH329" s="42">
        <f>VLOOKUP(B329,'Player Data'!$A1:$AE734,22,FALSE)</f>
        <v>0.52204023649862297</v>
      </c>
      <c r="AI329" s="39"/>
      <c r="AJ329" s="43"/>
      <c r="AK329" s="41"/>
      <c r="AL329" s="41"/>
      <c r="AM329" s="41"/>
      <c r="AN329" s="41"/>
      <c r="AO329" s="41"/>
      <c r="AP329" s="41"/>
      <c r="AQ329" s="44"/>
      <c r="AR329" s="45"/>
      <c r="AS329" s="43"/>
    </row>
    <row r="330" spans="1:45" ht="21.25" customHeight="1" x14ac:dyDescent="0.15">
      <c r="A330" s="31">
        <f>RANK(K330,K$2:K$727)</f>
        <v>329</v>
      </c>
      <c r="B330" s="8" t="s">
        <v>434</v>
      </c>
      <c r="C330" s="32" t="s">
        <v>106</v>
      </c>
      <c r="D330" s="33" t="str">
        <f>VLOOKUP(B330,'Player Data'!A1:D734,4,FALSE)</f>
        <v>LW</v>
      </c>
      <c r="E330" s="47">
        <f>VLOOKUP(B330,LW!A1:C130,3,FALSE)</f>
        <v>65</v>
      </c>
      <c r="F330" s="35" t="str">
        <f>VLOOKUP(B330,'Player Data'!A1:B734,2,FALSE)</f>
        <v>UFA</v>
      </c>
      <c r="G330" s="9">
        <f>VLOOKUP(B330,'Player Data'!A1:D734,3,FALSE)</f>
        <v>32</v>
      </c>
      <c r="H330" s="36">
        <f>IFERROR(VLOOKUP(B330,ADP!A1:G728,7,FALSE)/1000000,VLOOKUP(B330,ADP!A1:G728,7,FALSE))</f>
        <v>4.2770000000000001</v>
      </c>
      <c r="I330" s="37">
        <f>IF(Settings!$E$15="POINTS",((R330*Q330)*Settings!$B$12)+(S330*Settings!$B$2)+(T330*Settings!$B$3)+(U330*Settings!$B$4)+(V330*Settings!$B$5)+(X330*Settings!$B$9)+(AA330*Settings!$B$6)+(W330*Settings!$B$8)+(AB330*Settings!$B$7)+(AC330*Settings!$B$14)+(AD330*Settings!$B$15)+(AE330*Settings!$B$16)+(AF330*Settings!$B$17)+(AG330*Settings!$B$18)+(Y330*Settings!$B$10)+(Z330*Settings!$B$11),VLOOKUP(B330,'Standard Deviations'!A1:C728,3,FALSE))</f>
        <v>199.39929218130914</v>
      </c>
      <c r="J330" s="38">
        <f>IF(D330="G",I330/AJ330,I330/Q330)</f>
        <v>2.4823622278189239</v>
      </c>
      <c r="K330" s="37">
        <f>IF(Settings!$E$18="C/LW/RW",VLOOKUP(B330,LW!A1:F130,6,FALSE),VLOOKUP(B330,F!A1:F430,6,FALSE))</f>
        <v>-164.64131267634133</v>
      </c>
      <c r="L330" s="37">
        <f>IFERROR(K330/H330,"N/A")</f>
        <v>-38.494578600968275</v>
      </c>
      <c r="M330" s="53" t="str">
        <f>IF(Settings!$E$9="YAHOO",VLOOKUP(B330,ADP!A1:E728,2,FALSE),IF(Settings!$E$9="ESPN",VLOOKUP(B330,ADP!A1:E728,3,FALSE),IF(Settings!$E$9="FANTRAX",VLOOKUP(B330,ADP!A1:E728,4,FALSE),VLOOKUP(B330,ADP!A1:E728,5,FALSE))))</f>
        <v>-</v>
      </c>
      <c r="N330" s="53" t="str">
        <f>IFERROR(M330-A330,"N/A")</f>
        <v>N/A</v>
      </c>
      <c r="O330" s="39"/>
      <c r="P330" s="40" t="str">
        <f>IF(Settings!$E$27="ON",VLOOKUP(B330,ADP!A1:H728,8,FALSE)," ")</f>
        <v xml:space="preserve"> </v>
      </c>
      <c r="Q330" s="41">
        <f>IF(Settings!$E$12="YES",VLOOKUP(B330,'Player Data'!A1:E734,5,FALSE),82)</f>
        <v>80.326428571428593</v>
      </c>
      <c r="R330" s="39">
        <f>VLOOKUP(B330,'Player Data'!$A1:$AE734,6,FALSE)</f>
        <v>14.4734531789996</v>
      </c>
      <c r="S330" s="41">
        <f>VLOOKUP(B330,'Player Data'!$A1:$AE734,7,FALSE)*$Q330*IFERROR((VLOOKUP(P330,Settings!$E$28:$F$33,2,FALSE)+1),1)</f>
        <v>15.957702561701698</v>
      </c>
      <c r="T330" s="41">
        <f>VLOOKUP(B330,'Player Data'!$A1:$AE734,8,FALSE)*$Q330*IFERROR((VLOOKUP(P330,Settings!$E$28:$F$33,2,FALSE)+1),1)</f>
        <v>21.881446804786446</v>
      </c>
      <c r="U330" s="41">
        <f>SUM(S330:T330)</f>
        <v>37.839149366488144</v>
      </c>
      <c r="V330" s="41">
        <f>VLOOKUP(B330,'Player Data'!$A1:$AE734,10,FALSE)*$Q330*IFERROR(((VLOOKUP(P330,Settings!$E$28:$F$33,2,FALSE)/2)+1),1)</f>
        <v>140.6565484398418</v>
      </c>
      <c r="W330" s="41">
        <f>VLOOKUP(B330,'Player Data'!$A1:$AE734,11,FALSE)*$Q330*IFERROR((VLOOKUP(P330,Settings!$E$28:$F$33,2,FALSE)+1),1)</f>
        <v>1.5463281128458379</v>
      </c>
      <c r="X330" s="41">
        <f>VLOOKUP(B330,'Player Data'!$A1:$AE734,12,FALSE)*$Q330*IFERROR((VLOOKUP(P330,Settings!$E$28:$F$33,2,FALSE)+1),1)</f>
        <v>4.8718152098670009</v>
      </c>
      <c r="Y330" s="41">
        <f>VLOOKUP(B330,'Player Data'!$A1:$AE734,13,FALSE)*$Q330</f>
        <v>0</v>
      </c>
      <c r="Z330" s="41">
        <f>VLOOKUP(B330,'Player Data'!$A1:$AE734,14,FALSE)*$Q330</f>
        <v>0</v>
      </c>
      <c r="AA330" s="41">
        <f>VLOOKUP(B330,'Player Data'!$A1:$AE734,15,FALSE)*$Q330</f>
        <v>29.049697210948931</v>
      </c>
      <c r="AB330" s="41">
        <f>VLOOKUP(B330,'Player Data'!$A1:$AE734,16,FALSE)*$Q330</f>
        <v>69.511737942338257</v>
      </c>
      <c r="AC330" s="41">
        <f>VLOOKUP(B330,'Player Data'!$A1:$AE734,17,FALSE)*$Q330*IFERROR((VLOOKUP(P330,Settings!$E$28:$F$33,2,FALSE)+1),1)</f>
        <v>1.893522166094129</v>
      </c>
      <c r="AD330" s="41">
        <f>VLOOKUP(B330,'Player Data'!$A1:$AE734,18,FALSE)*$Q330</f>
        <v>24.651491771013124</v>
      </c>
      <c r="AE330" s="41">
        <f>VLOOKUP(B330,'Player Data'!$A1:$AE734,19,FALSE)*$Q330*IFERROR((VLOOKUP(P330,Settings!$E$28:$F$33,2,FALSE)+1),1)</f>
        <v>0</v>
      </c>
      <c r="AF330" s="41">
        <f>VLOOKUP(B330,'Player Data'!$A1:$AE734,20,FALSE)*$Q330</f>
        <v>16.755351402924386</v>
      </c>
      <c r="AG330" s="41">
        <f>VLOOKUP(B330,'Player Data'!$A1:$AE734,21,FALSE)*$Q330</f>
        <v>25.329712119214804</v>
      </c>
      <c r="AH330" s="42">
        <f>VLOOKUP(B330,'Player Data'!$A1:$AE734,22,FALSE)</f>
        <v>0.39813059552850799</v>
      </c>
      <c r="AI330" s="39"/>
      <c r="AJ330" s="41"/>
      <c r="AK330" s="41"/>
      <c r="AL330" s="41"/>
      <c r="AM330" s="41"/>
      <c r="AN330" s="41"/>
      <c r="AO330" s="41"/>
      <c r="AP330" s="41"/>
      <c r="AQ330" s="44"/>
      <c r="AR330" s="45"/>
      <c r="AS330" s="39"/>
    </row>
    <row r="331" spans="1:45" ht="21.25" customHeight="1" x14ac:dyDescent="0.15">
      <c r="A331" s="31">
        <f>RANK(K331,K$2:K$727)</f>
        <v>330</v>
      </c>
      <c r="B331" s="8" t="s">
        <v>435</v>
      </c>
      <c r="C331" s="32" t="s">
        <v>106</v>
      </c>
      <c r="D331" s="33" t="str">
        <f>VLOOKUP(B331,'Player Data'!A1:D734,4,FALSE)</f>
        <v>C</v>
      </c>
      <c r="E331" s="34">
        <f>VLOOKUP(B331,'C'!A1:C211,3,FALSE)</f>
        <v>84</v>
      </c>
      <c r="F331" s="35" t="str">
        <f>VLOOKUP(B331,'Player Data'!A1:B734,2,FALSE)</f>
        <v>CGY</v>
      </c>
      <c r="G331" s="9">
        <f>VLOOKUP(B331,'Player Data'!A1:D734,3,FALSE)</f>
        <v>25</v>
      </c>
      <c r="H331" s="36">
        <f>IFERROR(VLOOKUP(B331,ADP!A1:G728,7,FALSE)/1000000,VLOOKUP(B331,ADP!A1:G728,7,FALSE))</f>
        <v>2.2999999999999998</v>
      </c>
      <c r="I331" s="37">
        <f>IF(Settings!$E$15="POINTS",((R331*Q331)*Settings!$B$12)+(S331*Settings!$B$2)+(T331*Settings!$B$3)+(U331*Settings!$B$4)+(V331*Settings!$B$5)+(X331*Settings!$B$9)+(AA331*Settings!$B$6)+(W331*Settings!$B$8)+(AB331*Settings!$B$7)+(AC331*Settings!$B$14)+(AD331*Settings!$B$15)+(AE331*Settings!$B$16)+(AF331*Settings!$B$17)+(AG331*Settings!$B$18)+(Y331*Settings!$B$10)+(Z331*Settings!$B$11),VLOOKUP(B331,'Standard Deviations'!A1:C728,3,FALSE))</f>
        <v>228.56262670928945</v>
      </c>
      <c r="J331" s="38">
        <f>IF(D331="G",I331/AJ331,I331/Q331)</f>
        <v>2.8357645993708371</v>
      </c>
      <c r="K331" s="37">
        <f>IF(Settings!$E$18="C/LW/RW",VLOOKUP(B331,'C'!A1:F211,6,FALSE),VLOOKUP(B331,F!A1:F430,6,FALSE))</f>
        <v>-164.76617905692021</v>
      </c>
      <c r="L331" s="37">
        <f>IFERROR(K331/H331,"N/A")</f>
        <v>-71.6374691551827</v>
      </c>
      <c r="M331" s="53" t="str">
        <f>IF(Settings!$E$9="YAHOO",VLOOKUP(B331,ADP!A1:E728,2,FALSE),IF(Settings!$E$9="ESPN",VLOOKUP(B331,ADP!A1:E728,3,FALSE),IF(Settings!$E$9="FANTRAX",VLOOKUP(B331,ADP!A1:E728,4,FALSE),VLOOKUP(B331,ADP!A1:E728,5,FALSE))))</f>
        <v>-</v>
      </c>
      <c r="N331" s="53" t="str">
        <f>IFERROR(M331-A331,"N/A")</f>
        <v>N/A</v>
      </c>
      <c r="O331" s="39"/>
      <c r="P331" s="40" t="str">
        <f>IF(Settings!$E$27="ON",VLOOKUP(B331,ADP!A1:H728,8,FALSE)," ")</f>
        <v xml:space="preserve"> </v>
      </c>
      <c r="Q331" s="41">
        <f>IF(Settings!$E$12="YES",VLOOKUP(B331,'Player Data'!A1:E734,5,FALSE),82)</f>
        <v>80.599999999999994</v>
      </c>
      <c r="R331" s="39">
        <f>VLOOKUP(B331,'Player Data'!$A1:$AE734,6,FALSE)</f>
        <v>15.6219758546452</v>
      </c>
      <c r="S331" s="41">
        <f>VLOOKUP(B331,'Player Data'!$A1:$AE734,7,FALSE)*$Q331*IFERROR((VLOOKUP(P331,Settings!$E$28:$F$33,2,FALSE)+1),1)</f>
        <v>19.769301946811733</v>
      </c>
      <c r="T331" s="41">
        <f>VLOOKUP(B331,'Player Data'!$A1:$AE734,8,FALSE)*$Q331*IFERROR((VLOOKUP(P331,Settings!$E$28:$F$33,2,FALSE)+1),1)</f>
        <v>23.993896418656224</v>
      </c>
      <c r="U331" s="41">
        <f>SUM(S331:T331)</f>
        <v>43.763198365467957</v>
      </c>
      <c r="V331" s="41">
        <f>VLOOKUP(B331,'Player Data'!$A1:$AE734,10,FALSE)*$Q331*IFERROR(((VLOOKUP(P331,Settings!$E$28:$F$33,2,FALSE)/2)+1),1)</f>
        <v>156.59038118810577</v>
      </c>
      <c r="W331" s="41">
        <f>VLOOKUP(B331,'Player Data'!$A1:$AE734,11,FALSE)*$Q331*IFERROR((VLOOKUP(P331,Settings!$E$28:$F$33,2,FALSE)+1),1)</f>
        <v>2.1854049582679806</v>
      </c>
      <c r="X331" s="41">
        <f>VLOOKUP(B331,'Player Data'!$A1:$AE734,12,FALSE)*$Q331*IFERROR((VLOOKUP(P331,Settings!$E$28:$F$33,2,FALSE)+1),1)</f>
        <v>5.1286870279767109</v>
      </c>
      <c r="Y331" s="41">
        <f>VLOOKUP(B331,'Player Data'!$A1:$AE734,13,FALSE)*$Q331</f>
        <v>1.5828565299136725</v>
      </c>
      <c r="Z331" s="41">
        <f>VLOOKUP(B331,'Player Data'!$A1:$AE734,14,FALSE)*$Q331</f>
        <v>2.0216453810682729</v>
      </c>
      <c r="AA331" s="41">
        <f>VLOOKUP(B331,'Player Data'!$A1:$AE734,15,FALSE)*$Q331</f>
        <v>23.385881003713738</v>
      </c>
      <c r="AB331" s="41">
        <f>VLOOKUP(B331,'Player Data'!$A1:$AE734,16,FALSE)*$Q331</f>
        <v>124.34716444349127</v>
      </c>
      <c r="AC331" s="41">
        <f>VLOOKUP(B331,'Player Data'!$A1:$AE734,17,FALSE)*$Q331*IFERROR((VLOOKUP(P331,Settings!$E$28:$F$33,2,FALSE)+1),1)</f>
        <v>0.69937256080402554</v>
      </c>
      <c r="AD331" s="41">
        <f>VLOOKUP(B331,'Player Data'!$A1:$AE734,18,FALSE)*$Q331</f>
        <v>33.064377389644527</v>
      </c>
      <c r="AE331" s="41">
        <f>VLOOKUP(B331,'Player Data'!$A1:$AE734,19,FALSE)*$Q331*IFERROR((VLOOKUP(P331,Settings!$E$28:$F$33,2,FALSE)+1),1)</f>
        <v>3.3034157602324523</v>
      </c>
      <c r="AF331" s="41">
        <f>VLOOKUP(B331,'Player Data'!$A1:$AE734,20,FALSE)*$Q331</f>
        <v>53.33599146392492</v>
      </c>
      <c r="AG331" s="41">
        <f>VLOOKUP(B331,'Player Data'!$A1:$AE734,21,FALSE)*$Q331</f>
        <v>59.856113623132444</v>
      </c>
      <c r="AH331" s="42">
        <f>VLOOKUP(B331,'Player Data'!$A1:$AE734,22,FALSE)</f>
        <v>0.47119886517618498</v>
      </c>
      <c r="AI331" s="39"/>
      <c r="AJ331" s="43"/>
      <c r="AK331" s="41"/>
      <c r="AL331" s="41"/>
      <c r="AM331" s="41"/>
      <c r="AN331" s="41"/>
      <c r="AO331" s="41"/>
      <c r="AP331" s="41"/>
      <c r="AQ331" s="44"/>
      <c r="AR331" s="45"/>
      <c r="AS331" s="39"/>
    </row>
    <row r="332" spans="1:45" ht="21.25" customHeight="1" x14ac:dyDescent="0.15">
      <c r="A332" s="31">
        <f>RANK(K332,K$2:K$727)</f>
        <v>331</v>
      </c>
      <c r="B332" s="8" t="s">
        <v>436</v>
      </c>
      <c r="C332" s="32" t="s">
        <v>106</v>
      </c>
      <c r="D332" s="33" t="str">
        <f>VLOOKUP(B332,'Player Data'!A1:D734,4,FALSE)</f>
        <v>G</v>
      </c>
      <c r="E332" s="50">
        <f>VLOOKUP(B332,G!A1:D75,3,FALSE)</f>
        <v>36</v>
      </c>
      <c r="F332" s="35" t="str">
        <f>VLOOKUP(B332,'Player Data'!A1:B734,2,FALSE)</f>
        <v>CHI</v>
      </c>
      <c r="G332" s="9">
        <f>VLOOKUP(B332,'Player Data'!A1:D734,3,FALSE)</f>
        <v>31</v>
      </c>
      <c r="H332" s="36">
        <f>IFERROR(VLOOKUP(B332,ADP!A1:G728,7,FALSE)/1000000,VLOOKUP(B332,ADP!A1:G728,7,FALSE))</f>
        <v>3.8</v>
      </c>
      <c r="I332" s="37">
        <f>IF(Settings!$E$15="POINTS",(AJ332*Settings!$B$29)+(AK332*Settings!$B$21)+(AL332*Settings!$B$22)+(AN332*Settings!$B$24)+(AO332*Settings!$B$25)+(AP332*Settings!$B$27)+(AM332*Settings!$B$23),VLOOKUP(B332,'Standard Deviations'!A1:C728,3,FALSE))</f>
        <v>233.44022715162805</v>
      </c>
      <c r="J332" s="38">
        <f>IF(D332="G",I332/AJ332,I332/Q332)</f>
        <v>5.8360056787907011</v>
      </c>
      <c r="K332" s="37">
        <f>VLOOKUP(B332,G!A1:F75,6,FALSE)</f>
        <v>-165.33543493768815</v>
      </c>
      <c r="L332" s="37">
        <f>IFERROR(K332/H332,"N/A")</f>
        <v>-43.509324983602149</v>
      </c>
      <c r="M332" s="53" t="str">
        <f>IF(Settings!$E$9="YAHOO",VLOOKUP(B332,ADP!A1:E728,2,FALSE),IF(Settings!$E$9="ESPN",VLOOKUP(B332,ADP!A1:E728,3,FALSE),IF(Settings!$E$9="FANTRAX",VLOOKUP(B332,ADP!A1:E728,4,FALSE),VLOOKUP(B332,ADP!A1:E728,5,FALSE))))</f>
        <v>-</v>
      </c>
      <c r="N332" s="53" t="str">
        <f>IFERROR(M332-A332,"N/A")</f>
        <v>N/A</v>
      </c>
      <c r="O332" s="39"/>
      <c r="P332" s="40" t="str">
        <f>IF(Settings!$E$27="ON",VLOOKUP(B332,ADP!A1:H728,8,FALSE)," ")</f>
        <v>-</v>
      </c>
      <c r="Q332" s="41"/>
      <c r="R332" s="5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2"/>
      <c r="AI332" s="39"/>
      <c r="AJ332" s="43">
        <f>VLOOKUP(B332,'Player Data'!$A1:$AE734,24,FALSE)</f>
        <v>40</v>
      </c>
      <c r="AK332" s="41">
        <f>VLOOKUP(B332,'Player Data'!$A1:$AE734,25,FALSE)*$AJ332*IFERROR((VLOOKUP(P332,Settings!$E$28:$F$33,2,FALSE)+1),1)</f>
        <v>14.162608302298368</v>
      </c>
      <c r="AL332" s="41">
        <f>AJ332-AK332-AM332</f>
        <v>20.837391697701634</v>
      </c>
      <c r="AM332" s="41">
        <f>VLOOKUP(B332,'Player Data'!$A1:$AE734,27,FALSE)*$AJ332</f>
        <v>5</v>
      </c>
      <c r="AN332" s="41">
        <f>VLOOKUP(B332,'Player Data'!$A1:$AE734,28,FALSE)*AJ332</f>
        <v>1.5291127875923118</v>
      </c>
      <c r="AO332" s="41">
        <f>VLOOKUP(B332,'Player Data'!$A1:$AE734,29,FALSE)*$AJ332*IFERROR((VLOOKUP(P332,Settings!$E$28:$F$33,2,FALSE)/4)+1,1)</f>
        <v>1115.514005372823</v>
      </c>
      <c r="AP332" s="41">
        <f>VLOOKUP(B332,'Player Data'!$A1:$AE734,31,FALSE)*$AJ332*(IFERROR(1-(VLOOKUP(P332,Settings!$E$28:$F$33,2,FALSE)/4),1))</f>
        <v>123.28760867228775</v>
      </c>
      <c r="AQ332" s="44">
        <f>1-(AP332/(AO332+AP332))</f>
        <v>0.90047832738148315</v>
      </c>
      <c r="AR332" s="45">
        <f>AP332/AJ332</f>
        <v>3.0821902168071937</v>
      </c>
      <c r="AS332" s="39"/>
    </row>
    <row r="333" spans="1:45" ht="21.25" customHeight="1" x14ac:dyDescent="0.15">
      <c r="A333" s="31">
        <f>RANK(K333,K$2:K$727)</f>
        <v>332</v>
      </c>
      <c r="B333" s="8" t="s">
        <v>437</v>
      </c>
      <c r="C333" s="32" t="s">
        <v>106</v>
      </c>
      <c r="D333" s="33" t="str">
        <f>VLOOKUP(B333,'Player Data'!A1:D734,4,FALSE)</f>
        <v>LW</v>
      </c>
      <c r="E333" s="47">
        <f>VLOOKUP(B333,LW!A1:C130,3,FALSE)</f>
        <v>66</v>
      </c>
      <c r="F333" s="35" t="str">
        <f>VLOOKUP(B333,'Player Data'!A1:B734,2,FALSE)</f>
        <v>WSH</v>
      </c>
      <c r="G333" s="9">
        <f>VLOOKUP(B333,'Player Data'!A1:D734,3,FALSE)</f>
        <v>34</v>
      </c>
      <c r="H333" s="36">
        <f>IFERROR(VLOOKUP(B333,ADP!A1:G728,7,FALSE)/1000000,VLOOKUP(B333,ADP!A1:G728,7,FALSE))</f>
        <v>2</v>
      </c>
      <c r="I333" s="37">
        <f>IF(Settings!$E$15="POINTS",((R333*Q333)*Settings!$B$12)+(S333*Settings!$B$2)+(T333*Settings!$B$3)+(U333*Settings!$B$4)+(V333*Settings!$B$5)+(X333*Settings!$B$9)+(AA333*Settings!$B$6)+(W333*Settings!$B$8)+(AB333*Settings!$B$7)+(AC333*Settings!$B$14)+(AD333*Settings!$B$15)+(AE333*Settings!$B$16)+(AF333*Settings!$B$17)+(AG333*Settings!$B$18)+(Y333*Settings!$B$10)+(Z333*Settings!$B$11),VLOOKUP(B333,'Standard Deviations'!A1:C728,3,FALSE))</f>
        <v>198.60652867325857</v>
      </c>
      <c r="J333" s="38">
        <f>IF(D333="G",I333/AJ333,I333/Q333)</f>
        <v>3.7053456842025851</v>
      </c>
      <c r="K333" s="37">
        <f>IF(Settings!$E$18="C/LW/RW",VLOOKUP(B333,LW!A1:F130,6,FALSE),VLOOKUP(B333,F!A1:F430,6,FALSE))</f>
        <v>-165.4340761843919</v>
      </c>
      <c r="L333" s="37">
        <f>IFERROR(K333/H333,"N/A")</f>
        <v>-82.717038092195949</v>
      </c>
      <c r="M333" s="39">
        <f>IF(Settings!$E$9="YAHOO",VLOOKUP(B333,ADP!A1:E728,2,FALSE),IF(Settings!$E$9="ESPN",VLOOKUP(B333,ADP!A1:E728,3,FALSE),IF(Settings!$E$9="FANTRAX",VLOOKUP(B333,ADP!A1:E728,4,FALSE),VLOOKUP(B333,ADP!A1:E728,5,FALSE))))</f>
        <v>166.3</v>
      </c>
      <c r="N333" s="39">
        <f>IFERROR(M333-A333,"N/A")</f>
        <v>-165.7</v>
      </c>
      <c r="O333" s="39"/>
      <c r="P333" s="40" t="str">
        <f>IF(Settings!$E$27="ON",VLOOKUP(B333,ADP!A1:H728,8,FALSE)," ")</f>
        <v xml:space="preserve"> </v>
      </c>
      <c r="Q333" s="41">
        <f>IF(Settings!$E$12="YES",VLOOKUP(B333,'Player Data'!A1:E734,5,FALSE),82)</f>
        <v>53.6</v>
      </c>
      <c r="R333" s="39">
        <f>VLOOKUP(B333,'Player Data'!$A1:$AE734,6,FALSE)</f>
        <v>14.8661020504058</v>
      </c>
      <c r="S333" s="41">
        <f>VLOOKUP(B333,'Player Data'!$A1:$AE734,7,FALSE)*$Q333*IFERROR((VLOOKUP(P333,Settings!$E$28:$F$33,2,FALSE)+1),1)</f>
        <v>18.063557960706397</v>
      </c>
      <c r="T333" s="41">
        <f>VLOOKUP(B333,'Player Data'!$A1:$AE734,8,FALSE)*$Q333*IFERROR((VLOOKUP(P333,Settings!$E$28:$F$33,2,FALSE)+1),1)</f>
        <v>16.95666859547897</v>
      </c>
      <c r="U333" s="41">
        <f>SUM(S333:T333)</f>
        <v>35.020226556185364</v>
      </c>
      <c r="V333" s="41">
        <f>VLOOKUP(B333,'Player Data'!$A1:$AE734,10,FALSE)*$Q333*IFERROR(((VLOOKUP(P333,Settings!$E$28:$F$33,2,FALSE)/2)+1),1)</f>
        <v>146.08546144184859</v>
      </c>
      <c r="W333" s="41">
        <f>VLOOKUP(B333,'Player Data'!$A1:$AE734,11,FALSE)*$Q333*IFERROR((VLOOKUP(P333,Settings!$E$28:$F$33,2,FALSE)+1),1)</f>
        <v>3.3776648005038559</v>
      </c>
      <c r="X333" s="41">
        <f>VLOOKUP(B333,'Player Data'!$A1:$AE734,12,FALSE)*$Q333*IFERROR((VLOOKUP(P333,Settings!$E$28:$F$33,2,FALSE)+1),1)</f>
        <v>7.8421930981730972</v>
      </c>
      <c r="Y333" s="41">
        <f>VLOOKUP(B333,'Player Data'!$A1:$AE734,13,FALSE)*$Q333</f>
        <v>0</v>
      </c>
      <c r="Z333" s="41">
        <f>VLOOKUP(B333,'Player Data'!$A1:$AE734,14,FALSE)*$Q333</f>
        <v>0</v>
      </c>
      <c r="AA333" s="41">
        <f>VLOOKUP(B333,'Player Data'!$A1:$AE734,15,FALSE)*$Q333</f>
        <v>24.093660437159766</v>
      </c>
      <c r="AB333" s="41">
        <f>VLOOKUP(B333,'Player Data'!$A1:$AE734,16,FALSE)*$Q333</f>
        <v>45.894489942036486</v>
      </c>
      <c r="AC333" s="41">
        <f>VLOOKUP(B333,'Player Data'!$A1:$AE734,17,FALSE)*$Q333*IFERROR((VLOOKUP(P333,Settings!$E$28:$F$33,2,FALSE)+1),1)</f>
        <v>-0.77606326481732124</v>
      </c>
      <c r="AD333" s="41">
        <f>VLOOKUP(B333,'Player Data'!$A1:$AE734,18,FALSE)*$Q333</f>
        <v>20.125380264396227</v>
      </c>
      <c r="AE333" s="41">
        <f>VLOOKUP(B333,'Player Data'!$A1:$AE734,19,FALSE)*$Q333*IFERROR((VLOOKUP(P333,Settings!$E$28:$F$33,2,FALSE)+1),1)</f>
        <v>2.2219239637764527</v>
      </c>
      <c r="AF333" s="41">
        <f>VLOOKUP(B333,'Player Data'!$A1:$AE734,20,FALSE)*$Q333</f>
        <v>7.0251938999981611</v>
      </c>
      <c r="AG333" s="41">
        <f>VLOOKUP(B333,'Player Data'!$A1:$AE734,21,FALSE)*$Q333</f>
        <v>15.129133873788073</v>
      </c>
      <c r="AH333" s="42">
        <f>VLOOKUP(B333,'Player Data'!$A1:$AE734,22,FALSE)</f>
        <v>0.31710255313233199</v>
      </c>
      <c r="AI333" s="39"/>
      <c r="AJ333" s="43"/>
      <c r="AK333" s="41"/>
      <c r="AL333" s="41"/>
      <c r="AM333" s="41"/>
      <c r="AN333" s="41"/>
      <c r="AO333" s="41"/>
      <c r="AP333" s="41"/>
      <c r="AQ333" s="44"/>
      <c r="AR333" s="45"/>
      <c r="AS333" s="39"/>
    </row>
    <row r="334" spans="1:45" ht="21.25" customHeight="1" x14ac:dyDescent="0.15">
      <c r="A334" s="31">
        <f>RANK(K334,K$2:K$727)</f>
        <v>333</v>
      </c>
      <c r="B334" s="8" t="s">
        <v>438</v>
      </c>
      <c r="C334" s="32" t="s">
        <v>106</v>
      </c>
      <c r="D334" s="33" t="str">
        <f>VLOOKUP(B334,'Player Data'!A1:D734,4,FALSE)</f>
        <v>D</v>
      </c>
      <c r="E334" s="49">
        <f>VLOOKUP(B334,D!A1:C227,3,FALSE)</f>
        <v>101</v>
      </c>
      <c r="F334" s="35" t="str">
        <f>VLOOKUP(B334,'Player Data'!A1:B734,2,FALSE)</f>
        <v>TBL</v>
      </c>
      <c r="G334" s="9">
        <f>VLOOKUP(B334,'Player Data'!A1:D734,3,FALSE)</f>
        <v>26</v>
      </c>
      <c r="H334" s="36">
        <f>IFERROR(VLOOKUP(B334,ADP!A1:G728,7,FALSE)/1000000,VLOOKUP(B334,ADP!A1:G728,7,FALSE))</f>
        <v>5.2</v>
      </c>
      <c r="I334" s="37">
        <f>IF(Settings!$E$15="POINTS",((R334*Q334)*Settings!$B$12)+(S334*Settings!$B$2)+(T334*Settings!$B$3)+(U334*Settings!$B$4)+(V334*Settings!$B$5)+(X334*Settings!$B$9)+(AA334*Settings!$B$6)+(W334*Settings!$B$8)+(AB334*Settings!$B$7)+(AC334*Settings!$B$14)+(AD334*Settings!$B$15)+(AE334*Settings!$B$16)+(AF334*Settings!$B$17)+(AG334*Settings!$B$18)+(U334*Settings!$B$13)+(Y334*Settings!$B$10)+(Z334*Settings!$B$11),VLOOKUP(B334,'Standard Deviations'!A1:C728,3,FALSE))</f>
        <v>145.32489795329761</v>
      </c>
      <c r="J334" s="38">
        <f>IF(D334="G",I334/AJ334,I334/Q334)</f>
        <v>1.9299455239481755</v>
      </c>
      <c r="K334" s="37">
        <f>VLOOKUP(B334,D!A1:F227,6,FALSE)</f>
        <v>-166.24058367462985</v>
      </c>
      <c r="L334" s="37">
        <f>IFERROR(K334/H334,"N/A")</f>
        <v>-31.969343014351892</v>
      </c>
      <c r="M334" s="53" t="str">
        <f>IF(Settings!$E$9="YAHOO",VLOOKUP(B334,ADP!A1:E728,2,FALSE),IF(Settings!$E$9="ESPN",VLOOKUP(B334,ADP!A1:E728,3,FALSE),IF(Settings!$E$9="FANTRAX",VLOOKUP(B334,ADP!A1:E728,4,FALSE),VLOOKUP(B334,ADP!A1:E728,5,FALSE))))</f>
        <v>-</v>
      </c>
      <c r="N334" s="53" t="str">
        <f>IFERROR(M334-A334,"N/A")</f>
        <v>N/A</v>
      </c>
      <c r="O334" s="39"/>
      <c r="P334" s="40" t="str">
        <f>IF(Settings!$E$27="ON",VLOOKUP(B334,ADP!A1:H728,8,FALSE)," ")</f>
        <v xml:space="preserve"> </v>
      </c>
      <c r="Q334" s="41">
        <f>IF(Settings!$E$12="YES",VLOOKUP(B334,'Player Data'!A1:E734,5,FALSE),82)</f>
        <v>75.3</v>
      </c>
      <c r="R334" s="39">
        <f>VLOOKUP(B334,'Player Data'!$A1:$AE734,6,FALSE)</f>
        <v>20.100372894526998</v>
      </c>
      <c r="S334" s="41">
        <f>VLOOKUP(B334,'Player Data'!$A1:$AE734,7,FALSE)*$Q334*IFERROR((VLOOKUP(P334,Settings!$E$28:$F$33,2,FALSE)+1),1)</f>
        <v>3.7835779598298145</v>
      </c>
      <c r="T334" s="41">
        <f>VLOOKUP(B334,'Player Data'!$A1:$AE734,8,FALSE)*$Q334*IFERROR((VLOOKUP(P334,Settings!$E$28:$F$33,2,FALSE)+1),1)</f>
        <v>18.400377466747397</v>
      </c>
      <c r="U334" s="41">
        <f>SUM(S334:T334)</f>
        <v>22.18395542657721</v>
      </c>
      <c r="V334" s="41">
        <f>VLOOKUP(B334,'Player Data'!$A1:$AE734,10,FALSE)*$Q334*IFERROR(((VLOOKUP(P334,Settings!$E$28:$F$33,2,FALSE)/2)+1),1)</f>
        <v>108.76771165773987</v>
      </c>
      <c r="W334" s="41">
        <f>VLOOKUP(B334,'Player Data'!$A1:$AE734,11,FALSE)*$Q334*IFERROR((VLOOKUP(P334,Settings!$E$28:$F$33,2,FALSE)+1),1)</f>
        <v>2.1173608762350565E-2</v>
      </c>
      <c r="X334" s="41">
        <f>VLOOKUP(B334,'Player Data'!$A1:$AE734,12,FALSE)*$Q334*IFERROR((VLOOKUP(P334,Settings!$E$28:$F$33,2,FALSE)+1),1)</f>
        <v>0.14364816610441797</v>
      </c>
      <c r="Y334" s="41">
        <f>VLOOKUP(B334,'Player Data'!$A1:$AE734,13,FALSE)*$Q334</f>
        <v>2.7754871591784032E-2</v>
      </c>
      <c r="Z334" s="41">
        <f>VLOOKUP(B334,'Player Data'!$A1:$AE734,14,FALSE)*$Q334</f>
        <v>0.69842614275642412</v>
      </c>
      <c r="AA334" s="41">
        <f>VLOOKUP(B334,'Player Data'!$A1:$AE734,15,FALSE)*$Q334</f>
        <v>113.5251361348719</v>
      </c>
      <c r="AB334" s="41">
        <f>VLOOKUP(B334,'Player Data'!$A1:$AE734,16,FALSE)*$Q334</f>
        <v>204.60356724417272</v>
      </c>
      <c r="AC334" s="41">
        <f>VLOOKUP(B334,'Player Data'!$A1:$AE734,17,FALSE)*$Q334*IFERROR((VLOOKUP(P334,Settings!$E$28:$F$33,2,FALSE)+1),1)</f>
        <v>6.4858628602731949E-2</v>
      </c>
      <c r="AD334" s="41">
        <f>VLOOKUP(B334,'Player Data'!$A1:$AE734,18,FALSE)*$Q334</f>
        <v>53.25960784123437</v>
      </c>
      <c r="AE334" s="41">
        <f>VLOOKUP(B334,'Player Data'!$A1:$AE734,19,FALSE)*$Q334*IFERROR((VLOOKUP(P334,Settings!$E$28:$F$33,2,FALSE)+1),1)</f>
        <v>0.59213132510042421</v>
      </c>
      <c r="AF334" s="41">
        <f>VLOOKUP(B334,'Player Data'!$A1:$AE734,20,FALSE)*$Q334</f>
        <v>0</v>
      </c>
      <c r="AG334" s="41">
        <f>VLOOKUP(B334,'Player Data'!$A1:$AE734,21,FALSE)*$Q334</f>
        <v>0</v>
      </c>
      <c r="AH334" s="42">
        <f>VLOOKUP(B334,'Player Data'!$A1:$AE734,22,FALSE)</f>
        <v>0</v>
      </c>
      <c r="AI334" s="39"/>
      <c r="AJ334" s="41"/>
      <c r="AK334" s="41"/>
      <c r="AL334" s="41"/>
      <c r="AM334" s="41"/>
      <c r="AN334" s="41"/>
      <c r="AO334" s="41"/>
      <c r="AP334" s="41"/>
      <c r="AQ334" s="44"/>
      <c r="AR334" s="45"/>
      <c r="AS334" s="39"/>
    </row>
    <row r="335" spans="1:45" ht="21.25" customHeight="1" x14ac:dyDescent="0.15">
      <c r="A335" s="31">
        <f>RANK(K335,K$2:K$727)</f>
        <v>334</v>
      </c>
      <c r="B335" s="8" t="s">
        <v>439</v>
      </c>
      <c r="C335" s="32" t="s">
        <v>106</v>
      </c>
      <c r="D335" s="33" t="str">
        <f>VLOOKUP(B335,'Player Data'!A1:D734,4,FALSE)</f>
        <v>D</v>
      </c>
      <c r="E335" s="49">
        <f>VLOOKUP(B335,D!A1:C227,3,FALSE)</f>
        <v>102</v>
      </c>
      <c r="F335" s="35" t="str">
        <f>VLOOKUP(B335,'Player Data'!A1:B734,2,FALSE)</f>
        <v>NSH</v>
      </c>
      <c r="G335" s="9">
        <f>VLOOKUP(B335,'Player Data'!A1:D734,3,FALSE)</f>
        <v>34</v>
      </c>
      <c r="H335" s="36">
        <f>IFERROR(VLOOKUP(B335,ADP!A1:G728,7,FALSE)/1000000,VLOOKUP(B335,ADP!A1:G728,7,FALSE))</f>
        <v>6.75</v>
      </c>
      <c r="I335" s="37">
        <f>IF(Settings!$E$15="POINTS",((R335*Q335)*Settings!$B$12)+(S335*Settings!$B$2)+(T335*Settings!$B$3)+(U335*Settings!$B$4)+(V335*Settings!$B$5)+(X335*Settings!$B$9)+(AA335*Settings!$B$6)+(W335*Settings!$B$8)+(AB335*Settings!$B$7)+(AC335*Settings!$B$14)+(AD335*Settings!$B$15)+(AE335*Settings!$B$16)+(AF335*Settings!$B$17)+(AG335*Settings!$B$18)+(U335*Settings!$B$13)+(Y335*Settings!$B$10)+(Z335*Settings!$B$11),VLOOKUP(B335,'Standard Deviations'!A1:C728,3,FALSE))</f>
        <v>144.42416802666773</v>
      </c>
      <c r="J335" s="38">
        <f>IF(D335="G",I335/AJ335,I335/Q335)</f>
        <v>1.859065613936381</v>
      </c>
      <c r="K335" s="37">
        <f>VLOOKUP(B335,D!A1:F227,6,FALSE)</f>
        <v>-167.14131360125972</v>
      </c>
      <c r="L335" s="37">
        <f>IFERROR(K335/H335,"N/A")</f>
        <v>-24.761676089075515</v>
      </c>
      <c r="M335" s="53" t="str">
        <f>IF(Settings!$E$9="YAHOO",VLOOKUP(B335,ADP!A1:E728,2,FALSE),IF(Settings!$E$9="ESPN",VLOOKUP(B335,ADP!A1:E728,3,FALSE),IF(Settings!$E$9="FANTRAX",VLOOKUP(B335,ADP!A1:E728,4,FALSE),VLOOKUP(B335,ADP!A1:E728,5,FALSE))))</f>
        <v>-</v>
      </c>
      <c r="N335" s="53" t="str">
        <f>IFERROR(M335-A335,"N/A")</f>
        <v>N/A</v>
      </c>
      <c r="O335" s="39"/>
      <c r="P335" s="40" t="str">
        <f>IF(Settings!$E$27="ON",VLOOKUP(B335,ADP!A1:H728,8,FALSE)," ")</f>
        <v xml:space="preserve"> </v>
      </c>
      <c r="Q335" s="41">
        <f>IF(Settings!$E$12="YES",VLOOKUP(B335,'Player Data'!A1:E734,5,FALSE),82)</f>
        <v>77.686428571428607</v>
      </c>
      <c r="R335" s="39">
        <f>VLOOKUP(B335,'Player Data'!$A1:$AE734,6,FALSE)</f>
        <v>21.193434124012398</v>
      </c>
      <c r="S335" s="41">
        <f>VLOOKUP(B335,'Player Data'!$A1:$AE734,7,FALSE)*$Q335*IFERROR((VLOOKUP(P335,Settings!$E$28:$F$33,2,FALSE)+1),1)</f>
        <v>3.4164868648042099</v>
      </c>
      <c r="T335" s="41">
        <f>VLOOKUP(B335,'Player Data'!$A1:$AE734,8,FALSE)*$Q335*IFERROR((VLOOKUP(P335,Settings!$E$28:$F$33,2,FALSE)+1),1)</f>
        <v>18.25268980286921</v>
      </c>
      <c r="U335" s="41">
        <f>SUM(S335:T335)</f>
        <v>21.669176667673419</v>
      </c>
      <c r="V335" s="41">
        <f>VLOOKUP(B335,'Player Data'!$A1:$AE734,10,FALSE)*$Q335*IFERROR(((VLOOKUP(P335,Settings!$E$28:$F$33,2,FALSE)/2)+1),1)</f>
        <v>93.619163610716129</v>
      </c>
      <c r="W335" s="41">
        <f>VLOOKUP(B335,'Player Data'!$A1:$AE734,11,FALSE)*$Q335*IFERROR((VLOOKUP(P335,Settings!$E$28:$F$33,2,FALSE)+1),1)</f>
        <v>1.209647542199405E-2</v>
      </c>
      <c r="X335" s="41">
        <f>VLOOKUP(B335,'Player Data'!$A1:$AE734,12,FALSE)*$Q335*IFERROR((VLOOKUP(P335,Settings!$E$28:$F$33,2,FALSE)+1),1)</f>
        <v>0.12083783882470012</v>
      </c>
      <c r="Y335" s="41">
        <f>VLOOKUP(B335,'Player Data'!$A1:$AE734,13,FALSE)*$Q335</f>
        <v>2.0050024645004588E-2</v>
      </c>
      <c r="Z335" s="41">
        <f>VLOOKUP(B335,'Player Data'!$A1:$AE734,14,FALSE)*$Q335</f>
        <v>0.11697598138500867</v>
      </c>
      <c r="AA335" s="41">
        <f>VLOOKUP(B335,'Player Data'!$A1:$AE734,15,FALSE)*$Q335</f>
        <v>160.65714288935001</v>
      </c>
      <c r="AB335" s="41">
        <f>VLOOKUP(B335,'Player Data'!$A1:$AE734,16,FALSE)*$Q335</f>
        <v>89.345946778926475</v>
      </c>
      <c r="AC335" s="41">
        <f>VLOOKUP(B335,'Player Data'!$A1:$AE734,17,FALSE)*$Q335*IFERROR((VLOOKUP(P335,Settings!$E$28:$F$33,2,FALSE)+1),1)</f>
        <v>-0.44973966167752089</v>
      </c>
      <c r="AD335" s="41">
        <f>VLOOKUP(B335,'Player Data'!$A1:$AE734,18,FALSE)*$Q335</f>
        <v>23.707067893784899</v>
      </c>
      <c r="AE335" s="41">
        <f>VLOOKUP(B335,'Player Data'!$A1:$AE734,19,FALSE)*$Q335*IFERROR((VLOOKUP(P335,Settings!$E$28:$F$33,2,FALSE)+1),1)</f>
        <v>0.49889643732301087</v>
      </c>
      <c r="AF335" s="41">
        <f>VLOOKUP(B335,'Player Data'!$A1:$AE734,20,FALSE)*$Q335</f>
        <v>0</v>
      </c>
      <c r="AG335" s="41">
        <f>VLOOKUP(B335,'Player Data'!$A1:$AE734,21,FALSE)*$Q335</f>
        <v>0.16289751845198602</v>
      </c>
      <c r="AH335" s="42">
        <f>VLOOKUP(B335,'Player Data'!$A1:$AE734,22,FALSE)</f>
        <v>0</v>
      </c>
      <c r="AI335" s="39"/>
      <c r="AJ335" s="41"/>
      <c r="AK335" s="41"/>
      <c r="AL335" s="41"/>
      <c r="AM335" s="41"/>
      <c r="AN335" s="41"/>
      <c r="AO335" s="41"/>
      <c r="AP335" s="41"/>
      <c r="AQ335" s="44"/>
      <c r="AR335" s="45"/>
      <c r="AS335" s="39"/>
    </row>
    <row r="336" spans="1:45" ht="21.25" customHeight="1" x14ac:dyDescent="0.15">
      <c r="A336" s="31">
        <f>RANK(K336,K$2:K$727)</f>
        <v>335</v>
      </c>
      <c r="B336" s="8" t="s">
        <v>440</v>
      </c>
      <c r="C336" s="32" t="s">
        <v>106</v>
      </c>
      <c r="D336" s="33" t="str">
        <f>VLOOKUP(B336,'Player Data'!A1:D734,4,FALSE)</f>
        <v>C</v>
      </c>
      <c r="E336" s="34">
        <f>VLOOKUP(B336,'C'!A1:C211,3,FALSE)</f>
        <v>85</v>
      </c>
      <c r="F336" s="35" t="str">
        <f>VLOOKUP(B336,'Player Data'!A1:B734,2,FALSE)</f>
        <v>CAR</v>
      </c>
      <c r="G336" s="9">
        <f>VLOOKUP(B336,'Player Data'!A1:D734,3,FALSE)</f>
        <v>23</v>
      </c>
      <c r="H336" s="36">
        <f>IFERROR(VLOOKUP(B336,ADP!A1:G728,7,FALSE)/1000000,VLOOKUP(B336,ADP!A1:G728,7,FALSE))</f>
        <v>4.82</v>
      </c>
      <c r="I336" s="37">
        <f>IF(Settings!$E$15="POINTS",((R336*Q336)*Settings!$B$12)+(S336*Settings!$B$2)+(T336*Settings!$B$3)+(U336*Settings!$B$4)+(V336*Settings!$B$5)+(X336*Settings!$B$9)+(AA336*Settings!$B$6)+(W336*Settings!$B$8)+(AB336*Settings!$B$7)+(AC336*Settings!$B$14)+(AD336*Settings!$B$15)+(AE336*Settings!$B$16)+(AF336*Settings!$B$17)+(AG336*Settings!$B$18)+(Y336*Settings!$B$10)+(Z336*Settings!$B$11),VLOOKUP(B336,'Standard Deviations'!A1:C728,3,FALSE))</f>
        <v>225.65235905908733</v>
      </c>
      <c r="J336" s="38">
        <f>IF(D336="G",I336/AJ336,I336/Q336)</f>
        <v>2.8266611431678235</v>
      </c>
      <c r="K336" s="37">
        <f>IF(Settings!$E$18="C/LW/RW",VLOOKUP(B336,'C'!A1:F211,6,FALSE),VLOOKUP(B336,F!A1:F430,6,FALSE))</f>
        <v>-167.67644670712232</v>
      </c>
      <c r="L336" s="37">
        <f>IFERROR(K336/H336,"N/A")</f>
        <v>-34.78764454504612</v>
      </c>
      <c r="M336" s="53" t="str">
        <f>IF(Settings!$E$9="YAHOO",VLOOKUP(B336,ADP!A1:E728,2,FALSE),IF(Settings!$E$9="ESPN",VLOOKUP(B336,ADP!A1:E728,3,FALSE),IF(Settings!$E$9="FANTRAX",VLOOKUP(B336,ADP!A1:E728,4,FALSE),VLOOKUP(B336,ADP!A1:E728,5,FALSE))))</f>
        <v>-</v>
      </c>
      <c r="N336" s="53" t="str">
        <f>IFERROR(M336-A336,"N/A")</f>
        <v>N/A</v>
      </c>
      <c r="O336" s="39"/>
      <c r="P336" s="40" t="str">
        <f>IF(Settings!$E$27="ON",VLOOKUP(B336,ADP!A1:H728,8,FALSE)," ")</f>
        <v xml:space="preserve"> </v>
      </c>
      <c r="Q336" s="41">
        <f>IF(Settings!$E$12="YES",VLOOKUP(B336,'Player Data'!A1:E734,5,FALSE),82)</f>
        <v>79.83</v>
      </c>
      <c r="R336" s="39">
        <f>VLOOKUP(B336,'Player Data'!$A1:$AE734,6,FALSE)</f>
        <v>15.5134607343723</v>
      </c>
      <c r="S336" s="41">
        <f>VLOOKUP(B336,'Player Data'!$A1:$AE734,7,FALSE)*$Q336*IFERROR((VLOOKUP(P336,Settings!$E$28:$F$33,2,FALSE)+1),1)</f>
        <v>18.418486389549109</v>
      </c>
      <c r="T336" s="41">
        <f>VLOOKUP(B336,'Player Data'!$A1:$AE734,8,FALSE)*$Q336*IFERROR((VLOOKUP(P336,Settings!$E$28:$F$33,2,FALSE)+1),1)</f>
        <v>26.720521482498583</v>
      </c>
      <c r="U336" s="41">
        <f>SUM(S336:T336)</f>
        <v>45.139007872047692</v>
      </c>
      <c r="V336" s="41">
        <f>VLOOKUP(B336,'Player Data'!$A1:$AE734,10,FALSE)*$Q336*IFERROR(((VLOOKUP(P336,Settings!$E$28:$F$33,2,FALSE)/2)+1),1)</f>
        <v>132.68852239052893</v>
      </c>
      <c r="W336" s="41">
        <f>VLOOKUP(B336,'Player Data'!$A1:$AE734,11,FALSE)*$Q336*IFERROR((VLOOKUP(P336,Settings!$E$28:$F$33,2,FALSE)+1),1)</f>
        <v>2.2065327162491202</v>
      </c>
      <c r="X336" s="41">
        <f>VLOOKUP(B336,'Player Data'!$A1:$AE734,12,FALSE)*$Q336*IFERROR((VLOOKUP(P336,Settings!$E$28:$F$33,2,FALSE)+1),1)</f>
        <v>9.0834815335417183</v>
      </c>
      <c r="Y336" s="41">
        <f>VLOOKUP(B336,'Player Data'!$A1:$AE734,13,FALSE)*$Q336</f>
        <v>0.33755358383291939</v>
      </c>
      <c r="Z336" s="41">
        <f>VLOOKUP(B336,'Player Data'!$A1:$AE734,14,FALSE)*$Q336</f>
        <v>0.38622443514134086</v>
      </c>
      <c r="AA336" s="41">
        <f>VLOOKUP(B336,'Player Data'!$A1:$AE734,15,FALSE)*$Q336</f>
        <v>24.758311551568433</v>
      </c>
      <c r="AB336" s="41">
        <f>VLOOKUP(B336,'Player Data'!$A1:$AE734,16,FALSE)*$Q336</f>
        <v>106.28070593161513</v>
      </c>
      <c r="AC336" s="41">
        <f>VLOOKUP(B336,'Player Data'!$A1:$AE734,17,FALSE)*$Q336*IFERROR((VLOOKUP(P336,Settings!$E$28:$F$33,2,FALSE)+1),1)</f>
        <v>6.9821962888045421</v>
      </c>
      <c r="AD336" s="41">
        <f>VLOOKUP(B336,'Player Data'!$A1:$AE734,18,FALSE)*$Q336</f>
        <v>39.746982942566426</v>
      </c>
      <c r="AE336" s="41">
        <f>VLOOKUP(B336,'Player Data'!$A1:$AE734,19,FALSE)*$Q336*IFERROR((VLOOKUP(P336,Settings!$E$28:$F$33,2,FALSE)+1),1)</f>
        <v>3.3046888793842051</v>
      </c>
      <c r="AF336" s="41">
        <f>VLOOKUP(B336,'Player Data'!$A1:$AE734,20,FALSE)*$Q336</f>
        <v>359.1399841730003</v>
      </c>
      <c r="AG336" s="41">
        <f>VLOOKUP(B336,'Player Data'!$A1:$AE734,21,FALSE)*$Q336</f>
        <v>349.74745102374226</v>
      </c>
      <c r="AH336" s="42">
        <f>VLOOKUP(B336,'Player Data'!$A1:$AE734,22,FALSE)</f>
        <v>0.50662484104168903</v>
      </c>
      <c r="AI336" s="39"/>
      <c r="AJ336" s="43"/>
      <c r="AK336" s="41"/>
      <c r="AL336" s="41"/>
      <c r="AM336" s="41"/>
      <c r="AN336" s="41"/>
      <c r="AO336" s="41"/>
      <c r="AP336" s="41"/>
      <c r="AQ336" s="44"/>
      <c r="AR336" s="45"/>
      <c r="AS336" s="39"/>
    </row>
    <row r="337" spans="1:45" ht="21.25" customHeight="1" x14ac:dyDescent="0.15">
      <c r="A337" s="31">
        <f>RANK(K337,K$2:K$727)</f>
        <v>336</v>
      </c>
      <c r="B337" s="8" t="s">
        <v>441</v>
      </c>
      <c r="C337" s="32" t="s">
        <v>106</v>
      </c>
      <c r="D337" s="33" t="str">
        <f>VLOOKUP(B337,'Player Data'!A1:D734,4,FALSE)</f>
        <v>RW</v>
      </c>
      <c r="E337" s="46">
        <f>VLOOKUP(B337,RW!A1:F97,3,FALSE)</f>
        <v>49</v>
      </c>
      <c r="F337" s="35" t="str">
        <f>VLOOKUP(B337,'Player Data'!A1:B734,2,FALSE)</f>
        <v>UFA</v>
      </c>
      <c r="G337" s="9">
        <f>VLOOKUP(B337,'Player Data'!A1:D734,3,FALSE)</f>
        <v>35</v>
      </c>
      <c r="H337" s="36">
        <f>IFERROR(VLOOKUP(B337,ADP!A1:G728,7,FALSE)/1000000,VLOOKUP(B337,ADP!A1:G728,7,FALSE))</f>
        <v>2.085</v>
      </c>
      <c r="I337" s="37">
        <f>IF(Settings!$E$15="POINTS",((R337*Q337)*Settings!$B$12)+(S337*Settings!$B$2)+(T337*Settings!$B$3)+(U337*Settings!$B$4)+(V337*Settings!$B$5)+(X337*Settings!$B$9)+(AA337*Settings!$B$6)+(W337*Settings!$B$8)+(AB337*Settings!$B$7)+(AC337*Settings!$B$14)+(AD337*Settings!$B$15)+(AE337*Settings!$B$16)+(AF337*Settings!$B$17)+(AG337*Settings!$B$18)+(Y337*Settings!$B$10)+(Z337*Settings!$B$11),VLOOKUP(B337,'Standard Deviations'!A1:C728,3,FALSE))</f>
        <v>182.39480577168843</v>
      </c>
      <c r="J337" s="38">
        <f>IF(D337="G",I337/AJ337,I337/Q337)</f>
        <v>2.223513419135541</v>
      </c>
      <c r="K337" s="37">
        <f>IF(Settings!$E$18="C/LW/RW",VLOOKUP(B337,RW!A1:F97,6,FALSE),VLOOKUP(B337,F!A1:F430,6,FALSE))</f>
        <v>-167.87673477620115</v>
      </c>
      <c r="L337" s="37">
        <f>IFERROR(K337/H337,"N/A")</f>
        <v>-80.516419556931012</v>
      </c>
      <c r="M337" s="53" t="str">
        <f>IF(Settings!$E$9="YAHOO",VLOOKUP(B337,ADP!A1:E728,2,FALSE),IF(Settings!$E$9="ESPN",VLOOKUP(B337,ADP!A1:E728,3,FALSE),IF(Settings!$E$9="FANTRAX",VLOOKUP(B337,ADP!A1:E728,4,FALSE),VLOOKUP(B337,ADP!A1:E728,5,FALSE))))</f>
        <v>-</v>
      </c>
      <c r="N337" s="53" t="str">
        <f>IFERROR(M337-A337,"N/A")</f>
        <v>N/A</v>
      </c>
      <c r="O337" s="39"/>
      <c r="P337" s="40" t="str">
        <f>IF(Settings!$E$27="ON",VLOOKUP(B337,ADP!A1:H728,8,FALSE)," ")</f>
        <v xml:space="preserve"> </v>
      </c>
      <c r="Q337" s="41">
        <f>IF(Settings!$E$12="YES",VLOOKUP(B337,'Player Data'!A1:E734,5,FALSE),82)</f>
        <v>82.03</v>
      </c>
      <c r="R337" s="39">
        <f>VLOOKUP(B337,'Player Data'!$A1:$AE734,6,FALSE)</f>
        <v>12.596116615853701</v>
      </c>
      <c r="S337" s="41">
        <f>VLOOKUP(B337,'Player Data'!$A1:$AE734,7,FALSE)*$Q337*IFERROR((VLOOKUP(P337,Settings!$E$28:$F$33,2,FALSE)+1),1)</f>
        <v>9.7075841793663589</v>
      </c>
      <c r="T337" s="41">
        <f>VLOOKUP(B337,'Player Data'!$A1:$AE734,8,FALSE)*$Q337*IFERROR((VLOOKUP(P337,Settings!$E$28:$F$33,2,FALSE)+1),1)</f>
        <v>22.675310376691716</v>
      </c>
      <c r="U337" s="41">
        <f>SUM(S337:T337)</f>
        <v>32.382894556058076</v>
      </c>
      <c r="V337" s="41">
        <f>VLOOKUP(B337,'Player Data'!$A1:$AE734,10,FALSE)*$Q337*IFERROR(((VLOOKUP(P337,Settings!$E$28:$F$33,2,FALSE)/2)+1),1)</f>
        <v>135.39811099410497</v>
      </c>
      <c r="W337" s="41">
        <f>VLOOKUP(B337,'Player Data'!$A1:$AE734,11,FALSE)*$Q337*IFERROR((VLOOKUP(P337,Settings!$E$28:$F$33,2,FALSE)+1),1)</f>
        <v>1.3515779509991739</v>
      </c>
      <c r="X337" s="41">
        <f>VLOOKUP(B337,'Player Data'!$A1:$AE734,12,FALSE)*$Q337*IFERROR((VLOOKUP(P337,Settings!$E$28:$F$33,2,FALSE)+1),1)</f>
        <v>6.2939668480865043</v>
      </c>
      <c r="Y337" s="41">
        <f>VLOOKUP(B337,'Player Data'!$A1:$AE734,13,FALSE)*$Q337</f>
        <v>0</v>
      </c>
      <c r="Z337" s="41">
        <f>VLOOKUP(B337,'Player Data'!$A1:$AE734,14,FALSE)*$Q337</f>
        <v>0</v>
      </c>
      <c r="AA337" s="41">
        <f>VLOOKUP(B337,'Player Data'!$A1:$AE734,15,FALSE)*$Q337</f>
        <v>24.795664551443693</v>
      </c>
      <c r="AB337" s="41">
        <f>VLOOKUP(B337,'Player Data'!$A1:$AE734,16,FALSE)*$Q337</f>
        <v>20.807322203833671</v>
      </c>
      <c r="AC337" s="41">
        <f>VLOOKUP(B337,'Player Data'!$A1:$AE734,17,FALSE)*$Q337*IFERROR((VLOOKUP(P337,Settings!$E$28:$F$33,2,FALSE)+1),1)</f>
        <v>-0.95665011450998183</v>
      </c>
      <c r="AD337" s="41">
        <f>VLOOKUP(B337,'Player Data'!$A1:$AE734,18,FALSE)*$Q337</f>
        <v>23.835678580237122</v>
      </c>
      <c r="AE337" s="41">
        <f>VLOOKUP(B337,'Player Data'!$A1:$AE734,19,FALSE)*$Q337*IFERROR((VLOOKUP(P337,Settings!$E$28:$F$33,2,FALSE)+1),1)</f>
        <v>0</v>
      </c>
      <c r="AF337" s="41">
        <f>VLOOKUP(B337,'Player Data'!$A1:$AE734,20,FALSE)*$Q337</f>
        <v>3.5990834403444629</v>
      </c>
      <c r="AG337" s="41">
        <f>VLOOKUP(B337,'Player Data'!$A1:$AE734,21,FALSE)*$Q337</f>
        <v>6.7399008136381742</v>
      </c>
      <c r="AH337" s="42">
        <f>VLOOKUP(B337,'Player Data'!$A1:$AE734,22,FALSE)</f>
        <v>0.34810802995062801</v>
      </c>
      <c r="AI337" s="39"/>
      <c r="AJ337" s="43"/>
      <c r="AK337" s="41"/>
      <c r="AL337" s="41"/>
      <c r="AM337" s="41"/>
      <c r="AN337" s="41"/>
      <c r="AO337" s="41"/>
      <c r="AP337" s="41"/>
      <c r="AQ337" s="44"/>
      <c r="AR337" s="45"/>
      <c r="AS337" s="39"/>
    </row>
    <row r="338" spans="1:45" ht="21.25" customHeight="1" x14ac:dyDescent="0.15">
      <c r="A338" s="31">
        <f>RANK(K338,K$2:K$727)</f>
        <v>337</v>
      </c>
      <c r="B338" s="8" t="s">
        <v>442</v>
      </c>
      <c r="C338" s="32" t="s">
        <v>106</v>
      </c>
      <c r="D338" s="33" t="str">
        <f>VLOOKUP(B338,'Player Data'!A1:D734,4,FALSE)</f>
        <v>D</v>
      </c>
      <c r="E338" s="49">
        <f>VLOOKUP(B338,D!A1:C227,3,FALSE)</f>
        <v>103</v>
      </c>
      <c r="F338" s="35" t="str">
        <f>VLOOKUP(B338,'Player Data'!A1:B734,2,FALSE)</f>
        <v>WSH</v>
      </c>
      <c r="G338" s="9">
        <f>VLOOKUP(B338,'Player Data'!A1:D734,3,FALSE)</f>
        <v>23</v>
      </c>
      <c r="H338" s="36">
        <f>IFERROR(VLOOKUP(B338,ADP!A1:G728,7,FALSE)/1000000,VLOOKUP(B338,ADP!A1:G728,7,FALSE))</f>
        <v>2.6749999999999998</v>
      </c>
      <c r="I338" s="37">
        <f>IF(Settings!$E$15="POINTS",((R338*Q338)*Settings!$B$12)+(S338*Settings!$B$2)+(T338*Settings!$B$3)+(U338*Settings!$B$4)+(V338*Settings!$B$5)+(X338*Settings!$B$9)+(AA338*Settings!$B$6)+(W338*Settings!$B$8)+(AB338*Settings!$B$7)+(AC338*Settings!$B$14)+(AD338*Settings!$B$15)+(AE338*Settings!$B$16)+(AF338*Settings!$B$17)+(AG338*Settings!$B$18)+(U338*Settings!$B$13)+(Y338*Settings!$B$10)+(Z338*Settings!$B$11),VLOOKUP(B338,'Standard Deviations'!A1:C728,3,FALSE))</f>
        <v>143.68651467965137</v>
      </c>
      <c r="J338" s="38">
        <f>IF(D338="G",I338/AJ338,I338/Q338)</f>
        <v>1.8550966971745062</v>
      </c>
      <c r="K338" s="37">
        <f>VLOOKUP(B338,D!A1:F227,6,FALSE)</f>
        <v>-167.87896694827609</v>
      </c>
      <c r="L338" s="37">
        <f>IFERROR(K338/H338,"N/A")</f>
        <v>-62.758492317112562</v>
      </c>
      <c r="M338" s="39">
        <f>IF(Settings!$E$9="YAHOO",VLOOKUP(B338,ADP!A1:E728,2,FALSE),IF(Settings!$E$9="ESPN",VLOOKUP(B338,ADP!A1:E728,3,FALSE),IF(Settings!$E$9="FANTRAX",VLOOKUP(B338,ADP!A1:E728,4,FALSE),VLOOKUP(B338,ADP!A1:E728,5,FALSE))))</f>
        <v>185.6</v>
      </c>
      <c r="N338" s="39">
        <f>IFERROR(M338-A338,"N/A")</f>
        <v>-151.4</v>
      </c>
      <c r="O338" s="39"/>
      <c r="P338" s="40" t="str">
        <f>IF(Settings!$E$27="ON",VLOOKUP(B338,ADP!A1:H728,8,FALSE)," ")</f>
        <v xml:space="preserve"> </v>
      </c>
      <c r="Q338" s="41">
        <f>IF(Settings!$E$12="YES",VLOOKUP(B338,'Player Data'!A1:E734,5,FALSE),82)</f>
        <v>77.454999999999998</v>
      </c>
      <c r="R338" s="39">
        <f>VLOOKUP(B338,'Player Data'!$A1:$AE734,6,FALSE)</f>
        <v>20.271129452243301</v>
      </c>
      <c r="S338" s="41">
        <f>VLOOKUP(B338,'Player Data'!$A1:$AE734,7,FALSE)*$Q338*IFERROR((VLOOKUP(P338,Settings!$E$28:$F$33,2,FALSE)+1),1)</f>
        <v>7.3891670521175481</v>
      </c>
      <c r="T338" s="41">
        <f>VLOOKUP(B338,'Player Data'!$A1:$AE734,8,FALSE)*$Q338*IFERROR((VLOOKUP(P338,Settings!$E$28:$F$33,2,FALSE)+1),1)</f>
        <v>13.201932157507708</v>
      </c>
      <c r="U338" s="41">
        <f>SUM(S338:T338)</f>
        <v>20.591099209625256</v>
      </c>
      <c r="V338" s="41">
        <f>VLOOKUP(B338,'Player Data'!$A1:$AE734,10,FALSE)*$Q338*IFERROR(((VLOOKUP(P338,Settings!$E$28:$F$33,2,FALSE)/2)+1),1)</f>
        <v>104.38124159608135</v>
      </c>
      <c r="W338" s="41">
        <f>VLOOKUP(B338,'Player Data'!$A1:$AE734,11,FALSE)*$Q338*IFERROR((VLOOKUP(P338,Settings!$E$28:$F$33,2,FALSE)+1),1)</f>
        <v>2.4660058731399651E-2</v>
      </c>
      <c r="X338" s="41">
        <f>VLOOKUP(B338,'Player Data'!$A1:$AE734,12,FALSE)*$Q338*IFERROR((VLOOKUP(P338,Settings!$E$28:$F$33,2,FALSE)+1),1)</f>
        <v>0.17062241545446924</v>
      </c>
      <c r="Y338" s="41">
        <f>VLOOKUP(B338,'Player Data'!$A1:$AE734,13,FALSE)*$Q338</f>
        <v>0.38870662071275375</v>
      </c>
      <c r="Z338" s="41">
        <f>VLOOKUP(B338,'Player Data'!$A1:$AE734,14,FALSE)*$Q338</f>
        <v>0.8752272695068759</v>
      </c>
      <c r="AA338" s="41">
        <f>VLOOKUP(B338,'Player Data'!$A1:$AE734,15,FALSE)*$Q338</f>
        <v>138.15448441406116</v>
      </c>
      <c r="AB338" s="41">
        <f>VLOOKUP(B338,'Player Data'!$A1:$AE734,16,FALSE)*$Q338</f>
        <v>223.39090181654896</v>
      </c>
      <c r="AC338" s="41">
        <f>VLOOKUP(B338,'Player Data'!$A1:$AE734,17,FALSE)*$Q338*IFERROR((VLOOKUP(P338,Settings!$E$28:$F$33,2,FALSE)+1),1)</f>
        <v>-4.5091365700249586</v>
      </c>
      <c r="AD338" s="41">
        <f>VLOOKUP(B338,'Player Data'!$A1:$AE734,18,FALSE)*$Q338</f>
        <v>33.208150983277385</v>
      </c>
      <c r="AE338" s="41">
        <f>VLOOKUP(B338,'Player Data'!$A1:$AE734,19,FALSE)*$Q338*IFERROR((VLOOKUP(P338,Settings!$E$28:$F$33,2,FALSE)+1),1)</f>
        <v>0.90891104516406973</v>
      </c>
      <c r="AF338" s="41">
        <f>VLOOKUP(B338,'Player Data'!$A1:$AE734,20,FALSE)*$Q338</f>
        <v>0</v>
      </c>
      <c r="AG338" s="41">
        <f>VLOOKUP(B338,'Player Data'!$A1:$AE734,21,FALSE)*$Q338</f>
        <v>0</v>
      </c>
      <c r="AH338" s="42">
        <f>VLOOKUP(B338,'Player Data'!$A1:$AE734,22,FALSE)</f>
        <v>0</v>
      </c>
      <c r="AI338" s="39"/>
      <c r="AJ338" s="43"/>
      <c r="AK338" s="41"/>
      <c r="AL338" s="41"/>
      <c r="AM338" s="41"/>
      <c r="AN338" s="41"/>
      <c r="AO338" s="41"/>
      <c r="AP338" s="41"/>
      <c r="AQ338" s="44"/>
      <c r="AR338" s="45"/>
      <c r="AS338" s="39"/>
    </row>
    <row r="339" spans="1:45" ht="21.25" customHeight="1" x14ac:dyDescent="0.15">
      <c r="A339" s="31">
        <f>RANK(K339,K$2:K$727)</f>
        <v>338</v>
      </c>
      <c r="B339" s="8" t="s">
        <v>443</v>
      </c>
      <c r="C339" s="32" t="s">
        <v>106</v>
      </c>
      <c r="D339" s="33" t="str">
        <f>VLOOKUP(B339,'Player Data'!A1:D734,4,FALSE)</f>
        <v>LW</v>
      </c>
      <c r="E339" s="47">
        <f>VLOOKUP(B339,LW!A1:C130,3,FALSE)</f>
        <v>67</v>
      </c>
      <c r="F339" s="35" t="str">
        <f>VLOOKUP(B339,'Player Data'!A1:B734,2,FALSE)</f>
        <v>NJD</v>
      </c>
      <c r="G339" s="9">
        <f>VLOOKUP(B339,'Player Data'!A1:D734,3,FALSE)</f>
        <v>32</v>
      </c>
      <c r="H339" s="36">
        <f>IFERROR(VLOOKUP(B339,ADP!A1:G728,7,FALSE)/1000000,VLOOKUP(B339,ADP!A1:G728,7,FALSE))</f>
        <v>3.15</v>
      </c>
      <c r="I339" s="37">
        <f>IF(Settings!$E$15="POINTS",((R339*Q339)*Settings!$B$12)+(S339*Settings!$B$2)+(T339*Settings!$B$3)+(U339*Settings!$B$4)+(V339*Settings!$B$5)+(X339*Settings!$B$9)+(AA339*Settings!$B$6)+(W339*Settings!$B$8)+(AB339*Settings!$B$7)+(AC339*Settings!$B$14)+(AD339*Settings!$B$15)+(AE339*Settings!$B$16)+(AF339*Settings!$B$17)+(AG339*Settings!$B$18)+(Y339*Settings!$B$10)+(Z339*Settings!$B$11),VLOOKUP(B339,'Standard Deviations'!A1:C728,3,FALSE))</f>
        <v>196.11438569853908</v>
      </c>
      <c r="J339" s="38">
        <f>IF(D339="G",I339/AJ339,I339/Q339)</f>
        <v>2.4394503774140817</v>
      </c>
      <c r="K339" s="37">
        <f>IF(Settings!$E$18="C/LW/RW",VLOOKUP(B339,LW!A1:F130,6,FALSE),VLOOKUP(B339,F!A1:F430,6,FALSE))</f>
        <v>-167.92621915911138</v>
      </c>
      <c r="L339" s="37">
        <f>IFERROR(K339/H339,"N/A")</f>
        <v>-53.309910844162346</v>
      </c>
      <c r="M339" s="53" t="str">
        <f>IF(Settings!$E$9="YAHOO",VLOOKUP(B339,ADP!A1:E728,2,FALSE),IF(Settings!$E$9="ESPN",VLOOKUP(B339,ADP!A1:E728,3,FALSE),IF(Settings!$E$9="FANTRAX",VLOOKUP(B339,ADP!A1:E728,4,FALSE),VLOOKUP(B339,ADP!A1:E728,5,FALSE))))</f>
        <v>-</v>
      </c>
      <c r="N339" s="53" t="str">
        <f>IFERROR(M339-A339,"N/A")</f>
        <v>N/A</v>
      </c>
      <c r="O339" s="39"/>
      <c r="P339" s="40" t="str">
        <f>IF(Settings!$E$27="ON",VLOOKUP(B339,ADP!A1:H728,8,FALSE)," ")</f>
        <v xml:space="preserve"> </v>
      </c>
      <c r="Q339" s="41">
        <f>IF(Settings!$E$12="YES",VLOOKUP(B339,'Player Data'!A1:E734,5,FALSE),82)</f>
        <v>80.392857142857096</v>
      </c>
      <c r="R339" s="39">
        <f>VLOOKUP(B339,'Player Data'!$A1:$AE734,6,FALSE)</f>
        <v>15.2022447143314</v>
      </c>
      <c r="S339" s="41">
        <f>VLOOKUP(B339,'Player Data'!$A1:$AE734,7,FALSE)*$Q339*IFERROR((VLOOKUP(P339,Settings!$E$28:$F$33,2,FALSE)+1),1)</f>
        <v>13.269293255258097</v>
      </c>
      <c r="T339" s="41">
        <f>VLOOKUP(B339,'Player Data'!$A1:$AE734,8,FALSE)*$Q339*IFERROR((VLOOKUP(P339,Settings!$E$28:$F$33,2,FALSE)+1),1)</f>
        <v>21.868442575655042</v>
      </c>
      <c r="U339" s="41">
        <f>SUM(S339:T339)</f>
        <v>35.137735830913137</v>
      </c>
      <c r="V339" s="41">
        <f>VLOOKUP(B339,'Player Data'!$A1:$AE734,10,FALSE)*$Q339*IFERROR(((VLOOKUP(P339,Settings!$E$28:$F$33,2,FALSE)/2)+1),1)</f>
        <v>141.73392039233403</v>
      </c>
      <c r="W339" s="41">
        <f>VLOOKUP(B339,'Player Data'!$A1:$AE734,11,FALSE)*$Q339*IFERROR((VLOOKUP(P339,Settings!$E$28:$F$33,2,FALSE)+1),1)</f>
        <v>0.97184015452788486</v>
      </c>
      <c r="X339" s="41">
        <f>VLOOKUP(B339,'Player Data'!$A1:$AE734,12,FALSE)*$Q339*IFERROR((VLOOKUP(P339,Settings!$E$28:$F$33,2,FALSE)+1),1)</f>
        <v>2.7976226674088158</v>
      </c>
      <c r="Y339" s="41">
        <f>VLOOKUP(B339,'Player Data'!$A1:$AE734,13,FALSE)*$Q339</f>
        <v>1.6644380670899275</v>
      </c>
      <c r="Z339" s="41">
        <f>VLOOKUP(B339,'Player Data'!$A1:$AE734,14,FALSE)*$Q339</f>
        <v>2.4068764888899628</v>
      </c>
      <c r="AA339" s="41">
        <f>VLOOKUP(B339,'Player Data'!$A1:$AE734,15,FALSE)*$Q339</f>
        <v>47.12609848517539</v>
      </c>
      <c r="AB339" s="41">
        <f>VLOOKUP(B339,'Player Data'!$A1:$AE734,16,FALSE)*$Q339</f>
        <v>96.377018822629111</v>
      </c>
      <c r="AC339" s="41">
        <f>VLOOKUP(B339,'Player Data'!$A1:$AE734,17,FALSE)*$Q339*IFERROR((VLOOKUP(P339,Settings!$E$28:$F$33,2,FALSE)+1),1)</f>
        <v>0.86032053506413497</v>
      </c>
      <c r="AD339" s="41">
        <f>VLOOKUP(B339,'Player Data'!$A1:$AE734,18,FALSE)*$Q339</f>
        <v>39.2347150145211</v>
      </c>
      <c r="AE339" s="41">
        <f>VLOOKUP(B339,'Player Data'!$A1:$AE734,19,FALSE)*$Q339*IFERROR((VLOOKUP(P339,Settings!$E$28:$F$33,2,FALSE)+1),1)</f>
        <v>1.9531152938686436</v>
      </c>
      <c r="AF339" s="41">
        <f>VLOOKUP(B339,'Player Data'!$A1:$AE734,20,FALSE)*$Q339</f>
        <v>504.61175628278841</v>
      </c>
      <c r="AG339" s="41">
        <f>VLOOKUP(B339,'Player Data'!$A1:$AE734,21,FALSE)*$Q339</f>
        <v>425.43092445962719</v>
      </c>
      <c r="AH339" s="42">
        <f>VLOOKUP(B339,'Player Data'!$A1:$AE734,22,FALSE)</f>
        <v>0.54256838608737501</v>
      </c>
      <c r="AI339" s="39"/>
      <c r="AJ339" s="43"/>
      <c r="AK339" s="41"/>
      <c r="AL339" s="41"/>
      <c r="AM339" s="41"/>
      <c r="AN339" s="41"/>
      <c r="AO339" s="41"/>
      <c r="AP339" s="41"/>
      <c r="AQ339" s="44"/>
      <c r="AR339" s="45"/>
      <c r="AS339" s="39"/>
    </row>
    <row r="340" spans="1:45" ht="21.25" customHeight="1" x14ac:dyDescent="0.15">
      <c r="A340" s="31">
        <f>RANK(K340,K$2:K$727)</f>
        <v>339</v>
      </c>
      <c r="B340" s="8" t="s">
        <v>444</v>
      </c>
      <c r="C340" s="32" t="s">
        <v>106</v>
      </c>
      <c r="D340" s="33" t="str">
        <f>VLOOKUP(B340,'Player Data'!A1:D734,4,FALSE)</f>
        <v>LW</v>
      </c>
      <c r="E340" s="47">
        <f>VLOOKUP(B340,LW!A1:C130,3,FALSE)</f>
        <v>68</v>
      </c>
      <c r="F340" s="35" t="str">
        <f>VLOOKUP(B340,'Player Data'!A1:B734,2,FALSE)</f>
        <v>TOR</v>
      </c>
      <c r="G340" s="9">
        <f>VLOOKUP(B340,'Player Data'!A1:D734,3,FALSE)</f>
        <v>20</v>
      </c>
      <c r="H340" s="36">
        <f>IFERROR(VLOOKUP(B340,ADP!A1:G728,7,FALSE)/1000000,VLOOKUP(B340,ADP!A1:G728,7,FALSE))</f>
        <v>0</v>
      </c>
      <c r="I340" s="37">
        <f>IF(Settings!$E$15="POINTS",((R340*Q340)*Settings!$B$12)+(S340*Settings!$B$2)+(T340*Settings!$B$3)+(U340*Settings!$B$4)+(V340*Settings!$B$5)+(X340*Settings!$B$9)+(AA340*Settings!$B$6)+(W340*Settings!$B$8)+(AB340*Settings!$B$7)+(AC340*Settings!$B$14)+(AD340*Settings!$B$15)+(AE340*Settings!$B$16)+(AF340*Settings!$B$17)+(AG340*Settings!$B$18)+(Y340*Settings!$B$10)+(Z340*Settings!$B$11),VLOOKUP(B340,'Standard Deviations'!A1:C728,3,FALSE))</f>
        <v>195.86212628286532</v>
      </c>
      <c r="J340" s="38">
        <f>IF(D340="G",I340/AJ340,I340/Q340)</f>
        <v>2.6467854903089907</v>
      </c>
      <c r="K340" s="37">
        <f>IF(Settings!$E$18="C/LW/RW",VLOOKUP(B340,LW!A1:F130,6,FALSE),VLOOKUP(B340,F!A1:F430,6,FALSE))</f>
        <v>-168.17847857478515</v>
      </c>
      <c r="L340" s="52" t="str">
        <f>IFERROR(K340/H340,"N/A")</f>
        <v>N/A</v>
      </c>
      <c r="M340" s="39">
        <f>IF(Settings!$E$9="YAHOO",VLOOKUP(B340,ADP!A1:E728,2,FALSE),IF(Settings!$E$9="ESPN",VLOOKUP(B340,ADP!A1:E728,3,FALSE),IF(Settings!$E$9="FANTRAX",VLOOKUP(B340,ADP!A1:E728,4,FALSE),VLOOKUP(B340,ADP!A1:E728,5,FALSE))))</f>
        <v>152.1</v>
      </c>
      <c r="N340" s="39">
        <f>IFERROR(M340-A340,"N/A")</f>
        <v>-186.9</v>
      </c>
      <c r="O340" s="39"/>
      <c r="P340" s="40" t="str">
        <f>IF(Settings!$E$27="ON",VLOOKUP(B340,ADP!A1:H728,8,FALSE)," ")</f>
        <v>+ + +</v>
      </c>
      <c r="Q340" s="41">
        <f>IF(Settings!$E$12="YES",VLOOKUP(B340,'Player Data'!A1:E734,5,FALSE),82)</f>
        <v>74</v>
      </c>
      <c r="R340" s="39">
        <f>VLOOKUP(B340,'Player Data'!$A1:$AE734,6,FALSE)</f>
        <v>15</v>
      </c>
      <c r="S340" s="41">
        <f>VLOOKUP(B340,'Player Data'!$A1:$AE734,7,FALSE)*$Q340*IFERROR((VLOOKUP(P340,Settings!$E$28:$F$33,2,FALSE)+1),1)</f>
        <v>15.704488187566616</v>
      </c>
      <c r="T340" s="41">
        <f>VLOOKUP(B340,'Player Data'!$A1:$AE734,8,FALSE)*$Q340*IFERROR((VLOOKUP(P340,Settings!$E$28:$F$33,2,FALSE)+1),1)</f>
        <v>21.034046432446907</v>
      </c>
      <c r="U340" s="41">
        <f>SUM(S340:T340)</f>
        <v>36.738534620013525</v>
      </c>
      <c r="V340" s="41">
        <f>VLOOKUP(B340,'Player Data'!$A1:$AE734,10,FALSE)*$Q340*IFERROR(((VLOOKUP(P340,Settings!$E$28:$F$33,2,FALSE)/2)+1),1)</f>
        <v>130.19919433167669</v>
      </c>
      <c r="W340" s="41">
        <f>VLOOKUP(B340,'Player Data'!$A1:$AE734,11,FALSE)*$Q340*IFERROR((VLOOKUP(P340,Settings!$E$28:$F$33,2,FALSE)+1),1)</f>
        <v>3.0413916383816417</v>
      </c>
      <c r="X340" s="41">
        <f>VLOOKUP(B340,'Player Data'!$A1:$AE734,12,FALSE)*$Q340*IFERROR((VLOOKUP(P340,Settings!$E$28:$F$33,2,FALSE)+1),1)</f>
        <v>7.1149260431273413</v>
      </c>
      <c r="Y340" s="41">
        <f>VLOOKUP(B340,'Player Data'!$A1:$AE734,13,FALSE)*$Q340</f>
        <v>0</v>
      </c>
      <c r="Z340" s="41">
        <f>VLOOKUP(B340,'Player Data'!$A1:$AE734,14,FALSE)*$Q340</f>
        <v>0</v>
      </c>
      <c r="AA340" s="41">
        <f>VLOOKUP(B340,'Player Data'!$A1:$AE734,15,FALSE)*$Q340</f>
        <v>31.585365853658541</v>
      </c>
      <c r="AB340" s="41">
        <f>VLOOKUP(B340,'Player Data'!$A1:$AE734,16,FALSE)*$Q340</f>
        <v>87.548837841777242</v>
      </c>
      <c r="AC340" s="41">
        <f>VLOOKUP(B340,'Player Data'!$A1:$AE734,17,FALSE)*$Q340*IFERROR((VLOOKUP(P340,Settings!$E$28:$F$33,2,FALSE)+1),1)</f>
        <v>1.0829268292682916E-2</v>
      </c>
      <c r="AD340" s="41">
        <f>VLOOKUP(B340,'Player Data'!$A1:$AE734,18,FALSE)*$Q340</f>
        <v>29.900950480379297</v>
      </c>
      <c r="AE340" s="41">
        <f>VLOOKUP(B340,'Player Data'!$A1:$AE734,19,FALSE)*$Q340*IFERROR((VLOOKUP(P340,Settings!$E$28:$F$33,2,FALSE)+1),1)</f>
        <v>2.5229218531428987</v>
      </c>
      <c r="AF340" s="41">
        <f>VLOOKUP(B340,'Player Data'!$A1:$AE734,20,FALSE)*$Q340</f>
        <v>0</v>
      </c>
      <c r="AG340" s="41">
        <f>VLOOKUP(B340,'Player Data'!$A1:$AE734,21,FALSE)*$Q340</f>
        <v>0</v>
      </c>
      <c r="AH340" s="42">
        <f>VLOOKUP(B340,'Player Data'!$A1:$AE734,22,FALSE)</f>
        <v>0</v>
      </c>
      <c r="AI340" s="39"/>
      <c r="AJ340" s="43"/>
      <c r="AK340" s="41"/>
      <c r="AL340" s="41"/>
      <c r="AM340" s="41"/>
      <c r="AN340" s="41"/>
      <c r="AO340" s="41"/>
      <c r="AP340" s="41"/>
      <c r="AQ340" s="44"/>
      <c r="AR340" s="45"/>
      <c r="AS340" s="39"/>
    </row>
    <row r="341" spans="1:45" ht="21.25" customHeight="1" x14ac:dyDescent="0.15">
      <c r="A341" s="31">
        <f>RANK(K341,K$2:K$727)</f>
        <v>340</v>
      </c>
      <c r="B341" s="8" t="s">
        <v>445</v>
      </c>
      <c r="C341" s="32" t="s">
        <v>106</v>
      </c>
      <c r="D341" s="33" t="str">
        <f>VLOOKUP(B341,'Player Data'!A1:D734,4,FALSE)</f>
        <v>C</v>
      </c>
      <c r="E341" s="34">
        <f>VLOOKUP(B341,'C'!A1:C211,3,FALSE)</f>
        <v>86</v>
      </c>
      <c r="F341" s="35" t="str">
        <f>VLOOKUP(B341,'Player Data'!A1:B734,2,FALSE)</f>
        <v>TBL</v>
      </c>
      <c r="G341" s="9">
        <f>VLOOKUP(B341,'Player Data'!A1:D734,3,FALSE)</f>
        <v>26</v>
      </c>
      <c r="H341" s="36">
        <f>IFERROR(VLOOKUP(B341,ADP!A1:G728,7,FALSE)/1000000,VLOOKUP(B341,ADP!A1:G728,7,FALSE))</f>
        <v>6.0888900000000001</v>
      </c>
      <c r="I341" s="37">
        <f>IF(Settings!$E$15="POINTS",((R341*Q341)*Settings!$B$12)+(S341*Settings!$B$2)+(T341*Settings!$B$3)+(U341*Settings!$B$4)+(V341*Settings!$B$5)+(X341*Settings!$B$9)+(AA341*Settings!$B$6)+(W341*Settings!$B$8)+(AB341*Settings!$B$7)+(AC341*Settings!$B$14)+(AD341*Settings!$B$15)+(AE341*Settings!$B$16)+(AF341*Settings!$B$17)+(AG341*Settings!$B$18)+(Y341*Settings!$B$10)+(Z341*Settings!$B$11),VLOOKUP(B341,'Standard Deviations'!A1:C728,3,FALSE))</f>
        <v>224.25459542917582</v>
      </c>
      <c r="J341" s="38">
        <f>IF(D341="G",I341/AJ341,I341/Q341)</f>
        <v>2.9481415079004818</v>
      </c>
      <c r="K341" s="37">
        <f>IF(Settings!$E$18="C/LW/RW",VLOOKUP(B341,'C'!A1:F211,6,FALSE),VLOOKUP(B341,F!A1:F430,6,FALSE))</f>
        <v>-169.07421033703383</v>
      </c>
      <c r="L341" s="37">
        <f>IFERROR(K341/H341,"N/A")</f>
        <v>-27.767657214538911</v>
      </c>
      <c r="M341" s="53" t="str">
        <f>IF(Settings!$E$9="YAHOO",VLOOKUP(B341,ADP!A1:E728,2,FALSE),IF(Settings!$E$9="ESPN",VLOOKUP(B341,ADP!A1:E728,3,FALSE),IF(Settings!$E$9="FANTRAX",VLOOKUP(B341,ADP!A1:E728,4,FALSE),VLOOKUP(B341,ADP!A1:E728,5,FALSE))))</f>
        <v>-</v>
      </c>
      <c r="N341" s="53" t="str">
        <f>IFERROR(M341-A341,"N/A")</f>
        <v>N/A</v>
      </c>
      <c r="O341" s="39"/>
      <c r="P341" s="40" t="str">
        <f>IF(Settings!$E$27="ON",VLOOKUP(B341,ADP!A1:H728,8,FALSE)," ")</f>
        <v xml:space="preserve"> </v>
      </c>
      <c r="Q341" s="41">
        <f>IF(Settings!$E$12="YES",VLOOKUP(B341,'Player Data'!A1:E734,5,FALSE),82)</f>
        <v>76.066428571428602</v>
      </c>
      <c r="R341" s="39">
        <f>VLOOKUP(B341,'Player Data'!$A1:$AE734,6,FALSE)</f>
        <v>17.318688559845501</v>
      </c>
      <c r="S341" s="41">
        <f>VLOOKUP(B341,'Player Data'!$A1:$AE734,7,FALSE)*$Q341*IFERROR((VLOOKUP(P341,Settings!$E$28:$F$33,2,FALSE)+1),1)</f>
        <v>16.263829702417812</v>
      </c>
      <c r="T341" s="41">
        <f>VLOOKUP(B341,'Player Data'!$A1:$AE734,8,FALSE)*$Q341*IFERROR((VLOOKUP(P341,Settings!$E$28:$F$33,2,FALSE)+1),1)</f>
        <v>24.696025041813275</v>
      </c>
      <c r="U341" s="41">
        <f>SUM(S341:T341)</f>
        <v>40.959854744231087</v>
      </c>
      <c r="V341" s="41">
        <f>VLOOKUP(B341,'Player Data'!$A1:$AE734,10,FALSE)*$Q341*IFERROR(((VLOOKUP(P341,Settings!$E$28:$F$33,2,FALSE)/2)+1),1)</f>
        <v>145.23923390762138</v>
      </c>
      <c r="W341" s="41">
        <f>VLOOKUP(B341,'Player Data'!$A1:$AE734,11,FALSE)*$Q341*IFERROR((VLOOKUP(P341,Settings!$E$28:$F$33,2,FALSE)+1),1)</f>
        <v>2.4448675006712026</v>
      </c>
      <c r="X341" s="41">
        <f>VLOOKUP(B341,'Player Data'!$A1:$AE734,12,FALSE)*$Q341*IFERROR((VLOOKUP(P341,Settings!$E$28:$F$33,2,FALSE)+1),1)</f>
        <v>6.3111375094334115</v>
      </c>
      <c r="Y341" s="41">
        <f>VLOOKUP(B341,'Player Data'!$A1:$AE734,13,FALSE)*$Q341</f>
        <v>2.0519297585999303</v>
      </c>
      <c r="Z341" s="41">
        <f>VLOOKUP(B341,'Player Data'!$A1:$AE734,14,FALSE)*$Q341</f>
        <v>2.1656047203124671</v>
      </c>
      <c r="AA341" s="41">
        <f>VLOOKUP(B341,'Player Data'!$A1:$AE734,15,FALSE)*$Q341</f>
        <v>59.009648915900442</v>
      </c>
      <c r="AB341" s="41">
        <f>VLOOKUP(B341,'Player Data'!$A1:$AE734,16,FALSE)*$Q341</f>
        <v>59.061160817465371</v>
      </c>
      <c r="AC341" s="41">
        <f>VLOOKUP(B341,'Player Data'!$A1:$AE734,17,FALSE)*$Q341*IFERROR((VLOOKUP(P341,Settings!$E$28:$F$33,2,FALSE)+1),1)</f>
        <v>0.59060036289805384</v>
      </c>
      <c r="AD341" s="41">
        <f>VLOOKUP(B341,'Player Data'!$A1:$AE734,18,FALSE)*$Q341</f>
        <v>34.234494865642048</v>
      </c>
      <c r="AE341" s="41">
        <f>VLOOKUP(B341,'Player Data'!$A1:$AE734,19,FALSE)*$Q341*IFERROR((VLOOKUP(P341,Settings!$E$28:$F$33,2,FALSE)+1),1)</f>
        <v>2.5452952562746858</v>
      </c>
      <c r="AF341" s="41">
        <f>VLOOKUP(B341,'Player Data'!$A1:$AE734,20,FALSE)*$Q341</f>
        <v>503.81640051607746</v>
      </c>
      <c r="AG341" s="41">
        <f>VLOOKUP(B341,'Player Data'!$A1:$AE734,21,FALSE)*$Q341</f>
        <v>529.33578985433689</v>
      </c>
      <c r="AH341" s="42">
        <f>VLOOKUP(B341,'Player Data'!$A1:$AE734,22,FALSE)</f>
        <v>0.48764974338915701</v>
      </c>
      <c r="AI341" s="39"/>
      <c r="AJ341" s="43"/>
      <c r="AK341" s="41"/>
      <c r="AL341" s="41"/>
      <c r="AM341" s="41"/>
      <c r="AN341" s="41"/>
      <c r="AO341" s="41"/>
      <c r="AP341" s="41"/>
      <c r="AQ341" s="44"/>
      <c r="AR341" s="45"/>
      <c r="AS341" s="39"/>
    </row>
    <row r="342" spans="1:45" ht="21.25" customHeight="1" x14ac:dyDescent="0.15">
      <c r="A342" s="31">
        <f>RANK(K342,K$2:K$727)</f>
        <v>341</v>
      </c>
      <c r="B342" s="8" t="s">
        <v>446</v>
      </c>
      <c r="C342" s="32" t="s">
        <v>106</v>
      </c>
      <c r="D342" s="33" t="str">
        <f>VLOOKUP(B342,'Player Data'!A1:D734,4,FALSE)</f>
        <v>C</v>
      </c>
      <c r="E342" s="34">
        <f>VLOOKUP(B342,'C'!A1:C211,3,FALSE)</f>
        <v>87</v>
      </c>
      <c r="F342" s="35" t="str">
        <f>VLOOKUP(B342,'Player Data'!A1:B734,2,FALSE)</f>
        <v>FLA</v>
      </c>
      <c r="G342" s="9">
        <f>VLOOKUP(B342,'Player Data'!A1:D734,3,FALSE)</f>
        <v>30</v>
      </c>
      <c r="H342" s="36">
        <f>IFERROR(VLOOKUP(B342,ADP!A1:G728,7,FALSE)/1000000,VLOOKUP(B342,ADP!A1:G728,7,FALSE))</f>
        <v>3</v>
      </c>
      <c r="I342" s="37">
        <f>IF(Settings!$E$15="POINTS",((R342*Q342)*Settings!$B$12)+(S342*Settings!$B$2)+(T342*Settings!$B$3)+(U342*Settings!$B$4)+(V342*Settings!$B$5)+(X342*Settings!$B$9)+(AA342*Settings!$B$6)+(W342*Settings!$B$8)+(AB342*Settings!$B$7)+(AC342*Settings!$B$14)+(AD342*Settings!$B$15)+(AE342*Settings!$B$16)+(AF342*Settings!$B$17)+(AG342*Settings!$B$18)+(Y342*Settings!$B$10)+(Z342*Settings!$B$11),VLOOKUP(B342,'Standard Deviations'!A1:C728,3,FALSE))</f>
        <v>223.85986731154631</v>
      </c>
      <c r="J342" s="38">
        <f>IF(D342="G",I342/AJ342,I342/Q342)</f>
        <v>2.9206414731275818</v>
      </c>
      <c r="K342" s="37">
        <f>IF(Settings!$E$18="C/LW/RW",VLOOKUP(B342,'C'!A1:F211,6,FALSE),VLOOKUP(B342,F!A1:F430,6,FALSE))</f>
        <v>-169.46893845466334</v>
      </c>
      <c r="L342" s="37">
        <f>IFERROR(K342/H342,"N/A")</f>
        <v>-56.489646151554446</v>
      </c>
      <c r="M342" s="53" t="str">
        <f>IF(Settings!$E$9="YAHOO",VLOOKUP(B342,ADP!A1:E728,2,FALSE),IF(Settings!$E$9="ESPN",VLOOKUP(B342,ADP!A1:E728,3,FALSE),IF(Settings!$E$9="FANTRAX",VLOOKUP(B342,ADP!A1:E728,4,FALSE),VLOOKUP(B342,ADP!A1:E728,5,FALSE))))</f>
        <v>-</v>
      </c>
      <c r="N342" s="53" t="str">
        <f>IFERROR(M342-A342,"N/A")</f>
        <v>N/A</v>
      </c>
      <c r="O342" s="39"/>
      <c r="P342" s="40" t="str">
        <f>IF(Settings!$E$27="ON",VLOOKUP(B342,ADP!A1:H728,8,FALSE)," ")</f>
        <v xml:space="preserve"> </v>
      </c>
      <c r="Q342" s="41">
        <f>IF(Settings!$E$12="YES",VLOOKUP(B342,'Player Data'!A1:E734,5,FALSE),82)</f>
        <v>76.647499999999994</v>
      </c>
      <c r="R342" s="39">
        <f>VLOOKUP(B342,'Player Data'!$A1:$AE734,6,FALSE)</f>
        <v>15.724809358331401</v>
      </c>
      <c r="S342" s="41">
        <f>VLOOKUP(B342,'Player Data'!$A1:$AE734,7,FALSE)*$Q342*IFERROR((VLOOKUP(P342,Settings!$E$28:$F$33,2,FALSE)+1),1)</f>
        <v>15.304477485712535</v>
      </c>
      <c r="T342" s="41">
        <f>VLOOKUP(B342,'Player Data'!$A1:$AE734,8,FALSE)*$Q342*IFERROR((VLOOKUP(P342,Settings!$E$28:$F$33,2,FALSE)+1),1)</f>
        <v>21.915299259687117</v>
      </c>
      <c r="U342" s="41">
        <f>SUM(S342:T342)</f>
        <v>37.219776745399656</v>
      </c>
      <c r="V342" s="41">
        <f>VLOOKUP(B342,'Player Data'!$A1:$AE734,10,FALSE)*$Q342*IFERROR(((VLOOKUP(P342,Settings!$E$28:$F$33,2,FALSE)/2)+1),1)</f>
        <v>183.5263932674053</v>
      </c>
      <c r="W342" s="41">
        <f>VLOOKUP(B342,'Player Data'!$A1:$AE734,11,FALSE)*$Q342*IFERROR((VLOOKUP(P342,Settings!$E$28:$F$33,2,FALSE)+1),1)</f>
        <v>4.2616242904533816</v>
      </c>
      <c r="X342" s="41">
        <f>VLOOKUP(B342,'Player Data'!$A1:$AE734,12,FALSE)*$Q342*IFERROR((VLOOKUP(P342,Settings!$E$28:$F$33,2,FALSE)+1),1)</f>
        <v>7.2316678825896208</v>
      </c>
      <c r="Y342" s="41">
        <f>VLOOKUP(B342,'Player Data'!$A1:$AE734,13,FALSE)*$Q342</f>
        <v>9.5282917463075475E-2</v>
      </c>
      <c r="Z342" s="41">
        <f>VLOOKUP(B342,'Player Data'!$A1:$AE734,14,FALSE)*$Q342</f>
        <v>0.176394939433208</v>
      </c>
      <c r="AA342" s="41">
        <f>VLOOKUP(B342,'Player Data'!$A1:$AE734,15,FALSE)*$Q342</f>
        <v>28.106073987995121</v>
      </c>
      <c r="AB342" s="41">
        <f>VLOOKUP(B342,'Player Data'!$A1:$AE734,16,FALSE)*$Q342</f>
        <v>51.459649813452451</v>
      </c>
      <c r="AC342" s="41">
        <f>VLOOKUP(B342,'Player Data'!$A1:$AE734,17,FALSE)*$Q342*IFERROR((VLOOKUP(P342,Settings!$E$28:$F$33,2,FALSE)+1),1)</f>
        <v>3.7894830341789332</v>
      </c>
      <c r="AD342" s="41">
        <f>VLOOKUP(B342,'Player Data'!$A1:$AE734,18,FALSE)*$Q342</f>
        <v>23.629263321799325</v>
      </c>
      <c r="AE342" s="41">
        <f>VLOOKUP(B342,'Player Data'!$A1:$AE734,19,FALSE)*$Q342*IFERROR((VLOOKUP(P342,Settings!$E$28:$F$33,2,FALSE)+1),1)</f>
        <v>2.19546220457477</v>
      </c>
      <c r="AF342" s="41">
        <f>VLOOKUP(B342,'Player Data'!$A1:$AE734,20,FALSE)*$Q342</f>
        <v>124.65750503338322</v>
      </c>
      <c r="AG342" s="41">
        <f>VLOOKUP(B342,'Player Data'!$A1:$AE734,21,FALSE)*$Q342</f>
        <v>136.35532074831249</v>
      </c>
      <c r="AH342" s="42">
        <f>VLOOKUP(B342,'Player Data'!$A1:$AE734,22,FALSE)</f>
        <v>0.47759149252551902</v>
      </c>
      <c r="AI342" s="39"/>
      <c r="AJ342" s="43"/>
      <c r="AK342" s="41"/>
      <c r="AL342" s="41"/>
      <c r="AM342" s="41"/>
      <c r="AN342" s="41"/>
      <c r="AO342" s="41"/>
      <c r="AP342" s="41"/>
      <c r="AQ342" s="44"/>
      <c r="AR342" s="45"/>
      <c r="AS342" s="43"/>
    </row>
    <row r="343" spans="1:45" ht="21.25" customHeight="1" x14ac:dyDescent="0.15">
      <c r="A343" s="31">
        <f>RANK(K343,K$2:K$727)</f>
        <v>342</v>
      </c>
      <c r="B343" s="8" t="s">
        <v>447</v>
      </c>
      <c r="C343" s="32" t="s">
        <v>106</v>
      </c>
      <c r="D343" s="33" t="str">
        <f>VLOOKUP(B343,'Player Data'!A1:D734,4,FALSE)</f>
        <v>LW</v>
      </c>
      <c r="E343" s="47">
        <f>VLOOKUP(B343,LW!A1:C130,3,FALSE)</f>
        <v>69</v>
      </c>
      <c r="F343" s="35" t="str">
        <f>VLOOKUP(B343,'Player Data'!A1:B734,2,FALSE)</f>
        <v>TBL</v>
      </c>
      <c r="G343" s="9">
        <f>VLOOKUP(B343,'Player Data'!A1:D734,3,FALSE)</f>
        <v>26</v>
      </c>
      <c r="H343" s="36">
        <f>IFERROR(VLOOKUP(B343,ADP!A1:G728,7,FALSE)/1000000,VLOOKUP(B343,ADP!A1:G728,7,FALSE))</f>
        <v>2.665</v>
      </c>
      <c r="I343" s="37">
        <f>IF(Settings!$E$15="POINTS",((R343*Q343)*Settings!$B$12)+(S343*Settings!$B$2)+(T343*Settings!$B$3)+(U343*Settings!$B$4)+(V343*Settings!$B$5)+(X343*Settings!$B$9)+(AA343*Settings!$B$6)+(W343*Settings!$B$8)+(AB343*Settings!$B$7)+(AC343*Settings!$B$14)+(AD343*Settings!$B$15)+(AE343*Settings!$B$16)+(AF343*Settings!$B$17)+(AG343*Settings!$B$18)+(Y343*Settings!$B$10)+(Z343*Settings!$B$11),VLOOKUP(B343,'Standard Deviations'!A1:C728,3,FALSE))</f>
        <v>194.1503075335107</v>
      </c>
      <c r="J343" s="38">
        <f>IF(D343="G",I343/AJ343,I343/Q343)</f>
        <v>2.5947622804671431</v>
      </c>
      <c r="K343" s="37">
        <f>IF(Settings!$E$18="C/LW/RW",VLOOKUP(B343,LW!A1:F130,6,FALSE),VLOOKUP(B343,F!A1:F430,6,FALSE))</f>
        <v>-169.89029732413977</v>
      </c>
      <c r="L343" s="37">
        <f>IFERROR(K343/H343,"N/A")</f>
        <v>-63.748704436825427</v>
      </c>
      <c r="M343" s="39">
        <f>IF(Settings!$E$9="YAHOO",VLOOKUP(B343,ADP!A1:E728,2,FALSE),IF(Settings!$E$9="ESPN",VLOOKUP(B343,ADP!A1:E728,3,FALSE),IF(Settings!$E$9="FANTRAX",VLOOKUP(B343,ADP!A1:E728,4,FALSE),VLOOKUP(B343,ADP!A1:E728,5,FALSE))))</f>
        <v>157.9</v>
      </c>
      <c r="N343" s="39">
        <f>IFERROR(M343-A343,"N/A")</f>
        <v>-184.1</v>
      </c>
      <c r="O343" s="39"/>
      <c r="P343" s="40" t="str">
        <f>IF(Settings!$E$27="ON",VLOOKUP(B343,ADP!A1:H728,8,FALSE)," ")</f>
        <v xml:space="preserve"> </v>
      </c>
      <c r="Q343" s="41">
        <f>IF(Settings!$E$12="YES",VLOOKUP(B343,'Player Data'!A1:E734,5,FALSE),82)</f>
        <v>74.823928571428596</v>
      </c>
      <c r="R343" s="39">
        <f>VLOOKUP(B343,'Player Data'!$A1:$AE734,6,FALSE)</f>
        <v>16.8118233024544</v>
      </c>
      <c r="S343" s="41">
        <f>VLOOKUP(B343,'Player Data'!$A1:$AE734,7,FALSE)*$Q343*IFERROR((VLOOKUP(P343,Settings!$E$28:$F$33,2,FALSE)+1),1)</f>
        <v>16.34078789651619</v>
      </c>
      <c r="T343" s="41">
        <f>VLOOKUP(B343,'Player Data'!$A1:$AE734,8,FALSE)*$Q343*IFERROR((VLOOKUP(P343,Settings!$E$28:$F$33,2,FALSE)+1),1)</f>
        <v>18.275657086398681</v>
      </c>
      <c r="U343" s="41">
        <f>SUM(S343:T343)</f>
        <v>34.616444982914871</v>
      </c>
      <c r="V343" s="41">
        <f>VLOOKUP(B343,'Player Data'!$A1:$AE734,10,FALSE)*$Q343*IFERROR(((VLOOKUP(P343,Settings!$E$28:$F$33,2,FALSE)/2)+1),1)</f>
        <v>132.85823739458806</v>
      </c>
      <c r="W343" s="41">
        <f>VLOOKUP(B343,'Player Data'!$A1:$AE734,11,FALSE)*$Q343*IFERROR((VLOOKUP(P343,Settings!$E$28:$F$33,2,FALSE)+1),1)</f>
        <v>2.2256382262246124</v>
      </c>
      <c r="X343" s="41">
        <f>VLOOKUP(B343,'Player Data'!$A1:$AE734,12,FALSE)*$Q343*IFERROR((VLOOKUP(P343,Settings!$E$28:$F$33,2,FALSE)+1),1)</f>
        <v>4.5846192910237251</v>
      </c>
      <c r="Y343" s="41">
        <f>VLOOKUP(B343,'Player Data'!$A1:$AE734,13,FALSE)*$Q343</f>
        <v>0.52657311572082832</v>
      </c>
      <c r="Z343" s="41">
        <f>VLOOKUP(B343,'Player Data'!$A1:$AE734,14,FALSE)*$Q343</f>
        <v>1.2231302339924557</v>
      </c>
      <c r="AA343" s="41">
        <f>VLOOKUP(B343,'Player Data'!$A1:$AE734,15,FALSE)*$Q343</f>
        <v>61.281774187198401</v>
      </c>
      <c r="AB343" s="41">
        <f>VLOOKUP(B343,'Player Data'!$A1:$AE734,16,FALSE)*$Q343</f>
        <v>289.28912416367888</v>
      </c>
      <c r="AC343" s="41">
        <f>VLOOKUP(B343,'Player Data'!$A1:$AE734,17,FALSE)*$Q343*IFERROR((VLOOKUP(P343,Settings!$E$28:$F$33,2,FALSE)+1),1)</f>
        <v>-3.9606125263177294E-4</v>
      </c>
      <c r="AD343" s="41">
        <f>VLOOKUP(B343,'Player Data'!$A1:$AE734,18,FALSE)*$Q343</f>
        <v>93.307914674743358</v>
      </c>
      <c r="AE343" s="41">
        <f>VLOOKUP(B343,'Player Data'!$A1:$AE734,19,FALSE)*$Q343*IFERROR((VLOOKUP(P343,Settings!$E$28:$F$33,2,FALSE)+1),1)</f>
        <v>2.5573392416062002</v>
      </c>
      <c r="AF343" s="41">
        <f>VLOOKUP(B343,'Player Data'!$A1:$AE734,20,FALSE)*$Q343</f>
        <v>10.912159500441504</v>
      </c>
      <c r="AG343" s="41">
        <f>VLOOKUP(B343,'Player Data'!$A1:$AE734,21,FALSE)*$Q343</f>
        <v>14.98321939021368</v>
      </c>
      <c r="AH343" s="42">
        <f>VLOOKUP(B343,'Player Data'!$A1:$AE734,22,FALSE)</f>
        <v>0.42139408527362299</v>
      </c>
      <c r="AI343" s="39"/>
      <c r="AJ343" s="43"/>
      <c r="AK343" s="41"/>
      <c r="AL343" s="41"/>
      <c r="AM343" s="41"/>
      <c r="AN343" s="41"/>
      <c r="AO343" s="41"/>
      <c r="AP343" s="41"/>
      <c r="AQ343" s="44"/>
      <c r="AR343" s="45"/>
      <c r="AS343" s="43"/>
    </row>
    <row r="344" spans="1:45" ht="21.25" customHeight="1" x14ac:dyDescent="0.15">
      <c r="A344" s="31">
        <f>RANK(K344,K$2:K$727)</f>
        <v>343</v>
      </c>
      <c r="B344" s="8" t="s">
        <v>448</v>
      </c>
      <c r="C344" s="32" t="s">
        <v>106</v>
      </c>
      <c r="D344" s="33" t="str">
        <f>VLOOKUP(B344,'Player Data'!A1:D734,4,FALSE)</f>
        <v>D</v>
      </c>
      <c r="E344" s="49">
        <f>VLOOKUP(B344,D!A1:C227,3,FALSE)</f>
        <v>104</v>
      </c>
      <c r="F344" s="35" t="str">
        <f>VLOOKUP(B344,'Player Data'!A1:B734,2,FALSE)</f>
        <v>VAN</v>
      </c>
      <c r="G344" s="9">
        <f>VLOOKUP(B344,'Player Data'!A1:D734,3,FALSE)</f>
        <v>29</v>
      </c>
      <c r="H344" s="36">
        <f>IFERROR(VLOOKUP(B344,ADP!A1:G728,7,FALSE)/1000000,VLOOKUP(B344,ADP!A1:G728,7,FALSE))</f>
        <v>3.25</v>
      </c>
      <c r="I344" s="37">
        <f>IF(Settings!$E$15="POINTS",((R344*Q344)*Settings!$B$12)+(S344*Settings!$B$2)+(T344*Settings!$B$3)+(U344*Settings!$B$4)+(V344*Settings!$B$5)+(X344*Settings!$B$9)+(AA344*Settings!$B$6)+(W344*Settings!$B$8)+(AB344*Settings!$B$7)+(AC344*Settings!$B$14)+(AD344*Settings!$B$15)+(AE344*Settings!$B$16)+(AF344*Settings!$B$17)+(AG344*Settings!$B$18)+(U344*Settings!$B$13)+(Y344*Settings!$B$10)+(Z344*Settings!$B$11),VLOOKUP(B344,'Standard Deviations'!A1:C728,3,FALSE))</f>
        <v>141.20159749861526</v>
      </c>
      <c r="J344" s="38">
        <f>IF(D344="G",I344/AJ344,I344/Q344)</f>
        <v>1.8110563749788031</v>
      </c>
      <c r="K344" s="37">
        <f>VLOOKUP(B344,D!A1:F227,6,FALSE)</f>
        <v>-170.3638841293122</v>
      </c>
      <c r="L344" s="37">
        <f>IFERROR(K344/H344,"N/A")</f>
        <v>-52.419656655172986</v>
      </c>
      <c r="M344" s="39">
        <f>IF(Settings!$E$9="YAHOO",VLOOKUP(B344,ADP!A1:E728,2,FALSE),IF(Settings!$E$9="ESPN",VLOOKUP(B344,ADP!A1:E728,3,FALSE),IF(Settings!$E$9="FANTRAX",VLOOKUP(B344,ADP!A1:E728,4,FALSE),VLOOKUP(B344,ADP!A1:E728,5,FALSE))))</f>
        <v>170.9</v>
      </c>
      <c r="N344" s="39">
        <f>IFERROR(M344-A344,"N/A")</f>
        <v>-172.1</v>
      </c>
      <c r="O344" s="39"/>
      <c r="P344" s="40" t="str">
        <f>IF(Settings!$E$27="ON",VLOOKUP(B344,ADP!A1:H728,8,FALSE)," ")</f>
        <v xml:space="preserve"> </v>
      </c>
      <c r="Q344" s="41">
        <f>IF(Settings!$E$12="YES",VLOOKUP(B344,'Player Data'!A1:E734,5,FALSE),82)</f>
        <v>77.966428571428594</v>
      </c>
      <c r="R344" s="39">
        <f>VLOOKUP(B344,'Player Data'!$A1:$AE734,6,FALSE)</f>
        <v>18.804233642347299</v>
      </c>
      <c r="S344" s="41">
        <f>VLOOKUP(B344,'Player Data'!$A1:$AE734,7,FALSE)*$Q344*IFERROR((VLOOKUP(P344,Settings!$E$28:$F$33,2,FALSE)+1),1)</f>
        <v>5.989444914037807</v>
      </c>
      <c r="T344" s="41">
        <f>VLOOKUP(B344,'Player Data'!$A1:$AE734,8,FALSE)*$Q344*IFERROR((VLOOKUP(P344,Settings!$E$28:$F$33,2,FALSE)+1),1)</f>
        <v>15.911532122508424</v>
      </c>
      <c r="U344" s="41">
        <f>SUM(S344:T344)</f>
        <v>21.90097703654623</v>
      </c>
      <c r="V344" s="41">
        <f>VLOOKUP(B344,'Player Data'!$A1:$AE734,10,FALSE)*$Q344*IFERROR(((VLOOKUP(P344,Settings!$E$28:$F$33,2,FALSE)/2)+1),1)</f>
        <v>100.65384256580172</v>
      </c>
      <c r="W344" s="41">
        <f>VLOOKUP(B344,'Player Data'!$A1:$AE734,11,FALSE)*$Q344*IFERROR((VLOOKUP(P344,Settings!$E$28:$F$33,2,FALSE)+1),1)</f>
        <v>3.9981328123659565E-2</v>
      </c>
      <c r="X344" s="41">
        <f>VLOOKUP(B344,'Player Data'!$A1:$AE734,12,FALSE)*$Q344*IFERROR((VLOOKUP(P344,Settings!$E$28:$F$33,2,FALSE)+1),1)</f>
        <v>0.45782121109443186</v>
      </c>
      <c r="Y344" s="41">
        <f>VLOOKUP(B344,'Player Data'!$A1:$AE734,13,FALSE)*$Q344</f>
        <v>0.4177720651214758</v>
      </c>
      <c r="Z344" s="41">
        <f>VLOOKUP(B344,'Player Data'!$A1:$AE734,14,FALSE)*$Q344</f>
        <v>0.96276018095447502</v>
      </c>
      <c r="AA344" s="41">
        <f>VLOOKUP(B344,'Player Data'!$A1:$AE734,15,FALSE)*$Q344</f>
        <v>111.65291160988953</v>
      </c>
      <c r="AB344" s="41">
        <f>VLOOKUP(B344,'Player Data'!$A1:$AE734,16,FALSE)*$Q344</f>
        <v>149.15008856342857</v>
      </c>
      <c r="AC344" s="41">
        <f>VLOOKUP(B344,'Player Data'!$A1:$AE734,17,FALSE)*$Q344*IFERROR((VLOOKUP(P344,Settings!$E$28:$F$33,2,FALSE)+1),1)</f>
        <v>1.4704549622363479</v>
      </c>
      <c r="AD344" s="41">
        <f>VLOOKUP(B344,'Player Data'!$A1:$AE734,18,FALSE)*$Q344</f>
        <v>64.421487273984496</v>
      </c>
      <c r="AE344" s="41">
        <f>VLOOKUP(B344,'Player Data'!$A1:$AE734,19,FALSE)*$Q344*IFERROR((VLOOKUP(P344,Settings!$E$28:$F$33,2,FALSE)+1),1)</f>
        <v>0.84786371946045658</v>
      </c>
      <c r="AF344" s="41">
        <f>VLOOKUP(B344,'Player Data'!$A1:$AE734,20,FALSE)*$Q344</f>
        <v>0</v>
      </c>
      <c r="AG344" s="41">
        <f>VLOOKUP(B344,'Player Data'!$A1:$AE734,21,FALSE)*$Q344</f>
        <v>0</v>
      </c>
      <c r="AH344" s="42">
        <f>VLOOKUP(B344,'Player Data'!$A1:$AE734,22,FALSE)</f>
        <v>0</v>
      </c>
      <c r="AI344" s="39"/>
      <c r="AJ344" s="43"/>
      <c r="AK344" s="41"/>
      <c r="AL344" s="41"/>
      <c r="AM344" s="41"/>
      <c r="AN344" s="41"/>
      <c r="AO344" s="41"/>
      <c r="AP344" s="41"/>
      <c r="AQ344" s="44"/>
      <c r="AR344" s="45"/>
      <c r="AS344" s="39"/>
    </row>
    <row r="345" spans="1:45" ht="21.25" customHeight="1" x14ac:dyDescent="0.15">
      <c r="A345" s="31">
        <f>RANK(K345,K$2:K$727)</f>
        <v>344</v>
      </c>
      <c r="B345" s="8" t="s">
        <v>449</v>
      </c>
      <c r="C345" s="32" t="s">
        <v>106</v>
      </c>
      <c r="D345" s="33" t="str">
        <f>VLOOKUP(B345,'Player Data'!A1:D734,4,FALSE)</f>
        <v>D</v>
      </c>
      <c r="E345" s="49">
        <f>VLOOKUP(B345,D!A1:C227,3,FALSE)</f>
        <v>105</v>
      </c>
      <c r="F345" s="35" t="str">
        <f>VLOOKUP(B345,'Player Data'!A1:B734,2,FALSE)</f>
        <v>NYR</v>
      </c>
      <c r="G345" s="9">
        <f>VLOOKUP(B345,'Player Data'!A1:D734,3,FALSE)</f>
        <v>31</v>
      </c>
      <c r="H345" s="36">
        <f>IFERROR(VLOOKUP(B345,ADP!A1:G728,7,FALSE)/1000000,VLOOKUP(B345,ADP!A1:G728,7,FALSE))</f>
        <v>0.82499999999999996</v>
      </c>
      <c r="I345" s="37">
        <f>IF(Settings!$E$15="POINTS",((R345*Q345)*Settings!$B$12)+(S345*Settings!$B$2)+(T345*Settings!$B$3)+(U345*Settings!$B$4)+(V345*Settings!$B$5)+(X345*Settings!$B$9)+(AA345*Settings!$B$6)+(W345*Settings!$B$8)+(AB345*Settings!$B$7)+(AC345*Settings!$B$14)+(AD345*Settings!$B$15)+(AE345*Settings!$B$16)+(AF345*Settings!$B$17)+(AG345*Settings!$B$18)+(U345*Settings!$B$13)+(Y345*Settings!$B$10)+(Z345*Settings!$B$11),VLOOKUP(B345,'Standard Deviations'!A1:C728,3,FALSE))</f>
        <v>140.76566402921011</v>
      </c>
      <c r="J345" s="38">
        <f>IF(D345="G",I345/AJ345,I345/Q345)</f>
        <v>2.0498858894598824</v>
      </c>
      <c r="K345" s="37">
        <f>VLOOKUP(B345,D!A1:F227,6,FALSE)</f>
        <v>-170.79981759871734</v>
      </c>
      <c r="L345" s="37">
        <f>IFERROR(K345/H345,"N/A")</f>
        <v>-207.03008193783921</v>
      </c>
      <c r="M345" s="39">
        <f>IF(Settings!$E$9="YAHOO",VLOOKUP(B345,ADP!A1:E728,2,FALSE),IF(Settings!$E$9="ESPN",VLOOKUP(B345,ADP!A1:E728,3,FALSE),IF(Settings!$E$9="FANTRAX",VLOOKUP(B345,ADP!A1:E728,4,FALSE),VLOOKUP(B345,ADP!A1:E728,5,FALSE))))</f>
        <v>166.1</v>
      </c>
      <c r="N345" s="39">
        <f>IFERROR(M345-A345,"N/A")</f>
        <v>-177.9</v>
      </c>
      <c r="O345" s="39"/>
      <c r="P345" s="40" t="str">
        <f>IF(Settings!$E$27="ON",VLOOKUP(B345,ADP!A1:H728,8,FALSE)," ")</f>
        <v xml:space="preserve"> </v>
      </c>
      <c r="Q345" s="41">
        <f>IF(Settings!$E$12="YES",VLOOKUP(B345,'Player Data'!A1:E734,5,FALSE),82)</f>
        <v>68.67</v>
      </c>
      <c r="R345" s="39">
        <f>VLOOKUP(B345,'Player Data'!$A1:$AE734,6,FALSE)</f>
        <v>15.9357560849304</v>
      </c>
      <c r="S345" s="41">
        <f>VLOOKUP(B345,'Player Data'!$A1:$AE734,7,FALSE)*$Q345*IFERROR((VLOOKUP(P345,Settings!$E$28:$F$33,2,FALSE)+1),1)</f>
        <v>4.1153516119130478</v>
      </c>
      <c r="T345" s="41">
        <f>VLOOKUP(B345,'Player Data'!$A1:$AE734,8,FALSE)*$Q345*IFERROR((VLOOKUP(P345,Settings!$E$28:$F$33,2,FALSE)+1),1)</f>
        <v>20.002288800165676</v>
      </c>
      <c r="U345" s="41">
        <f>SUM(S345:T345)</f>
        <v>24.117640412078725</v>
      </c>
      <c r="V345" s="41">
        <f>VLOOKUP(B345,'Player Data'!$A1:$AE734,10,FALSE)*$Q345*IFERROR(((VLOOKUP(P345,Settings!$E$28:$F$33,2,FALSE)/2)+1),1)</f>
        <v>91.471149591781966</v>
      </c>
      <c r="W345" s="41">
        <f>VLOOKUP(B345,'Player Data'!$A1:$AE734,11,FALSE)*$Q345*IFERROR((VLOOKUP(P345,Settings!$E$28:$F$33,2,FALSE)+1),1)</f>
        <v>7.7548176265408206E-2</v>
      </c>
      <c r="X345" s="41">
        <f>VLOOKUP(B345,'Player Data'!$A1:$AE734,12,FALSE)*$Q345*IFERROR((VLOOKUP(P345,Settings!$E$28:$F$33,2,FALSE)+1),1)</f>
        <v>5.3874957459594537</v>
      </c>
      <c r="Y345" s="41">
        <f>VLOOKUP(B345,'Player Data'!$A1:$AE734,13,FALSE)*$Q345</f>
        <v>8.7946183305616515E-3</v>
      </c>
      <c r="Z345" s="41">
        <f>VLOOKUP(B345,'Player Data'!$A1:$AE734,14,FALSE)*$Q345</f>
        <v>3.3578086589450308E-2</v>
      </c>
      <c r="AA345" s="41">
        <f>VLOOKUP(B345,'Player Data'!$A1:$AE734,15,FALSE)*$Q345</f>
        <v>59.175101659925765</v>
      </c>
      <c r="AB345" s="41">
        <f>VLOOKUP(B345,'Player Data'!$A1:$AE734,16,FALSE)*$Q345</f>
        <v>54.51287441899084</v>
      </c>
      <c r="AC345" s="41">
        <f>VLOOKUP(B345,'Player Data'!$A1:$AE734,17,FALSE)*$Q345*IFERROR((VLOOKUP(P345,Settings!$E$28:$F$33,2,FALSE)+1),1)</f>
        <v>5.0431366619348799</v>
      </c>
      <c r="AD345" s="41">
        <f>VLOOKUP(B345,'Player Data'!$A1:$AE734,18,FALSE)*$Q345</f>
        <v>17.708998303892223</v>
      </c>
      <c r="AE345" s="41">
        <f>VLOOKUP(B345,'Player Data'!$A1:$AE734,19,FALSE)*$Q345*IFERROR((VLOOKUP(P345,Settings!$E$28:$F$33,2,FALSE)+1),1)</f>
        <v>0.70124822977156631</v>
      </c>
      <c r="AF345" s="41">
        <f>VLOOKUP(B345,'Player Data'!$A1:$AE734,20,FALSE)*$Q345</f>
        <v>0</v>
      </c>
      <c r="AG345" s="41">
        <f>VLOOKUP(B345,'Player Data'!$A1:$AE734,21,FALSE)*$Q345</f>
        <v>0</v>
      </c>
      <c r="AH345" s="42">
        <f>VLOOKUP(B345,'Player Data'!$A1:$AE734,22,FALSE)</f>
        <v>0</v>
      </c>
      <c r="AI345" s="39"/>
      <c r="AJ345" s="43"/>
      <c r="AK345" s="41"/>
      <c r="AL345" s="41"/>
      <c r="AM345" s="41"/>
      <c r="AN345" s="41"/>
      <c r="AO345" s="41"/>
      <c r="AP345" s="41"/>
      <c r="AQ345" s="44"/>
      <c r="AR345" s="45"/>
      <c r="AS345" s="39"/>
    </row>
    <row r="346" spans="1:45" ht="21.25" customHeight="1" x14ac:dyDescent="0.15">
      <c r="A346" s="31">
        <f>RANK(K346,K$2:K$727)</f>
        <v>345</v>
      </c>
      <c r="B346" s="8" t="s">
        <v>450</v>
      </c>
      <c r="C346" s="32" t="s">
        <v>106</v>
      </c>
      <c r="D346" s="33" t="str">
        <f>VLOOKUP(B346,'Player Data'!A1:D734,4,FALSE)</f>
        <v>RW</v>
      </c>
      <c r="E346" s="46">
        <f>VLOOKUP(B346,RW!A1:F97,3,FALSE)</f>
        <v>50</v>
      </c>
      <c r="F346" s="35" t="str">
        <f>VLOOKUP(B346,'Player Data'!A1:B734,2,FALSE)</f>
        <v>CAR</v>
      </c>
      <c r="G346" s="9">
        <f>VLOOKUP(B346,'Player Data'!A1:D734,3,FALSE)</f>
        <v>30</v>
      </c>
      <c r="H346" s="36">
        <f>IFERROR(VLOOKUP(B346,ADP!A1:G728,7,FALSE)/1000000,VLOOKUP(B346,ADP!A1:G728,7,FALSE))</f>
        <v>0.76249999999999996</v>
      </c>
      <c r="I346" s="37">
        <f>IF(Settings!$E$15="POINTS",((R346*Q346)*Settings!$B$12)+(S346*Settings!$B$2)+(T346*Settings!$B$3)+(U346*Settings!$B$4)+(V346*Settings!$B$5)+(X346*Settings!$B$9)+(AA346*Settings!$B$6)+(W346*Settings!$B$8)+(AB346*Settings!$B$7)+(AC346*Settings!$B$14)+(AD346*Settings!$B$15)+(AE346*Settings!$B$16)+(AF346*Settings!$B$17)+(AG346*Settings!$B$18)+(Y346*Settings!$B$10)+(Z346*Settings!$B$11),VLOOKUP(B346,'Standard Deviations'!A1:C728,3,FALSE))</f>
        <v>179.30925331225595</v>
      </c>
      <c r="J346" s="38">
        <f>IF(D346="G",I346/AJ346,I346/Q346)</f>
        <v>2.5489978436599041</v>
      </c>
      <c r="K346" s="37">
        <f>IF(Settings!$E$18="C/LW/RW",VLOOKUP(B346,RW!A1:F97,6,FALSE),VLOOKUP(B346,F!A1:F430,6,FALSE))</f>
        <v>-170.96228723563362</v>
      </c>
      <c r="L346" s="37">
        <f>IFERROR(K346/H346,"N/A")</f>
        <v>-224.21283571886377</v>
      </c>
      <c r="M346" s="53" t="str">
        <f>IF(Settings!$E$9="YAHOO",VLOOKUP(B346,ADP!A1:E728,2,FALSE),IF(Settings!$E$9="ESPN",VLOOKUP(B346,ADP!A1:E728,3,FALSE),IF(Settings!$E$9="FANTRAX",VLOOKUP(B346,ADP!A1:E728,4,FALSE),VLOOKUP(B346,ADP!A1:E728,5,FALSE))))</f>
        <v>-</v>
      </c>
      <c r="N346" s="53" t="str">
        <f>IFERROR(M346-A346,"N/A")</f>
        <v>N/A</v>
      </c>
      <c r="O346" s="39"/>
      <c r="P346" s="40" t="str">
        <f>IF(Settings!$E$27="ON",VLOOKUP(B346,ADP!A1:H728,8,FALSE)," ")</f>
        <v xml:space="preserve"> </v>
      </c>
      <c r="Q346" s="41">
        <f>IF(Settings!$E$12="YES",VLOOKUP(B346,'Player Data'!A1:E734,5,FALSE),82)</f>
        <v>70.344999999999999</v>
      </c>
      <c r="R346" s="39">
        <f>VLOOKUP(B346,'Player Data'!$A1:$AE734,6,FALSE)</f>
        <v>12.339441786388001</v>
      </c>
      <c r="S346" s="41">
        <f>VLOOKUP(B346,'Player Data'!$A1:$AE734,7,FALSE)*$Q346*IFERROR((VLOOKUP(P346,Settings!$E$28:$F$33,2,FALSE)+1),1)</f>
        <v>11.239036938321721</v>
      </c>
      <c r="T346" s="41">
        <f>VLOOKUP(B346,'Player Data'!$A1:$AE734,8,FALSE)*$Q346*IFERROR((VLOOKUP(P346,Settings!$E$28:$F$33,2,FALSE)+1),1)</f>
        <v>18.730525282768863</v>
      </c>
      <c r="U346" s="41">
        <f>SUM(S346:T346)</f>
        <v>29.969562221090584</v>
      </c>
      <c r="V346" s="41">
        <f>VLOOKUP(B346,'Player Data'!$A1:$AE734,10,FALSE)*$Q346*IFERROR(((VLOOKUP(P346,Settings!$E$28:$F$33,2,FALSE)/2)+1),1)</f>
        <v>119.28487086317975</v>
      </c>
      <c r="W346" s="41">
        <f>VLOOKUP(B346,'Player Data'!$A1:$AE734,11,FALSE)*$Q346*IFERROR((VLOOKUP(P346,Settings!$E$28:$F$33,2,FALSE)+1),1)</f>
        <v>6.0154377411576014</v>
      </c>
      <c r="X346" s="41">
        <f>VLOOKUP(B346,'Player Data'!$A1:$AE734,12,FALSE)*$Q346*IFERROR((VLOOKUP(P346,Settings!$E$28:$F$33,2,FALSE)+1),1)</f>
        <v>13.043356259065504</v>
      </c>
      <c r="Y346" s="41">
        <f>VLOOKUP(B346,'Player Data'!$A1:$AE734,13,FALSE)*$Q346</f>
        <v>5.2223869201060077E-3</v>
      </c>
      <c r="Z346" s="41">
        <f>VLOOKUP(B346,'Player Data'!$A1:$AE734,14,FALSE)*$Q346</f>
        <v>9.6980225506769924E-3</v>
      </c>
      <c r="AA346" s="41">
        <f>VLOOKUP(B346,'Player Data'!$A1:$AE734,15,FALSE)*$Q346</f>
        <v>18.260113270809768</v>
      </c>
      <c r="AB346" s="41">
        <f>VLOOKUP(B346,'Player Data'!$A1:$AE734,16,FALSE)*$Q346</f>
        <v>92.863746433692171</v>
      </c>
      <c r="AC346" s="41">
        <f>VLOOKUP(B346,'Player Data'!$A1:$AE734,17,FALSE)*$Q346*IFERROR((VLOOKUP(P346,Settings!$E$28:$F$33,2,FALSE)+1),1)</f>
        <v>6.622132934630284</v>
      </c>
      <c r="AD346" s="41">
        <f>VLOOKUP(B346,'Player Data'!$A1:$AE734,18,FALSE)*$Q346</f>
        <v>26.053149612716883</v>
      </c>
      <c r="AE346" s="41">
        <f>VLOOKUP(B346,'Player Data'!$A1:$AE734,19,FALSE)*$Q346*IFERROR((VLOOKUP(P346,Settings!$E$28:$F$33,2,FALSE)+1),1)</f>
        <v>2.0165348878035072</v>
      </c>
      <c r="AF346" s="41">
        <f>VLOOKUP(B346,'Player Data'!$A1:$AE734,20,FALSE)*$Q346</f>
        <v>45.425057270896637</v>
      </c>
      <c r="AG346" s="41">
        <f>VLOOKUP(B346,'Player Data'!$A1:$AE734,21,FALSE)*$Q346</f>
        <v>50.956722441423452</v>
      </c>
      <c r="AH346" s="42">
        <f>VLOOKUP(B346,'Player Data'!$A1:$AE734,22,FALSE)</f>
        <v>0.47130336674090401</v>
      </c>
      <c r="AI346" s="39"/>
      <c r="AJ346" s="43"/>
      <c r="AK346" s="41"/>
      <c r="AL346" s="41"/>
      <c r="AM346" s="41"/>
      <c r="AN346" s="41"/>
      <c r="AO346" s="41"/>
      <c r="AP346" s="41"/>
      <c r="AQ346" s="44"/>
      <c r="AR346" s="45"/>
      <c r="AS346" s="39"/>
    </row>
    <row r="347" spans="1:45" ht="21.25" customHeight="1" x14ac:dyDescent="0.15">
      <c r="A347" s="31">
        <f>RANK(K347,K$2:K$727)</f>
        <v>346</v>
      </c>
      <c r="B347" s="8" t="s">
        <v>451</v>
      </c>
      <c r="C347" s="32" t="s">
        <v>106</v>
      </c>
      <c r="D347" s="33" t="str">
        <f>VLOOKUP(B347,'Player Data'!A1:D734,4,FALSE)</f>
        <v>LW</v>
      </c>
      <c r="E347" s="47">
        <f>VLOOKUP(B347,LW!A1:C130,3,FALSE)</f>
        <v>70</v>
      </c>
      <c r="F347" s="35" t="str">
        <f>VLOOKUP(B347,'Player Data'!A1:B734,2,FALSE)</f>
        <v>NJD</v>
      </c>
      <c r="G347" s="9">
        <f>VLOOKUP(B347,'Player Data'!A1:D734,3,FALSE)</f>
        <v>32</v>
      </c>
      <c r="H347" s="36">
        <f>IFERROR(VLOOKUP(B347,ADP!A1:G728,7,FALSE)/1000000,VLOOKUP(B347,ADP!A1:G728,7,FALSE))</f>
        <v>6</v>
      </c>
      <c r="I347" s="37">
        <f>IF(Settings!$E$15="POINTS",((R347*Q347)*Settings!$B$12)+(S347*Settings!$B$2)+(T347*Settings!$B$3)+(U347*Settings!$B$4)+(V347*Settings!$B$5)+(X347*Settings!$B$9)+(AA347*Settings!$B$6)+(W347*Settings!$B$8)+(AB347*Settings!$B$7)+(AC347*Settings!$B$14)+(AD347*Settings!$B$15)+(AE347*Settings!$B$16)+(AF347*Settings!$B$17)+(AG347*Settings!$B$18)+(Y347*Settings!$B$10)+(Z347*Settings!$B$11),VLOOKUP(B347,'Standard Deviations'!A1:C728,3,FALSE))</f>
        <v>192.94282378409994</v>
      </c>
      <c r="J347" s="38">
        <f>IF(D347="G",I347/AJ347,I347/Q347)</f>
        <v>2.561009853591786</v>
      </c>
      <c r="K347" s="37">
        <f>IF(Settings!$E$18="C/LW/RW",VLOOKUP(B347,LW!A1:F130,6,FALSE),VLOOKUP(B347,F!A1:F430,6,FALSE))</f>
        <v>-171.09778107355052</v>
      </c>
      <c r="L347" s="37">
        <f>IFERROR(K347/H347,"N/A")</f>
        <v>-28.516296845591754</v>
      </c>
      <c r="M347" s="53" t="str">
        <f>IF(Settings!$E$9="YAHOO",VLOOKUP(B347,ADP!A1:E728,2,FALSE),IF(Settings!$E$9="ESPN",VLOOKUP(B347,ADP!A1:E728,3,FALSE),IF(Settings!$E$9="FANTRAX",VLOOKUP(B347,ADP!A1:E728,4,FALSE),VLOOKUP(B347,ADP!A1:E728,5,FALSE))))</f>
        <v>-</v>
      </c>
      <c r="N347" s="53" t="str">
        <f>IFERROR(M347-A347,"N/A")</f>
        <v>N/A</v>
      </c>
      <c r="O347" s="39"/>
      <c r="P347" s="40" t="str">
        <f>IF(Settings!$E$27="ON",VLOOKUP(B347,ADP!A1:H728,8,FALSE)," ")</f>
        <v xml:space="preserve"> </v>
      </c>
      <c r="Q347" s="41">
        <f>IF(Settings!$E$12="YES",VLOOKUP(B347,'Player Data'!A1:E734,5,FALSE),82)</f>
        <v>75.338571428571399</v>
      </c>
      <c r="R347" s="39">
        <f>VLOOKUP(B347,'Player Data'!$A1:$AE734,6,FALSE)</f>
        <v>14.524762777318101</v>
      </c>
      <c r="S347" s="41">
        <f>VLOOKUP(B347,'Player Data'!$A1:$AE734,7,FALSE)*$Q347*IFERROR((VLOOKUP(P347,Settings!$E$28:$F$33,2,FALSE)+1),1)</f>
        <v>13.259908342386804</v>
      </c>
      <c r="T347" s="41">
        <f>VLOOKUP(B347,'Player Data'!$A1:$AE734,8,FALSE)*$Q347*IFERROR((VLOOKUP(P347,Settings!$E$28:$F$33,2,FALSE)+1),1)</f>
        <v>23.642565725532343</v>
      </c>
      <c r="U347" s="41">
        <f>SUM(S347:T347)</f>
        <v>36.902474067919144</v>
      </c>
      <c r="V347" s="41">
        <f>VLOOKUP(B347,'Player Data'!$A1:$AE734,10,FALSE)*$Q347*IFERROR(((VLOOKUP(P347,Settings!$E$28:$F$33,2,FALSE)/2)+1),1)</f>
        <v>119.85084648273724</v>
      </c>
      <c r="W347" s="41">
        <f>VLOOKUP(B347,'Player Data'!$A1:$AE734,11,FALSE)*$Q347*IFERROR((VLOOKUP(P347,Settings!$E$28:$F$33,2,FALSE)+1),1)</f>
        <v>1.844597843651226</v>
      </c>
      <c r="X347" s="41">
        <f>VLOOKUP(B347,'Player Data'!$A1:$AE734,12,FALSE)*$Q347*IFERROR((VLOOKUP(P347,Settings!$E$28:$F$33,2,FALSE)+1),1)</f>
        <v>5.9360902086851564</v>
      </c>
      <c r="Y347" s="41">
        <f>VLOOKUP(B347,'Player Data'!$A1:$AE734,13,FALSE)*$Q347</f>
        <v>3.4420812100779061E-2</v>
      </c>
      <c r="Z347" s="41">
        <f>VLOOKUP(B347,'Player Data'!$A1:$AE734,14,FALSE)*$Q347</f>
        <v>0.16034184114894093</v>
      </c>
      <c r="AA347" s="41">
        <f>VLOOKUP(B347,'Player Data'!$A1:$AE734,15,FALSE)*$Q347</f>
        <v>50.585571196528498</v>
      </c>
      <c r="AB347" s="41">
        <f>VLOOKUP(B347,'Player Data'!$A1:$AE734,16,FALSE)*$Q347</f>
        <v>100.47707181010597</v>
      </c>
      <c r="AC347" s="41">
        <f>VLOOKUP(B347,'Player Data'!$A1:$AE734,17,FALSE)*$Q347*IFERROR((VLOOKUP(P347,Settings!$E$28:$F$33,2,FALSE)+1),1)</f>
        <v>0.65502340964896755</v>
      </c>
      <c r="AD347" s="41">
        <f>VLOOKUP(B347,'Player Data'!$A1:$AE734,18,FALSE)*$Q347</f>
        <v>20.2258294552616</v>
      </c>
      <c r="AE347" s="41">
        <f>VLOOKUP(B347,'Player Data'!$A1:$AE734,19,FALSE)*$Q347*IFERROR((VLOOKUP(P347,Settings!$E$28:$F$33,2,FALSE)+1),1)</f>
        <v>1.9517339228711219</v>
      </c>
      <c r="AF347" s="41">
        <f>VLOOKUP(B347,'Player Data'!$A1:$AE734,20,FALSE)*$Q347</f>
        <v>0.61496674499170789</v>
      </c>
      <c r="AG347" s="41">
        <f>VLOOKUP(B347,'Player Data'!$A1:$AE734,21,FALSE)*$Q347</f>
        <v>11.885615168855512</v>
      </c>
      <c r="AH347" s="42">
        <f>VLOOKUP(B347,'Player Data'!$A1:$AE734,22,FALSE)</f>
        <v>4.9195049416898902E-2</v>
      </c>
      <c r="AI347" s="39"/>
      <c r="AJ347" s="43"/>
      <c r="AK347" s="41"/>
      <c r="AL347" s="41"/>
      <c r="AM347" s="41"/>
      <c r="AN347" s="41"/>
      <c r="AO347" s="41"/>
      <c r="AP347" s="41"/>
      <c r="AQ347" s="44"/>
      <c r="AR347" s="45"/>
      <c r="AS347" s="39"/>
    </row>
    <row r="348" spans="1:45" ht="21.25" customHeight="1" x14ac:dyDescent="0.15">
      <c r="A348" s="31">
        <f>RANK(K348,K$2:K$727)</f>
        <v>347</v>
      </c>
      <c r="B348" s="8" t="s">
        <v>452</v>
      </c>
      <c r="C348" s="32" t="s">
        <v>106</v>
      </c>
      <c r="D348" s="33" t="str">
        <f>VLOOKUP(B348,'Player Data'!A1:D734,4,FALSE)</f>
        <v>RW</v>
      </c>
      <c r="E348" s="46">
        <f>VLOOKUP(B348,RW!A1:F97,3,FALSE)</f>
        <v>51</v>
      </c>
      <c r="F348" s="35" t="str">
        <f>VLOOKUP(B348,'Player Data'!A1:B734,2,FALSE)</f>
        <v>EDM</v>
      </c>
      <c r="G348" s="9">
        <f>VLOOKUP(B348,'Player Data'!A1:D734,3,FALSE)</f>
        <v>29</v>
      </c>
      <c r="H348" s="36">
        <f>IFERROR(VLOOKUP(B348,ADP!A1:G728,7,FALSE)/1000000,VLOOKUP(B348,ADP!A1:G728,7,FALSE))</f>
        <v>0.77500000000000002</v>
      </c>
      <c r="I348" s="37">
        <f>IF(Settings!$E$15="POINTS",((R348*Q348)*Settings!$B$12)+(S348*Settings!$B$2)+(T348*Settings!$B$3)+(U348*Settings!$B$4)+(V348*Settings!$B$5)+(X348*Settings!$B$9)+(AA348*Settings!$B$6)+(W348*Settings!$B$8)+(AB348*Settings!$B$7)+(AC348*Settings!$B$14)+(AD348*Settings!$B$15)+(AE348*Settings!$B$16)+(AF348*Settings!$B$17)+(AG348*Settings!$B$18)+(Y348*Settings!$B$10)+(Z348*Settings!$B$11),VLOOKUP(B348,'Standard Deviations'!A1:C728,3,FALSE))</f>
        <v>179.1583630533502</v>
      </c>
      <c r="J348" s="38">
        <f>IF(D348="G",I348/AJ348,I348/Q348)</f>
        <v>2.6478235810581965</v>
      </c>
      <c r="K348" s="37">
        <f>IF(Settings!$E$18="C/LW/RW",VLOOKUP(B348,RW!A1:F97,6,FALSE),VLOOKUP(B348,F!A1:F430,6,FALSE))</f>
        <v>-171.11317749453937</v>
      </c>
      <c r="L348" s="37">
        <f>IFERROR(K348/H348,"N/A")</f>
        <v>-220.79119676714757</v>
      </c>
      <c r="M348" s="39">
        <f>IF(Settings!$E$9="YAHOO",VLOOKUP(B348,ADP!A1:E728,2,FALSE),IF(Settings!$E$9="ESPN",VLOOKUP(B348,ADP!A1:E728,3,FALSE),IF(Settings!$E$9="FANTRAX",VLOOKUP(B348,ADP!A1:E728,4,FALSE),VLOOKUP(B348,ADP!A1:E728,5,FALSE))))</f>
        <v>168.8</v>
      </c>
      <c r="N348" s="39">
        <f>IFERROR(M348-A348,"N/A")</f>
        <v>-178.2</v>
      </c>
      <c r="O348" s="39"/>
      <c r="P348" s="40" t="str">
        <f>IF(Settings!$E$27="ON",VLOOKUP(B348,ADP!A1:H728,8,FALSE)," ")</f>
        <v xml:space="preserve"> </v>
      </c>
      <c r="Q348" s="41">
        <f>IF(Settings!$E$12="YES",VLOOKUP(B348,'Player Data'!A1:E734,5,FALSE),82)</f>
        <v>67.662499999999994</v>
      </c>
      <c r="R348" s="39">
        <f>VLOOKUP(B348,'Player Data'!$A1:$AE734,6,FALSE)</f>
        <v>16.850728471946599</v>
      </c>
      <c r="S348" s="41">
        <f>VLOOKUP(B348,'Player Data'!$A1:$AE734,7,FALSE)*$Q348*IFERROR((VLOOKUP(P348,Settings!$E$28:$F$33,2,FALSE)+1),1)</f>
        <v>13.420357644798312</v>
      </c>
      <c r="T348" s="41">
        <f>VLOOKUP(B348,'Player Data'!$A1:$AE734,8,FALSE)*$Q348*IFERROR((VLOOKUP(P348,Settings!$E$28:$F$33,2,FALSE)+1),1)</f>
        <v>20.265801254430432</v>
      </c>
      <c r="U348" s="41">
        <f>SUM(S348:T348)</f>
        <v>33.686158899228744</v>
      </c>
      <c r="V348" s="41">
        <f>VLOOKUP(B348,'Player Data'!$A1:$AE734,10,FALSE)*$Q348*IFERROR(((VLOOKUP(P348,Settings!$E$28:$F$33,2,FALSE)/2)+1),1)</f>
        <v>117.18754292394782</v>
      </c>
      <c r="W348" s="41">
        <f>VLOOKUP(B348,'Player Data'!$A1:$AE734,11,FALSE)*$Q348*IFERROR((VLOOKUP(P348,Settings!$E$28:$F$33,2,FALSE)+1),1)</f>
        <v>0.56822587975625916</v>
      </c>
      <c r="X348" s="41">
        <f>VLOOKUP(B348,'Player Data'!$A1:$AE734,12,FALSE)*$Q348*IFERROR((VLOOKUP(P348,Settings!$E$28:$F$33,2,FALSE)+1),1)</f>
        <v>3.63164905434971</v>
      </c>
      <c r="Y348" s="41">
        <f>VLOOKUP(B348,'Player Data'!$A1:$AE734,13,FALSE)*$Q348</f>
        <v>1.5949960249939152</v>
      </c>
      <c r="Z348" s="41">
        <f>VLOOKUP(B348,'Player Data'!$A1:$AE734,14,FALSE)*$Q348</f>
        <v>2.8262743931953049</v>
      </c>
      <c r="AA348" s="41">
        <f>VLOOKUP(B348,'Player Data'!$A1:$AE734,15,FALSE)*$Q348</f>
        <v>32.951339993000275</v>
      </c>
      <c r="AB348" s="41">
        <f>VLOOKUP(B348,'Player Data'!$A1:$AE734,16,FALSE)*$Q348</f>
        <v>35.917507104675764</v>
      </c>
      <c r="AC348" s="41">
        <f>VLOOKUP(B348,'Player Data'!$A1:$AE734,17,FALSE)*$Q348*IFERROR((VLOOKUP(P348,Settings!$E$28:$F$33,2,FALSE)+1),1)</f>
        <v>3.5967580101815355</v>
      </c>
      <c r="AD348" s="41">
        <f>VLOOKUP(B348,'Player Data'!$A1:$AE734,18,FALSE)*$Q348</f>
        <v>15.018529707775359</v>
      </c>
      <c r="AE348" s="41">
        <f>VLOOKUP(B348,'Player Data'!$A1:$AE734,19,FALSE)*$Q348*IFERROR((VLOOKUP(P348,Settings!$E$28:$F$33,2,FALSE)+1),1)</f>
        <v>2.1242985392721656</v>
      </c>
      <c r="AF348" s="41">
        <f>VLOOKUP(B348,'Player Data'!$A1:$AE734,20,FALSE)*$Q348</f>
        <v>31.25889227244938</v>
      </c>
      <c r="AG348" s="41">
        <f>VLOOKUP(B348,'Player Data'!$A1:$AE734,21,FALSE)*$Q348</f>
        <v>48.607577303557314</v>
      </c>
      <c r="AH348" s="42">
        <f>VLOOKUP(B348,'Player Data'!$A1:$AE734,22,FALSE)</f>
        <v>0.39138943336791898</v>
      </c>
      <c r="AI348" s="39"/>
      <c r="AJ348" s="43"/>
      <c r="AK348" s="41"/>
      <c r="AL348" s="41"/>
      <c r="AM348" s="41"/>
      <c r="AN348" s="41"/>
      <c r="AO348" s="41"/>
      <c r="AP348" s="41"/>
      <c r="AQ348" s="44"/>
      <c r="AR348" s="45"/>
      <c r="AS348" s="39"/>
    </row>
    <row r="349" spans="1:45" ht="21.25" customHeight="1" x14ac:dyDescent="0.15">
      <c r="A349" s="31">
        <f>RANK(K349,K$2:K$727)</f>
        <v>348</v>
      </c>
      <c r="B349" s="8" t="s">
        <v>453</v>
      </c>
      <c r="C349" s="32" t="s">
        <v>106</v>
      </c>
      <c r="D349" s="33" t="str">
        <f>VLOOKUP(B349,'Player Data'!A1:D734,4,FALSE)</f>
        <v>D</v>
      </c>
      <c r="E349" s="49">
        <f>VLOOKUP(B349,D!A1:C227,3,FALSE)</f>
        <v>106</v>
      </c>
      <c r="F349" s="35" t="str">
        <f>VLOOKUP(B349,'Player Data'!A1:B734,2,FALSE)</f>
        <v>VGK</v>
      </c>
      <c r="G349" s="9">
        <f>VLOOKUP(B349,'Player Data'!A1:D734,3,FALSE)</f>
        <v>32</v>
      </c>
      <c r="H349" s="36">
        <f>IFERROR(VLOOKUP(B349,ADP!A1:G728,7,FALSE)/1000000,VLOOKUP(B349,ADP!A1:G728,7,FALSE))</f>
        <v>2.5</v>
      </c>
      <c r="I349" s="37">
        <f>IF(Settings!$E$15="POINTS",((R349*Q349)*Settings!$B$12)+(S349*Settings!$B$2)+(T349*Settings!$B$3)+(U349*Settings!$B$4)+(V349*Settings!$B$5)+(X349*Settings!$B$9)+(AA349*Settings!$B$6)+(W349*Settings!$B$8)+(AB349*Settings!$B$7)+(AC349*Settings!$B$14)+(AD349*Settings!$B$15)+(AE349*Settings!$B$16)+(AF349*Settings!$B$17)+(AG349*Settings!$B$18)+(U349*Settings!$B$13)+(Y349*Settings!$B$10)+(Z349*Settings!$B$11),VLOOKUP(B349,'Standard Deviations'!A1:C728,3,FALSE))</f>
        <v>139.76353604815787</v>
      </c>
      <c r="J349" s="38">
        <f>IF(D349="G",I349/AJ349,I349/Q349)</f>
        <v>1.7907824633565441</v>
      </c>
      <c r="K349" s="37">
        <f>VLOOKUP(B349,D!A1:F227,6,FALSE)</f>
        <v>-171.80194557976958</v>
      </c>
      <c r="L349" s="37">
        <f>IFERROR(K349/H349,"N/A")</f>
        <v>-68.720778231907829</v>
      </c>
      <c r="M349" s="39">
        <f>IF(Settings!$E$9="YAHOO",VLOOKUP(B349,ADP!A1:E728,2,FALSE),IF(Settings!$E$9="ESPN",VLOOKUP(B349,ADP!A1:E728,3,FALSE),IF(Settings!$E$9="FANTRAX",VLOOKUP(B349,ADP!A1:E728,4,FALSE),VLOOKUP(B349,ADP!A1:E728,5,FALSE))))</f>
        <v>176.9</v>
      </c>
      <c r="N349" s="39">
        <f>IFERROR(M349-A349,"N/A")</f>
        <v>-171.1</v>
      </c>
      <c r="O349" s="39"/>
      <c r="P349" s="40" t="str">
        <f>IF(Settings!$E$27="ON",VLOOKUP(B349,ADP!A1:H728,8,FALSE)," ")</f>
        <v xml:space="preserve"> </v>
      </c>
      <c r="Q349" s="41">
        <f>IF(Settings!$E$12="YES",VLOOKUP(B349,'Player Data'!A1:E734,5,FALSE),82)</f>
        <v>78.046071428571395</v>
      </c>
      <c r="R349" s="39">
        <f>VLOOKUP(B349,'Player Data'!$A1:$AE734,6,FALSE)</f>
        <v>20.097319954268301</v>
      </c>
      <c r="S349" s="41">
        <f>VLOOKUP(B349,'Player Data'!$A1:$AE734,7,FALSE)*$Q349*IFERROR((VLOOKUP(P349,Settings!$E$28:$F$33,2,FALSE)+1),1)</f>
        <v>2.5312440052615841</v>
      </c>
      <c r="T349" s="41">
        <f>VLOOKUP(B349,'Player Data'!$A1:$AE734,8,FALSE)*$Q349*IFERROR((VLOOKUP(P349,Settings!$E$28:$F$33,2,FALSE)+1),1)</f>
        <v>15.893916892551852</v>
      </c>
      <c r="U349" s="41">
        <f>SUM(S349:T349)</f>
        <v>18.425160897813434</v>
      </c>
      <c r="V349" s="41">
        <f>VLOOKUP(B349,'Player Data'!$A1:$AE734,10,FALSE)*$Q349*IFERROR(((VLOOKUP(P349,Settings!$E$28:$F$33,2,FALSE)/2)+1),1)</f>
        <v>92.19643005720043</v>
      </c>
      <c r="W349" s="41">
        <f>VLOOKUP(B349,'Player Data'!$A1:$AE734,11,FALSE)*$Q349*IFERROR((VLOOKUP(P349,Settings!$E$28:$F$33,2,FALSE)+1),1)</f>
        <v>1.9451455902354156E-2</v>
      </c>
      <c r="X349" s="41">
        <f>VLOOKUP(B349,'Player Data'!$A1:$AE734,12,FALSE)*$Q349*IFERROR((VLOOKUP(P349,Settings!$E$28:$F$33,2,FALSE)+1),1)</f>
        <v>0.14581492512745231</v>
      </c>
      <c r="Y349" s="41">
        <f>VLOOKUP(B349,'Player Data'!$A1:$AE734,13,FALSE)*$Q349</f>
        <v>2.0278660277366266E-2</v>
      </c>
      <c r="Z349" s="41">
        <f>VLOOKUP(B349,'Player Data'!$A1:$AE734,14,FALSE)*$Q349</f>
        <v>1.0089679394958504</v>
      </c>
      <c r="AA349" s="41">
        <f>VLOOKUP(B349,'Player Data'!$A1:$AE734,15,FALSE)*$Q349</f>
        <v>180.40136298435371</v>
      </c>
      <c r="AB349" s="41">
        <f>VLOOKUP(B349,'Player Data'!$A1:$AE734,16,FALSE)*$Q349</f>
        <v>175.68230855341787</v>
      </c>
      <c r="AC349" s="41">
        <f>VLOOKUP(B349,'Player Data'!$A1:$AE734,17,FALSE)*$Q349*IFERROR((VLOOKUP(P349,Settings!$E$28:$F$33,2,FALSE)+1),1)</f>
        <v>5.2586332120116106</v>
      </c>
      <c r="AD349" s="41">
        <f>VLOOKUP(B349,'Player Data'!$A1:$AE734,18,FALSE)*$Q349</f>
        <v>40.961436076851456</v>
      </c>
      <c r="AE349" s="41">
        <f>VLOOKUP(B349,'Player Data'!$A1:$AE734,19,FALSE)*$Q349*IFERROR((VLOOKUP(P349,Settings!$E$28:$F$33,2,FALSE)+1),1)</f>
        <v>0.41367433483965177</v>
      </c>
      <c r="AF349" s="41">
        <f>VLOOKUP(B349,'Player Data'!$A1:$AE734,20,FALSE)*$Q349</f>
        <v>0</v>
      </c>
      <c r="AG349" s="41">
        <f>VLOOKUP(B349,'Player Data'!$A1:$AE734,21,FALSE)*$Q349</f>
        <v>0</v>
      </c>
      <c r="AH349" s="42">
        <f>VLOOKUP(B349,'Player Data'!$A1:$AE734,22,FALSE)</f>
        <v>0</v>
      </c>
      <c r="AI349" s="39"/>
      <c r="AJ349" s="43"/>
      <c r="AK349" s="41"/>
      <c r="AL349" s="41"/>
      <c r="AM349" s="41"/>
      <c r="AN349" s="41"/>
      <c r="AO349" s="41"/>
      <c r="AP349" s="41"/>
      <c r="AQ349" s="44"/>
      <c r="AR349" s="45"/>
      <c r="AS349" s="39"/>
    </row>
    <row r="350" spans="1:45" ht="21.25" customHeight="1" x14ac:dyDescent="0.15">
      <c r="A350" s="31">
        <f>RANK(K350,K$2:K$727)</f>
        <v>349</v>
      </c>
      <c r="B350" s="8" t="s">
        <v>454</v>
      </c>
      <c r="C350" s="32" t="s">
        <v>106</v>
      </c>
      <c r="D350" s="33" t="str">
        <f>VLOOKUP(B350,'Player Data'!A1:D734,4,FALSE)</f>
        <v>LW</v>
      </c>
      <c r="E350" s="47">
        <f>VLOOKUP(B350,LW!A1:C130,3,FALSE)</f>
        <v>71</v>
      </c>
      <c r="F350" s="35" t="str">
        <f>VLOOKUP(B350,'Player Data'!A1:B734,2,FALSE)</f>
        <v>SJS</v>
      </c>
      <c r="G350" s="9">
        <f>VLOOKUP(B350,'Player Data'!A1:D734,3,FALSE)</f>
        <v>33</v>
      </c>
      <c r="H350" s="36">
        <f>IFERROR(VLOOKUP(B350,ADP!A1:G728,7,FALSE)/1000000,VLOOKUP(B350,ADP!A1:G728,7,FALSE))</f>
        <v>4.5</v>
      </c>
      <c r="I350" s="37">
        <f>IF(Settings!$E$15="POINTS",((R350*Q350)*Settings!$B$12)+(S350*Settings!$B$2)+(T350*Settings!$B$3)+(U350*Settings!$B$4)+(V350*Settings!$B$5)+(X350*Settings!$B$9)+(AA350*Settings!$B$6)+(W350*Settings!$B$8)+(AB350*Settings!$B$7)+(AC350*Settings!$B$14)+(AD350*Settings!$B$15)+(AE350*Settings!$B$16)+(AF350*Settings!$B$17)+(AG350*Settings!$B$18)+(Y350*Settings!$B$10)+(Z350*Settings!$B$11),VLOOKUP(B350,'Standard Deviations'!A1:C728,3,FALSE))</f>
        <v>191.93624483986576</v>
      </c>
      <c r="J350" s="38">
        <f>IF(D350="G",I350/AJ350,I350/Q350)</f>
        <v>2.5017991637026649</v>
      </c>
      <c r="K350" s="37">
        <f>IF(Settings!$E$18="C/LW/RW",VLOOKUP(B350,LW!A1:F130,6,FALSE),VLOOKUP(B350,F!A1:F430,6,FALSE))</f>
        <v>-172.1043600177847</v>
      </c>
      <c r="L350" s="37">
        <f>IFERROR(K350/H350,"N/A")</f>
        <v>-38.245413337285491</v>
      </c>
      <c r="M350" s="53" t="str">
        <f>IF(Settings!$E$9="YAHOO",VLOOKUP(B350,ADP!A1:E728,2,FALSE),IF(Settings!$E$9="ESPN",VLOOKUP(B350,ADP!A1:E728,3,FALSE),IF(Settings!$E$9="FANTRAX",VLOOKUP(B350,ADP!A1:E728,4,FALSE),VLOOKUP(B350,ADP!A1:E728,5,FALSE))))</f>
        <v>-</v>
      </c>
      <c r="N350" s="53" t="str">
        <f>IFERROR(M350-A350,"N/A")</f>
        <v>N/A</v>
      </c>
      <c r="O350" s="39"/>
      <c r="P350" s="40" t="str">
        <f>IF(Settings!$E$27="ON",VLOOKUP(B350,ADP!A1:H728,8,FALSE)," ")</f>
        <v xml:space="preserve"> </v>
      </c>
      <c r="Q350" s="41">
        <f>IF(Settings!$E$12="YES",VLOOKUP(B350,'Player Data'!A1:E734,5,FALSE),82)</f>
        <v>76.719285714285704</v>
      </c>
      <c r="R350" s="39">
        <f>VLOOKUP(B350,'Player Data'!$A1:$AE734,6,FALSE)</f>
        <v>14.6197749865649</v>
      </c>
      <c r="S350" s="41">
        <f>VLOOKUP(B350,'Player Data'!$A1:$AE734,7,FALSE)*$Q350*IFERROR((VLOOKUP(P350,Settings!$E$28:$F$33,2,FALSE)+1),1)</f>
        <v>14.161921970898041</v>
      </c>
      <c r="T350" s="41">
        <f>VLOOKUP(B350,'Player Data'!$A1:$AE734,8,FALSE)*$Q350*IFERROR((VLOOKUP(P350,Settings!$E$28:$F$33,2,FALSE)+1),1)</f>
        <v>18.243160585579602</v>
      </c>
      <c r="U350" s="41">
        <f>SUM(S350:T350)</f>
        <v>32.405082556477645</v>
      </c>
      <c r="V350" s="41">
        <f>VLOOKUP(B350,'Player Data'!$A1:$AE734,10,FALSE)*$Q350*IFERROR(((VLOOKUP(P350,Settings!$E$28:$F$33,2,FALSE)/2)+1),1)</f>
        <v>148.36631457943761</v>
      </c>
      <c r="W350" s="41">
        <f>VLOOKUP(B350,'Player Data'!$A1:$AE734,11,FALSE)*$Q350*IFERROR((VLOOKUP(P350,Settings!$E$28:$F$33,2,FALSE)+1),1)</f>
        <v>1.935349716753709</v>
      </c>
      <c r="X350" s="41">
        <f>VLOOKUP(B350,'Player Data'!$A1:$AE734,12,FALSE)*$Q350*IFERROR((VLOOKUP(P350,Settings!$E$28:$F$33,2,FALSE)+1),1)</f>
        <v>7.4194555207179818</v>
      </c>
      <c r="Y350" s="41">
        <f>VLOOKUP(B350,'Player Data'!$A1:$AE734,13,FALSE)*$Q350</f>
        <v>9.7696887378338881E-3</v>
      </c>
      <c r="Z350" s="41">
        <f>VLOOKUP(B350,'Player Data'!$A1:$AE734,14,FALSE)*$Q350</f>
        <v>1.8106458690766922E-2</v>
      </c>
      <c r="AA350" s="41">
        <f>VLOOKUP(B350,'Player Data'!$A1:$AE734,15,FALSE)*$Q350</f>
        <v>28.313579609482758</v>
      </c>
      <c r="AB350" s="41">
        <f>VLOOKUP(B350,'Player Data'!$A1:$AE734,16,FALSE)*$Q350</f>
        <v>35.98072789348381</v>
      </c>
      <c r="AC350" s="41">
        <f>VLOOKUP(B350,'Player Data'!$A1:$AE734,17,FALSE)*$Q350*IFERROR((VLOOKUP(P350,Settings!$E$28:$F$33,2,FALSE)+1),1)</f>
        <v>-0.71517842977305202</v>
      </c>
      <c r="AD350" s="41">
        <f>VLOOKUP(B350,'Player Data'!$A1:$AE734,18,FALSE)*$Q350</f>
        <v>28.131359257017163</v>
      </c>
      <c r="AE350" s="41">
        <f>VLOOKUP(B350,'Player Data'!$A1:$AE734,19,FALSE)*$Q350*IFERROR((VLOOKUP(P350,Settings!$E$28:$F$33,2,FALSE)+1),1)</f>
        <v>1.7195652584400574</v>
      </c>
      <c r="AF350" s="41">
        <f>VLOOKUP(B350,'Player Data'!$A1:$AE734,20,FALSE)*$Q350</f>
        <v>15.812206924455404</v>
      </c>
      <c r="AG350" s="41">
        <f>VLOOKUP(B350,'Player Data'!$A1:$AE734,21,FALSE)*$Q350</f>
        <v>10.528698837251122</v>
      </c>
      <c r="AH350" s="42">
        <f>VLOOKUP(B350,'Player Data'!$A1:$AE734,22,FALSE)</f>
        <v>0.60029093408938905</v>
      </c>
      <c r="AI350" s="39"/>
      <c r="AJ350" s="43"/>
      <c r="AK350" s="41"/>
      <c r="AL350" s="41"/>
      <c r="AM350" s="41"/>
      <c r="AN350" s="41"/>
      <c r="AO350" s="41"/>
      <c r="AP350" s="41"/>
      <c r="AQ350" s="44"/>
      <c r="AR350" s="45"/>
      <c r="AS350" s="39"/>
    </row>
    <row r="351" spans="1:45" ht="21.25" customHeight="1" x14ac:dyDescent="0.15">
      <c r="A351" s="31">
        <f>RANK(K351,K$2:K$727)</f>
        <v>350</v>
      </c>
      <c r="B351" s="8" t="s">
        <v>455</v>
      </c>
      <c r="C351" s="32" t="s">
        <v>106</v>
      </c>
      <c r="D351" s="33" t="str">
        <f>VLOOKUP(B351,'Player Data'!A1:D734,4,FALSE)</f>
        <v>C</v>
      </c>
      <c r="E351" s="34">
        <f>VLOOKUP(B351,'C'!A1:C211,3,FALSE)</f>
        <v>88</v>
      </c>
      <c r="F351" s="35" t="str">
        <f>VLOOKUP(B351,'Player Data'!A1:B734,2,FALSE)</f>
        <v>SEA</v>
      </c>
      <c r="G351" s="9">
        <f>VLOOKUP(B351,'Player Data'!A1:D734,3,FALSE)</f>
        <v>31</v>
      </c>
      <c r="H351" s="36">
        <f>IFERROR(VLOOKUP(B351,ADP!A1:G728,7,FALSE)/1000000,VLOOKUP(B351,ADP!A1:G728,7,FALSE))</f>
        <v>5.1665999999999999</v>
      </c>
      <c r="I351" s="37">
        <f>IF(Settings!$E$15="POINTS",((R351*Q351)*Settings!$B$12)+(S351*Settings!$B$2)+(T351*Settings!$B$3)+(U351*Settings!$B$4)+(V351*Settings!$B$5)+(X351*Settings!$B$9)+(AA351*Settings!$B$6)+(W351*Settings!$B$8)+(AB351*Settings!$B$7)+(AC351*Settings!$B$14)+(AD351*Settings!$B$15)+(AE351*Settings!$B$16)+(AF351*Settings!$B$17)+(AG351*Settings!$B$18)+(Y351*Settings!$B$10)+(Z351*Settings!$B$11),VLOOKUP(B351,'Standard Deviations'!A1:C728,3,FALSE))</f>
        <v>221.05610289322669</v>
      </c>
      <c r="J351" s="38">
        <f>IF(D351="G",I351/AJ351,I351/Q351)</f>
        <v>2.7374521270948478</v>
      </c>
      <c r="K351" s="37">
        <f>IF(Settings!$E$18="C/LW/RW",VLOOKUP(B351,'C'!A1:F211,6,FALSE),VLOOKUP(B351,F!A1:F430,6,FALSE))</f>
        <v>-172.27270287298296</v>
      </c>
      <c r="L351" s="37">
        <f>IFERROR(K351/H351,"N/A")</f>
        <v>-33.343534021016332</v>
      </c>
      <c r="M351" s="39">
        <f>IF(Settings!$E$9="YAHOO",VLOOKUP(B351,ADP!A1:E728,2,FALSE),IF(Settings!$E$9="ESPN",VLOOKUP(B351,ADP!A1:E728,3,FALSE),IF(Settings!$E$9="FANTRAX",VLOOKUP(B351,ADP!A1:E728,4,FALSE),VLOOKUP(B351,ADP!A1:E728,5,FALSE))))</f>
        <v>165.8</v>
      </c>
      <c r="N351" s="39">
        <f>IFERROR(M351-A351,"N/A")</f>
        <v>-184.2</v>
      </c>
      <c r="O351" s="39"/>
      <c r="P351" s="40" t="str">
        <f>IF(Settings!$E$27="ON",VLOOKUP(B351,ADP!A1:H728,8,FALSE)," ")</f>
        <v xml:space="preserve"> </v>
      </c>
      <c r="Q351" s="41">
        <f>IF(Settings!$E$12="YES",VLOOKUP(B351,'Player Data'!A1:E734,5,FALSE),82)</f>
        <v>80.752499999999998</v>
      </c>
      <c r="R351" s="39">
        <f>VLOOKUP(B351,'Player Data'!$A1:$AE734,6,FALSE)</f>
        <v>17.279618968072398</v>
      </c>
      <c r="S351" s="41">
        <f>VLOOKUP(B351,'Player Data'!$A1:$AE734,7,FALSE)*$Q351*IFERROR((VLOOKUP(P351,Settings!$E$28:$F$33,2,FALSE)+1),1)</f>
        <v>15.769685237200548</v>
      </c>
      <c r="T351" s="41">
        <f>VLOOKUP(B351,'Player Data'!$A1:$AE734,8,FALSE)*$Q351*IFERROR((VLOOKUP(P351,Settings!$E$28:$F$33,2,FALSE)+1),1)</f>
        <v>28.458497581520216</v>
      </c>
      <c r="U351" s="41">
        <f>SUM(S351:T351)</f>
        <v>44.228182818720768</v>
      </c>
      <c r="V351" s="41">
        <f>VLOOKUP(B351,'Player Data'!$A1:$AE734,10,FALSE)*$Q351*IFERROR(((VLOOKUP(P351,Settings!$E$28:$F$33,2,FALSE)/2)+1),1)</f>
        <v>140.80482902784209</v>
      </c>
      <c r="W351" s="41">
        <f>VLOOKUP(B351,'Player Data'!$A1:$AE734,11,FALSE)*$Q351*IFERROR((VLOOKUP(P351,Settings!$E$28:$F$33,2,FALSE)+1),1)</f>
        <v>0.94077553526475799</v>
      </c>
      <c r="X351" s="41">
        <f>VLOOKUP(B351,'Player Data'!$A1:$AE734,12,FALSE)*$Q351*IFERROR((VLOOKUP(P351,Settings!$E$28:$F$33,2,FALSE)+1),1)</f>
        <v>1.9993844783355907</v>
      </c>
      <c r="Y351" s="41">
        <f>VLOOKUP(B351,'Player Data'!$A1:$AE734,13,FALSE)*$Q351</f>
        <v>1.0093431735953684</v>
      </c>
      <c r="Z351" s="41">
        <f>VLOOKUP(B351,'Player Data'!$A1:$AE734,14,FALSE)*$Q351</f>
        <v>2.1749548645719416</v>
      </c>
      <c r="AA351" s="41">
        <f>VLOOKUP(B351,'Player Data'!$A1:$AE734,15,FALSE)*$Q351</f>
        <v>48.102306186641485</v>
      </c>
      <c r="AB351" s="41">
        <f>VLOOKUP(B351,'Player Data'!$A1:$AE734,16,FALSE)*$Q351</f>
        <v>105.45709847996207</v>
      </c>
      <c r="AC351" s="41">
        <f>VLOOKUP(B351,'Player Data'!$A1:$AE734,17,FALSE)*$Q351*IFERROR((VLOOKUP(P351,Settings!$E$28:$F$33,2,FALSE)+1),1)</f>
        <v>0.8580238441738246</v>
      </c>
      <c r="AD351" s="41">
        <f>VLOOKUP(B351,'Player Data'!$A1:$AE734,18,FALSE)*$Q351</f>
        <v>52.935207200218628</v>
      </c>
      <c r="AE351" s="41">
        <f>VLOOKUP(B351,'Player Data'!$A1:$AE734,19,FALSE)*$Q351*IFERROR((VLOOKUP(P351,Settings!$E$28:$F$33,2,FALSE)+1),1)</f>
        <v>2.2166023507894534</v>
      </c>
      <c r="AF351" s="41">
        <f>VLOOKUP(B351,'Player Data'!$A1:$AE734,20,FALSE)*$Q351</f>
        <v>476.37938822362855</v>
      </c>
      <c r="AG351" s="41">
        <f>VLOOKUP(B351,'Player Data'!$A1:$AE734,21,FALSE)*$Q351</f>
        <v>487.66675423691038</v>
      </c>
      <c r="AH351" s="42">
        <f>VLOOKUP(B351,'Player Data'!$A1:$AE734,22,FALSE)</f>
        <v>0.49414583726019901</v>
      </c>
      <c r="AI351" s="39"/>
      <c r="AJ351" s="43"/>
      <c r="AK351" s="41"/>
      <c r="AL351" s="41"/>
      <c r="AM351" s="41"/>
      <c r="AN351" s="41"/>
      <c r="AO351" s="41"/>
      <c r="AP351" s="41"/>
      <c r="AQ351" s="44"/>
      <c r="AR351" s="45"/>
      <c r="AS351" s="39"/>
    </row>
    <row r="352" spans="1:45" ht="21.25" customHeight="1" x14ac:dyDescent="0.15">
      <c r="A352" s="31">
        <f>RANK(K352,K$2:K$727)</f>
        <v>351</v>
      </c>
      <c r="B352" s="8" t="s">
        <v>456</v>
      </c>
      <c r="C352" s="32" t="s">
        <v>106</v>
      </c>
      <c r="D352" s="33" t="str">
        <f>VLOOKUP(B352,'Player Data'!A1:D734,4,FALSE)</f>
        <v>C</v>
      </c>
      <c r="E352" s="34">
        <f>VLOOKUP(B352,'C'!A1:C211,3,FALSE)</f>
        <v>89</v>
      </c>
      <c r="F352" s="35" t="str">
        <f>VLOOKUP(B352,'Player Data'!A1:B734,2,FALSE)</f>
        <v>TOR</v>
      </c>
      <c r="G352" s="9">
        <f>VLOOKUP(B352,'Player Data'!A1:D734,3,FALSE)</f>
        <v>28</v>
      </c>
      <c r="H352" s="36">
        <f>IFERROR(VLOOKUP(B352,ADP!A1:G728,7,FALSE)/1000000,VLOOKUP(B352,ADP!A1:G728,7,FALSE))</f>
        <v>2.5</v>
      </c>
      <c r="I352" s="37">
        <f>IF(Settings!$E$15="POINTS",((R352*Q352)*Settings!$B$12)+(S352*Settings!$B$2)+(T352*Settings!$B$3)+(U352*Settings!$B$4)+(V352*Settings!$B$5)+(X352*Settings!$B$9)+(AA352*Settings!$B$6)+(W352*Settings!$B$8)+(AB352*Settings!$B$7)+(AC352*Settings!$B$14)+(AD352*Settings!$B$15)+(AE352*Settings!$B$16)+(AF352*Settings!$B$17)+(AG352*Settings!$B$18)+(Y352*Settings!$B$10)+(Z352*Settings!$B$11),VLOOKUP(B352,'Standard Deviations'!A1:C728,3,FALSE))</f>
        <v>220.63192577782368</v>
      </c>
      <c r="J352" s="38">
        <f>IF(D352="G",I352/AJ352,I352/Q352)</f>
        <v>2.7576528532180431</v>
      </c>
      <c r="K352" s="37">
        <f>IF(Settings!$E$18="C/LW/RW",VLOOKUP(B352,'C'!A1:F211,6,FALSE),VLOOKUP(B352,F!A1:F430,6,FALSE))</f>
        <v>-172.69687998838597</v>
      </c>
      <c r="L352" s="37">
        <f>IFERROR(K352/H352,"N/A")</f>
        <v>-69.078751995354395</v>
      </c>
      <c r="M352" s="39">
        <f>IF(Settings!$E$9="YAHOO",VLOOKUP(B352,ADP!A1:E728,2,FALSE),IF(Settings!$E$9="ESPN",VLOOKUP(B352,ADP!A1:E728,3,FALSE),IF(Settings!$E$9="FANTRAX",VLOOKUP(B352,ADP!A1:E728,4,FALSE),VLOOKUP(B352,ADP!A1:E728,5,FALSE))))</f>
        <v>151</v>
      </c>
      <c r="N352" s="39">
        <f>IFERROR(M352-A352,"N/A")</f>
        <v>-200</v>
      </c>
      <c r="O352" s="39"/>
      <c r="P352" s="40" t="str">
        <f>IF(Settings!$E$27="ON",VLOOKUP(B352,ADP!A1:H728,8,FALSE)," ")</f>
        <v xml:space="preserve"> </v>
      </c>
      <c r="Q352" s="41">
        <f>IF(Settings!$E$12="YES",VLOOKUP(B352,'Player Data'!A1:E734,5,FALSE),82)</f>
        <v>80.007142857142895</v>
      </c>
      <c r="R352" s="39">
        <f>VLOOKUP(B352,'Player Data'!$A1:$AE734,6,FALSE)</f>
        <v>14.800279072387299</v>
      </c>
      <c r="S352" s="41">
        <f>VLOOKUP(B352,'Player Data'!$A1:$AE734,7,FALSE)*$Q352*IFERROR((VLOOKUP(P352,Settings!$E$28:$F$33,2,FALSE)+1),1)</f>
        <v>14.829259230022256</v>
      </c>
      <c r="T352" s="41">
        <f>VLOOKUP(B352,'Player Data'!$A1:$AE734,8,FALSE)*$Q352*IFERROR((VLOOKUP(P352,Settings!$E$28:$F$33,2,FALSE)+1),1)</f>
        <v>28.53753313749851</v>
      </c>
      <c r="U352" s="41">
        <f>SUM(S352:T352)</f>
        <v>43.366792367520766</v>
      </c>
      <c r="V352" s="41">
        <f>VLOOKUP(B352,'Player Data'!$A1:$AE734,10,FALSE)*$Q352*IFERROR(((VLOOKUP(P352,Settings!$E$28:$F$33,2,FALSE)/2)+1),1)</f>
        <v>140.14369272966766</v>
      </c>
      <c r="W352" s="41">
        <f>VLOOKUP(B352,'Player Data'!$A1:$AE734,11,FALSE)*$Q352*IFERROR((VLOOKUP(P352,Settings!$E$28:$F$33,2,FALSE)+1),1)</f>
        <v>3.0530080402518234</v>
      </c>
      <c r="X352" s="41">
        <f>VLOOKUP(B352,'Player Data'!$A1:$AE734,12,FALSE)*$Q352*IFERROR((VLOOKUP(P352,Settings!$E$28:$F$33,2,FALSE)+1),1)</f>
        <v>8.1225672685134196</v>
      </c>
      <c r="Y352" s="41">
        <f>VLOOKUP(B352,'Player Data'!$A1:$AE734,13,FALSE)*$Q352</f>
        <v>1.3078965001746984E-2</v>
      </c>
      <c r="Z352" s="41">
        <f>VLOOKUP(B352,'Player Data'!$A1:$AE734,14,FALSE)*$Q352</f>
        <v>2.4151479283431646E-2</v>
      </c>
      <c r="AA352" s="41">
        <f>VLOOKUP(B352,'Player Data'!$A1:$AE734,15,FALSE)*$Q352</f>
        <v>20.831324074169235</v>
      </c>
      <c r="AB352" s="41">
        <f>VLOOKUP(B352,'Player Data'!$A1:$AE734,16,FALSE)*$Q352</f>
        <v>29.647801029358888</v>
      </c>
      <c r="AC352" s="41">
        <f>VLOOKUP(B352,'Player Data'!$A1:$AE734,17,FALSE)*$Q352*IFERROR((VLOOKUP(P352,Settings!$E$28:$F$33,2,FALSE)+1),1)</f>
        <v>3.6030658345711242</v>
      </c>
      <c r="AD352" s="41">
        <f>VLOOKUP(B352,'Player Data'!$A1:$AE734,18,FALSE)*$Q352</f>
        <v>47.651557500209833</v>
      </c>
      <c r="AE352" s="41">
        <f>VLOOKUP(B352,'Player Data'!$A1:$AE734,19,FALSE)*$Q352*IFERROR((VLOOKUP(P352,Settings!$E$28:$F$33,2,FALSE)+1),1)</f>
        <v>2.3823165537457149</v>
      </c>
      <c r="AF352" s="41">
        <f>VLOOKUP(B352,'Player Data'!$A1:$AE734,20,FALSE)*$Q352</f>
        <v>349.66047620605508</v>
      </c>
      <c r="AG352" s="41">
        <f>VLOOKUP(B352,'Player Data'!$A1:$AE734,21,FALSE)*$Q352</f>
        <v>346.62115343136372</v>
      </c>
      <c r="AH352" s="42">
        <f>VLOOKUP(B352,'Player Data'!$A1:$AE734,22,FALSE)</f>
        <v>0.50218253839058902</v>
      </c>
      <c r="AI352" s="39"/>
      <c r="AJ352" s="43"/>
      <c r="AK352" s="41"/>
      <c r="AL352" s="41"/>
      <c r="AM352" s="41"/>
      <c r="AN352" s="41"/>
      <c r="AO352" s="41"/>
      <c r="AP352" s="41"/>
      <c r="AQ352" s="44"/>
      <c r="AR352" s="45"/>
      <c r="AS352" s="39"/>
    </row>
    <row r="353" spans="1:45" ht="21.25" customHeight="1" x14ac:dyDescent="0.15">
      <c r="A353" s="31">
        <f>RANK(K353,K$2:K$727)</f>
        <v>352</v>
      </c>
      <c r="B353" s="8" t="s">
        <v>457</v>
      </c>
      <c r="C353" s="32" t="s">
        <v>106</v>
      </c>
      <c r="D353" s="33" t="str">
        <f>VLOOKUP(B353,'Player Data'!A1:D734,4,FALSE)</f>
        <v>D</v>
      </c>
      <c r="E353" s="49">
        <f>VLOOKUP(B353,D!A1:C227,3,FALSE)</f>
        <v>107</v>
      </c>
      <c r="F353" s="35" t="str">
        <f>VLOOKUP(B353,'Player Data'!A1:B734,2,FALSE)</f>
        <v>CBJ</v>
      </c>
      <c r="G353" s="9">
        <f>VLOOKUP(B353,'Player Data'!A1:D734,3,FALSE)</f>
        <v>19</v>
      </c>
      <c r="H353" s="36">
        <f>IFERROR(VLOOKUP(B353,ADP!A1:G728,7,FALSE)/1000000,VLOOKUP(B353,ADP!A1:G728,7,FALSE))</f>
        <v>0</v>
      </c>
      <c r="I353" s="37">
        <f>IF(Settings!$E$15="POINTS",((R353*Q353)*Settings!$B$12)+(S353*Settings!$B$2)+(T353*Settings!$B$3)+(U353*Settings!$B$4)+(V353*Settings!$B$5)+(X353*Settings!$B$9)+(AA353*Settings!$B$6)+(W353*Settings!$B$8)+(AB353*Settings!$B$7)+(AC353*Settings!$B$14)+(AD353*Settings!$B$15)+(AE353*Settings!$B$16)+(AF353*Settings!$B$17)+(AG353*Settings!$B$18)+(U353*Settings!$B$13)+(Y353*Settings!$B$10)+(Z353*Settings!$B$11),VLOOKUP(B353,'Standard Deviations'!A1:C728,3,FALSE))</f>
        <v>138.83121011357775</v>
      </c>
      <c r="J353" s="38">
        <f>IF(D353="G",I353/AJ353,I353/Q353)</f>
        <v>1.9282112515774688</v>
      </c>
      <c r="K353" s="37">
        <f>VLOOKUP(B353,D!A1:F227,6,FALSE)</f>
        <v>-172.7342715143497</v>
      </c>
      <c r="L353" s="52" t="str">
        <f>IFERROR(K353/H353,"N/A")</f>
        <v>N/A</v>
      </c>
      <c r="M353" s="53" t="str">
        <f>IF(Settings!$E$9="YAHOO",VLOOKUP(B353,ADP!A1:E728,2,FALSE),IF(Settings!$E$9="ESPN",VLOOKUP(B353,ADP!A1:E728,3,FALSE),IF(Settings!$E$9="FANTRAX",VLOOKUP(B353,ADP!A1:E728,4,FALSE),VLOOKUP(B353,ADP!A1:E728,5,FALSE))))</f>
        <v>-</v>
      </c>
      <c r="N353" s="53" t="str">
        <f>IFERROR(M353-A353,"N/A")</f>
        <v>N/A</v>
      </c>
      <c r="O353" s="39"/>
      <c r="P353" s="40" t="str">
        <f>IF(Settings!$E$27="ON",VLOOKUP(B353,ADP!A1:H728,8,FALSE)," ")</f>
        <v xml:space="preserve"> </v>
      </c>
      <c r="Q353" s="41">
        <f>IF(Settings!$E$12="YES",VLOOKUP(B353,'Player Data'!A1:E734,5,FALSE),82)</f>
        <v>72</v>
      </c>
      <c r="R353" s="39">
        <f>VLOOKUP(B353,'Player Data'!$A1:$AE734,6,FALSE)</f>
        <v>16</v>
      </c>
      <c r="S353" s="41">
        <f>VLOOKUP(B353,'Player Data'!$A1:$AE734,7,FALSE)*$Q353*IFERROR((VLOOKUP(P353,Settings!$E$28:$F$33,2,FALSE)+1),1)</f>
        <v>4.1881018268906276</v>
      </c>
      <c r="T353" s="41">
        <f>VLOOKUP(B353,'Player Data'!$A1:$AE734,8,FALSE)*$Q353*IFERROR((VLOOKUP(P353,Settings!$E$28:$F$33,2,FALSE)+1),1)</f>
        <v>18.317646352695242</v>
      </c>
      <c r="U353" s="41">
        <f>SUM(S353:T353)</f>
        <v>22.505748179585868</v>
      </c>
      <c r="V353" s="41">
        <f>VLOOKUP(B353,'Player Data'!$A1:$AE734,10,FALSE)*$Q353*IFERROR(((VLOOKUP(P353,Settings!$E$28:$F$33,2,FALSE)/2)+1),1)</f>
        <v>99.453856013522639</v>
      </c>
      <c r="W353" s="41">
        <f>VLOOKUP(B353,'Player Data'!$A1:$AE734,11,FALSE)*$Q353*IFERROR((VLOOKUP(P353,Settings!$E$28:$F$33,2,FALSE)+1),1)</f>
        <v>0.53146609566237291</v>
      </c>
      <c r="X353" s="41">
        <f>VLOOKUP(B353,'Player Data'!$A1:$AE734,12,FALSE)*$Q353*IFERROR((VLOOKUP(P353,Settings!$E$28:$F$33,2,FALSE)+1),1)</f>
        <v>2.8559578084196833</v>
      </c>
      <c r="Y353" s="41">
        <f>VLOOKUP(B353,'Player Data'!$A1:$AE734,13,FALSE)*$Q353</f>
        <v>0</v>
      </c>
      <c r="Z353" s="41">
        <f>VLOOKUP(B353,'Player Data'!$A1:$AE734,14,FALSE)*$Q353</f>
        <v>0</v>
      </c>
      <c r="AA353" s="41">
        <f>VLOOKUP(B353,'Player Data'!$A1:$AE734,15,FALSE)*$Q353</f>
        <v>79.375609756097276</v>
      </c>
      <c r="AB353" s="41">
        <f>VLOOKUP(B353,'Player Data'!$A1:$AE734,16,FALSE)*$Q353</f>
        <v>88.584526956460323</v>
      </c>
      <c r="AC353" s="41">
        <f>VLOOKUP(B353,'Player Data'!$A1:$AE734,17,FALSE)*$Q353*IFERROR((VLOOKUP(P353,Settings!$E$28:$F$33,2,FALSE)+1),1)</f>
        <v>0.14926829268292705</v>
      </c>
      <c r="AD353" s="41">
        <f>VLOOKUP(B353,'Player Data'!$A1:$AE734,18,FALSE)*$Q353</f>
        <v>29.407066292942066</v>
      </c>
      <c r="AE353" s="41">
        <f>VLOOKUP(B353,'Player Data'!$A1:$AE734,19,FALSE)*$Q353*IFERROR((VLOOKUP(P353,Settings!$E$28:$F$33,2,FALSE)+1),1)</f>
        <v>0.44878394661670007</v>
      </c>
      <c r="AF353" s="41">
        <f>VLOOKUP(B353,'Player Data'!$A1:$AE734,20,FALSE)*$Q353</f>
        <v>0</v>
      </c>
      <c r="AG353" s="41">
        <f>VLOOKUP(B353,'Player Data'!$A1:$AE734,21,FALSE)*$Q353</f>
        <v>0</v>
      </c>
      <c r="AH353" s="42">
        <f>VLOOKUP(B353,'Player Data'!$A1:$AE734,22,FALSE)</f>
        <v>0</v>
      </c>
      <c r="AI353" s="39"/>
      <c r="AJ353" s="43"/>
      <c r="AK353" s="41"/>
      <c r="AL353" s="41"/>
      <c r="AM353" s="41"/>
      <c r="AN353" s="41"/>
      <c r="AO353" s="41"/>
      <c r="AP353" s="41"/>
      <c r="AQ353" s="44"/>
      <c r="AR353" s="45"/>
      <c r="AS353" s="39"/>
    </row>
    <row r="354" spans="1:45" ht="21.25" customHeight="1" x14ac:dyDescent="0.15">
      <c r="A354" s="31">
        <f>RANK(K354,K$2:K$727)</f>
        <v>353</v>
      </c>
      <c r="B354" s="8" t="s">
        <v>458</v>
      </c>
      <c r="C354" s="32" t="s">
        <v>106</v>
      </c>
      <c r="D354" s="33" t="str">
        <f>VLOOKUP(B354,'Player Data'!A1:D734,4,FALSE)</f>
        <v>LW</v>
      </c>
      <c r="E354" s="47">
        <f>VLOOKUP(B354,LW!A1:C130,3,FALSE)</f>
        <v>72</v>
      </c>
      <c r="F354" s="35" t="str">
        <f>VLOOKUP(B354,'Player Data'!A1:B734,2,FALSE)</f>
        <v>NYI</v>
      </c>
      <c r="G354" s="9">
        <f>VLOOKUP(B354,'Player Data'!A1:D734,3,FALSE)</f>
        <v>27</v>
      </c>
      <c r="H354" s="36">
        <f>IFERROR(VLOOKUP(B354,ADP!A1:G728,7,FALSE)/1000000,VLOOKUP(B354,ADP!A1:G728,7,FALSE))</f>
        <v>3</v>
      </c>
      <c r="I354" s="37">
        <f>IF(Settings!$E$15="POINTS",((R354*Q354)*Settings!$B$12)+(S354*Settings!$B$2)+(T354*Settings!$B$3)+(U354*Settings!$B$4)+(V354*Settings!$B$5)+(X354*Settings!$B$9)+(AA354*Settings!$B$6)+(W354*Settings!$B$8)+(AB354*Settings!$B$7)+(AC354*Settings!$B$14)+(AD354*Settings!$B$15)+(AE354*Settings!$B$16)+(AF354*Settings!$B$17)+(AG354*Settings!$B$18)+(Y354*Settings!$B$10)+(Z354*Settings!$B$11),VLOOKUP(B354,'Standard Deviations'!A1:C728,3,FALSE))</f>
        <v>191.14290363771153</v>
      </c>
      <c r="J354" s="38">
        <f>IF(D354="G",I354/AJ354,I354/Q354)</f>
        <v>2.4391361403395844</v>
      </c>
      <c r="K354" s="37">
        <f>IF(Settings!$E$18="C/LW/RW",VLOOKUP(B354,LW!A1:F130,6,FALSE),VLOOKUP(B354,F!A1:F430,6,FALSE))</f>
        <v>-172.89770121993894</v>
      </c>
      <c r="L354" s="37">
        <f>IFERROR(K354/H354,"N/A")</f>
        <v>-57.632567073312977</v>
      </c>
      <c r="M354" s="53" t="str">
        <f>IF(Settings!$E$9="YAHOO",VLOOKUP(B354,ADP!A1:E728,2,FALSE),IF(Settings!$E$9="ESPN",VLOOKUP(B354,ADP!A1:E728,3,FALSE),IF(Settings!$E$9="FANTRAX",VLOOKUP(B354,ADP!A1:E728,4,FALSE),VLOOKUP(B354,ADP!A1:E728,5,FALSE))))</f>
        <v>-</v>
      </c>
      <c r="N354" s="53" t="str">
        <f>IFERROR(M354-A354,"N/A")</f>
        <v>N/A</v>
      </c>
      <c r="O354" s="39"/>
      <c r="P354" s="40" t="str">
        <f>IF(Settings!$E$27="ON",VLOOKUP(B354,ADP!A1:H728,8,FALSE)," ")</f>
        <v xml:space="preserve"> </v>
      </c>
      <c r="Q354" s="41">
        <f>IF(Settings!$E$12="YES",VLOOKUP(B354,'Player Data'!A1:E734,5,FALSE),82)</f>
        <v>78.364999999999995</v>
      </c>
      <c r="R354" s="39">
        <f>VLOOKUP(B354,'Player Data'!$A1:$AE734,6,FALSE)</f>
        <v>14.714846547559301</v>
      </c>
      <c r="S354" s="41">
        <f>VLOOKUP(B354,'Player Data'!$A1:$AE734,7,FALSE)*$Q354*IFERROR((VLOOKUP(P354,Settings!$E$28:$F$33,2,FALSE)+1),1)</f>
        <v>17.535436824280115</v>
      </c>
      <c r="T354" s="41">
        <f>VLOOKUP(B354,'Player Data'!$A1:$AE734,8,FALSE)*$Q354*IFERROR((VLOOKUP(P354,Settings!$E$28:$F$33,2,FALSE)+1),1)</f>
        <v>18.078091255549925</v>
      </c>
      <c r="U354" s="41">
        <f>SUM(S354:T354)</f>
        <v>35.61352807983004</v>
      </c>
      <c r="V354" s="41">
        <f>VLOOKUP(B354,'Player Data'!$A1:$AE734,10,FALSE)*$Q354*IFERROR(((VLOOKUP(P354,Settings!$E$28:$F$33,2,FALSE)/2)+1),1)</f>
        <v>150.71485778070357</v>
      </c>
      <c r="W354" s="41">
        <f>VLOOKUP(B354,'Player Data'!$A1:$AE734,11,FALSE)*$Q354*IFERROR((VLOOKUP(P354,Settings!$E$28:$F$33,2,FALSE)+1),1)</f>
        <v>0.90678109875321355</v>
      </c>
      <c r="X354" s="41">
        <f>VLOOKUP(B354,'Player Data'!$A1:$AE734,12,FALSE)*$Q354*IFERROR((VLOOKUP(P354,Settings!$E$28:$F$33,2,FALSE)+1),1)</f>
        <v>2.5763918051618404</v>
      </c>
      <c r="Y354" s="41">
        <f>VLOOKUP(B354,'Player Data'!$A1:$AE734,13,FALSE)*$Q354</f>
        <v>0.40983054579542533</v>
      </c>
      <c r="Z354" s="41">
        <f>VLOOKUP(B354,'Player Data'!$A1:$AE734,14,FALSE)*$Q354</f>
        <v>0.64142921496314531</v>
      </c>
      <c r="AA354" s="41">
        <f>VLOOKUP(B354,'Player Data'!$A1:$AE734,15,FALSE)*$Q354</f>
        <v>12.546242338098148</v>
      </c>
      <c r="AB354" s="41">
        <f>VLOOKUP(B354,'Player Data'!$A1:$AE734,16,FALSE)*$Q354</f>
        <v>62.366097360132699</v>
      </c>
      <c r="AC354" s="41">
        <f>VLOOKUP(B354,'Player Data'!$A1:$AE734,17,FALSE)*$Q354*IFERROR((VLOOKUP(P354,Settings!$E$28:$F$33,2,FALSE)+1),1)</f>
        <v>1.830017334948721</v>
      </c>
      <c r="AD354" s="41">
        <f>VLOOKUP(B354,'Player Data'!$A1:$AE734,18,FALSE)*$Q354</f>
        <v>28.924599358367139</v>
      </c>
      <c r="AE354" s="41">
        <f>VLOOKUP(B354,'Player Data'!$A1:$AE734,19,FALSE)*$Q354*IFERROR((VLOOKUP(P354,Settings!$E$28:$F$33,2,FALSE)+1),1)</f>
        <v>2.7096082674013906</v>
      </c>
      <c r="AF354" s="41">
        <f>VLOOKUP(B354,'Player Data'!$A1:$AE734,20,FALSE)*$Q354</f>
        <v>50.528545583809922</v>
      </c>
      <c r="AG354" s="41">
        <f>VLOOKUP(B354,'Player Data'!$A1:$AE734,21,FALSE)*$Q354</f>
        <v>57.725401879445492</v>
      </c>
      <c r="AH354" s="42">
        <f>VLOOKUP(B354,'Player Data'!$A1:$AE734,22,FALSE)</f>
        <v>0.46675938169331699</v>
      </c>
      <c r="AI354" s="39"/>
      <c r="AJ354" s="43"/>
      <c r="AK354" s="41"/>
      <c r="AL354" s="41"/>
      <c r="AM354" s="41"/>
      <c r="AN354" s="41"/>
      <c r="AO354" s="41"/>
      <c r="AP354" s="41"/>
      <c r="AQ354" s="44"/>
      <c r="AR354" s="45"/>
      <c r="AS354" s="39"/>
    </row>
    <row r="355" spans="1:45" ht="21.25" customHeight="1" x14ac:dyDescent="0.15">
      <c r="A355" s="31">
        <f>RANK(K355,K$2:K$727)</f>
        <v>354</v>
      </c>
      <c r="B355" s="8" t="s">
        <v>459</v>
      </c>
      <c r="C355" s="32" t="s">
        <v>106</v>
      </c>
      <c r="D355" s="33" t="str">
        <f>VLOOKUP(B355,'Player Data'!A1:D734,4,FALSE)</f>
        <v>D</v>
      </c>
      <c r="E355" s="49">
        <f>VLOOKUP(B355,D!A1:C227,3,FALSE)</f>
        <v>108</v>
      </c>
      <c r="F355" s="35" t="str">
        <f>VLOOKUP(B355,'Player Data'!A1:B734,2,FALSE)</f>
        <v>NJD</v>
      </c>
      <c r="G355" s="9">
        <f>VLOOKUP(B355,'Player Data'!A1:D734,3,FALSE)</f>
        <v>26</v>
      </c>
      <c r="H355" s="36">
        <f>IFERROR(VLOOKUP(B355,ADP!A1:G728,7,FALSE)/1000000,VLOOKUP(B355,ADP!A1:G728,7,FALSE))</f>
        <v>4.4000000000000004</v>
      </c>
      <c r="I355" s="37">
        <f>IF(Settings!$E$15="POINTS",((R355*Q355)*Settings!$B$12)+(S355*Settings!$B$2)+(T355*Settings!$B$3)+(U355*Settings!$B$4)+(V355*Settings!$B$5)+(X355*Settings!$B$9)+(AA355*Settings!$B$6)+(W355*Settings!$B$8)+(AB355*Settings!$B$7)+(AC355*Settings!$B$14)+(AD355*Settings!$B$15)+(AE355*Settings!$B$16)+(AF355*Settings!$B$17)+(AG355*Settings!$B$18)+(U355*Settings!$B$13)+(Y355*Settings!$B$10)+(Z355*Settings!$B$11),VLOOKUP(B355,'Standard Deviations'!A1:C728,3,FALSE))</f>
        <v>137.93862567550397</v>
      </c>
      <c r="J355" s="38">
        <f>IF(D355="G",I355/AJ355,I355/Q355)</f>
        <v>1.7659131002336905</v>
      </c>
      <c r="K355" s="37">
        <f>VLOOKUP(B355,D!A1:F227,6,FALSE)</f>
        <v>-173.62685595242348</v>
      </c>
      <c r="L355" s="37">
        <f>IFERROR(K355/H355,"N/A")</f>
        <v>-39.460649080096246</v>
      </c>
      <c r="M355" s="53" t="str">
        <f>IF(Settings!$E$9="YAHOO",VLOOKUP(B355,ADP!A1:E728,2,FALSE),IF(Settings!$E$9="ESPN",VLOOKUP(B355,ADP!A1:E728,3,FALSE),IF(Settings!$E$9="FANTRAX",VLOOKUP(B355,ADP!A1:E728,4,FALSE),VLOOKUP(B355,ADP!A1:E728,5,FALSE))))</f>
        <v>-</v>
      </c>
      <c r="N355" s="53" t="str">
        <f>IFERROR(M355-A355,"N/A")</f>
        <v>N/A</v>
      </c>
      <c r="O355" s="39"/>
      <c r="P355" s="40" t="str">
        <f>IF(Settings!$E$27="ON",VLOOKUP(B355,ADP!A1:H728,8,FALSE)," ")</f>
        <v xml:space="preserve"> </v>
      </c>
      <c r="Q355" s="41">
        <f>IF(Settings!$E$12="YES",VLOOKUP(B355,'Player Data'!A1:E734,5,FALSE),82)</f>
        <v>78.111785714285702</v>
      </c>
      <c r="R355" s="39">
        <f>VLOOKUP(B355,'Player Data'!$A1:$AE734,6,FALSE)</f>
        <v>21.100371022637201</v>
      </c>
      <c r="S355" s="41">
        <f>VLOOKUP(B355,'Player Data'!$A1:$AE734,7,FALSE)*$Q355*IFERROR((VLOOKUP(P355,Settings!$E$28:$F$33,2,FALSE)+1),1)</f>
        <v>3.5237548571758732</v>
      </c>
      <c r="T355" s="41">
        <f>VLOOKUP(B355,'Player Data'!$A1:$AE734,8,FALSE)*$Q355*IFERROR((VLOOKUP(P355,Settings!$E$28:$F$33,2,FALSE)+1),1)</f>
        <v>19.357114723374913</v>
      </c>
      <c r="U355" s="41">
        <f>SUM(S355:T355)</f>
        <v>22.880869580550787</v>
      </c>
      <c r="V355" s="41">
        <f>VLOOKUP(B355,'Player Data'!$A1:$AE734,10,FALSE)*$Q355*IFERROR(((VLOOKUP(P355,Settings!$E$28:$F$33,2,FALSE)/2)+1),1)</f>
        <v>86.699893896669366</v>
      </c>
      <c r="W355" s="41">
        <f>VLOOKUP(B355,'Player Data'!$A1:$AE734,11,FALSE)*$Q355*IFERROR((VLOOKUP(P355,Settings!$E$28:$F$33,2,FALSE)+1),1)</f>
        <v>0.10328757865876881</v>
      </c>
      <c r="X355" s="41">
        <f>VLOOKUP(B355,'Player Data'!$A1:$AE734,12,FALSE)*$Q355*IFERROR((VLOOKUP(P355,Settings!$E$28:$F$33,2,FALSE)+1),1)</f>
        <v>0.69803051918880166</v>
      </c>
      <c r="Y355" s="41">
        <f>VLOOKUP(B355,'Player Data'!$A1:$AE734,13,FALSE)*$Q355</f>
        <v>3.1139858062901312E-2</v>
      </c>
      <c r="Z355" s="41">
        <f>VLOOKUP(B355,'Player Data'!$A1:$AE734,14,FALSE)*$Q355</f>
        <v>1.7026615594981458</v>
      </c>
      <c r="AA355" s="41">
        <f>VLOOKUP(B355,'Player Data'!$A1:$AE734,15,FALSE)*$Q355</f>
        <v>105.7234291407152</v>
      </c>
      <c r="AB355" s="41">
        <f>VLOOKUP(B355,'Player Data'!$A1:$AE734,16,FALSE)*$Q355</f>
        <v>75.491753536816887</v>
      </c>
      <c r="AC355" s="41">
        <f>VLOOKUP(B355,'Player Data'!$A1:$AE734,17,FALSE)*$Q355*IFERROR((VLOOKUP(P355,Settings!$E$28:$F$33,2,FALSE)+1),1)</f>
        <v>-0.27620454096218888</v>
      </c>
      <c r="AD355" s="41">
        <f>VLOOKUP(B355,'Player Data'!$A1:$AE734,18,FALSE)*$Q355</f>
        <v>24.375486414943857</v>
      </c>
      <c r="AE355" s="41">
        <f>VLOOKUP(B355,'Player Data'!$A1:$AE734,19,FALSE)*$Q355*IFERROR((VLOOKUP(P355,Settings!$E$28:$F$33,2,FALSE)+1),1)</f>
        <v>0.51866360709655368</v>
      </c>
      <c r="AF355" s="41">
        <f>VLOOKUP(B355,'Player Data'!$A1:$AE734,20,FALSE)*$Q355</f>
        <v>0</v>
      </c>
      <c r="AG355" s="41">
        <f>VLOOKUP(B355,'Player Data'!$A1:$AE734,21,FALSE)*$Q355</f>
        <v>0</v>
      </c>
      <c r="AH355" s="42">
        <f>VLOOKUP(B355,'Player Data'!$A1:$AE734,22,FALSE)</f>
        <v>0</v>
      </c>
      <c r="AI355" s="39"/>
      <c r="AJ355" s="43"/>
      <c r="AK355" s="41"/>
      <c r="AL355" s="41"/>
      <c r="AM355" s="41"/>
      <c r="AN355" s="41"/>
      <c r="AO355" s="41"/>
      <c r="AP355" s="41"/>
      <c r="AQ355" s="44"/>
      <c r="AR355" s="45"/>
      <c r="AS355" s="39"/>
    </row>
    <row r="356" spans="1:45" ht="21.25" customHeight="1" x14ac:dyDescent="0.15">
      <c r="A356" s="31">
        <f>RANK(K356,K$2:K$727)</f>
        <v>355</v>
      </c>
      <c r="B356" s="8" t="s">
        <v>460</v>
      </c>
      <c r="C356" s="32" t="s">
        <v>106</v>
      </c>
      <c r="D356" s="33" t="str">
        <f>VLOOKUP(B356,'Player Data'!A1:D734,4,FALSE)</f>
        <v>D</v>
      </c>
      <c r="E356" s="49">
        <f>VLOOKUP(B356,D!A1:C227,3,FALSE)</f>
        <v>109</v>
      </c>
      <c r="F356" s="35" t="str">
        <f>VLOOKUP(B356,'Player Data'!A1:B734,2,FALSE)</f>
        <v>DET</v>
      </c>
      <c r="G356" s="9">
        <f>VLOOKUP(B356,'Player Data'!A1:D734,3,FALSE)</f>
        <v>32</v>
      </c>
      <c r="H356" s="36">
        <f>IFERROR(VLOOKUP(B356,ADP!A1:G728,7,FALSE)/1000000,VLOOKUP(B356,ADP!A1:G728,7,FALSE))</f>
        <v>4.75</v>
      </c>
      <c r="I356" s="37">
        <f>IF(Settings!$E$15="POINTS",((R356*Q356)*Settings!$B$12)+(S356*Settings!$B$2)+(T356*Settings!$B$3)+(U356*Settings!$B$4)+(V356*Settings!$B$5)+(X356*Settings!$B$9)+(AA356*Settings!$B$6)+(W356*Settings!$B$8)+(AB356*Settings!$B$7)+(AC356*Settings!$B$14)+(AD356*Settings!$B$15)+(AE356*Settings!$B$16)+(AF356*Settings!$B$17)+(AG356*Settings!$B$18)+(U356*Settings!$B$13)+(Y356*Settings!$B$10)+(Z356*Settings!$B$11),VLOOKUP(B356,'Standard Deviations'!A1:C728,3,FALSE))</f>
        <v>137.32976872475567</v>
      </c>
      <c r="J356" s="38">
        <f>IF(D356="G",I356/AJ356,I356/Q356)</f>
        <v>1.7681510834926613</v>
      </c>
      <c r="K356" s="37">
        <f>VLOOKUP(B356,D!A1:F227,6,FALSE)</f>
        <v>-174.23571290317179</v>
      </c>
      <c r="L356" s="37">
        <f>IFERROR(K356/H356,"N/A")</f>
        <v>-36.681202716457221</v>
      </c>
      <c r="M356" s="53" t="str">
        <f>IF(Settings!$E$9="YAHOO",VLOOKUP(B356,ADP!A1:E728,2,FALSE),IF(Settings!$E$9="ESPN",VLOOKUP(B356,ADP!A1:E728,3,FALSE),IF(Settings!$E$9="FANTRAX",VLOOKUP(B356,ADP!A1:E728,4,FALSE),VLOOKUP(B356,ADP!A1:E728,5,FALSE))))</f>
        <v>-</v>
      </c>
      <c r="N356" s="53" t="str">
        <f>IFERROR(M356-A356,"N/A")</f>
        <v>N/A</v>
      </c>
      <c r="O356" s="39"/>
      <c r="P356" s="40" t="str">
        <f>IF(Settings!$E$27="ON",VLOOKUP(B356,ADP!A1:H728,8,FALSE)," ")</f>
        <v xml:space="preserve"> </v>
      </c>
      <c r="Q356" s="41">
        <f>IF(Settings!$E$12="YES",VLOOKUP(B356,'Player Data'!A1:E734,5,FALSE),82)</f>
        <v>77.668571428571397</v>
      </c>
      <c r="R356" s="39">
        <f>VLOOKUP(B356,'Player Data'!$A1:$AE734,6,FALSE)</f>
        <v>19.156299634700002</v>
      </c>
      <c r="S356" s="41">
        <f>VLOOKUP(B356,'Player Data'!$A1:$AE734,7,FALSE)*$Q356*IFERROR((VLOOKUP(P356,Settings!$E$28:$F$33,2,FALSE)+1),1)</f>
        <v>4.41843976163325</v>
      </c>
      <c r="T356" s="41">
        <f>VLOOKUP(B356,'Player Data'!$A1:$AE734,8,FALSE)*$Q356*IFERROR((VLOOKUP(P356,Settings!$E$28:$F$33,2,FALSE)+1),1)</f>
        <v>13.354336204662603</v>
      </c>
      <c r="U356" s="41">
        <f>SUM(S356:T356)</f>
        <v>17.772775966295853</v>
      </c>
      <c r="V356" s="41">
        <f>VLOOKUP(B356,'Player Data'!$A1:$AE734,10,FALSE)*$Q356*IFERROR(((VLOOKUP(P356,Settings!$E$28:$F$33,2,FALSE)/2)+1),1)</f>
        <v>111.32654312020684</v>
      </c>
      <c r="W356" s="41">
        <f>VLOOKUP(B356,'Player Data'!$A1:$AE734,11,FALSE)*$Q356*IFERROR((VLOOKUP(P356,Settings!$E$28:$F$33,2,FALSE)+1),1)</f>
        <v>0.12303128539876147</v>
      </c>
      <c r="X356" s="41">
        <f>VLOOKUP(B356,'Player Data'!$A1:$AE734,12,FALSE)*$Q356*IFERROR((VLOOKUP(P356,Settings!$E$28:$F$33,2,FALSE)+1),1)</f>
        <v>0.26834218419450723</v>
      </c>
      <c r="Y356" s="41">
        <f>VLOOKUP(B356,'Player Data'!$A1:$AE734,13,FALSE)*$Q356</f>
        <v>1.9526555512359545E-2</v>
      </c>
      <c r="Z356" s="41">
        <f>VLOOKUP(B356,'Player Data'!$A1:$AE734,14,FALSE)*$Q356</f>
        <v>0.10612246179725561</v>
      </c>
      <c r="AA356" s="41">
        <f>VLOOKUP(B356,'Player Data'!$A1:$AE734,15,FALSE)*$Q356</f>
        <v>137.99619986890582</v>
      </c>
      <c r="AB356" s="41">
        <f>VLOOKUP(B356,'Player Data'!$A1:$AE734,16,FALSE)*$Q356</f>
        <v>136.19023632975208</v>
      </c>
      <c r="AC356" s="41">
        <f>VLOOKUP(B356,'Player Data'!$A1:$AE734,17,FALSE)*$Q356*IFERROR((VLOOKUP(P356,Settings!$E$28:$F$33,2,FALSE)+1),1)</f>
        <v>-5.4033788382799504</v>
      </c>
      <c r="AD356" s="41">
        <f>VLOOKUP(B356,'Player Data'!$A1:$AE734,18,FALSE)*$Q356</f>
        <v>49.616900306458938</v>
      </c>
      <c r="AE356" s="41">
        <f>VLOOKUP(B356,'Player Data'!$A1:$AE734,19,FALSE)*$Q356*IFERROR((VLOOKUP(P356,Settings!$E$28:$F$33,2,FALSE)+1),1)</f>
        <v>0.57047074988903324</v>
      </c>
      <c r="AF356" s="41">
        <f>VLOOKUP(B356,'Player Data'!$A1:$AE734,20,FALSE)*$Q356</f>
        <v>0</v>
      </c>
      <c r="AG356" s="41">
        <f>VLOOKUP(B356,'Player Data'!$A1:$AE734,21,FALSE)*$Q356</f>
        <v>0</v>
      </c>
      <c r="AH356" s="42">
        <f>VLOOKUP(B356,'Player Data'!$A1:$AE734,22,FALSE)</f>
        <v>0</v>
      </c>
      <c r="AI356" s="39"/>
      <c r="AJ356" s="43"/>
      <c r="AK356" s="41"/>
      <c r="AL356" s="41"/>
      <c r="AM356" s="41"/>
      <c r="AN356" s="41"/>
      <c r="AO356" s="41"/>
      <c r="AP356" s="41"/>
      <c r="AQ356" s="44"/>
      <c r="AR356" s="45"/>
      <c r="AS356" s="39"/>
    </row>
    <row r="357" spans="1:45" ht="21.25" customHeight="1" x14ac:dyDescent="0.15">
      <c r="A357" s="31">
        <f>RANK(K357,K$2:K$727)</f>
        <v>356</v>
      </c>
      <c r="B357" s="8" t="s">
        <v>461</v>
      </c>
      <c r="C357" s="32" t="s">
        <v>106</v>
      </c>
      <c r="D357" s="33" t="str">
        <f>VLOOKUP(B357,'Player Data'!A1:D734,4,FALSE)</f>
        <v>LW</v>
      </c>
      <c r="E357" s="47">
        <f>VLOOKUP(B357,LW!A1:C130,3,FALSE)</f>
        <v>73</v>
      </c>
      <c r="F357" s="35" t="str">
        <f>VLOOKUP(B357,'Player Data'!A1:B734,2,FALSE)</f>
        <v>MTL</v>
      </c>
      <c r="G357" s="9">
        <f>VLOOKUP(B357,'Player Data'!A1:D734,3,FALSE)</f>
        <v>24</v>
      </c>
      <c r="H357" s="36">
        <f>IFERROR(VLOOKUP(B357,ADP!A1:G728,7,FALSE)/1000000,VLOOKUP(B357,ADP!A1:G728,7,FALSE))</f>
        <v>1.1000000000000001</v>
      </c>
      <c r="I357" s="37">
        <f>IF(Settings!$E$15="POINTS",((R357*Q357)*Settings!$B$12)+(S357*Settings!$B$2)+(T357*Settings!$B$3)+(U357*Settings!$B$4)+(V357*Settings!$B$5)+(X357*Settings!$B$9)+(AA357*Settings!$B$6)+(W357*Settings!$B$8)+(AB357*Settings!$B$7)+(AC357*Settings!$B$14)+(AD357*Settings!$B$15)+(AE357*Settings!$B$16)+(AF357*Settings!$B$17)+(AG357*Settings!$B$18)+(Y357*Settings!$B$10)+(Z357*Settings!$B$11),VLOOKUP(B357,'Standard Deviations'!A1:C728,3,FALSE))</f>
        <v>189.78708220083786</v>
      </c>
      <c r="J357" s="38">
        <f>IF(D357="G",I357/AJ357,I357/Q357)</f>
        <v>2.8311640516273271</v>
      </c>
      <c r="K357" s="37">
        <f>IF(Settings!$E$18="C/LW/RW",VLOOKUP(B357,LW!A1:F130,6,FALSE),VLOOKUP(B357,F!A1:F430,6,FALSE))</f>
        <v>-174.25352265681261</v>
      </c>
      <c r="L357" s="37">
        <f>IFERROR(K357/H357,"N/A")</f>
        <v>-158.41229332437507</v>
      </c>
      <c r="M357" s="53" t="str">
        <f>IF(Settings!$E$9="YAHOO",VLOOKUP(B357,ADP!A1:E728,2,FALSE),IF(Settings!$E$9="ESPN",VLOOKUP(B357,ADP!A1:E728,3,FALSE),IF(Settings!$E$9="FANTRAX",VLOOKUP(B357,ADP!A1:E728,4,FALSE),VLOOKUP(B357,ADP!A1:E728,5,FALSE))))</f>
        <v>-</v>
      </c>
      <c r="N357" s="53" t="str">
        <f>IFERROR(M357-A357,"N/A")</f>
        <v>N/A</v>
      </c>
      <c r="O357" s="39"/>
      <c r="P357" s="40" t="str">
        <f>IF(Settings!$E$27="ON",VLOOKUP(B357,ADP!A1:H728,8,FALSE)," ")</f>
        <v xml:space="preserve"> </v>
      </c>
      <c r="Q357" s="41">
        <f>IF(Settings!$E$12="YES",VLOOKUP(B357,'Player Data'!A1:E734,5,FALSE),82)</f>
        <v>67.034999999999997</v>
      </c>
      <c r="R357" s="39">
        <f>VLOOKUP(B357,'Player Data'!$A1:$AE734,6,FALSE)</f>
        <v>15.5307984366531</v>
      </c>
      <c r="S357" s="41">
        <f>VLOOKUP(B357,'Player Data'!$A1:$AE734,7,FALSE)*$Q357*IFERROR((VLOOKUP(P357,Settings!$E$28:$F$33,2,FALSE)+1),1)</f>
        <v>20.662650879859878</v>
      </c>
      <c r="T357" s="41">
        <f>VLOOKUP(B357,'Player Data'!$A1:$AE734,8,FALSE)*$Q357*IFERROR((VLOOKUP(P357,Settings!$E$28:$F$33,2,FALSE)+1),1)</f>
        <v>14.877237753540854</v>
      </c>
      <c r="U357" s="41">
        <f>SUM(S357:T357)</f>
        <v>35.539888633400736</v>
      </c>
      <c r="V357" s="41">
        <f>VLOOKUP(B357,'Player Data'!$A1:$AE734,10,FALSE)*$Q357*IFERROR(((VLOOKUP(P357,Settings!$E$28:$F$33,2,FALSE)/2)+1),1)</f>
        <v>108.12931165124274</v>
      </c>
      <c r="W357" s="41">
        <f>VLOOKUP(B357,'Player Data'!$A1:$AE734,11,FALSE)*$Q357*IFERROR((VLOOKUP(P357,Settings!$E$28:$F$33,2,FALSE)+1),1)</f>
        <v>3.6315827694663025</v>
      </c>
      <c r="X357" s="41">
        <f>VLOOKUP(B357,'Player Data'!$A1:$AE734,12,FALSE)*$Q357*IFERROR((VLOOKUP(P357,Settings!$E$28:$F$33,2,FALSE)+1),1)</f>
        <v>5.4237702139212498</v>
      </c>
      <c r="Y357" s="41">
        <f>VLOOKUP(B357,'Player Data'!$A1:$AE734,13,FALSE)*$Q357</f>
        <v>1.0804074353549302</v>
      </c>
      <c r="Z357" s="41">
        <f>VLOOKUP(B357,'Player Data'!$A1:$AE734,14,FALSE)*$Q357</f>
        <v>1.2523409221186319</v>
      </c>
      <c r="AA357" s="41">
        <f>VLOOKUP(B357,'Player Data'!$A1:$AE734,15,FALSE)*$Q357</f>
        <v>78.752691014672621</v>
      </c>
      <c r="AB357" s="41">
        <f>VLOOKUP(B357,'Player Data'!$A1:$AE734,16,FALSE)*$Q357</f>
        <v>99.444898592286506</v>
      </c>
      <c r="AC357" s="41">
        <f>VLOOKUP(B357,'Player Data'!$A1:$AE734,17,FALSE)*$Q357*IFERROR((VLOOKUP(P357,Settings!$E$28:$F$33,2,FALSE)+1),1)</f>
        <v>-4.6853017037605147</v>
      </c>
      <c r="AD357" s="41">
        <f>VLOOKUP(B357,'Player Data'!$A1:$AE734,18,FALSE)*$Q357</f>
        <v>21.218538705263679</v>
      </c>
      <c r="AE357" s="41">
        <f>VLOOKUP(B357,'Player Data'!$A1:$AE734,19,FALSE)*$Q357*IFERROR((VLOOKUP(P357,Settings!$E$28:$F$33,2,FALSE)+1),1)</f>
        <v>2.2391928238953858</v>
      </c>
      <c r="AF357" s="41">
        <f>VLOOKUP(B357,'Player Data'!$A1:$AE734,20,FALSE)*$Q357</f>
        <v>0</v>
      </c>
      <c r="AG357" s="41">
        <f>VLOOKUP(B357,'Player Data'!$A1:$AE734,21,FALSE)*$Q357</f>
        <v>2.1044923574696854</v>
      </c>
      <c r="AH357" s="42">
        <f>VLOOKUP(B357,'Player Data'!$A1:$AE734,22,FALSE)</f>
        <v>0</v>
      </c>
      <c r="AI357" s="39"/>
      <c r="AJ357" s="43"/>
      <c r="AK357" s="41"/>
      <c r="AL357" s="41"/>
      <c r="AM357" s="41"/>
      <c r="AN357" s="41"/>
      <c r="AO357" s="41"/>
      <c r="AP357" s="41"/>
      <c r="AQ357" s="44"/>
      <c r="AR357" s="45"/>
      <c r="AS357" s="39"/>
    </row>
    <row r="358" spans="1:45" ht="21.25" customHeight="1" x14ac:dyDescent="0.15">
      <c r="A358" s="31">
        <f>RANK(K358,K$2:K$727)</f>
        <v>357</v>
      </c>
      <c r="B358" s="8" t="s">
        <v>462</v>
      </c>
      <c r="C358" s="32" t="s">
        <v>106</v>
      </c>
      <c r="D358" s="33" t="str">
        <f>VLOOKUP(B358,'Player Data'!A1:D734,4,FALSE)</f>
        <v>RW</v>
      </c>
      <c r="E358" s="46">
        <f>VLOOKUP(B358,RW!A1:F97,3,FALSE)</f>
        <v>52</v>
      </c>
      <c r="F358" s="35" t="str">
        <f>VLOOKUP(B358,'Player Data'!A1:B734,2,FALSE)</f>
        <v>BUF</v>
      </c>
      <c r="G358" s="9">
        <f>VLOOKUP(B358,'Player Data'!A1:D734,3,FALSE)</f>
        <v>21</v>
      </c>
      <c r="H358" s="36">
        <f>IFERROR(VLOOKUP(B358,ADP!A1:G728,7,FALSE)/1000000,VLOOKUP(B358,ADP!A1:G728,7,FALSE))</f>
        <v>0.85583299999999995</v>
      </c>
      <c r="I358" s="37">
        <f>IF(Settings!$E$15="POINTS",((R358*Q358)*Settings!$B$12)+(S358*Settings!$B$2)+(T358*Settings!$B$3)+(U358*Settings!$B$4)+(V358*Settings!$B$5)+(X358*Settings!$B$9)+(AA358*Settings!$B$6)+(W358*Settings!$B$8)+(AB358*Settings!$B$7)+(AC358*Settings!$B$14)+(AD358*Settings!$B$15)+(AE358*Settings!$B$16)+(AF358*Settings!$B$17)+(AG358*Settings!$B$18)+(Y358*Settings!$B$10)+(Z358*Settings!$B$11),VLOOKUP(B358,'Standard Deviations'!A1:C728,3,FALSE))</f>
        <v>175.72702744708732</v>
      </c>
      <c r="J358" s="38">
        <f>IF(D358="G",I358/AJ358,I358/Q358)</f>
        <v>2.29109553386033</v>
      </c>
      <c r="K358" s="37">
        <f>IF(Settings!$E$18="C/LW/RW",VLOOKUP(B358,RW!A1:F97,6,FALSE),VLOOKUP(B358,F!A1:F430,6,FALSE))</f>
        <v>-174.54451310080225</v>
      </c>
      <c r="L358" s="37">
        <f>IFERROR(K358/H358,"N/A")</f>
        <v>-203.94693018474663</v>
      </c>
      <c r="M358" s="53" t="str">
        <f>IF(Settings!$E$9="YAHOO",VLOOKUP(B358,ADP!A1:E728,2,FALSE),IF(Settings!$E$9="ESPN",VLOOKUP(B358,ADP!A1:E728,3,FALSE),IF(Settings!$E$9="FANTRAX",VLOOKUP(B358,ADP!A1:E728,4,FALSE),VLOOKUP(B358,ADP!A1:E728,5,FALSE))))</f>
        <v>-</v>
      </c>
      <c r="N358" s="53" t="str">
        <f>IFERROR(M358-A358,"N/A")</f>
        <v>N/A</v>
      </c>
      <c r="O358" s="39"/>
      <c r="P358" s="40" t="str">
        <f>IF(Settings!$E$27="ON",VLOOKUP(B358,ADP!A1:H728,8,FALSE)," ")</f>
        <v xml:space="preserve"> </v>
      </c>
      <c r="Q358" s="41">
        <f>IF(Settings!$E$12="YES",VLOOKUP(B358,'Player Data'!A1:E734,5,FALSE),82)</f>
        <v>76.7</v>
      </c>
      <c r="R358" s="39">
        <f>VLOOKUP(B358,'Player Data'!$A1:$AE734,6,FALSE)</f>
        <v>13.5183494978545</v>
      </c>
      <c r="S358" s="41">
        <f>VLOOKUP(B358,'Player Data'!$A1:$AE734,7,FALSE)*$Q358*IFERROR((VLOOKUP(P358,Settings!$E$28:$F$33,2,FALSE)+1),1)</f>
        <v>13.0912258765988</v>
      </c>
      <c r="T358" s="41">
        <f>VLOOKUP(B358,'Player Data'!$A1:$AE734,8,FALSE)*$Q358*IFERROR((VLOOKUP(P358,Settings!$E$28:$F$33,2,FALSE)+1),1)</f>
        <v>20.405677822922968</v>
      </c>
      <c r="U358" s="41">
        <f>SUM(S358:T358)</f>
        <v>33.496903699521766</v>
      </c>
      <c r="V358" s="41">
        <f>VLOOKUP(B358,'Player Data'!$A1:$AE734,10,FALSE)*$Q358*IFERROR(((VLOOKUP(P358,Settings!$E$28:$F$33,2,FALSE)/2)+1),1)</f>
        <v>122.39805611423307</v>
      </c>
      <c r="W358" s="41">
        <f>VLOOKUP(B358,'Player Data'!$A1:$AE734,11,FALSE)*$Q358*IFERROR((VLOOKUP(P358,Settings!$E$28:$F$33,2,FALSE)+1),1)</f>
        <v>2.2040423316006508</v>
      </c>
      <c r="X358" s="41">
        <f>VLOOKUP(B358,'Player Data'!$A1:$AE734,12,FALSE)*$Q358*IFERROR((VLOOKUP(P358,Settings!$E$28:$F$33,2,FALSE)+1),1)</f>
        <v>5.4508523180302237</v>
      </c>
      <c r="Y358" s="41">
        <f>VLOOKUP(B358,'Player Data'!$A1:$AE734,13,FALSE)*$Q358</f>
        <v>4.1692126873507311E-2</v>
      </c>
      <c r="Z358" s="41">
        <f>VLOOKUP(B358,'Player Data'!$A1:$AE734,14,FALSE)*$Q358</f>
        <v>7.5251205269590143E-2</v>
      </c>
      <c r="AA358" s="41">
        <f>VLOOKUP(B358,'Player Data'!$A1:$AE734,15,FALSE)*$Q358</f>
        <v>14.925406224029217</v>
      </c>
      <c r="AB358" s="41">
        <f>VLOOKUP(B358,'Player Data'!$A1:$AE734,16,FALSE)*$Q358</f>
        <v>34.707802692735328</v>
      </c>
      <c r="AC358" s="41">
        <f>VLOOKUP(B358,'Player Data'!$A1:$AE734,17,FALSE)*$Q358*IFERROR((VLOOKUP(P358,Settings!$E$28:$F$33,2,FALSE)+1),1)</f>
        <v>-2.7348937642626296</v>
      </c>
      <c r="AD358" s="41">
        <f>VLOOKUP(B358,'Player Data'!$A1:$AE734,18,FALSE)*$Q358</f>
        <v>25.466929214401603</v>
      </c>
      <c r="AE358" s="41">
        <f>VLOOKUP(B358,'Player Data'!$A1:$AE734,19,FALSE)*$Q358*IFERROR((VLOOKUP(P358,Settings!$E$28:$F$33,2,FALSE)+1),1)</f>
        <v>1.6870443239576658</v>
      </c>
      <c r="AF358" s="41">
        <f>VLOOKUP(B358,'Player Data'!$A1:$AE734,20,FALSE)*$Q358</f>
        <v>4.7808342375097723</v>
      </c>
      <c r="AG358" s="41">
        <f>VLOOKUP(B358,'Player Data'!$A1:$AE734,21,FALSE)*$Q358</f>
        <v>4.0437250391567421</v>
      </c>
      <c r="AH358" s="42">
        <f>VLOOKUP(B358,'Player Data'!$A1:$AE734,22,FALSE)</f>
        <v>0.541764646553061</v>
      </c>
      <c r="AI358" s="39"/>
      <c r="AJ358" s="43"/>
      <c r="AK358" s="41"/>
      <c r="AL358" s="41"/>
      <c r="AM358" s="41"/>
      <c r="AN358" s="41"/>
      <c r="AO358" s="41"/>
      <c r="AP358" s="41"/>
      <c r="AQ358" s="44"/>
      <c r="AR358" s="45"/>
      <c r="AS358" s="39"/>
    </row>
    <row r="359" spans="1:45" ht="21.25" customHeight="1" x14ac:dyDescent="0.15">
      <c r="A359" s="31">
        <f>RANK(K359,K$2:K$727)</f>
        <v>358</v>
      </c>
      <c r="B359" s="8" t="s">
        <v>463</v>
      </c>
      <c r="C359" s="32" t="s">
        <v>106</v>
      </c>
      <c r="D359" s="33" t="str">
        <f>VLOOKUP(B359,'Player Data'!A1:D734,4,FALSE)</f>
        <v>D</v>
      </c>
      <c r="E359" s="49">
        <f>VLOOKUP(B359,D!A1:C227,3,FALSE)</f>
        <v>110</v>
      </c>
      <c r="F359" s="35" t="str">
        <f>VLOOKUP(B359,'Player Data'!A1:B734,2,FALSE)</f>
        <v>BUF</v>
      </c>
      <c r="G359" s="9">
        <f>VLOOKUP(B359,'Player Data'!A1:D734,3,FALSE)</f>
        <v>28</v>
      </c>
      <c r="H359" s="36">
        <f>IFERROR(VLOOKUP(B359,ADP!A1:G728,7,FALSE)/1000000,VLOOKUP(B359,ADP!A1:G728,7,FALSE))</f>
        <v>3.3333333333333304</v>
      </c>
      <c r="I359" s="37">
        <f>IF(Settings!$E$15="POINTS",((R359*Q359)*Settings!$B$12)+(S359*Settings!$B$2)+(T359*Settings!$B$3)+(U359*Settings!$B$4)+(V359*Settings!$B$5)+(X359*Settings!$B$9)+(AA359*Settings!$B$6)+(W359*Settings!$B$8)+(AB359*Settings!$B$7)+(AC359*Settings!$B$14)+(AD359*Settings!$B$15)+(AE359*Settings!$B$16)+(AF359*Settings!$B$17)+(AG359*Settings!$B$18)+(U359*Settings!$B$13)+(Y359*Settings!$B$10)+(Z359*Settings!$B$11),VLOOKUP(B359,'Standard Deviations'!A1:C728,3,FALSE))</f>
        <v>136.59002096748554</v>
      </c>
      <c r="J359" s="38">
        <f>IF(D359="G",I359/AJ359,I359/Q359)</f>
        <v>1.7629068271487549</v>
      </c>
      <c r="K359" s="37">
        <f>VLOOKUP(B359,D!A1:F227,6,FALSE)</f>
        <v>-174.97546066044191</v>
      </c>
      <c r="L359" s="37">
        <f>IFERROR(K359/H359,"N/A")</f>
        <v>-52.492638198132617</v>
      </c>
      <c r="M359" s="53" t="str">
        <f>IF(Settings!$E$9="YAHOO",VLOOKUP(B359,ADP!A1:E728,2,FALSE),IF(Settings!$E$9="ESPN",VLOOKUP(B359,ADP!A1:E728,3,FALSE),IF(Settings!$E$9="FANTRAX",VLOOKUP(B359,ADP!A1:E728,4,FALSE),VLOOKUP(B359,ADP!A1:E728,5,FALSE))))</f>
        <v>-</v>
      </c>
      <c r="N359" s="53" t="str">
        <f>IFERROR(M359-A359,"N/A")</f>
        <v>N/A</v>
      </c>
      <c r="O359" s="39"/>
      <c r="P359" s="40" t="str">
        <f>IF(Settings!$E$27="ON",VLOOKUP(B359,ADP!A1:H728,8,FALSE)," ")</f>
        <v xml:space="preserve"> </v>
      </c>
      <c r="Q359" s="41">
        <f>IF(Settings!$E$12="YES",VLOOKUP(B359,'Player Data'!A1:E734,5,FALSE),82)</f>
        <v>77.48</v>
      </c>
      <c r="R359" s="39">
        <f>VLOOKUP(B359,'Player Data'!$A1:$AE734,6,FALSE)</f>
        <v>18.658760376882</v>
      </c>
      <c r="S359" s="41">
        <f>VLOOKUP(B359,'Player Data'!$A1:$AE734,7,FALSE)*$Q359*IFERROR((VLOOKUP(P359,Settings!$E$28:$F$33,2,FALSE)+1),1)</f>
        <v>4.1532797473140883</v>
      </c>
      <c r="T359" s="41">
        <f>VLOOKUP(B359,'Player Data'!$A1:$AE734,8,FALSE)*$Q359*IFERROR((VLOOKUP(P359,Settings!$E$28:$F$33,2,FALSE)+1),1)</f>
        <v>15.918954440241892</v>
      </c>
      <c r="U359" s="41">
        <f>SUM(S359:T359)</f>
        <v>20.072234187555981</v>
      </c>
      <c r="V359" s="41">
        <f>VLOOKUP(B359,'Player Data'!$A1:$AE734,10,FALSE)*$Q359*IFERROR(((VLOOKUP(P359,Settings!$E$28:$F$33,2,FALSE)/2)+1),1)</f>
        <v>103.00883681637974</v>
      </c>
      <c r="W359" s="41">
        <f>VLOOKUP(B359,'Player Data'!$A1:$AE734,11,FALSE)*$Q359*IFERROR((VLOOKUP(P359,Settings!$E$28:$F$33,2,FALSE)+1),1)</f>
        <v>2.2126460493242961E-2</v>
      </c>
      <c r="X359" s="41">
        <f>VLOOKUP(B359,'Player Data'!$A1:$AE734,12,FALSE)*$Q359*IFERROR((VLOOKUP(P359,Settings!$E$28:$F$33,2,FALSE)+1),1)</f>
        <v>0.15210063552784142</v>
      </c>
      <c r="Y359" s="41">
        <f>VLOOKUP(B359,'Player Data'!$A1:$AE734,13,FALSE)*$Q359</f>
        <v>0.42017711205235697</v>
      </c>
      <c r="Z359" s="41">
        <f>VLOOKUP(B359,'Player Data'!$A1:$AE734,14,FALSE)*$Q359</f>
        <v>0.64091839988161392</v>
      </c>
      <c r="AA359" s="41">
        <f>VLOOKUP(B359,'Player Data'!$A1:$AE734,15,FALSE)*$Q359</f>
        <v>116.41430962904408</v>
      </c>
      <c r="AB359" s="41">
        <f>VLOOKUP(B359,'Player Data'!$A1:$AE734,16,FALSE)*$Q359</f>
        <v>193.51844788128244</v>
      </c>
      <c r="AC359" s="41">
        <f>VLOOKUP(B359,'Player Data'!$A1:$AE734,17,FALSE)*$Q359*IFERROR((VLOOKUP(P359,Settings!$E$28:$F$33,2,FALSE)+1),1)</f>
        <v>-1.4447627883471434</v>
      </c>
      <c r="AD359" s="41">
        <f>VLOOKUP(B359,'Player Data'!$A1:$AE734,18,FALSE)*$Q359</f>
        <v>55.395517380639788</v>
      </c>
      <c r="AE359" s="41">
        <f>VLOOKUP(B359,'Player Data'!$A1:$AE734,19,FALSE)*$Q359*IFERROR((VLOOKUP(P359,Settings!$E$28:$F$33,2,FALSE)+1),1)</f>
        <v>0.53522619574072638</v>
      </c>
      <c r="AF359" s="41">
        <f>VLOOKUP(B359,'Player Data'!$A1:$AE734,20,FALSE)*$Q359</f>
        <v>0</v>
      </c>
      <c r="AG359" s="41">
        <f>VLOOKUP(B359,'Player Data'!$A1:$AE734,21,FALSE)*$Q359</f>
        <v>0</v>
      </c>
      <c r="AH359" s="42">
        <f>VLOOKUP(B359,'Player Data'!$A1:$AE734,22,FALSE)</f>
        <v>0</v>
      </c>
      <c r="AI359" s="39"/>
      <c r="AJ359" s="43"/>
      <c r="AK359" s="41"/>
      <c r="AL359" s="41"/>
      <c r="AM359" s="41"/>
      <c r="AN359" s="41"/>
      <c r="AO359" s="41"/>
      <c r="AP359" s="41"/>
      <c r="AQ359" s="44"/>
      <c r="AR359" s="45"/>
      <c r="AS359" s="39"/>
    </row>
    <row r="360" spans="1:45" ht="21.25" customHeight="1" x14ac:dyDescent="0.15">
      <c r="A360" s="31">
        <f>RANK(K360,K$2:K$727)</f>
        <v>359</v>
      </c>
      <c r="B360" s="8" t="s">
        <v>464</v>
      </c>
      <c r="C360" s="32" t="s">
        <v>106</v>
      </c>
      <c r="D360" s="33" t="str">
        <f>VLOOKUP(B360,'Player Data'!A1:D734,4,FALSE)</f>
        <v>D</v>
      </c>
      <c r="E360" s="49">
        <f>VLOOKUP(B360,D!A1:C227,3,FALSE)</f>
        <v>111</v>
      </c>
      <c r="F360" s="35" t="str">
        <f>VLOOKUP(B360,'Player Data'!A1:B734,2,FALSE)</f>
        <v>VGK</v>
      </c>
      <c r="G360" s="9">
        <f>VLOOKUP(B360,'Player Data'!A1:D734,3,FALSE)</f>
        <v>36</v>
      </c>
      <c r="H360" s="36">
        <f>IFERROR(VLOOKUP(B360,ADP!A1:G728,7,FALSE)/1000000,VLOOKUP(B360,ADP!A1:G728,7,FALSE))</f>
        <v>5.25</v>
      </c>
      <c r="I360" s="37">
        <f>IF(Settings!$E$15="POINTS",((R360*Q360)*Settings!$B$12)+(S360*Settings!$B$2)+(T360*Settings!$B$3)+(U360*Settings!$B$4)+(V360*Settings!$B$5)+(X360*Settings!$B$9)+(AA360*Settings!$B$6)+(W360*Settings!$B$8)+(AB360*Settings!$B$7)+(AC360*Settings!$B$14)+(AD360*Settings!$B$15)+(AE360*Settings!$B$16)+(AF360*Settings!$B$17)+(AG360*Settings!$B$18)+(U360*Settings!$B$13)+(Y360*Settings!$B$10)+(Z360*Settings!$B$11),VLOOKUP(B360,'Standard Deviations'!A1:C728,3,FALSE))</f>
        <v>136.39356856080929</v>
      </c>
      <c r="J360" s="38">
        <f>IF(D360="G",I360/AJ360,I360/Q360)</f>
        <v>1.8683227840763663</v>
      </c>
      <c r="K360" s="37">
        <f>VLOOKUP(B360,D!A1:F227,6,FALSE)</f>
        <v>-175.17191306711817</v>
      </c>
      <c r="L360" s="37">
        <f>IFERROR(K360/H360,"N/A")</f>
        <v>-33.366078679451078</v>
      </c>
      <c r="M360" s="53" t="str">
        <f>IF(Settings!$E$9="YAHOO",VLOOKUP(B360,ADP!A1:E728,2,FALSE),IF(Settings!$E$9="ESPN",VLOOKUP(B360,ADP!A1:E728,3,FALSE),IF(Settings!$E$9="FANTRAX",VLOOKUP(B360,ADP!A1:E728,4,FALSE),VLOOKUP(B360,ADP!A1:E728,5,FALSE))))</f>
        <v>-</v>
      </c>
      <c r="N360" s="53" t="str">
        <f>IFERROR(M360-A360,"N/A")</f>
        <v>N/A</v>
      </c>
      <c r="O360" s="39"/>
      <c r="P360" s="40" t="str">
        <f>IF(Settings!$E$27="ON",VLOOKUP(B360,ADP!A1:H728,8,FALSE)," ")</f>
        <v xml:space="preserve"> </v>
      </c>
      <c r="Q360" s="41">
        <f>IF(Settings!$E$12="YES",VLOOKUP(B360,'Player Data'!A1:E734,5,FALSE),82)</f>
        <v>73.003214285714293</v>
      </c>
      <c r="R360" s="39">
        <f>VLOOKUP(B360,'Player Data'!$A1:$AE734,6,FALSE)</f>
        <v>19.539667494803201</v>
      </c>
      <c r="S360" s="41">
        <f>VLOOKUP(B360,'Player Data'!$A1:$AE734,7,FALSE)*$Q360*IFERROR((VLOOKUP(P360,Settings!$E$28:$F$33,2,FALSE)+1),1)</f>
        <v>4.4626707291755192</v>
      </c>
      <c r="T360" s="41">
        <f>VLOOKUP(B360,'Player Data'!$A1:$AE734,8,FALSE)*$Q360*IFERROR((VLOOKUP(P360,Settings!$E$28:$F$33,2,FALSE)+1),1)</f>
        <v>13.610631517098007</v>
      </c>
      <c r="U360" s="41">
        <f>SUM(S360:T360)</f>
        <v>18.073302246273528</v>
      </c>
      <c r="V360" s="41">
        <f>VLOOKUP(B360,'Player Data'!$A1:$AE734,10,FALSE)*$Q360*IFERROR(((VLOOKUP(P360,Settings!$E$28:$F$33,2,FALSE)/2)+1),1)</f>
        <v>81.541412679872536</v>
      </c>
      <c r="W360" s="41">
        <f>VLOOKUP(B360,'Player Data'!$A1:$AE734,11,FALSE)*$Q360*IFERROR((VLOOKUP(P360,Settings!$E$28:$F$33,2,FALSE)+1),1)</f>
        <v>0.10308009499384968</v>
      </c>
      <c r="X360" s="41">
        <f>VLOOKUP(B360,'Player Data'!$A1:$AE734,12,FALSE)*$Q360*IFERROR((VLOOKUP(P360,Settings!$E$28:$F$33,2,FALSE)+1),1)</f>
        <v>0.39246489244755528</v>
      </c>
      <c r="Y360" s="41">
        <f>VLOOKUP(B360,'Player Data'!$A1:$AE734,13,FALSE)*$Q360</f>
        <v>3.2761968048714132E-2</v>
      </c>
      <c r="Z360" s="41">
        <f>VLOOKUP(B360,'Player Data'!$A1:$AE734,14,FALSE)*$Q360</f>
        <v>0.13112345716647072</v>
      </c>
      <c r="AA360" s="41">
        <f>VLOOKUP(B360,'Player Data'!$A1:$AE734,15,FALSE)*$Q360</f>
        <v>201.77889391412208</v>
      </c>
      <c r="AB360" s="41">
        <f>VLOOKUP(B360,'Player Data'!$A1:$AE734,16,FALSE)*$Q360</f>
        <v>65.39338084943239</v>
      </c>
      <c r="AC360" s="41">
        <f>VLOOKUP(B360,'Player Data'!$A1:$AE734,17,FALSE)*$Q360*IFERROR((VLOOKUP(P360,Settings!$E$28:$F$33,2,FALSE)+1),1)</f>
        <v>5.8182692553777358</v>
      </c>
      <c r="AD360" s="41">
        <f>VLOOKUP(B360,'Player Data'!$A1:$AE734,18,FALSE)*$Q360</f>
        <v>24.348102839216523</v>
      </c>
      <c r="AE360" s="41">
        <f>VLOOKUP(B360,'Player Data'!$A1:$AE734,19,FALSE)*$Q360*IFERROR((VLOOKUP(P360,Settings!$E$28:$F$33,2,FALSE)+1),1)</f>
        <v>0.7293221600377805</v>
      </c>
      <c r="AF360" s="41">
        <f>VLOOKUP(B360,'Player Data'!$A1:$AE734,20,FALSE)*$Q360</f>
        <v>0</v>
      </c>
      <c r="AG360" s="41">
        <f>VLOOKUP(B360,'Player Data'!$A1:$AE734,21,FALSE)*$Q360</f>
        <v>0</v>
      </c>
      <c r="AH360" s="42">
        <f>VLOOKUP(B360,'Player Data'!$A1:$AE734,22,FALSE)</f>
        <v>0</v>
      </c>
      <c r="AI360" s="39"/>
      <c r="AJ360" s="43"/>
      <c r="AK360" s="41"/>
      <c r="AL360" s="41"/>
      <c r="AM360" s="41"/>
      <c r="AN360" s="41"/>
      <c r="AO360" s="41"/>
      <c r="AP360" s="41"/>
      <c r="AQ360" s="44"/>
      <c r="AR360" s="45"/>
      <c r="AS360" s="39"/>
    </row>
    <row r="361" spans="1:45" ht="21.25" customHeight="1" x14ac:dyDescent="0.15">
      <c r="A361" s="31">
        <f>RANK(K361,K$2:K$727)</f>
        <v>360</v>
      </c>
      <c r="B361" s="8" t="s">
        <v>465</v>
      </c>
      <c r="C361" s="32" t="s">
        <v>106</v>
      </c>
      <c r="D361" s="33" t="str">
        <f>VLOOKUP(B361,'Player Data'!A1:D734,4,FALSE)</f>
        <v>D</v>
      </c>
      <c r="E361" s="49">
        <f>VLOOKUP(B361,D!A1:C227,3,FALSE)</f>
        <v>112</v>
      </c>
      <c r="F361" s="35" t="str">
        <f>VLOOKUP(B361,'Player Data'!A1:B734,2,FALSE)</f>
        <v>CGY</v>
      </c>
      <c r="G361" s="9">
        <f>VLOOKUP(B361,'Player Data'!A1:D734,3,FALSE)</f>
        <v>28</v>
      </c>
      <c r="H361" s="36">
        <f>IFERROR(VLOOKUP(B361,ADP!A1:G728,7,FALSE)/1000000,VLOOKUP(B361,ADP!A1:G728,7,FALSE))</f>
        <v>3.75</v>
      </c>
      <c r="I361" s="37">
        <f>IF(Settings!$E$15="POINTS",((R361*Q361)*Settings!$B$12)+(S361*Settings!$B$2)+(T361*Settings!$B$3)+(U361*Settings!$B$4)+(V361*Settings!$B$5)+(X361*Settings!$B$9)+(AA361*Settings!$B$6)+(W361*Settings!$B$8)+(AB361*Settings!$B$7)+(AC361*Settings!$B$14)+(AD361*Settings!$B$15)+(AE361*Settings!$B$16)+(AF361*Settings!$B$17)+(AG361*Settings!$B$18)+(U361*Settings!$B$13)+(Y361*Settings!$B$10)+(Z361*Settings!$B$11),VLOOKUP(B361,'Standard Deviations'!A1:C728,3,FALSE))</f>
        <v>136.26218739472907</v>
      </c>
      <c r="J361" s="38">
        <f>IF(D361="G",I361/AJ361,I361/Q361)</f>
        <v>1.6867561681797107</v>
      </c>
      <c r="K361" s="37">
        <f>VLOOKUP(B361,D!A1:F227,6,FALSE)</f>
        <v>-175.30329423319839</v>
      </c>
      <c r="L361" s="37">
        <f>IFERROR(K361/H361,"N/A")</f>
        <v>-46.747545128852906</v>
      </c>
      <c r="M361" s="39">
        <f>IF(Settings!$E$9="YAHOO",VLOOKUP(B361,ADP!A1:E728,2,FALSE),IF(Settings!$E$9="ESPN",VLOOKUP(B361,ADP!A1:E728,3,FALSE),IF(Settings!$E$9="FANTRAX",VLOOKUP(B361,ADP!A1:E728,4,FALSE),VLOOKUP(B361,ADP!A1:E728,5,FALSE))))</f>
        <v>165</v>
      </c>
      <c r="N361" s="39">
        <f>IFERROR(M361-A361,"N/A")</f>
        <v>-195</v>
      </c>
      <c r="O361" s="39"/>
      <c r="P361" s="40" t="str">
        <f>IF(Settings!$E$27="ON",VLOOKUP(B361,ADP!A1:H728,8,FALSE)," ")</f>
        <v xml:space="preserve"> </v>
      </c>
      <c r="Q361" s="41">
        <f>IF(Settings!$E$12="YES",VLOOKUP(B361,'Player Data'!A1:E734,5,FALSE),82)</f>
        <v>80.783571428571406</v>
      </c>
      <c r="R361" s="39">
        <f>VLOOKUP(B361,'Player Data'!$A1:$AE734,6,FALSE)</f>
        <v>18.471598978658498</v>
      </c>
      <c r="S361" s="41">
        <f>VLOOKUP(B361,'Player Data'!$A1:$AE734,7,FALSE)*$Q361*IFERROR((VLOOKUP(P361,Settings!$E$28:$F$33,2,FALSE)+1),1)</f>
        <v>7.1979714017391938</v>
      </c>
      <c r="T361" s="41">
        <f>VLOOKUP(B361,'Player Data'!$A1:$AE734,8,FALSE)*$Q361*IFERROR((VLOOKUP(P361,Settings!$E$28:$F$33,2,FALSE)+1),1)</f>
        <v>12.885296541321562</v>
      </c>
      <c r="U361" s="41">
        <f>SUM(S361:T361)</f>
        <v>20.083267943060754</v>
      </c>
      <c r="V361" s="41">
        <f>VLOOKUP(B361,'Player Data'!$A1:$AE734,10,FALSE)*$Q361*IFERROR(((VLOOKUP(P361,Settings!$E$28:$F$33,2,FALSE)/2)+1),1)</f>
        <v>117.02116192575653</v>
      </c>
      <c r="W361" s="41">
        <f>VLOOKUP(B361,'Player Data'!$A1:$AE734,11,FALSE)*$Q361*IFERROR((VLOOKUP(P361,Settings!$E$28:$F$33,2,FALSE)+1),1)</f>
        <v>3.4761989930666315E-2</v>
      </c>
      <c r="X361" s="41">
        <f>VLOOKUP(B361,'Player Data'!$A1:$AE734,12,FALSE)*$Q361*IFERROR((VLOOKUP(P361,Settings!$E$28:$F$33,2,FALSE)+1),1)</f>
        <v>0.35313609441712451</v>
      </c>
      <c r="Y361" s="41">
        <f>VLOOKUP(B361,'Player Data'!$A1:$AE734,13,FALSE)*$Q361</f>
        <v>2.7480966644233735E-2</v>
      </c>
      <c r="Z361" s="41">
        <f>VLOOKUP(B361,'Player Data'!$A1:$AE734,14,FALSE)*$Q361</f>
        <v>0.14636914197489159</v>
      </c>
      <c r="AA361" s="41">
        <f>VLOOKUP(B361,'Player Data'!$A1:$AE734,15,FALSE)*$Q361</f>
        <v>82.513960649422614</v>
      </c>
      <c r="AB361" s="41">
        <f>VLOOKUP(B361,'Player Data'!$A1:$AE734,16,FALSE)*$Q361</f>
        <v>170.27639562532676</v>
      </c>
      <c r="AC361" s="41">
        <f>VLOOKUP(B361,'Player Data'!$A1:$AE734,17,FALSE)*$Q361*IFERROR((VLOOKUP(P361,Settings!$E$28:$F$33,2,FALSE)+1),1)</f>
        <v>2.797932603151867</v>
      </c>
      <c r="AD361" s="41">
        <f>VLOOKUP(B361,'Player Data'!$A1:$AE734,18,FALSE)*$Q361</f>
        <v>63.450763831837428</v>
      </c>
      <c r="AE361" s="41">
        <f>VLOOKUP(B361,'Player Data'!$A1:$AE734,19,FALSE)*$Q361*IFERROR((VLOOKUP(P361,Settings!$E$28:$F$33,2,FALSE)+1),1)</f>
        <v>1.2027684252170843</v>
      </c>
      <c r="AF361" s="41">
        <f>VLOOKUP(B361,'Player Data'!$A1:$AE734,20,FALSE)*$Q361</f>
        <v>0</v>
      </c>
      <c r="AG361" s="41">
        <f>VLOOKUP(B361,'Player Data'!$A1:$AE734,21,FALSE)*$Q361</f>
        <v>0</v>
      </c>
      <c r="AH361" s="42">
        <f>VLOOKUP(B361,'Player Data'!$A1:$AE734,22,FALSE)</f>
        <v>0</v>
      </c>
      <c r="AI361" s="39"/>
      <c r="AJ361" s="43"/>
      <c r="AK361" s="41"/>
      <c r="AL361" s="41"/>
      <c r="AM361" s="41"/>
      <c r="AN361" s="41"/>
      <c r="AO361" s="41"/>
      <c r="AP361" s="41"/>
      <c r="AQ361" s="44"/>
      <c r="AR361" s="45"/>
      <c r="AS361" s="39"/>
    </row>
    <row r="362" spans="1:45" ht="21.25" customHeight="1" x14ac:dyDescent="0.15">
      <c r="A362" s="31">
        <f>RANK(K362,K$2:K$727)</f>
        <v>361</v>
      </c>
      <c r="B362" s="8" t="s">
        <v>466</v>
      </c>
      <c r="C362" s="32" t="s">
        <v>106</v>
      </c>
      <c r="D362" s="33" t="str">
        <f>VLOOKUP(B362,'Player Data'!A1:D734,4,FALSE)</f>
        <v>C</v>
      </c>
      <c r="E362" s="34">
        <f>VLOOKUP(B362,'C'!A1:C211,3,FALSE)</f>
        <v>90</v>
      </c>
      <c r="F362" s="35" t="str">
        <f>VLOOKUP(B362,'Player Data'!A1:B734,2,FALSE)</f>
        <v>COL</v>
      </c>
      <c r="G362" s="9">
        <f>VLOOKUP(B362,'Player Data'!A1:D734,3,FALSE)</f>
        <v>26</v>
      </c>
      <c r="H362" s="36">
        <f>IFERROR(VLOOKUP(B362,ADP!A1:G728,7,FALSE)/1000000,VLOOKUP(B362,ADP!A1:G728,7,FALSE))</f>
        <v>4</v>
      </c>
      <c r="I362" s="37">
        <f>IF(Settings!$E$15="POINTS",((R362*Q362)*Settings!$B$12)+(S362*Settings!$B$2)+(T362*Settings!$B$3)+(U362*Settings!$B$4)+(V362*Settings!$B$5)+(X362*Settings!$B$9)+(AA362*Settings!$B$6)+(W362*Settings!$B$8)+(AB362*Settings!$B$7)+(AC362*Settings!$B$14)+(AD362*Settings!$B$15)+(AE362*Settings!$B$16)+(AF362*Settings!$B$17)+(AG362*Settings!$B$18)+(Y362*Settings!$B$10)+(Z362*Settings!$B$11),VLOOKUP(B362,'Standard Deviations'!A1:C728,3,FALSE))</f>
        <v>217.69358176082179</v>
      </c>
      <c r="J362" s="38">
        <f>IF(D362="G",I362/AJ362,I362/Q362)</f>
        <v>2.8041423409192596</v>
      </c>
      <c r="K362" s="37">
        <f>IF(Settings!$E$18="C/LW/RW",VLOOKUP(B362,'C'!A1:F211,6,FALSE),VLOOKUP(B362,F!A1:F430,6,FALSE))</f>
        <v>-175.63522400538787</v>
      </c>
      <c r="L362" s="37">
        <f>IFERROR(K362/H362,"N/A")</f>
        <v>-43.908806001346967</v>
      </c>
      <c r="M362" s="53" t="str">
        <f>IF(Settings!$E$9="YAHOO",VLOOKUP(B362,ADP!A1:E728,2,FALSE),IF(Settings!$E$9="ESPN",VLOOKUP(B362,ADP!A1:E728,3,FALSE),IF(Settings!$E$9="FANTRAX",VLOOKUP(B362,ADP!A1:E728,4,FALSE),VLOOKUP(B362,ADP!A1:E728,5,FALSE))))</f>
        <v>-</v>
      </c>
      <c r="N362" s="53" t="str">
        <f>IFERROR(M362-A362,"N/A")</f>
        <v>N/A</v>
      </c>
      <c r="O362" s="39"/>
      <c r="P362" s="40" t="str">
        <f>IF(Settings!$E$27="ON",VLOOKUP(B362,ADP!A1:H728,8,FALSE)," ")</f>
        <v xml:space="preserve"> </v>
      </c>
      <c r="Q362" s="41">
        <f>IF(Settings!$E$12="YES",VLOOKUP(B362,'Player Data'!A1:E734,5,FALSE),82)</f>
        <v>77.632857142857105</v>
      </c>
      <c r="R362" s="39">
        <f>VLOOKUP(B362,'Player Data'!$A1:$AE734,6,FALSE)</f>
        <v>14.3058122803461</v>
      </c>
      <c r="S362" s="41">
        <f>VLOOKUP(B362,'Player Data'!$A1:$AE734,7,FALSE)*$Q362*IFERROR((VLOOKUP(P362,Settings!$E$28:$F$33,2,FALSE)+1),1)</f>
        <v>20.155707573709872</v>
      </c>
      <c r="T362" s="41">
        <f>VLOOKUP(B362,'Player Data'!$A1:$AE734,8,FALSE)*$Q362*IFERROR((VLOOKUP(P362,Settings!$E$28:$F$33,2,FALSE)+1),1)</f>
        <v>18.302384772329876</v>
      </c>
      <c r="U362" s="41">
        <f>SUM(S362:T362)</f>
        <v>38.458092346039749</v>
      </c>
      <c r="V362" s="41">
        <f>VLOOKUP(B362,'Player Data'!$A1:$AE734,10,FALSE)*$Q362*IFERROR(((VLOOKUP(P362,Settings!$E$28:$F$33,2,FALSE)/2)+1),1)</f>
        <v>165.21031586465708</v>
      </c>
      <c r="W362" s="41">
        <f>VLOOKUP(B362,'Player Data'!$A1:$AE734,11,FALSE)*$Q362*IFERROR((VLOOKUP(P362,Settings!$E$28:$F$33,2,FALSE)+1),1)</f>
        <v>2.3549529461971748</v>
      </c>
      <c r="X362" s="41">
        <f>VLOOKUP(B362,'Player Data'!$A1:$AE734,12,FALSE)*$Q362*IFERROR((VLOOKUP(P362,Settings!$E$28:$F$33,2,FALSE)+1),1)</f>
        <v>6.486058984897058</v>
      </c>
      <c r="Y362" s="41">
        <f>VLOOKUP(B362,'Player Data'!$A1:$AE734,13,FALSE)*$Q362</f>
        <v>1.3329605830345384E-3</v>
      </c>
      <c r="Z362" s="41">
        <f>VLOOKUP(B362,'Player Data'!$A1:$AE734,14,FALSE)*$Q362</f>
        <v>2.4417529742727416E-3</v>
      </c>
      <c r="AA362" s="41">
        <f>VLOOKUP(B362,'Player Data'!$A1:$AE734,15,FALSE)*$Q362</f>
        <v>33.685726573156629</v>
      </c>
      <c r="AB362" s="41">
        <f>VLOOKUP(B362,'Player Data'!$A1:$AE734,16,FALSE)*$Q362</f>
        <v>181.62003074509585</v>
      </c>
      <c r="AC362" s="41">
        <f>VLOOKUP(B362,'Player Data'!$A1:$AE734,17,FALSE)*$Q362*IFERROR((VLOOKUP(P362,Settings!$E$28:$F$33,2,FALSE)+1),1)</f>
        <v>3.4046756789973993</v>
      </c>
      <c r="AD362" s="41">
        <f>VLOOKUP(B362,'Player Data'!$A1:$AE734,18,FALSE)*$Q362</f>
        <v>30.396316707477926</v>
      </c>
      <c r="AE362" s="41">
        <f>VLOOKUP(B362,'Player Data'!$A1:$AE734,19,FALSE)*$Q362*IFERROR((VLOOKUP(P362,Settings!$E$28:$F$33,2,FALSE)+1),1)</f>
        <v>3.1889366189641111</v>
      </c>
      <c r="AF362" s="41">
        <f>VLOOKUP(B362,'Player Data'!$A1:$AE734,20,FALSE)*$Q362</f>
        <v>164.69346982219182</v>
      </c>
      <c r="AG362" s="41">
        <f>VLOOKUP(B362,'Player Data'!$A1:$AE734,21,FALSE)*$Q362</f>
        <v>141.63199222253039</v>
      </c>
      <c r="AH362" s="42">
        <f>VLOOKUP(B362,'Player Data'!$A1:$AE734,22,FALSE)</f>
        <v>0.53764211673056095</v>
      </c>
      <c r="AI362" s="39"/>
      <c r="AJ362" s="43"/>
      <c r="AK362" s="41"/>
      <c r="AL362" s="41"/>
      <c r="AM362" s="41"/>
      <c r="AN362" s="41"/>
      <c r="AO362" s="41"/>
      <c r="AP362" s="41"/>
      <c r="AQ362" s="44"/>
      <c r="AR362" s="45"/>
      <c r="AS362" s="39"/>
    </row>
    <row r="363" spans="1:45" ht="21.25" customHeight="1" x14ac:dyDescent="0.15">
      <c r="A363" s="31">
        <f>RANK(K363,K$2:K$727)</f>
        <v>362</v>
      </c>
      <c r="B363" s="8" t="s">
        <v>467</v>
      </c>
      <c r="C363" s="32" t="s">
        <v>106</v>
      </c>
      <c r="D363" s="33" t="str">
        <f>VLOOKUP(B363,'Player Data'!A1:D734,4,FALSE)</f>
        <v>D</v>
      </c>
      <c r="E363" s="49">
        <f>VLOOKUP(B363,D!A1:C227,3,FALSE)</f>
        <v>113</v>
      </c>
      <c r="F363" s="35" t="str">
        <f>VLOOKUP(B363,'Player Data'!A1:B734,2,FALSE)</f>
        <v>TOR</v>
      </c>
      <c r="G363" s="9">
        <f>VLOOKUP(B363,'Player Data'!A1:D734,3,FALSE)</f>
        <v>29</v>
      </c>
      <c r="H363" s="36">
        <f>IFERROR(VLOOKUP(B363,ADP!A1:G728,7,FALSE)/1000000,VLOOKUP(B363,ADP!A1:G728,7,FALSE))</f>
        <v>2</v>
      </c>
      <c r="I363" s="37">
        <f>IF(Settings!$E$15="POINTS",((R363*Q363)*Settings!$B$12)+(S363*Settings!$B$2)+(T363*Settings!$B$3)+(U363*Settings!$B$4)+(V363*Settings!$B$5)+(X363*Settings!$B$9)+(AA363*Settings!$B$6)+(W363*Settings!$B$8)+(AB363*Settings!$B$7)+(AC363*Settings!$B$14)+(AD363*Settings!$B$15)+(AE363*Settings!$B$16)+(AF363*Settings!$B$17)+(AG363*Settings!$B$18)+(U363*Settings!$B$13)+(Y363*Settings!$B$10)+(Z363*Settings!$B$11),VLOOKUP(B363,'Standard Deviations'!A1:C728,3,FALSE))</f>
        <v>135.27251950294377</v>
      </c>
      <c r="J363" s="38">
        <f>IF(D363="G",I363/AJ363,I363/Q363)</f>
        <v>1.8352968335049094</v>
      </c>
      <c r="K363" s="37">
        <f>VLOOKUP(B363,D!A1:F227,6,FALSE)</f>
        <v>-176.29296212498369</v>
      </c>
      <c r="L363" s="37">
        <f>IFERROR(K363/H363,"N/A")</f>
        <v>-88.146481062491844</v>
      </c>
      <c r="M363" s="39">
        <f>IF(Settings!$E$9="YAHOO",VLOOKUP(B363,ADP!A1:E728,2,FALSE),IF(Settings!$E$9="ESPN",VLOOKUP(B363,ADP!A1:E728,3,FALSE),IF(Settings!$E$9="FANTRAX",VLOOKUP(B363,ADP!A1:E728,4,FALSE),VLOOKUP(B363,ADP!A1:E728,5,FALSE))))</f>
        <v>164</v>
      </c>
      <c r="N363" s="39">
        <f>IFERROR(M363-A363,"N/A")</f>
        <v>-198</v>
      </c>
      <c r="O363" s="39"/>
      <c r="P363" s="40" t="str">
        <f>IF(Settings!$E$27="ON",VLOOKUP(B363,ADP!A1:H728,8,FALSE)," ")</f>
        <v xml:space="preserve"> </v>
      </c>
      <c r="Q363" s="41">
        <f>IF(Settings!$E$12="YES",VLOOKUP(B363,'Player Data'!A1:E734,5,FALSE),82)</f>
        <v>73.706071428571406</v>
      </c>
      <c r="R363" s="39">
        <f>VLOOKUP(B363,'Player Data'!$A1:$AE734,6,FALSE)</f>
        <v>19.327457144327798</v>
      </c>
      <c r="S363" s="41">
        <f>VLOOKUP(B363,'Player Data'!$A1:$AE734,7,FALSE)*$Q363*IFERROR((VLOOKUP(P363,Settings!$E$28:$F$33,2,FALSE)+1),1)</f>
        <v>3.3228058267745348</v>
      </c>
      <c r="T363" s="41">
        <f>VLOOKUP(B363,'Player Data'!$A1:$AE734,8,FALSE)*$Q363*IFERROR((VLOOKUP(P363,Settings!$E$28:$F$33,2,FALSE)+1),1)</f>
        <v>17.371445531998379</v>
      </c>
      <c r="U363" s="41">
        <f>SUM(S363:T363)</f>
        <v>20.694251358772913</v>
      </c>
      <c r="V363" s="41">
        <f>VLOOKUP(B363,'Player Data'!$A1:$AE734,10,FALSE)*$Q363*IFERROR(((VLOOKUP(P363,Settings!$E$28:$F$33,2,FALSE)/2)+1),1)</f>
        <v>86.930431333959646</v>
      </c>
      <c r="W363" s="41">
        <f>VLOOKUP(B363,'Player Data'!$A1:$AE734,11,FALSE)*$Q363*IFERROR((VLOOKUP(P363,Settings!$E$28:$F$33,2,FALSE)+1),1)</f>
        <v>1.9622492890771479E-2</v>
      </c>
      <c r="X363" s="41">
        <f>VLOOKUP(B363,'Player Data'!$A1:$AE734,12,FALSE)*$Q363*IFERROR((VLOOKUP(P363,Settings!$E$28:$F$33,2,FALSE)+1),1)</f>
        <v>0.13691213452452489</v>
      </c>
      <c r="Y363" s="41">
        <f>VLOOKUP(B363,'Player Data'!$A1:$AE734,13,FALSE)*$Q363</f>
        <v>3.0231948096401378E-2</v>
      </c>
      <c r="Z363" s="41">
        <f>VLOOKUP(B363,'Player Data'!$A1:$AE734,14,FALSE)*$Q363</f>
        <v>0.1647585674411424</v>
      </c>
      <c r="AA363" s="41">
        <f>VLOOKUP(B363,'Player Data'!$A1:$AE734,15,FALSE)*$Q363</f>
        <v>145.60604177856925</v>
      </c>
      <c r="AB363" s="41">
        <f>VLOOKUP(B363,'Player Data'!$A1:$AE734,16,FALSE)*$Q363</f>
        <v>145.72274361453461</v>
      </c>
      <c r="AC363" s="41">
        <f>VLOOKUP(B363,'Player Data'!$A1:$AE734,17,FALSE)*$Q363*IFERROR((VLOOKUP(P363,Settings!$E$28:$F$33,2,FALSE)+1),1)</f>
        <v>5.3330643293407647</v>
      </c>
      <c r="AD363" s="41">
        <f>VLOOKUP(B363,'Player Data'!$A1:$AE734,18,FALSE)*$Q363</f>
        <v>38.685638735919007</v>
      </c>
      <c r="AE363" s="41">
        <f>VLOOKUP(B363,'Player Data'!$A1:$AE734,19,FALSE)*$Q363*IFERROR((VLOOKUP(P363,Settings!$E$28:$F$33,2,FALSE)+1),1)</f>
        <v>0.5338078728829283</v>
      </c>
      <c r="AF363" s="41">
        <f>VLOOKUP(B363,'Player Data'!$A1:$AE734,20,FALSE)*$Q363</f>
        <v>0</v>
      </c>
      <c r="AG363" s="41">
        <f>VLOOKUP(B363,'Player Data'!$A1:$AE734,21,FALSE)*$Q363</f>
        <v>0</v>
      </c>
      <c r="AH363" s="42">
        <f>VLOOKUP(B363,'Player Data'!$A1:$AE734,22,FALSE)</f>
        <v>0</v>
      </c>
      <c r="AI363" s="39"/>
      <c r="AJ363" s="43"/>
      <c r="AK363" s="41"/>
      <c r="AL363" s="41"/>
      <c r="AM363" s="41"/>
      <c r="AN363" s="41"/>
      <c r="AO363" s="41"/>
      <c r="AP363" s="41"/>
      <c r="AQ363" s="44"/>
      <c r="AR363" s="45"/>
      <c r="AS363" s="43"/>
    </row>
    <row r="364" spans="1:45" ht="21.25" customHeight="1" x14ac:dyDescent="0.15">
      <c r="A364" s="31">
        <f>RANK(K364,K$2:K$727)</f>
        <v>363</v>
      </c>
      <c r="B364" s="8" t="s">
        <v>468</v>
      </c>
      <c r="C364" s="32" t="s">
        <v>106</v>
      </c>
      <c r="D364" s="33" t="str">
        <f>VLOOKUP(B364,'Player Data'!A1:D734,4,FALSE)</f>
        <v>D</v>
      </c>
      <c r="E364" s="49">
        <f>VLOOKUP(B364,D!A1:C227,3,FALSE)</f>
        <v>114</v>
      </c>
      <c r="F364" s="35" t="str">
        <f>VLOOKUP(B364,'Player Data'!A1:B734,2,FALSE)</f>
        <v>WPG</v>
      </c>
      <c r="G364" s="9">
        <f>VLOOKUP(B364,'Player Data'!A1:D734,3,FALSE)</f>
        <v>30</v>
      </c>
      <c r="H364" s="36">
        <f>IFERROR(VLOOKUP(B364,ADP!A1:G728,7,FALSE)/1000000,VLOOKUP(B364,ADP!A1:G728,7,FALSE))</f>
        <v>3</v>
      </c>
      <c r="I364" s="37">
        <f>IF(Settings!$E$15="POINTS",((R364*Q364)*Settings!$B$12)+(S364*Settings!$B$2)+(T364*Settings!$B$3)+(U364*Settings!$B$4)+(V364*Settings!$B$5)+(X364*Settings!$B$9)+(AA364*Settings!$B$6)+(W364*Settings!$B$8)+(AB364*Settings!$B$7)+(AC364*Settings!$B$14)+(AD364*Settings!$B$15)+(AE364*Settings!$B$16)+(AF364*Settings!$B$17)+(AG364*Settings!$B$18)+(U364*Settings!$B$13)+(Y364*Settings!$B$10)+(Z364*Settings!$B$11),VLOOKUP(B364,'Standard Deviations'!A1:C728,3,FALSE))</f>
        <v>134.82032394217077</v>
      </c>
      <c r="J364" s="38">
        <f>IF(D364="G",I364/AJ364,I364/Q364)</f>
        <v>1.715271296974183</v>
      </c>
      <c r="K364" s="37">
        <f>VLOOKUP(B364,D!A1:F227,6,FALSE)</f>
        <v>-176.74515768575668</v>
      </c>
      <c r="L364" s="37">
        <f>IFERROR(K364/H364,"N/A")</f>
        <v>-58.915052561918891</v>
      </c>
      <c r="M364" s="53" t="str">
        <f>IF(Settings!$E$9="YAHOO",VLOOKUP(B364,ADP!A1:E728,2,FALSE),IF(Settings!$E$9="ESPN",VLOOKUP(B364,ADP!A1:E728,3,FALSE),IF(Settings!$E$9="FANTRAX",VLOOKUP(B364,ADP!A1:E728,4,FALSE),VLOOKUP(B364,ADP!A1:E728,5,FALSE))))</f>
        <v>-</v>
      </c>
      <c r="N364" s="53" t="str">
        <f>IFERROR(M364-A364,"N/A")</f>
        <v>N/A</v>
      </c>
      <c r="O364" s="39"/>
      <c r="P364" s="40" t="str">
        <f>IF(Settings!$E$27="ON",VLOOKUP(B364,ADP!A1:H728,8,FALSE)," ")</f>
        <v xml:space="preserve"> </v>
      </c>
      <c r="Q364" s="41">
        <f>IF(Settings!$E$12="YES",VLOOKUP(B364,'Player Data'!A1:E734,5,FALSE),82)</f>
        <v>78.599999999999994</v>
      </c>
      <c r="R364" s="39">
        <f>VLOOKUP(B364,'Player Data'!$A1:$AE734,6,FALSE)</f>
        <v>19.380017271341501</v>
      </c>
      <c r="S364" s="41">
        <f>VLOOKUP(B364,'Player Data'!$A1:$AE734,7,FALSE)*$Q364*IFERROR((VLOOKUP(P364,Settings!$E$28:$F$33,2,FALSE)+1),1)</f>
        <v>2.7697526733141173</v>
      </c>
      <c r="T364" s="41">
        <f>VLOOKUP(B364,'Player Data'!$A1:$AE734,8,FALSE)*$Q364*IFERROR((VLOOKUP(P364,Settings!$E$28:$F$33,2,FALSE)+1),1)</f>
        <v>17.740665540371523</v>
      </c>
      <c r="U364" s="41">
        <f>SUM(S364:T364)</f>
        <v>20.510418213685639</v>
      </c>
      <c r="V364" s="41">
        <f>VLOOKUP(B364,'Player Data'!$A1:$AE734,10,FALSE)*$Q364*IFERROR(((VLOOKUP(P364,Settings!$E$28:$F$33,2,FALSE)/2)+1),1)</f>
        <v>92.893428538700533</v>
      </c>
      <c r="W364" s="41">
        <f>VLOOKUP(B364,'Player Data'!$A1:$AE734,11,FALSE)*$Q364*IFERROR((VLOOKUP(P364,Settings!$E$28:$F$33,2,FALSE)+1),1)</f>
        <v>2.2320343548206431E-2</v>
      </c>
      <c r="X364" s="41">
        <f>VLOOKUP(B364,'Player Data'!$A1:$AE734,12,FALSE)*$Q364*IFERROR((VLOOKUP(P364,Settings!$E$28:$F$33,2,FALSE)+1),1)</f>
        <v>0.16026548946819569</v>
      </c>
      <c r="Y364" s="41">
        <f>VLOOKUP(B364,'Player Data'!$A1:$AE734,13,FALSE)*$Q364</f>
        <v>0.68771588492121205</v>
      </c>
      <c r="Z364" s="41">
        <f>VLOOKUP(B364,'Player Data'!$A1:$AE734,14,FALSE)*$Q364</f>
        <v>2.1541676497903892</v>
      </c>
      <c r="AA364" s="41">
        <f>VLOOKUP(B364,'Player Data'!$A1:$AE734,15,FALSE)*$Q364</f>
        <v>111.06744376623212</v>
      </c>
      <c r="AB364" s="41">
        <f>VLOOKUP(B364,'Player Data'!$A1:$AE734,16,FALSE)*$Q364</f>
        <v>123.50048937221436</v>
      </c>
      <c r="AC364" s="41">
        <f>VLOOKUP(B364,'Player Data'!$A1:$AE734,17,FALSE)*$Q364*IFERROR((VLOOKUP(P364,Settings!$E$28:$F$33,2,FALSE)+1),1)</f>
        <v>2.6912789347248567</v>
      </c>
      <c r="AD364" s="41">
        <f>VLOOKUP(B364,'Player Data'!$A1:$AE734,18,FALSE)*$Q364</f>
        <v>41.12226288765153</v>
      </c>
      <c r="AE364" s="41">
        <f>VLOOKUP(B364,'Player Data'!$A1:$AE734,19,FALSE)*$Q364*IFERROR((VLOOKUP(P364,Settings!$E$28:$F$33,2,FALSE)+1),1)</f>
        <v>0.43209068790334704</v>
      </c>
      <c r="AF364" s="41">
        <f>VLOOKUP(B364,'Player Data'!$A1:$AE734,20,FALSE)*$Q364</f>
        <v>0</v>
      </c>
      <c r="AG364" s="41">
        <f>VLOOKUP(B364,'Player Data'!$A1:$AE734,21,FALSE)*$Q364</f>
        <v>0</v>
      </c>
      <c r="AH364" s="42">
        <f>VLOOKUP(B364,'Player Data'!$A1:$AE734,22,FALSE)</f>
        <v>0</v>
      </c>
      <c r="AI364" s="39"/>
      <c r="AJ364" s="41"/>
      <c r="AK364" s="41"/>
      <c r="AL364" s="41"/>
      <c r="AM364" s="41"/>
      <c r="AN364" s="41"/>
      <c r="AO364" s="41"/>
      <c r="AP364" s="41"/>
      <c r="AQ364" s="44"/>
      <c r="AR364" s="45"/>
      <c r="AS364" s="39"/>
    </row>
    <row r="365" spans="1:45" ht="21.25" customHeight="1" x14ac:dyDescent="0.15">
      <c r="A365" s="31">
        <f>RANK(K365,K$2:K$727)</f>
        <v>364</v>
      </c>
      <c r="B365" s="8" t="s">
        <v>469</v>
      </c>
      <c r="C365" s="32" t="s">
        <v>106</v>
      </c>
      <c r="D365" s="33" t="str">
        <f>VLOOKUP(B365,'Player Data'!A1:D734,4,FALSE)</f>
        <v>D</v>
      </c>
      <c r="E365" s="49">
        <f>VLOOKUP(B365,D!A1:C227,3,FALSE)</f>
        <v>115</v>
      </c>
      <c r="F365" s="35" t="str">
        <f>VLOOKUP(B365,'Player Data'!A1:B734,2,FALSE)</f>
        <v>NJD</v>
      </c>
      <c r="G365" s="9">
        <f>VLOOKUP(B365,'Player Data'!A1:D734,3,FALSE)</f>
        <v>26</v>
      </c>
      <c r="H365" s="36">
        <f>IFERROR(VLOOKUP(B365,ADP!A1:G728,7,FALSE)/1000000,VLOOKUP(B365,ADP!A1:G728,7,FALSE))</f>
        <v>3.0167000000000002</v>
      </c>
      <c r="I365" s="37">
        <f>IF(Settings!$E$15="POINTS",((R365*Q365)*Settings!$B$12)+(S365*Settings!$B$2)+(T365*Settings!$B$3)+(U365*Settings!$B$4)+(V365*Settings!$B$5)+(X365*Settings!$B$9)+(AA365*Settings!$B$6)+(W365*Settings!$B$8)+(AB365*Settings!$B$7)+(AC365*Settings!$B$14)+(AD365*Settings!$B$15)+(AE365*Settings!$B$16)+(AF365*Settings!$B$17)+(AG365*Settings!$B$18)+(U365*Settings!$B$13)+(Y365*Settings!$B$10)+(Z365*Settings!$B$11),VLOOKUP(B365,'Standard Deviations'!A1:C728,3,FALSE))</f>
        <v>134.5159235713995</v>
      </c>
      <c r="J365" s="38">
        <f>IF(D365="G",I365/AJ365,I365/Q365)</f>
        <v>1.7065134611024357</v>
      </c>
      <c r="K365" s="37">
        <f>VLOOKUP(B365,D!A1:F227,6,FALSE)</f>
        <v>-177.04955805652796</v>
      </c>
      <c r="L365" s="37">
        <f>IFERROR(K365/H365,"N/A")</f>
        <v>-58.689812727990173</v>
      </c>
      <c r="M365" s="53" t="str">
        <f>IF(Settings!$E$9="YAHOO",VLOOKUP(B365,ADP!A1:E728,2,FALSE),IF(Settings!$E$9="ESPN",VLOOKUP(B365,ADP!A1:E728,3,FALSE),IF(Settings!$E$9="FANTRAX",VLOOKUP(B365,ADP!A1:E728,4,FALSE),VLOOKUP(B365,ADP!A1:E728,5,FALSE))))</f>
        <v>-</v>
      </c>
      <c r="N365" s="53" t="str">
        <f>IFERROR(M365-A365,"N/A")</f>
        <v>N/A</v>
      </c>
      <c r="O365" s="39"/>
      <c r="P365" s="40" t="str">
        <f>IF(Settings!$E$27="ON",VLOOKUP(B365,ADP!A1:H728,8,FALSE)," ")</f>
        <v xml:space="preserve"> </v>
      </c>
      <c r="Q365" s="41">
        <f>IF(Settings!$E$12="YES",VLOOKUP(B365,'Player Data'!A1:E734,5,FALSE),82)</f>
        <v>78.825000000000003</v>
      </c>
      <c r="R365" s="39">
        <f>VLOOKUP(B365,'Player Data'!$A1:$AE734,6,FALSE)</f>
        <v>20.484557164634101</v>
      </c>
      <c r="S365" s="41">
        <f>VLOOKUP(B365,'Player Data'!$A1:$AE734,7,FALSE)*$Q365*IFERROR((VLOOKUP(P365,Settings!$E$28:$F$33,2,FALSE)+1),1)</f>
        <v>2.9831361382570636</v>
      </c>
      <c r="T365" s="41">
        <f>VLOOKUP(B365,'Player Data'!$A1:$AE734,8,FALSE)*$Q365*IFERROR((VLOOKUP(P365,Settings!$E$28:$F$33,2,FALSE)+1),1)</f>
        <v>16.439120544877174</v>
      </c>
      <c r="U365" s="41">
        <f>SUM(S365:T365)</f>
        <v>19.422256683134236</v>
      </c>
      <c r="V365" s="41">
        <f>VLOOKUP(B365,'Player Data'!$A1:$AE734,10,FALSE)*$Q365*IFERROR(((VLOOKUP(P365,Settings!$E$28:$F$33,2,FALSE)/2)+1),1)</f>
        <v>91.898588638063259</v>
      </c>
      <c r="W365" s="41">
        <f>VLOOKUP(B365,'Player Data'!$A1:$AE734,11,FALSE)*$Q365*IFERROR((VLOOKUP(P365,Settings!$E$28:$F$33,2,FALSE)+1),1)</f>
        <v>0.19105873015978925</v>
      </c>
      <c r="X365" s="41">
        <f>VLOOKUP(B365,'Player Data'!$A1:$AE734,12,FALSE)*$Q365*IFERROR((VLOOKUP(P365,Settings!$E$28:$F$33,2,FALSE)+1),1)</f>
        <v>0.44980698002518932</v>
      </c>
      <c r="Y365" s="41">
        <f>VLOOKUP(B365,'Player Data'!$A1:$AE734,13,FALSE)*$Q365</f>
        <v>3.0248242295277693E-2</v>
      </c>
      <c r="Z365" s="41">
        <f>VLOOKUP(B365,'Player Data'!$A1:$AE734,14,FALSE)*$Q365</f>
        <v>0.50349856041299412</v>
      </c>
      <c r="AA365" s="41">
        <f>VLOOKUP(B365,'Player Data'!$A1:$AE734,15,FALSE)*$Q365</f>
        <v>141.96624061044395</v>
      </c>
      <c r="AB365" s="41">
        <f>VLOOKUP(B365,'Player Data'!$A1:$AE734,16,FALSE)*$Q365</f>
        <v>108.33728878034388</v>
      </c>
      <c r="AC365" s="41">
        <f>VLOOKUP(B365,'Player Data'!$A1:$AE734,17,FALSE)*$Q365*IFERROR((VLOOKUP(P365,Settings!$E$28:$F$33,2,FALSE)+1),1)</f>
        <v>0.71553950504840169</v>
      </c>
      <c r="AD365" s="41">
        <f>VLOOKUP(B365,'Player Data'!$A1:$AE734,18,FALSE)*$Q365</f>
        <v>43.793414530254829</v>
      </c>
      <c r="AE365" s="41">
        <f>VLOOKUP(B365,'Player Data'!$A1:$AE734,19,FALSE)*$Q365*IFERROR((VLOOKUP(P365,Settings!$E$28:$F$33,2,FALSE)+1),1)</f>
        <v>0.43908961112253381</v>
      </c>
      <c r="AF365" s="41">
        <f>VLOOKUP(B365,'Player Data'!$A1:$AE734,20,FALSE)*$Q365</f>
        <v>0</v>
      </c>
      <c r="AG365" s="41">
        <f>VLOOKUP(B365,'Player Data'!$A1:$AE734,21,FALSE)*$Q365</f>
        <v>0</v>
      </c>
      <c r="AH365" s="42">
        <f>VLOOKUP(B365,'Player Data'!$A1:$AE734,22,FALSE)</f>
        <v>0</v>
      </c>
      <c r="AI365" s="39"/>
      <c r="AJ365" s="43"/>
      <c r="AK365" s="41"/>
      <c r="AL365" s="41"/>
      <c r="AM365" s="41"/>
      <c r="AN365" s="41"/>
      <c r="AO365" s="41"/>
      <c r="AP365" s="41"/>
      <c r="AQ365" s="44"/>
      <c r="AR365" s="45"/>
      <c r="AS365" s="39"/>
    </row>
    <row r="366" spans="1:45" ht="21.25" customHeight="1" x14ac:dyDescent="0.15">
      <c r="A366" s="31">
        <f>RANK(K366,K$2:K$727)</f>
        <v>365</v>
      </c>
      <c r="B366" s="8" t="s">
        <v>470</v>
      </c>
      <c r="C366" s="32" t="s">
        <v>106</v>
      </c>
      <c r="D366" s="33" t="str">
        <f>VLOOKUP(B366,'Player Data'!A1:D734,4,FALSE)</f>
        <v>D</v>
      </c>
      <c r="E366" s="49">
        <f>VLOOKUP(B366,D!A1:C227,3,FALSE)</f>
        <v>116</v>
      </c>
      <c r="F366" s="35" t="str">
        <f>VLOOKUP(B366,'Player Data'!A1:B734,2,FALSE)</f>
        <v>VGK</v>
      </c>
      <c r="G366" s="9">
        <f>VLOOKUP(B366,'Player Data'!A1:D734,3,FALSE)</f>
        <v>24</v>
      </c>
      <c r="H366" s="36">
        <f>IFERROR(VLOOKUP(B366,ADP!A1:G728,7,FALSE)/1000000,VLOOKUP(B366,ADP!A1:G728,7,FALSE))</f>
        <v>2.2941500000000001</v>
      </c>
      <c r="I366" s="37">
        <f>IF(Settings!$E$15="POINTS",((R366*Q366)*Settings!$B$12)+(S366*Settings!$B$2)+(T366*Settings!$B$3)+(U366*Settings!$B$4)+(V366*Settings!$B$5)+(X366*Settings!$B$9)+(AA366*Settings!$B$6)+(W366*Settings!$B$8)+(AB366*Settings!$B$7)+(AC366*Settings!$B$14)+(AD366*Settings!$B$15)+(AE366*Settings!$B$16)+(AF366*Settings!$B$17)+(AG366*Settings!$B$18)+(U366*Settings!$B$13)+(Y366*Settings!$B$10)+(Z366*Settings!$B$11),VLOOKUP(B366,'Standard Deviations'!A1:C728,3,FALSE))</f>
        <v>134.29875521731151</v>
      </c>
      <c r="J366" s="38">
        <f>IF(D366="G",I366/AJ366,I366/Q366)</f>
        <v>1.7409339694925035</v>
      </c>
      <c r="K366" s="37">
        <f>VLOOKUP(B366,D!A1:F227,6,FALSE)</f>
        <v>-177.26672641061595</v>
      </c>
      <c r="L366" s="37">
        <f>IFERROR(K366/H366,"N/A")</f>
        <v>-77.269021820986396</v>
      </c>
      <c r="M366" s="53" t="str">
        <f>IF(Settings!$E$9="YAHOO",VLOOKUP(B366,ADP!A1:E728,2,FALSE),IF(Settings!$E$9="ESPN",VLOOKUP(B366,ADP!A1:E728,3,FALSE),IF(Settings!$E$9="FANTRAX",VLOOKUP(B366,ADP!A1:E728,4,FALSE),VLOOKUP(B366,ADP!A1:E728,5,FALSE))))</f>
        <v>-</v>
      </c>
      <c r="N366" s="53" t="str">
        <f>IFERROR(M366-A366,"N/A")</f>
        <v>N/A</v>
      </c>
      <c r="O366" s="39"/>
      <c r="P366" s="40" t="str">
        <f>IF(Settings!$E$27="ON",VLOOKUP(B366,ADP!A1:H728,8,FALSE)," ")</f>
        <v xml:space="preserve"> </v>
      </c>
      <c r="Q366" s="41">
        <f>IF(Settings!$E$12="YES",VLOOKUP(B366,'Player Data'!A1:E734,5,FALSE),82)</f>
        <v>77.141785714285703</v>
      </c>
      <c r="R366" s="39">
        <f>VLOOKUP(B366,'Player Data'!$A1:$AE734,6,FALSE)</f>
        <v>17.250053396232701</v>
      </c>
      <c r="S366" s="41">
        <f>VLOOKUP(B366,'Player Data'!$A1:$AE734,7,FALSE)*$Q366*IFERROR((VLOOKUP(P366,Settings!$E$28:$F$33,2,FALSE)+1),1)</f>
        <v>4.4619553328418453</v>
      </c>
      <c r="T366" s="41">
        <f>VLOOKUP(B366,'Player Data'!$A1:$AE734,8,FALSE)*$Q366*IFERROR((VLOOKUP(P366,Settings!$E$28:$F$33,2,FALSE)+1),1)</f>
        <v>15.052419035152562</v>
      </c>
      <c r="U366" s="41">
        <f>SUM(S366:T366)</f>
        <v>19.514374367994407</v>
      </c>
      <c r="V366" s="41">
        <f>VLOOKUP(B366,'Player Data'!$A1:$AE734,10,FALSE)*$Q366*IFERROR(((VLOOKUP(P366,Settings!$E$28:$F$33,2,FALSE)/2)+1),1)</f>
        <v>105.57722056279627</v>
      </c>
      <c r="W366" s="41">
        <f>VLOOKUP(B366,'Player Data'!$A1:$AE734,11,FALSE)*$Q366*IFERROR((VLOOKUP(P366,Settings!$E$28:$F$33,2,FALSE)+1),1)</f>
        <v>1.6294495138408048E-2</v>
      </c>
      <c r="X366" s="41">
        <f>VLOOKUP(B366,'Player Data'!$A1:$AE734,12,FALSE)*$Q366*IFERROR((VLOOKUP(P366,Settings!$E$28:$F$33,2,FALSE)+1),1)</f>
        <v>0.1106095608460468</v>
      </c>
      <c r="Y366" s="41">
        <f>VLOOKUP(B366,'Player Data'!$A1:$AE734,13,FALSE)*$Q366</f>
        <v>2.4630919259093175E-2</v>
      </c>
      <c r="Z366" s="41">
        <f>VLOOKUP(B366,'Player Data'!$A1:$AE734,14,FALSE)*$Q366</f>
        <v>9.1592527847541211E-2</v>
      </c>
      <c r="AA366" s="41">
        <f>VLOOKUP(B366,'Player Data'!$A1:$AE734,15,FALSE)*$Q366</f>
        <v>112.81308827271496</v>
      </c>
      <c r="AB366" s="41">
        <f>VLOOKUP(B366,'Player Data'!$A1:$AE734,16,FALSE)*$Q366</f>
        <v>103.66068141405275</v>
      </c>
      <c r="AC366" s="41">
        <f>VLOOKUP(B366,'Player Data'!$A1:$AE734,17,FALSE)*$Q366*IFERROR((VLOOKUP(P366,Settings!$E$28:$F$33,2,FALSE)+1),1)</f>
        <v>4.0849045000647255</v>
      </c>
      <c r="AD366" s="41">
        <f>VLOOKUP(B366,'Player Data'!$A1:$AE734,18,FALSE)*$Q366</f>
        <v>37.573636968426328</v>
      </c>
      <c r="AE366" s="41">
        <f>VLOOKUP(B366,'Player Data'!$A1:$AE734,19,FALSE)*$Q366*IFERROR((VLOOKUP(P366,Settings!$E$28:$F$33,2,FALSE)+1),1)</f>
        <v>0.72920524475744186</v>
      </c>
      <c r="AF366" s="41">
        <f>VLOOKUP(B366,'Player Data'!$A1:$AE734,20,FALSE)*$Q366</f>
        <v>0</v>
      </c>
      <c r="AG366" s="41">
        <f>VLOOKUP(B366,'Player Data'!$A1:$AE734,21,FALSE)*$Q366</f>
        <v>0</v>
      </c>
      <c r="AH366" s="42">
        <f>VLOOKUP(B366,'Player Data'!$A1:$AE734,22,FALSE)</f>
        <v>0</v>
      </c>
      <c r="AI366" s="39"/>
      <c r="AJ366" s="41"/>
      <c r="AK366" s="41"/>
      <c r="AL366" s="41"/>
      <c r="AM366" s="41"/>
      <c r="AN366" s="41"/>
      <c r="AO366" s="41"/>
      <c r="AP366" s="41"/>
      <c r="AQ366" s="44"/>
      <c r="AR366" s="45"/>
      <c r="AS366" s="39"/>
    </row>
    <row r="367" spans="1:45" ht="21.25" customHeight="1" x14ac:dyDescent="0.15">
      <c r="A367" s="31">
        <f>RANK(K367,K$2:K$727)</f>
        <v>366</v>
      </c>
      <c r="B367" s="8" t="s">
        <v>471</v>
      </c>
      <c r="C367" s="32" t="s">
        <v>106</v>
      </c>
      <c r="D367" s="33" t="str">
        <f>VLOOKUP(B367,'Player Data'!A1:D734,4,FALSE)</f>
        <v>LW</v>
      </c>
      <c r="E367" s="47">
        <f>VLOOKUP(B367,LW!A1:C130,3,FALSE)</f>
        <v>74</v>
      </c>
      <c r="F367" s="35" t="str">
        <f>VLOOKUP(B367,'Player Data'!A1:B734,2,FALSE)</f>
        <v>MIN</v>
      </c>
      <c r="G367" s="9">
        <f>VLOOKUP(B367,'Player Data'!A1:D734,3,FALSE)</f>
        <v>32</v>
      </c>
      <c r="H367" s="36">
        <f>IFERROR(VLOOKUP(B367,ADP!A1:G728,7,FALSE)/1000000,VLOOKUP(B367,ADP!A1:G728,7,FALSE))</f>
        <v>2</v>
      </c>
      <c r="I367" s="37">
        <f>IF(Settings!$E$15="POINTS",((R367*Q367)*Settings!$B$12)+(S367*Settings!$B$2)+(T367*Settings!$B$3)+(U367*Settings!$B$4)+(V367*Settings!$B$5)+(X367*Settings!$B$9)+(AA367*Settings!$B$6)+(W367*Settings!$B$8)+(AB367*Settings!$B$7)+(AC367*Settings!$B$14)+(AD367*Settings!$B$15)+(AE367*Settings!$B$16)+(AF367*Settings!$B$17)+(AG367*Settings!$B$18)+(Y367*Settings!$B$10)+(Z367*Settings!$B$11),VLOOKUP(B367,'Standard Deviations'!A1:C728,3,FALSE))</f>
        <v>186.63413430545472</v>
      </c>
      <c r="J367" s="38">
        <f>IF(D367="G",I367/AJ367,I367/Q367)</f>
        <v>2.4251134698715595</v>
      </c>
      <c r="K367" s="37">
        <f>IF(Settings!$E$18="C/LW/RW",VLOOKUP(B367,LW!A1:F130,6,FALSE),VLOOKUP(B367,F!A1:F430,6,FALSE))</f>
        <v>-177.40647055219574</v>
      </c>
      <c r="L367" s="37">
        <f>IFERROR(K367/H367,"N/A")</f>
        <v>-88.703235276097871</v>
      </c>
      <c r="M367" s="53" t="str">
        <f>IF(Settings!$E$9="YAHOO",VLOOKUP(B367,ADP!A1:E728,2,FALSE),IF(Settings!$E$9="ESPN",VLOOKUP(B367,ADP!A1:E728,3,FALSE),IF(Settings!$E$9="FANTRAX",VLOOKUP(B367,ADP!A1:E728,4,FALSE),VLOOKUP(B367,ADP!A1:E728,5,FALSE))))</f>
        <v>-</v>
      </c>
      <c r="N367" s="53" t="str">
        <f>IFERROR(M367-A367,"N/A")</f>
        <v>N/A</v>
      </c>
      <c r="O367" s="39"/>
      <c r="P367" s="40" t="str">
        <f>IF(Settings!$E$27="ON",VLOOKUP(B367,ADP!A1:H728,8,FALSE)," ")</f>
        <v xml:space="preserve"> </v>
      </c>
      <c r="Q367" s="41">
        <f>IF(Settings!$E$12="YES",VLOOKUP(B367,'Player Data'!A1:E734,5,FALSE),82)</f>
        <v>76.958928571428601</v>
      </c>
      <c r="R367" s="39">
        <f>VLOOKUP(B367,'Player Data'!$A1:$AE734,6,FALSE)</f>
        <v>16.187360942794601</v>
      </c>
      <c r="S367" s="41">
        <f>VLOOKUP(B367,'Player Data'!$A1:$AE734,7,FALSE)*$Q367*IFERROR((VLOOKUP(P367,Settings!$E$28:$F$33,2,FALSE)+1),1)</f>
        <v>13.362985526756932</v>
      </c>
      <c r="T367" s="41">
        <f>VLOOKUP(B367,'Player Data'!$A1:$AE734,8,FALSE)*$Q367*IFERROR((VLOOKUP(P367,Settings!$E$28:$F$33,2,FALSE)+1),1)</f>
        <v>20.222837252311042</v>
      </c>
      <c r="U367" s="41">
        <f>SUM(S367:T367)</f>
        <v>33.585822779067975</v>
      </c>
      <c r="V367" s="41">
        <f>VLOOKUP(B367,'Player Data'!$A1:$AE734,10,FALSE)*$Q367*IFERROR(((VLOOKUP(P367,Settings!$E$28:$F$33,2,FALSE)/2)+1),1)</f>
        <v>126.50724679365257</v>
      </c>
      <c r="W367" s="41">
        <f>VLOOKUP(B367,'Player Data'!$A1:$AE734,11,FALSE)*$Q367*IFERROR((VLOOKUP(P367,Settings!$E$28:$F$33,2,FALSE)+1),1)</f>
        <v>2.2809627310424174</v>
      </c>
      <c r="X367" s="41">
        <f>VLOOKUP(B367,'Player Data'!$A1:$AE734,12,FALSE)*$Q367*IFERROR((VLOOKUP(P367,Settings!$E$28:$F$33,2,FALSE)+1),1)</f>
        <v>7.8032217360960994</v>
      </c>
      <c r="Y367" s="41">
        <f>VLOOKUP(B367,'Player Data'!$A1:$AE734,13,FALSE)*$Q367</f>
        <v>0.67088401112155549</v>
      </c>
      <c r="Z367" s="41">
        <f>VLOOKUP(B367,'Player Data'!$A1:$AE734,14,FALSE)*$Q367</f>
        <v>0.79029395434146799</v>
      </c>
      <c r="AA367" s="41">
        <f>VLOOKUP(B367,'Player Data'!$A1:$AE734,15,FALSE)*$Q367</f>
        <v>27.180055952746695</v>
      </c>
      <c r="AB367" s="41">
        <f>VLOOKUP(B367,'Player Data'!$A1:$AE734,16,FALSE)*$Q367</f>
        <v>32.656263678535275</v>
      </c>
      <c r="AC367" s="41">
        <f>VLOOKUP(B367,'Player Data'!$A1:$AE734,17,FALSE)*$Q367*IFERROR((VLOOKUP(P367,Settings!$E$28:$F$33,2,FALSE)+1),1)</f>
        <v>2.1817058459629695</v>
      </c>
      <c r="AD367" s="41">
        <f>VLOOKUP(B367,'Player Data'!$A1:$AE734,18,FALSE)*$Q367</f>
        <v>11.273397868871411</v>
      </c>
      <c r="AE367" s="41">
        <f>VLOOKUP(B367,'Player Data'!$A1:$AE734,19,FALSE)*$Q367*IFERROR((VLOOKUP(P367,Settings!$E$28:$F$33,2,FALSE)+1),1)</f>
        <v>2.1457803167279068</v>
      </c>
      <c r="AF367" s="41">
        <f>VLOOKUP(B367,'Player Data'!$A1:$AE734,20,FALSE)*$Q367</f>
        <v>28.500769229768284</v>
      </c>
      <c r="AG367" s="41">
        <f>VLOOKUP(B367,'Player Data'!$A1:$AE734,21,FALSE)*$Q367</f>
        <v>38.539529538447923</v>
      </c>
      <c r="AH367" s="42">
        <f>VLOOKUP(B367,'Player Data'!$A1:$AE734,22,FALSE)</f>
        <v>0.42512891131804598</v>
      </c>
      <c r="AI367" s="39"/>
      <c r="AJ367" s="43"/>
      <c r="AK367" s="41"/>
      <c r="AL367" s="41"/>
      <c r="AM367" s="41"/>
      <c r="AN367" s="41"/>
      <c r="AO367" s="41"/>
      <c r="AP367" s="41"/>
      <c r="AQ367" s="44"/>
      <c r="AR367" s="45"/>
      <c r="AS367" s="39"/>
    </row>
    <row r="368" spans="1:45" ht="21.25" customHeight="1" x14ac:dyDescent="0.15">
      <c r="A368" s="31">
        <f>RANK(K368,K$2:K$727)</f>
        <v>367</v>
      </c>
      <c r="B368" s="8" t="s">
        <v>472</v>
      </c>
      <c r="C368" s="32" t="s">
        <v>106</v>
      </c>
      <c r="D368" s="33" t="str">
        <f>VLOOKUP(B368,'Player Data'!A1:D734,4,FALSE)</f>
        <v>D</v>
      </c>
      <c r="E368" s="49">
        <f>VLOOKUP(B368,D!A1:C227,3,FALSE)</f>
        <v>117</v>
      </c>
      <c r="F368" s="35" t="str">
        <f>VLOOKUP(B368,'Player Data'!A1:B734,2,FALSE)</f>
        <v>LAK</v>
      </c>
      <c r="G368" s="9">
        <f>VLOOKUP(B368,'Player Data'!A1:D734,3,FALSE)</f>
        <v>24</v>
      </c>
      <c r="H368" s="36">
        <f>IFERROR(VLOOKUP(B368,ADP!A1:G728,7,FALSE)/1000000,VLOOKUP(B368,ADP!A1:G728,7,FALSE))</f>
        <v>4.125</v>
      </c>
      <c r="I368" s="37">
        <f>IF(Settings!$E$15="POINTS",((R368*Q368)*Settings!$B$12)+(S368*Settings!$B$2)+(T368*Settings!$B$3)+(U368*Settings!$B$4)+(V368*Settings!$B$5)+(X368*Settings!$B$9)+(AA368*Settings!$B$6)+(W368*Settings!$B$8)+(AB368*Settings!$B$7)+(AC368*Settings!$B$14)+(AD368*Settings!$B$15)+(AE368*Settings!$B$16)+(AF368*Settings!$B$17)+(AG368*Settings!$B$18)+(U368*Settings!$B$13)+(Y368*Settings!$B$10)+(Z368*Settings!$B$11),VLOOKUP(B368,'Standard Deviations'!A1:C728,3,FALSE))</f>
        <v>133.86066740273873</v>
      </c>
      <c r="J368" s="38">
        <f>IF(D368="G",I368/AJ368,I368/Q368)</f>
        <v>1.7291947033395842</v>
      </c>
      <c r="K368" s="37">
        <f>VLOOKUP(B368,D!A1:F227,6,FALSE)</f>
        <v>-177.70481422518873</v>
      </c>
      <c r="L368" s="37">
        <f>IFERROR(K368/H368,"N/A")</f>
        <v>-43.079954963682113</v>
      </c>
      <c r="M368" s="53" t="str">
        <f>IF(Settings!$E$9="YAHOO",VLOOKUP(B368,ADP!A1:E728,2,FALSE),IF(Settings!$E$9="ESPN",VLOOKUP(B368,ADP!A1:E728,3,FALSE),IF(Settings!$E$9="FANTRAX",VLOOKUP(B368,ADP!A1:E728,4,FALSE),VLOOKUP(B368,ADP!A1:E728,5,FALSE))))</f>
        <v>-</v>
      </c>
      <c r="N368" s="53" t="str">
        <f>IFERROR(M368-A368,"N/A")</f>
        <v>N/A</v>
      </c>
      <c r="O368" s="39"/>
      <c r="P368" s="40" t="str">
        <f>IF(Settings!$E$27="ON",VLOOKUP(B368,ADP!A1:H728,8,FALSE)," ")</f>
        <v xml:space="preserve"> </v>
      </c>
      <c r="Q368" s="41">
        <f>IF(Settings!$E$12="YES",VLOOKUP(B368,'Player Data'!A1:E734,5,FALSE),82)</f>
        <v>77.412142857142896</v>
      </c>
      <c r="R368" s="39">
        <f>VLOOKUP(B368,'Player Data'!$A1:$AE734,6,FALSE)</f>
        <v>21.577976981670201</v>
      </c>
      <c r="S368" s="41">
        <f>VLOOKUP(B368,'Player Data'!$A1:$AE734,7,FALSE)*$Q368*IFERROR((VLOOKUP(P368,Settings!$E$28:$F$33,2,FALSE)+1),1)</f>
        <v>4.2139828367438374</v>
      </c>
      <c r="T368" s="41">
        <f>VLOOKUP(B368,'Player Data'!$A1:$AE734,8,FALSE)*$Q368*IFERROR((VLOOKUP(P368,Settings!$E$28:$F$33,2,FALSE)+1),1)</f>
        <v>15.88441100467265</v>
      </c>
      <c r="U368" s="41">
        <f>SUM(S368:T368)</f>
        <v>20.098393841416488</v>
      </c>
      <c r="V368" s="41">
        <f>VLOOKUP(B368,'Player Data'!$A1:$AE734,10,FALSE)*$Q368*IFERROR(((VLOOKUP(P368,Settings!$E$28:$F$33,2,FALSE)/2)+1),1)</f>
        <v>92.501014328051852</v>
      </c>
      <c r="W368" s="41">
        <f>VLOOKUP(B368,'Player Data'!$A1:$AE734,11,FALSE)*$Q368*IFERROR((VLOOKUP(P368,Settings!$E$28:$F$33,2,FALSE)+1),1)</f>
        <v>9.2338033956138862E-2</v>
      </c>
      <c r="X368" s="41">
        <f>VLOOKUP(B368,'Player Data'!$A1:$AE734,12,FALSE)*$Q368*IFERROR((VLOOKUP(P368,Settings!$E$28:$F$33,2,FALSE)+1),1)</f>
        <v>0.21715185674506801</v>
      </c>
      <c r="Y368" s="41">
        <f>VLOOKUP(B368,'Player Data'!$A1:$AE734,13,FALSE)*$Q368</f>
        <v>2.7834097602219415E-2</v>
      </c>
      <c r="Z368" s="41">
        <f>VLOOKUP(B368,'Player Data'!$A1:$AE734,14,FALSE)*$Q368</f>
        <v>1.0825710808518978</v>
      </c>
      <c r="AA368" s="41">
        <f>VLOOKUP(B368,'Player Data'!$A1:$AE734,15,FALSE)*$Q368</f>
        <v>123.5776641963471</v>
      </c>
      <c r="AB368" s="41">
        <f>VLOOKUP(B368,'Player Data'!$A1:$AE734,16,FALSE)*$Q368</f>
        <v>149.5745908771967</v>
      </c>
      <c r="AC368" s="41">
        <f>VLOOKUP(B368,'Player Data'!$A1:$AE734,17,FALSE)*$Q368*IFERROR((VLOOKUP(P368,Settings!$E$28:$F$33,2,FALSE)+1),1)</f>
        <v>0.4942899874961646</v>
      </c>
      <c r="AD368" s="41">
        <f>VLOOKUP(B368,'Player Data'!$A1:$AE734,18,FALSE)*$Q368</f>
        <v>30.241639311698169</v>
      </c>
      <c r="AE368" s="41">
        <f>VLOOKUP(B368,'Player Data'!$A1:$AE734,19,FALSE)*$Q368*IFERROR((VLOOKUP(P368,Settings!$E$28:$F$33,2,FALSE)+1),1)</f>
        <v>0.62562403563714408</v>
      </c>
      <c r="AF368" s="41">
        <f>VLOOKUP(B368,'Player Data'!$A1:$AE734,20,FALSE)*$Q368</f>
        <v>0</v>
      </c>
      <c r="AG368" s="41">
        <f>VLOOKUP(B368,'Player Data'!$A1:$AE734,21,FALSE)*$Q368</f>
        <v>0</v>
      </c>
      <c r="AH368" s="42">
        <f>VLOOKUP(B368,'Player Data'!$A1:$AE734,22,FALSE)</f>
        <v>0</v>
      </c>
      <c r="AI368" s="39"/>
      <c r="AJ368" s="43"/>
      <c r="AK368" s="41"/>
      <c r="AL368" s="41"/>
      <c r="AM368" s="41"/>
      <c r="AN368" s="41"/>
      <c r="AO368" s="41"/>
      <c r="AP368" s="41"/>
      <c r="AQ368" s="44"/>
      <c r="AR368" s="45"/>
      <c r="AS368" s="39"/>
    </row>
    <row r="369" spans="1:45" ht="21.25" customHeight="1" x14ac:dyDescent="0.15">
      <c r="A369" s="31">
        <f>RANK(K369,K$2:K$727)</f>
        <v>368</v>
      </c>
      <c r="B369" s="8" t="s">
        <v>473</v>
      </c>
      <c r="C369" s="32" t="s">
        <v>106</v>
      </c>
      <c r="D369" s="33" t="str">
        <f>VLOOKUP(B369,'Player Data'!A1:D734,4,FALSE)</f>
        <v>G</v>
      </c>
      <c r="E369" s="50">
        <f>VLOOKUP(B369,G!A1:D75,3,FALSE)</f>
        <v>37</v>
      </c>
      <c r="F369" s="35" t="str">
        <f>VLOOKUP(B369,'Player Data'!A1:B734,2,FALSE)</f>
        <v>EDM</v>
      </c>
      <c r="G369" s="9">
        <f>VLOOKUP(B369,'Player Data'!A1:D734,3,FALSE)</f>
        <v>31</v>
      </c>
      <c r="H369" s="36">
        <f>IFERROR(VLOOKUP(B369,ADP!A1:G728,7,FALSE)/1000000,VLOOKUP(B369,ADP!A1:G728,7,FALSE))</f>
        <v>5</v>
      </c>
      <c r="I369" s="37">
        <f>IF(Settings!$E$15="POINTS",(AJ369*Settings!$B$29)+(AK369*Settings!$B$21)+(AL369*Settings!$B$22)+(AN369*Settings!$B$24)+(AO369*Settings!$B$25)+(AP369*Settings!$B$27)+(AM369*Settings!$B$23),VLOOKUP(B369,'Standard Deviations'!A1:C728,3,FALSE))</f>
        <v>220.70727587013556</v>
      </c>
      <c r="J369" s="38">
        <f>IF(D369="G",I369/AJ369,I369/Q369)</f>
        <v>6.8971023709417363</v>
      </c>
      <c r="K369" s="37">
        <f>VLOOKUP(B369,G!A1:F75,6,FALSE)</f>
        <v>-178.06838621918064</v>
      </c>
      <c r="L369" s="37">
        <f>IFERROR(K369/H369,"N/A")</f>
        <v>-35.613677243836129</v>
      </c>
      <c r="M369" s="39">
        <f>IF(Settings!$E$9="YAHOO",VLOOKUP(B369,ADP!A1:E728,2,FALSE),IF(Settings!$E$9="ESPN",VLOOKUP(B369,ADP!A1:E728,3,FALSE),IF(Settings!$E$9="FANTRAX",VLOOKUP(B369,ADP!A1:E728,4,FALSE),VLOOKUP(B369,ADP!A1:E728,5,FALSE))))</f>
        <v>166.1</v>
      </c>
      <c r="N369" s="39">
        <f>IFERROR(M369-A369,"N/A")</f>
        <v>-201.9</v>
      </c>
      <c r="O369" s="39"/>
      <c r="P369" s="40" t="str">
        <f>IF(Settings!$E$27="ON",VLOOKUP(B369,ADP!A1:H728,8,FALSE)," ")</f>
        <v xml:space="preserve"> </v>
      </c>
      <c r="Q369" s="41"/>
      <c r="R369" s="5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2"/>
      <c r="AI369" s="39"/>
      <c r="AJ369" s="43">
        <f>VLOOKUP(B369,'Player Data'!$A1:$AE734,24,FALSE)</f>
        <v>32</v>
      </c>
      <c r="AK369" s="41">
        <f>VLOOKUP(B369,'Player Data'!$A1:$AE734,25,FALSE)*$AJ369*IFERROR((VLOOKUP(P369,Settings!$E$28:$F$33,2,FALSE)+1),1)</f>
        <v>18.681527171837473</v>
      </c>
      <c r="AL369" s="41">
        <f>AJ369-AK369-AM369</f>
        <v>9.3184728281625269</v>
      </c>
      <c r="AM369" s="41">
        <f>VLOOKUP(B369,'Player Data'!$A1:$AE734,27,FALSE)*$AJ369</f>
        <v>4</v>
      </c>
      <c r="AN369" s="41">
        <f>VLOOKUP(B369,'Player Data'!$A1:$AE734,28,FALSE)*AJ369</f>
        <v>1.4749143620491711</v>
      </c>
      <c r="AO369" s="41">
        <f>VLOOKUP(B369,'Player Data'!$A1:$AE734,29,FALSE)*$AJ369*IFERROR((VLOOKUP(P369,Settings!$E$28:$F$33,2,FALSE)/4)+1,1)</f>
        <v>888.13926303729284</v>
      </c>
      <c r="AP369" s="41">
        <f>VLOOKUP(B369,'Player Data'!$A1:$AE734,31,FALSE)*$AJ369*(IFERROR(1-(VLOOKUP(P369,Settings!$E$28:$F$33,2,FALSE)/4),1))</f>
        <v>94.118921962707205</v>
      </c>
      <c r="AQ369" s="44">
        <f>1-(AP369/(AO369+AP369))</f>
        <v>0.9041810764216669</v>
      </c>
      <c r="AR369" s="45">
        <f>AP369/AJ369</f>
        <v>2.9412163113346002</v>
      </c>
      <c r="AS369" s="39"/>
    </row>
    <row r="370" spans="1:45" ht="21.25" customHeight="1" x14ac:dyDescent="0.15">
      <c r="A370" s="31">
        <f>RANK(K370,K$2:K$727)</f>
        <v>369</v>
      </c>
      <c r="B370" s="8" t="s">
        <v>474</v>
      </c>
      <c r="C370" s="32" t="s">
        <v>106</v>
      </c>
      <c r="D370" s="33" t="str">
        <f>VLOOKUP(B370,'Player Data'!A1:D734,4,FALSE)</f>
        <v>C</v>
      </c>
      <c r="E370" s="34">
        <f>VLOOKUP(B370,'C'!A1:C211,3,FALSE)</f>
        <v>91</v>
      </c>
      <c r="F370" s="35" t="str">
        <f>VLOOKUP(B370,'Player Data'!A1:B734,2,FALSE)</f>
        <v>PHI</v>
      </c>
      <c r="G370" s="9">
        <f>VLOOKUP(B370,'Player Data'!A1:D734,3,FALSE)</f>
        <v>24</v>
      </c>
      <c r="H370" s="36">
        <f>IFERROR(VLOOKUP(B370,ADP!A1:G728,7,FALSE)/1000000,VLOOKUP(B370,ADP!A1:G728,7,FALSE))</f>
        <v>0</v>
      </c>
      <c r="I370" s="37">
        <f>IF(Settings!$E$15="POINTS",((R370*Q370)*Settings!$B$12)+(S370*Settings!$B$2)+(T370*Settings!$B$3)+(U370*Settings!$B$4)+(V370*Settings!$B$5)+(X370*Settings!$B$9)+(AA370*Settings!$B$6)+(W370*Settings!$B$8)+(AB370*Settings!$B$7)+(AC370*Settings!$B$14)+(AD370*Settings!$B$15)+(AE370*Settings!$B$16)+(AF370*Settings!$B$17)+(AG370*Settings!$B$18)+(Y370*Settings!$B$10)+(Z370*Settings!$B$11),VLOOKUP(B370,'Standard Deviations'!A1:C728,3,FALSE))</f>
        <v>214.55943364223992</v>
      </c>
      <c r="J370" s="38">
        <f>IF(D370="G",I370/AJ370,I370/Q370)</f>
        <v>2.8441070207083765</v>
      </c>
      <c r="K370" s="37">
        <f>IF(Settings!$E$18="C/LW/RW",VLOOKUP(B370,'C'!A1:F211,6,FALSE),VLOOKUP(B370,F!A1:F430,6,FALSE))</f>
        <v>-178.76937212396973</v>
      </c>
      <c r="L370" s="52" t="str">
        <f>IFERROR(K370/H370,"N/A")</f>
        <v>N/A</v>
      </c>
      <c r="M370" s="53" t="str">
        <f>IF(Settings!$E$9="YAHOO",VLOOKUP(B370,ADP!A1:E728,2,FALSE),IF(Settings!$E$9="ESPN",VLOOKUP(B370,ADP!A1:E728,3,FALSE),IF(Settings!$E$9="FANTRAX",VLOOKUP(B370,ADP!A1:E728,4,FALSE),VLOOKUP(B370,ADP!A1:E728,5,FALSE))))</f>
        <v>-</v>
      </c>
      <c r="N370" s="53" t="str">
        <f>IFERROR(M370-A370,"N/A")</f>
        <v>N/A</v>
      </c>
      <c r="O370" s="39"/>
      <c r="P370" s="40" t="str">
        <f>IF(Settings!$E$27="ON",VLOOKUP(B370,ADP!A1:H728,8,FALSE)," ")</f>
        <v xml:space="preserve"> </v>
      </c>
      <c r="Q370" s="41">
        <f>IF(Settings!$E$12="YES",VLOOKUP(B370,'Player Data'!A1:E734,5,FALSE),82)</f>
        <v>75.44</v>
      </c>
      <c r="R370" s="39">
        <f>VLOOKUP(B370,'Player Data'!$A1:$AE734,6,FALSE)</f>
        <v>16.125493884150501</v>
      </c>
      <c r="S370" s="41">
        <f>VLOOKUP(B370,'Player Data'!$A1:$AE734,7,FALSE)*$Q370*IFERROR((VLOOKUP(P370,Settings!$E$28:$F$33,2,FALSE)+1),1)</f>
        <v>16.069994679294503</v>
      </c>
      <c r="T370" s="41">
        <f>VLOOKUP(B370,'Player Data'!$A1:$AE734,8,FALSE)*$Q370*IFERROR((VLOOKUP(P370,Settings!$E$28:$F$33,2,FALSE)+1),1)</f>
        <v>24.523663152172613</v>
      </c>
      <c r="U370" s="41">
        <f>SUM(S370:T370)</f>
        <v>40.593657831467112</v>
      </c>
      <c r="V370" s="41">
        <f>VLOOKUP(B370,'Player Data'!$A1:$AE734,10,FALSE)*$Q370*IFERROR(((VLOOKUP(P370,Settings!$E$28:$F$33,2,FALSE)/2)+1),1)</f>
        <v>142.86360630128777</v>
      </c>
      <c r="W370" s="41">
        <f>VLOOKUP(B370,'Player Data'!$A1:$AE734,11,FALSE)*$Q370*IFERROR((VLOOKUP(P370,Settings!$E$28:$F$33,2,FALSE)+1),1)</f>
        <v>1.8457209411478199</v>
      </c>
      <c r="X370" s="41">
        <f>VLOOKUP(B370,'Player Data'!$A1:$AE734,12,FALSE)*$Q370*IFERROR((VLOOKUP(P370,Settings!$E$28:$F$33,2,FALSE)+1),1)</f>
        <v>5.9651965060793275</v>
      </c>
      <c r="Y370" s="41">
        <f>VLOOKUP(B370,'Player Data'!$A1:$AE734,13,FALSE)*$Q370</f>
        <v>7.3145131342031308E-2</v>
      </c>
      <c r="Z370" s="41">
        <f>VLOOKUP(B370,'Player Data'!$A1:$AE734,14,FALSE)*$Q370</f>
        <v>0.13306487313544024</v>
      </c>
      <c r="AA370" s="41">
        <f>VLOOKUP(B370,'Player Data'!$A1:$AE734,15,FALSE)*$Q370</f>
        <v>45.750671193825951</v>
      </c>
      <c r="AB370" s="41">
        <f>VLOOKUP(B370,'Player Data'!$A1:$AE734,16,FALSE)*$Q370</f>
        <v>75.192931040211775</v>
      </c>
      <c r="AC370" s="41">
        <f>VLOOKUP(B370,'Player Data'!$A1:$AE734,17,FALSE)*$Q370*IFERROR((VLOOKUP(P370,Settings!$E$28:$F$33,2,FALSE)+1),1)</f>
        <v>-5.0766621373756378</v>
      </c>
      <c r="AD370" s="41">
        <f>VLOOKUP(B370,'Player Data'!$A1:$AE734,18,FALSE)*$Q370</f>
        <v>23.960684583891794</v>
      </c>
      <c r="AE370" s="41">
        <f>VLOOKUP(B370,'Player Data'!$A1:$AE734,19,FALSE)*$Q370*IFERROR((VLOOKUP(P370,Settings!$E$28:$F$33,2,FALSE)+1),1)</f>
        <v>1.888957847986511</v>
      </c>
      <c r="AF370" s="41">
        <f>VLOOKUP(B370,'Player Data'!$A1:$AE734,20,FALSE)*$Q370</f>
        <v>401.93355194216684</v>
      </c>
      <c r="AG370" s="41">
        <f>VLOOKUP(B370,'Player Data'!$A1:$AE734,21,FALSE)*$Q370</f>
        <v>458.87112634109434</v>
      </c>
      <c r="AH370" s="42">
        <f>VLOOKUP(B370,'Player Data'!$A1:$AE734,22,FALSE)</f>
        <v>0.46692770390579202</v>
      </c>
      <c r="AI370" s="39"/>
      <c r="AJ370" s="41"/>
      <c r="AK370" s="41"/>
      <c r="AL370" s="41"/>
      <c r="AM370" s="41"/>
      <c r="AN370" s="41"/>
      <c r="AO370" s="41"/>
      <c r="AP370" s="41"/>
      <c r="AQ370" s="44"/>
      <c r="AR370" s="45"/>
      <c r="AS370" s="39"/>
    </row>
    <row r="371" spans="1:45" ht="21.25" customHeight="1" x14ac:dyDescent="0.15">
      <c r="A371" s="31">
        <f>RANK(K371,K$2:K$727)</f>
        <v>370</v>
      </c>
      <c r="B371" s="8" t="s">
        <v>475</v>
      </c>
      <c r="C371" s="32" t="s">
        <v>106</v>
      </c>
      <c r="D371" s="33" t="str">
        <f>VLOOKUP(B371,'Player Data'!A1:D734,4,FALSE)</f>
        <v>G</v>
      </c>
      <c r="E371" s="50">
        <f>VLOOKUP(B371,G!A1:D75,3,FALSE)</f>
        <v>38</v>
      </c>
      <c r="F371" s="35" t="str">
        <f>VLOOKUP(B371,'Player Data'!A1:B734,2,FALSE)</f>
        <v>CHI</v>
      </c>
      <c r="G371" s="9">
        <f>VLOOKUP(B371,'Player Data'!A1:D734,3,FALSE)</f>
        <v>24</v>
      </c>
      <c r="H371" s="36">
        <f>IFERROR(VLOOKUP(B371,ADP!A1:G728,7,FALSE)/1000000,VLOOKUP(B371,ADP!A1:G728,7,FALSE))</f>
        <v>0</v>
      </c>
      <c r="I371" s="37">
        <f>IF(Settings!$E$15="POINTS",(AJ371*Settings!$B$29)+(AK371*Settings!$B$21)+(AL371*Settings!$B$22)+(AN371*Settings!$B$24)+(AO371*Settings!$B$25)+(AP371*Settings!$B$27)+(AM371*Settings!$B$23),VLOOKUP(B371,'Standard Deviations'!A1:C728,3,FALSE))</f>
        <v>219.84007016902069</v>
      </c>
      <c r="J371" s="38">
        <f>IF(D371="G",I371/AJ371,I371/Q371)</f>
        <v>6.2811448619720194</v>
      </c>
      <c r="K371" s="37">
        <f>VLOOKUP(B371,G!A1:F75,6,FALSE)</f>
        <v>-178.93559192029551</v>
      </c>
      <c r="L371" s="52" t="str">
        <f>IFERROR(K371/H371,"N/A")</f>
        <v>N/A</v>
      </c>
      <c r="M371" s="53" t="str">
        <f>IF(Settings!$E$9="YAHOO",VLOOKUP(B371,ADP!A1:E728,2,FALSE),IF(Settings!$E$9="ESPN",VLOOKUP(B371,ADP!A1:E728,3,FALSE),IF(Settings!$E$9="FANTRAX",VLOOKUP(B371,ADP!A1:E728,4,FALSE),VLOOKUP(B371,ADP!A1:E728,5,FALSE))))</f>
        <v>-</v>
      </c>
      <c r="N371" s="53" t="str">
        <f>IFERROR(M371-A371,"N/A")</f>
        <v>N/A</v>
      </c>
      <c r="O371" s="39"/>
      <c r="P371" s="40" t="str">
        <f>IF(Settings!$E$27="ON",VLOOKUP(B371,ADP!A1:H728,8,FALSE)," ")</f>
        <v xml:space="preserve"> </v>
      </c>
      <c r="Q371" s="41"/>
      <c r="R371" s="5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2"/>
      <c r="AI371" s="39"/>
      <c r="AJ371" s="43">
        <f>VLOOKUP(B371,'Player Data'!$A1:$AE734,24,FALSE)</f>
        <v>35</v>
      </c>
      <c r="AK371" s="41">
        <f>VLOOKUP(B371,'Player Data'!$A1:$AE734,25,FALSE)*$AJ371*IFERROR((VLOOKUP(P371,Settings!$E$28:$F$33,2,FALSE)+1),1)</f>
        <v>12.72009672118395</v>
      </c>
      <c r="AL371" s="41">
        <f>AJ371-AK371-AM371</f>
        <v>17.90490327881605</v>
      </c>
      <c r="AM371" s="41">
        <f>VLOOKUP(B371,'Player Data'!$A1:$AE734,27,FALSE)*$AJ371</f>
        <v>4.375</v>
      </c>
      <c r="AN371" s="41">
        <f>VLOOKUP(B371,'Player Data'!$A1:$AE734,28,FALSE)*AJ371</f>
        <v>1.4304892191432885</v>
      </c>
      <c r="AO371" s="41">
        <f>VLOOKUP(B371,'Player Data'!$A1:$AE734,29,FALSE)*$AJ371*IFERROR((VLOOKUP(P371,Settings!$E$28:$F$33,2,FALSE)/4)+1,1)</f>
        <v>989.64106759955143</v>
      </c>
      <c r="AP371" s="41">
        <f>VLOOKUP(B371,'Player Data'!$A1:$AE734,31,FALSE)*$AJ371*(IFERROR(1-(VLOOKUP(P371,Settings!$E$28:$F$33,2,FALSE)/4),1))</f>
        <v>105.33391074419781</v>
      </c>
      <c r="AQ371" s="44">
        <f>1-(AP371/(AO371+AP371))</f>
        <v>0.90380244952854993</v>
      </c>
      <c r="AR371" s="45">
        <f>AP371/AJ371</f>
        <v>3.0095403069770801</v>
      </c>
      <c r="AS371" s="39"/>
    </row>
    <row r="372" spans="1:45" ht="21.25" customHeight="1" x14ac:dyDescent="0.15">
      <c r="A372" s="31">
        <f>RANK(K372,K$2:K$727)</f>
        <v>371</v>
      </c>
      <c r="B372" s="8" t="s">
        <v>476</v>
      </c>
      <c r="C372" s="32" t="s">
        <v>106</v>
      </c>
      <c r="D372" s="33" t="str">
        <f>VLOOKUP(B372,'Player Data'!A1:D734,4,FALSE)</f>
        <v>RW</v>
      </c>
      <c r="E372" s="46">
        <f>VLOOKUP(B372,RW!A1:F97,3,FALSE)</f>
        <v>53</v>
      </c>
      <c r="F372" s="35" t="str">
        <f>VLOOKUP(B372,'Player Data'!A1:B734,2,FALSE)</f>
        <v>DAL</v>
      </c>
      <c r="G372" s="9">
        <f>VLOOKUP(B372,'Player Data'!A1:D734,3,FALSE)</f>
        <v>34</v>
      </c>
      <c r="H372" s="36">
        <f>IFERROR(VLOOKUP(B372,ADP!A1:G728,7,FALSE)/1000000,VLOOKUP(B372,ADP!A1:G728,7,FALSE))</f>
        <v>2.71</v>
      </c>
      <c r="I372" s="37">
        <f>IF(Settings!$E$15="POINTS",((R372*Q372)*Settings!$B$12)+(S372*Settings!$B$2)+(T372*Settings!$B$3)+(U372*Settings!$B$4)+(V372*Settings!$B$5)+(X372*Settings!$B$9)+(AA372*Settings!$B$6)+(W372*Settings!$B$8)+(AB372*Settings!$B$7)+(AC372*Settings!$B$14)+(AD372*Settings!$B$15)+(AE372*Settings!$B$16)+(AF372*Settings!$B$17)+(AG372*Settings!$B$18)+(Y372*Settings!$B$10)+(Z372*Settings!$B$11),VLOOKUP(B372,'Standard Deviations'!A1:C728,3,FALSE))</f>
        <v>171.26791970281431</v>
      </c>
      <c r="J372" s="38">
        <f>IF(D372="G",I372/AJ372,I372/Q372)</f>
        <v>2.1479352648598735</v>
      </c>
      <c r="K372" s="37">
        <f>IF(Settings!$E$18="C/LW/RW",VLOOKUP(B372,RW!A1:F97,6,FALSE),VLOOKUP(B372,F!A1:F430,6,FALSE))</f>
        <v>-179.00362084507526</v>
      </c>
      <c r="L372" s="37">
        <f>IFERROR(K372/H372,"N/A")</f>
        <v>-66.052996621798997</v>
      </c>
      <c r="M372" s="53" t="str">
        <f>IF(Settings!$E$9="YAHOO",VLOOKUP(B372,ADP!A1:E728,2,FALSE),IF(Settings!$E$9="ESPN",VLOOKUP(B372,ADP!A1:E728,3,FALSE),IF(Settings!$E$9="FANTRAX",VLOOKUP(B372,ADP!A1:E728,4,FALSE),VLOOKUP(B372,ADP!A1:E728,5,FALSE))))</f>
        <v>-</v>
      </c>
      <c r="N372" s="53" t="str">
        <f>IFERROR(M372-A372,"N/A")</f>
        <v>N/A</v>
      </c>
      <c r="O372" s="39"/>
      <c r="P372" s="40" t="str">
        <f>IF(Settings!$E$27="ON",VLOOKUP(B372,ADP!A1:H728,8,FALSE)," ")</f>
        <v xml:space="preserve"> </v>
      </c>
      <c r="Q372" s="41">
        <f>IF(Settings!$E$12="YES",VLOOKUP(B372,'Player Data'!A1:E734,5,FALSE),82)</f>
        <v>79.736071428571407</v>
      </c>
      <c r="R372" s="39">
        <f>VLOOKUP(B372,'Player Data'!$A1:$AE734,6,FALSE)</f>
        <v>13.7212905977057</v>
      </c>
      <c r="S372" s="41">
        <f>VLOOKUP(B372,'Player Data'!$A1:$AE734,7,FALSE)*$Q372*IFERROR((VLOOKUP(P372,Settings!$E$28:$F$33,2,FALSE)+1),1)</f>
        <v>10.510819597283</v>
      </c>
      <c r="T372" s="41">
        <f>VLOOKUP(B372,'Player Data'!$A1:$AE734,8,FALSE)*$Q372*IFERROR((VLOOKUP(P372,Settings!$E$28:$F$33,2,FALSE)+1),1)</f>
        <v>19.928843384862766</v>
      </c>
      <c r="U372" s="41">
        <f>SUM(S372:T372)</f>
        <v>30.439662982145766</v>
      </c>
      <c r="V372" s="41">
        <f>VLOOKUP(B372,'Player Data'!$A1:$AE734,10,FALSE)*$Q372*IFERROR(((VLOOKUP(P372,Settings!$E$28:$F$33,2,FALSE)/2)+1),1)</f>
        <v>122.75110285757364</v>
      </c>
      <c r="W372" s="41">
        <f>VLOOKUP(B372,'Player Data'!$A1:$AE734,11,FALSE)*$Q372*IFERROR((VLOOKUP(P372,Settings!$E$28:$F$33,2,FALSE)+1),1)</f>
        <v>1.4689816899052857</v>
      </c>
      <c r="X372" s="41">
        <f>VLOOKUP(B372,'Player Data'!$A1:$AE734,12,FALSE)*$Q372*IFERROR((VLOOKUP(P372,Settings!$E$28:$F$33,2,FALSE)+1),1)</f>
        <v>5.4177184427906813</v>
      </c>
      <c r="Y372" s="41">
        <f>VLOOKUP(B372,'Player Data'!$A1:$AE734,13,FALSE)*$Q372</f>
        <v>7.5776125203713088E-2</v>
      </c>
      <c r="Z372" s="41">
        <f>VLOOKUP(B372,'Player Data'!$A1:$AE734,14,FALSE)*$Q372</f>
        <v>0.14473294025271435</v>
      </c>
      <c r="AA372" s="41">
        <f>VLOOKUP(B372,'Player Data'!$A1:$AE734,15,FALSE)*$Q372</f>
        <v>37.242382807517053</v>
      </c>
      <c r="AB372" s="41">
        <f>VLOOKUP(B372,'Player Data'!$A1:$AE734,16,FALSE)*$Q372</f>
        <v>51.031006415635595</v>
      </c>
      <c r="AC372" s="41">
        <f>VLOOKUP(B372,'Player Data'!$A1:$AE734,17,FALSE)*$Q372*IFERROR((VLOOKUP(P372,Settings!$E$28:$F$33,2,FALSE)+1),1)</f>
        <v>4.6141155314798237</v>
      </c>
      <c r="AD372" s="41">
        <f>VLOOKUP(B372,'Player Data'!$A1:$AE734,18,FALSE)*$Q372</f>
        <v>17.152704342791811</v>
      </c>
      <c r="AE372" s="41">
        <f>VLOOKUP(B372,'Player Data'!$A1:$AE734,19,FALSE)*$Q372*IFERROR((VLOOKUP(P372,Settings!$E$28:$F$33,2,FALSE)+1),1)</f>
        <v>1.6816566237927595</v>
      </c>
      <c r="AF372" s="41">
        <f>VLOOKUP(B372,'Player Data'!$A1:$AE734,20,FALSE)*$Q372</f>
        <v>1.2210499084285309</v>
      </c>
      <c r="AG372" s="41">
        <f>VLOOKUP(B372,'Player Data'!$A1:$AE734,21,FALSE)*$Q372</f>
        <v>5.4910758042378705</v>
      </c>
      <c r="AH372" s="42">
        <f>VLOOKUP(B372,'Player Data'!$A1:$AE734,22,FALSE)</f>
        <v>0.18191702013630301</v>
      </c>
      <c r="AI372" s="39"/>
      <c r="AJ372" s="43"/>
      <c r="AK372" s="41"/>
      <c r="AL372" s="41"/>
      <c r="AM372" s="41"/>
      <c r="AN372" s="41"/>
      <c r="AO372" s="41"/>
      <c r="AP372" s="41"/>
      <c r="AQ372" s="44"/>
      <c r="AR372" s="45"/>
      <c r="AS372" s="39"/>
    </row>
    <row r="373" spans="1:45" ht="21.25" customHeight="1" x14ac:dyDescent="0.15">
      <c r="A373" s="31">
        <f>RANK(K373,K$2:K$727)</f>
        <v>372</v>
      </c>
      <c r="B373" s="8" t="s">
        <v>477</v>
      </c>
      <c r="C373" s="32" t="s">
        <v>106</v>
      </c>
      <c r="D373" s="33" t="str">
        <f>VLOOKUP(B373,'Player Data'!A1:D734,4,FALSE)</f>
        <v>RW</v>
      </c>
      <c r="E373" s="46">
        <f>VLOOKUP(B373,RW!A1:F97,3,FALSE)</f>
        <v>54</v>
      </c>
      <c r="F373" s="35" t="str">
        <f>VLOOKUP(B373,'Player Data'!A1:B734,2,FALSE)</f>
        <v>SJS</v>
      </c>
      <c r="G373" s="9">
        <f>VLOOKUP(B373,'Player Data'!A1:D734,3,FALSE)</f>
        <v>27</v>
      </c>
      <c r="H373" s="36">
        <f>IFERROR(VLOOKUP(B373,ADP!A1:G728,7,FALSE)/1000000,VLOOKUP(B373,ADP!A1:G728,7,FALSE))</f>
        <v>4.7249999999999996</v>
      </c>
      <c r="I373" s="37">
        <f>IF(Settings!$E$15="POINTS",((R373*Q373)*Settings!$B$12)+(S373*Settings!$B$2)+(T373*Settings!$B$3)+(U373*Settings!$B$4)+(V373*Settings!$B$5)+(X373*Settings!$B$9)+(AA373*Settings!$B$6)+(W373*Settings!$B$8)+(AB373*Settings!$B$7)+(AC373*Settings!$B$14)+(AD373*Settings!$B$15)+(AE373*Settings!$B$16)+(AF373*Settings!$B$17)+(AG373*Settings!$B$18)+(Y373*Settings!$B$10)+(Z373*Settings!$B$11),VLOOKUP(B373,'Standard Deviations'!A1:C728,3,FALSE))</f>
        <v>171.04342929470215</v>
      </c>
      <c r="J373" s="38">
        <f>IF(D373="G",I373/AJ373,I373/Q373)</f>
        <v>2.3848420818008562</v>
      </c>
      <c r="K373" s="37">
        <f>IF(Settings!$E$18="C/LW/RW",VLOOKUP(B373,RW!A1:F97,6,FALSE),VLOOKUP(B373,F!A1:F430,6,FALSE))</f>
        <v>-179.22811125318742</v>
      </c>
      <c r="L373" s="37">
        <f>IFERROR(K373/H373,"N/A")</f>
        <v>-37.931875397499986</v>
      </c>
      <c r="M373" s="53" t="str">
        <f>IF(Settings!$E$9="YAHOO",VLOOKUP(B373,ADP!A1:E728,2,FALSE),IF(Settings!$E$9="ESPN",VLOOKUP(B373,ADP!A1:E728,3,FALSE),IF(Settings!$E$9="FANTRAX",VLOOKUP(B373,ADP!A1:E728,4,FALSE),VLOOKUP(B373,ADP!A1:E728,5,FALSE))))</f>
        <v>-</v>
      </c>
      <c r="N373" s="53" t="str">
        <f>IFERROR(M373-A373,"N/A")</f>
        <v>N/A</v>
      </c>
      <c r="O373" s="39"/>
      <c r="P373" s="40" t="str">
        <f>IF(Settings!$E$27="ON",VLOOKUP(B373,ADP!A1:H728,8,FALSE)," ")</f>
        <v xml:space="preserve"> </v>
      </c>
      <c r="Q373" s="41">
        <f>IF(Settings!$E$12="YES",VLOOKUP(B373,'Player Data'!A1:E734,5,FALSE),82)</f>
        <v>71.721071428571406</v>
      </c>
      <c r="R373" s="39">
        <f>VLOOKUP(B373,'Player Data'!$A1:$AE734,6,FALSE)</f>
        <v>14.3090425424712</v>
      </c>
      <c r="S373" s="41">
        <f>VLOOKUP(B373,'Player Data'!$A1:$AE734,7,FALSE)*$Q373*IFERROR((VLOOKUP(P373,Settings!$E$28:$F$33,2,FALSE)+1),1)</f>
        <v>13.876831592781615</v>
      </c>
      <c r="T373" s="41">
        <f>VLOOKUP(B373,'Player Data'!$A1:$AE734,8,FALSE)*$Q373*IFERROR((VLOOKUP(P373,Settings!$E$28:$F$33,2,FALSE)+1),1)</f>
        <v>17.508605251568316</v>
      </c>
      <c r="U373" s="41">
        <f>SUM(S373:T373)</f>
        <v>31.385436844349933</v>
      </c>
      <c r="V373" s="41">
        <f>VLOOKUP(B373,'Player Data'!$A1:$AE734,10,FALSE)*$Q373*IFERROR(((VLOOKUP(P373,Settings!$E$28:$F$33,2,FALSE)/2)+1),1)</f>
        <v>129.17645822776245</v>
      </c>
      <c r="W373" s="41">
        <f>VLOOKUP(B373,'Player Data'!$A1:$AE734,11,FALSE)*$Q373*IFERROR((VLOOKUP(P373,Settings!$E$28:$F$33,2,FALSE)+1),1)</f>
        <v>1.3055673230948865</v>
      </c>
      <c r="X373" s="41">
        <f>VLOOKUP(B373,'Player Data'!$A1:$AE734,12,FALSE)*$Q373*IFERROR((VLOOKUP(P373,Settings!$E$28:$F$33,2,FALSE)+1),1)</f>
        <v>3.292608031022648</v>
      </c>
      <c r="Y373" s="41">
        <f>VLOOKUP(B373,'Player Data'!$A1:$AE734,13,FALSE)*$Q373</f>
        <v>4.9662171932675033E-4</v>
      </c>
      <c r="Z373" s="41">
        <f>VLOOKUP(B373,'Player Data'!$A1:$AE734,14,FALSE)*$Q373</f>
        <v>9.1157343114561069E-4</v>
      </c>
      <c r="AA373" s="41">
        <f>VLOOKUP(B373,'Player Data'!$A1:$AE734,15,FALSE)*$Q373</f>
        <v>28.559252194317718</v>
      </c>
      <c r="AB373" s="41">
        <f>VLOOKUP(B373,'Player Data'!$A1:$AE734,16,FALSE)*$Q373</f>
        <v>74.427432691887063</v>
      </c>
      <c r="AC373" s="41">
        <f>VLOOKUP(B373,'Player Data'!$A1:$AE734,17,FALSE)*$Q373*IFERROR((VLOOKUP(P373,Settings!$E$28:$F$33,2,FALSE)+1),1)</f>
        <v>0.47077907019215015</v>
      </c>
      <c r="AD373" s="41">
        <f>VLOOKUP(B373,'Player Data'!$A1:$AE734,18,FALSE)*$Q373</f>
        <v>32.104646021328129</v>
      </c>
      <c r="AE373" s="41">
        <f>VLOOKUP(B373,'Player Data'!$A1:$AE734,19,FALSE)*$Q373*IFERROR((VLOOKUP(P373,Settings!$E$28:$F$33,2,FALSE)+1),1)</f>
        <v>1.6849490876454414</v>
      </c>
      <c r="AF373" s="41">
        <f>VLOOKUP(B373,'Player Data'!$A1:$AE734,20,FALSE)*$Q373</f>
        <v>2.432792160527375</v>
      </c>
      <c r="AG373" s="41">
        <f>VLOOKUP(B373,'Player Data'!$A1:$AE734,21,FALSE)*$Q373</f>
        <v>4.3383715751620073</v>
      </c>
      <c r="AH373" s="42">
        <f>VLOOKUP(B373,'Player Data'!$A1:$AE734,22,FALSE)</f>
        <v>0.35928715587021398</v>
      </c>
      <c r="AI373" s="39"/>
      <c r="AJ373" s="43"/>
      <c r="AK373" s="41"/>
      <c r="AL373" s="41"/>
      <c r="AM373" s="41"/>
      <c r="AN373" s="41"/>
      <c r="AO373" s="41"/>
      <c r="AP373" s="41"/>
      <c r="AQ373" s="44"/>
      <c r="AR373" s="45"/>
      <c r="AS373" s="39"/>
    </row>
    <row r="374" spans="1:45" ht="21.25" customHeight="1" x14ac:dyDescent="0.15">
      <c r="A374" s="31">
        <f>RANK(K374,K$2:K$727)</f>
        <v>373</v>
      </c>
      <c r="B374" s="8" t="s">
        <v>478</v>
      </c>
      <c r="C374" s="32" t="s">
        <v>106</v>
      </c>
      <c r="D374" s="33" t="str">
        <f>VLOOKUP(B374,'Player Data'!A1:D734,4,FALSE)</f>
        <v>D</v>
      </c>
      <c r="E374" s="49">
        <f>VLOOKUP(B374,D!A1:C227,3,FALSE)</f>
        <v>118</v>
      </c>
      <c r="F374" s="35" t="str">
        <f>VLOOKUP(B374,'Player Data'!A1:B734,2,FALSE)</f>
        <v>TOR</v>
      </c>
      <c r="G374" s="9">
        <f>VLOOKUP(B374,'Player Data'!A1:D734,3,FALSE)</f>
        <v>39</v>
      </c>
      <c r="H374" s="36">
        <f>IFERROR(VLOOKUP(B374,ADP!A1:G728,7,FALSE)/1000000,VLOOKUP(B374,ADP!A1:G728,7,FALSE))</f>
        <v>0.8</v>
      </c>
      <c r="I374" s="37">
        <f>IF(Settings!$E$15="POINTS",((R374*Q374)*Settings!$B$12)+(S374*Settings!$B$2)+(T374*Settings!$B$3)+(U374*Settings!$B$4)+(V374*Settings!$B$5)+(X374*Settings!$B$9)+(AA374*Settings!$B$6)+(W374*Settings!$B$8)+(AB374*Settings!$B$7)+(AC374*Settings!$B$14)+(AD374*Settings!$B$15)+(AE374*Settings!$B$16)+(AF374*Settings!$B$17)+(AG374*Settings!$B$18)+(U374*Settings!$B$13)+(Y374*Settings!$B$10)+(Z374*Settings!$B$11),VLOOKUP(B374,'Standard Deviations'!A1:C728,3,FALSE))</f>
        <v>132.15245896230388</v>
      </c>
      <c r="J374" s="38">
        <f>IF(D374="G",I374/AJ374,I374/Q374)</f>
        <v>1.7858440400311335</v>
      </c>
      <c r="K374" s="37">
        <f>VLOOKUP(B374,D!A1:F227,6,FALSE)</f>
        <v>-179.41302266562357</v>
      </c>
      <c r="L374" s="37">
        <f>IFERROR(K374/H374,"N/A")</f>
        <v>-224.26627833202946</v>
      </c>
      <c r="M374" s="53" t="str">
        <f>IF(Settings!$E$9="YAHOO",VLOOKUP(B374,ADP!A1:E728,2,FALSE),IF(Settings!$E$9="ESPN",VLOOKUP(B374,ADP!A1:E728,3,FALSE),IF(Settings!$E$9="FANTRAX",VLOOKUP(B374,ADP!A1:E728,4,FALSE),VLOOKUP(B374,ADP!A1:E728,5,FALSE))))</f>
        <v>-</v>
      </c>
      <c r="N374" s="53" t="str">
        <f>IFERROR(M374-A374,"N/A")</f>
        <v>N/A</v>
      </c>
      <c r="O374" s="39"/>
      <c r="P374" s="40" t="str">
        <f>IF(Settings!$E$27="ON",VLOOKUP(B374,ADP!A1:H728,8,FALSE)," ")</f>
        <v xml:space="preserve"> </v>
      </c>
      <c r="Q374" s="41">
        <f>IF(Settings!$E$12="YES",VLOOKUP(B374,'Player Data'!A1:E734,5,FALSE),82)</f>
        <v>74</v>
      </c>
      <c r="R374" s="39">
        <f>VLOOKUP(B374,'Player Data'!$A1:$AE734,6,FALSE)</f>
        <v>17.422282885063201</v>
      </c>
      <c r="S374" s="41">
        <f>VLOOKUP(B374,'Player Data'!$A1:$AE734,7,FALSE)*$Q374*IFERROR((VLOOKUP(P374,Settings!$E$28:$F$33,2,FALSE)+1),1)</f>
        <v>4.2650802298291168</v>
      </c>
      <c r="T374" s="41">
        <f>VLOOKUP(B374,'Player Data'!$A1:$AE734,8,FALSE)*$Q374*IFERROR((VLOOKUP(P374,Settings!$E$28:$F$33,2,FALSE)+1),1)</f>
        <v>13.997674817617952</v>
      </c>
      <c r="U374" s="41">
        <f>SUM(S374:T374)</f>
        <v>18.262755047447069</v>
      </c>
      <c r="V374" s="41">
        <f>VLOOKUP(B374,'Player Data'!$A1:$AE734,10,FALSE)*$Q374*IFERROR(((VLOOKUP(P374,Settings!$E$28:$F$33,2,FALSE)/2)+1),1)</f>
        <v>99.927815980109386</v>
      </c>
      <c r="W374" s="41">
        <f>VLOOKUP(B374,'Player Data'!$A1:$AE734,11,FALSE)*$Q374*IFERROR((VLOOKUP(P374,Settings!$E$28:$F$33,2,FALSE)+1),1)</f>
        <v>5.0325750541522773E-2</v>
      </c>
      <c r="X374" s="41">
        <f>VLOOKUP(B374,'Player Data'!$A1:$AE734,12,FALSE)*$Q374*IFERROR((VLOOKUP(P374,Settings!$E$28:$F$33,2,FALSE)+1),1)</f>
        <v>0.31624802328931167</v>
      </c>
      <c r="Y374" s="41">
        <f>VLOOKUP(B374,'Player Data'!$A1:$AE734,13,FALSE)*$Q374</f>
        <v>0.80484698489517836</v>
      </c>
      <c r="Z374" s="41">
        <f>VLOOKUP(B374,'Player Data'!$A1:$AE734,14,FALSE)*$Q374</f>
        <v>0.95165197426049408</v>
      </c>
      <c r="AA374" s="41">
        <f>VLOOKUP(B374,'Player Data'!$A1:$AE734,15,FALSE)*$Q374</f>
        <v>124.32242917404177</v>
      </c>
      <c r="AB374" s="41">
        <f>VLOOKUP(B374,'Player Data'!$A1:$AE734,16,FALSE)*$Q374</f>
        <v>66.385944019580307</v>
      </c>
      <c r="AC374" s="41">
        <f>VLOOKUP(B374,'Player Data'!$A1:$AE734,17,FALSE)*$Q374*IFERROR((VLOOKUP(P374,Settings!$E$28:$F$33,2,FALSE)+1),1)</f>
        <v>5.738228641251335</v>
      </c>
      <c r="AD374" s="41">
        <f>VLOOKUP(B374,'Player Data'!$A1:$AE734,18,FALSE)*$Q374</f>
        <v>35.945808877531135</v>
      </c>
      <c r="AE374" s="41">
        <f>VLOOKUP(B374,'Player Data'!$A1:$AE734,19,FALSE)*$Q374*IFERROR((VLOOKUP(P374,Settings!$E$28:$F$33,2,FALSE)+1),1)</f>
        <v>0.68518400528090684</v>
      </c>
      <c r="AF374" s="41">
        <f>VLOOKUP(B374,'Player Data'!$A1:$AE734,20,FALSE)*$Q374</f>
        <v>0</v>
      </c>
      <c r="AG374" s="41">
        <f>VLOOKUP(B374,'Player Data'!$A1:$AE734,21,FALSE)*$Q374</f>
        <v>0</v>
      </c>
      <c r="AH374" s="42">
        <f>VLOOKUP(B374,'Player Data'!$A1:$AE734,22,FALSE)</f>
        <v>0</v>
      </c>
      <c r="AI374" s="39"/>
      <c r="AJ374" s="43"/>
      <c r="AK374" s="41"/>
      <c r="AL374" s="41"/>
      <c r="AM374" s="41"/>
      <c r="AN374" s="41"/>
      <c r="AO374" s="41"/>
      <c r="AP374" s="41"/>
      <c r="AQ374" s="44"/>
      <c r="AR374" s="45"/>
      <c r="AS374" s="39"/>
    </row>
    <row r="375" spans="1:45" ht="21.25" customHeight="1" x14ac:dyDescent="0.15">
      <c r="A375" s="31">
        <f>RANK(K375,K$2:K$727)</f>
        <v>374</v>
      </c>
      <c r="B375" s="8" t="s">
        <v>479</v>
      </c>
      <c r="C375" s="32" t="s">
        <v>106</v>
      </c>
      <c r="D375" s="33" t="str">
        <f>VLOOKUP(B375,'Player Data'!A1:D734,4,FALSE)</f>
        <v>C</v>
      </c>
      <c r="E375" s="34">
        <f>VLOOKUP(B375,'C'!A1:C211,3,FALSE)</f>
        <v>92</v>
      </c>
      <c r="F375" s="35" t="str">
        <f>VLOOKUP(B375,'Player Data'!A1:B734,2,FALSE)</f>
        <v>WSH</v>
      </c>
      <c r="G375" s="9">
        <f>VLOOKUP(B375,'Player Data'!A1:D734,3,FALSE)</f>
        <v>35</v>
      </c>
      <c r="H375" s="36">
        <f>IFERROR(VLOOKUP(B375,ADP!A1:G728,7,FALSE)/1000000,VLOOKUP(B375,ADP!A1:G728,7,FALSE))</f>
        <v>9.1999999999999993</v>
      </c>
      <c r="I375" s="37">
        <f>IF(Settings!$E$15="POINTS",((R375*Q375)*Settings!$B$12)+(S375*Settings!$B$2)+(T375*Settings!$B$3)+(U375*Settings!$B$4)+(V375*Settings!$B$5)+(X375*Settings!$B$9)+(AA375*Settings!$B$6)+(W375*Settings!$B$8)+(AB375*Settings!$B$7)+(AC375*Settings!$B$14)+(AD375*Settings!$B$15)+(AE375*Settings!$B$16)+(AF375*Settings!$B$17)+(AG375*Settings!$B$18)+(Y375*Settings!$B$10)+(Z375*Settings!$B$11),VLOOKUP(B375,'Standard Deviations'!A1:C728,3,FALSE))</f>
        <v>213.88118582879633</v>
      </c>
      <c r="J375" s="38">
        <f>IF(D375="G",I375/AJ375,I375/Q375)</f>
        <v>3.206614480191849</v>
      </c>
      <c r="K375" s="37">
        <f>IF(Settings!$E$18="C/LW/RW",VLOOKUP(B375,'C'!A1:F211,6,FALSE),VLOOKUP(B375,F!A1:F430,6,FALSE))</f>
        <v>-179.44761993741332</v>
      </c>
      <c r="L375" s="37">
        <f>IFERROR(K375/H375,"N/A")</f>
        <v>-19.505176080153625</v>
      </c>
      <c r="M375" s="53" t="str">
        <f>IF(Settings!$E$9="YAHOO",VLOOKUP(B375,ADP!A1:E728,2,FALSE),IF(Settings!$E$9="ESPN",VLOOKUP(B375,ADP!A1:E728,3,FALSE),IF(Settings!$E$9="FANTRAX",VLOOKUP(B375,ADP!A1:E728,4,FALSE),VLOOKUP(B375,ADP!A1:E728,5,FALSE))))</f>
        <v>-</v>
      </c>
      <c r="N375" s="53" t="str">
        <f>IFERROR(M375-A375,"N/A")</f>
        <v>N/A</v>
      </c>
      <c r="O375" s="39"/>
      <c r="P375" s="40" t="str">
        <f>IF(Settings!$E$27="ON",VLOOKUP(B375,ADP!A1:H728,8,FALSE)," ")</f>
        <v xml:space="preserve"> </v>
      </c>
      <c r="Q375" s="41">
        <f>IF(Settings!$E$12="YES",VLOOKUP(B375,'Player Data'!A1:E734,5,FALSE),82)</f>
        <v>66.7</v>
      </c>
      <c r="R375" s="39">
        <f>VLOOKUP(B375,'Player Data'!$A1:$AE734,6,FALSE)</f>
        <v>16.9030468764843</v>
      </c>
      <c r="S375" s="41">
        <f>VLOOKUP(B375,'Player Data'!$A1:$AE734,7,FALSE)*$Q375*IFERROR((VLOOKUP(P375,Settings!$E$28:$F$33,2,FALSE)+1),1)</f>
        <v>11.583774387570303</v>
      </c>
      <c r="T375" s="41">
        <f>VLOOKUP(B375,'Player Data'!$A1:$AE734,8,FALSE)*$Q375*IFERROR((VLOOKUP(P375,Settings!$E$28:$F$33,2,FALSE)+1),1)</f>
        <v>28.925446375875886</v>
      </c>
      <c r="U375" s="41">
        <f>SUM(S375:T375)</f>
        <v>40.509220763446187</v>
      </c>
      <c r="V375" s="41">
        <f>VLOOKUP(B375,'Player Data'!$A1:$AE734,10,FALSE)*$Q375*IFERROR(((VLOOKUP(P375,Settings!$E$28:$F$33,2,FALSE)/2)+1),1)</f>
        <v>107.92098419970252</v>
      </c>
      <c r="W375" s="41">
        <f>VLOOKUP(B375,'Player Data'!$A1:$AE734,11,FALSE)*$Q375*IFERROR((VLOOKUP(P375,Settings!$E$28:$F$33,2,FALSE)+1),1)</f>
        <v>4.3580087047252913</v>
      </c>
      <c r="X375" s="41">
        <f>VLOOKUP(B375,'Player Data'!$A1:$AE734,12,FALSE)*$Q375*IFERROR((VLOOKUP(P375,Settings!$E$28:$F$33,2,FALSE)+1),1)</f>
        <v>15.86098530024503</v>
      </c>
      <c r="Y375" s="41">
        <f>VLOOKUP(B375,'Player Data'!$A1:$AE734,13,FALSE)*$Q375</f>
        <v>3.150821314142032E-2</v>
      </c>
      <c r="Z375" s="41">
        <f>VLOOKUP(B375,'Player Data'!$A1:$AE734,14,FALSE)*$Q375</f>
        <v>6.1108106143572281E-2</v>
      </c>
      <c r="AA375" s="41">
        <f>VLOOKUP(B375,'Player Data'!$A1:$AE734,15,FALSE)*$Q375</f>
        <v>32.744223129146377</v>
      </c>
      <c r="AB375" s="41">
        <f>VLOOKUP(B375,'Player Data'!$A1:$AE734,16,FALSE)*$Q375</f>
        <v>40.20858901233315</v>
      </c>
      <c r="AC375" s="41">
        <f>VLOOKUP(B375,'Player Data'!$A1:$AE734,17,FALSE)*$Q375*IFERROR((VLOOKUP(P375,Settings!$E$28:$F$33,2,FALSE)+1),1)</f>
        <v>-3.4479669069587597</v>
      </c>
      <c r="AD375" s="41">
        <f>VLOOKUP(B375,'Player Data'!$A1:$AE734,18,FALSE)*$Q375</f>
        <v>21.041025926668265</v>
      </c>
      <c r="AE375" s="41">
        <f>VLOOKUP(B375,'Player Data'!$A1:$AE734,19,FALSE)*$Q375*IFERROR((VLOOKUP(P375,Settings!$E$28:$F$33,2,FALSE)+1),1)</f>
        <v>1.424872439787924</v>
      </c>
      <c r="AF375" s="41">
        <f>VLOOKUP(B375,'Player Data'!$A1:$AE734,20,FALSE)*$Q375</f>
        <v>418.93933636152121</v>
      </c>
      <c r="AG375" s="41">
        <f>VLOOKUP(B375,'Player Data'!$A1:$AE734,21,FALSE)*$Q375</f>
        <v>447.88116079267462</v>
      </c>
      <c r="AH375" s="42">
        <f>VLOOKUP(B375,'Player Data'!$A1:$AE734,22,FALSE)</f>
        <v>0.48330575677076698</v>
      </c>
      <c r="AI375" s="39"/>
      <c r="AJ375" s="43"/>
      <c r="AK375" s="41"/>
      <c r="AL375" s="41"/>
      <c r="AM375" s="41"/>
      <c r="AN375" s="41"/>
      <c r="AO375" s="41"/>
      <c r="AP375" s="41"/>
      <c r="AQ375" s="44"/>
      <c r="AR375" s="45"/>
      <c r="AS375" s="39"/>
    </row>
    <row r="376" spans="1:45" ht="21.25" customHeight="1" x14ac:dyDescent="0.15">
      <c r="A376" s="31">
        <f>RANK(K376,K$2:K$727)</f>
        <v>375</v>
      </c>
      <c r="B376" s="8" t="s">
        <v>480</v>
      </c>
      <c r="C376" s="32" t="s">
        <v>106</v>
      </c>
      <c r="D376" s="33" t="str">
        <f>VLOOKUP(B376,'Player Data'!A1:D734,4,FALSE)</f>
        <v>D</v>
      </c>
      <c r="E376" s="49">
        <f>VLOOKUP(B376,D!A1:C227,3,FALSE)</f>
        <v>119</v>
      </c>
      <c r="F376" s="35" t="str">
        <f>VLOOKUP(B376,'Player Data'!A1:B734,2,FALSE)</f>
        <v>CBJ</v>
      </c>
      <c r="G376" s="9">
        <f>VLOOKUP(B376,'Player Data'!A1:D734,3,FALSE)</f>
        <v>25</v>
      </c>
      <c r="H376" s="36">
        <f>IFERROR(VLOOKUP(B376,ADP!A1:G728,7,FALSE)/1000000,VLOOKUP(B376,ADP!A1:G728,7,FALSE))</f>
        <v>2.3330000000000002</v>
      </c>
      <c r="I376" s="37">
        <f>IF(Settings!$E$15="POINTS",((R376*Q376)*Settings!$B$12)+(S376*Settings!$B$2)+(T376*Settings!$B$3)+(U376*Settings!$B$4)+(V376*Settings!$B$5)+(X376*Settings!$B$9)+(AA376*Settings!$B$6)+(W376*Settings!$B$8)+(AB376*Settings!$B$7)+(AC376*Settings!$B$14)+(AD376*Settings!$B$15)+(AE376*Settings!$B$16)+(AF376*Settings!$B$17)+(AG376*Settings!$B$18)+(U376*Settings!$B$13)+(Y376*Settings!$B$10)+(Z376*Settings!$B$11),VLOOKUP(B376,'Standard Deviations'!A1:C728,3,FALSE))</f>
        <v>132.03735293474594</v>
      </c>
      <c r="J376" s="38">
        <f>IF(D376="G",I376/AJ376,I376/Q376)</f>
        <v>1.7770841579373613</v>
      </c>
      <c r="K376" s="37">
        <f>VLOOKUP(B376,D!A1:F227,6,FALSE)</f>
        <v>-179.52812869318151</v>
      </c>
      <c r="L376" s="37">
        <f>IFERROR(K376/H376,"N/A")</f>
        <v>-76.95161967131655</v>
      </c>
      <c r="M376" s="53" t="str">
        <f>IF(Settings!$E$9="YAHOO",VLOOKUP(B376,ADP!A1:E728,2,FALSE),IF(Settings!$E$9="ESPN",VLOOKUP(B376,ADP!A1:E728,3,FALSE),IF(Settings!$E$9="FANTRAX",VLOOKUP(B376,ADP!A1:E728,4,FALSE),VLOOKUP(B376,ADP!A1:E728,5,FALSE))))</f>
        <v>-</v>
      </c>
      <c r="N376" s="53" t="str">
        <f>IFERROR(M376-A376,"N/A")</f>
        <v>N/A</v>
      </c>
      <c r="O376" s="39"/>
      <c r="P376" s="40" t="str">
        <f>IF(Settings!$E$27="ON",VLOOKUP(B376,ADP!A1:H728,8,FALSE)," ")</f>
        <v xml:space="preserve"> </v>
      </c>
      <c r="Q376" s="41">
        <f>IF(Settings!$E$12="YES",VLOOKUP(B376,'Player Data'!A1:E734,5,FALSE),82)</f>
        <v>74.3</v>
      </c>
      <c r="R376" s="39">
        <f>VLOOKUP(B376,'Player Data'!$A1:$AE734,6,FALSE)</f>
        <v>17.7037000463034</v>
      </c>
      <c r="S376" s="41">
        <f>VLOOKUP(B376,'Player Data'!$A1:$AE734,7,FALSE)*$Q376*IFERROR((VLOOKUP(P376,Settings!$E$28:$F$33,2,FALSE)+1),1)</f>
        <v>4.807616191350669</v>
      </c>
      <c r="T376" s="41">
        <f>VLOOKUP(B376,'Player Data'!$A1:$AE734,8,FALSE)*$Q376*IFERROR((VLOOKUP(P376,Settings!$E$28:$F$33,2,FALSE)+1),1)</f>
        <v>17.104043141309539</v>
      </c>
      <c r="U376" s="41">
        <f>SUM(S376:T376)</f>
        <v>21.911659332660207</v>
      </c>
      <c r="V376" s="41">
        <f>VLOOKUP(B376,'Player Data'!$A1:$AE734,10,FALSE)*$Q376*IFERROR(((VLOOKUP(P376,Settings!$E$28:$F$33,2,FALSE)/2)+1),1)</f>
        <v>90.033999619408874</v>
      </c>
      <c r="W376" s="41">
        <f>VLOOKUP(B376,'Player Data'!$A1:$AE734,11,FALSE)*$Q376*IFERROR((VLOOKUP(P376,Settings!$E$28:$F$33,2,FALSE)+1),1)</f>
        <v>0.25527934812597042</v>
      </c>
      <c r="X376" s="41">
        <f>VLOOKUP(B376,'Player Data'!$A1:$AE734,12,FALSE)*$Q376*IFERROR((VLOOKUP(P376,Settings!$E$28:$F$33,2,FALSE)+1),1)</f>
        <v>1.327758706218741</v>
      </c>
      <c r="Y376" s="41">
        <f>VLOOKUP(B376,'Player Data'!$A1:$AE734,13,FALSE)*$Q376</f>
        <v>2.8978894603557966E-2</v>
      </c>
      <c r="Z376" s="41">
        <f>VLOOKUP(B376,'Player Data'!$A1:$AE734,14,FALSE)*$Q376</f>
        <v>0.36109401230828891</v>
      </c>
      <c r="AA376" s="41">
        <f>VLOOKUP(B376,'Player Data'!$A1:$AE734,15,FALSE)*$Q376</f>
        <v>89.538348450034164</v>
      </c>
      <c r="AB376" s="41">
        <f>VLOOKUP(B376,'Player Data'!$A1:$AE734,16,FALSE)*$Q376</f>
        <v>73.205138362663448</v>
      </c>
      <c r="AC376" s="41">
        <f>VLOOKUP(B376,'Player Data'!$A1:$AE734,17,FALSE)*$Q376*IFERROR((VLOOKUP(P376,Settings!$E$28:$F$33,2,FALSE)+1),1)</f>
        <v>-5.2255703132875029</v>
      </c>
      <c r="AD376" s="41">
        <f>VLOOKUP(B376,'Player Data'!$A1:$AE734,18,FALSE)*$Q376</f>
        <v>27.609983489183115</v>
      </c>
      <c r="AE376" s="41">
        <f>VLOOKUP(B376,'Player Data'!$A1:$AE734,19,FALSE)*$Q376*IFERROR((VLOOKUP(P376,Settings!$E$28:$F$33,2,FALSE)+1),1)</f>
        <v>0.51516917624100733</v>
      </c>
      <c r="AF376" s="41">
        <f>VLOOKUP(B376,'Player Data'!$A1:$AE734,20,FALSE)*$Q376</f>
        <v>0</v>
      </c>
      <c r="AG376" s="41">
        <f>VLOOKUP(B376,'Player Data'!$A1:$AE734,21,FALSE)*$Q376</f>
        <v>0</v>
      </c>
      <c r="AH376" s="42">
        <f>VLOOKUP(B376,'Player Data'!$A1:$AE734,22,FALSE)</f>
        <v>0</v>
      </c>
      <c r="AI376" s="39"/>
      <c r="AJ376" s="41"/>
      <c r="AK376" s="41"/>
      <c r="AL376" s="41"/>
      <c r="AM376" s="41"/>
      <c r="AN376" s="41"/>
      <c r="AO376" s="41"/>
      <c r="AP376" s="41"/>
      <c r="AQ376" s="44"/>
      <c r="AR376" s="45"/>
      <c r="AS376" s="39"/>
    </row>
    <row r="377" spans="1:45" ht="21.25" customHeight="1" x14ac:dyDescent="0.15">
      <c r="A377" s="31">
        <f>RANK(K377,K$2:K$727)</f>
        <v>376</v>
      </c>
      <c r="B377" s="8" t="s">
        <v>481</v>
      </c>
      <c r="C377" s="32" t="s">
        <v>106</v>
      </c>
      <c r="D377" s="33" t="str">
        <f>VLOOKUP(B377,'Player Data'!A1:D734,4,FALSE)</f>
        <v>G</v>
      </c>
      <c r="E377" s="50">
        <f>VLOOKUP(B377,G!A1:D75,3,FALSE)</f>
        <v>39</v>
      </c>
      <c r="F377" s="35" t="str">
        <f>VLOOKUP(B377,'Player Data'!A1:B734,2,FALSE)</f>
        <v>MTL</v>
      </c>
      <c r="G377" s="9">
        <f>VLOOKUP(B377,'Player Data'!A1:D734,3,FALSE)</f>
        <v>33</v>
      </c>
      <c r="H377" s="36">
        <f>IFERROR(VLOOKUP(B377,ADP!A1:G728,7,FALSE)/1000000,VLOOKUP(B377,ADP!A1:G728,7,FALSE))</f>
        <v>0</v>
      </c>
      <c r="I377" s="37">
        <f>IF(Settings!$E$15="POINTS",(AJ377*Settings!$B$29)+(AK377*Settings!$B$21)+(AL377*Settings!$B$22)+(AN377*Settings!$B$24)+(AO377*Settings!$B$25)+(AP377*Settings!$B$27)+(AM377*Settings!$B$23),VLOOKUP(B377,'Standard Deviations'!A1:C728,3,FALSE))</f>
        <v>218.97519338746577</v>
      </c>
      <c r="J377" s="38">
        <f>IF(D377="G",I377/AJ377,I377/Q377)</f>
        <v>6.0826442607629376</v>
      </c>
      <c r="K377" s="37">
        <f>VLOOKUP(B377,G!A1:F75,6,FALSE)</f>
        <v>-179.80046870185043</v>
      </c>
      <c r="L377" s="52" t="str">
        <f>IFERROR(K377/H377,"N/A")</f>
        <v>N/A</v>
      </c>
      <c r="M377" s="39">
        <f>IF(Settings!$E$9="YAHOO",VLOOKUP(B377,ADP!A1:E728,2,FALSE),IF(Settings!$E$9="ESPN",VLOOKUP(B377,ADP!A1:E728,3,FALSE),IF(Settings!$E$9="FANTRAX",VLOOKUP(B377,ADP!A1:E728,4,FALSE),VLOOKUP(B377,ADP!A1:E728,5,FALSE))))</f>
        <v>165.3</v>
      </c>
      <c r="N377" s="39">
        <f>IFERROR(M377-A377,"N/A")</f>
        <v>-210.7</v>
      </c>
      <c r="O377" s="39"/>
      <c r="P377" s="40" t="str">
        <f>IF(Settings!$E$27="ON",VLOOKUP(B377,ADP!A1:H728,8,FALSE)," ")</f>
        <v xml:space="preserve"> </v>
      </c>
      <c r="Q377" s="41"/>
      <c r="R377" s="5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2"/>
      <c r="AI377" s="39"/>
      <c r="AJ377" s="43">
        <f>VLOOKUP(B377,'Player Data'!$A1:$AE734,24,FALSE)</f>
        <v>36</v>
      </c>
      <c r="AK377" s="41">
        <f>VLOOKUP(B377,'Player Data'!$A1:$AE734,25,FALSE)*$AJ377*IFERROR((VLOOKUP(P377,Settings!$E$28:$F$33,2,FALSE)+1),1)</f>
        <v>12.753790963915176</v>
      </c>
      <c r="AL377" s="41">
        <f>AJ377-AK377-AM377</f>
        <v>18.746209036084824</v>
      </c>
      <c r="AM377" s="41">
        <f>VLOOKUP(B377,'Player Data'!$A1:$AE734,27,FALSE)*$AJ377</f>
        <v>4.5</v>
      </c>
      <c r="AN377" s="41">
        <f>VLOOKUP(B377,'Player Data'!$A1:$AE734,28,FALSE)*AJ377</f>
        <v>1.2394938866781673</v>
      </c>
      <c r="AO377" s="41">
        <f>VLOOKUP(B377,'Player Data'!$A1:$AE734,29,FALSE)*$AJ377*IFERROR((VLOOKUP(P377,Settings!$E$28:$F$33,2,FALSE)/4)+1,1)</f>
        <v>1024.73977905639</v>
      </c>
      <c r="AP377" s="41">
        <f>VLOOKUP(B377,'Player Data'!$A1:$AE734,31,FALSE)*$AJ377*(IFERROR(1-(VLOOKUP(P377,Settings!$E$28:$F$33,2,FALSE)/4),1))</f>
        <v>111.37835226861037</v>
      </c>
      <c r="AQ377" s="44">
        <f>1-(AP377/(AO377+AP377))</f>
        <v>0.90196587027555386</v>
      </c>
      <c r="AR377" s="45">
        <f>AP377/AJ377</f>
        <v>3.0938431185725102</v>
      </c>
      <c r="AS377" s="39"/>
    </row>
    <row r="378" spans="1:45" ht="21.25" customHeight="1" x14ac:dyDescent="0.15">
      <c r="A378" s="31">
        <f>RANK(K378,K$2:K$727)</f>
        <v>377</v>
      </c>
      <c r="B378" s="8" t="s">
        <v>482</v>
      </c>
      <c r="C378" s="32" t="s">
        <v>106</v>
      </c>
      <c r="D378" s="33" t="str">
        <f>VLOOKUP(B378,'Player Data'!A1:D734,4,FALSE)</f>
        <v>D</v>
      </c>
      <c r="E378" s="49">
        <f>VLOOKUP(B378,D!A1:C227,3,FALSE)</f>
        <v>120</v>
      </c>
      <c r="F378" s="35" t="str">
        <f>VLOOKUP(B378,'Player Data'!A1:B734,2,FALSE)</f>
        <v>OTT</v>
      </c>
      <c r="G378" s="9">
        <f>VLOOKUP(B378,'Player Data'!A1:D734,3,FALSE)</f>
        <v>33</v>
      </c>
      <c r="H378" s="36">
        <f>IFERROR(VLOOKUP(B378,ADP!A1:G728,7,FALSE)/1000000,VLOOKUP(B378,ADP!A1:G728,7,FALSE))</f>
        <v>1.1000000000000001</v>
      </c>
      <c r="I378" s="37">
        <f>IF(Settings!$E$15="POINTS",((R378*Q378)*Settings!$B$12)+(S378*Settings!$B$2)+(T378*Settings!$B$3)+(U378*Settings!$B$4)+(V378*Settings!$B$5)+(X378*Settings!$B$9)+(AA378*Settings!$B$6)+(W378*Settings!$B$8)+(AB378*Settings!$B$7)+(AC378*Settings!$B$14)+(AD378*Settings!$B$15)+(AE378*Settings!$B$16)+(AF378*Settings!$B$17)+(AG378*Settings!$B$18)+(U378*Settings!$B$13)+(Y378*Settings!$B$10)+(Z378*Settings!$B$11),VLOOKUP(B378,'Standard Deviations'!A1:C728,3,FALSE))</f>
        <v>131.459375120803</v>
      </c>
      <c r="J378" s="38">
        <f>IF(D378="G",I378/AJ378,I378/Q378)</f>
        <v>1.8060264478595187</v>
      </c>
      <c r="K378" s="37">
        <f>VLOOKUP(B378,D!A1:F227,6,FALSE)</f>
        <v>-180.10610650712445</v>
      </c>
      <c r="L378" s="37">
        <f>IFERROR(K378/H378,"N/A")</f>
        <v>-163.73282409738584</v>
      </c>
      <c r="M378" s="53" t="str">
        <f>IF(Settings!$E$9="YAHOO",VLOOKUP(B378,ADP!A1:E728,2,FALSE),IF(Settings!$E$9="ESPN",VLOOKUP(B378,ADP!A1:E728,3,FALSE),IF(Settings!$E$9="FANTRAX",VLOOKUP(B378,ADP!A1:E728,4,FALSE),VLOOKUP(B378,ADP!A1:E728,5,FALSE))))</f>
        <v>-</v>
      </c>
      <c r="N378" s="53" t="str">
        <f>IFERROR(M378-A378,"N/A")</f>
        <v>N/A</v>
      </c>
      <c r="O378" s="39"/>
      <c r="P378" s="40" t="str">
        <f>IF(Settings!$E$27="ON",VLOOKUP(B378,ADP!A1:H728,8,FALSE)," ")</f>
        <v xml:space="preserve"> </v>
      </c>
      <c r="Q378" s="41">
        <f>IF(Settings!$E$12="YES",VLOOKUP(B378,'Player Data'!A1:E734,5,FALSE),82)</f>
        <v>72.789285714285697</v>
      </c>
      <c r="R378" s="39">
        <f>VLOOKUP(B378,'Player Data'!$A1:$AE734,6,FALSE)</f>
        <v>17.3739744120479</v>
      </c>
      <c r="S378" s="41">
        <f>VLOOKUP(B378,'Player Data'!$A1:$AE734,7,FALSE)*$Q378*IFERROR((VLOOKUP(P378,Settings!$E$28:$F$33,2,FALSE)+1),1)</f>
        <v>4.3845302076661188</v>
      </c>
      <c r="T378" s="41">
        <f>VLOOKUP(B378,'Player Data'!$A1:$AE734,8,FALSE)*$Q378*IFERROR((VLOOKUP(P378,Settings!$E$28:$F$33,2,FALSE)+1),1)</f>
        <v>10.75978107276897</v>
      </c>
      <c r="U378" s="41">
        <f>SUM(S378:T378)</f>
        <v>15.144311280435089</v>
      </c>
      <c r="V378" s="41">
        <f>VLOOKUP(B378,'Player Data'!$A1:$AE734,10,FALSE)*$Q378*IFERROR(((VLOOKUP(P378,Settings!$E$28:$F$33,2,FALSE)/2)+1),1)</f>
        <v>115.47600253868262</v>
      </c>
      <c r="W378" s="41">
        <f>VLOOKUP(B378,'Player Data'!$A1:$AE734,11,FALSE)*$Q378*IFERROR((VLOOKUP(P378,Settings!$E$28:$F$33,2,FALSE)+1),1)</f>
        <v>2.1954429020408773E-2</v>
      </c>
      <c r="X378" s="41">
        <f>VLOOKUP(B378,'Player Data'!$A1:$AE734,12,FALSE)*$Q378*IFERROR((VLOOKUP(P378,Settings!$E$28:$F$33,2,FALSE)+1),1)</f>
        <v>0.22489560777515377</v>
      </c>
      <c r="Y378" s="41">
        <f>VLOOKUP(B378,'Player Data'!$A1:$AE734,13,FALSE)*$Q378</f>
        <v>2.6542621012556274E-2</v>
      </c>
      <c r="Z378" s="41">
        <f>VLOOKUP(B378,'Player Data'!$A1:$AE734,14,FALSE)*$Q378</f>
        <v>1.2113699684527555</v>
      </c>
      <c r="AA378" s="41">
        <f>VLOOKUP(B378,'Player Data'!$A1:$AE734,15,FALSE)*$Q378</f>
        <v>127.07954428850294</v>
      </c>
      <c r="AB378" s="41">
        <f>VLOOKUP(B378,'Player Data'!$A1:$AE734,16,FALSE)*$Q378</f>
        <v>103.59523802667627</v>
      </c>
      <c r="AC378" s="41">
        <f>VLOOKUP(B378,'Player Data'!$A1:$AE734,17,FALSE)*$Q378*IFERROR((VLOOKUP(P378,Settings!$E$28:$F$33,2,FALSE)+1),1)</f>
        <v>-0.52494421069186747</v>
      </c>
      <c r="AD378" s="41">
        <f>VLOOKUP(B378,'Player Data'!$A1:$AE734,18,FALSE)*$Q378</f>
        <v>43.566207326100709</v>
      </c>
      <c r="AE378" s="41">
        <f>VLOOKUP(B378,'Player Data'!$A1:$AE734,19,FALSE)*$Q378*IFERROR((VLOOKUP(P378,Settings!$E$28:$F$33,2,FALSE)+1),1)</f>
        <v>0.60901536574459081</v>
      </c>
      <c r="AF378" s="41">
        <f>VLOOKUP(B378,'Player Data'!$A1:$AE734,20,FALSE)*$Q378</f>
        <v>0</v>
      </c>
      <c r="AG378" s="41">
        <f>VLOOKUP(B378,'Player Data'!$A1:$AE734,21,FALSE)*$Q378</f>
        <v>0.15222451311180824</v>
      </c>
      <c r="AH378" s="42">
        <f>VLOOKUP(B378,'Player Data'!$A1:$AE734,22,FALSE)</f>
        <v>0</v>
      </c>
      <c r="AI378" s="39"/>
      <c r="AJ378" s="43"/>
      <c r="AK378" s="41"/>
      <c r="AL378" s="41"/>
      <c r="AM378" s="41"/>
      <c r="AN378" s="41"/>
      <c r="AO378" s="41"/>
      <c r="AP378" s="41"/>
      <c r="AQ378" s="44"/>
      <c r="AR378" s="45"/>
      <c r="AS378" s="39"/>
    </row>
    <row r="379" spans="1:45" ht="21.25" customHeight="1" x14ac:dyDescent="0.15">
      <c r="A379" s="31">
        <f>RANK(K379,K$2:K$727)</f>
        <v>378</v>
      </c>
      <c r="B379" s="8" t="s">
        <v>483</v>
      </c>
      <c r="C379" s="32" t="s">
        <v>106</v>
      </c>
      <c r="D379" s="33" t="str">
        <f>VLOOKUP(B379,'Player Data'!A1:D734,4,FALSE)</f>
        <v>C</v>
      </c>
      <c r="E379" s="34">
        <f>VLOOKUP(B379,'C'!A1:C211,3,FALSE)</f>
        <v>93</v>
      </c>
      <c r="F379" s="35" t="str">
        <f>VLOOKUP(B379,'Player Data'!A1:B734,2,FALSE)</f>
        <v>CHI</v>
      </c>
      <c r="G379" s="9">
        <f>VLOOKUP(B379,'Player Data'!A1:D734,3,FALSE)</f>
        <v>29</v>
      </c>
      <c r="H379" s="36">
        <f>IFERROR(VLOOKUP(B379,ADP!A1:G728,7,FALSE)/1000000,VLOOKUP(B379,ADP!A1:G728,7,FALSE))</f>
        <v>4.25</v>
      </c>
      <c r="I379" s="37">
        <f>IF(Settings!$E$15="POINTS",((R379*Q379)*Settings!$B$12)+(S379*Settings!$B$2)+(T379*Settings!$B$3)+(U379*Settings!$B$4)+(V379*Settings!$B$5)+(X379*Settings!$B$9)+(AA379*Settings!$B$6)+(W379*Settings!$B$8)+(AB379*Settings!$B$7)+(AC379*Settings!$B$14)+(AD379*Settings!$B$15)+(AE379*Settings!$B$16)+(AF379*Settings!$B$17)+(AG379*Settings!$B$18)+(Y379*Settings!$B$10)+(Z379*Settings!$B$11),VLOOKUP(B379,'Standard Deviations'!A1:C728,3,FALSE))</f>
        <v>212.98103571600069</v>
      </c>
      <c r="J379" s="38">
        <f>IF(D379="G",I379/AJ379,I379/Q379)</f>
        <v>2.9131729740790573</v>
      </c>
      <c r="K379" s="37">
        <f>IF(Settings!$E$18="C/LW/RW",VLOOKUP(B379,'C'!A1:F211,6,FALSE),VLOOKUP(B379,F!A1:F430,6,FALSE))</f>
        <v>-180.34777005020896</v>
      </c>
      <c r="L379" s="37">
        <f>IFERROR(K379/H379,"N/A")</f>
        <v>-42.43476942357858</v>
      </c>
      <c r="M379" s="53" t="str">
        <f>IF(Settings!$E$9="YAHOO",VLOOKUP(B379,ADP!A1:E728,2,FALSE),IF(Settings!$E$9="ESPN",VLOOKUP(B379,ADP!A1:E728,3,FALSE),IF(Settings!$E$9="FANTRAX",VLOOKUP(B379,ADP!A1:E728,4,FALSE),VLOOKUP(B379,ADP!A1:E728,5,FALSE))))</f>
        <v>-</v>
      </c>
      <c r="N379" s="53" t="str">
        <f>IFERROR(M379-A379,"N/A")</f>
        <v>N/A</v>
      </c>
      <c r="O379" s="39"/>
      <c r="P379" s="40" t="str">
        <f>IF(Settings!$E$27="ON",VLOOKUP(B379,ADP!A1:H728,8,FALSE)," ")</f>
        <v xml:space="preserve"> </v>
      </c>
      <c r="Q379" s="41">
        <f>IF(Settings!$E$12="YES",VLOOKUP(B379,'Player Data'!A1:E734,5,FALSE),82)</f>
        <v>73.109642857142902</v>
      </c>
      <c r="R379" s="39">
        <f>VLOOKUP(B379,'Player Data'!$A1:$AE734,6,FALSE)</f>
        <v>16.100251273948</v>
      </c>
      <c r="S379" s="41">
        <f>VLOOKUP(B379,'Player Data'!$A1:$AE734,7,FALSE)*$Q379*IFERROR((VLOOKUP(P379,Settings!$E$28:$F$33,2,FALSE)+1),1)</f>
        <v>18.90682064973587</v>
      </c>
      <c r="T379" s="41">
        <f>VLOOKUP(B379,'Player Data'!$A1:$AE734,8,FALSE)*$Q379*IFERROR((VLOOKUP(P379,Settings!$E$28:$F$33,2,FALSE)+1),1)</f>
        <v>19.377307803145644</v>
      </c>
      <c r="U379" s="41">
        <f>SUM(S379:T379)</f>
        <v>38.284128452881518</v>
      </c>
      <c r="V379" s="41">
        <f>VLOOKUP(B379,'Player Data'!$A1:$AE734,10,FALSE)*$Q379*IFERROR(((VLOOKUP(P379,Settings!$E$28:$F$33,2,FALSE)/2)+1),1)</f>
        <v>158.36829100597532</v>
      </c>
      <c r="W379" s="41">
        <f>VLOOKUP(B379,'Player Data'!$A1:$AE734,11,FALSE)*$Q379*IFERROR((VLOOKUP(P379,Settings!$E$28:$F$33,2,FALSE)+1),1)</f>
        <v>2.1207586193806249</v>
      </c>
      <c r="X379" s="41">
        <f>VLOOKUP(B379,'Player Data'!$A1:$AE734,12,FALSE)*$Q379*IFERROR((VLOOKUP(P379,Settings!$E$28:$F$33,2,FALSE)+1),1)</f>
        <v>5.5331805048936928</v>
      </c>
      <c r="Y379" s="41">
        <f>VLOOKUP(B379,'Player Data'!$A1:$AE734,13,FALSE)*$Q379</f>
        <v>9.8861299866609575E-2</v>
      </c>
      <c r="Z379" s="41">
        <f>VLOOKUP(B379,'Player Data'!$A1:$AE734,14,FALSE)*$Q379</f>
        <v>0.18113684185213311</v>
      </c>
      <c r="AA379" s="41">
        <f>VLOOKUP(B379,'Player Data'!$A1:$AE734,15,FALSE)*$Q379</f>
        <v>37.57935080438412</v>
      </c>
      <c r="AB379" s="41">
        <f>VLOOKUP(B379,'Player Data'!$A1:$AE734,16,FALSE)*$Q379</f>
        <v>41.739881875224661</v>
      </c>
      <c r="AC379" s="41">
        <f>VLOOKUP(B379,'Player Data'!$A1:$AE734,17,FALSE)*$Q379*IFERROR((VLOOKUP(P379,Settings!$E$28:$F$33,2,FALSE)+1),1)</f>
        <v>-6.5773962178792837</v>
      </c>
      <c r="AD379" s="41">
        <f>VLOOKUP(B379,'Player Data'!$A1:$AE734,18,FALSE)*$Q379</f>
        <v>25.957756922952544</v>
      </c>
      <c r="AE379" s="41">
        <f>VLOOKUP(B379,'Player Data'!$A1:$AE734,19,FALSE)*$Q379*IFERROR((VLOOKUP(P379,Settings!$E$28:$F$33,2,FALSE)+1),1)</f>
        <v>2.2155305862139598</v>
      </c>
      <c r="AF379" s="41">
        <f>VLOOKUP(B379,'Player Data'!$A1:$AE734,20,FALSE)*$Q379</f>
        <v>83.247919958077929</v>
      </c>
      <c r="AG379" s="41">
        <f>VLOOKUP(B379,'Player Data'!$A1:$AE734,21,FALSE)*$Q379</f>
        <v>54.531609772242732</v>
      </c>
      <c r="AH379" s="42">
        <f>VLOOKUP(B379,'Player Data'!$A1:$AE734,22,FALSE)</f>
        <v>0.60421109087119895</v>
      </c>
      <c r="AI379" s="39"/>
      <c r="AJ379" s="41"/>
      <c r="AK379" s="41"/>
      <c r="AL379" s="41"/>
      <c r="AM379" s="41"/>
      <c r="AN379" s="41"/>
      <c r="AO379" s="41"/>
      <c r="AP379" s="41"/>
      <c r="AQ379" s="44"/>
      <c r="AR379" s="45"/>
      <c r="AS379" s="39"/>
    </row>
    <row r="380" spans="1:45" ht="21.25" customHeight="1" x14ac:dyDescent="0.15">
      <c r="A380" s="31">
        <f>RANK(K380,K$2:K$727)</f>
        <v>379</v>
      </c>
      <c r="B380" s="8" t="s">
        <v>484</v>
      </c>
      <c r="C380" s="32" t="s">
        <v>106</v>
      </c>
      <c r="D380" s="33" t="str">
        <f>VLOOKUP(B380,'Player Data'!A1:D734,4,FALSE)</f>
        <v>D</v>
      </c>
      <c r="E380" s="49">
        <f>VLOOKUP(B380,D!A1:C227,3,FALSE)</f>
        <v>121</v>
      </c>
      <c r="F380" s="35" t="str">
        <f>VLOOKUP(B380,'Player Data'!A1:B734,2,FALSE)</f>
        <v>NYI</v>
      </c>
      <c r="G380" s="9">
        <f>VLOOKUP(B380,'Player Data'!A1:D734,3,FALSE)</f>
        <v>23</v>
      </c>
      <c r="H380" s="36">
        <f>IFERROR(VLOOKUP(B380,ADP!A1:G728,7,FALSE)/1000000,VLOOKUP(B380,ADP!A1:G728,7,FALSE))</f>
        <v>2.5</v>
      </c>
      <c r="I380" s="37">
        <f>IF(Settings!$E$15="POINTS",((R380*Q380)*Settings!$B$12)+(S380*Settings!$B$2)+(T380*Settings!$B$3)+(U380*Settings!$B$4)+(V380*Settings!$B$5)+(X380*Settings!$B$9)+(AA380*Settings!$B$6)+(W380*Settings!$B$8)+(AB380*Settings!$B$7)+(AC380*Settings!$B$14)+(AD380*Settings!$B$15)+(AE380*Settings!$B$16)+(AF380*Settings!$B$17)+(AG380*Settings!$B$18)+(U380*Settings!$B$13)+(Y380*Settings!$B$10)+(Z380*Settings!$B$11),VLOOKUP(B380,'Standard Deviations'!A1:C728,3,FALSE))</f>
        <v>130.9438103662859</v>
      </c>
      <c r="J380" s="38">
        <f>IF(D380="G",I380/AJ380,I380/Q380)</f>
        <v>1.6315025298499974</v>
      </c>
      <c r="K380" s="37">
        <f>VLOOKUP(B380,D!A1:F227,6,FALSE)</f>
        <v>-180.62167126164155</v>
      </c>
      <c r="L380" s="37">
        <f>IFERROR(K380/H380,"N/A")</f>
        <v>-72.248668504656621</v>
      </c>
      <c r="M380" s="53" t="str">
        <f>IF(Settings!$E$9="YAHOO",VLOOKUP(B380,ADP!A1:E728,2,FALSE),IF(Settings!$E$9="ESPN",VLOOKUP(B380,ADP!A1:E728,3,FALSE),IF(Settings!$E$9="FANTRAX",VLOOKUP(B380,ADP!A1:E728,4,FALSE),VLOOKUP(B380,ADP!A1:E728,5,FALSE))))</f>
        <v>-</v>
      </c>
      <c r="N380" s="53" t="str">
        <f>IFERROR(M380-A380,"N/A")</f>
        <v>N/A</v>
      </c>
      <c r="O380" s="39"/>
      <c r="P380" s="40" t="str">
        <f>IF(Settings!$E$27="ON",VLOOKUP(B380,ADP!A1:H728,8,FALSE)," ")</f>
        <v xml:space="preserve"> </v>
      </c>
      <c r="Q380" s="41">
        <f>IF(Settings!$E$12="YES",VLOOKUP(B380,'Player Data'!A1:E734,5,FALSE),82)</f>
        <v>80.259642857142893</v>
      </c>
      <c r="R380" s="39">
        <f>VLOOKUP(B380,'Player Data'!$A1:$AE734,6,FALSE)</f>
        <v>18.520226288671601</v>
      </c>
      <c r="S380" s="41">
        <f>VLOOKUP(B380,'Player Data'!$A1:$AE734,7,FALSE)*$Q380*IFERROR((VLOOKUP(P380,Settings!$E$28:$F$33,2,FALSE)+1),1)</f>
        <v>2.8042013300354385</v>
      </c>
      <c r="T380" s="41">
        <f>VLOOKUP(B380,'Player Data'!$A1:$AE734,8,FALSE)*$Q380*IFERROR((VLOOKUP(P380,Settings!$E$28:$F$33,2,FALSE)+1),1)</f>
        <v>15.459213183323401</v>
      </c>
      <c r="U380" s="41">
        <f>SUM(S380:T380)</f>
        <v>18.263414513358839</v>
      </c>
      <c r="V380" s="41">
        <f>VLOOKUP(B380,'Player Data'!$A1:$AE734,10,FALSE)*$Q380*IFERROR(((VLOOKUP(P380,Settings!$E$28:$F$33,2,FALSE)/2)+1),1)</f>
        <v>100.41636129453644</v>
      </c>
      <c r="W380" s="41">
        <f>VLOOKUP(B380,'Player Data'!$A1:$AE734,11,FALSE)*$Q380*IFERROR((VLOOKUP(P380,Settings!$E$28:$F$33,2,FALSE)+1),1)</f>
        <v>1.1905206890511326E-2</v>
      </c>
      <c r="X380" s="41">
        <f>VLOOKUP(B380,'Player Data'!$A1:$AE734,12,FALSE)*$Q380*IFERROR((VLOOKUP(P380,Settings!$E$28:$F$33,2,FALSE)+1),1)</f>
        <v>9.8263893399438806E-2</v>
      </c>
      <c r="Y380" s="41">
        <f>VLOOKUP(B380,'Player Data'!$A1:$AE734,13,FALSE)*$Q380</f>
        <v>2.6207404148560518E-2</v>
      </c>
      <c r="Z380" s="41">
        <f>VLOOKUP(B380,'Player Data'!$A1:$AE734,14,FALSE)*$Q380</f>
        <v>0.13513091411225672</v>
      </c>
      <c r="AA380" s="41">
        <f>VLOOKUP(B380,'Player Data'!$A1:$AE734,15,FALSE)*$Q380</f>
        <v>127.39298281958882</v>
      </c>
      <c r="AB380" s="41">
        <f>VLOOKUP(B380,'Player Data'!$A1:$AE734,16,FALSE)*$Q380</f>
        <v>184.93482836967476</v>
      </c>
      <c r="AC380" s="41">
        <f>VLOOKUP(B380,'Player Data'!$A1:$AE734,17,FALSE)*$Q380*IFERROR((VLOOKUP(P380,Settings!$E$28:$F$33,2,FALSE)+1),1)</f>
        <v>-0.64663676542981952</v>
      </c>
      <c r="AD380" s="41">
        <f>VLOOKUP(B380,'Player Data'!$A1:$AE734,18,FALSE)*$Q380</f>
        <v>40.660481723315392</v>
      </c>
      <c r="AE380" s="41">
        <f>VLOOKUP(B380,'Player Data'!$A1:$AE734,19,FALSE)*$Q380*IFERROR((VLOOKUP(P380,Settings!$E$28:$F$33,2,FALSE)+1),1)</f>
        <v>0.43331039787963327</v>
      </c>
      <c r="AF380" s="41">
        <f>VLOOKUP(B380,'Player Data'!$A1:$AE734,20,FALSE)*$Q380</f>
        <v>0</v>
      </c>
      <c r="AG380" s="41">
        <f>VLOOKUP(B380,'Player Data'!$A1:$AE734,21,FALSE)*$Q380</f>
        <v>0</v>
      </c>
      <c r="AH380" s="42">
        <f>VLOOKUP(B380,'Player Data'!$A1:$AE734,22,FALSE)</f>
        <v>0</v>
      </c>
      <c r="AI380" s="39"/>
      <c r="AJ380" s="43"/>
      <c r="AK380" s="41"/>
      <c r="AL380" s="41"/>
      <c r="AM380" s="41"/>
      <c r="AN380" s="41"/>
      <c r="AO380" s="41"/>
      <c r="AP380" s="41"/>
      <c r="AQ380" s="44"/>
      <c r="AR380" s="45"/>
      <c r="AS380" s="39"/>
    </row>
    <row r="381" spans="1:45" ht="21.25" customHeight="1" x14ac:dyDescent="0.15">
      <c r="A381" s="31">
        <f>RANK(K381,K$2:K$727)</f>
        <v>380</v>
      </c>
      <c r="B381" s="8" t="s">
        <v>485</v>
      </c>
      <c r="C381" s="32" t="s">
        <v>106</v>
      </c>
      <c r="D381" s="33" t="str">
        <f>VLOOKUP(B381,'Player Data'!A1:D734,4,FALSE)</f>
        <v>D</v>
      </c>
      <c r="E381" s="49">
        <f>VLOOKUP(B381,D!A1:C227,3,FALSE)</f>
        <v>122</v>
      </c>
      <c r="F381" s="35" t="str">
        <f>VLOOKUP(B381,'Player Data'!A1:B734,2,FALSE)</f>
        <v>SEA</v>
      </c>
      <c r="G381" s="9">
        <f>VLOOKUP(B381,'Player Data'!A1:D734,3,FALSE)</f>
        <v>30</v>
      </c>
      <c r="H381" s="36">
        <f>IFERROR(VLOOKUP(B381,ADP!A1:G728,7,FALSE)/1000000,VLOOKUP(B381,ADP!A1:G728,7,FALSE))</f>
        <v>4.5999999999999996</v>
      </c>
      <c r="I381" s="37">
        <f>IF(Settings!$E$15="POINTS",((R381*Q381)*Settings!$B$12)+(S381*Settings!$B$2)+(T381*Settings!$B$3)+(U381*Settings!$B$4)+(V381*Settings!$B$5)+(X381*Settings!$B$9)+(AA381*Settings!$B$6)+(W381*Settings!$B$8)+(AB381*Settings!$B$7)+(AC381*Settings!$B$14)+(AD381*Settings!$B$15)+(AE381*Settings!$B$16)+(AF381*Settings!$B$17)+(AG381*Settings!$B$18)+(U381*Settings!$B$13)+(Y381*Settings!$B$10)+(Z381*Settings!$B$11),VLOOKUP(B381,'Standard Deviations'!A1:C728,3,FALSE))</f>
        <v>130.89362349669332</v>
      </c>
      <c r="J381" s="38">
        <f>IF(D381="G",I381/AJ381,I381/Q381)</f>
        <v>1.6482748118582506</v>
      </c>
      <c r="K381" s="37">
        <f>VLOOKUP(B381,D!A1:F227,6,FALSE)</f>
        <v>-180.67185813123413</v>
      </c>
      <c r="L381" s="37">
        <f>IFERROR(K381/H381,"N/A")</f>
        <v>-39.27649089809438</v>
      </c>
      <c r="M381" s="53" t="str">
        <f>IF(Settings!$E$9="YAHOO",VLOOKUP(B381,ADP!A1:E728,2,FALSE),IF(Settings!$E$9="ESPN",VLOOKUP(B381,ADP!A1:E728,3,FALSE),IF(Settings!$E$9="FANTRAX",VLOOKUP(B381,ADP!A1:E728,4,FALSE),VLOOKUP(B381,ADP!A1:E728,5,FALSE))))</f>
        <v>-</v>
      </c>
      <c r="N381" s="53" t="str">
        <f>IFERROR(M381-A381,"N/A")</f>
        <v>N/A</v>
      </c>
      <c r="O381" s="39"/>
      <c r="P381" s="40" t="str">
        <f>IF(Settings!$E$27="ON",VLOOKUP(B381,ADP!A1:H728,8,FALSE)," ")</f>
        <v xml:space="preserve"> </v>
      </c>
      <c r="Q381" s="41">
        <f>IF(Settings!$E$12="YES",VLOOKUP(B381,'Player Data'!A1:E734,5,FALSE),82)</f>
        <v>79.412499999999994</v>
      </c>
      <c r="R381" s="39">
        <f>VLOOKUP(B381,'Player Data'!$A1:$AE734,6,FALSE)</f>
        <v>19.178648669969501</v>
      </c>
      <c r="S381" s="41">
        <f>VLOOKUP(B381,'Player Data'!$A1:$AE734,7,FALSE)*$Q381*IFERROR((VLOOKUP(P381,Settings!$E$28:$F$33,2,FALSE)+1),1)</f>
        <v>5.313209449321687</v>
      </c>
      <c r="T381" s="41">
        <f>VLOOKUP(B381,'Player Data'!$A1:$AE734,8,FALSE)*$Q381*IFERROR((VLOOKUP(P381,Settings!$E$28:$F$33,2,FALSE)+1),1)</f>
        <v>15.044176031506925</v>
      </c>
      <c r="U381" s="41">
        <f>SUM(S381:T381)</f>
        <v>20.357385480828611</v>
      </c>
      <c r="V381" s="41">
        <f>VLOOKUP(B381,'Player Data'!$A1:$AE734,10,FALSE)*$Q381*IFERROR(((VLOOKUP(P381,Settings!$E$28:$F$33,2,FALSE)/2)+1),1)</f>
        <v>89.959867797090581</v>
      </c>
      <c r="W381" s="41">
        <f>VLOOKUP(B381,'Player Data'!$A1:$AE734,11,FALSE)*$Q381*IFERROR((VLOOKUP(P381,Settings!$E$28:$F$33,2,FALSE)+1),1)</f>
        <v>1.995188572378508E-2</v>
      </c>
      <c r="X381" s="41">
        <f>VLOOKUP(B381,'Player Data'!$A1:$AE734,12,FALSE)*$Q381*IFERROR((VLOOKUP(P381,Settings!$E$28:$F$33,2,FALSE)+1),1)</f>
        <v>0.13714118650507665</v>
      </c>
      <c r="Y381" s="41">
        <f>VLOOKUP(B381,'Player Data'!$A1:$AE734,13,FALSE)*$Q381</f>
        <v>2.8305710392109037E-2</v>
      </c>
      <c r="Z381" s="41">
        <f>VLOOKUP(B381,'Player Data'!$A1:$AE734,14,FALSE)*$Q381</f>
        <v>0.4775076140256786</v>
      </c>
      <c r="AA381" s="41">
        <f>VLOOKUP(B381,'Player Data'!$A1:$AE734,15,FALSE)*$Q381</f>
        <v>118.06117777300339</v>
      </c>
      <c r="AB381" s="41">
        <f>VLOOKUP(B381,'Player Data'!$A1:$AE734,16,FALSE)*$Q381</f>
        <v>145.65321727666878</v>
      </c>
      <c r="AC381" s="41">
        <f>VLOOKUP(B381,'Player Data'!$A1:$AE734,17,FALSE)*$Q381*IFERROR((VLOOKUP(P381,Settings!$E$28:$F$33,2,FALSE)+1),1)</f>
        <v>2.5442846755589447E-2</v>
      </c>
      <c r="AD381" s="41">
        <f>VLOOKUP(B381,'Player Data'!$A1:$AE734,18,FALSE)*$Q381</f>
        <v>53.150783802975752</v>
      </c>
      <c r="AE381" s="41">
        <f>VLOOKUP(B381,'Player Data'!$A1:$AE734,19,FALSE)*$Q381*IFERROR((VLOOKUP(P381,Settings!$E$28:$F$33,2,FALSE)+1),1)</f>
        <v>0.74682990677712879</v>
      </c>
      <c r="AF381" s="41">
        <f>VLOOKUP(B381,'Player Data'!$A1:$AE734,20,FALSE)*$Q381</f>
        <v>0</v>
      </c>
      <c r="AG381" s="41">
        <f>VLOOKUP(B381,'Player Data'!$A1:$AE734,21,FALSE)*$Q381</f>
        <v>0</v>
      </c>
      <c r="AH381" s="42">
        <f>VLOOKUP(B381,'Player Data'!$A1:$AE734,22,FALSE)</f>
        <v>0</v>
      </c>
      <c r="AI381" s="39"/>
      <c r="AJ381" s="41"/>
      <c r="AK381" s="41"/>
      <c r="AL381" s="41"/>
      <c r="AM381" s="41"/>
      <c r="AN381" s="41"/>
      <c r="AO381" s="41"/>
      <c r="AP381" s="41"/>
      <c r="AQ381" s="44"/>
      <c r="AR381" s="45"/>
      <c r="AS381" s="39"/>
    </row>
    <row r="382" spans="1:45" ht="21.25" customHeight="1" x14ac:dyDescent="0.15">
      <c r="A382" s="31">
        <f>RANK(K382,K$2:K$727)</f>
        <v>381</v>
      </c>
      <c r="B382" s="8" t="s">
        <v>486</v>
      </c>
      <c r="C382" s="32" t="s">
        <v>106</v>
      </c>
      <c r="D382" s="33" t="str">
        <f>VLOOKUP(B382,'Player Data'!A1:D734,4,FALSE)</f>
        <v>C</v>
      </c>
      <c r="E382" s="34">
        <f>VLOOKUP(B382,'C'!A1:C211,3,FALSE)</f>
        <v>94</v>
      </c>
      <c r="F382" s="35" t="str">
        <f>VLOOKUP(B382,'Player Data'!A1:B734,2,FALSE)</f>
        <v>WPG</v>
      </c>
      <c r="G382" s="9">
        <f>VLOOKUP(B382,'Player Data'!A1:D734,3,FALSE)</f>
        <v>21</v>
      </c>
      <c r="H382" s="36">
        <f>IFERROR(VLOOKUP(B382,ADP!A1:G728,7,FALSE)/1000000,VLOOKUP(B382,ADP!A1:G728,7,FALSE))</f>
        <v>0.84916700000000001</v>
      </c>
      <c r="I382" s="37">
        <f>IF(Settings!$E$15="POINTS",((R382*Q382)*Settings!$B$12)+(S382*Settings!$B$2)+(T382*Settings!$B$3)+(U382*Settings!$B$4)+(V382*Settings!$B$5)+(X382*Settings!$B$9)+(AA382*Settings!$B$6)+(W382*Settings!$B$8)+(AB382*Settings!$B$7)+(AC382*Settings!$B$14)+(AD382*Settings!$B$15)+(AE382*Settings!$B$16)+(AF382*Settings!$B$17)+(AG382*Settings!$B$18)+(Y382*Settings!$B$10)+(Z382*Settings!$B$11),VLOOKUP(B382,'Standard Deviations'!A1:C728,3,FALSE))</f>
        <v>212.52034218229593</v>
      </c>
      <c r="J382" s="38">
        <f>IF(D382="G",I382/AJ382,I382/Q382)</f>
        <v>3.1161340495937817</v>
      </c>
      <c r="K382" s="37">
        <f>IF(Settings!$E$18="C/LW/RW",VLOOKUP(B382,'C'!A1:F211,6,FALSE),VLOOKUP(B382,F!A1:F430,6,FALSE))</f>
        <v>-180.80846358391372</v>
      </c>
      <c r="L382" s="37">
        <f>IFERROR(K382/H382,"N/A")</f>
        <v>-212.92450552590211</v>
      </c>
      <c r="M382" s="53" t="str">
        <f>IF(Settings!$E$9="YAHOO",VLOOKUP(B382,ADP!A1:E728,2,FALSE),IF(Settings!$E$9="ESPN",VLOOKUP(B382,ADP!A1:E728,3,FALSE),IF(Settings!$E$9="FANTRAX",VLOOKUP(B382,ADP!A1:E728,4,FALSE),VLOOKUP(B382,ADP!A1:E728,5,FALSE))))</f>
        <v>-</v>
      </c>
      <c r="N382" s="53" t="str">
        <f>IFERROR(M382-A382,"N/A")</f>
        <v>N/A</v>
      </c>
      <c r="O382" s="39"/>
      <c r="P382" s="40" t="str">
        <f>IF(Settings!$E$27="ON",VLOOKUP(B382,ADP!A1:H728,8,FALSE)," ")</f>
        <v xml:space="preserve"> </v>
      </c>
      <c r="Q382" s="41">
        <f>IF(Settings!$E$12="YES",VLOOKUP(B382,'Player Data'!A1:E734,5,FALSE),82)</f>
        <v>68.2</v>
      </c>
      <c r="R382" s="39">
        <f>VLOOKUP(B382,'Player Data'!$A1:$AE734,6,FALSE)</f>
        <v>15.659942964647501</v>
      </c>
      <c r="S382" s="41">
        <f>VLOOKUP(B382,'Player Data'!$A1:$AE734,7,FALSE)*$Q382*IFERROR((VLOOKUP(P382,Settings!$E$28:$F$33,2,FALSE)+1),1)</f>
        <v>13.827706367848</v>
      </c>
      <c r="T382" s="41">
        <f>VLOOKUP(B382,'Player Data'!$A1:$AE734,8,FALSE)*$Q382*IFERROR((VLOOKUP(P382,Settings!$E$28:$F$33,2,FALSE)+1),1)</f>
        <v>29.125051612762665</v>
      </c>
      <c r="U382" s="41">
        <f>SUM(S382:T382)</f>
        <v>42.952757980610663</v>
      </c>
      <c r="V382" s="41">
        <f>VLOOKUP(B382,'Player Data'!$A1:$AE734,10,FALSE)*$Q382*IFERROR(((VLOOKUP(P382,Settings!$E$28:$F$33,2,FALSE)/2)+1),1)</f>
        <v>126.22745663671189</v>
      </c>
      <c r="W382" s="41">
        <f>VLOOKUP(B382,'Player Data'!$A1:$AE734,11,FALSE)*$Q382*IFERROR((VLOOKUP(P382,Settings!$E$28:$F$33,2,FALSE)+1),1)</f>
        <v>2.2911965764963753</v>
      </c>
      <c r="X382" s="41">
        <f>VLOOKUP(B382,'Player Data'!$A1:$AE734,12,FALSE)*$Q382*IFERROR((VLOOKUP(P382,Settings!$E$28:$F$33,2,FALSE)+1),1)</f>
        <v>7.4954793839568694</v>
      </c>
      <c r="Y382" s="41">
        <f>VLOOKUP(B382,'Player Data'!$A1:$AE734,13,FALSE)*$Q382</f>
        <v>1.0636005105739762E-3</v>
      </c>
      <c r="Z382" s="41">
        <f>VLOOKUP(B382,'Player Data'!$A1:$AE734,14,FALSE)*$Q382</f>
        <v>1.8929086079466143E-3</v>
      </c>
      <c r="AA382" s="41">
        <f>VLOOKUP(B382,'Player Data'!$A1:$AE734,15,FALSE)*$Q382</f>
        <v>27.767976684891817</v>
      </c>
      <c r="AB382" s="41">
        <f>VLOOKUP(B382,'Player Data'!$A1:$AE734,16,FALSE)*$Q382</f>
        <v>53.80279258132019</v>
      </c>
      <c r="AC382" s="41">
        <f>VLOOKUP(B382,'Player Data'!$A1:$AE734,17,FALSE)*$Q382*IFERROR((VLOOKUP(P382,Settings!$E$28:$F$33,2,FALSE)+1),1)</f>
        <v>2.5002535813589426</v>
      </c>
      <c r="AD382" s="41">
        <f>VLOOKUP(B382,'Player Data'!$A1:$AE734,18,FALSE)*$Q382</f>
        <v>21.341975040965618</v>
      </c>
      <c r="AE382" s="41">
        <f>VLOOKUP(B382,'Player Data'!$A1:$AE734,19,FALSE)*$Q382*IFERROR((VLOOKUP(P382,Settings!$E$28:$F$33,2,FALSE)+1),1)</f>
        <v>2.157168477234404</v>
      </c>
      <c r="AF382" s="41">
        <f>VLOOKUP(B382,'Player Data'!$A1:$AE734,20,FALSE)*$Q382</f>
        <v>3.2487631845627583</v>
      </c>
      <c r="AG382" s="41">
        <f>VLOOKUP(B382,'Player Data'!$A1:$AE734,21,FALSE)*$Q382</f>
        <v>11.959336800292711</v>
      </c>
      <c r="AH382" s="42">
        <f>VLOOKUP(B382,'Player Data'!$A1:$AE734,22,FALSE)</f>
        <v>0.213620582965521</v>
      </c>
      <c r="AI382" s="39"/>
      <c r="AJ382" s="43"/>
      <c r="AK382" s="41"/>
      <c r="AL382" s="41"/>
      <c r="AM382" s="41"/>
      <c r="AN382" s="41"/>
      <c r="AO382" s="41"/>
      <c r="AP382" s="41"/>
      <c r="AQ382" s="44"/>
      <c r="AR382" s="45"/>
      <c r="AS382" s="39"/>
    </row>
    <row r="383" spans="1:45" ht="21.25" customHeight="1" x14ac:dyDescent="0.15">
      <c r="A383" s="31">
        <f>RANK(K383,K$2:K$727)</f>
        <v>382</v>
      </c>
      <c r="B383" s="8" t="s">
        <v>487</v>
      </c>
      <c r="C383" s="32" t="s">
        <v>106</v>
      </c>
      <c r="D383" s="33" t="str">
        <f>VLOOKUP(B383,'Player Data'!A1:D734,4,FALSE)</f>
        <v>D</v>
      </c>
      <c r="E383" s="49">
        <f>VLOOKUP(B383,D!A1:C227,3,FALSE)</f>
        <v>123</v>
      </c>
      <c r="F383" s="35" t="str">
        <f>VLOOKUP(B383,'Player Data'!A1:B734,2,FALSE)</f>
        <v>EDM</v>
      </c>
      <c r="G383" s="9">
        <f>VLOOKUP(B383,'Player Data'!A1:D734,3,FALSE)</f>
        <v>29</v>
      </c>
      <c r="H383" s="36">
        <f>IFERROR(VLOOKUP(B383,ADP!A1:G728,7,FALSE)/1000000,VLOOKUP(B383,ADP!A1:G728,7,FALSE))</f>
        <v>3.25</v>
      </c>
      <c r="I383" s="37">
        <f>IF(Settings!$E$15="POINTS",((R383*Q383)*Settings!$B$12)+(S383*Settings!$B$2)+(T383*Settings!$B$3)+(U383*Settings!$B$4)+(V383*Settings!$B$5)+(X383*Settings!$B$9)+(AA383*Settings!$B$6)+(W383*Settings!$B$8)+(AB383*Settings!$B$7)+(AC383*Settings!$B$14)+(AD383*Settings!$B$15)+(AE383*Settings!$B$16)+(AF383*Settings!$B$17)+(AG383*Settings!$B$18)+(U383*Settings!$B$13)+(Y383*Settings!$B$10)+(Z383*Settings!$B$11),VLOOKUP(B383,'Standard Deviations'!A1:C728,3,FALSE))</f>
        <v>130.6464080372281</v>
      </c>
      <c r="J383" s="38">
        <f>IF(D383="G",I383/AJ383,I383/Q383)</f>
        <v>1.6192012327560137</v>
      </c>
      <c r="K383" s="37">
        <f>VLOOKUP(B383,D!A1:F227,6,FALSE)</f>
        <v>-180.91907359069936</v>
      </c>
      <c r="L383" s="37">
        <f>IFERROR(K383/H383,"N/A")</f>
        <v>-55.667407258676725</v>
      </c>
      <c r="M383" s="53" t="str">
        <f>IF(Settings!$E$9="YAHOO",VLOOKUP(B383,ADP!A1:E728,2,FALSE),IF(Settings!$E$9="ESPN",VLOOKUP(B383,ADP!A1:E728,3,FALSE),IF(Settings!$E$9="FANTRAX",VLOOKUP(B383,ADP!A1:E728,4,FALSE),VLOOKUP(B383,ADP!A1:E728,5,FALSE))))</f>
        <v>-</v>
      </c>
      <c r="N383" s="53" t="str">
        <f>IFERROR(M383-A383,"N/A")</f>
        <v>N/A</v>
      </c>
      <c r="O383" s="39"/>
      <c r="P383" s="40" t="str">
        <f>IF(Settings!$E$27="ON",VLOOKUP(B383,ADP!A1:H728,8,FALSE)," ")</f>
        <v xml:space="preserve"> </v>
      </c>
      <c r="Q383" s="41">
        <f>IF(Settings!$E$12="YES",VLOOKUP(B383,'Player Data'!A1:E734,5,FALSE),82)</f>
        <v>80.685714285714297</v>
      </c>
      <c r="R383" s="39">
        <f>VLOOKUP(B383,'Player Data'!$A1:$AE734,6,FALSE)</f>
        <v>18.929549623939</v>
      </c>
      <c r="S383" s="41">
        <f>VLOOKUP(B383,'Player Data'!$A1:$AE734,7,FALSE)*$Q383*IFERROR((VLOOKUP(P383,Settings!$E$28:$F$33,2,FALSE)+1),1)</f>
        <v>3.3671009762404371</v>
      </c>
      <c r="T383" s="41">
        <f>VLOOKUP(B383,'Player Data'!$A1:$AE734,8,FALSE)*$Q383*IFERROR((VLOOKUP(P383,Settings!$E$28:$F$33,2,FALSE)+1),1)</f>
        <v>17.272868573344642</v>
      </c>
      <c r="U383" s="41">
        <f>SUM(S383:T383)</f>
        <v>20.639969549585079</v>
      </c>
      <c r="V383" s="41">
        <f>VLOOKUP(B383,'Player Data'!$A1:$AE734,10,FALSE)*$Q383*IFERROR(((VLOOKUP(P383,Settings!$E$28:$F$33,2,FALSE)/2)+1),1)</f>
        <v>89.100627018374865</v>
      </c>
      <c r="W383" s="41">
        <f>VLOOKUP(B383,'Player Data'!$A1:$AE734,11,FALSE)*$Q383*IFERROR((VLOOKUP(P383,Settings!$E$28:$F$33,2,FALSE)+1),1)</f>
        <v>2.2441806775141546E-2</v>
      </c>
      <c r="X383" s="41">
        <f>VLOOKUP(B383,'Player Data'!$A1:$AE734,12,FALSE)*$Q383*IFERROR((VLOOKUP(P383,Settings!$E$28:$F$33,2,FALSE)+1),1)</f>
        <v>0.15688343496710086</v>
      </c>
      <c r="Y383" s="41">
        <f>VLOOKUP(B383,'Player Data'!$A1:$AE734,13,FALSE)*$Q383</f>
        <v>2.2461501715955304E-2</v>
      </c>
      <c r="Z383" s="41">
        <f>VLOOKUP(B383,'Player Data'!$A1:$AE734,14,FALSE)*$Q383</f>
        <v>0.91082519495666703</v>
      </c>
      <c r="AA383" s="41">
        <f>VLOOKUP(B383,'Player Data'!$A1:$AE734,15,FALSE)*$Q383</f>
        <v>110.20384309718949</v>
      </c>
      <c r="AB383" s="41">
        <f>VLOOKUP(B383,'Player Data'!$A1:$AE734,16,FALSE)*$Q383</f>
        <v>123.74032969475262</v>
      </c>
      <c r="AC383" s="41">
        <f>VLOOKUP(B383,'Player Data'!$A1:$AE734,17,FALSE)*$Q383*IFERROR((VLOOKUP(P383,Settings!$E$28:$F$33,2,FALSE)+1),1)</f>
        <v>4.5000460940568381</v>
      </c>
      <c r="AD383" s="41">
        <f>VLOOKUP(B383,'Player Data'!$A1:$AE734,18,FALSE)*$Q383</f>
        <v>21.510154304578503</v>
      </c>
      <c r="AE383" s="41">
        <f>VLOOKUP(B383,'Player Data'!$A1:$AE734,19,FALSE)*$Q383*IFERROR((VLOOKUP(P383,Settings!$E$28:$F$33,2,FALSE)+1),1)</f>
        <v>0.53297593661237752</v>
      </c>
      <c r="AF383" s="41">
        <f>VLOOKUP(B383,'Player Data'!$A1:$AE734,20,FALSE)*$Q383</f>
        <v>0</v>
      </c>
      <c r="AG383" s="41">
        <f>VLOOKUP(B383,'Player Data'!$A1:$AE734,21,FALSE)*$Q383</f>
        <v>0</v>
      </c>
      <c r="AH383" s="42">
        <f>VLOOKUP(B383,'Player Data'!$A1:$AE734,22,FALSE)</f>
        <v>0</v>
      </c>
      <c r="AI383" s="39"/>
      <c r="AJ383" s="41"/>
      <c r="AK383" s="41"/>
      <c r="AL383" s="41"/>
      <c r="AM383" s="41"/>
      <c r="AN383" s="41"/>
      <c r="AO383" s="41"/>
      <c r="AP383" s="41"/>
      <c r="AQ383" s="44"/>
      <c r="AR383" s="45"/>
      <c r="AS383" s="39"/>
    </row>
    <row r="384" spans="1:45" ht="21.25" customHeight="1" x14ac:dyDescent="0.15">
      <c r="A384" s="31">
        <f>RANK(K384,K$2:K$727)</f>
        <v>383</v>
      </c>
      <c r="B384" s="8" t="s">
        <v>488</v>
      </c>
      <c r="C384" s="32" t="s">
        <v>106</v>
      </c>
      <c r="D384" s="33" t="str">
        <f>VLOOKUP(B384,'Player Data'!A1:D734,4,FALSE)</f>
        <v>D</v>
      </c>
      <c r="E384" s="49">
        <f>VLOOKUP(B384,D!A1:C227,3,FALSE)</f>
        <v>124</v>
      </c>
      <c r="F384" s="35" t="str">
        <f>VLOOKUP(B384,'Player Data'!A1:B734,2,FALSE)</f>
        <v>FLA</v>
      </c>
      <c r="G384" s="9">
        <f>VLOOKUP(B384,'Player Data'!A1:D734,3,FALSE)</f>
        <v>32</v>
      </c>
      <c r="H384" s="36">
        <f>IFERROR(VLOOKUP(B384,ADP!A1:G728,7,FALSE)/1000000,VLOOKUP(B384,ADP!A1:G728,7,FALSE))</f>
        <v>2.25</v>
      </c>
      <c r="I384" s="37">
        <f>IF(Settings!$E$15="POINTS",((R384*Q384)*Settings!$B$12)+(S384*Settings!$B$2)+(T384*Settings!$B$3)+(U384*Settings!$B$4)+(V384*Settings!$B$5)+(X384*Settings!$B$9)+(AA384*Settings!$B$6)+(W384*Settings!$B$8)+(AB384*Settings!$B$7)+(AC384*Settings!$B$14)+(AD384*Settings!$B$15)+(AE384*Settings!$B$16)+(AF384*Settings!$B$17)+(AG384*Settings!$B$18)+(U384*Settings!$B$13)+(Y384*Settings!$B$10)+(Z384*Settings!$B$11),VLOOKUP(B384,'Standard Deviations'!A1:C728,3,FALSE))</f>
        <v>130.33177435016171</v>
      </c>
      <c r="J384" s="38">
        <f>IF(D384="G",I384/AJ384,I384/Q384)</f>
        <v>1.7335222441390923</v>
      </c>
      <c r="K384" s="37">
        <f>VLOOKUP(B384,D!A1:F227,6,FALSE)</f>
        <v>-181.23370727776575</v>
      </c>
      <c r="L384" s="37">
        <f>IFERROR(K384/H384,"N/A")</f>
        <v>-80.54831434567366</v>
      </c>
      <c r="M384" s="53" t="str">
        <f>IF(Settings!$E$9="YAHOO",VLOOKUP(B384,ADP!A1:E728,2,FALSE),IF(Settings!$E$9="ESPN",VLOOKUP(B384,ADP!A1:E728,3,FALSE),IF(Settings!$E$9="FANTRAX",VLOOKUP(B384,ADP!A1:E728,4,FALSE),VLOOKUP(B384,ADP!A1:E728,5,FALSE))))</f>
        <v>-</v>
      </c>
      <c r="N384" s="53" t="str">
        <f>IFERROR(M384-A384,"N/A")</f>
        <v>N/A</v>
      </c>
      <c r="O384" s="39"/>
      <c r="P384" s="40" t="str">
        <f>IF(Settings!$E$27="ON",VLOOKUP(B384,ADP!A1:H728,8,FALSE)," ")</f>
        <v xml:space="preserve"> </v>
      </c>
      <c r="Q384" s="41">
        <f>IF(Settings!$E$12="YES",VLOOKUP(B384,'Player Data'!A1:E734,5,FALSE),82)</f>
        <v>75.1832142857143</v>
      </c>
      <c r="R384" s="39">
        <f>VLOOKUP(B384,'Player Data'!$A1:$AE734,6,FALSE)</f>
        <v>17.101886266569998</v>
      </c>
      <c r="S384" s="41">
        <f>VLOOKUP(B384,'Player Data'!$A1:$AE734,7,FALSE)*$Q384*IFERROR((VLOOKUP(P384,Settings!$E$28:$F$33,2,FALSE)+1),1)</f>
        <v>2.3737461422561914</v>
      </c>
      <c r="T384" s="41">
        <f>VLOOKUP(B384,'Player Data'!$A1:$AE734,8,FALSE)*$Q384*IFERROR((VLOOKUP(P384,Settings!$E$28:$F$33,2,FALSE)+1),1)</f>
        <v>17.109683655891793</v>
      </c>
      <c r="U384" s="41">
        <f>SUM(S384:T384)</f>
        <v>19.483429798147984</v>
      </c>
      <c r="V384" s="41">
        <f>VLOOKUP(B384,'Player Data'!$A1:$AE734,10,FALSE)*$Q384*IFERROR(((VLOOKUP(P384,Settings!$E$28:$F$33,2,FALSE)/2)+1),1)</f>
        <v>106.53221783877815</v>
      </c>
      <c r="W384" s="41">
        <f>VLOOKUP(B384,'Player Data'!$A1:$AE734,11,FALSE)*$Q384*IFERROR((VLOOKUP(P384,Settings!$E$28:$F$33,2,FALSE)+1),1)</f>
        <v>0.42109792486001757</v>
      </c>
      <c r="X384" s="41">
        <f>VLOOKUP(B384,'Player Data'!$A1:$AE734,12,FALSE)*$Q384*IFERROR((VLOOKUP(P384,Settings!$E$28:$F$33,2,FALSE)+1),1)</f>
        <v>2.7636364102049473</v>
      </c>
      <c r="Y384" s="41">
        <f>VLOOKUP(B384,'Player Data'!$A1:$AE734,13,FALSE)*$Q384</f>
        <v>1.4420179694274041E-2</v>
      </c>
      <c r="Z384" s="41">
        <f>VLOOKUP(B384,'Player Data'!$A1:$AE734,14,FALSE)*$Q384</f>
        <v>0.30122513203028756</v>
      </c>
      <c r="AA384" s="41">
        <f>VLOOKUP(B384,'Player Data'!$A1:$AE734,15,FALSE)*$Q384</f>
        <v>62.428264759291061</v>
      </c>
      <c r="AB384" s="41">
        <f>VLOOKUP(B384,'Player Data'!$A1:$AE734,16,FALSE)*$Q384</f>
        <v>82.515179913935683</v>
      </c>
      <c r="AC384" s="41">
        <f>VLOOKUP(B384,'Player Data'!$A1:$AE734,17,FALSE)*$Q384*IFERROR((VLOOKUP(P384,Settings!$E$28:$F$33,2,FALSE)+1),1)</f>
        <v>1.7591306322657554E-3</v>
      </c>
      <c r="AD384" s="41">
        <f>VLOOKUP(B384,'Player Data'!$A1:$AE734,18,FALSE)*$Q384</f>
        <v>34.075221527948941</v>
      </c>
      <c r="AE384" s="41">
        <f>VLOOKUP(B384,'Player Data'!$A1:$AE734,19,FALSE)*$Q384*IFERROR((VLOOKUP(P384,Settings!$E$28:$F$33,2,FALSE)+1),1)</f>
        <v>0.34051929858067909</v>
      </c>
      <c r="AF384" s="41">
        <f>VLOOKUP(B384,'Player Data'!$A1:$AE734,20,FALSE)*$Q384</f>
        <v>0</v>
      </c>
      <c r="AG384" s="41">
        <f>VLOOKUP(B384,'Player Data'!$A1:$AE734,21,FALSE)*$Q384</f>
        <v>0</v>
      </c>
      <c r="AH384" s="42">
        <f>VLOOKUP(B384,'Player Data'!$A1:$AE734,22,FALSE)</f>
        <v>0</v>
      </c>
      <c r="AI384" s="39"/>
      <c r="AJ384" s="41"/>
      <c r="AK384" s="41"/>
      <c r="AL384" s="41"/>
      <c r="AM384" s="41"/>
      <c r="AN384" s="41"/>
      <c r="AO384" s="41"/>
      <c r="AP384" s="41"/>
      <c r="AQ384" s="44"/>
      <c r="AR384" s="45"/>
      <c r="AS384" s="39"/>
    </row>
    <row r="385" spans="1:45" ht="21.25" customHeight="1" x14ac:dyDescent="0.15">
      <c r="A385" s="31">
        <f>RANK(K385,K$2:K$727)</f>
        <v>384</v>
      </c>
      <c r="B385" s="8" t="s">
        <v>489</v>
      </c>
      <c r="C385" s="32" t="s">
        <v>106</v>
      </c>
      <c r="D385" s="33" t="str">
        <f>VLOOKUP(B385,'Player Data'!A1:D734,4,FALSE)</f>
        <v>D</v>
      </c>
      <c r="E385" s="49">
        <f>VLOOKUP(B385,D!A1:C227,3,FALSE)</f>
        <v>125</v>
      </c>
      <c r="F385" s="35" t="str">
        <f>VLOOKUP(B385,'Player Data'!A1:B734,2,FALSE)</f>
        <v>NSH</v>
      </c>
      <c r="G385" s="9">
        <f>VLOOKUP(B385,'Player Data'!A1:D734,3,FALSE)</f>
        <v>25</v>
      </c>
      <c r="H385" s="36">
        <f>IFERROR(VLOOKUP(B385,ADP!A1:G728,7,FALSE)/1000000,VLOOKUP(B385,ADP!A1:G728,7,FALSE))</f>
        <v>2.5</v>
      </c>
      <c r="I385" s="37">
        <f>IF(Settings!$E$15="POINTS",((R385*Q385)*Settings!$B$12)+(S385*Settings!$B$2)+(T385*Settings!$B$3)+(U385*Settings!$B$4)+(V385*Settings!$B$5)+(X385*Settings!$B$9)+(AA385*Settings!$B$6)+(W385*Settings!$B$8)+(AB385*Settings!$B$7)+(AC385*Settings!$B$14)+(AD385*Settings!$B$15)+(AE385*Settings!$B$16)+(AF385*Settings!$B$17)+(AG385*Settings!$B$18)+(U385*Settings!$B$13)+(Y385*Settings!$B$10)+(Z385*Settings!$B$11),VLOOKUP(B385,'Standard Deviations'!A1:C728,3,FALSE))</f>
        <v>129.82947256221462</v>
      </c>
      <c r="J385" s="38">
        <f>IF(D385="G",I385/AJ385,I385/Q385)</f>
        <v>1.6870908335345993</v>
      </c>
      <c r="K385" s="37">
        <f>VLOOKUP(B385,D!A1:F227,6,FALSE)</f>
        <v>-181.73600906571284</v>
      </c>
      <c r="L385" s="37">
        <f>IFERROR(K385/H385,"N/A")</f>
        <v>-72.694403626285137</v>
      </c>
      <c r="M385" s="53" t="str">
        <f>IF(Settings!$E$9="YAHOO",VLOOKUP(B385,ADP!A1:E728,2,FALSE),IF(Settings!$E$9="ESPN",VLOOKUP(B385,ADP!A1:E728,3,FALSE),IF(Settings!$E$9="FANTRAX",VLOOKUP(B385,ADP!A1:E728,4,FALSE),VLOOKUP(B385,ADP!A1:E728,5,FALSE))))</f>
        <v>-</v>
      </c>
      <c r="N385" s="53" t="str">
        <f>IFERROR(M385-A385,"N/A")</f>
        <v>N/A</v>
      </c>
      <c r="O385" s="39"/>
      <c r="P385" s="40" t="str">
        <f>IF(Settings!$E$27="ON",VLOOKUP(B385,ADP!A1:H728,8,FALSE)," ")</f>
        <v xml:space="preserve"> </v>
      </c>
      <c r="Q385" s="41">
        <f>IF(Settings!$E$12="YES",VLOOKUP(B385,'Player Data'!A1:E734,5,FALSE),82)</f>
        <v>76.9546428571429</v>
      </c>
      <c r="R385" s="39">
        <f>VLOOKUP(B385,'Player Data'!$A1:$AE734,6,FALSE)</f>
        <v>17.832198404279101</v>
      </c>
      <c r="S385" s="41">
        <f>VLOOKUP(B385,'Player Data'!$A1:$AE734,7,FALSE)*$Q385*IFERROR((VLOOKUP(P385,Settings!$E$28:$F$33,2,FALSE)+1),1)</f>
        <v>2.9644049128577361</v>
      </c>
      <c r="T385" s="41">
        <f>VLOOKUP(B385,'Player Data'!$A1:$AE734,8,FALSE)*$Q385*IFERROR((VLOOKUP(P385,Settings!$E$28:$F$33,2,FALSE)+1),1)</f>
        <v>15.465990549329721</v>
      </c>
      <c r="U385" s="41">
        <f>SUM(S385:T385)</f>
        <v>18.430395462187455</v>
      </c>
      <c r="V385" s="41">
        <f>VLOOKUP(B385,'Player Data'!$A1:$AE734,10,FALSE)*$Q385*IFERROR(((VLOOKUP(P385,Settings!$E$28:$F$33,2,FALSE)/2)+1),1)</f>
        <v>99.820286197194378</v>
      </c>
      <c r="W385" s="41">
        <f>VLOOKUP(B385,'Player Data'!$A1:$AE734,11,FALSE)*$Q385*IFERROR((VLOOKUP(P385,Settings!$E$28:$F$33,2,FALSE)+1),1)</f>
        <v>0.12279727683219589</v>
      </c>
      <c r="X385" s="41">
        <f>VLOOKUP(B385,'Player Data'!$A1:$AE734,12,FALSE)*$Q385*IFERROR((VLOOKUP(P385,Settings!$E$28:$F$33,2,FALSE)+1),1)</f>
        <v>0.53563531641776252</v>
      </c>
      <c r="Y385" s="41">
        <f>VLOOKUP(B385,'Player Data'!$A1:$AE734,13,FALSE)*$Q385</f>
        <v>2.6783424863516016E-2</v>
      </c>
      <c r="Z385" s="41">
        <f>VLOOKUP(B385,'Player Data'!$A1:$AE734,14,FALSE)*$Q385</f>
        <v>9.8658828143441665E-2</v>
      </c>
      <c r="AA385" s="41">
        <f>VLOOKUP(B385,'Player Data'!$A1:$AE734,15,FALSE)*$Q385</f>
        <v>116.7977739396632</v>
      </c>
      <c r="AB385" s="41">
        <f>VLOOKUP(B385,'Player Data'!$A1:$AE734,16,FALSE)*$Q385</f>
        <v>103.00181940488174</v>
      </c>
      <c r="AC385" s="41">
        <f>VLOOKUP(B385,'Player Data'!$A1:$AE734,17,FALSE)*$Q385*IFERROR((VLOOKUP(P385,Settings!$E$28:$F$33,2,FALSE)+1),1)</f>
        <v>-1.0090390766104897</v>
      </c>
      <c r="AD385" s="41">
        <f>VLOOKUP(B385,'Player Data'!$A1:$AE734,18,FALSE)*$Q385</f>
        <v>39.497100976699116</v>
      </c>
      <c r="AE385" s="41">
        <f>VLOOKUP(B385,'Player Data'!$A1:$AE734,19,FALSE)*$Q385*IFERROR((VLOOKUP(P385,Settings!$E$28:$F$33,2,FALSE)+1),1)</f>
        <v>0.43288064855250352</v>
      </c>
      <c r="AF385" s="41">
        <f>VLOOKUP(B385,'Player Data'!$A1:$AE734,20,FALSE)*$Q385</f>
        <v>0</v>
      </c>
      <c r="AG385" s="41">
        <f>VLOOKUP(B385,'Player Data'!$A1:$AE734,21,FALSE)*$Q385</f>
        <v>0</v>
      </c>
      <c r="AH385" s="42">
        <f>VLOOKUP(B385,'Player Data'!$A1:$AE734,22,FALSE)</f>
        <v>0</v>
      </c>
      <c r="AI385" s="39"/>
      <c r="AJ385" s="43"/>
      <c r="AK385" s="41"/>
      <c r="AL385" s="41"/>
      <c r="AM385" s="41"/>
      <c r="AN385" s="41"/>
      <c r="AO385" s="41"/>
      <c r="AP385" s="41"/>
      <c r="AQ385" s="44"/>
      <c r="AR385" s="45"/>
      <c r="AS385" s="39"/>
    </row>
    <row r="386" spans="1:45" ht="21.25" customHeight="1" x14ac:dyDescent="0.15">
      <c r="A386" s="31">
        <f>RANK(K386,K$2:K$727)</f>
        <v>385</v>
      </c>
      <c r="B386" s="8" t="s">
        <v>490</v>
      </c>
      <c r="C386" s="32" t="s">
        <v>106</v>
      </c>
      <c r="D386" s="33" t="str">
        <f>VLOOKUP(B386,'Player Data'!A1:D734,4,FALSE)</f>
        <v>D</v>
      </c>
      <c r="E386" s="49">
        <f>VLOOKUP(B386,D!A1:C227,3,FALSE)</f>
        <v>126</v>
      </c>
      <c r="F386" s="35" t="str">
        <f>VLOOKUP(B386,'Player Data'!A1:B734,2,FALSE)</f>
        <v>TOR</v>
      </c>
      <c r="G386" s="9">
        <f>VLOOKUP(B386,'Player Data'!A1:D734,3,FALSE)</f>
        <v>33</v>
      </c>
      <c r="H386" s="36">
        <f>IFERROR(VLOOKUP(B386,ADP!A1:G728,7,FALSE)/1000000,VLOOKUP(B386,ADP!A1:G728,7,FALSE))</f>
        <v>5</v>
      </c>
      <c r="I386" s="37">
        <f>IF(Settings!$E$15="POINTS",((R386*Q386)*Settings!$B$12)+(S386*Settings!$B$2)+(T386*Settings!$B$3)+(U386*Settings!$B$4)+(V386*Settings!$B$5)+(X386*Settings!$B$9)+(AA386*Settings!$B$6)+(W386*Settings!$B$8)+(AB386*Settings!$B$7)+(AC386*Settings!$B$14)+(AD386*Settings!$B$15)+(AE386*Settings!$B$16)+(AF386*Settings!$B$17)+(AG386*Settings!$B$18)+(U386*Settings!$B$13)+(Y386*Settings!$B$10)+(Z386*Settings!$B$11),VLOOKUP(B386,'Standard Deviations'!A1:C728,3,FALSE))</f>
        <v>129.74310872756016</v>
      </c>
      <c r="J386" s="38">
        <f>IF(D386="G",I386/AJ386,I386/Q386)</f>
        <v>1.6682925128913484</v>
      </c>
      <c r="K386" s="37">
        <f>VLOOKUP(B386,D!A1:F227,6,FALSE)</f>
        <v>-181.8223729003673</v>
      </c>
      <c r="L386" s="37">
        <f>IFERROR(K386/H386,"N/A")</f>
        <v>-36.364474580073463</v>
      </c>
      <c r="M386" s="53" t="str">
        <f>IF(Settings!$E$9="YAHOO",VLOOKUP(B386,ADP!A1:E728,2,FALSE),IF(Settings!$E$9="ESPN",VLOOKUP(B386,ADP!A1:E728,3,FALSE),IF(Settings!$E$9="FANTRAX",VLOOKUP(B386,ADP!A1:E728,4,FALSE),VLOOKUP(B386,ADP!A1:E728,5,FALSE))))</f>
        <v>-</v>
      </c>
      <c r="N386" s="53" t="str">
        <f>IFERROR(M386-A386,"N/A")</f>
        <v>N/A</v>
      </c>
      <c r="O386" s="39"/>
      <c r="P386" s="40" t="str">
        <f>IF(Settings!$E$27="ON",VLOOKUP(B386,ADP!A1:H728,8,FALSE)," ")</f>
        <v xml:space="preserve"> </v>
      </c>
      <c r="Q386" s="41">
        <f>IF(Settings!$E$12="YES",VLOOKUP(B386,'Player Data'!A1:E734,5,FALSE),82)</f>
        <v>77.77</v>
      </c>
      <c r="R386" s="39">
        <f>VLOOKUP(B386,'Player Data'!$A1:$AE734,6,FALSE)</f>
        <v>21.296945505239499</v>
      </c>
      <c r="S386" s="41">
        <f>VLOOKUP(B386,'Player Data'!$A1:$AE734,7,FALSE)*$Q386*IFERROR((VLOOKUP(P386,Settings!$E$28:$F$33,2,FALSE)+1),1)</f>
        <v>2.7855544923755873</v>
      </c>
      <c r="T386" s="41">
        <f>VLOOKUP(B386,'Player Data'!$A1:$AE734,8,FALSE)*$Q386*IFERROR((VLOOKUP(P386,Settings!$E$28:$F$33,2,FALSE)+1),1)</f>
        <v>17.561841501116398</v>
      </c>
      <c r="U386" s="41">
        <f>SUM(S386:T386)</f>
        <v>20.347395993491986</v>
      </c>
      <c r="V386" s="41">
        <f>VLOOKUP(B386,'Player Data'!$A1:$AE734,10,FALSE)*$Q386*IFERROR(((VLOOKUP(P386,Settings!$E$28:$F$33,2,FALSE)/2)+1),1)</f>
        <v>77.245050032296689</v>
      </c>
      <c r="W386" s="41">
        <f>VLOOKUP(B386,'Player Data'!$A1:$AE734,11,FALSE)*$Q386*IFERROR((VLOOKUP(P386,Settings!$E$28:$F$33,2,FALSE)+1),1)</f>
        <v>1.2528719606141527E-2</v>
      </c>
      <c r="X386" s="41">
        <f>VLOOKUP(B386,'Player Data'!$A1:$AE734,12,FALSE)*$Q386*IFERROR((VLOOKUP(P386,Settings!$E$28:$F$33,2,FALSE)+1),1)</f>
        <v>0.19880484643529917</v>
      </c>
      <c r="Y386" s="41">
        <f>VLOOKUP(B386,'Player Data'!$A1:$AE734,13,FALSE)*$Q386</f>
        <v>2.6253111411714124E-2</v>
      </c>
      <c r="Z386" s="41">
        <f>VLOOKUP(B386,'Player Data'!$A1:$AE734,14,FALSE)*$Q386</f>
        <v>1.4074435080995085</v>
      </c>
      <c r="AA386" s="41">
        <f>VLOOKUP(B386,'Player Data'!$A1:$AE734,15,FALSE)*$Q386</f>
        <v>134.32949510933111</v>
      </c>
      <c r="AB386" s="41">
        <f>VLOOKUP(B386,'Player Data'!$A1:$AE734,16,FALSE)*$Q386</f>
        <v>73.991105054525562</v>
      </c>
      <c r="AC386" s="41">
        <f>VLOOKUP(B386,'Player Data'!$A1:$AE734,17,FALSE)*$Q386*IFERROR((VLOOKUP(P386,Settings!$E$28:$F$33,2,FALSE)+1),1)</f>
        <v>6.2230394514110801</v>
      </c>
      <c r="AD386" s="41">
        <f>VLOOKUP(B386,'Player Data'!$A1:$AE734,18,FALSE)*$Q386</f>
        <v>27.185546969625726</v>
      </c>
      <c r="AE386" s="41">
        <f>VLOOKUP(B386,'Player Data'!$A1:$AE734,19,FALSE)*$Q386*IFERROR((VLOOKUP(P386,Settings!$E$28:$F$33,2,FALSE)+1),1)</f>
        <v>0.44749858881097698</v>
      </c>
      <c r="AF386" s="41">
        <f>VLOOKUP(B386,'Player Data'!$A1:$AE734,20,FALSE)*$Q386</f>
        <v>0</v>
      </c>
      <c r="AG386" s="41">
        <f>VLOOKUP(B386,'Player Data'!$A1:$AE734,21,FALSE)*$Q386</f>
        <v>0</v>
      </c>
      <c r="AH386" s="42">
        <f>VLOOKUP(B386,'Player Data'!$A1:$AE734,22,FALSE)</f>
        <v>0</v>
      </c>
      <c r="AI386" s="39"/>
      <c r="AJ386" s="43"/>
      <c r="AK386" s="41"/>
      <c r="AL386" s="41"/>
      <c r="AM386" s="41"/>
      <c r="AN386" s="41"/>
      <c r="AO386" s="41"/>
      <c r="AP386" s="41"/>
      <c r="AQ386" s="44"/>
      <c r="AR386" s="45"/>
      <c r="AS386" s="39"/>
    </row>
    <row r="387" spans="1:45" ht="21.25" customHeight="1" x14ac:dyDescent="0.15">
      <c r="A387" s="31">
        <f>RANK(K387,K$2:K$727)</f>
        <v>386</v>
      </c>
      <c r="B387" s="8" t="s">
        <v>491</v>
      </c>
      <c r="C387" s="32" t="s">
        <v>106</v>
      </c>
      <c r="D387" s="33" t="str">
        <f>VLOOKUP(B387,'Player Data'!A1:D734,4,FALSE)</f>
        <v>LW</v>
      </c>
      <c r="E387" s="47">
        <f>VLOOKUP(B387,LW!A1:C130,3,FALSE)</f>
        <v>75</v>
      </c>
      <c r="F387" s="35" t="str">
        <f>VLOOKUP(B387,'Player Data'!A1:B734,2,FALSE)</f>
        <v>DAL</v>
      </c>
      <c r="G387" s="9">
        <f>VLOOKUP(B387,'Player Data'!A1:D734,3,FALSE)</f>
        <v>28</v>
      </c>
      <c r="H387" s="36">
        <f>IFERROR(VLOOKUP(B387,ADP!A1:G728,7,FALSE)/1000000,VLOOKUP(B387,ADP!A1:G728,7,FALSE))</f>
        <v>4.5</v>
      </c>
      <c r="I387" s="37">
        <f>IF(Settings!$E$15="POINTS",((R387*Q387)*Settings!$B$12)+(S387*Settings!$B$2)+(T387*Settings!$B$3)+(U387*Settings!$B$4)+(V387*Settings!$B$5)+(X387*Settings!$B$9)+(AA387*Settings!$B$6)+(W387*Settings!$B$8)+(AB387*Settings!$B$7)+(AC387*Settings!$B$14)+(AD387*Settings!$B$15)+(AE387*Settings!$B$16)+(AF387*Settings!$B$17)+(AG387*Settings!$B$18)+(Y387*Settings!$B$10)+(Z387*Settings!$B$11),VLOOKUP(B387,'Standard Deviations'!A1:C728,3,FALSE))</f>
        <v>182.04545573590983</v>
      </c>
      <c r="J387" s="38">
        <f>IF(D387="G",I387/AJ387,I387/Q387)</f>
        <v>2.5169728617025182</v>
      </c>
      <c r="K387" s="37">
        <f>IF(Settings!$E$18="C/LW/RW",VLOOKUP(B387,LW!A1:F130,6,FALSE),VLOOKUP(B387,F!A1:F430,6,FALSE))</f>
        <v>-181.99514912174064</v>
      </c>
      <c r="L387" s="37">
        <f>IFERROR(K387/H387,"N/A")</f>
        <v>-40.443366471497917</v>
      </c>
      <c r="M387" s="53" t="str">
        <f>IF(Settings!$E$9="YAHOO",VLOOKUP(B387,ADP!A1:E728,2,FALSE),IF(Settings!$E$9="ESPN",VLOOKUP(B387,ADP!A1:E728,3,FALSE),IF(Settings!$E$9="FANTRAX",VLOOKUP(B387,ADP!A1:E728,4,FALSE),VLOOKUP(B387,ADP!A1:E728,5,FALSE))))</f>
        <v>-</v>
      </c>
      <c r="N387" s="53" t="str">
        <f>IFERROR(M387-A387,"N/A")</f>
        <v>N/A</v>
      </c>
      <c r="O387" s="39"/>
      <c r="P387" s="40" t="str">
        <f>IF(Settings!$E$27="ON",VLOOKUP(B387,ADP!A1:H728,8,FALSE)," ")</f>
        <v xml:space="preserve"> </v>
      </c>
      <c r="Q387" s="41">
        <f>IF(Settings!$E$12="YES",VLOOKUP(B387,'Player Data'!A1:E734,5,FALSE),82)</f>
        <v>72.327142857142903</v>
      </c>
      <c r="R387" s="39">
        <f>VLOOKUP(B387,'Player Data'!$A1:$AE734,6,FALSE)</f>
        <v>13.6386271776898</v>
      </c>
      <c r="S387" s="41">
        <f>VLOOKUP(B387,'Player Data'!$A1:$AE734,7,FALSE)*$Q387*IFERROR((VLOOKUP(P387,Settings!$E$28:$F$33,2,FALSE)+1),1)</f>
        <v>13.152224758936782</v>
      </c>
      <c r="T387" s="41">
        <f>VLOOKUP(B387,'Player Data'!$A1:$AE734,8,FALSE)*$Q387*IFERROR((VLOOKUP(P387,Settings!$E$28:$F$33,2,FALSE)+1),1)</f>
        <v>22.007548211663543</v>
      </c>
      <c r="U387" s="41">
        <f>SUM(S387:T387)</f>
        <v>35.159772970600329</v>
      </c>
      <c r="V387" s="41">
        <f>VLOOKUP(B387,'Player Data'!$A1:$AE734,10,FALSE)*$Q387*IFERROR(((VLOOKUP(P387,Settings!$E$28:$F$33,2,FALSE)/2)+1),1)</f>
        <v>131.49518752502669</v>
      </c>
      <c r="W387" s="41">
        <f>VLOOKUP(B387,'Player Data'!$A1:$AE734,11,FALSE)*$Q387*IFERROR((VLOOKUP(P387,Settings!$E$28:$F$33,2,FALSE)+1),1)</f>
        <v>0.92501563416228894</v>
      </c>
      <c r="X387" s="41">
        <f>VLOOKUP(B387,'Player Data'!$A1:$AE734,12,FALSE)*$Q387*IFERROR((VLOOKUP(P387,Settings!$E$28:$F$33,2,FALSE)+1),1)</f>
        <v>2.2752459909460487</v>
      </c>
      <c r="Y387" s="41">
        <f>VLOOKUP(B387,'Player Data'!$A1:$AE734,13,FALSE)*$Q387</f>
        <v>6.2486798016736563E-3</v>
      </c>
      <c r="Z387" s="41">
        <f>VLOOKUP(B387,'Player Data'!$A1:$AE734,14,FALSE)*$Q387</f>
        <v>1.1515014468742354E-2</v>
      </c>
      <c r="AA387" s="41">
        <f>VLOOKUP(B387,'Player Data'!$A1:$AE734,15,FALSE)*$Q387</f>
        <v>31.225105253829675</v>
      </c>
      <c r="AB387" s="41">
        <f>VLOOKUP(B387,'Player Data'!$A1:$AE734,16,FALSE)*$Q387</f>
        <v>97.596932155145836</v>
      </c>
      <c r="AC387" s="41">
        <f>VLOOKUP(B387,'Player Data'!$A1:$AE734,17,FALSE)*$Q387*IFERROR((VLOOKUP(P387,Settings!$E$28:$F$33,2,FALSE)+1),1)</f>
        <v>4.4058030059165398</v>
      </c>
      <c r="AD387" s="41">
        <f>VLOOKUP(B387,'Player Data'!$A1:$AE734,18,FALSE)*$Q387</f>
        <v>46.599688838335524</v>
      </c>
      <c r="AE387" s="41">
        <f>VLOOKUP(B387,'Player Data'!$A1:$AE734,19,FALSE)*$Q387*IFERROR((VLOOKUP(P387,Settings!$E$28:$F$33,2,FALSE)+1),1)</f>
        <v>2.1042627245923273</v>
      </c>
      <c r="AF387" s="41">
        <f>VLOOKUP(B387,'Player Data'!$A1:$AE734,20,FALSE)*$Q387</f>
        <v>10.742332243887942</v>
      </c>
      <c r="AG387" s="41">
        <f>VLOOKUP(B387,'Player Data'!$A1:$AE734,21,FALSE)*$Q387</f>
        <v>19.304602757960666</v>
      </c>
      <c r="AH387" s="42">
        <f>VLOOKUP(B387,'Player Data'!$A1:$AE734,22,FALSE)</f>
        <v>0.35751840389800399</v>
      </c>
      <c r="AI387" s="39"/>
      <c r="AJ387" s="43"/>
      <c r="AK387" s="41"/>
      <c r="AL387" s="41"/>
      <c r="AM387" s="41"/>
      <c r="AN387" s="41"/>
      <c r="AO387" s="41"/>
      <c r="AP387" s="41"/>
      <c r="AQ387" s="44"/>
      <c r="AR387" s="45"/>
      <c r="AS387" s="39"/>
    </row>
    <row r="388" spans="1:45" ht="21.25" customHeight="1" x14ac:dyDescent="0.15">
      <c r="A388" s="31">
        <f>RANK(K388,K$2:K$727)</f>
        <v>387</v>
      </c>
      <c r="B388" s="8" t="s">
        <v>492</v>
      </c>
      <c r="C388" s="32" t="s">
        <v>106</v>
      </c>
      <c r="D388" s="33" t="str">
        <f>VLOOKUP(B388,'Player Data'!A1:D734,4,FALSE)</f>
        <v>RW</v>
      </c>
      <c r="E388" s="46">
        <f>VLOOKUP(B388,RW!A1:F97,3,FALSE)</f>
        <v>55</v>
      </c>
      <c r="F388" s="35" t="str">
        <f>VLOOKUP(B388,'Player Data'!A1:B734,2,FALSE)</f>
        <v>MTL</v>
      </c>
      <c r="G388" s="9">
        <f>VLOOKUP(B388,'Player Data'!A1:D734,3,FALSE)</f>
        <v>31</v>
      </c>
      <c r="H388" s="36">
        <f>IFERROR(VLOOKUP(B388,ADP!A1:G728,7,FALSE)/1000000,VLOOKUP(B388,ADP!A1:G728,7,FALSE))</f>
        <v>6.5</v>
      </c>
      <c r="I388" s="37">
        <f>IF(Settings!$E$15="POINTS",((R388*Q388)*Settings!$B$12)+(S388*Settings!$B$2)+(T388*Settings!$B$3)+(U388*Settings!$B$4)+(V388*Settings!$B$5)+(X388*Settings!$B$9)+(AA388*Settings!$B$6)+(W388*Settings!$B$8)+(AB388*Settings!$B$7)+(AC388*Settings!$B$14)+(AD388*Settings!$B$15)+(AE388*Settings!$B$16)+(AF388*Settings!$B$17)+(AG388*Settings!$B$18)+(Y388*Settings!$B$10)+(Z388*Settings!$B$11),VLOOKUP(B388,'Standard Deviations'!A1:C728,3,FALSE))</f>
        <v>168.20673557663841</v>
      </c>
      <c r="J388" s="38">
        <f>IF(D388="G",I388/AJ388,I388/Q388)</f>
        <v>2.4959266324388976</v>
      </c>
      <c r="K388" s="37">
        <f>IF(Settings!$E$18="C/LW/RW",VLOOKUP(B388,RW!A1:F97,6,FALSE),VLOOKUP(B388,F!A1:F430,6,FALSE))</f>
        <v>-182.06480497125116</v>
      </c>
      <c r="L388" s="37">
        <f>IFERROR(K388/H388,"N/A")</f>
        <v>-28.009969995577102</v>
      </c>
      <c r="M388" s="53" t="str">
        <f>IF(Settings!$E$9="YAHOO",VLOOKUP(B388,ADP!A1:E728,2,FALSE),IF(Settings!$E$9="ESPN",VLOOKUP(B388,ADP!A1:E728,3,FALSE),IF(Settings!$E$9="FANTRAX",VLOOKUP(B388,ADP!A1:E728,4,FALSE),VLOOKUP(B388,ADP!A1:E728,5,FALSE))))</f>
        <v>-</v>
      </c>
      <c r="N388" s="53" t="str">
        <f>IFERROR(M388-A388,"N/A")</f>
        <v>N/A</v>
      </c>
      <c r="O388" s="39"/>
      <c r="P388" s="40" t="str">
        <f>IF(Settings!$E$27="ON",VLOOKUP(B388,ADP!A1:H728,8,FALSE)," ")</f>
        <v xml:space="preserve"> </v>
      </c>
      <c r="Q388" s="41">
        <f>IF(Settings!$E$12="YES",VLOOKUP(B388,'Player Data'!A1:E734,5,FALSE),82)</f>
        <v>67.392499999999998</v>
      </c>
      <c r="R388" s="39">
        <f>VLOOKUP(B388,'Player Data'!$A1:$AE734,6,FALSE)</f>
        <v>13.6606361414098</v>
      </c>
      <c r="S388" s="41">
        <f>VLOOKUP(B388,'Player Data'!$A1:$AE734,7,FALSE)*$Q388*IFERROR((VLOOKUP(P388,Settings!$E$28:$F$33,2,FALSE)+1),1)</f>
        <v>11.344300193450792</v>
      </c>
      <c r="T388" s="41">
        <f>VLOOKUP(B388,'Player Data'!$A1:$AE734,8,FALSE)*$Q388*IFERROR((VLOOKUP(P388,Settings!$E$28:$F$33,2,FALSE)+1),1)</f>
        <v>14.498898875432037</v>
      </c>
      <c r="U388" s="41">
        <f>SUM(S388:T388)</f>
        <v>25.843199068882829</v>
      </c>
      <c r="V388" s="41">
        <f>VLOOKUP(B388,'Player Data'!$A1:$AE734,10,FALSE)*$Q388*IFERROR(((VLOOKUP(P388,Settings!$E$28:$F$33,2,FALSE)/2)+1),1)</f>
        <v>156.92507965312851</v>
      </c>
      <c r="W388" s="41">
        <f>VLOOKUP(B388,'Player Data'!$A1:$AE734,11,FALSE)*$Q388*IFERROR((VLOOKUP(P388,Settings!$E$28:$F$33,2,FALSE)+1),1)</f>
        <v>1.6792016580129141</v>
      </c>
      <c r="X388" s="41">
        <f>VLOOKUP(B388,'Player Data'!$A1:$AE734,12,FALSE)*$Q388*IFERROR((VLOOKUP(P388,Settings!$E$28:$F$33,2,FALSE)+1),1)</f>
        <v>3.3328702560390173</v>
      </c>
      <c r="Y388" s="41">
        <f>VLOOKUP(B388,'Player Data'!$A1:$AE734,13,FALSE)*$Q388</f>
        <v>2.6335082555543118E-3</v>
      </c>
      <c r="Z388" s="41">
        <f>VLOOKUP(B388,'Player Data'!$A1:$AE734,14,FALSE)*$Q388</f>
        <v>4.8715906681535536E-3</v>
      </c>
      <c r="AA388" s="41">
        <f>VLOOKUP(B388,'Player Data'!$A1:$AE734,15,FALSE)*$Q388</f>
        <v>27.695574250056545</v>
      </c>
      <c r="AB388" s="41">
        <f>VLOOKUP(B388,'Player Data'!$A1:$AE734,16,FALSE)*$Q388</f>
        <v>51.752527332821444</v>
      </c>
      <c r="AC388" s="41">
        <f>VLOOKUP(B388,'Player Data'!$A1:$AE734,17,FALSE)*$Q388*IFERROR((VLOOKUP(P388,Settings!$E$28:$F$33,2,FALSE)+1),1)</f>
        <v>-4.1816563321199656</v>
      </c>
      <c r="AD388" s="41">
        <f>VLOOKUP(B388,'Player Data'!$A1:$AE734,18,FALSE)*$Q388</f>
        <v>43.189551000304419</v>
      </c>
      <c r="AE388" s="41">
        <f>VLOOKUP(B388,'Player Data'!$A1:$AE734,19,FALSE)*$Q388*IFERROR((VLOOKUP(P388,Settings!$E$28:$F$33,2,FALSE)+1),1)</f>
        <v>1.2293715715852191</v>
      </c>
      <c r="AF388" s="41">
        <f>VLOOKUP(B388,'Player Data'!$A1:$AE734,20,FALSE)*$Q388</f>
        <v>14.960851349778313</v>
      </c>
      <c r="AG388" s="41">
        <f>VLOOKUP(B388,'Player Data'!$A1:$AE734,21,FALSE)*$Q388</f>
        <v>22.391448242351082</v>
      </c>
      <c r="AH388" s="42">
        <f>VLOOKUP(B388,'Player Data'!$A1:$AE734,22,FALSE)</f>
        <v>0.40053360872407401</v>
      </c>
      <c r="AI388" s="39"/>
      <c r="AJ388" s="43"/>
      <c r="AK388" s="41"/>
      <c r="AL388" s="41"/>
      <c r="AM388" s="41"/>
      <c r="AN388" s="41"/>
      <c r="AO388" s="41"/>
      <c r="AP388" s="41"/>
      <c r="AQ388" s="44"/>
      <c r="AR388" s="45"/>
      <c r="AS388" s="39"/>
    </row>
    <row r="389" spans="1:45" ht="21.25" customHeight="1" x14ac:dyDescent="0.15">
      <c r="A389" s="31">
        <f>RANK(K389,K$2:K$727)</f>
        <v>388</v>
      </c>
      <c r="B389" s="8" t="s">
        <v>493</v>
      </c>
      <c r="C389" s="32" t="s">
        <v>106</v>
      </c>
      <c r="D389" s="33" t="str">
        <f>VLOOKUP(B389,'Player Data'!A1:D734,4,FALSE)</f>
        <v>D</v>
      </c>
      <c r="E389" s="49">
        <f>VLOOKUP(B389,D!A1:C227,3,FALSE)</f>
        <v>127</v>
      </c>
      <c r="F389" s="35" t="str">
        <f>VLOOKUP(B389,'Player Data'!A1:B734,2,FALSE)</f>
        <v>CGY</v>
      </c>
      <c r="G389" s="9">
        <f>VLOOKUP(B389,'Player Data'!A1:D734,3,FALSE)</f>
        <v>33</v>
      </c>
      <c r="H389" s="36">
        <f>IFERROR(VLOOKUP(B389,ADP!A1:G728,7,FALSE)/1000000,VLOOKUP(B389,ADP!A1:G728,7,FALSE))</f>
        <v>4.5</v>
      </c>
      <c r="I389" s="37">
        <f>IF(Settings!$E$15="POINTS",((R389*Q389)*Settings!$B$12)+(S389*Settings!$B$2)+(T389*Settings!$B$3)+(U389*Settings!$B$4)+(V389*Settings!$B$5)+(X389*Settings!$B$9)+(AA389*Settings!$B$6)+(W389*Settings!$B$8)+(AB389*Settings!$B$7)+(AC389*Settings!$B$14)+(AD389*Settings!$B$15)+(AE389*Settings!$B$16)+(AF389*Settings!$B$17)+(AG389*Settings!$B$18)+(U389*Settings!$B$13)+(Y389*Settings!$B$10)+(Z389*Settings!$B$11),VLOOKUP(B389,'Standard Deviations'!A1:C728,3,FALSE))</f>
        <v>129.35714618359563</v>
      </c>
      <c r="J389" s="38">
        <f>IF(D389="G",I389/AJ389,I389/Q389)</f>
        <v>1.7270647020506757</v>
      </c>
      <c r="K389" s="37">
        <f>VLOOKUP(B389,D!A1:F227,6,FALSE)</f>
        <v>-182.20833544433182</v>
      </c>
      <c r="L389" s="37">
        <f>IFERROR(K389/H389,"N/A")</f>
        <v>-40.490741209851514</v>
      </c>
      <c r="M389" s="53" t="str">
        <f>IF(Settings!$E$9="YAHOO",VLOOKUP(B389,ADP!A1:E728,2,FALSE),IF(Settings!$E$9="ESPN",VLOOKUP(B389,ADP!A1:E728,3,FALSE),IF(Settings!$E$9="FANTRAX",VLOOKUP(B389,ADP!A1:E728,4,FALSE),VLOOKUP(B389,ADP!A1:E728,5,FALSE))))</f>
        <v>-</v>
      </c>
      <c r="N389" s="53" t="str">
        <f>IFERROR(M389-A389,"N/A")</f>
        <v>N/A</v>
      </c>
      <c r="O389" s="39"/>
      <c r="P389" s="40" t="str">
        <f>IF(Settings!$E$27="ON",VLOOKUP(B389,ADP!A1:H728,8,FALSE)," ")</f>
        <v xml:space="preserve"> </v>
      </c>
      <c r="Q389" s="41">
        <f>IF(Settings!$E$12="YES",VLOOKUP(B389,'Player Data'!A1:E734,5,FALSE),82)</f>
        <v>74.900000000000006</v>
      </c>
      <c r="R389" s="39">
        <f>VLOOKUP(B389,'Player Data'!$A1:$AE734,6,FALSE)</f>
        <v>19.8791305522983</v>
      </c>
      <c r="S389" s="41">
        <f>VLOOKUP(B389,'Player Data'!$A1:$AE734,7,FALSE)*$Q389*IFERROR((VLOOKUP(P389,Settings!$E$28:$F$33,2,FALSE)+1),1)</f>
        <v>3.1569550628100851</v>
      </c>
      <c r="T389" s="41">
        <f>VLOOKUP(B389,'Player Data'!$A1:$AE734,8,FALSE)*$Q389*IFERROR((VLOOKUP(P389,Settings!$E$28:$F$33,2,FALSE)+1),1)</f>
        <v>15.725061839388887</v>
      </c>
      <c r="U389" s="41">
        <f>SUM(S389:T389)</f>
        <v>18.882016902198973</v>
      </c>
      <c r="V389" s="41">
        <f>VLOOKUP(B389,'Player Data'!$A1:$AE734,10,FALSE)*$Q389*IFERROR(((VLOOKUP(P389,Settings!$E$28:$F$33,2,FALSE)/2)+1),1)</f>
        <v>86.479449209948541</v>
      </c>
      <c r="W389" s="41">
        <f>VLOOKUP(B389,'Player Data'!$A1:$AE734,11,FALSE)*$Q389*IFERROR((VLOOKUP(P389,Settings!$E$28:$F$33,2,FALSE)+1),1)</f>
        <v>6.232360086195475E-2</v>
      </c>
      <c r="X389" s="41">
        <f>VLOOKUP(B389,'Player Data'!$A1:$AE734,12,FALSE)*$Q389*IFERROR((VLOOKUP(P389,Settings!$E$28:$F$33,2,FALSE)+1),1)</f>
        <v>0.68062848403979448</v>
      </c>
      <c r="Y389" s="41">
        <f>VLOOKUP(B389,'Player Data'!$A1:$AE734,13,FALSE)*$Q389</f>
        <v>1.9133414147095667E-2</v>
      </c>
      <c r="Z389" s="41">
        <f>VLOOKUP(B389,'Player Data'!$A1:$AE734,14,FALSE)*$Q389</f>
        <v>0.10955446857776359</v>
      </c>
      <c r="AA389" s="41">
        <f>VLOOKUP(B389,'Player Data'!$A1:$AE734,15,FALSE)*$Q389</f>
        <v>139.45502483394654</v>
      </c>
      <c r="AB389" s="41">
        <f>VLOOKUP(B389,'Player Data'!$A1:$AE734,16,FALSE)*$Q389</f>
        <v>67.158767096175438</v>
      </c>
      <c r="AC389" s="41">
        <f>VLOOKUP(B389,'Player Data'!$A1:$AE734,17,FALSE)*$Q389*IFERROR((VLOOKUP(P389,Settings!$E$28:$F$33,2,FALSE)+1),1)</f>
        <v>4.1548886949012731</v>
      </c>
      <c r="AD389" s="41">
        <f>VLOOKUP(B389,'Player Data'!$A1:$AE734,18,FALSE)*$Q389</f>
        <v>22.198149546724203</v>
      </c>
      <c r="AE389" s="41">
        <f>VLOOKUP(B389,'Player Data'!$A1:$AE734,19,FALSE)*$Q389*IFERROR((VLOOKUP(P389,Settings!$E$28:$F$33,2,FALSE)+1),1)</f>
        <v>0.5275216665156115</v>
      </c>
      <c r="AF389" s="41">
        <f>VLOOKUP(B389,'Player Data'!$A1:$AE734,20,FALSE)*$Q389</f>
        <v>0</v>
      </c>
      <c r="AG389" s="41">
        <f>VLOOKUP(B389,'Player Data'!$A1:$AE734,21,FALSE)*$Q389</f>
        <v>0</v>
      </c>
      <c r="AH389" s="42">
        <f>VLOOKUP(B389,'Player Data'!$A1:$AE734,22,FALSE)</f>
        <v>0</v>
      </c>
      <c r="AI389" s="39"/>
      <c r="AJ389" s="43"/>
      <c r="AK389" s="41"/>
      <c r="AL389" s="41"/>
      <c r="AM389" s="41"/>
      <c r="AN389" s="41"/>
      <c r="AO389" s="41"/>
      <c r="AP389" s="41"/>
      <c r="AQ389" s="44"/>
      <c r="AR389" s="45"/>
      <c r="AS389" s="39"/>
    </row>
    <row r="390" spans="1:45" ht="21.25" customHeight="1" x14ac:dyDescent="0.15">
      <c r="A390" s="31">
        <f>RANK(K390,K$2:K$727)</f>
        <v>389</v>
      </c>
      <c r="B390" s="8" t="s">
        <v>494</v>
      </c>
      <c r="C390" s="32" t="s">
        <v>106</v>
      </c>
      <c r="D390" s="33" t="str">
        <f>VLOOKUP(B390,'Player Data'!A1:D734,4,FALSE)</f>
        <v>D</v>
      </c>
      <c r="E390" s="49">
        <f>VLOOKUP(B390,D!A1:C227,3,FALSE)</f>
        <v>128</v>
      </c>
      <c r="F390" s="35" t="str">
        <f>VLOOKUP(B390,'Player Data'!A1:B734,2,FALSE)</f>
        <v>BUF</v>
      </c>
      <c r="G390" s="9">
        <f>VLOOKUP(B390,'Player Data'!A1:D734,3,FALSE)</f>
        <v>23</v>
      </c>
      <c r="H390" s="36">
        <f>IFERROR(VLOOKUP(B390,ADP!A1:G728,7,FALSE)/1000000,VLOOKUP(B390,ADP!A1:G728,7,FALSE))</f>
        <v>4.2857139999999996</v>
      </c>
      <c r="I390" s="37">
        <f>IF(Settings!$E$15="POINTS",((R390*Q390)*Settings!$B$12)+(S390*Settings!$B$2)+(T390*Settings!$B$3)+(U390*Settings!$B$4)+(V390*Settings!$B$5)+(X390*Settings!$B$9)+(AA390*Settings!$B$6)+(W390*Settings!$B$8)+(AB390*Settings!$B$7)+(AC390*Settings!$B$14)+(AD390*Settings!$B$15)+(AE390*Settings!$B$16)+(AF390*Settings!$B$17)+(AG390*Settings!$B$18)+(U390*Settings!$B$13)+(Y390*Settings!$B$10)+(Z390*Settings!$B$11),VLOOKUP(B390,'Standard Deviations'!A1:C728,3,FALSE))</f>
        <v>128.58638551664527</v>
      </c>
      <c r="J390" s="38">
        <f>IF(D390="G",I390/AJ390,I390/Q390)</f>
        <v>1.8788878249007528</v>
      </c>
      <c r="K390" s="37">
        <f>VLOOKUP(B390,D!A1:F227,6,FALSE)</f>
        <v>-182.97909611128219</v>
      </c>
      <c r="L390" s="37">
        <f>IFERROR(K390/H390,"N/A")</f>
        <v>-42.695125272307536</v>
      </c>
      <c r="M390" s="53" t="str">
        <f>IF(Settings!$E$9="YAHOO",VLOOKUP(B390,ADP!A1:E728,2,FALSE),IF(Settings!$E$9="ESPN",VLOOKUP(B390,ADP!A1:E728,3,FALSE),IF(Settings!$E$9="FANTRAX",VLOOKUP(B390,ADP!A1:E728,4,FALSE),VLOOKUP(B390,ADP!A1:E728,5,FALSE))))</f>
        <v>-</v>
      </c>
      <c r="N390" s="53" t="str">
        <f>IFERROR(M390-A390,"N/A")</f>
        <v>N/A</v>
      </c>
      <c r="O390" s="39"/>
      <c r="P390" s="40" t="str">
        <f>IF(Settings!$E$27="ON",VLOOKUP(B390,ADP!A1:H728,8,FALSE)," ")</f>
        <v xml:space="preserve"> </v>
      </c>
      <c r="Q390" s="41">
        <f>IF(Settings!$E$12="YES",VLOOKUP(B390,'Player Data'!A1:E734,5,FALSE),82)</f>
        <v>68.4375</v>
      </c>
      <c r="R390" s="39">
        <f>VLOOKUP(B390,'Player Data'!$A1:$AE734,6,FALSE)</f>
        <v>22.196301809173999</v>
      </c>
      <c r="S390" s="41">
        <f>VLOOKUP(B390,'Player Data'!$A1:$AE734,7,FALSE)*$Q390*IFERROR((VLOOKUP(P390,Settings!$E$28:$F$33,2,FALSE)+1),1)</f>
        <v>3.0089581723560119</v>
      </c>
      <c r="T390" s="41">
        <f>VLOOKUP(B390,'Player Data'!$A1:$AE734,8,FALSE)*$Q390*IFERROR((VLOOKUP(P390,Settings!$E$28:$F$33,2,FALSE)+1),1)</f>
        <v>15.567200853826773</v>
      </c>
      <c r="U390" s="41">
        <f>SUM(S390:T390)</f>
        <v>18.576159026182786</v>
      </c>
      <c r="V390" s="41">
        <f>VLOOKUP(B390,'Player Data'!$A1:$AE734,10,FALSE)*$Q390*IFERROR(((VLOOKUP(P390,Settings!$E$28:$F$33,2,FALSE)/2)+1),1)</f>
        <v>95.837709587157377</v>
      </c>
      <c r="W390" s="41">
        <f>VLOOKUP(B390,'Player Data'!$A1:$AE734,11,FALSE)*$Q390*IFERROR((VLOOKUP(P390,Settings!$E$28:$F$33,2,FALSE)+1),1)</f>
        <v>2.4155760455464716E-2</v>
      </c>
      <c r="X390" s="41">
        <f>VLOOKUP(B390,'Player Data'!$A1:$AE734,12,FALSE)*$Q390*IFERROR((VLOOKUP(P390,Settings!$E$28:$F$33,2,FALSE)+1),1)</f>
        <v>0.16018079936885066</v>
      </c>
      <c r="Y390" s="41">
        <f>VLOOKUP(B390,'Player Data'!$A1:$AE734,13,FALSE)*$Q390</f>
        <v>3.8454064623403235E-2</v>
      </c>
      <c r="Z390" s="41">
        <f>VLOOKUP(B390,'Player Data'!$A1:$AE734,14,FALSE)*$Q390</f>
        <v>0.94581905017560575</v>
      </c>
      <c r="AA390" s="41">
        <f>VLOOKUP(B390,'Player Data'!$A1:$AE734,15,FALSE)*$Q390</f>
        <v>113.63526972714651</v>
      </c>
      <c r="AB390" s="41">
        <f>VLOOKUP(B390,'Player Data'!$A1:$AE734,16,FALSE)*$Q390</f>
        <v>126.72921520622334</v>
      </c>
      <c r="AC390" s="41">
        <f>VLOOKUP(B390,'Player Data'!$A1:$AE734,17,FALSE)*$Q390*IFERROR((VLOOKUP(P390,Settings!$E$28:$F$33,2,FALSE)+1),1)</f>
        <v>-1.5460635698572069</v>
      </c>
      <c r="AD390" s="41">
        <f>VLOOKUP(B390,'Player Data'!$A1:$AE734,18,FALSE)*$Q390</f>
        <v>29.033690095679074</v>
      </c>
      <c r="AE390" s="41">
        <f>VLOOKUP(B390,'Player Data'!$A1:$AE734,19,FALSE)*$Q390*IFERROR((VLOOKUP(P390,Settings!$E$28:$F$33,2,FALSE)+1),1)</f>
        <v>0.38775939347080263</v>
      </c>
      <c r="AF390" s="41">
        <f>VLOOKUP(B390,'Player Data'!$A1:$AE734,20,FALSE)*$Q390</f>
        <v>0</v>
      </c>
      <c r="AG390" s="41">
        <f>VLOOKUP(B390,'Player Data'!$A1:$AE734,21,FALSE)*$Q390</f>
        <v>0</v>
      </c>
      <c r="AH390" s="42">
        <f>VLOOKUP(B390,'Player Data'!$A1:$AE734,22,FALSE)</f>
        <v>0</v>
      </c>
      <c r="AI390" s="39"/>
      <c r="AJ390" s="43"/>
      <c r="AK390" s="41"/>
      <c r="AL390" s="41"/>
      <c r="AM390" s="41"/>
      <c r="AN390" s="41"/>
      <c r="AO390" s="41"/>
      <c r="AP390" s="41"/>
      <c r="AQ390" s="44"/>
      <c r="AR390" s="45"/>
      <c r="AS390" s="39"/>
    </row>
    <row r="391" spans="1:45" ht="21.25" customHeight="1" x14ac:dyDescent="0.15">
      <c r="A391" s="31">
        <f>RANK(K391,K$2:K$727)</f>
        <v>390</v>
      </c>
      <c r="B391" s="8" t="s">
        <v>495</v>
      </c>
      <c r="C391" s="32" t="s">
        <v>106</v>
      </c>
      <c r="D391" s="33" t="str">
        <f>VLOOKUP(B391,'Player Data'!A1:D734,4,FALSE)</f>
        <v>RW</v>
      </c>
      <c r="E391" s="46">
        <f>VLOOKUP(B391,RW!A1:F97,3,FALSE)</f>
        <v>56</v>
      </c>
      <c r="F391" s="35" t="str">
        <f>VLOOKUP(B391,'Player Data'!A1:B734,2,FALSE)</f>
        <v>WSH</v>
      </c>
      <c r="G391" s="9">
        <f>VLOOKUP(B391,'Player Data'!A1:D734,3,FALSE)</f>
        <v>28</v>
      </c>
      <c r="H391" s="36">
        <f>IFERROR(VLOOKUP(B391,ADP!A1:G728,7,FALSE)/1000000,VLOOKUP(B391,ADP!A1:G728,7,FALSE))</f>
        <v>5.7</v>
      </c>
      <c r="I391" s="37">
        <f>IF(Settings!$E$15="POINTS",((R391*Q391)*Settings!$B$12)+(S391*Settings!$B$2)+(T391*Settings!$B$3)+(U391*Settings!$B$4)+(V391*Settings!$B$5)+(X391*Settings!$B$9)+(AA391*Settings!$B$6)+(W391*Settings!$B$8)+(AB391*Settings!$B$7)+(AC391*Settings!$B$14)+(AD391*Settings!$B$15)+(AE391*Settings!$B$16)+(AF391*Settings!$B$17)+(AG391*Settings!$B$18)+(Y391*Settings!$B$10)+(Z391*Settings!$B$11),VLOOKUP(B391,'Standard Deviations'!A1:C728,3,FALSE))</f>
        <v>167.13321142604235</v>
      </c>
      <c r="J391" s="38">
        <f>IF(D391="G",I391/AJ391,I391/Q391)</f>
        <v>2.3180750544527373</v>
      </c>
      <c r="K391" s="37">
        <f>IF(Settings!$E$18="C/LW/RW",VLOOKUP(B391,RW!A1:F97,6,FALSE),VLOOKUP(B391,F!A1:F430,6,FALSE))</f>
        <v>-183.13832912184722</v>
      </c>
      <c r="L391" s="37">
        <f>IFERROR(K391/H391,"N/A")</f>
        <v>-32.129531424885478</v>
      </c>
      <c r="M391" s="39">
        <f>IF(Settings!$E$9="YAHOO",VLOOKUP(B391,ADP!A1:E728,2,FALSE),IF(Settings!$E$9="ESPN",VLOOKUP(B391,ADP!A1:E728,3,FALSE),IF(Settings!$E$9="FANTRAX",VLOOKUP(B391,ADP!A1:E728,4,FALSE),VLOOKUP(B391,ADP!A1:E728,5,FALSE))))</f>
        <v>186.7</v>
      </c>
      <c r="N391" s="39">
        <f>IFERROR(M391-A391,"N/A")</f>
        <v>-203.3</v>
      </c>
      <c r="O391" s="39"/>
      <c r="P391" s="40" t="str">
        <f>IF(Settings!$E$27="ON",VLOOKUP(B391,ADP!A1:H728,8,FALSE)," ")</f>
        <v xml:space="preserve"> </v>
      </c>
      <c r="Q391" s="41">
        <f>IF(Settings!$E$12="YES",VLOOKUP(B391,'Player Data'!A1:E734,5,FALSE),82)</f>
        <v>72.099999999999994</v>
      </c>
      <c r="R391" s="39">
        <f>VLOOKUP(B391,'Player Data'!$A1:$AE734,6,FALSE)</f>
        <v>14.067539616892301</v>
      </c>
      <c r="S391" s="41">
        <f>VLOOKUP(B391,'Player Data'!$A1:$AE734,7,FALSE)*$Q391*IFERROR((VLOOKUP(P391,Settings!$E$28:$F$33,2,FALSE)+1),1)</f>
        <v>13.001748487159253</v>
      </c>
      <c r="T391" s="41">
        <f>VLOOKUP(B391,'Player Data'!$A1:$AE734,8,FALSE)*$Q391*IFERROR((VLOOKUP(P391,Settings!$E$28:$F$33,2,FALSE)+1),1)</f>
        <v>18.068474792610779</v>
      </c>
      <c r="U391" s="41">
        <f>SUM(S391:T391)</f>
        <v>31.070223279770033</v>
      </c>
      <c r="V391" s="41">
        <f>VLOOKUP(B391,'Player Data'!$A1:$AE734,10,FALSE)*$Q391*IFERROR(((VLOOKUP(P391,Settings!$E$28:$F$33,2,FALSE)/2)+1),1)</f>
        <v>129.28523565798443</v>
      </c>
      <c r="W391" s="41">
        <f>VLOOKUP(B391,'Player Data'!$A1:$AE734,11,FALSE)*$Q391*IFERROR((VLOOKUP(P391,Settings!$E$28:$F$33,2,FALSE)+1),1)</f>
        <v>0.76907851237370428</v>
      </c>
      <c r="X391" s="41">
        <f>VLOOKUP(B391,'Player Data'!$A1:$AE734,12,FALSE)*$Q391*IFERROR((VLOOKUP(P391,Settings!$E$28:$F$33,2,FALSE)+1),1)</f>
        <v>1.8054686138876568</v>
      </c>
      <c r="Y391" s="41">
        <f>VLOOKUP(B391,'Player Data'!$A1:$AE734,13,FALSE)*$Q391</f>
        <v>5.674572601107348E-3</v>
      </c>
      <c r="Z391" s="41">
        <f>VLOOKUP(B391,'Player Data'!$A1:$AE734,14,FALSE)*$Q391</f>
        <v>1.044795441871481E-2</v>
      </c>
      <c r="AA391" s="41">
        <f>VLOOKUP(B391,'Player Data'!$A1:$AE734,15,FALSE)*$Q391</f>
        <v>28.24045310563659</v>
      </c>
      <c r="AB391" s="41">
        <f>VLOOKUP(B391,'Player Data'!$A1:$AE734,16,FALSE)*$Q391</f>
        <v>75.261848078606164</v>
      </c>
      <c r="AC391" s="41">
        <f>VLOOKUP(B391,'Player Data'!$A1:$AE734,17,FALSE)*$Q391*IFERROR((VLOOKUP(P391,Settings!$E$28:$F$33,2,FALSE)+1),1)</f>
        <v>-2.0608310915988262</v>
      </c>
      <c r="AD391" s="41">
        <f>VLOOKUP(B391,'Player Data'!$A1:$AE734,18,FALSE)*$Q391</f>
        <v>28.222119528336304</v>
      </c>
      <c r="AE391" s="41">
        <f>VLOOKUP(B391,'Player Data'!$A1:$AE734,19,FALSE)*$Q391*IFERROR((VLOOKUP(P391,Settings!$E$28:$F$33,2,FALSE)+1),1)</f>
        <v>1.5992916012147418</v>
      </c>
      <c r="AF391" s="41">
        <f>VLOOKUP(B391,'Player Data'!$A1:$AE734,20,FALSE)*$Q391</f>
        <v>11.546891457535891</v>
      </c>
      <c r="AG391" s="41">
        <f>VLOOKUP(B391,'Player Data'!$A1:$AE734,21,FALSE)*$Q391</f>
        <v>9.3112660906535307</v>
      </c>
      <c r="AH391" s="42">
        <f>VLOOKUP(B391,'Player Data'!$A1:$AE734,22,FALSE)</f>
        <v>0.55359115160860395</v>
      </c>
      <c r="AI391" s="39"/>
      <c r="AJ391" s="43"/>
      <c r="AK391" s="41"/>
      <c r="AL391" s="41"/>
      <c r="AM391" s="41"/>
      <c r="AN391" s="41"/>
      <c r="AO391" s="41"/>
      <c r="AP391" s="41"/>
      <c r="AQ391" s="44"/>
      <c r="AR391" s="45"/>
      <c r="AS391" s="39"/>
    </row>
    <row r="392" spans="1:45" ht="21.25" customHeight="1" x14ac:dyDescent="0.15">
      <c r="A392" s="31">
        <f>RANK(K392,K$2:K$727)</f>
        <v>391</v>
      </c>
      <c r="B392" s="8" t="s">
        <v>496</v>
      </c>
      <c r="C392" s="32" t="s">
        <v>106</v>
      </c>
      <c r="D392" s="33" t="str">
        <f>VLOOKUP(B392,'Player Data'!A1:D734,4,FALSE)</f>
        <v>D</v>
      </c>
      <c r="E392" s="49">
        <f>VLOOKUP(B392,D!A1:C227,3,FALSE)</f>
        <v>129</v>
      </c>
      <c r="F392" s="35" t="str">
        <f>VLOOKUP(B392,'Player Data'!A1:B734,2,FALSE)</f>
        <v>VAN</v>
      </c>
      <c r="G392" s="9">
        <f>VLOOKUP(B392,'Player Data'!A1:D734,3,FALSE)</f>
        <v>34</v>
      </c>
      <c r="H392" s="36">
        <f>IFERROR(VLOOKUP(B392,ADP!A1:G728,7,FALSE)/1000000,VLOOKUP(B392,ADP!A1:G728,7,FALSE))</f>
        <v>3</v>
      </c>
      <c r="I392" s="37">
        <f>IF(Settings!$E$15="POINTS",((R392*Q392)*Settings!$B$12)+(S392*Settings!$B$2)+(T392*Settings!$B$3)+(U392*Settings!$B$4)+(V392*Settings!$B$5)+(X392*Settings!$B$9)+(AA392*Settings!$B$6)+(W392*Settings!$B$8)+(AB392*Settings!$B$7)+(AC392*Settings!$B$14)+(AD392*Settings!$B$15)+(AE392*Settings!$B$16)+(AF392*Settings!$B$17)+(AG392*Settings!$B$18)+(U392*Settings!$B$13)+(Y392*Settings!$B$10)+(Z392*Settings!$B$11),VLOOKUP(B392,'Standard Deviations'!A1:C728,3,FALSE))</f>
        <v>127.91137675182908</v>
      </c>
      <c r="J392" s="38">
        <f>IF(D392="G",I392/AJ392,I392/Q392)</f>
        <v>1.5976012904979513</v>
      </c>
      <c r="K392" s="37">
        <f>VLOOKUP(B392,D!A1:F227,6,FALSE)</f>
        <v>-183.65410487609836</v>
      </c>
      <c r="L392" s="37">
        <f>IFERROR(K392/H392,"N/A")</f>
        <v>-61.218034958699455</v>
      </c>
      <c r="M392" s="53" t="str">
        <f>IF(Settings!$E$9="YAHOO",VLOOKUP(B392,ADP!A1:E728,2,FALSE),IF(Settings!$E$9="ESPN",VLOOKUP(B392,ADP!A1:E728,3,FALSE),IF(Settings!$E$9="FANTRAX",VLOOKUP(B392,ADP!A1:E728,4,FALSE),VLOOKUP(B392,ADP!A1:E728,5,FALSE))))</f>
        <v>-</v>
      </c>
      <c r="N392" s="53" t="str">
        <f>IFERROR(M392-A392,"N/A")</f>
        <v>N/A</v>
      </c>
      <c r="O392" s="39"/>
      <c r="P392" s="40" t="str">
        <f>IF(Settings!$E$27="ON",VLOOKUP(B392,ADP!A1:H728,8,FALSE)," ")</f>
        <v xml:space="preserve"> </v>
      </c>
      <c r="Q392" s="41">
        <f>IF(Settings!$E$12="YES",VLOOKUP(B392,'Player Data'!A1:E734,5,FALSE),82)</f>
        <v>80.0646428571429</v>
      </c>
      <c r="R392" s="39">
        <f>VLOOKUP(B392,'Player Data'!$A1:$AE734,6,FALSE)</f>
        <v>18.937944448555701</v>
      </c>
      <c r="S392" s="41">
        <f>VLOOKUP(B392,'Player Data'!$A1:$AE734,7,FALSE)*$Q392*IFERROR((VLOOKUP(P392,Settings!$E$28:$F$33,2,FALSE)+1),1)</f>
        <v>2.2908402556636021</v>
      </c>
      <c r="T392" s="41">
        <f>VLOOKUP(B392,'Player Data'!$A1:$AE734,8,FALSE)*$Q392*IFERROR((VLOOKUP(P392,Settings!$E$28:$F$33,2,FALSE)+1),1)</f>
        <v>14.978738337750803</v>
      </c>
      <c r="U392" s="41">
        <f>SUM(S392:T392)</f>
        <v>17.269578593414405</v>
      </c>
      <c r="V392" s="41">
        <f>VLOOKUP(B392,'Player Data'!$A1:$AE734,10,FALSE)*$Q392*IFERROR(((VLOOKUP(P392,Settings!$E$28:$F$33,2,FALSE)/2)+1),1)</f>
        <v>101.10302326978938</v>
      </c>
      <c r="W392" s="41">
        <f>VLOOKUP(B392,'Player Data'!$A1:$AE734,11,FALSE)*$Q392*IFERROR((VLOOKUP(P392,Settings!$E$28:$F$33,2,FALSE)+1),1)</f>
        <v>1.7411738470829548E-2</v>
      </c>
      <c r="X392" s="41">
        <f>VLOOKUP(B392,'Player Data'!$A1:$AE734,12,FALSE)*$Q392*IFERROR((VLOOKUP(P392,Settings!$E$28:$F$33,2,FALSE)+1),1)</f>
        <v>0.13677402430747646</v>
      </c>
      <c r="Y392" s="41">
        <f>VLOOKUP(B392,'Player Data'!$A1:$AE734,13,FALSE)*$Q392</f>
        <v>1.8064652521151876E-2</v>
      </c>
      <c r="Z392" s="41">
        <f>VLOOKUP(B392,'Player Data'!$A1:$AE734,14,FALSE)*$Q392</f>
        <v>0.3482678545053397</v>
      </c>
      <c r="AA392" s="41">
        <f>VLOOKUP(B392,'Player Data'!$A1:$AE734,15,FALSE)*$Q392</f>
        <v>122.90522789532774</v>
      </c>
      <c r="AB392" s="41">
        <f>VLOOKUP(B392,'Player Data'!$A1:$AE734,16,FALSE)*$Q392</f>
        <v>118.56374707064698</v>
      </c>
      <c r="AC392" s="41">
        <f>VLOOKUP(B392,'Player Data'!$A1:$AE734,17,FALSE)*$Q392*IFERROR((VLOOKUP(P392,Settings!$E$28:$F$33,2,FALSE)+1),1)</f>
        <v>1.0699545545911726</v>
      </c>
      <c r="AD392" s="41">
        <f>VLOOKUP(B392,'Player Data'!$A1:$AE734,18,FALSE)*$Q392</f>
        <v>64.102198382538958</v>
      </c>
      <c r="AE392" s="41">
        <f>VLOOKUP(B392,'Player Data'!$A1:$AE734,19,FALSE)*$Q392*IFERROR((VLOOKUP(P392,Settings!$E$28:$F$33,2,FALSE)+1),1)</f>
        <v>0.32429054240141025</v>
      </c>
      <c r="AF392" s="41">
        <f>VLOOKUP(B392,'Player Data'!$A1:$AE734,20,FALSE)*$Q392</f>
        <v>0</v>
      </c>
      <c r="AG392" s="41">
        <f>VLOOKUP(B392,'Player Data'!$A1:$AE734,21,FALSE)*$Q392</f>
        <v>0</v>
      </c>
      <c r="AH392" s="42">
        <f>VLOOKUP(B392,'Player Data'!$A1:$AE734,22,FALSE)</f>
        <v>0</v>
      </c>
      <c r="AI392" s="39"/>
      <c r="AJ392" s="43"/>
      <c r="AK392" s="41"/>
      <c r="AL392" s="41"/>
      <c r="AM392" s="41"/>
      <c r="AN392" s="41"/>
      <c r="AO392" s="41"/>
      <c r="AP392" s="41"/>
      <c r="AQ392" s="44"/>
      <c r="AR392" s="45"/>
      <c r="AS392" s="39"/>
    </row>
    <row r="393" spans="1:45" ht="21.25" customHeight="1" x14ac:dyDescent="0.15">
      <c r="A393" s="31">
        <f>RANK(K393,K$2:K$727)</f>
        <v>392</v>
      </c>
      <c r="B393" s="8" t="s">
        <v>497</v>
      </c>
      <c r="C393" s="32" t="s">
        <v>106</v>
      </c>
      <c r="D393" s="33" t="str">
        <f>VLOOKUP(B393,'Player Data'!A1:D734,4,FALSE)</f>
        <v>C</v>
      </c>
      <c r="E393" s="34">
        <f>VLOOKUP(B393,'C'!A1:C211,3,FALSE)</f>
        <v>95</v>
      </c>
      <c r="F393" s="35" t="str">
        <f>VLOOKUP(B393,'Player Data'!A1:B734,2,FALSE)</f>
        <v>NYI</v>
      </c>
      <c r="G393" s="9">
        <f>VLOOKUP(B393,'Player Data'!A1:D734,3,FALSE)</f>
        <v>30</v>
      </c>
      <c r="H393" s="36">
        <f>IFERROR(VLOOKUP(B393,ADP!A1:G728,7,FALSE)/1000000,VLOOKUP(B393,ADP!A1:G728,7,FALSE))</f>
        <v>5</v>
      </c>
      <c r="I393" s="37">
        <f>IF(Settings!$E$15="POINTS",((R393*Q393)*Settings!$B$12)+(S393*Settings!$B$2)+(T393*Settings!$B$3)+(U393*Settings!$B$4)+(V393*Settings!$B$5)+(X393*Settings!$B$9)+(AA393*Settings!$B$6)+(W393*Settings!$B$8)+(AB393*Settings!$B$7)+(AC393*Settings!$B$14)+(AD393*Settings!$B$15)+(AE393*Settings!$B$16)+(AF393*Settings!$B$17)+(AG393*Settings!$B$18)+(Y393*Settings!$B$10)+(Z393*Settings!$B$11),VLOOKUP(B393,'Standard Deviations'!A1:C728,3,FALSE))</f>
        <v>209.59104603414252</v>
      </c>
      <c r="J393" s="38">
        <f>IF(D393="G",I393/AJ393,I393/Q393)</f>
        <v>2.6557525914497058</v>
      </c>
      <c r="K393" s="37">
        <f>IF(Settings!$E$18="C/LW/RW",VLOOKUP(B393,'C'!A1:F211,6,FALSE),VLOOKUP(B393,F!A1:F430,6,FALSE))</f>
        <v>-183.73775973206713</v>
      </c>
      <c r="L393" s="37">
        <f>IFERROR(K393/H393,"N/A")</f>
        <v>-36.747551946413424</v>
      </c>
      <c r="M393" s="53" t="str">
        <f>IF(Settings!$E$9="YAHOO",VLOOKUP(B393,ADP!A1:E728,2,FALSE),IF(Settings!$E$9="ESPN",VLOOKUP(B393,ADP!A1:E728,3,FALSE),IF(Settings!$E$9="FANTRAX",VLOOKUP(B393,ADP!A1:E728,4,FALSE),VLOOKUP(B393,ADP!A1:E728,5,FALSE))))</f>
        <v>-</v>
      </c>
      <c r="N393" s="53" t="str">
        <f>IFERROR(M393-A393,"N/A")</f>
        <v>N/A</v>
      </c>
      <c r="O393" s="39"/>
      <c r="P393" s="40" t="str">
        <f>IF(Settings!$E$27="ON",VLOOKUP(B393,ADP!A1:H728,8,FALSE)," ")</f>
        <v xml:space="preserve"> </v>
      </c>
      <c r="Q393" s="41">
        <f>IF(Settings!$E$12="YES",VLOOKUP(B393,'Player Data'!A1:E734,5,FALSE),82)</f>
        <v>78.919642857142904</v>
      </c>
      <c r="R393" s="39">
        <f>VLOOKUP(B393,'Player Data'!$A1:$AE734,6,FALSE)</f>
        <v>16.541189061839301</v>
      </c>
      <c r="S393" s="41">
        <f>VLOOKUP(B393,'Player Data'!$A1:$AE734,7,FALSE)*$Q393*IFERROR((VLOOKUP(P393,Settings!$E$28:$F$33,2,FALSE)+1),1)</f>
        <v>14.658672410635942</v>
      </c>
      <c r="T393" s="41">
        <f>VLOOKUP(B393,'Player Data'!$A1:$AE734,8,FALSE)*$Q393*IFERROR((VLOOKUP(P393,Settings!$E$28:$F$33,2,FALSE)+1),1)</f>
        <v>23.248800777957413</v>
      </c>
      <c r="U393" s="41">
        <f>SUM(S393:T393)</f>
        <v>37.907473188593357</v>
      </c>
      <c r="V393" s="41">
        <f>VLOOKUP(B393,'Player Data'!$A1:$AE734,10,FALSE)*$Q393*IFERROR(((VLOOKUP(P393,Settings!$E$28:$F$33,2,FALSE)/2)+1),1)</f>
        <v>128.08182396198913</v>
      </c>
      <c r="W393" s="41">
        <f>VLOOKUP(B393,'Player Data'!$A1:$AE734,11,FALSE)*$Q393*IFERROR((VLOOKUP(P393,Settings!$E$28:$F$33,2,FALSE)+1),1)</f>
        <v>3.7432625642812174</v>
      </c>
      <c r="X393" s="41">
        <f>VLOOKUP(B393,'Player Data'!$A1:$AE734,12,FALSE)*$Q393*IFERROR((VLOOKUP(P393,Settings!$E$28:$F$33,2,FALSE)+1),1)</f>
        <v>6.721000311743774</v>
      </c>
      <c r="Y393" s="41">
        <f>VLOOKUP(B393,'Player Data'!$A1:$AE734,13,FALSE)*$Q393</f>
        <v>1.8944293701057782</v>
      </c>
      <c r="Z393" s="41">
        <f>VLOOKUP(B393,'Player Data'!$A1:$AE734,14,FALSE)*$Q393</f>
        <v>3.0062186981366197</v>
      </c>
      <c r="AA393" s="41">
        <f>VLOOKUP(B393,'Player Data'!$A1:$AE734,15,FALSE)*$Q393</f>
        <v>61.8663823380355</v>
      </c>
      <c r="AB393" s="41">
        <f>VLOOKUP(B393,'Player Data'!$A1:$AE734,16,FALSE)*$Q393</f>
        <v>167.68399302862744</v>
      </c>
      <c r="AC393" s="41">
        <f>VLOOKUP(B393,'Player Data'!$A1:$AE734,17,FALSE)*$Q393*IFERROR((VLOOKUP(P393,Settings!$E$28:$F$33,2,FALSE)+1),1)</f>
        <v>0.75222143808064368</v>
      </c>
      <c r="AD393" s="41">
        <f>VLOOKUP(B393,'Player Data'!$A1:$AE734,18,FALSE)*$Q393</f>
        <v>21.967796371524724</v>
      </c>
      <c r="AE393" s="41">
        <f>VLOOKUP(B393,'Player Data'!$A1:$AE734,19,FALSE)*$Q393*IFERROR((VLOOKUP(P393,Settings!$E$28:$F$33,2,FALSE)+1),1)</f>
        <v>2.2650852870680245</v>
      </c>
      <c r="AF393" s="41">
        <f>VLOOKUP(B393,'Player Data'!$A1:$AE734,20,FALSE)*$Q393</f>
        <v>739.2167136720285</v>
      </c>
      <c r="AG393" s="41">
        <f>VLOOKUP(B393,'Player Data'!$A1:$AE734,21,FALSE)*$Q393</f>
        <v>570.9109920565021</v>
      </c>
      <c r="AH393" s="42">
        <f>VLOOKUP(B393,'Player Data'!$A1:$AE734,22,FALSE)</f>
        <v>0.56423256331409899</v>
      </c>
      <c r="AI393" s="39"/>
      <c r="AJ393" s="41"/>
      <c r="AK393" s="41"/>
      <c r="AL393" s="41"/>
      <c r="AM393" s="41"/>
      <c r="AN393" s="41"/>
      <c r="AO393" s="41"/>
      <c r="AP393" s="41"/>
      <c r="AQ393" s="44"/>
      <c r="AR393" s="45"/>
      <c r="AS393" s="39"/>
    </row>
    <row r="394" spans="1:45" ht="21.25" customHeight="1" x14ac:dyDescent="0.15">
      <c r="A394" s="31">
        <f>RANK(K394,K$2:K$727)</f>
        <v>393</v>
      </c>
      <c r="B394" s="8" t="s">
        <v>498</v>
      </c>
      <c r="C394" s="32" t="s">
        <v>106</v>
      </c>
      <c r="D394" s="33" t="str">
        <f>VLOOKUP(B394,'Player Data'!A1:D734,4,FALSE)</f>
        <v>D</v>
      </c>
      <c r="E394" s="49">
        <f>VLOOKUP(B394,D!A1:C227,3,FALSE)</f>
        <v>130</v>
      </c>
      <c r="F394" s="35" t="str">
        <f>VLOOKUP(B394,'Player Data'!A1:B734,2,FALSE)</f>
        <v>EDM</v>
      </c>
      <c r="G394" s="9">
        <f>VLOOKUP(B394,'Player Data'!A1:D734,3,FALSE)</f>
        <v>29</v>
      </c>
      <c r="H394" s="36">
        <f>IFERROR(VLOOKUP(B394,ADP!A1:G728,7,FALSE)/1000000,VLOOKUP(B394,ADP!A1:G728,7,FALSE))</f>
        <v>2.75</v>
      </c>
      <c r="I394" s="37">
        <f>IF(Settings!$E$15="POINTS",((R394*Q394)*Settings!$B$12)+(S394*Settings!$B$2)+(T394*Settings!$B$3)+(U394*Settings!$B$4)+(V394*Settings!$B$5)+(X394*Settings!$B$9)+(AA394*Settings!$B$6)+(W394*Settings!$B$8)+(AB394*Settings!$B$7)+(AC394*Settings!$B$14)+(AD394*Settings!$B$15)+(AE394*Settings!$B$16)+(AF394*Settings!$B$17)+(AG394*Settings!$B$18)+(U394*Settings!$B$13)+(Y394*Settings!$B$10)+(Z394*Settings!$B$11),VLOOKUP(B394,'Standard Deviations'!A1:C728,3,FALSE))</f>
        <v>127.50708051949498</v>
      </c>
      <c r="J394" s="38">
        <f>IF(D394="G",I394/AJ394,I394/Q394)</f>
        <v>1.604554639263051</v>
      </c>
      <c r="K394" s="37">
        <f>VLOOKUP(B394,D!A1:F227,6,FALSE)</f>
        <v>-184.05840110843246</v>
      </c>
      <c r="L394" s="37">
        <f>IFERROR(K394/H394,"N/A")</f>
        <v>-66.93032767579362</v>
      </c>
      <c r="M394" s="53" t="str">
        <f>IF(Settings!$E$9="YAHOO",VLOOKUP(B394,ADP!A1:E728,2,FALSE),IF(Settings!$E$9="ESPN",VLOOKUP(B394,ADP!A1:E728,3,FALSE),IF(Settings!$E$9="FANTRAX",VLOOKUP(B394,ADP!A1:E728,4,FALSE),VLOOKUP(B394,ADP!A1:E728,5,FALSE))))</f>
        <v>-</v>
      </c>
      <c r="N394" s="53" t="str">
        <f>IFERROR(M394-A394,"N/A")</f>
        <v>N/A</v>
      </c>
      <c r="O394" s="39"/>
      <c r="P394" s="40" t="str">
        <f>IF(Settings!$E$27="ON",VLOOKUP(B394,ADP!A1:H728,8,FALSE)," ")</f>
        <v xml:space="preserve"> </v>
      </c>
      <c r="Q394" s="41">
        <f>IF(Settings!$E$12="YES",VLOOKUP(B394,'Player Data'!A1:E734,5,FALSE),82)</f>
        <v>79.465714285714299</v>
      </c>
      <c r="R394" s="39">
        <f>VLOOKUP(B394,'Player Data'!$A1:$AE734,6,FALSE)</f>
        <v>16.731350464938998</v>
      </c>
      <c r="S394" s="41">
        <f>VLOOKUP(B394,'Player Data'!$A1:$AE734,7,FALSE)*$Q394*IFERROR((VLOOKUP(P394,Settings!$E$28:$F$33,2,FALSE)+1),1)</f>
        <v>3.7542986437917585</v>
      </c>
      <c r="T394" s="41">
        <f>VLOOKUP(B394,'Player Data'!$A1:$AE734,8,FALSE)*$Q394*IFERROR((VLOOKUP(P394,Settings!$E$28:$F$33,2,FALSE)+1),1)</f>
        <v>15.006399300280354</v>
      </c>
      <c r="U394" s="41">
        <f>SUM(S394:T394)</f>
        <v>18.760697944072113</v>
      </c>
      <c r="V394" s="41">
        <f>VLOOKUP(B394,'Player Data'!$A1:$AE734,10,FALSE)*$Q394*IFERROR(((VLOOKUP(P394,Settings!$E$28:$F$33,2,FALSE)/2)+1),1)</f>
        <v>102.11879808885827</v>
      </c>
      <c r="W394" s="41">
        <f>VLOOKUP(B394,'Player Data'!$A1:$AE734,11,FALSE)*$Q394*IFERROR((VLOOKUP(P394,Settings!$E$28:$F$33,2,FALSE)+1),1)</f>
        <v>1.974946336057181E-2</v>
      </c>
      <c r="X394" s="41">
        <f>VLOOKUP(B394,'Player Data'!$A1:$AE734,12,FALSE)*$Q394*IFERROR((VLOOKUP(P394,Settings!$E$28:$F$33,2,FALSE)+1),1)</f>
        <v>0.13661495429003709</v>
      </c>
      <c r="Y394" s="41">
        <f>VLOOKUP(B394,'Player Data'!$A1:$AE734,13,FALSE)*$Q394</f>
        <v>2.0845205111641299E-2</v>
      </c>
      <c r="Z394" s="41">
        <f>VLOOKUP(B394,'Player Data'!$A1:$AE734,14,FALSE)*$Q394</f>
        <v>0.91545072239636516</v>
      </c>
      <c r="AA394" s="41">
        <f>VLOOKUP(B394,'Player Data'!$A1:$AE734,15,FALSE)*$Q394</f>
        <v>90.307281447383431</v>
      </c>
      <c r="AB394" s="41">
        <f>VLOOKUP(B394,'Player Data'!$A1:$AE734,16,FALSE)*$Q394</f>
        <v>99.705705864763274</v>
      </c>
      <c r="AC394" s="41">
        <f>VLOOKUP(B394,'Player Data'!$A1:$AE734,17,FALSE)*$Q394*IFERROR((VLOOKUP(P394,Settings!$E$28:$F$33,2,FALSE)+1),1)</f>
        <v>5.0099518926323459</v>
      </c>
      <c r="AD394" s="41">
        <f>VLOOKUP(B394,'Player Data'!$A1:$AE734,18,FALSE)*$Q394</f>
        <v>39.104165302220061</v>
      </c>
      <c r="AE394" s="41">
        <f>VLOOKUP(B394,'Player Data'!$A1:$AE734,19,FALSE)*$Q394*IFERROR((VLOOKUP(P394,Settings!$E$28:$F$33,2,FALSE)+1),1)</f>
        <v>0.59426517057759054</v>
      </c>
      <c r="AF394" s="41">
        <f>VLOOKUP(B394,'Player Data'!$A1:$AE734,20,FALSE)*$Q394</f>
        <v>0</v>
      </c>
      <c r="AG394" s="41">
        <f>VLOOKUP(B394,'Player Data'!$A1:$AE734,21,FALSE)*$Q394</f>
        <v>0</v>
      </c>
      <c r="AH394" s="42">
        <f>VLOOKUP(B394,'Player Data'!$A1:$AE734,22,FALSE)</f>
        <v>0</v>
      </c>
      <c r="AI394" s="39"/>
      <c r="AJ394" s="41"/>
      <c r="AK394" s="41"/>
      <c r="AL394" s="41"/>
      <c r="AM394" s="41"/>
      <c r="AN394" s="41"/>
      <c r="AO394" s="41"/>
      <c r="AP394" s="41"/>
      <c r="AQ394" s="44"/>
      <c r="AR394" s="45"/>
      <c r="AS394" s="39"/>
    </row>
    <row r="395" spans="1:45" ht="21.25" customHeight="1" x14ac:dyDescent="0.15">
      <c r="A395" s="31">
        <f>RANK(K395,K$2:K$727)</f>
        <v>394</v>
      </c>
      <c r="B395" s="8" t="s">
        <v>499</v>
      </c>
      <c r="C395" s="32" t="s">
        <v>106</v>
      </c>
      <c r="D395" s="33" t="str">
        <f>VLOOKUP(B395,'Player Data'!A1:D734,4,FALSE)</f>
        <v>D</v>
      </c>
      <c r="E395" s="49">
        <f>VLOOKUP(B395,D!A1:C227,3,FALSE)</f>
        <v>131</v>
      </c>
      <c r="F395" s="35" t="str">
        <f>VLOOKUP(B395,'Player Data'!A1:B734,2,FALSE)</f>
        <v>WSH</v>
      </c>
      <c r="G395" s="9">
        <f>VLOOKUP(B395,'Player Data'!A1:D734,3,FALSE)</f>
        <v>32</v>
      </c>
      <c r="H395" s="36">
        <f>IFERROR(VLOOKUP(B395,ADP!A1:G728,7,FALSE)/1000000,VLOOKUP(B395,ADP!A1:G728,7,FALSE))</f>
        <v>3</v>
      </c>
      <c r="I395" s="37">
        <f>IF(Settings!$E$15="POINTS",((R395*Q395)*Settings!$B$12)+(S395*Settings!$B$2)+(T395*Settings!$B$3)+(U395*Settings!$B$4)+(V395*Settings!$B$5)+(X395*Settings!$B$9)+(AA395*Settings!$B$6)+(W395*Settings!$B$8)+(AB395*Settings!$B$7)+(AC395*Settings!$B$14)+(AD395*Settings!$B$15)+(AE395*Settings!$B$16)+(AF395*Settings!$B$17)+(AG395*Settings!$B$18)+(U395*Settings!$B$13)+(Y395*Settings!$B$10)+(Z395*Settings!$B$11),VLOOKUP(B395,'Standard Deviations'!A1:C728,3,FALSE))</f>
        <v>126.64627316496949</v>
      </c>
      <c r="J395" s="38">
        <f>IF(D395="G",I395/AJ395,I395/Q395)</f>
        <v>1.7081797001946806</v>
      </c>
      <c r="K395" s="37">
        <f>VLOOKUP(B395,D!A1:F227,6,FALSE)</f>
        <v>-184.91920846295795</v>
      </c>
      <c r="L395" s="37">
        <f>IFERROR(K395/H395,"N/A")</f>
        <v>-61.639736154319316</v>
      </c>
      <c r="M395" s="53" t="str">
        <f>IF(Settings!$E$9="YAHOO",VLOOKUP(B395,ADP!A1:E728,2,FALSE),IF(Settings!$E$9="ESPN",VLOOKUP(B395,ADP!A1:E728,3,FALSE),IF(Settings!$E$9="FANTRAX",VLOOKUP(B395,ADP!A1:E728,4,FALSE),VLOOKUP(B395,ADP!A1:E728,5,FALSE))))</f>
        <v>-</v>
      </c>
      <c r="N395" s="53" t="str">
        <f>IFERROR(M395-A395,"N/A")</f>
        <v>N/A</v>
      </c>
      <c r="O395" s="39"/>
      <c r="P395" s="40" t="str">
        <f>IF(Settings!$E$27="ON",VLOOKUP(B395,ADP!A1:H728,8,FALSE)," ")</f>
        <v xml:space="preserve"> </v>
      </c>
      <c r="Q395" s="41">
        <f>IF(Settings!$E$12="YES",VLOOKUP(B395,'Player Data'!A1:E734,5,FALSE),82)</f>
        <v>74.141071428571394</v>
      </c>
      <c r="R395" s="39">
        <f>VLOOKUP(B395,'Player Data'!$A1:$AE734,6,FALSE)</f>
        <v>18.116557673989799</v>
      </c>
      <c r="S395" s="41">
        <f>VLOOKUP(B395,'Player Data'!$A1:$AE734,7,FALSE)*$Q395*IFERROR((VLOOKUP(P395,Settings!$E$28:$F$33,2,FALSE)+1),1)</f>
        <v>3.6032759113271675</v>
      </c>
      <c r="T395" s="41">
        <f>VLOOKUP(B395,'Player Data'!$A1:$AE734,8,FALSE)*$Q395*IFERROR((VLOOKUP(P395,Settings!$E$28:$F$33,2,FALSE)+1),1)</f>
        <v>14.100955613553356</v>
      </c>
      <c r="U395" s="41">
        <f>SUM(S395:T395)</f>
        <v>17.704231524880523</v>
      </c>
      <c r="V395" s="41">
        <f>VLOOKUP(B395,'Player Data'!$A1:$AE734,10,FALSE)*$Q395*IFERROR(((VLOOKUP(P395,Settings!$E$28:$F$33,2,FALSE)/2)+1),1)</f>
        <v>87.934925529402392</v>
      </c>
      <c r="W395" s="41">
        <f>VLOOKUP(B395,'Player Data'!$A1:$AE734,11,FALSE)*$Q395*IFERROR((VLOOKUP(P395,Settings!$E$28:$F$33,2,FALSE)+1),1)</f>
        <v>4.0894034098534614E-2</v>
      </c>
      <c r="X395" s="41">
        <f>VLOOKUP(B395,'Player Data'!$A1:$AE734,12,FALSE)*$Q395*IFERROR((VLOOKUP(P395,Settings!$E$28:$F$33,2,FALSE)+1),1)</f>
        <v>0.50297052050275526</v>
      </c>
      <c r="Y395" s="41">
        <f>VLOOKUP(B395,'Player Data'!$A1:$AE734,13,FALSE)*$Q395</f>
        <v>2.3719985418855741E-2</v>
      </c>
      <c r="Z395" s="41">
        <f>VLOOKUP(B395,'Player Data'!$A1:$AE734,14,FALSE)*$Q395</f>
        <v>0.41148359425884184</v>
      </c>
      <c r="AA395" s="41">
        <f>VLOOKUP(B395,'Player Data'!$A1:$AE734,15,FALSE)*$Q395</f>
        <v>138.6860379805176</v>
      </c>
      <c r="AB395" s="41">
        <f>VLOOKUP(B395,'Player Data'!$A1:$AE734,16,FALSE)*$Q395</f>
        <v>41.267535987158816</v>
      </c>
      <c r="AC395" s="41">
        <f>VLOOKUP(B395,'Player Data'!$A1:$AE734,17,FALSE)*$Q395*IFERROR((VLOOKUP(P395,Settings!$E$28:$F$33,2,FALSE)+1),1)</f>
        <v>-1.8338561880847599</v>
      </c>
      <c r="AD395" s="41">
        <f>VLOOKUP(B395,'Player Data'!$A1:$AE734,18,FALSE)*$Q395</f>
        <v>22.528329745495093</v>
      </c>
      <c r="AE395" s="41">
        <f>VLOOKUP(B395,'Player Data'!$A1:$AE734,19,FALSE)*$Q395*IFERROR((VLOOKUP(P395,Settings!$E$28:$F$33,2,FALSE)+1),1)</f>
        <v>0.44322414847020414</v>
      </c>
      <c r="AF395" s="41">
        <f>VLOOKUP(B395,'Player Data'!$A1:$AE734,20,FALSE)*$Q395</f>
        <v>0</v>
      </c>
      <c r="AG395" s="41">
        <f>VLOOKUP(B395,'Player Data'!$A1:$AE734,21,FALSE)*$Q395</f>
        <v>0</v>
      </c>
      <c r="AH395" s="42">
        <f>VLOOKUP(B395,'Player Data'!$A1:$AE734,22,FALSE)</f>
        <v>0</v>
      </c>
      <c r="AI395" s="39"/>
      <c r="AJ395" s="43"/>
      <c r="AK395" s="41"/>
      <c r="AL395" s="41"/>
      <c r="AM395" s="41"/>
      <c r="AN395" s="41"/>
      <c r="AO395" s="41"/>
      <c r="AP395" s="41"/>
      <c r="AQ395" s="44"/>
      <c r="AR395" s="45"/>
      <c r="AS395" s="39"/>
    </row>
    <row r="396" spans="1:45" ht="21.25" customHeight="1" x14ac:dyDescent="0.15">
      <c r="A396" s="31">
        <f>RANK(K396,K$2:K$727)</f>
        <v>395</v>
      </c>
      <c r="B396" s="8" t="s">
        <v>500</v>
      </c>
      <c r="C396" s="32" t="s">
        <v>106</v>
      </c>
      <c r="D396" s="33" t="str">
        <f>VLOOKUP(B396,'Player Data'!A1:D734,4,FALSE)</f>
        <v>C</v>
      </c>
      <c r="E396" s="34">
        <f>VLOOKUP(B396,'C'!A1:C211,3,FALSE)</f>
        <v>96</v>
      </c>
      <c r="F396" s="35" t="str">
        <f>VLOOKUP(B396,'Player Data'!A1:B734,2,FALSE)</f>
        <v>DET</v>
      </c>
      <c r="G396" s="9">
        <f>VLOOKUP(B396,'Player Data'!A1:D734,3,FALSE)</f>
        <v>29</v>
      </c>
      <c r="H396" s="36">
        <f>IFERROR(VLOOKUP(B396,ADP!A1:G728,7,FALSE)/1000000,VLOOKUP(B396,ADP!A1:G728,7,FALSE))</f>
        <v>5.625</v>
      </c>
      <c r="I396" s="37">
        <f>IF(Settings!$E$15="POINTS",((R396*Q396)*Settings!$B$12)+(S396*Settings!$B$2)+(T396*Settings!$B$3)+(U396*Settings!$B$4)+(V396*Settings!$B$5)+(X396*Settings!$B$9)+(AA396*Settings!$B$6)+(W396*Settings!$B$8)+(AB396*Settings!$B$7)+(AC396*Settings!$B$14)+(AD396*Settings!$B$15)+(AE396*Settings!$B$16)+(AF396*Settings!$B$17)+(AG396*Settings!$B$18)+(Y396*Settings!$B$10)+(Z396*Settings!$B$11),VLOOKUP(B396,'Standard Deviations'!A1:C728,3,FALSE))</f>
        <v>208.13007158472021</v>
      </c>
      <c r="J396" s="38">
        <f>IF(D396="G",I396/AJ396,I396/Q396)</f>
        <v>2.5851914633633366</v>
      </c>
      <c r="K396" s="37">
        <f>IF(Settings!$E$18="C/LW/RW",VLOOKUP(B396,'C'!A1:F211,6,FALSE),VLOOKUP(B396,F!A1:F430,6,FALSE))</f>
        <v>-185.19873418148944</v>
      </c>
      <c r="L396" s="37">
        <f>IFERROR(K396/H396,"N/A")</f>
        <v>-32.924219410042568</v>
      </c>
      <c r="M396" s="53" t="str">
        <f>IF(Settings!$E$9="YAHOO",VLOOKUP(B396,ADP!A1:E728,2,FALSE),IF(Settings!$E$9="ESPN",VLOOKUP(B396,ADP!A1:E728,3,FALSE),IF(Settings!$E$9="FANTRAX",VLOOKUP(B396,ADP!A1:E728,4,FALSE),VLOOKUP(B396,ADP!A1:E728,5,FALSE))))</f>
        <v>-</v>
      </c>
      <c r="N396" s="53" t="str">
        <f>IFERROR(M396-A396,"N/A")</f>
        <v>N/A</v>
      </c>
      <c r="O396" s="39"/>
      <c r="P396" s="40" t="str">
        <f>IF(Settings!$E$27="ON",VLOOKUP(B396,ADP!A1:H728,8,FALSE)," ")</f>
        <v xml:space="preserve"> </v>
      </c>
      <c r="Q396" s="41">
        <f>IF(Settings!$E$12="YES",VLOOKUP(B396,'Player Data'!A1:E734,5,FALSE),82)</f>
        <v>80.5085714285714</v>
      </c>
      <c r="R396" s="39">
        <f>VLOOKUP(B396,'Player Data'!$A1:$AE734,6,FALSE)</f>
        <v>16.858716608083899</v>
      </c>
      <c r="S396" s="41">
        <f>VLOOKUP(B396,'Player Data'!$A1:$AE734,7,FALSE)*$Q396*IFERROR((VLOOKUP(P396,Settings!$E$28:$F$33,2,FALSE)+1),1)</f>
        <v>13.020049536969053</v>
      </c>
      <c r="T396" s="41">
        <f>VLOOKUP(B396,'Player Data'!$A1:$AE734,8,FALSE)*$Q396*IFERROR((VLOOKUP(P396,Settings!$E$28:$F$33,2,FALSE)+1),1)</f>
        <v>28.856905398407193</v>
      </c>
      <c r="U396" s="41">
        <f>SUM(S396:T396)</f>
        <v>41.876954935376247</v>
      </c>
      <c r="V396" s="41">
        <f>VLOOKUP(B396,'Player Data'!$A1:$AE734,10,FALSE)*$Q396*IFERROR(((VLOOKUP(P396,Settings!$E$28:$F$33,2,FALSE)/2)+1),1)</f>
        <v>129.14072925511365</v>
      </c>
      <c r="W396" s="41">
        <f>VLOOKUP(B396,'Player Data'!$A1:$AE734,11,FALSE)*$Q396*IFERROR((VLOOKUP(P396,Settings!$E$28:$F$33,2,FALSE)+1),1)</f>
        <v>1.0568003302629601</v>
      </c>
      <c r="X396" s="41">
        <f>VLOOKUP(B396,'Player Data'!$A1:$AE734,12,FALSE)*$Q396*IFERROR((VLOOKUP(P396,Settings!$E$28:$F$33,2,FALSE)+1),1)</f>
        <v>3.0854228684327745</v>
      </c>
      <c r="Y396" s="41">
        <f>VLOOKUP(B396,'Player Data'!$A1:$AE734,13,FALSE)*$Q396</f>
        <v>0.86833704708027637</v>
      </c>
      <c r="Z396" s="41">
        <f>VLOOKUP(B396,'Player Data'!$A1:$AE734,14,FALSE)*$Q396</f>
        <v>1.455514583694816</v>
      </c>
      <c r="AA396" s="41">
        <f>VLOOKUP(B396,'Player Data'!$A1:$AE734,15,FALSE)*$Q396</f>
        <v>44.234836233897255</v>
      </c>
      <c r="AB396" s="41">
        <f>VLOOKUP(B396,'Player Data'!$A1:$AE734,16,FALSE)*$Q396</f>
        <v>41.849200374304758</v>
      </c>
      <c r="AC396" s="41">
        <f>VLOOKUP(B396,'Player Data'!$A1:$AE734,17,FALSE)*$Q396*IFERROR((VLOOKUP(P396,Settings!$E$28:$F$33,2,FALSE)+1),1)</f>
        <v>-2.0784866611504609</v>
      </c>
      <c r="AD396" s="41">
        <f>VLOOKUP(B396,'Player Data'!$A1:$AE734,18,FALSE)*$Q396</f>
        <v>23.297106472937593</v>
      </c>
      <c r="AE396" s="41">
        <f>VLOOKUP(B396,'Player Data'!$A1:$AE734,19,FALSE)*$Q396*IFERROR((VLOOKUP(P396,Settings!$E$28:$F$33,2,FALSE)+1),1)</f>
        <v>1.681036253440185</v>
      </c>
      <c r="AF396" s="41">
        <f>VLOOKUP(B396,'Player Data'!$A1:$AE734,20,FALSE)*$Q396</f>
        <v>527.98571740894727</v>
      </c>
      <c r="AG396" s="41">
        <f>VLOOKUP(B396,'Player Data'!$A1:$AE734,21,FALSE)*$Q396</f>
        <v>495.4238268393218</v>
      </c>
      <c r="AH396" s="42">
        <f>VLOOKUP(B396,'Player Data'!$A1:$AE734,22,FALSE)</f>
        <v>0.51590853375983703</v>
      </c>
      <c r="AI396" s="39"/>
      <c r="AJ396" s="43"/>
      <c r="AK396" s="41"/>
      <c r="AL396" s="41"/>
      <c r="AM396" s="41"/>
      <c r="AN396" s="41"/>
      <c r="AO396" s="41"/>
      <c r="AP396" s="41"/>
      <c r="AQ396" s="44"/>
      <c r="AR396" s="45"/>
      <c r="AS396" s="39"/>
    </row>
    <row r="397" spans="1:45" ht="21.25" customHeight="1" x14ac:dyDescent="0.15">
      <c r="A397" s="31">
        <f>RANK(K397,K$2:K$727)</f>
        <v>396</v>
      </c>
      <c r="B397" s="8" t="s">
        <v>501</v>
      </c>
      <c r="C397" s="32" t="s">
        <v>106</v>
      </c>
      <c r="D397" s="33" t="str">
        <f>VLOOKUP(B397,'Player Data'!A1:D734,4,FALSE)</f>
        <v>D</v>
      </c>
      <c r="E397" s="49">
        <f>VLOOKUP(B397,D!A1:C227,3,FALSE)</f>
        <v>132</v>
      </c>
      <c r="F397" s="35" t="str">
        <f>VLOOKUP(B397,'Player Data'!A1:B734,2,FALSE)</f>
        <v>CHI</v>
      </c>
      <c r="G397" s="9">
        <f>VLOOKUP(B397,'Player Data'!A1:D734,3,FALSE)</f>
        <v>30</v>
      </c>
      <c r="H397" s="36">
        <f>IFERROR(VLOOKUP(B397,ADP!A1:G728,7,FALSE)/1000000,VLOOKUP(B397,ADP!A1:G728,7,FALSE))</f>
        <v>4</v>
      </c>
      <c r="I397" s="37">
        <f>IF(Settings!$E$15="POINTS",((R397*Q397)*Settings!$B$12)+(S397*Settings!$B$2)+(T397*Settings!$B$3)+(U397*Settings!$B$4)+(V397*Settings!$B$5)+(X397*Settings!$B$9)+(AA397*Settings!$B$6)+(W397*Settings!$B$8)+(AB397*Settings!$B$7)+(AC397*Settings!$B$14)+(AD397*Settings!$B$15)+(AE397*Settings!$B$16)+(AF397*Settings!$B$17)+(AG397*Settings!$B$18)+(U397*Settings!$B$13)+(Y397*Settings!$B$10)+(Z397*Settings!$B$11),VLOOKUP(B397,'Standard Deviations'!A1:C728,3,FALSE))</f>
        <v>125.79633395596967</v>
      </c>
      <c r="J397" s="38">
        <f>IF(D397="G",I397/AJ397,I397/Q397)</f>
        <v>1.6261385243956277</v>
      </c>
      <c r="K397" s="37">
        <f>VLOOKUP(B397,D!A1:F227,6,FALSE)</f>
        <v>-185.7691476719578</v>
      </c>
      <c r="L397" s="37">
        <f>IFERROR(K397/H397,"N/A")</f>
        <v>-46.442286917989449</v>
      </c>
      <c r="M397" s="53" t="str">
        <f>IF(Settings!$E$9="YAHOO",VLOOKUP(B397,ADP!A1:E728,2,FALSE),IF(Settings!$E$9="ESPN",VLOOKUP(B397,ADP!A1:E728,3,FALSE),IF(Settings!$E$9="FANTRAX",VLOOKUP(B397,ADP!A1:E728,4,FALSE),VLOOKUP(B397,ADP!A1:E728,5,FALSE))))</f>
        <v>-</v>
      </c>
      <c r="N397" s="53" t="str">
        <f>IFERROR(M397-A397,"N/A")</f>
        <v>N/A</v>
      </c>
      <c r="O397" s="39"/>
      <c r="P397" s="40" t="str">
        <f>IF(Settings!$E$27="ON",VLOOKUP(B397,ADP!A1:H728,8,FALSE)," ")</f>
        <v xml:space="preserve"> </v>
      </c>
      <c r="Q397" s="41">
        <f>IF(Settings!$E$12="YES",VLOOKUP(B397,'Player Data'!A1:E734,5,FALSE),82)</f>
        <v>77.358928571428606</v>
      </c>
      <c r="R397" s="39">
        <f>VLOOKUP(B397,'Player Data'!$A1:$AE734,6,FALSE)</f>
        <v>19.753508452743901</v>
      </c>
      <c r="S397" s="41">
        <f>VLOOKUP(B397,'Player Data'!$A1:$AE734,7,FALSE)*$Q397*IFERROR((VLOOKUP(P397,Settings!$E$28:$F$33,2,FALSE)+1),1)</f>
        <v>5.4551788659169489</v>
      </c>
      <c r="T397" s="41">
        <f>VLOOKUP(B397,'Player Data'!$A1:$AE734,8,FALSE)*$Q397*IFERROR((VLOOKUP(P397,Settings!$E$28:$F$33,2,FALSE)+1),1)</f>
        <v>10.099367294430277</v>
      </c>
      <c r="U397" s="41">
        <f>SUM(S397:T397)</f>
        <v>15.554546160347225</v>
      </c>
      <c r="V397" s="41">
        <f>VLOOKUP(B397,'Player Data'!$A1:$AE734,10,FALSE)*$Q397*IFERROR(((VLOOKUP(P397,Settings!$E$28:$F$33,2,FALSE)/2)+1),1)</f>
        <v>89.654173895792411</v>
      </c>
      <c r="W397" s="41">
        <f>VLOOKUP(B397,'Player Data'!$A1:$AE734,11,FALSE)*$Q397*IFERROR((VLOOKUP(P397,Settings!$E$28:$F$33,2,FALSE)+1),1)</f>
        <v>5.3656798761758731E-2</v>
      </c>
      <c r="X397" s="41">
        <f>VLOOKUP(B397,'Player Data'!$A1:$AE734,12,FALSE)*$Q397*IFERROR((VLOOKUP(P397,Settings!$E$28:$F$33,2,FALSE)+1),1)</f>
        <v>0.17029343353147733</v>
      </c>
      <c r="Y397" s="41">
        <f>VLOOKUP(B397,'Player Data'!$A1:$AE734,13,FALSE)*$Q397</f>
        <v>1.0324668674775488</v>
      </c>
      <c r="Z397" s="41">
        <f>VLOOKUP(B397,'Player Data'!$A1:$AE734,14,FALSE)*$Q397</f>
        <v>1.1560864833949085</v>
      </c>
      <c r="AA397" s="41">
        <f>VLOOKUP(B397,'Player Data'!$A1:$AE734,15,FALSE)*$Q397</f>
        <v>158.26424346589508</v>
      </c>
      <c r="AB397" s="41">
        <f>VLOOKUP(B397,'Player Data'!$A1:$AE734,16,FALSE)*$Q397</f>
        <v>150.63728322285752</v>
      </c>
      <c r="AC397" s="41">
        <f>VLOOKUP(B397,'Player Data'!$A1:$AE734,17,FALSE)*$Q397*IFERROR((VLOOKUP(P397,Settings!$E$28:$F$33,2,FALSE)+1),1)</f>
        <v>-7.6558157914054377</v>
      </c>
      <c r="AD397" s="41">
        <f>VLOOKUP(B397,'Player Data'!$A1:$AE734,18,FALSE)*$Q397</f>
        <v>52.650984667219525</v>
      </c>
      <c r="AE397" s="41">
        <f>VLOOKUP(B397,'Player Data'!$A1:$AE734,19,FALSE)*$Q397*IFERROR((VLOOKUP(P397,Settings!$E$28:$F$33,2,FALSE)+1),1)</f>
        <v>0.63924632568383921</v>
      </c>
      <c r="AF397" s="41">
        <f>VLOOKUP(B397,'Player Data'!$A1:$AE734,20,FALSE)*$Q397</f>
        <v>0</v>
      </c>
      <c r="AG397" s="41">
        <f>VLOOKUP(B397,'Player Data'!$A1:$AE734,21,FALSE)*$Q397</f>
        <v>0</v>
      </c>
      <c r="AH397" s="42">
        <f>VLOOKUP(B397,'Player Data'!$A1:$AE734,22,FALSE)</f>
        <v>0</v>
      </c>
      <c r="AI397" s="39"/>
      <c r="AJ397" s="43"/>
      <c r="AK397" s="41"/>
      <c r="AL397" s="41"/>
      <c r="AM397" s="41"/>
      <c r="AN397" s="41"/>
      <c r="AO397" s="41"/>
      <c r="AP397" s="41"/>
      <c r="AQ397" s="44"/>
      <c r="AR397" s="45"/>
      <c r="AS397" s="43"/>
    </row>
    <row r="398" spans="1:45" ht="21.25" customHeight="1" x14ac:dyDescent="0.15">
      <c r="A398" s="31">
        <f>RANK(K398,K$2:K$727)</f>
        <v>397</v>
      </c>
      <c r="B398" s="8" t="s">
        <v>502</v>
      </c>
      <c r="C398" s="32" t="s">
        <v>106</v>
      </c>
      <c r="D398" s="33" t="str">
        <f>VLOOKUP(B398,'Player Data'!A1:D734,4,FALSE)</f>
        <v>D</v>
      </c>
      <c r="E398" s="49">
        <f>VLOOKUP(B398,D!A1:C227,3,FALSE)</f>
        <v>133</v>
      </c>
      <c r="F398" s="35" t="str">
        <f>VLOOKUP(B398,'Player Data'!A1:B734,2,FALSE)</f>
        <v>PIT</v>
      </c>
      <c r="G398" s="9">
        <f>VLOOKUP(B398,'Player Data'!A1:D734,3,FALSE)</f>
        <v>24</v>
      </c>
      <c r="H398" s="36">
        <f>IFERROR(VLOOKUP(B398,ADP!A1:G728,7,FALSE)/1000000,VLOOKUP(B398,ADP!A1:G728,7,FALSE))</f>
        <v>0.82499999999999996</v>
      </c>
      <c r="I398" s="37">
        <f>IF(Settings!$E$15="POINTS",((R398*Q398)*Settings!$B$12)+(S398*Settings!$B$2)+(T398*Settings!$B$3)+(U398*Settings!$B$4)+(V398*Settings!$B$5)+(X398*Settings!$B$9)+(AA398*Settings!$B$6)+(W398*Settings!$B$8)+(AB398*Settings!$B$7)+(AC398*Settings!$B$14)+(AD398*Settings!$B$15)+(AE398*Settings!$B$16)+(AF398*Settings!$B$17)+(AG398*Settings!$B$18)+(U398*Settings!$B$13)+(Y398*Settings!$B$10)+(Z398*Settings!$B$11),VLOOKUP(B398,'Standard Deviations'!A1:C728,3,FALSE))</f>
        <v>125.45742296239312</v>
      </c>
      <c r="J398" s="38">
        <f>IF(D398="G",I398/AJ398,I398/Q398)</f>
        <v>1.8360422542516712</v>
      </c>
      <c r="K398" s="37">
        <f>VLOOKUP(B398,D!A1:F227,6,FALSE)</f>
        <v>-186.10805866553432</v>
      </c>
      <c r="L398" s="37">
        <f>IFERROR(K398/H398,"N/A")</f>
        <v>-225.58552565519312</v>
      </c>
      <c r="M398" s="53" t="str">
        <f>IF(Settings!$E$9="YAHOO",VLOOKUP(B398,ADP!A1:E728,2,FALSE),IF(Settings!$E$9="ESPN",VLOOKUP(B398,ADP!A1:E728,3,FALSE),IF(Settings!$E$9="FANTRAX",VLOOKUP(B398,ADP!A1:E728,4,FALSE),VLOOKUP(B398,ADP!A1:E728,5,FALSE))))</f>
        <v>-</v>
      </c>
      <c r="N398" s="53" t="str">
        <f>IFERROR(M398-A398,"N/A")</f>
        <v>N/A</v>
      </c>
      <c r="O398" s="39"/>
      <c r="P398" s="40" t="str">
        <f>IF(Settings!$E$27="ON",VLOOKUP(B398,ADP!A1:H728,8,FALSE)," ")</f>
        <v xml:space="preserve"> </v>
      </c>
      <c r="Q398" s="41">
        <f>IF(Settings!$E$12="YES",VLOOKUP(B398,'Player Data'!A1:E734,5,FALSE),82)</f>
        <v>68.330357142857096</v>
      </c>
      <c r="R398" s="39">
        <f>VLOOKUP(B398,'Player Data'!$A1:$AE734,6,FALSE)</f>
        <v>16.901523157703799</v>
      </c>
      <c r="S398" s="41">
        <f>VLOOKUP(B398,'Player Data'!$A1:$AE734,7,FALSE)*$Q398*IFERROR((VLOOKUP(P398,Settings!$E$28:$F$33,2,FALSE)+1),1)</f>
        <v>4.4655448808194702</v>
      </c>
      <c r="T398" s="41">
        <f>VLOOKUP(B398,'Player Data'!$A1:$AE734,8,FALSE)*$Q398*IFERROR((VLOOKUP(P398,Settings!$E$28:$F$33,2,FALSE)+1),1)</f>
        <v>15.653147276239499</v>
      </c>
      <c r="U398" s="41">
        <f>SUM(S398:T398)</f>
        <v>20.11869215705897</v>
      </c>
      <c r="V398" s="41">
        <f>VLOOKUP(B398,'Player Data'!$A1:$AE734,10,FALSE)*$Q398*IFERROR(((VLOOKUP(P398,Settings!$E$28:$F$33,2,FALSE)/2)+1),1)</f>
        <v>102.42848814619161</v>
      </c>
      <c r="W398" s="41">
        <f>VLOOKUP(B398,'Player Data'!$A1:$AE734,11,FALSE)*$Q398*IFERROR((VLOOKUP(P398,Settings!$E$28:$F$33,2,FALSE)+1),1)</f>
        <v>0.44093097587780644</v>
      </c>
      <c r="X398" s="41">
        <f>VLOOKUP(B398,'Player Data'!$A1:$AE734,12,FALSE)*$Q398*IFERROR((VLOOKUP(P398,Settings!$E$28:$F$33,2,FALSE)+1),1)</f>
        <v>1.7176504627722831</v>
      </c>
      <c r="Y398" s="41">
        <f>VLOOKUP(B398,'Player Data'!$A1:$AE734,13,FALSE)*$Q398</f>
        <v>1.0562941272507972E-2</v>
      </c>
      <c r="Z398" s="41">
        <f>VLOOKUP(B398,'Player Data'!$A1:$AE734,14,FALSE)*$Q398</f>
        <v>3.917788559162351E-2</v>
      </c>
      <c r="AA398" s="41">
        <f>VLOOKUP(B398,'Player Data'!$A1:$AE734,15,FALSE)*$Q398</f>
        <v>51.867228606963096</v>
      </c>
      <c r="AB398" s="41">
        <f>VLOOKUP(B398,'Player Data'!$A1:$AE734,16,FALSE)*$Q398</f>
        <v>89.332974355730769</v>
      </c>
      <c r="AC398" s="41">
        <f>VLOOKUP(B398,'Player Data'!$A1:$AE734,17,FALSE)*$Q398*IFERROR((VLOOKUP(P398,Settings!$E$28:$F$33,2,FALSE)+1),1)</f>
        <v>2.9993293853104932</v>
      </c>
      <c r="AD398" s="41">
        <f>VLOOKUP(B398,'Player Data'!$A1:$AE734,18,FALSE)*$Q398</f>
        <v>38.098821951718023</v>
      </c>
      <c r="AE398" s="41">
        <f>VLOOKUP(B398,'Player Data'!$A1:$AE734,19,FALSE)*$Q398*IFERROR((VLOOKUP(P398,Settings!$E$28:$F$33,2,FALSE)+1),1)</f>
        <v>0.7106886228266116</v>
      </c>
      <c r="AF398" s="41">
        <f>VLOOKUP(B398,'Player Data'!$A1:$AE734,20,FALSE)*$Q398</f>
        <v>0</v>
      </c>
      <c r="AG398" s="41">
        <f>VLOOKUP(B398,'Player Data'!$A1:$AE734,21,FALSE)*$Q398</f>
        <v>0</v>
      </c>
      <c r="AH398" s="42">
        <f>VLOOKUP(B398,'Player Data'!$A1:$AE734,22,FALSE)</f>
        <v>0</v>
      </c>
      <c r="AI398" s="39"/>
      <c r="AJ398" s="43"/>
      <c r="AK398" s="41"/>
      <c r="AL398" s="41"/>
      <c r="AM398" s="41"/>
      <c r="AN398" s="41"/>
      <c r="AO398" s="41"/>
      <c r="AP398" s="41"/>
      <c r="AQ398" s="44"/>
      <c r="AR398" s="45"/>
      <c r="AS398" s="39"/>
    </row>
    <row r="399" spans="1:45" ht="21.25" customHeight="1" x14ac:dyDescent="0.15">
      <c r="A399" s="31">
        <f>RANK(K399,K$2:K$727)</f>
        <v>398</v>
      </c>
      <c r="B399" s="8" t="s">
        <v>503</v>
      </c>
      <c r="C399" s="32" t="s">
        <v>106</v>
      </c>
      <c r="D399" s="33" t="str">
        <f>VLOOKUP(B399,'Player Data'!A1:D734,4,FALSE)</f>
        <v>D</v>
      </c>
      <c r="E399" s="49">
        <f>VLOOKUP(B399,D!A1:C227,3,FALSE)</f>
        <v>134</v>
      </c>
      <c r="F399" s="35" t="str">
        <f>VLOOKUP(B399,'Player Data'!A1:B734,2,FALSE)</f>
        <v>NYR</v>
      </c>
      <c r="G399" s="9">
        <f>VLOOKUP(B399,'Player Data'!A1:D734,3,FALSE)</f>
        <v>25</v>
      </c>
      <c r="H399" s="36">
        <f>IFERROR(VLOOKUP(B399,ADP!A1:G728,7,FALSE)/1000000,VLOOKUP(B399,ADP!A1:G728,7,FALSE))</f>
        <v>3</v>
      </c>
      <c r="I399" s="37">
        <f>IF(Settings!$E$15="POINTS",((R399*Q399)*Settings!$B$12)+(S399*Settings!$B$2)+(T399*Settings!$B$3)+(U399*Settings!$B$4)+(V399*Settings!$B$5)+(X399*Settings!$B$9)+(AA399*Settings!$B$6)+(W399*Settings!$B$8)+(AB399*Settings!$B$7)+(AC399*Settings!$B$14)+(AD399*Settings!$B$15)+(AE399*Settings!$B$16)+(AF399*Settings!$B$17)+(AG399*Settings!$B$18)+(U399*Settings!$B$13)+(Y399*Settings!$B$10)+(Z399*Settings!$B$11),VLOOKUP(B399,'Standard Deviations'!A1:C728,3,FALSE))</f>
        <v>125.25920843967342</v>
      </c>
      <c r="J399" s="38">
        <f>IF(D399="G",I399/AJ399,I399/Q399)</f>
        <v>1.665016727896762</v>
      </c>
      <c r="K399" s="37">
        <f>VLOOKUP(B399,D!A1:F227,6,FALSE)</f>
        <v>-186.30627318825404</v>
      </c>
      <c r="L399" s="37">
        <f>IFERROR(K399/H399,"N/A")</f>
        <v>-62.102091062751349</v>
      </c>
      <c r="M399" s="53" t="str">
        <f>IF(Settings!$E$9="YAHOO",VLOOKUP(B399,ADP!A1:E728,2,FALSE),IF(Settings!$E$9="ESPN",VLOOKUP(B399,ADP!A1:E728,3,FALSE),IF(Settings!$E$9="FANTRAX",VLOOKUP(B399,ADP!A1:E728,4,FALSE),VLOOKUP(B399,ADP!A1:E728,5,FALSE))))</f>
        <v>-</v>
      </c>
      <c r="N399" s="53" t="str">
        <f>IFERROR(M399-A399,"N/A")</f>
        <v>N/A</v>
      </c>
      <c r="O399" s="39"/>
      <c r="P399" s="40" t="str">
        <f>IF(Settings!$E$27="ON",VLOOKUP(B399,ADP!A1:H728,8,FALSE)," ")</f>
        <v xml:space="preserve"> </v>
      </c>
      <c r="Q399" s="41">
        <f>IF(Settings!$E$12="YES",VLOOKUP(B399,'Player Data'!A1:E734,5,FALSE),82)</f>
        <v>75.23</v>
      </c>
      <c r="R399" s="39">
        <f>VLOOKUP(B399,'Player Data'!$A1:$AE734,6,FALSE)</f>
        <v>18.951672197110899</v>
      </c>
      <c r="S399" s="41">
        <f>VLOOKUP(B399,'Player Data'!$A1:$AE734,7,FALSE)*$Q399*IFERROR((VLOOKUP(P399,Settings!$E$28:$F$33,2,FALSE)+1),1)</f>
        <v>2.6613986567061576</v>
      </c>
      <c r="T399" s="41">
        <f>VLOOKUP(B399,'Player Data'!$A1:$AE734,8,FALSE)*$Q399*IFERROR((VLOOKUP(P399,Settings!$E$28:$F$33,2,FALSE)+1),1)</f>
        <v>16.977670017934521</v>
      </c>
      <c r="U399" s="41">
        <f>SUM(S399:T399)</f>
        <v>19.639068674640679</v>
      </c>
      <c r="V399" s="41">
        <f>VLOOKUP(B399,'Player Data'!$A1:$AE734,10,FALSE)*$Q399*IFERROR(((VLOOKUP(P399,Settings!$E$28:$F$33,2,FALSE)/2)+1),1)</f>
        <v>84.055420498579622</v>
      </c>
      <c r="W399" s="41">
        <f>VLOOKUP(B399,'Player Data'!$A1:$AE734,11,FALSE)*$Q399*IFERROR((VLOOKUP(P399,Settings!$E$28:$F$33,2,FALSE)+1),1)</f>
        <v>1.3757723509237256E-2</v>
      </c>
      <c r="X399" s="41">
        <f>VLOOKUP(B399,'Player Data'!$A1:$AE734,12,FALSE)*$Q399*IFERROR((VLOOKUP(P399,Settings!$E$28:$F$33,2,FALSE)+1),1)</f>
        <v>9.1806383754209034E-2</v>
      </c>
      <c r="Y399" s="41">
        <f>VLOOKUP(B399,'Player Data'!$A1:$AE734,13,FALSE)*$Q399</f>
        <v>2.570986475643534E-2</v>
      </c>
      <c r="Z399" s="41">
        <f>VLOOKUP(B399,'Player Data'!$A1:$AE734,14,FALSE)*$Q399</f>
        <v>0.63635895313163704</v>
      </c>
      <c r="AA399" s="41">
        <f>VLOOKUP(B399,'Player Data'!$A1:$AE734,15,FALSE)*$Q399</f>
        <v>114.28980746344943</v>
      </c>
      <c r="AB399" s="41">
        <f>VLOOKUP(B399,'Player Data'!$A1:$AE734,16,FALSE)*$Q399</f>
        <v>99.864706002488319</v>
      </c>
      <c r="AC399" s="41">
        <f>VLOOKUP(B399,'Player Data'!$A1:$AE734,17,FALSE)*$Q399*IFERROR((VLOOKUP(P399,Settings!$E$28:$F$33,2,FALSE)+1),1)</f>
        <v>6.6767908766991582</v>
      </c>
      <c r="AD399" s="41">
        <f>VLOOKUP(B399,'Player Data'!$A1:$AE734,18,FALSE)*$Q399</f>
        <v>46.87440710218204</v>
      </c>
      <c r="AE399" s="41">
        <f>VLOOKUP(B399,'Player Data'!$A1:$AE734,19,FALSE)*$Q399*IFERROR((VLOOKUP(P399,Settings!$E$28:$F$33,2,FALSE)+1),1)</f>
        <v>0.45349736127748635</v>
      </c>
      <c r="AF399" s="41">
        <f>VLOOKUP(B399,'Player Data'!$A1:$AE734,20,FALSE)*$Q399</f>
        <v>0</v>
      </c>
      <c r="AG399" s="41">
        <f>VLOOKUP(B399,'Player Data'!$A1:$AE734,21,FALSE)*$Q399</f>
        <v>0</v>
      </c>
      <c r="AH399" s="42">
        <f>VLOOKUP(B399,'Player Data'!$A1:$AE734,22,FALSE)</f>
        <v>0</v>
      </c>
      <c r="AI399" s="39"/>
      <c r="AJ399" s="41"/>
      <c r="AK399" s="41"/>
      <c r="AL399" s="41"/>
      <c r="AM399" s="41"/>
      <c r="AN399" s="41"/>
      <c r="AO399" s="41"/>
      <c r="AP399" s="41"/>
      <c r="AQ399" s="44"/>
      <c r="AR399" s="45"/>
      <c r="AS399" s="39"/>
    </row>
    <row r="400" spans="1:45" ht="21.25" customHeight="1" x14ac:dyDescent="0.15">
      <c r="A400" s="31">
        <f>RANK(K400,K$2:K$727)</f>
        <v>399</v>
      </c>
      <c r="B400" s="8" t="s">
        <v>504</v>
      </c>
      <c r="C400" s="32" t="s">
        <v>106</v>
      </c>
      <c r="D400" s="33" t="str">
        <f>VLOOKUP(B400,'Player Data'!A1:D734,4,FALSE)</f>
        <v>D</v>
      </c>
      <c r="E400" s="49">
        <f>VLOOKUP(B400,D!A1:C227,3,FALSE)</f>
        <v>135</v>
      </c>
      <c r="F400" s="35" t="str">
        <f>VLOOKUP(B400,'Player Data'!A1:B734,2,FALSE)</f>
        <v>VGK</v>
      </c>
      <c r="G400" s="9">
        <f>VLOOKUP(B400,'Player Data'!A1:D734,3,FALSE)</f>
        <v>26</v>
      </c>
      <c r="H400" s="36">
        <f>IFERROR(VLOOKUP(B400,ADP!A1:G728,7,FALSE)/1000000,VLOOKUP(B400,ADP!A1:G728,7,FALSE))</f>
        <v>2.75</v>
      </c>
      <c r="I400" s="37">
        <f>IF(Settings!$E$15="POINTS",((R400*Q400)*Settings!$B$12)+(S400*Settings!$B$2)+(T400*Settings!$B$3)+(U400*Settings!$B$4)+(V400*Settings!$B$5)+(X400*Settings!$B$9)+(AA400*Settings!$B$6)+(W400*Settings!$B$8)+(AB400*Settings!$B$7)+(AC400*Settings!$B$14)+(AD400*Settings!$B$15)+(AE400*Settings!$B$16)+(AF400*Settings!$B$17)+(AG400*Settings!$B$18)+(U400*Settings!$B$13)+(Y400*Settings!$B$10)+(Z400*Settings!$B$11),VLOOKUP(B400,'Standard Deviations'!A1:C728,3,FALSE))</f>
        <v>124.79449296723556</v>
      </c>
      <c r="J400" s="38">
        <f>IF(D400="G",I400/AJ400,I400/Q400)</f>
        <v>1.6852083468770362</v>
      </c>
      <c r="K400" s="37">
        <f>VLOOKUP(B400,D!A1:F227,6,FALSE)</f>
        <v>-186.7709886606919</v>
      </c>
      <c r="L400" s="37">
        <f>IFERROR(K400/H400,"N/A")</f>
        <v>-67.916723149342502</v>
      </c>
      <c r="M400" s="53" t="str">
        <f>IF(Settings!$E$9="YAHOO",VLOOKUP(B400,ADP!A1:E728,2,FALSE),IF(Settings!$E$9="ESPN",VLOOKUP(B400,ADP!A1:E728,3,FALSE),IF(Settings!$E$9="FANTRAX",VLOOKUP(B400,ADP!A1:E728,4,FALSE),VLOOKUP(B400,ADP!A1:E728,5,FALSE))))</f>
        <v>-</v>
      </c>
      <c r="N400" s="53" t="str">
        <f>IFERROR(M400-A400,"N/A")</f>
        <v>N/A</v>
      </c>
      <c r="O400" s="39"/>
      <c r="P400" s="40" t="str">
        <f>IF(Settings!$E$27="ON",VLOOKUP(B400,ADP!A1:H728,8,FALSE)," ")</f>
        <v xml:space="preserve"> </v>
      </c>
      <c r="Q400" s="41">
        <f>IF(Settings!$E$12="YES",VLOOKUP(B400,'Player Data'!A1:E734,5,FALSE),82)</f>
        <v>74.052857142857107</v>
      </c>
      <c r="R400" s="39">
        <f>VLOOKUP(B400,'Player Data'!$A1:$AE734,6,FALSE)</f>
        <v>17.367332460815401</v>
      </c>
      <c r="S400" s="41">
        <f>VLOOKUP(B400,'Player Data'!$A1:$AE734,7,FALSE)*$Q400*IFERROR((VLOOKUP(P400,Settings!$E$28:$F$33,2,FALSE)+1),1)</f>
        <v>6.1061751944373999</v>
      </c>
      <c r="T400" s="41">
        <f>VLOOKUP(B400,'Player Data'!$A1:$AE734,8,FALSE)*$Q400*IFERROR((VLOOKUP(P400,Settings!$E$28:$F$33,2,FALSE)+1),1)</f>
        <v>12.516202118118452</v>
      </c>
      <c r="U400" s="41">
        <f>SUM(S400:T400)</f>
        <v>18.622377312555852</v>
      </c>
      <c r="V400" s="41">
        <f>VLOOKUP(B400,'Player Data'!$A1:$AE734,10,FALSE)*$Q400*IFERROR(((VLOOKUP(P400,Settings!$E$28:$F$33,2,FALSE)/2)+1),1)</f>
        <v>88.364776957575984</v>
      </c>
      <c r="W400" s="41">
        <f>VLOOKUP(B400,'Player Data'!$A1:$AE734,11,FALSE)*$Q400*IFERROR((VLOOKUP(P400,Settings!$E$28:$F$33,2,FALSE)+1),1)</f>
        <v>7.5816800609747638E-3</v>
      </c>
      <c r="X400" s="41">
        <f>VLOOKUP(B400,'Player Data'!$A1:$AE734,12,FALSE)*$Q400*IFERROR((VLOOKUP(P400,Settings!$E$28:$F$33,2,FALSE)+1),1)</f>
        <v>5.1885365131070983E-2</v>
      </c>
      <c r="Y400" s="41">
        <f>VLOOKUP(B400,'Player Data'!$A1:$AE734,13,FALSE)*$Q400</f>
        <v>0.33155782531535444</v>
      </c>
      <c r="Z400" s="41">
        <f>VLOOKUP(B400,'Player Data'!$A1:$AE734,14,FALSE)*$Q400</f>
        <v>0.43592774746981666</v>
      </c>
      <c r="AA400" s="41">
        <f>VLOOKUP(B400,'Player Data'!$A1:$AE734,15,FALSE)*$Q400</f>
        <v>118.84673162789113</v>
      </c>
      <c r="AB400" s="41">
        <f>VLOOKUP(B400,'Player Data'!$A1:$AE734,16,FALSE)*$Q400</f>
        <v>111.13717330768851</v>
      </c>
      <c r="AC400" s="41">
        <f>VLOOKUP(B400,'Player Data'!$A1:$AE734,17,FALSE)*$Q400*IFERROR((VLOOKUP(P400,Settings!$E$28:$F$33,2,FALSE)+1),1)</f>
        <v>4.7416622145034824</v>
      </c>
      <c r="AD400" s="41">
        <f>VLOOKUP(B400,'Player Data'!$A1:$AE734,18,FALSE)*$Q400</f>
        <v>32.637787397771397</v>
      </c>
      <c r="AE400" s="41">
        <f>VLOOKUP(B400,'Player Data'!$A1:$AE734,19,FALSE)*$Q400*IFERROR((VLOOKUP(P400,Settings!$E$28:$F$33,2,FALSE)+1),1)</f>
        <v>0.99791563228303737</v>
      </c>
      <c r="AF400" s="41">
        <f>VLOOKUP(B400,'Player Data'!$A1:$AE734,20,FALSE)*$Q400</f>
        <v>0</v>
      </c>
      <c r="AG400" s="41">
        <f>VLOOKUP(B400,'Player Data'!$A1:$AE734,21,FALSE)*$Q400</f>
        <v>0</v>
      </c>
      <c r="AH400" s="42">
        <f>VLOOKUP(B400,'Player Data'!$A1:$AE734,22,FALSE)</f>
        <v>0</v>
      </c>
      <c r="AI400" s="39"/>
      <c r="AJ400" s="43"/>
      <c r="AK400" s="41"/>
      <c r="AL400" s="41"/>
      <c r="AM400" s="41"/>
      <c r="AN400" s="41"/>
      <c r="AO400" s="41"/>
      <c r="AP400" s="41"/>
      <c r="AQ400" s="44"/>
      <c r="AR400" s="45"/>
      <c r="AS400" s="39"/>
    </row>
    <row r="401" spans="1:45" ht="21.25" customHeight="1" x14ac:dyDescent="0.15">
      <c r="A401" s="31">
        <f>RANK(K401,K$2:K$727)</f>
        <v>400</v>
      </c>
      <c r="B401" s="8" t="s">
        <v>505</v>
      </c>
      <c r="C401" s="32" t="s">
        <v>106</v>
      </c>
      <c r="D401" s="33" t="str">
        <f>VLOOKUP(B401,'Player Data'!A1:D734,4,FALSE)</f>
        <v>C</v>
      </c>
      <c r="E401" s="34">
        <f>VLOOKUP(B401,'C'!A1:C211,3,FALSE)</f>
        <v>97</v>
      </c>
      <c r="F401" s="35" t="str">
        <f>VLOOKUP(B401,'Player Data'!A1:B734,2,FALSE)</f>
        <v>CGY</v>
      </c>
      <c r="G401" s="9">
        <f>VLOOKUP(B401,'Player Data'!A1:D734,3,FALSE)</f>
        <v>31</v>
      </c>
      <c r="H401" s="36">
        <f>IFERROR(VLOOKUP(B401,ADP!A1:G728,7,FALSE)/1000000,VLOOKUP(B401,ADP!A1:G728,7,FALSE))</f>
        <v>4.9000000000000004</v>
      </c>
      <c r="I401" s="37">
        <f>IF(Settings!$E$15="POINTS",((R401*Q401)*Settings!$B$12)+(S401*Settings!$B$2)+(T401*Settings!$B$3)+(U401*Settings!$B$4)+(V401*Settings!$B$5)+(X401*Settings!$B$9)+(AA401*Settings!$B$6)+(W401*Settings!$B$8)+(AB401*Settings!$B$7)+(AC401*Settings!$B$14)+(AD401*Settings!$B$15)+(AE401*Settings!$B$16)+(AF401*Settings!$B$17)+(AG401*Settings!$B$18)+(Y401*Settings!$B$10)+(Z401*Settings!$B$11),VLOOKUP(B401,'Standard Deviations'!A1:C728,3,FALSE))</f>
        <v>206.50968825916505</v>
      </c>
      <c r="J401" s="38">
        <f>IF(D401="G",I401/AJ401,I401/Q401)</f>
        <v>2.5262337950957114</v>
      </c>
      <c r="K401" s="37">
        <f>IF(Settings!$E$18="C/LW/RW",VLOOKUP(B401,'C'!A1:F211,6,FALSE),VLOOKUP(B401,F!A1:F430,6,FALSE))</f>
        <v>-186.81911750704461</v>
      </c>
      <c r="L401" s="37">
        <f>IFERROR(K401/H401,"N/A")</f>
        <v>-38.126350511641753</v>
      </c>
      <c r="M401" s="53" t="str">
        <f>IF(Settings!$E$9="YAHOO",VLOOKUP(B401,ADP!A1:E728,2,FALSE),IF(Settings!$E$9="ESPN",VLOOKUP(B401,ADP!A1:E728,3,FALSE),IF(Settings!$E$9="FANTRAX",VLOOKUP(B401,ADP!A1:E728,4,FALSE),VLOOKUP(B401,ADP!A1:E728,5,FALSE))))</f>
        <v>-</v>
      </c>
      <c r="N401" s="53" t="str">
        <f>IFERROR(M401-A401,"N/A")</f>
        <v>N/A</v>
      </c>
      <c r="O401" s="39"/>
      <c r="P401" s="40" t="str">
        <f>IF(Settings!$E$27="ON",VLOOKUP(B401,ADP!A1:H728,8,FALSE)," ")</f>
        <v xml:space="preserve"> </v>
      </c>
      <c r="Q401" s="41">
        <f>IF(Settings!$E$12="YES",VLOOKUP(B401,'Player Data'!A1:E734,5,FALSE),82)</f>
        <v>81.746071428571398</v>
      </c>
      <c r="R401" s="39">
        <f>VLOOKUP(B401,'Player Data'!$A1:$AE734,6,FALSE)</f>
        <v>14.708450076719499</v>
      </c>
      <c r="S401" s="41">
        <f>VLOOKUP(B401,'Player Data'!$A1:$AE734,7,FALSE)*$Q401*IFERROR((VLOOKUP(P401,Settings!$E$28:$F$33,2,FALSE)+1),1)</f>
        <v>15.809771090544277</v>
      </c>
      <c r="T401" s="41">
        <f>VLOOKUP(B401,'Player Data'!$A1:$AE734,8,FALSE)*$Q401*IFERROR((VLOOKUP(P401,Settings!$E$28:$F$33,2,FALSE)+1),1)</f>
        <v>18.778280790054129</v>
      </c>
      <c r="U401" s="41">
        <f>SUM(S401:T401)</f>
        <v>34.588051880598407</v>
      </c>
      <c r="V401" s="41">
        <f>VLOOKUP(B401,'Player Data'!$A1:$AE734,10,FALSE)*$Q401*IFERROR(((VLOOKUP(P401,Settings!$E$28:$F$33,2,FALSE)/2)+1),1)</f>
        <v>183.37379847297814</v>
      </c>
      <c r="W401" s="41">
        <f>VLOOKUP(B401,'Player Data'!$A1:$AE734,11,FALSE)*$Q401*IFERROR((VLOOKUP(P401,Settings!$E$28:$F$33,2,FALSE)+1),1)</f>
        <v>5.8697387889697597E-2</v>
      </c>
      <c r="X401" s="41">
        <f>VLOOKUP(B401,'Player Data'!$A1:$AE734,12,FALSE)*$Q401*IFERROR((VLOOKUP(P401,Settings!$E$28:$F$33,2,FALSE)+1),1)</f>
        <v>0.12607197949843926</v>
      </c>
      <c r="Y401" s="41">
        <f>VLOOKUP(B401,'Player Data'!$A1:$AE734,13,FALSE)*$Q401</f>
        <v>1.1182198877239029</v>
      </c>
      <c r="Z401" s="41">
        <f>VLOOKUP(B401,'Player Data'!$A1:$AE734,14,FALSE)*$Q401</f>
        <v>1.4398100331107295</v>
      </c>
      <c r="AA401" s="41">
        <f>VLOOKUP(B401,'Player Data'!$A1:$AE734,15,FALSE)*$Q401</f>
        <v>39.634346778312029</v>
      </c>
      <c r="AB401" s="41">
        <f>VLOOKUP(B401,'Player Data'!$A1:$AE734,16,FALSE)*$Q401</f>
        <v>119.37082191998053</v>
      </c>
      <c r="AC401" s="41">
        <f>VLOOKUP(B401,'Player Data'!$A1:$AE734,17,FALSE)*$Q401*IFERROR((VLOOKUP(P401,Settings!$E$28:$F$33,2,FALSE)+1),1)</f>
        <v>3.6385929026591723</v>
      </c>
      <c r="AD401" s="41">
        <f>VLOOKUP(B401,'Player Data'!$A1:$AE734,18,FALSE)*$Q401</f>
        <v>50.48820778797873</v>
      </c>
      <c r="AE401" s="41">
        <f>VLOOKUP(B401,'Player Data'!$A1:$AE734,19,FALSE)*$Q401*IFERROR((VLOOKUP(P401,Settings!$E$28:$F$33,2,FALSE)+1),1)</f>
        <v>2.641785083089081</v>
      </c>
      <c r="AF401" s="41">
        <f>VLOOKUP(B401,'Player Data'!$A1:$AE734,20,FALSE)*$Q401</f>
        <v>10.157424258578882</v>
      </c>
      <c r="AG401" s="41">
        <f>VLOOKUP(B401,'Player Data'!$A1:$AE734,21,FALSE)*$Q401</f>
        <v>24.250121333455759</v>
      </c>
      <c r="AH401" s="42">
        <f>VLOOKUP(B401,'Player Data'!$A1:$AE734,22,FALSE)</f>
        <v>0.29520920727720501</v>
      </c>
      <c r="AI401" s="39"/>
      <c r="AJ401" s="43"/>
      <c r="AK401" s="41"/>
      <c r="AL401" s="41"/>
      <c r="AM401" s="41"/>
      <c r="AN401" s="41"/>
      <c r="AO401" s="41"/>
      <c r="AP401" s="41"/>
      <c r="AQ401" s="44"/>
      <c r="AR401" s="45"/>
      <c r="AS401" s="39"/>
    </row>
    <row r="402" spans="1:45" ht="21.25" customHeight="1" x14ac:dyDescent="0.15">
      <c r="A402" s="31">
        <f>RANK(K402,K$2:K$727)</f>
        <v>401</v>
      </c>
      <c r="B402" s="8" t="s">
        <v>506</v>
      </c>
      <c r="C402" s="32" t="s">
        <v>106</v>
      </c>
      <c r="D402" s="33" t="str">
        <f>VLOOKUP(B402,'Player Data'!A1:D734,4,FALSE)</f>
        <v>D</v>
      </c>
      <c r="E402" s="49">
        <f>VLOOKUP(B402,D!A1:C227,3,FALSE)</f>
        <v>136</v>
      </c>
      <c r="F402" s="35" t="str">
        <f>VLOOKUP(B402,'Player Data'!A1:B734,2,FALSE)</f>
        <v>WPG</v>
      </c>
      <c r="G402" s="9">
        <f>VLOOKUP(B402,'Player Data'!A1:D734,3,FALSE)</f>
        <v>32</v>
      </c>
      <c r="H402" s="36">
        <f>IFERROR(VLOOKUP(B402,ADP!A1:G728,7,FALSE)/1000000,VLOOKUP(B402,ADP!A1:G728,7,FALSE))</f>
        <v>3.9</v>
      </c>
      <c r="I402" s="37">
        <f>IF(Settings!$E$15="POINTS",((R402*Q402)*Settings!$B$12)+(S402*Settings!$B$2)+(T402*Settings!$B$3)+(U402*Settings!$B$4)+(V402*Settings!$B$5)+(X402*Settings!$B$9)+(AA402*Settings!$B$6)+(W402*Settings!$B$8)+(AB402*Settings!$B$7)+(AC402*Settings!$B$14)+(AD402*Settings!$B$15)+(AE402*Settings!$B$16)+(AF402*Settings!$B$17)+(AG402*Settings!$B$18)+(U402*Settings!$B$13)+(Y402*Settings!$B$10)+(Z402*Settings!$B$11),VLOOKUP(B402,'Standard Deviations'!A1:C728,3,FALSE))</f>
        <v>124.71383568435557</v>
      </c>
      <c r="J402" s="38">
        <f>IF(D402="G",I402/AJ402,I402/Q402)</f>
        <v>1.5280281273544958</v>
      </c>
      <c r="K402" s="37">
        <f>VLOOKUP(B402,D!A1:F227,6,FALSE)</f>
        <v>-186.8516459435719</v>
      </c>
      <c r="L402" s="37">
        <f>IFERROR(K402/H402,"N/A")</f>
        <v>-47.910678447069721</v>
      </c>
      <c r="M402" s="53" t="str">
        <f>IF(Settings!$E$9="YAHOO",VLOOKUP(B402,ADP!A1:E728,2,FALSE),IF(Settings!$E$9="ESPN",VLOOKUP(B402,ADP!A1:E728,3,FALSE),IF(Settings!$E$9="FANTRAX",VLOOKUP(B402,ADP!A1:E728,4,FALSE),VLOOKUP(B402,ADP!A1:E728,5,FALSE))))</f>
        <v>-</v>
      </c>
      <c r="N402" s="53" t="str">
        <f>IFERROR(M402-A402,"N/A")</f>
        <v>N/A</v>
      </c>
      <c r="O402" s="39"/>
      <c r="P402" s="40" t="str">
        <f>IF(Settings!$E$27="ON",VLOOKUP(B402,ADP!A1:H728,8,FALSE)," ")</f>
        <v xml:space="preserve"> </v>
      </c>
      <c r="Q402" s="41">
        <f>IF(Settings!$E$12="YES",VLOOKUP(B402,'Player Data'!A1:E734,5,FALSE),82)</f>
        <v>81.617500000000007</v>
      </c>
      <c r="R402" s="39">
        <f>VLOOKUP(B402,'Player Data'!$A1:$AE734,6,FALSE)</f>
        <v>18.554670965402401</v>
      </c>
      <c r="S402" s="41">
        <f>VLOOKUP(B402,'Player Data'!$A1:$AE734,7,FALSE)*$Q402*IFERROR((VLOOKUP(P402,Settings!$E$28:$F$33,2,FALSE)+1),1)</f>
        <v>2.336373006853651</v>
      </c>
      <c r="T402" s="41">
        <f>VLOOKUP(B402,'Player Data'!$A1:$AE734,8,FALSE)*$Q402*IFERROR((VLOOKUP(P402,Settings!$E$28:$F$33,2,FALSE)+1),1)</f>
        <v>17.920494920231985</v>
      </c>
      <c r="U402" s="41">
        <f>SUM(S402:T402)</f>
        <v>20.256867927085636</v>
      </c>
      <c r="V402" s="41">
        <f>VLOOKUP(B402,'Player Data'!$A1:$AE734,10,FALSE)*$Q402*IFERROR(((VLOOKUP(P402,Settings!$E$28:$F$33,2,FALSE)/2)+1),1)</f>
        <v>80.627886935317804</v>
      </c>
      <c r="W402" s="41">
        <f>VLOOKUP(B402,'Player Data'!$A1:$AE734,11,FALSE)*$Q402*IFERROR((VLOOKUP(P402,Settings!$E$28:$F$33,2,FALSE)+1),1)</f>
        <v>1.9628139905082588E-2</v>
      </c>
      <c r="X402" s="41">
        <f>VLOOKUP(B402,'Player Data'!$A1:$AE734,12,FALSE)*$Q402*IFERROR((VLOOKUP(P402,Settings!$E$28:$F$33,2,FALSE)+1),1)</f>
        <v>0.18674050413619306</v>
      </c>
      <c r="Y402" s="41">
        <f>VLOOKUP(B402,'Player Data'!$A1:$AE734,13,FALSE)*$Q402</f>
        <v>2.2144781051192781E-2</v>
      </c>
      <c r="Z402" s="41">
        <f>VLOOKUP(B402,'Player Data'!$A1:$AE734,14,FALSE)*$Q402</f>
        <v>0.7961869122384313</v>
      </c>
      <c r="AA402" s="41">
        <f>VLOOKUP(B402,'Player Data'!$A1:$AE734,15,FALSE)*$Q402</f>
        <v>108.31716801345253</v>
      </c>
      <c r="AB402" s="41">
        <f>VLOOKUP(B402,'Player Data'!$A1:$AE734,16,FALSE)*$Q402</f>
        <v>178.88353711039136</v>
      </c>
      <c r="AC402" s="41">
        <f>VLOOKUP(B402,'Player Data'!$A1:$AE734,17,FALSE)*$Q402*IFERROR((VLOOKUP(P402,Settings!$E$28:$F$33,2,FALSE)+1),1)</f>
        <v>1.27784950933001</v>
      </c>
      <c r="AD402" s="41">
        <f>VLOOKUP(B402,'Player Data'!$A1:$AE734,18,FALSE)*$Q402</f>
        <v>62.233345635575404</v>
      </c>
      <c r="AE402" s="41">
        <f>VLOOKUP(B402,'Player Data'!$A1:$AE734,19,FALSE)*$Q402*IFERROR((VLOOKUP(P402,Settings!$E$28:$F$33,2,FALSE)+1),1)</f>
        <v>0.36448200933488772</v>
      </c>
      <c r="AF402" s="41">
        <f>VLOOKUP(B402,'Player Data'!$A1:$AE734,20,FALSE)*$Q402</f>
        <v>0</v>
      </c>
      <c r="AG402" s="41">
        <f>VLOOKUP(B402,'Player Data'!$A1:$AE734,21,FALSE)*$Q402</f>
        <v>0</v>
      </c>
      <c r="AH402" s="42">
        <f>VLOOKUP(B402,'Player Data'!$A1:$AE734,22,FALSE)</f>
        <v>0</v>
      </c>
      <c r="AI402" s="39"/>
      <c r="AJ402" s="43"/>
      <c r="AK402" s="41"/>
      <c r="AL402" s="41"/>
      <c r="AM402" s="41"/>
      <c r="AN402" s="41"/>
      <c r="AO402" s="41"/>
      <c r="AP402" s="41"/>
      <c r="AQ402" s="44"/>
      <c r="AR402" s="45"/>
      <c r="AS402" s="39"/>
    </row>
    <row r="403" spans="1:45" ht="21.25" customHeight="1" x14ac:dyDescent="0.15">
      <c r="A403" s="31">
        <f>RANK(K403,K$2:K$727)</f>
        <v>402</v>
      </c>
      <c r="B403" s="8" t="s">
        <v>507</v>
      </c>
      <c r="C403" s="32" t="s">
        <v>106</v>
      </c>
      <c r="D403" s="33" t="str">
        <f>VLOOKUP(B403,'Player Data'!A1:D734,4,FALSE)</f>
        <v>D</v>
      </c>
      <c r="E403" s="49">
        <f>VLOOKUP(B403,D!A1:C227,3,FALSE)</f>
        <v>137</v>
      </c>
      <c r="F403" s="35" t="str">
        <f>VLOOKUP(B403,'Player Data'!A1:B734,2,FALSE)</f>
        <v>OTT</v>
      </c>
      <c r="G403" s="9">
        <f>VLOOKUP(B403,'Player Data'!A1:D734,3,FALSE)</f>
        <v>23</v>
      </c>
      <c r="H403" s="36">
        <f>IFERROR(VLOOKUP(B403,ADP!A1:G728,7,FALSE)/1000000,VLOOKUP(B403,ADP!A1:G728,7,FALSE))</f>
        <v>2</v>
      </c>
      <c r="I403" s="37">
        <f>IF(Settings!$E$15="POINTS",((R403*Q403)*Settings!$B$12)+(S403*Settings!$B$2)+(T403*Settings!$B$3)+(U403*Settings!$B$4)+(V403*Settings!$B$5)+(X403*Settings!$B$9)+(AA403*Settings!$B$6)+(W403*Settings!$B$8)+(AB403*Settings!$B$7)+(AC403*Settings!$B$14)+(AD403*Settings!$B$15)+(AE403*Settings!$B$16)+(AF403*Settings!$B$17)+(AG403*Settings!$B$18)+(U403*Settings!$B$13)+(Y403*Settings!$B$10)+(Z403*Settings!$B$11),VLOOKUP(B403,'Standard Deviations'!A1:C728,3,FALSE))</f>
        <v>124.70067615945669</v>
      </c>
      <c r="J403" s="38">
        <f>IF(D403="G",I403/AJ403,I403/Q403)</f>
        <v>1.71256011166443</v>
      </c>
      <c r="K403" s="37">
        <f>VLOOKUP(B403,D!A1:F227,6,FALSE)</f>
        <v>-186.86480546847076</v>
      </c>
      <c r="L403" s="37">
        <f>IFERROR(K403/H403,"N/A")</f>
        <v>-93.432402734235382</v>
      </c>
      <c r="M403" s="53" t="str">
        <f>IF(Settings!$E$9="YAHOO",VLOOKUP(B403,ADP!A1:E728,2,FALSE),IF(Settings!$E$9="ESPN",VLOOKUP(B403,ADP!A1:E728,3,FALSE),IF(Settings!$E$9="FANTRAX",VLOOKUP(B403,ADP!A1:E728,4,FALSE),VLOOKUP(B403,ADP!A1:E728,5,FALSE))))</f>
        <v>-</v>
      </c>
      <c r="N403" s="53" t="str">
        <f>IFERROR(M403-A403,"N/A")</f>
        <v>N/A</v>
      </c>
      <c r="O403" s="39"/>
      <c r="P403" s="40" t="str">
        <f>IF(Settings!$E$27="ON",VLOOKUP(B403,ADP!A1:H728,8,FALSE)," ")</f>
        <v xml:space="preserve"> </v>
      </c>
      <c r="Q403" s="41">
        <f>IF(Settings!$E$12="YES",VLOOKUP(B403,'Player Data'!A1:E734,5,FALSE),82)</f>
        <v>72.815357142857096</v>
      </c>
      <c r="R403" s="39">
        <f>VLOOKUP(B403,'Player Data'!$A1:$AE734,6,FALSE)</f>
        <v>17.526048239679302</v>
      </c>
      <c r="S403" s="41">
        <f>VLOOKUP(B403,'Player Data'!$A1:$AE734,7,FALSE)*$Q403*IFERROR((VLOOKUP(P403,Settings!$E$28:$F$33,2,FALSE)+1),1)</f>
        <v>2.3468363006878947</v>
      </c>
      <c r="T403" s="41">
        <f>VLOOKUP(B403,'Player Data'!$A1:$AE734,8,FALSE)*$Q403*IFERROR((VLOOKUP(P403,Settings!$E$28:$F$33,2,FALSE)+1),1)</f>
        <v>16.857668608545655</v>
      </c>
      <c r="U403" s="41">
        <f>SUM(S403:T403)</f>
        <v>19.204504909233549</v>
      </c>
      <c r="V403" s="41">
        <f>VLOOKUP(B403,'Player Data'!$A1:$AE734,10,FALSE)*$Q403*IFERROR(((VLOOKUP(P403,Settings!$E$28:$F$33,2,FALSE)/2)+1),1)</f>
        <v>89.533705496269903</v>
      </c>
      <c r="W403" s="41">
        <f>VLOOKUP(B403,'Player Data'!$A1:$AE734,11,FALSE)*$Q403*IFERROR((VLOOKUP(P403,Settings!$E$28:$F$33,2,FALSE)+1),1)</f>
        <v>0.10484244580409159</v>
      </c>
      <c r="X403" s="41">
        <f>VLOOKUP(B403,'Player Data'!$A1:$AE734,12,FALSE)*$Q403*IFERROR((VLOOKUP(P403,Settings!$E$28:$F$33,2,FALSE)+1),1)</f>
        <v>1.0843132865760552</v>
      </c>
      <c r="Y403" s="41">
        <f>VLOOKUP(B403,'Player Data'!$A1:$AE734,13,FALSE)*$Q403</f>
        <v>3.4589392802409129E-2</v>
      </c>
      <c r="Z403" s="41">
        <f>VLOOKUP(B403,'Player Data'!$A1:$AE734,14,FALSE)*$Q403</f>
        <v>0.12325260209504905</v>
      </c>
      <c r="AA403" s="41">
        <f>VLOOKUP(B403,'Player Data'!$A1:$AE734,15,FALSE)*$Q403</f>
        <v>99.525884531394325</v>
      </c>
      <c r="AB403" s="41">
        <f>VLOOKUP(B403,'Player Data'!$A1:$AE734,16,FALSE)*$Q403</f>
        <v>65.56819603196243</v>
      </c>
      <c r="AC403" s="41">
        <f>VLOOKUP(B403,'Player Data'!$A1:$AE734,17,FALSE)*$Q403*IFERROR((VLOOKUP(P403,Settings!$E$28:$F$33,2,FALSE)+1),1)</f>
        <v>1.3889383827613853</v>
      </c>
      <c r="AD403" s="41">
        <f>VLOOKUP(B403,'Player Data'!$A1:$AE734,18,FALSE)*$Q403</f>
        <v>40.363683074344863</v>
      </c>
      <c r="AE403" s="41">
        <f>VLOOKUP(B403,'Player Data'!$A1:$AE734,19,FALSE)*$Q403*IFERROR((VLOOKUP(P403,Settings!$E$28:$F$33,2,FALSE)+1),1)</f>
        <v>0.32597776735740902</v>
      </c>
      <c r="AF403" s="41">
        <f>VLOOKUP(B403,'Player Data'!$A1:$AE734,20,FALSE)*$Q403</f>
        <v>0</v>
      </c>
      <c r="AG403" s="41">
        <f>VLOOKUP(B403,'Player Data'!$A1:$AE734,21,FALSE)*$Q403</f>
        <v>0</v>
      </c>
      <c r="AH403" s="42">
        <f>VLOOKUP(B403,'Player Data'!$A1:$AE734,22,FALSE)</f>
        <v>0</v>
      </c>
      <c r="AI403" s="39"/>
      <c r="AJ403" s="43"/>
      <c r="AK403" s="41"/>
      <c r="AL403" s="41"/>
      <c r="AM403" s="41"/>
      <c r="AN403" s="41"/>
      <c r="AO403" s="41"/>
      <c r="AP403" s="41"/>
      <c r="AQ403" s="44"/>
      <c r="AR403" s="45"/>
      <c r="AS403" s="39"/>
    </row>
    <row r="404" spans="1:45" ht="21.25" customHeight="1" x14ac:dyDescent="0.15">
      <c r="A404" s="31">
        <f>RANK(K404,K$2:K$727)</f>
        <v>403</v>
      </c>
      <c r="B404" s="8" t="s">
        <v>508</v>
      </c>
      <c r="C404" s="32" t="s">
        <v>106</v>
      </c>
      <c r="D404" s="33" t="str">
        <f>VLOOKUP(B404,'Player Data'!A1:D734,4,FALSE)</f>
        <v>LW</v>
      </c>
      <c r="E404" s="47">
        <f>VLOOKUP(B404,LW!A1:C130,3,FALSE)</f>
        <v>76</v>
      </c>
      <c r="F404" s="35" t="str">
        <f>VLOOKUP(B404,'Player Data'!A1:B734,2,FALSE)</f>
        <v>UFA</v>
      </c>
      <c r="G404" s="9">
        <f>VLOOKUP(B404,'Player Data'!A1:D734,3,FALSE)</f>
        <v>39</v>
      </c>
      <c r="H404" s="36">
        <f>IFERROR(VLOOKUP(B404,ADP!A1:G728,7,FALSE)/1000000,VLOOKUP(B404,ADP!A1:G728,7,FALSE))</f>
        <v>2.629</v>
      </c>
      <c r="I404" s="37">
        <f>IF(Settings!$E$15="POINTS",((R404*Q404)*Settings!$B$12)+(S404*Settings!$B$2)+(T404*Settings!$B$3)+(U404*Settings!$B$4)+(V404*Settings!$B$5)+(X404*Settings!$B$9)+(AA404*Settings!$B$6)+(W404*Settings!$B$8)+(AB404*Settings!$B$7)+(AC404*Settings!$B$14)+(AD404*Settings!$B$15)+(AE404*Settings!$B$16)+(AF404*Settings!$B$17)+(AG404*Settings!$B$18)+(Y404*Settings!$B$10)+(Z404*Settings!$B$11),VLOOKUP(B404,'Standard Deviations'!A1:C728,3,FALSE))</f>
        <v>177.15458636644286</v>
      </c>
      <c r="J404" s="38">
        <f>IF(D404="G",I404/AJ404,I404/Q404)</f>
        <v>2.2028868422910284</v>
      </c>
      <c r="K404" s="37">
        <f>IF(Settings!$E$18="C/LW/RW",VLOOKUP(B404,LW!A1:F130,6,FALSE),VLOOKUP(B404,F!A1:F430,6,FALSE))</f>
        <v>-186.88601849120761</v>
      </c>
      <c r="L404" s="37">
        <f>IFERROR(K404/H404,"N/A")</f>
        <v>-71.086351651277141</v>
      </c>
      <c r="M404" s="53" t="str">
        <f>IF(Settings!$E$9="YAHOO",VLOOKUP(B404,ADP!A1:E728,2,FALSE),IF(Settings!$E$9="ESPN",VLOOKUP(B404,ADP!A1:E728,3,FALSE),IF(Settings!$E$9="FANTRAX",VLOOKUP(B404,ADP!A1:E728,4,FALSE),VLOOKUP(B404,ADP!A1:E728,5,FALSE))))</f>
        <v>-</v>
      </c>
      <c r="N404" s="53" t="str">
        <f>IFERROR(M404-A404,"N/A")</f>
        <v>N/A</v>
      </c>
      <c r="O404" s="39"/>
      <c r="P404" s="40" t="str">
        <f>IF(Settings!$E$27="ON",VLOOKUP(B404,ADP!A1:H728,8,FALSE)," ")</f>
        <v xml:space="preserve"> </v>
      </c>
      <c r="Q404" s="41">
        <f>IF(Settings!$E$12="YES",VLOOKUP(B404,'Player Data'!A1:E734,5,FALSE),82)</f>
        <v>80.419285714285706</v>
      </c>
      <c r="R404" s="39">
        <f>VLOOKUP(B404,'Player Data'!$A1:$AE734,6,FALSE)</f>
        <v>13.7538688371612</v>
      </c>
      <c r="S404" s="41">
        <f>VLOOKUP(B404,'Player Data'!$A1:$AE734,7,FALSE)*$Q404*IFERROR((VLOOKUP(P404,Settings!$E$28:$F$33,2,FALSE)+1),1)</f>
        <v>14.139447063003287</v>
      </c>
      <c r="T404" s="41">
        <f>VLOOKUP(B404,'Player Data'!$A1:$AE734,8,FALSE)*$Q404*IFERROR((VLOOKUP(P404,Settings!$E$28:$F$33,2,FALSE)+1),1)</f>
        <v>13.404841312338602</v>
      </c>
      <c r="U404" s="41">
        <f>SUM(S404:T404)</f>
        <v>27.544288375341889</v>
      </c>
      <c r="V404" s="41">
        <f>VLOOKUP(B404,'Player Data'!$A1:$AE734,10,FALSE)*$Q404*IFERROR(((VLOOKUP(P404,Settings!$E$28:$F$33,2,FALSE)/2)+1),1)</f>
        <v>152.37063782867841</v>
      </c>
      <c r="W404" s="41">
        <f>VLOOKUP(B404,'Player Data'!$A1:$AE734,11,FALSE)*$Q404*IFERROR((VLOOKUP(P404,Settings!$E$28:$F$33,2,FALSE)+1),1)</f>
        <v>1.6488018445506352</v>
      </c>
      <c r="X404" s="41">
        <f>VLOOKUP(B404,'Player Data'!$A1:$AE734,12,FALSE)*$Q404*IFERROR((VLOOKUP(P404,Settings!$E$28:$F$33,2,FALSE)+1),1)</f>
        <v>3.6876950702729467</v>
      </c>
      <c r="Y404" s="41">
        <f>VLOOKUP(B404,'Player Data'!$A1:$AE734,13,FALSE)*$Q404</f>
        <v>0</v>
      </c>
      <c r="Z404" s="41">
        <f>VLOOKUP(B404,'Player Data'!$A1:$AE734,14,FALSE)*$Q404</f>
        <v>0</v>
      </c>
      <c r="AA404" s="41">
        <f>VLOOKUP(B404,'Player Data'!$A1:$AE734,15,FALSE)*$Q404</f>
        <v>54.805060927660357</v>
      </c>
      <c r="AB404" s="41">
        <f>VLOOKUP(B404,'Player Data'!$A1:$AE734,16,FALSE)*$Q404</f>
        <v>75.297058448689882</v>
      </c>
      <c r="AC404" s="41">
        <f>VLOOKUP(B404,'Player Data'!$A1:$AE734,17,FALSE)*$Q404*IFERROR((VLOOKUP(P404,Settings!$E$28:$F$33,2,FALSE)+1),1)</f>
        <v>0.50943153238599836</v>
      </c>
      <c r="AD404" s="41">
        <f>VLOOKUP(B404,'Player Data'!$A1:$AE734,18,FALSE)*$Q404</f>
        <v>21.682328203540369</v>
      </c>
      <c r="AE404" s="41">
        <f>VLOOKUP(B404,'Player Data'!$A1:$AE734,19,FALSE)*$Q404*IFERROR((VLOOKUP(P404,Settings!$E$28:$F$33,2,FALSE)+1),1)</f>
        <v>0</v>
      </c>
      <c r="AF404" s="41">
        <f>VLOOKUP(B404,'Player Data'!$A1:$AE734,20,FALSE)*$Q404</f>
        <v>15.137266488901982</v>
      </c>
      <c r="AG404" s="41">
        <f>VLOOKUP(B404,'Player Data'!$A1:$AE734,21,FALSE)*$Q404</f>
        <v>24.509164284119656</v>
      </c>
      <c r="AH404" s="42">
        <f>VLOOKUP(B404,'Player Data'!$A1:$AE734,22,FALSE)</f>
        <v>0.38180653828748801</v>
      </c>
      <c r="AI404" s="39"/>
      <c r="AJ404" s="43"/>
      <c r="AK404" s="41"/>
      <c r="AL404" s="41"/>
      <c r="AM404" s="41"/>
      <c r="AN404" s="41"/>
      <c r="AO404" s="41"/>
      <c r="AP404" s="41"/>
      <c r="AQ404" s="44"/>
      <c r="AR404" s="45"/>
      <c r="AS404" s="39"/>
    </row>
    <row r="405" spans="1:45" ht="21.25" customHeight="1" x14ac:dyDescent="0.15">
      <c r="A405" s="31">
        <f>RANK(K405,K$2:K$727)</f>
        <v>404</v>
      </c>
      <c r="B405" s="8" t="s">
        <v>509</v>
      </c>
      <c r="C405" s="32" t="s">
        <v>106</v>
      </c>
      <c r="D405" s="33" t="str">
        <f>VLOOKUP(B405,'Player Data'!A1:D734,4,FALSE)</f>
        <v>C</v>
      </c>
      <c r="E405" s="34">
        <f>VLOOKUP(B405,'C'!A1:C211,3,FALSE)</f>
        <v>98</v>
      </c>
      <c r="F405" s="35" t="str">
        <f>VLOOKUP(B405,'Player Data'!A1:B734,2,FALSE)</f>
        <v>VGK</v>
      </c>
      <c r="G405" s="9">
        <f>VLOOKUP(B405,'Player Data'!A1:D734,3,FALSE)</f>
        <v>26</v>
      </c>
      <c r="H405" s="36">
        <f>IFERROR(VLOOKUP(B405,ADP!A1:G728,7,FALSE)/1000000,VLOOKUP(B405,ADP!A1:G728,7,FALSE))</f>
        <v>3</v>
      </c>
      <c r="I405" s="37">
        <f>IF(Settings!$E$15="POINTS",((R405*Q405)*Settings!$B$12)+(S405*Settings!$B$2)+(T405*Settings!$B$3)+(U405*Settings!$B$4)+(V405*Settings!$B$5)+(X405*Settings!$B$9)+(AA405*Settings!$B$6)+(W405*Settings!$B$8)+(AB405*Settings!$B$7)+(AC405*Settings!$B$14)+(AD405*Settings!$B$15)+(AE405*Settings!$B$16)+(AF405*Settings!$B$17)+(AG405*Settings!$B$18)+(Y405*Settings!$B$10)+(Z405*Settings!$B$11),VLOOKUP(B405,'Standard Deviations'!A1:C728,3,FALSE))</f>
        <v>206.13515067167975</v>
      </c>
      <c r="J405" s="38">
        <f>IF(D405="G",I405/AJ405,I405/Q405)</f>
        <v>2.6569310740935075</v>
      </c>
      <c r="K405" s="37">
        <f>IF(Settings!$E$18="C/LW/RW",VLOOKUP(B405,'C'!A1:F211,6,FALSE),VLOOKUP(B405,F!A1:F430,6,FALSE))</f>
        <v>-187.1936550945299</v>
      </c>
      <c r="L405" s="37">
        <f>IFERROR(K405/H405,"N/A")</f>
        <v>-62.397885031509965</v>
      </c>
      <c r="M405" s="53" t="str">
        <f>IF(Settings!$E$9="YAHOO",VLOOKUP(B405,ADP!A1:E728,2,FALSE),IF(Settings!$E$9="ESPN",VLOOKUP(B405,ADP!A1:E728,3,FALSE),IF(Settings!$E$9="FANTRAX",VLOOKUP(B405,ADP!A1:E728,4,FALSE),VLOOKUP(B405,ADP!A1:E728,5,FALSE))))</f>
        <v>-</v>
      </c>
      <c r="N405" s="53" t="str">
        <f>IFERROR(M405-A405,"N/A")</f>
        <v>N/A</v>
      </c>
      <c r="O405" s="39"/>
      <c r="P405" s="40" t="str">
        <f>IF(Settings!$E$27="ON",VLOOKUP(B405,ADP!A1:H728,8,FALSE)," ")</f>
        <v xml:space="preserve"> </v>
      </c>
      <c r="Q405" s="41">
        <f>IF(Settings!$E$12="YES",VLOOKUP(B405,'Player Data'!A1:E734,5,FALSE),82)</f>
        <v>77.583928571428601</v>
      </c>
      <c r="R405" s="39">
        <f>VLOOKUP(B405,'Player Data'!$A1:$AE734,6,FALSE)</f>
        <v>16.554576736559</v>
      </c>
      <c r="S405" s="41">
        <f>VLOOKUP(B405,'Player Data'!$A1:$AE734,7,FALSE)*$Q405*IFERROR((VLOOKUP(P405,Settings!$E$28:$F$33,2,FALSE)+1),1)</f>
        <v>16.17363603793741</v>
      </c>
      <c r="T405" s="41">
        <f>VLOOKUP(B405,'Player Data'!$A1:$AE734,8,FALSE)*$Q405*IFERROR((VLOOKUP(P405,Settings!$E$28:$F$33,2,FALSE)+1),1)</f>
        <v>22.215224846295623</v>
      </c>
      <c r="U405" s="41">
        <f>SUM(S405:T405)</f>
        <v>38.388860884233033</v>
      </c>
      <c r="V405" s="41">
        <f>VLOOKUP(B405,'Player Data'!$A1:$AE734,10,FALSE)*$Q405*IFERROR(((VLOOKUP(P405,Settings!$E$28:$F$33,2,FALSE)/2)+1),1)</f>
        <v>130.13836910526089</v>
      </c>
      <c r="W405" s="41">
        <f>VLOOKUP(B405,'Player Data'!$A1:$AE734,11,FALSE)*$Q405*IFERROR((VLOOKUP(P405,Settings!$E$28:$F$33,2,FALSE)+1),1)</f>
        <v>3.1338711647261488</v>
      </c>
      <c r="X405" s="41">
        <f>VLOOKUP(B405,'Player Data'!$A1:$AE734,12,FALSE)*$Q405*IFERROR((VLOOKUP(P405,Settings!$E$28:$F$33,2,FALSE)+1),1)</f>
        <v>7.3576649916513217</v>
      </c>
      <c r="Y405" s="41">
        <f>VLOOKUP(B405,'Player Data'!$A1:$AE734,13,FALSE)*$Q405</f>
        <v>0.12491832937745112</v>
      </c>
      <c r="Z405" s="41">
        <f>VLOOKUP(B405,'Player Data'!$A1:$AE734,14,FALSE)*$Q405</f>
        <v>1.1622781101560389</v>
      </c>
      <c r="AA405" s="41">
        <f>VLOOKUP(B405,'Player Data'!$A1:$AE734,15,FALSE)*$Q405</f>
        <v>44.297486313677616</v>
      </c>
      <c r="AB405" s="41">
        <f>VLOOKUP(B405,'Player Data'!$A1:$AE734,16,FALSE)*$Q405</f>
        <v>94.225859737556519</v>
      </c>
      <c r="AC405" s="41">
        <f>VLOOKUP(B405,'Player Data'!$A1:$AE734,17,FALSE)*$Q405*IFERROR((VLOOKUP(P405,Settings!$E$28:$F$33,2,FALSE)+1),1)</f>
        <v>5.4370620823218756</v>
      </c>
      <c r="AD405" s="41">
        <f>VLOOKUP(B405,'Player Data'!$A1:$AE734,18,FALSE)*$Q405</f>
        <v>33.468778208863718</v>
      </c>
      <c r="AE405" s="41">
        <f>VLOOKUP(B405,'Player Data'!$A1:$AE734,19,FALSE)*$Q405*IFERROR((VLOOKUP(P405,Settings!$E$28:$F$33,2,FALSE)+1),1)</f>
        <v>2.6432134223428752</v>
      </c>
      <c r="AF405" s="41">
        <f>VLOOKUP(B405,'Player Data'!$A1:$AE734,20,FALSE)*$Q405</f>
        <v>433.3562262593997</v>
      </c>
      <c r="AG405" s="41">
        <f>VLOOKUP(B405,'Player Data'!$A1:$AE734,21,FALSE)*$Q405</f>
        <v>472.28203649875934</v>
      </c>
      <c r="AH405" s="42">
        <f>VLOOKUP(B405,'Player Data'!$A1:$AE734,22,FALSE)</f>
        <v>0.47850918416321703</v>
      </c>
      <c r="AI405" s="39"/>
      <c r="AJ405" s="43"/>
      <c r="AK405" s="41"/>
      <c r="AL405" s="41"/>
      <c r="AM405" s="41"/>
      <c r="AN405" s="41"/>
      <c r="AO405" s="41"/>
      <c r="AP405" s="41"/>
      <c r="AQ405" s="44"/>
      <c r="AR405" s="45"/>
      <c r="AS405" s="39"/>
    </row>
    <row r="406" spans="1:45" ht="21.25" customHeight="1" x14ac:dyDescent="0.15">
      <c r="A406" s="31">
        <f>RANK(K406,K$2:K$727)</f>
        <v>405</v>
      </c>
      <c r="B406" s="8" t="s">
        <v>510</v>
      </c>
      <c r="C406" s="32" t="s">
        <v>106</v>
      </c>
      <c r="D406" s="33" t="str">
        <f>VLOOKUP(B406,'Player Data'!A1:D734,4,FALSE)</f>
        <v>C</v>
      </c>
      <c r="E406" s="34">
        <f>VLOOKUP(B406,'C'!A1:C211,3,FALSE)</f>
        <v>99</v>
      </c>
      <c r="F406" s="35" t="str">
        <f>VLOOKUP(B406,'Player Data'!A1:B734,2,FALSE)</f>
        <v>NSH</v>
      </c>
      <c r="G406" s="9">
        <f>VLOOKUP(B406,'Player Data'!A1:D734,3,FALSE)</f>
        <v>22</v>
      </c>
      <c r="H406" s="36">
        <f>IFERROR(VLOOKUP(B406,ADP!A1:G728,7,FALSE)/1000000,VLOOKUP(B406,ADP!A1:G728,7,FALSE))</f>
        <v>0.86333300000000002</v>
      </c>
      <c r="I406" s="37">
        <f>IF(Settings!$E$15="POINTS",((R406*Q406)*Settings!$B$12)+(S406*Settings!$B$2)+(T406*Settings!$B$3)+(U406*Settings!$B$4)+(V406*Settings!$B$5)+(X406*Settings!$B$9)+(AA406*Settings!$B$6)+(W406*Settings!$B$8)+(AB406*Settings!$B$7)+(AC406*Settings!$B$14)+(AD406*Settings!$B$15)+(AE406*Settings!$B$16)+(AF406*Settings!$B$17)+(AG406*Settings!$B$18)+(Y406*Settings!$B$10)+(Z406*Settings!$B$11),VLOOKUP(B406,'Standard Deviations'!A1:C728,3,FALSE))</f>
        <v>205.66381564311095</v>
      </c>
      <c r="J406" s="38">
        <f>IF(D406="G",I406/AJ406,I406/Q406)</f>
        <v>2.9654852477287905</v>
      </c>
      <c r="K406" s="37">
        <f>IF(Settings!$E$18="C/LW/RW",VLOOKUP(B406,'C'!A1:F211,6,FALSE),VLOOKUP(B406,F!A1:F430,6,FALSE))</f>
        <v>-187.6649901230987</v>
      </c>
      <c r="L406" s="37">
        <f>IFERROR(K406/H406,"N/A")</f>
        <v>-217.37265935982836</v>
      </c>
      <c r="M406" s="53" t="str">
        <f>IF(Settings!$E$9="YAHOO",VLOOKUP(B406,ADP!A1:E728,2,FALSE),IF(Settings!$E$9="ESPN",VLOOKUP(B406,ADP!A1:E728,3,FALSE),IF(Settings!$E$9="FANTRAX",VLOOKUP(B406,ADP!A1:E728,4,FALSE),VLOOKUP(B406,ADP!A1:E728,5,FALSE))))</f>
        <v>-</v>
      </c>
      <c r="N406" s="53" t="str">
        <f>IFERROR(M406-A406,"N/A")</f>
        <v>N/A</v>
      </c>
      <c r="O406" s="39"/>
      <c r="P406" s="40" t="str">
        <f>IF(Settings!$E$27="ON",VLOOKUP(B406,ADP!A1:H728,8,FALSE)," ")</f>
        <v xml:space="preserve"> </v>
      </c>
      <c r="Q406" s="41">
        <f>IF(Settings!$E$12="YES",VLOOKUP(B406,'Player Data'!A1:E734,5,FALSE),82)</f>
        <v>69.352500000000006</v>
      </c>
      <c r="R406" s="39">
        <f>VLOOKUP(B406,'Player Data'!$A1:$AE734,6,FALSE)</f>
        <v>14.7410933225209</v>
      </c>
      <c r="S406" s="41">
        <f>VLOOKUP(B406,'Player Data'!$A1:$AE734,7,FALSE)*$Q406*IFERROR((VLOOKUP(P406,Settings!$E$28:$F$33,2,FALSE)+1),1)</f>
        <v>13.46358054888289</v>
      </c>
      <c r="T406" s="41">
        <f>VLOOKUP(B406,'Player Data'!$A1:$AE734,8,FALSE)*$Q406*IFERROR((VLOOKUP(P406,Settings!$E$28:$F$33,2,FALSE)+1),1)</f>
        <v>25.392343505758149</v>
      </c>
      <c r="U406" s="41">
        <f>SUM(S406:T406)</f>
        <v>38.855924054641036</v>
      </c>
      <c r="V406" s="41">
        <f>VLOOKUP(B406,'Player Data'!$A1:$AE734,10,FALSE)*$Q406*IFERROR(((VLOOKUP(P406,Settings!$E$28:$F$33,2,FALSE)/2)+1),1)</f>
        <v>121.04399867514201</v>
      </c>
      <c r="W406" s="41">
        <f>VLOOKUP(B406,'Player Data'!$A1:$AE734,11,FALSE)*$Q406*IFERROR((VLOOKUP(P406,Settings!$E$28:$F$33,2,FALSE)+1),1)</f>
        <v>5.418051345169987</v>
      </c>
      <c r="X406" s="41">
        <f>VLOOKUP(B406,'Player Data'!$A1:$AE734,12,FALSE)*$Q406*IFERROR((VLOOKUP(P406,Settings!$E$28:$F$33,2,FALSE)+1),1)</f>
        <v>11.003886585987216</v>
      </c>
      <c r="Y406" s="41">
        <f>VLOOKUP(B406,'Player Data'!$A1:$AE734,13,FALSE)*$Q406</f>
        <v>5.6349428691527875E-4</v>
      </c>
      <c r="Z406" s="41">
        <f>VLOOKUP(B406,'Player Data'!$A1:$AE734,14,FALSE)*$Q406</f>
        <v>1.0115273547804679E-3</v>
      </c>
      <c r="AA406" s="41">
        <f>VLOOKUP(B406,'Player Data'!$A1:$AE734,15,FALSE)*$Q406</f>
        <v>32.821239574664226</v>
      </c>
      <c r="AB406" s="41">
        <f>VLOOKUP(B406,'Player Data'!$A1:$AE734,16,FALSE)*$Q406</f>
        <v>62.617564427001597</v>
      </c>
      <c r="AC406" s="41">
        <f>VLOOKUP(B406,'Player Data'!$A1:$AE734,17,FALSE)*$Q406*IFERROR((VLOOKUP(P406,Settings!$E$28:$F$33,2,FALSE)+1),1)</f>
        <v>-0.8399211784021644</v>
      </c>
      <c r="AD406" s="41">
        <f>VLOOKUP(B406,'Player Data'!$A1:$AE734,18,FALSE)*$Q406</f>
        <v>16.665346857268254</v>
      </c>
      <c r="AE406" s="41">
        <f>VLOOKUP(B406,'Player Data'!$A1:$AE734,19,FALSE)*$Q406*IFERROR((VLOOKUP(P406,Settings!$E$28:$F$33,2,FALSE)+1),1)</f>
        <v>1.966034887663467</v>
      </c>
      <c r="AF406" s="41">
        <f>VLOOKUP(B406,'Player Data'!$A1:$AE734,20,FALSE)*$Q406</f>
        <v>20.42049468563474</v>
      </c>
      <c r="AG406" s="41">
        <f>VLOOKUP(B406,'Player Data'!$A1:$AE734,21,FALSE)*$Q406</f>
        <v>24.416352817013255</v>
      </c>
      <c r="AH406" s="42">
        <f>VLOOKUP(B406,'Player Data'!$A1:$AE734,22,FALSE)</f>
        <v>0.45544001915899002</v>
      </c>
      <c r="AI406" s="39"/>
      <c r="AJ406" s="43"/>
      <c r="AK406" s="41"/>
      <c r="AL406" s="41"/>
      <c r="AM406" s="41"/>
      <c r="AN406" s="41"/>
      <c r="AO406" s="41"/>
      <c r="AP406" s="41"/>
      <c r="AQ406" s="44"/>
      <c r="AR406" s="45"/>
      <c r="AS406" s="39"/>
    </row>
    <row r="407" spans="1:45" ht="21.25" customHeight="1" x14ac:dyDescent="0.15">
      <c r="A407" s="31">
        <f>RANK(K407,K$2:K$727)</f>
        <v>406</v>
      </c>
      <c r="B407" s="8" t="s">
        <v>511</v>
      </c>
      <c r="C407" s="32" t="s">
        <v>106</v>
      </c>
      <c r="D407" s="33" t="str">
        <f>VLOOKUP(B407,'Player Data'!A1:D734,4,FALSE)</f>
        <v>D</v>
      </c>
      <c r="E407" s="49">
        <f>VLOOKUP(B407,D!A1:C227,3,FALSE)</f>
        <v>138</v>
      </c>
      <c r="F407" s="35" t="str">
        <f>VLOOKUP(B407,'Player Data'!A1:B734,2,FALSE)</f>
        <v>NSH</v>
      </c>
      <c r="G407" s="9">
        <f>VLOOKUP(B407,'Player Data'!A1:D734,3,FALSE)</f>
        <v>26</v>
      </c>
      <c r="H407" s="36">
        <f>IFERROR(VLOOKUP(B407,ADP!A1:G728,7,FALSE)/1000000,VLOOKUP(B407,ADP!A1:G728,7,FALSE))</f>
        <v>2.5</v>
      </c>
      <c r="I407" s="37">
        <f>IF(Settings!$E$15="POINTS",((R407*Q407)*Settings!$B$12)+(S407*Settings!$B$2)+(T407*Settings!$B$3)+(U407*Settings!$B$4)+(V407*Settings!$B$5)+(X407*Settings!$B$9)+(AA407*Settings!$B$6)+(W407*Settings!$B$8)+(AB407*Settings!$B$7)+(AC407*Settings!$B$14)+(AD407*Settings!$B$15)+(AE407*Settings!$B$16)+(AF407*Settings!$B$17)+(AG407*Settings!$B$18)+(U407*Settings!$B$13)+(Y407*Settings!$B$10)+(Z407*Settings!$B$11),VLOOKUP(B407,'Standard Deviations'!A1:C728,3,FALSE))</f>
        <v>123.64792502323618</v>
      </c>
      <c r="J407" s="38">
        <f>IF(D407="G",I407/AJ407,I407/Q407)</f>
        <v>1.7919432629683401</v>
      </c>
      <c r="K407" s="37">
        <f>VLOOKUP(B407,D!A1:F227,6,FALSE)</f>
        <v>-187.91755660469127</v>
      </c>
      <c r="L407" s="37">
        <f>IFERROR(K407/H407,"N/A")</f>
        <v>-75.167022641876514</v>
      </c>
      <c r="M407" s="53" t="str">
        <f>IF(Settings!$E$9="YAHOO",VLOOKUP(B407,ADP!A1:E728,2,FALSE),IF(Settings!$E$9="ESPN",VLOOKUP(B407,ADP!A1:E728,3,FALSE),IF(Settings!$E$9="FANTRAX",VLOOKUP(B407,ADP!A1:E728,4,FALSE),VLOOKUP(B407,ADP!A1:E728,5,FALSE))))</f>
        <v>-</v>
      </c>
      <c r="N407" s="53" t="str">
        <f>IFERROR(M407-A407,"N/A")</f>
        <v>N/A</v>
      </c>
      <c r="O407" s="39"/>
      <c r="P407" s="40" t="str">
        <f>IF(Settings!$E$27="ON",VLOOKUP(B407,ADP!A1:H728,8,FALSE)," ")</f>
        <v xml:space="preserve"> </v>
      </c>
      <c r="Q407" s="41">
        <f>IF(Settings!$E$12="YES",VLOOKUP(B407,'Player Data'!A1:E734,5,FALSE),82)</f>
        <v>69.0021428571429</v>
      </c>
      <c r="R407" s="39">
        <f>VLOOKUP(B407,'Player Data'!$A1:$AE734,6,FALSE)</f>
        <v>18.313071734465002</v>
      </c>
      <c r="S407" s="41">
        <f>VLOOKUP(B407,'Player Data'!$A1:$AE734,7,FALSE)*$Q407*IFERROR((VLOOKUP(P407,Settings!$E$28:$F$33,2,FALSE)+1),1)</f>
        <v>3.0345889762451237</v>
      </c>
      <c r="T407" s="41">
        <f>VLOOKUP(B407,'Player Data'!$A1:$AE734,8,FALSE)*$Q407*IFERROR((VLOOKUP(P407,Settings!$E$28:$F$33,2,FALSE)+1),1)</f>
        <v>16.868863846987001</v>
      </c>
      <c r="U407" s="41">
        <f>SUM(S407:T407)</f>
        <v>19.903452823232126</v>
      </c>
      <c r="V407" s="41">
        <f>VLOOKUP(B407,'Player Data'!$A1:$AE734,10,FALSE)*$Q407*IFERROR(((VLOOKUP(P407,Settings!$E$28:$F$33,2,FALSE)/2)+1),1)</f>
        <v>81.454966069195251</v>
      </c>
      <c r="W407" s="41">
        <f>VLOOKUP(B407,'Player Data'!$A1:$AE734,11,FALSE)*$Q407*IFERROR((VLOOKUP(P407,Settings!$E$28:$F$33,2,FALSE)+1),1)</f>
        <v>0.28401314957009322</v>
      </c>
      <c r="X407" s="41">
        <f>VLOOKUP(B407,'Player Data'!$A1:$AE734,12,FALSE)*$Q407*IFERROR((VLOOKUP(P407,Settings!$E$28:$F$33,2,FALSE)+1),1)</f>
        <v>1.381837331032707</v>
      </c>
      <c r="Y407" s="41">
        <f>VLOOKUP(B407,'Player Data'!$A1:$AE734,13,FALSE)*$Q407</f>
        <v>2.5473815104869318E-2</v>
      </c>
      <c r="Z407" s="41">
        <f>VLOOKUP(B407,'Player Data'!$A1:$AE734,14,FALSE)*$Q407</f>
        <v>0.31838349197961618</v>
      </c>
      <c r="AA407" s="41">
        <f>VLOOKUP(B407,'Player Data'!$A1:$AE734,15,FALSE)*$Q407</f>
        <v>99.048209364587692</v>
      </c>
      <c r="AB407" s="41">
        <f>VLOOKUP(B407,'Player Data'!$A1:$AE734,16,FALSE)*$Q407</f>
        <v>90.192402071348781</v>
      </c>
      <c r="AC407" s="41">
        <f>VLOOKUP(B407,'Player Data'!$A1:$AE734,17,FALSE)*$Q407*IFERROR((VLOOKUP(P407,Settings!$E$28:$F$33,2,FALSE)+1),1)</f>
        <v>-0.7232404494568081</v>
      </c>
      <c r="AD407" s="41">
        <f>VLOOKUP(B407,'Player Data'!$A1:$AE734,18,FALSE)*$Q407</f>
        <v>38.762095317184539</v>
      </c>
      <c r="AE407" s="41">
        <f>VLOOKUP(B407,'Player Data'!$A1:$AE734,19,FALSE)*$Q407*IFERROR((VLOOKUP(P407,Settings!$E$28:$F$33,2,FALSE)+1),1)</f>
        <v>0.44312935740648124</v>
      </c>
      <c r="AF407" s="41">
        <f>VLOOKUP(B407,'Player Data'!$A1:$AE734,20,FALSE)*$Q407</f>
        <v>0</v>
      </c>
      <c r="AG407" s="41">
        <f>VLOOKUP(B407,'Player Data'!$A1:$AE734,21,FALSE)*$Q407</f>
        <v>0.22046975873844565</v>
      </c>
      <c r="AH407" s="42">
        <f>VLOOKUP(B407,'Player Data'!$A1:$AE734,22,FALSE)</f>
        <v>0</v>
      </c>
      <c r="AI407" s="39"/>
      <c r="AJ407" s="43"/>
      <c r="AK407" s="41"/>
      <c r="AL407" s="41"/>
      <c r="AM407" s="41"/>
      <c r="AN407" s="41"/>
      <c r="AO407" s="41"/>
      <c r="AP407" s="41"/>
      <c r="AQ407" s="44"/>
      <c r="AR407" s="45"/>
      <c r="AS407" s="43"/>
    </row>
    <row r="408" spans="1:45" ht="21.25" customHeight="1" x14ac:dyDescent="0.15">
      <c r="A408" s="31">
        <f>RANK(K408,K$2:K$727)</f>
        <v>407</v>
      </c>
      <c r="B408" s="8" t="s">
        <v>512</v>
      </c>
      <c r="C408" s="32" t="s">
        <v>106</v>
      </c>
      <c r="D408" s="33" t="str">
        <f>VLOOKUP(B408,'Player Data'!A1:D734,4,FALSE)</f>
        <v>RW</v>
      </c>
      <c r="E408" s="46">
        <f>VLOOKUP(B408,RW!A1:F97,3,FALSE)</f>
        <v>57</v>
      </c>
      <c r="F408" s="35" t="str">
        <f>VLOOKUP(B408,'Player Data'!A1:B734,2,FALSE)</f>
        <v>NYI</v>
      </c>
      <c r="G408" s="9">
        <f>VLOOKUP(B408,'Player Data'!A1:D734,3,FALSE)</f>
        <v>23</v>
      </c>
      <c r="H408" s="36">
        <f>IFERROR(VLOOKUP(B408,ADP!A1:G728,7,FALSE)/1000000,VLOOKUP(B408,ADP!A1:G728,7,FALSE))</f>
        <v>0.874</v>
      </c>
      <c r="I408" s="37">
        <f>IF(Settings!$E$15="POINTS",((R408*Q408)*Settings!$B$12)+(S408*Settings!$B$2)+(T408*Settings!$B$3)+(U408*Settings!$B$4)+(V408*Settings!$B$5)+(X408*Settings!$B$9)+(AA408*Settings!$B$6)+(W408*Settings!$B$8)+(AB408*Settings!$B$7)+(AC408*Settings!$B$14)+(AD408*Settings!$B$15)+(AE408*Settings!$B$16)+(AF408*Settings!$B$17)+(AG408*Settings!$B$18)+(Y408*Settings!$B$10)+(Z408*Settings!$B$11),VLOOKUP(B408,'Standard Deviations'!A1:C728,3,FALSE))</f>
        <v>161.68179429963678</v>
      </c>
      <c r="J408" s="38">
        <f>IF(D408="G",I408/AJ408,I408/Q408)</f>
        <v>2.2871022736131317</v>
      </c>
      <c r="K408" s="37">
        <f>IF(Settings!$E$18="C/LW/RW",VLOOKUP(B408,RW!A1:F97,6,FALSE),VLOOKUP(B408,F!A1:F430,6,FALSE))</f>
        <v>-188.58974624825279</v>
      </c>
      <c r="L408" s="37">
        <f>IFERROR(K408/H408,"N/A")</f>
        <v>-215.7777417028064</v>
      </c>
      <c r="M408" s="53" t="str">
        <f>IF(Settings!$E$9="YAHOO",VLOOKUP(B408,ADP!A1:E728,2,FALSE),IF(Settings!$E$9="ESPN",VLOOKUP(B408,ADP!A1:E728,3,FALSE),IF(Settings!$E$9="FANTRAX",VLOOKUP(B408,ADP!A1:E728,4,FALSE),VLOOKUP(B408,ADP!A1:E728,5,FALSE))))</f>
        <v>-</v>
      </c>
      <c r="N408" s="53" t="str">
        <f>IFERROR(M408-A408,"N/A")</f>
        <v>N/A</v>
      </c>
      <c r="O408" s="39"/>
      <c r="P408" s="40" t="str">
        <f>IF(Settings!$E$27="ON",VLOOKUP(B408,ADP!A1:H728,8,FALSE)," ")</f>
        <v xml:space="preserve"> </v>
      </c>
      <c r="Q408" s="41">
        <f>IF(Settings!$E$12="YES",VLOOKUP(B408,'Player Data'!A1:E734,5,FALSE),82)</f>
        <v>70.692857142857093</v>
      </c>
      <c r="R408" s="39">
        <f>VLOOKUP(B408,'Player Data'!$A1:$AE734,6,FALSE)</f>
        <v>12.059634716664901</v>
      </c>
      <c r="S408" s="41">
        <f>VLOOKUP(B408,'Player Data'!$A1:$AE734,7,FALSE)*$Q408*IFERROR((VLOOKUP(P408,Settings!$E$28:$F$33,2,FALSE)+1),1)</f>
        <v>12.788674851473226</v>
      </c>
      <c r="T408" s="41">
        <f>VLOOKUP(B408,'Player Data'!$A1:$AE734,8,FALSE)*$Q408*IFERROR((VLOOKUP(P408,Settings!$E$28:$F$33,2,FALSE)+1),1)</f>
        <v>14.321090436674011</v>
      </c>
      <c r="U408" s="41">
        <f>SUM(S408:T408)</f>
        <v>27.109765288147237</v>
      </c>
      <c r="V408" s="41">
        <f>VLOOKUP(B408,'Player Data'!$A1:$AE734,10,FALSE)*$Q408*IFERROR(((VLOOKUP(P408,Settings!$E$28:$F$33,2,FALSE)/2)+1),1)</f>
        <v>132.15610193695332</v>
      </c>
      <c r="W408" s="41">
        <f>VLOOKUP(B408,'Player Data'!$A1:$AE734,11,FALSE)*$Q408*IFERROR((VLOOKUP(P408,Settings!$E$28:$F$33,2,FALSE)+1),1)</f>
        <v>2.4396706783346036</v>
      </c>
      <c r="X408" s="41">
        <f>VLOOKUP(B408,'Player Data'!$A1:$AE734,12,FALSE)*$Q408*IFERROR((VLOOKUP(P408,Settings!$E$28:$F$33,2,FALSE)+1),1)</f>
        <v>4.5469045557388288</v>
      </c>
      <c r="Y408" s="41">
        <f>VLOOKUP(B408,'Player Data'!$A1:$AE734,13,FALSE)*$Q408</f>
        <v>2.5798933401164237E-4</v>
      </c>
      <c r="Z408" s="41">
        <f>VLOOKUP(B408,'Player Data'!$A1:$AE734,14,FALSE)*$Q408</f>
        <v>4.7242539551771933E-4</v>
      </c>
      <c r="AA408" s="41">
        <f>VLOOKUP(B408,'Player Data'!$A1:$AE734,15,FALSE)*$Q408</f>
        <v>25.898467522248474</v>
      </c>
      <c r="AB408" s="41">
        <f>VLOOKUP(B408,'Player Data'!$A1:$AE734,16,FALSE)*$Q408</f>
        <v>98.548939570198939</v>
      </c>
      <c r="AC408" s="41">
        <f>VLOOKUP(B408,'Player Data'!$A1:$AE734,17,FALSE)*$Q408*IFERROR((VLOOKUP(P408,Settings!$E$28:$F$33,2,FALSE)+1),1)</f>
        <v>1.3635497952079512</v>
      </c>
      <c r="AD408" s="41">
        <f>VLOOKUP(B408,'Player Data'!$A1:$AE734,18,FALSE)*$Q408</f>
        <v>42.848202177544984</v>
      </c>
      <c r="AE408" s="41">
        <f>VLOOKUP(B408,'Player Data'!$A1:$AE734,19,FALSE)*$Q408*IFERROR((VLOOKUP(P408,Settings!$E$28:$F$33,2,FALSE)+1),1)</f>
        <v>1.9761297910000986</v>
      </c>
      <c r="AF408" s="41">
        <f>VLOOKUP(B408,'Player Data'!$A1:$AE734,20,FALSE)*$Q408</f>
        <v>12.122363536713442</v>
      </c>
      <c r="AG408" s="41">
        <f>VLOOKUP(B408,'Player Data'!$A1:$AE734,21,FALSE)*$Q408</f>
        <v>17.933125273889949</v>
      </c>
      <c r="AH408" s="42">
        <f>VLOOKUP(B408,'Player Data'!$A1:$AE734,22,FALSE)</f>
        <v>0.40333276936879198</v>
      </c>
      <c r="AI408" s="39"/>
      <c r="AJ408" s="43"/>
      <c r="AK408" s="41"/>
      <c r="AL408" s="41"/>
      <c r="AM408" s="41"/>
      <c r="AN408" s="41"/>
      <c r="AO408" s="41"/>
      <c r="AP408" s="41"/>
      <c r="AQ408" s="44"/>
      <c r="AR408" s="45"/>
      <c r="AS408" s="39"/>
    </row>
    <row r="409" spans="1:45" ht="21.25" customHeight="1" x14ac:dyDescent="0.15">
      <c r="A409" s="31">
        <f>RANK(K409,K$2:K$727)</f>
        <v>408</v>
      </c>
      <c r="B409" s="8" t="s">
        <v>513</v>
      </c>
      <c r="C409" s="32" t="s">
        <v>106</v>
      </c>
      <c r="D409" s="33" t="str">
        <f>VLOOKUP(B409,'Player Data'!A1:D734,4,FALSE)</f>
        <v>D</v>
      </c>
      <c r="E409" s="49">
        <f>VLOOKUP(B409,D!A1:C227,3,FALSE)</f>
        <v>139</v>
      </c>
      <c r="F409" s="35" t="str">
        <f>VLOOKUP(B409,'Player Data'!A1:B734,2,FALSE)</f>
        <v>BUF</v>
      </c>
      <c r="G409" s="9">
        <f>VLOOKUP(B409,'Player Data'!A1:D734,3,FALSE)</f>
        <v>35</v>
      </c>
      <c r="H409" s="36">
        <f>IFERROR(VLOOKUP(B409,ADP!A1:G728,7,FALSE)/1000000,VLOOKUP(B409,ADP!A1:G728,7,FALSE))</f>
        <v>3.25</v>
      </c>
      <c r="I409" s="37">
        <f>IF(Settings!$E$15="POINTS",((R409*Q409)*Settings!$B$12)+(S409*Settings!$B$2)+(T409*Settings!$B$3)+(U409*Settings!$B$4)+(V409*Settings!$B$5)+(X409*Settings!$B$9)+(AA409*Settings!$B$6)+(W409*Settings!$B$8)+(AB409*Settings!$B$7)+(AC409*Settings!$B$14)+(AD409*Settings!$B$15)+(AE409*Settings!$B$16)+(AF409*Settings!$B$17)+(AG409*Settings!$B$18)+(U409*Settings!$B$13)+(Y409*Settings!$B$10)+(Z409*Settings!$B$11),VLOOKUP(B409,'Standard Deviations'!A1:C728,3,FALSE))</f>
        <v>122.61843685712937</v>
      </c>
      <c r="J409" s="38">
        <f>IF(D409="G",I409/AJ409,I409/Q409)</f>
        <v>1.7428355052892555</v>
      </c>
      <c r="K409" s="37">
        <f>VLOOKUP(B409,D!A1:F227,6,FALSE)</f>
        <v>-188.94704477079807</v>
      </c>
      <c r="L409" s="37">
        <f>IFERROR(K409/H409,"N/A")</f>
        <v>-58.137552237168634</v>
      </c>
      <c r="M409" s="53" t="str">
        <f>IF(Settings!$E$9="YAHOO",VLOOKUP(B409,ADP!A1:E728,2,FALSE),IF(Settings!$E$9="ESPN",VLOOKUP(B409,ADP!A1:E728,3,FALSE),IF(Settings!$E$9="FANTRAX",VLOOKUP(B409,ADP!A1:E728,4,FALSE),VLOOKUP(B409,ADP!A1:E728,5,FALSE))))</f>
        <v>-</v>
      </c>
      <c r="N409" s="53" t="str">
        <f>IFERROR(M409-A409,"N/A")</f>
        <v>N/A</v>
      </c>
      <c r="O409" s="39"/>
      <c r="P409" s="40" t="str">
        <f>IF(Settings!$E$27="ON",VLOOKUP(B409,ADP!A1:H728,8,FALSE)," ")</f>
        <v xml:space="preserve"> </v>
      </c>
      <c r="Q409" s="41">
        <f>IF(Settings!$E$12="YES",VLOOKUP(B409,'Player Data'!A1:E734,5,FALSE),82)</f>
        <v>70.355714285714299</v>
      </c>
      <c r="R409" s="39">
        <f>VLOOKUP(B409,'Player Data'!$A1:$AE734,6,FALSE)</f>
        <v>17.123563546869001</v>
      </c>
      <c r="S409" s="41">
        <f>VLOOKUP(B409,'Player Data'!$A1:$AE734,7,FALSE)*$Q409*IFERROR((VLOOKUP(P409,Settings!$E$28:$F$33,2,FALSE)+1),1)</f>
        <v>3.1811450068320002</v>
      </c>
      <c r="T409" s="41">
        <f>VLOOKUP(B409,'Player Data'!$A1:$AE734,8,FALSE)*$Q409*IFERROR((VLOOKUP(P409,Settings!$E$28:$F$33,2,FALSE)+1),1)</f>
        <v>11.480469412738064</v>
      </c>
      <c r="U409" s="41">
        <f>SUM(S409:T409)</f>
        <v>14.661614419570064</v>
      </c>
      <c r="V409" s="41">
        <f>VLOOKUP(B409,'Player Data'!$A1:$AE734,10,FALSE)*$Q409*IFERROR(((VLOOKUP(P409,Settings!$E$28:$F$33,2,FALSE)/2)+1),1)</f>
        <v>109.15128695494228</v>
      </c>
      <c r="W409" s="41">
        <f>VLOOKUP(B409,'Player Data'!$A1:$AE734,11,FALSE)*$Q409*IFERROR((VLOOKUP(P409,Settings!$E$28:$F$33,2,FALSE)+1),1)</f>
        <v>1.6049905600726017E-2</v>
      </c>
      <c r="X409" s="41">
        <f>VLOOKUP(B409,'Player Data'!$A1:$AE734,12,FALSE)*$Q409*IFERROR((VLOOKUP(P409,Settings!$E$28:$F$33,2,FALSE)+1),1)</f>
        <v>0.15440639518083984</v>
      </c>
      <c r="Y409" s="41">
        <f>VLOOKUP(B409,'Player Data'!$A1:$AE734,13,FALSE)*$Q409</f>
        <v>0.2334767746470198</v>
      </c>
      <c r="Z409" s="41">
        <f>VLOOKUP(B409,'Player Data'!$A1:$AE734,14,FALSE)*$Q409</f>
        <v>0.93836809941712807</v>
      </c>
      <c r="AA409" s="41">
        <f>VLOOKUP(B409,'Player Data'!$A1:$AE734,15,FALSE)*$Q409</f>
        <v>109.36200565876047</v>
      </c>
      <c r="AB409" s="41">
        <f>VLOOKUP(B409,'Player Data'!$A1:$AE734,16,FALSE)*$Q409</f>
        <v>127.44822602912221</v>
      </c>
      <c r="AC409" s="41">
        <f>VLOOKUP(B409,'Player Data'!$A1:$AE734,17,FALSE)*$Q409*IFERROR((VLOOKUP(P409,Settings!$E$28:$F$33,2,FALSE)+1),1)</f>
        <v>-0.88331972105116108</v>
      </c>
      <c r="AD409" s="41">
        <f>VLOOKUP(B409,'Player Data'!$A1:$AE734,18,FALSE)*$Q409</f>
        <v>20.364237029582441</v>
      </c>
      <c r="AE409" s="41">
        <f>VLOOKUP(B409,'Player Data'!$A1:$AE734,19,FALSE)*$Q409*IFERROR((VLOOKUP(P409,Settings!$E$28:$F$33,2,FALSE)+1),1)</f>
        <v>0.40994882206222344</v>
      </c>
      <c r="AF409" s="41">
        <f>VLOOKUP(B409,'Player Data'!$A1:$AE734,20,FALSE)*$Q409</f>
        <v>0</v>
      </c>
      <c r="AG409" s="41">
        <f>VLOOKUP(B409,'Player Data'!$A1:$AE734,21,FALSE)*$Q409</f>
        <v>0</v>
      </c>
      <c r="AH409" s="42">
        <f>VLOOKUP(B409,'Player Data'!$A1:$AE734,22,FALSE)</f>
        <v>0</v>
      </c>
      <c r="AI409" s="39"/>
      <c r="AJ409" s="43"/>
      <c r="AK409" s="41"/>
      <c r="AL409" s="41"/>
      <c r="AM409" s="41"/>
      <c r="AN409" s="41"/>
      <c r="AO409" s="41"/>
      <c r="AP409" s="41"/>
      <c r="AQ409" s="44"/>
      <c r="AR409" s="45"/>
      <c r="AS409" s="39"/>
    </row>
    <row r="410" spans="1:45" ht="21.25" customHeight="1" x14ac:dyDescent="0.15">
      <c r="A410" s="31">
        <f>RANK(K410,K$2:K$727)</f>
        <v>409</v>
      </c>
      <c r="B410" s="8" t="s">
        <v>514</v>
      </c>
      <c r="C410" s="32" t="s">
        <v>106</v>
      </c>
      <c r="D410" s="33" t="str">
        <f>VLOOKUP(B410,'Player Data'!A1:D734,4,FALSE)</f>
        <v>D</v>
      </c>
      <c r="E410" s="49">
        <f>VLOOKUP(B410,D!A1:C227,3,FALSE)</f>
        <v>140</v>
      </c>
      <c r="F410" s="35" t="str">
        <f>VLOOKUP(B410,'Player Data'!A1:B734,2,FALSE)</f>
        <v>PHI</v>
      </c>
      <c r="G410" s="9">
        <f>VLOOKUP(B410,'Player Data'!A1:D734,3,FALSE)</f>
        <v>28</v>
      </c>
      <c r="H410" s="36">
        <f>IFERROR(VLOOKUP(B410,ADP!A1:G728,7,FALSE)/1000000,VLOOKUP(B410,ADP!A1:G728,7,FALSE))</f>
        <v>2.65</v>
      </c>
      <c r="I410" s="37">
        <f>IF(Settings!$E$15="POINTS",((R410*Q410)*Settings!$B$12)+(S410*Settings!$B$2)+(T410*Settings!$B$3)+(U410*Settings!$B$4)+(V410*Settings!$B$5)+(X410*Settings!$B$9)+(AA410*Settings!$B$6)+(W410*Settings!$B$8)+(AB410*Settings!$B$7)+(AC410*Settings!$B$14)+(AD410*Settings!$B$15)+(AE410*Settings!$B$16)+(AF410*Settings!$B$17)+(AG410*Settings!$B$18)+(U410*Settings!$B$13)+(Y410*Settings!$B$10)+(Z410*Settings!$B$11),VLOOKUP(B410,'Standard Deviations'!A1:C728,3,FALSE))</f>
        <v>122.33142390493185</v>
      </c>
      <c r="J410" s="38">
        <f>IF(D410="G",I410/AJ410,I410/Q410)</f>
        <v>1.7955023689983174</v>
      </c>
      <c r="K410" s="37">
        <f>VLOOKUP(B410,D!A1:F227,6,FALSE)</f>
        <v>-189.2340577229956</v>
      </c>
      <c r="L410" s="37">
        <f>IFERROR(K410/H410,"N/A")</f>
        <v>-71.409078386036072</v>
      </c>
      <c r="M410" s="53" t="str">
        <f>IF(Settings!$E$9="YAHOO",VLOOKUP(B410,ADP!A1:E728,2,FALSE),IF(Settings!$E$9="ESPN",VLOOKUP(B410,ADP!A1:E728,3,FALSE),IF(Settings!$E$9="FANTRAX",VLOOKUP(B410,ADP!A1:E728,4,FALSE),VLOOKUP(B410,ADP!A1:E728,5,FALSE))))</f>
        <v>-</v>
      </c>
      <c r="N410" s="53" t="str">
        <f>IFERROR(M410-A410,"N/A")</f>
        <v>N/A</v>
      </c>
      <c r="O410" s="39"/>
      <c r="P410" s="40" t="str">
        <f>IF(Settings!$E$27="ON",VLOOKUP(B410,ADP!A1:H728,8,FALSE)," ")</f>
        <v xml:space="preserve"> </v>
      </c>
      <c r="Q410" s="41">
        <f>IF(Settings!$E$12="YES",VLOOKUP(B410,'Player Data'!A1:E734,5,FALSE),82)</f>
        <v>68.132142857142895</v>
      </c>
      <c r="R410" s="39">
        <f>VLOOKUP(B410,'Player Data'!$A1:$AE734,6,FALSE)</f>
        <v>16.2295943765264</v>
      </c>
      <c r="S410" s="41">
        <f>VLOOKUP(B410,'Player Data'!$A1:$AE734,7,FALSE)*$Q410*IFERROR((VLOOKUP(P410,Settings!$E$28:$F$33,2,FALSE)+1),1)</f>
        <v>4.1114023055918736</v>
      </c>
      <c r="T410" s="41">
        <f>VLOOKUP(B410,'Player Data'!$A1:$AE734,8,FALSE)*$Q410*IFERROR((VLOOKUP(P410,Settings!$E$28:$F$33,2,FALSE)+1),1)</f>
        <v>12.806273671665485</v>
      </c>
      <c r="U410" s="41">
        <f>SUM(S410:T410)</f>
        <v>16.91767597725736</v>
      </c>
      <c r="V410" s="41">
        <f>VLOOKUP(B410,'Player Data'!$A1:$AE734,10,FALSE)*$Q410*IFERROR(((VLOOKUP(P410,Settings!$E$28:$F$33,2,FALSE)/2)+1),1)</f>
        <v>103.21754716128741</v>
      </c>
      <c r="W410" s="41">
        <f>VLOOKUP(B410,'Player Data'!$A1:$AE734,11,FALSE)*$Q410*IFERROR((VLOOKUP(P410,Settings!$E$28:$F$33,2,FALSE)+1),1)</f>
        <v>1.9333531511219963E-2</v>
      </c>
      <c r="X410" s="41">
        <f>VLOOKUP(B410,'Player Data'!$A1:$AE734,12,FALSE)*$Q410*IFERROR((VLOOKUP(P410,Settings!$E$28:$F$33,2,FALSE)+1),1)</f>
        <v>0.27478315315943524</v>
      </c>
      <c r="Y410" s="41">
        <f>VLOOKUP(B410,'Player Data'!$A1:$AE734,13,FALSE)*$Q410</f>
        <v>1.3910227734386021E-2</v>
      </c>
      <c r="Z410" s="41">
        <f>VLOOKUP(B410,'Player Data'!$A1:$AE734,14,FALSE)*$Q410</f>
        <v>5.2132574585678701E-2</v>
      </c>
      <c r="AA410" s="41">
        <f>VLOOKUP(B410,'Player Data'!$A1:$AE734,15,FALSE)*$Q410</f>
        <v>96.578954685129233</v>
      </c>
      <c r="AB410" s="41">
        <f>VLOOKUP(B410,'Player Data'!$A1:$AE734,16,FALSE)*$Q410</f>
        <v>81.687632439576646</v>
      </c>
      <c r="AC410" s="41">
        <f>VLOOKUP(B410,'Player Data'!$A1:$AE734,17,FALSE)*$Q410*IFERROR((VLOOKUP(P410,Settings!$E$28:$F$33,2,FALSE)+1),1)</f>
        <v>-4.7559057977883059</v>
      </c>
      <c r="AD410" s="41">
        <f>VLOOKUP(B410,'Player Data'!$A1:$AE734,18,FALSE)*$Q410</f>
        <v>32.286235165073499</v>
      </c>
      <c r="AE410" s="41">
        <f>VLOOKUP(B410,'Player Data'!$A1:$AE734,19,FALSE)*$Q410*IFERROR((VLOOKUP(P410,Settings!$E$28:$F$33,2,FALSE)+1),1)</f>
        <v>0.48327742518696082</v>
      </c>
      <c r="AF410" s="41">
        <f>VLOOKUP(B410,'Player Data'!$A1:$AE734,20,FALSE)*$Q410</f>
        <v>0</v>
      </c>
      <c r="AG410" s="41">
        <f>VLOOKUP(B410,'Player Data'!$A1:$AE734,21,FALSE)*$Q410</f>
        <v>0</v>
      </c>
      <c r="AH410" s="42">
        <f>VLOOKUP(B410,'Player Data'!$A1:$AE734,22,FALSE)</f>
        <v>0</v>
      </c>
      <c r="AI410" s="39"/>
      <c r="AJ410" s="43"/>
      <c r="AK410" s="41"/>
      <c r="AL410" s="41"/>
      <c r="AM410" s="41"/>
      <c r="AN410" s="41"/>
      <c r="AO410" s="41"/>
      <c r="AP410" s="41"/>
      <c r="AQ410" s="44"/>
      <c r="AR410" s="45"/>
      <c r="AS410" s="39"/>
    </row>
    <row r="411" spans="1:45" ht="21.25" customHeight="1" x14ac:dyDescent="0.15">
      <c r="A411" s="31">
        <f>RANK(K411,K$2:K$727)</f>
        <v>410</v>
      </c>
      <c r="B411" s="8" t="s">
        <v>515</v>
      </c>
      <c r="C411" s="32" t="s">
        <v>106</v>
      </c>
      <c r="D411" s="33" t="str">
        <f>VLOOKUP(B411,'Player Data'!A1:D734,4,FALSE)</f>
        <v>D</v>
      </c>
      <c r="E411" s="49">
        <f>VLOOKUP(B411,D!A1:C227,3,FALSE)</f>
        <v>141</v>
      </c>
      <c r="F411" s="35" t="str">
        <f>VLOOKUP(B411,'Player Data'!A1:B734,2,FALSE)</f>
        <v>NJD</v>
      </c>
      <c r="G411" s="9">
        <f>VLOOKUP(B411,'Player Data'!A1:D734,3,FALSE)</f>
        <v>30</v>
      </c>
      <c r="H411" s="36">
        <f>IFERROR(VLOOKUP(B411,ADP!A1:G728,7,FALSE)/1000000,VLOOKUP(B411,ADP!A1:G728,7,FALSE))</f>
        <v>1.85</v>
      </c>
      <c r="I411" s="37">
        <f>IF(Settings!$E$15="POINTS",((R411*Q411)*Settings!$B$12)+(S411*Settings!$B$2)+(T411*Settings!$B$3)+(U411*Settings!$B$4)+(V411*Settings!$B$5)+(X411*Settings!$B$9)+(AA411*Settings!$B$6)+(W411*Settings!$B$8)+(AB411*Settings!$B$7)+(AC411*Settings!$B$14)+(AD411*Settings!$B$15)+(AE411*Settings!$B$16)+(AF411*Settings!$B$17)+(AG411*Settings!$B$18)+(U411*Settings!$B$13)+(Y411*Settings!$B$10)+(Z411*Settings!$B$11),VLOOKUP(B411,'Standard Deviations'!A1:C728,3,FALSE))</f>
        <v>121.89519022660059</v>
      </c>
      <c r="J411" s="38">
        <f>IF(D411="G",I411/AJ411,I411/Q411)</f>
        <v>1.5493299044203936</v>
      </c>
      <c r="K411" s="37">
        <f>VLOOKUP(B411,D!A1:F227,6,FALSE)</f>
        <v>-189.67029140132686</v>
      </c>
      <c r="L411" s="37">
        <f>IFERROR(K411/H411,"N/A")</f>
        <v>-102.52448183855506</v>
      </c>
      <c r="M411" s="53" t="str">
        <f>IF(Settings!$E$9="YAHOO",VLOOKUP(B411,ADP!A1:E728,2,FALSE),IF(Settings!$E$9="ESPN",VLOOKUP(B411,ADP!A1:E728,3,FALSE),IF(Settings!$E$9="FANTRAX",VLOOKUP(B411,ADP!A1:E728,4,FALSE),VLOOKUP(B411,ADP!A1:E728,5,FALSE))))</f>
        <v>-</v>
      </c>
      <c r="N411" s="53" t="str">
        <f>IFERROR(M411-A411,"N/A")</f>
        <v>N/A</v>
      </c>
      <c r="O411" s="39"/>
      <c r="P411" s="40" t="str">
        <f>IF(Settings!$E$27="ON",VLOOKUP(B411,ADP!A1:H728,8,FALSE)," ")</f>
        <v xml:space="preserve"> </v>
      </c>
      <c r="Q411" s="41">
        <f>IF(Settings!$E$12="YES",VLOOKUP(B411,'Player Data'!A1:E734,5,FALSE),82)</f>
        <v>78.676071428571404</v>
      </c>
      <c r="R411" s="39">
        <f>VLOOKUP(B411,'Player Data'!$A1:$AE734,6,FALSE)</f>
        <v>16.7621423012504</v>
      </c>
      <c r="S411" s="41">
        <f>VLOOKUP(B411,'Player Data'!$A1:$AE734,7,FALSE)*$Q411*IFERROR((VLOOKUP(P411,Settings!$E$28:$F$33,2,FALSE)+1),1)</f>
        <v>4.5532184963801825</v>
      </c>
      <c r="T411" s="41">
        <f>VLOOKUP(B411,'Player Data'!$A1:$AE734,8,FALSE)*$Q411*IFERROR((VLOOKUP(P411,Settings!$E$28:$F$33,2,FALSE)+1),1)</f>
        <v>14.591807359047751</v>
      </c>
      <c r="U411" s="41">
        <f>SUM(S411:T411)</f>
        <v>19.145025855427932</v>
      </c>
      <c r="V411" s="41">
        <f>VLOOKUP(B411,'Player Data'!$A1:$AE734,10,FALSE)*$Q411*IFERROR(((VLOOKUP(P411,Settings!$E$28:$F$33,2,FALSE)/2)+1),1)</f>
        <v>95.269427553161833</v>
      </c>
      <c r="W411" s="41">
        <f>VLOOKUP(B411,'Player Data'!$A1:$AE734,11,FALSE)*$Q411*IFERROR((VLOOKUP(P411,Settings!$E$28:$F$33,2,FALSE)+1),1)</f>
        <v>0.16027861136560634</v>
      </c>
      <c r="X411" s="41">
        <f>VLOOKUP(B411,'Player Data'!$A1:$AE734,12,FALSE)*$Q411*IFERROR((VLOOKUP(P411,Settings!$E$28:$F$33,2,FALSE)+1),1)</f>
        <v>0.64772006109551794</v>
      </c>
      <c r="Y411" s="41">
        <f>VLOOKUP(B411,'Player Data'!$A1:$AE734,13,FALSE)*$Q411</f>
        <v>1.7897140640117725E-2</v>
      </c>
      <c r="Z411" s="41">
        <f>VLOOKUP(B411,'Player Data'!$A1:$AE734,14,FALSE)*$Q411</f>
        <v>6.7567274688567269E-2</v>
      </c>
      <c r="AA411" s="41">
        <f>VLOOKUP(B411,'Player Data'!$A1:$AE734,15,FALSE)*$Q411</f>
        <v>76.974121060838513</v>
      </c>
      <c r="AB411" s="41">
        <f>VLOOKUP(B411,'Player Data'!$A1:$AE734,16,FALSE)*$Q411</f>
        <v>106.41832829324353</v>
      </c>
      <c r="AC411" s="41">
        <f>VLOOKUP(B411,'Player Data'!$A1:$AE734,17,FALSE)*$Q411*IFERROR((VLOOKUP(P411,Settings!$E$28:$F$33,2,FALSE)+1),1)</f>
        <v>0.72901072798021582</v>
      </c>
      <c r="AD411" s="41">
        <f>VLOOKUP(B411,'Player Data'!$A1:$AE734,18,FALSE)*$Q411</f>
        <v>37.191763515768969</v>
      </c>
      <c r="AE411" s="41">
        <f>VLOOKUP(B411,'Player Data'!$A1:$AE734,19,FALSE)*$Q411*IFERROR((VLOOKUP(P411,Settings!$E$28:$F$33,2,FALSE)+1),1)</f>
        <v>0.6701909823329758</v>
      </c>
      <c r="AF411" s="41">
        <f>VLOOKUP(B411,'Player Data'!$A1:$AE734,20,FALSE)*$Q411</f>
        <v>0</v>
      </c>
      <c r="AG411" s="41">
        <f>VLOOKUP(B411,'Player Data'!$A1:$AE734,21,FALSE)*$Q411</f>
        <v>0</v>
      </c>
      <c r="AH411" s="42">
        <f>VLOOKUP(B411,'Player Data'!$A1:$AE734,22,FALSE)</f>
        <v>0</v>
      </c>
      <c r="AI411" s="39"/>
      <c r="AJ411" s="43"/>
      <c r="AK411" s="41"/>
      <c r="AL411" s="41"/>
      <c r="AM411" s="41"/>
      <c r="AN411" s="41"/>
      <c r="AO411" s="41"/>
      <c r="AP411" s="41"/>
      <c r="AQ411" s="44"/>
      <c r="AR411" s="45"/>
      <c r="AS411" s="39"/>
    </row>
    <row r="412" spans="1:45" ht="21.25" customHeight="1" x14ac:dyDescent="0.15">
      <c r="A412" s="31">
        <f>RANK(K412,K$2:K$727)</f>
        <v>411</v>
      </c>
      <c r="B412" s="8" t="s">
        <v>516</v>
      </c>
      <c r="C412" s="32" t="s">
        <v>106</v>
      </c>
      <c r="D412" s="33" t="str">
        <f>VLOOKUP(B412,'Player Data'!A1:D734,4,FALSE)</f>
        <v>D</v>
      </c>
      <c r="E412" s="49">
        <f>VLOOKUP(B412,D!A1:C227,3,FALSE)</f>
        <v>142</v>
      </c>
      <c r="F412" s="35" t="str">
        <f>VLOOKUP(B412,'Player Data'!A1:B734,2,FALSE)</f>
        <v>DAL</v>
      </c>
      <c r="G412" s="9">
        <f>VLOOKUP(B412,'Player Data'!A1:D734,3,FALSE)</f>
        <v>38</v>
      </c>
      <c r="H412" s="36">
        <f>IFERROR(VLOOKUP(B412,ADP!A1:G728,7,FALSE)/1000000,VLOOKUP(B412,ADP!A1:G728,7,FALSE))</f>
        <v>3.65</v>
      </c>
      <c r="I412" s="37">
        <f>IF(Settings!$E$15="POINTS",((R412*Q412)*Settings!$B$12)+(S412*Settings!$B$2)+(T412*Settings!$B$3)+(U412*Settings!$B$4)+(V412*Settings!$B$5)+(X412*Settings!$B$9)+(AA412*Settings!$B$6)+(W412*Settings!$B$8)+(AB412*Settings!$B$7)+(AC412*Settings!$B$14)+(AD412*Settings!$B$15)+(AE412*Settings!$B$16)+(AF412*Settings!$B$17)+(AG412*Settings!$B$18)+(U412*Settings!$B$13)+(Y412*Settings!$B$10)+(Z412*Settings!$B$11),VLOOKUP(B412,'Standard Deviations'!A1:C728,3,FALSE))</f>
        <v>121.82591191268654</v>
      </c>
      <c r="J412" s="38">
        <f>IF(D412="G",I412/AJ412,I412/Q412)</f>
        <v>1.4851385092367004</v>
      </c>
      <c r="K412" s="37">
        <f>VLOOKUP(B412,D!A1:F227,6,FALSE)</f>
        <v>-189.73956971524092</v>
      </c>
      <c r="L412" s="37">
        <f>IFERROR(K412/H412,"N/A")</f>
        <v>-51.983443757600256</v>
      </c>
      <c r="M412" s="53" t="str">
        <f>IF(Settings!$E$9="YAHOO",VLOOKUP(B412,ADP!A1:E728,2,FALSE),IF(Settings!$E$9="ESPN",VLOOKUP(B412,ADP!A1:E728,3,FALSE),IF(Settings!$E$9="FANTRAX",VLOOKUP(B412,ADP!A1:E728,4,FALSE),VLOOKUP(B412,ADP!A1:E728,5,FALSE))))</f>
        <v>-</v>
      </c>
      <c r="N412" s="53" t="str">
        <f>IFERROR(M412-A412,"N/A")</f>
        <v>N/A</v>
      </c>
      <c r="O412" s="39"/>
      <c r="P412" s="40" t="str">
        <f>IF(Settings!$E$27="ON",VLOOKUP(B412,ADP!A1:H728,8,FALSE)," ")</f>
        <v xml:space="preserve"> </v>
      </c>
      <c r="Q412" s="41">
        <f>IF(Settings!$E$12="YES",VLOOKUP(B412,'Player Data'!A1:E734,5,FALSE),82)</f>
        <v>82.03</v>
      </c>
      <c r="R412" s="39">
        <f>VLOOKUP(B412,'Player Data'!$A1:$AE734,6,FALSE)</f>
        <v>18.530679583151599</v>
      </c>
      <c r="S412" s="41">
        <f>VLOOKUP(B412,'Player Data'!$A1:$AE734,7,FALSE)*$Q412*IFERROR((VLOOKUP(P412,Settings!$E$28:$F$33,2,FALSE)+1),1)</f>
        <v>2.3658631510324417</v>
      </c>
      <c r="T412" s="41">
        <f>VLOOKUP(B412,'Player Data'!$A1:$AE734,8,FALSE)*$Q412*IFERROR((VLOOKUP(P412,Settings!$E$28:$F$33,2,FALSE)+1),1)</f>
        <v>15.360298214035424</v>
      </c>
      <c r="U412" s="41">
        <f>SUM(S412:T412)</f>
        <v>17.726161365067867</v>
      </c>
      <c r="V412" s="41">
        <f>VLOOKUP(B412,'Player Data'!$A1:$AE734,10,FALSE)*$Q412*IFERROR(((VLOOKUP(P412,Settings!$E$28:$F$33,2,FALSE)/2)+1),1)</f>
        <v>86.72907763317609</v>
      </c>
      <c r="W412" s="41">
        <f>VLOOKUP(B412,'Player Data'!$A1:$AE734,11,FALSE)*$Q412*IFERROR((VLOOKUP(P412,Settings!$E$28:$F$33,2,FALSE)+1),1)</f>
        <v>0.33603393211017563</v>
      </c>
      <c r="X412" s="41">
        <f>VLOOKUP(B412,'Player Data'!$A1:$AE734,12,FALSE)*$Q412*IFERROR((VLOOKUP(P412,Settings!$E$28:$F$33,2,FALSE)+1),1)</f>
        <v>2.1189858956833278</v>
      </c>
      <c r="Y412" s="41">
        <f>VLOOKUP(B412,'Player Data'!$A1:$AE734,13,FALSE)*$Q412</f>
        <v>2.058895363762336E-2</v>
      </c>
      <c r="Z412" s="41">
        <f>VLOOKUP(B412,'Player Data'!$A1:$AE734,14,FALSE)*$Q412</f>
        <v>0.4843746206183307</v>
      </c>
      <c r="AA412" s="41">
        <f>VLOOKUP(B412,'Player Data'!$A1:$AE734,15,FALSE)*$Q412</f>
        <v>100.38083984145787</v>
      </c>
      <c r="AB412" s="41">
        <f>VLOOKUP(B412,'Player Data'!$A1:$AE734,16,FALSE)*$Q412</f>
        <v>74.762406409442605</v>
      </c>
      <c r="AC412" s="41">
        <f>VLOOKUP(B412,'Player Data'!$A1:$AE734,17,FALSE)*$Q412*IFERROR((VLOOKUP(P412,Settings!$E$28:$F$33,2,FALSE)+1),1)</f>
        <v>4.8355863757745423</v>
      </c>
      <c r="AD412" s="41">
        <f>VLOOKUP(B412,'Player Data'!$A1:$AE734,18,FALSE)*$Q412</f>
        <v>27.021682308452739</v>
      </c>
      <c r="AE412" s="41">
        <f>VLOOKUP(B412,'Player Data'!$A1:$AE734,19,FALSE)*$Q412*IFERROR((VLOOKUP(P412,Settings!$E$28:$F$33,2,FALSE)+1),1)</f>
        <v>0.37852133243247271</v>
      </c>
      <c r="AF412" s="41">
        <f>VLOOKUP(B412,'Player Data'!$A1:$AE734,20,FALSE)*$Q412</f>
        <v>0</v>
      </c>
      <c r="AG412" s="41">
        <f>VLOOKUP(B412,'Player Data'!$A1:$AE734,21,FALSE)*$Q412</f>
        <v>0</v>
      </c>
      <c r="AH412" s="42">
        <f>VLOOKUP(B412,'Player Data'!$A1:$AE734,22,FALSE)</f>
        <v>0</v>
      </c>
      <c r="AI412" s="39"/>
      <c r="AJ412" s="43"/>
      <c r="AK412" s="41"/>
      <c r="AL412" s="41"/>
      <c r="AM412" s="41"/>
      <c r="AN412" s="41"/>
      <c r="AO412" s="41"/>
      <c r="AP412" s="41"/>
      <c r="AQ412" s="44"/>
      <c r="AR412" s="45"/>
      <c r="AS412" s="39"/>
    </row>
    <row r="413" spans="1:45" ht="21.25" customHeight="1" x14ac:dyDescent="0.15">
      <c r="A413" s="31">
        <f>RANK(K413,K$2:K$727)</f>
        <v>412</v>
      </c>
      <c r="B413" s="8" t="s">
        <v>517</v>
      </c>
      <c r="C413" s="32" t="s">
        <v>106</v>
      </c>
      <c r="D413" s="33" t="str">
        <f>VLOOKUP(B413,'Player Data'!A1:D734,4,FALSE)</f>
        <v>D</v>
      </c>
      <c r="E413" s="49">
        <f>VLOOKUP(B413,D!A1:C227,3,FALSE)</f>
        <v>143</v>
      </c>
      <c r="F413" s="35" t="str">
        <f>VLOOKUP(B413,'Player Data'!A1:B734,2,FALSE)</f>
        <v>VAN</v>
      </c>
      <c r="G413" s="9">
        <f>VLOOKUP(B413,'Player Data'!A1:D734,3,FALSE)</f>
        <v>33</v>
      </c>
      <c r="H413" s="36">
        <f>IFERROR(VLOOKUP(B413,ADP!A1:G728,7,FALSE)/1000000,VLOOKUP(B413,ADP!A1:G728,7,FALSE))</f>
        <v>6</v>
      </c>
      <c r="I413" s="37">
        <f>IF(Settings!$E$15="POINTS",((R413*Q413)*Settings!$B$12)+(S413*Settings!$B$2)+(T413*Settings!$B$3)+(U413*Settings!$B$4)+(V413*Settings!$B$5)+(X413*Settings!$B$9)+(AA413*Settings!$B$6)+(W413*Settings!$B$8)+(AB413*Settings!$B$7)+(AC413*Settings!$B$14)+(AD413*Settings!$B$15)+(AE413*Settings!$B$16)+(AF413*Settings!$B$17)+(AG413*Settings!$B$18)+(U413*Settings!$B$13)+(Y413*Settings!$B$10)+(Z413*Settings!$B$11),VLOOKUP(B413,'Standard Deviations'!A1:C728,3,FALSE))</f>
        <v>120.8623036682129</v>
      </c>
      <c r="J413" s="38">
        <f>IF(D413="G",I413/AJ413,I413/Q413)</f>
        <v>1.4889366272933495</v>
      </c>
      <c r="K413" s="37">
        <f>VLOOKUP(B413,D!A1:F227,6,FALSE)</f>
        <v>-190.70317795971454</v>
      </c>
      <c r="L413" s="37">
        <f>IFERROR(K413/H413,"N/A")</f>
        <v>-31.783862993285755</v>
      </c>
      <c r="M413" s="53" t="str">
        <f>IF(Settings!$E$9="YAHOO",VLOOKUP(B413,ADP!A1:E728,2,FALSE),IF(Settings!$E$9="ESPN",VLOOKUP(B413,ADP!A1:E728,3,FALSE),IF(Settings!$E$9="FANTRAX",VLOOKUP(B413,ADP!A1:E728,4,FALSE),VLOOKUP(B413,ADP!A1:E728,5,FALSE))))</f>
        <v>-</v>
      </c>
      <c r="N413" s="53" t="str">
        <f>IFERROR(M413-A413,"N/A")</f>
        <v>N/A</v>
      </c>
      <c r="O413" s="39"/>
      <c r="P413" s="40" t="str">
        <f>IF(Settings!$E$27="ON",VLOOKUP(B413,ADP!A1:H728,8,FALSE)," ")</f>
        <v xml:space="preserve"> </v>
      </c>
      <c r="Q413" s="41">
        <f>IF(Settings!$E$12="YES",VLOOKUP(B413,'Player Data'!A1:E734,5,FALSE),82)</f>
        <v>81.173571428571407</v>
      </c>
      <c r="R413" s="39">
        <f>VLOOKUP(B413,'Player Data'!$A1:$AE734,6,FALSE)</f>
        <v>17.543180197851001</v>
      </c>
      <c r="S413" s="41">
        <f>VLOOKUP(B413,'Player Data'!$A1:$AE734,7,FALSE)*$Q413*IFERROR((VLOOKUP(P413,Settings!$E$28:$F$33,2,FALSE)+1),1)</f>
        <v>1.8282524091610026</v>
      </c>
      <c r="T413" s="41">
        <f>VLOOKUP(B413,'Player Data'!$A1:$AE734,8,FALSE)*$Q413*IFERROR((VLOOKUP(P413,Settings!$E$28:$F$33,2,FALSE)+1),1)</f>
        <v>13.786344765359278</v>
      </c>
      <c r="U413" s="41">
        <f>SUM(S413:T413)</f>
        <v>15.614597174520281</v>
      </c>
      <c r="V413" s="41">
        <f>VLOOKUP(B413,'Player Data'!$A1:$AE734,10,FALSE)*$Q413*IFERROR(((VLOOKUP(P413,Settings!$E$28:$F$33,2,FALSE)/2)+1),1)</f>
        <v>96.365107822021443</v>
      </c>
      <c r="W413" s="41">
        <f>VLOOKUP(B413,'Player Data'!$A1:$AE734,11,FALSE)*$Q413*IFERROR((VLOOKUP(P413,Settings!$E$28:$F$33,2,FALSE)+1),1)</f>
        <v>3.82434493439665E-2</v>
      </c>
      <c r="X413" s="41">
        <f>VLOOKUP(B413,'Player Data'!$A1:$AE734,12,FALSE)*$Q413*IFERROR((VLOOKUP(P413,Settings!$E$28:$F$33,2,FALSE)+1),1)</f>
        <v>0.63524694490186451</v>
      </c>
      <c r="Y413" s="41">
        <f>VLOOKUP(B413,'Player Data'!$A1:$AE734,13,FALSE)*$Q413</f>
        <v>0.10583868746237206</v>
      </c>
      <c r="Z413" s="41">
        <f>VLOOKUP(B413,'Player Data'!$A1:$AE734,14,FALSE)*$Q413</f>
        <v>0.48462465540251193</v>
      </c>
      <c r="AA413" s="41">
        <f>VLOOKUP(B413,'Player Data'!$A1:$AE734,15,FALSE)*$Q413</f>
        <v>117.98107516516291</v>
      </c>
      <c r="AB413" s="41">
        <f>VLOOKUP(B413,'Player Data'!$A1:$AE734,16,FALSE)*$Q413</f>
        <v>94.729415430761506</v>
      </c>
      <c r="AC413" s="41">
        <f>VLOOKUP(B413,'Player Data'!$A1:$AE734,17,FALSE)*$Q413*IFERROR((VLOOKUP(P413,Settings!$E$28:$F$33,2,FALSE)+1),1)</f>
        <v>-2.079376214880126</v>
      </c>
      <c r="AD413" s="41">
        <f>VLOOKUP(B413,'Player Data'!$A1:$AE734,18,FALSE)*$Q413</f>
        <v>50.958671264783391</v>
      </c>
      <c r="AE413" s="41">
        <f>VLOOKUP(B413,'Player Data'!$A1:$AE734,19,FALSE)*$Q413*IFERROR((VLOOKUP(P413,Settings!$E$28:$F$33,2,FALSE)+1),1)</f>
        <v>0.25880676924012036</v>
      </c>
      <c r="AF413" s="41">
        <f>VLOOKUP(B413,'Player Data'!$A1:$AE734,20,FALSE)*$Q413</f>
        <v>0</v>
      </c>
      <c r="AG413" s="41">
        <f>VLOOKUP(B413,'Player Data'!$A1:$AE734,21,FALSE)*$Q413</f>
        <v>0</v>
      </c>
      <c r="AH413" s="42">
        <f>VLOOKUP(B413,'Player Data'!$A1:$AE734,22,FALSE)</f>
        <v>0</v>
      </c>
      <c r="AI413" s="39"/>
      <c r="AJ413" s="43"/>
      <c r="AK413" s="41"/>
      <c r="AL413" s="41"/>
      <c r="AM413" s="41"/>
      <c r="AN413" s="41"/>
      <c r="AO413" s="41"/>
      <c r="AP413" s="41"/>
      <c r="AQ413" s="44"/>
      <c r="AR413" s="45"/>
      <c r="AS413" s="39"/>
    </row>
    <row r="414" spans="1:45" ht="21.25" customHeight="1" x14ac:dyDescent="0.15">
      <c r="A414" s="31">
        <f>RANK(K414,K$2:K$727)</f>
        <v>413</v>
      </c>
      <c r="B414" s="8" t="s">
        <v>518</v>
      </c>
      <c r="C414" s="32" t="s">
        <v>106</v>
      </c>
      <c r="D414" s="33" t="str">
        <f>VLOOKUP(B414,'Player Data'!A1:D734,4,FALSE)</f>
        <v>D</v>
      </c>
      <c r="E414" s="49">
        <f>VLOOKUP(B414,D!A1:C227,3,FALSE)</f>
        <v>144</v>
      </c>
      <c r="F414" s="35" t="str">
        <f>VLOOKUP(B414,'Player Data'!A1:B734,2,FALSE)</f>
        <v>NSH</v>
      </c>
      <c r="G414" s="9">
        <f>VLOOKUP(B414,'Player Data'!A1:D734,3,FALSE)</f>
        <v>33</v>
      </c>
      <c r="H414" s="36">
        <f>IFERROR(VLOOKUP(B414,ADP!A1:G728,7,FALSE)/1000000,VLOOKUP(B414,ADP!A1:G728,7,FALSE))</f>
        <v>2.75</v>
      </c>
      <c r="I414" s="37">
        <f>IF(Settings!$E$15="POINTS",((R414*Q414)*Settings!$B$12)+(S414*Settings!$B$2)+(T414*Settings!$B$3)+(U414*Settings!$B$4)+(V414*Settings!$B$5)+(X414*Settings!$B$9)+(AA414*Settings!$B$6)+(W414*Settings!$B$8)+(AB414*Settings!$B$7)+(AC414*Settings!$B$14)+(AD414*Settings!$B$15)+(AE414*Settings!$B$16)+(AF414*Settings!$B$17)+(AG414*Settings!$B$18)+(U414*Settings!$B$13)+(Y414*Settings!$B$10)+(Z414*Settings!$B$11),VLOOKUP(B414,'Standard Deviations'!A1:C728,3,FALSE))</f>
        <v>120.15737778377026</v>
      </c>
      <c r="J414" s="38">
        <f>IF(D414="G",I414/AJ414,I414/Q414)</f>
        <v>1.6007263193194252</v>
      </c>
      <c r="K414" s="37">
        <f>VLOOKUP(B414,D!A1:F227,6,FALSE)</f>
        <v>-191.40810384415721</v>
      </c>
      <c r="L414" s="37">
        <f>IFERROR(K414/H414,"N/A")</f>
        <v>-69.6029468524208</v>
      </c>
      <c r="M414" s="39">
        <f>IF(Settings!$E$9="YAHOO",VLOOKUP(B414,ADP!A1:E728,2,FALSE),IF(Settings!$E$9="ESPN",VLOOKUP(B414,ADP!A1:E728,3,FALSE),IF(Settings!$E$9="FANTRAX",VLOOKUP(B414,ADP!A1:E728,4,FALSE),VLOOKUP(B414,ADP!A1:E728,5,FALSE))))</f>
        <v>150.80000000000001</v>
      </c>
      <c r="N414" s="39">
        <f>IFERROR(M414-A414,"N/A")</f>
        <v>-262.2</v>
      </c>
      <c r="O414" s="39"/>
      <c r="P414" s="40" t="str">
        <f>IF(Settings!$E$27="ON",VLOOKUP(B414,ADP!A1:H728,8,FALSE)," ")</f>
        <v xml:space="preserve"> </v>
      </c>
      <c r="Q414" s="41">
        <f>IF(Settings!$E$12="YES",VLOOKUP(B414,'Player Data'!A1:E734,5,FALSE),82)</f>
        <v>75.064285714285703</v>
      </c>
      <c r="R414" s="39">
        <f>VLOOKUP(B414,'Player Data'!$A1:$AE734,6,FALSE)</f>
        <v>16.643245714830201</v>
      </c>
      <c r="S414" s="41">
        <f>VLOOKUP(B414,'Player Data'!$A1:$AE734,7,FALSE)*$Q414*IFERROR((VLOOKUP(P414,Settings!$E$28:$F$33,2,FALSE)+1),1)</f>
        <v>4.2311010606771724</v>
      </c>
      <c r="T414" s="41">
        <f>VLOOKUP(B414,'Player Data'!$A1:$AE734,8,FALSE)*$Q414*IFERROR((VLOOKUP(P414,Settings!$E$28:$F$33,2,FALSE)+1),1)</f>
        <v>14.012236333555107</v>
      </c>
      <c r="U414" s="41">
        <f>SUM(S414:T414)</f>
        <v>18.243337394232277</v>
      </c>
      <c r="V414" s="41">
        <f>VLOOKUP(B414,'Player Data'!$A1:$AE734,10,FALSE)*$Q414*IFERROR(((VLOOKUP(P414,Settings!$E$28:$F$33,2,FALSE)/2)+1),1)</f>
        <v>88.046035015414489</v>
      </c>
      <c r="W414" s="41">
        <f>VLOOKUP(B414,'Player Data'!$A1:$AE734,11,FALSE)*$Q414*IFERROR((VLOOKUP(P414,Settings!$E$28:$F$33,2,FALSE)+1),1)</f>
        <v>2.1079509726833052E-2</v>
      </c>
      <c r="X414" s="41">
        <f>VLOOKUP(B414,'Player Data'!$A1:$AE734,12,FALSE)*$Q414*IFERROR((VLOOKUP(P414,Settings!$E$28:$F$33,2,FALSE)+1),1)</f>
        <v>0.14729648114998878</v>
      </c>
      <c r="Y414" s="41">
        <f>VLOOKUP(B414,'Player Data'!$A1:$AE734,13,FALSE)*$Q414</f>
        <v>3.3544598539940358E-2</v>
      </c>
      <c r="Z414" s="41">
        <f>VLOOKUP(B414,'Player Data'!$A1:$AE734,14,FALSE)*$Q414</f>
        <v>0.13253891759027767</v>
      </c>
      <c r="AA414" s="41">
        <f>VLOOKUP(B414,'Player Data'!$A1:$AE734,15,FALSE)*$Q414</f>
        <v>104.22338647942829</v>
      </c>
      <c r="AB414" s="41">
        <f>VLOOKUP(B414,'Player Data'!$A1:$AE734,16,FALSE)*$Q414</f>
        <v>269.97807080861628</v>
      </c>
      <c r="AC414" s="41">
        <f>VLOOKUP(B414,'Player Data'!$A1:$AE734,17,FALSE)*$Q414*IFERROR((VLOOKUP(P414,Settings!$E$28:$F$33,2,FALSE)+1),1)</f>
        <v>-0.79268293508597076</v>
      </c>
      <c r="AD414" s="41">
        <f>VLOOKUP(B414,'Player Data'!$A1:$AE734,18,FALSE)*$Q414</f>
        <v>71.800089805096647</v>
      </c>
      <c r="AE414" s="41">
        <f>VLOOKUP(B414,'Player Data'!$A1:$AE734,19,FALSE)*$Q414*IFERROR((VLOOKUP(P414,Settings!$E$28:$F$33,2,FALSE)+1),1)</f>
        <v>0.61785141540312116</v>
      </c>
      <c r="AF414" s="41">
        <f>VLOOKUP(B414,'Player Data'!$A1:$AE734,20,FALSE)*$Q414</f>
        <v>0</v>
      </c>
      <c r="AG414" s="41">
        <f>VLOOKUP(B414,'Player Data'!$A1:$AE734,21,FALSE)*$Q414</f>
        <v>0</v>
      </c>
      <c r="AH414" s="42">
        <f>VLOOKUP(B414,'Player Data'!$A1:$AE734,22,FALSE)</f>
        <v>0</v>
      </c>
      <c r="AI414" s="39"/>
      <c r="AJ414" s="43"/>
      <c r="AK414" s="41"/>
      <c r="AL414" s="41"/>
      <c r="AM414" s="41"/>
      <c r="AN414" s="41"/>
      <c r="AO414" s="41"/>
      <c r="AP414" s="41"/>
      <c r="AQ414" s="44"/>
      <c r="AR414" s="45"/>
      <c r="AS414" s="39"/>
    </row>
    <row r="415" spans="1:45" ht="21.25" customHeight="1" x14ac:dyDescent="0.15">
      <c r="A415" s="31">
        <f>RANK(K415,K$2:K$727)</f>
        <v>414</v>
      </c>
      <c r="B415" s="8" t="s">
        <v>519</v>
      </c>
      <c r="C415" s="32" t="s">
        <v>106</v>
      </c>
      <c r="D415" s="33" t="str">
        <f>VLOOKUP(B415,'Player Data'!A1:D734,4,FALSE)</f>
        <v>D</v>
      </c>
      <c r="E415" s="49">
        <f>VLOOKUP(B415,D!A1:C227,3,FALSE)</f>
        <v>145</v>
      </c>
      <c r="F415" s="35" t="str">
        <f>VLOOKUP(B415,'Player Data'!A1:B734,2,FALSE)</f>
        <v>DET</v>
      </c>
      <c r="G415" s="9">
        <f>VLOOKUP(B415,'Player Data'!A1:D734,3,FALSE)</f>
        <v>31</v>
      </c>
      <c r="H415" s="36">
        <f>IFERROR(VLOOKUP(B415,ADP!A1:G728,7,FALSE)/1000000,VLOOKUP(B415,ADP!A1:G728,7,FALSE))</f>
        <v>3.4</v>
      </c>
      <c r="I415" s="37">
        <f>IF(Settings!$E$15="POINTS",((R415*Q415)*Settings!$B$12)+(S415*Settings!$B$2)+(T415*Settings!$B$3)+(U415*Settings!$B$4)+(V415*Settings!$B$5)+(X415*Settings!$B$9)+(AA415*Settings!$B$6)+(W415*Settings!$B$8)+(AB415*Settings!$B$7)+(AC415*Settings!$B$14)+(AD415*Settings!$B$15)+(AE415*Settings!$B$16)+(AF415*Settings!$B$17)+(AG415*Settings!$B$18)+(U415*Settings!$B$13)+(Y415*Settings!$B$10)+(Z415*Settings!$B$11),VLOOKUP(B415,'Standard Deviations'!A1:C728,3,FALSE))</f>
        <v>119.39416699704914</v>
      </c>
      <c r="J415" s="38">
        <f>IF(D415="G",I415/AJ415,I415/Q415)</f>
        <v>1.4972731725080628</v>
      </c>
      <c r="K415" s="37">
        <f>VLOOKUP(B415,D!A1:F227,6,FALSE)</f>
        <v>-192.17131463087833</v>
      </c>
      <c r="L415" s="37">
        <f>IFERROR(K415/H415,"N/A")</f>
        <v>-56.520974891434804</v>
      </c>
      <c r="M415" s="53" t="str">
        <f>IF(Settings!$E$9="YAHOO",VLOOKUP(B415,ADP!A1:E728,2,FALSE),IF(Settings!$E$9="ESPN",VLOOKUP(B415,ADP!A1:E728,3,FALSE),IF(Settings!$E$9="FANTRAX",VLOOKUP(B415,ADP!A1:E728,4,FALSE),VLOOKUP(B415,ADP!A1:E728,5,FALSE))))</f>
        <v>-</v>
      </c>
      <c r="N415" s="53" t="str">
        <f>IFERROR(M415-A415,"N/A")</f>
        <v>N/A</v>
      </c>
      <c r="O415" s="39"/>
      <c r="P415" s="40" t="str">
        <f>IF(Settings!$E$27="ON",VLOOKUP(B415,ADP!A1:H728,8,FALSE)," ")</f>
        <v xml:space="preserve"> </v>
      </c>
      <c r="Q415" s="41">
        <f>IF(Settings!$E$12="YES",VLOOKUP(B415,'Player Data'!A1:E734,5,FALSE),82)</f>
        <v>79.741071428571402</v>
      </c>
      <c r="R415" s="39">
        <f>VLOOKUP(B415,'Player Data'!$A1:$AE734,6,FALSE)</f>
        <v>18.589297127749902</v>
      </c>
      <c r="S415" s="41">
        <f>VLOOKUP(B415,'Player Data'!$A1:$AE734,7,FALSE)*$Q415*IFERROR((VLOOKUP(P415,Settings!$E$28:$F$33,2,FALSE)+1),1)</f>
        <v>2.3786922890375517</v>
      </c>
      <c r="T415" s="41">
        <f>VLOOKUP(B415,'Player Data'!$A1:$AE734,8,FALSE)*$Q415*IFERROR((VLOOKUP(P415,Settings!$E$28:$F$33,2,FALSE)+1),1)</f>
        <v>17.785788905066536</v>
      </c>
      <c r="U415" s="41">
        <f>SUM(S415:T415)</f>
        <v>20.164481194104088</v>
      </c>
      <c r="V415" s="41">
        <f>VLOOKUP(B415,'Player Data'!$A1:$AE734,10,FALSE)*$Q415*IFERROR(((VLOOKUP(P415,Settings!$E$28:$F$33,2,FALSE)/2)+1),1)</f>
        <v>65.768212111475776</v>
      </c>
      <c r="W415" s="41">
        <f>VLOOKUP(B415,'Player Data'!$A1:$AE734,11,FALSE)*$Q415*IFERROR((VLOOKUP(P415,Settings!$E$28:$F$33,2,FALSE)+1),1)</f>
        <v>2.0216856021951536E-2</v>
      </c>
      <c r="X415" s="41">
        <f>VLOOKUP(B415,'Player Data'!$A1:$AE734,12,FALSE)*$Q415*IFERROR((VLOOKUP(P415,Settings!$E$28:$F$33,2,FALSE)+1),1)</f>
        <v>0.14993027256139854</v>
      </c>
      <c r="Y415" s="41">
        <f>VLOOKUP(B415,'Player Data'!$A1:$AE734,13,FALSE)*$Q415</f>
        <v>0.21468872512545351</v>
      </c>
      <c r="Z415" s="41">
        <f>VLOOKUP(B415,'Player Data'!$A1:$AE734,14,FALSE)*$Q415</f>
        <v>0.8862573164173102</v>
      </c>
      <c r="AA415" s="41">
        <f>VLOOKUP(B415,'Player Data'!$A1:$AE734,15,FALSE)*$Q415</f>
        <v>119.72121090520795</v>
      </c>
      <c r="AB415" s="41">
        <f>VLOOKUP(B415,'Player Data'!$A1:$AE734,16,FALSE)*$Q415</f>
        <v>132.40141693669875</v>
      </c>
      <c r="AC415" s="41">
        <f>VLOOKUP(B415,'Player Data'!$A1:$AE734,17,FALSE)*$Q415*IFERROR((VLOOKUP(P415,Settings!$E$28:$F$33,2,FALSE)+1),1)</f>
        <v>-1.6781861376751563</v>
      </c>
      <c r="AD415" s="41">
        <f>VLOOKUP(B415,'Player Data'!$A1:$AE734,18,FALSE)*$Q415</f>
        <v>37.357274544398805</v>
      </c>
      <c r="AE415" s="41">
        <f>VLOOKUP(B415,'Player Data'!$A1:$AE734,19,FALSE)*$Q415*IFERROR((VLOOKUP(P415,Settings!$E$28:$F$33,2,FALSE)+1),1)</f>
        <v>0.30711618740750124</v>
      </c>
      <c r="AF415" s="41">
        <f>VLOOKUP(B415,'Player Data'!$A1:$AE734,20,FALSE)*$Q415</f>
        <v>0</v>
      </c>
      <c r="AG415" s="41">
        <f>VLOOKUP(B415,'Player Data'!$A1:$AE734,21,FALSE)*$Q415</f>
        <v>0</v>
      </c>
      <c r="AH415" s="42">
        <f>VLOOKUP(B415,'Player Data'!$A1:$AE734,22,FALSE)</f>
        <v>0</v>
      </c>
      <c r="AI415" s="39"/>
      <c r="AJ415" s="43"/>
      <c r="AK415" s="41"/>
      <c r="AL415" s="41"/>
      <c r="AM415" s="41"/>
      <c r="AN415" s="41"/>
      <c r="AO415" s="41"/>
      <c r="AP415" s="41"/>
      <c r="AQ415" s="44"/>
      <c r="AR415" s="45"/>
      <c r="AS415" s="39"/>
    </row>
    <row r="416" spans="1:45" ht="21.25" customHeight="1" x14ac:dyDescent="0.15">
      <c r="A416" s="31">
        <f>RANK(K416,K$2:K$727)</f>
        <v>415</v>
      </c>
      <c r="B416" s="8" t="s">
        <v>520</v>
      </c>
      <c r="C416" s="32" t="s">
        <v>106</v>
      </c>
      <c r="D416" s="33" t="str">
        <f>VLOOKUP(B416,'Player Data'!A1:D734,4,FALSE)</f>
        <v>C</v>
      </c>
      <c r="E416" s="34">
        <f>VLOOKUP(B416,'C'!A1:C211,3,FALSE)</f>
        <v>100</v>
      </c>
      <c r="F416" s="35" t="str">
        <f>VLOOKUP(B416,'Player Data'!A1:B734,2,FALSE)</f>
        <v>SEA</v>
      </c>
      <c r="G416" s="9">
        <f>VLOOKUP(B416,'Player Data'!A1:D734,3,FALSE)</f>
        <v>31</v>
      </c>
      <c r="H416" s="36">
        <f>IFERROR(VLOOKUP(B416,ADP!A1:G728,7,FALSE)/1000000,VLOOKUP(B416,ADP!A1:G728,7,FALSE))</f>
        <v>5.5</v>
      </c>
      <c r="I416" s="37">
        <f>IF(Settings!$E$15="POINTS",((R416*Q416)*Settings!$B$12)+(S416*Settings!$B$2)+(T416*Settings!$B$3)+(U416*Settings!$B$4)+(V416*Settings!$B$5)+(X416*Settings!$B$9)+(AA416*Settings!$B$6)+(W416*Settings!$B$8)+(AB416*Settings!$B$7)+(AC416*Settings!$B$14)+(AD416*Settings!$B$15)+(AE416*Settings!$B$16)+(AF416*Settings!$B$17)+(AG416*Settings!$B$18)+(Y416*Settings!$B$10)+(Z416*Settings!$B$11),VLOOKUP(B416,'Standard Deviations'!A1:C728,3,FALSE))</f>
        <v>201.06658959942027</v>
      </c>
      <c r="J416" s="38">
        <f>IF(D416="G",I416/AJ416,I416/Q416)</f>
        <v>2.8806101661808063</v>
      </c>
      <c r="K416" s="37">
        <f>IF(Settings!$E$18="C/LW/RW",VLOOKUP(B416,'C'!A1:F211,6,FALSE),VLOOKUP(B416,F!A1:F430,6,FALSE))</f>
        <v>-192.26221616678939</v>
      </c>
      <c r="L416" s="37">
        <f>IFERROR(K416/H416,"N/A")</f>
        <v>-34.956766575779888</v>
      </c>
      <c r="M416" s="53" t="str">
        <f>IF(Settings!$E$9="YAHOO",VLOOKUP(B416,ADP!A1:E728,2,FALSE),IF(Settings!$E$9="ESPN",VLOOKUP(B416,ADP!A1:E728,3,FALSE),IF(Settings!$E$9="FANTRAX",VLOOKUP(B416,ADP!A1:E728,4,FALSE),VLOOKUP(B416,ADP!A1:E728,5,FALSE))))</f>
        <v>-</v>
      </c>
      <c r="N416" s="53" t="str">
        <f>IFERROR(M416-A416,"N/A")</f>
        <v>N/A</v>
      </c>
      <c r="O416" s="39"/>
      <c r="P416" s="40" t="str">
        <f>IF(Settings!$E$27="ON",VLOOKUP(B416,ADP!A1:H728,8,FALSE)," ")</f>
        <v xml:space="preserve"> </v>
      </c>
      <c r="Q416" s="41">
        <f>IF(Settings!$E$12="YES",VLOOKUP(B416,'Player Data'!A1:E734,5,FALSE),82)</f>
        <v>69.8</v>
      </c>
      <c r="R416" s="39">
        <f>VLOOKUP(B416,'Player Data'!$A1:$AE734,6,FALSE)</f>
        <v>16.214526950950599</v>
      </c>
      <c r="S416" s="41">
        <f>VLOOKUP(B416,'Player Data'!$A1:$AE734,7,FALSE)*$Q416*IFERROR((VLOOKUP(P416,Settings!$E$28:$F$33,2,FALSE)+1),1)</f>
        <v>16.21051511468789</v>
      </c>
      <c r="T416" s="41">
        <f>VLOOKUP(B416,'Player Data'!$A1:$AE734,8,FALSE)*$Q416*IFERROR((VLOOKUP(P416,Settings!$E$28:$F$33,2,FALSE)+1),1)</f>
        <v>19.75622020312883</v>
      </c>
      <c r="U416" s="41">
        <f>SUM(S416:T416)</f>
        <v>35.96673531781672</v>
      </c>
      <c r="V416" s="41">
        <f>VLOOKUP(B416,'Player Data'!$A1:$AE734,10,FALSE)*$Q416*IFERROR(((VLOOKUP(P416,Settings!$E$28:$F$33,2,FALSE)/2)+1),1)</f>
        <v>149.81806257748661</v>
      </c>
      <c r="W416" s="41">
        <f>VLOOKUP(B416,'Player Data'!$A1:$AE734,11,FALSE)*$Q416*IFERROR((VLOOKUP(P416,Settings!$E$28:$F$33,2,FALSE)+1),1)</f>
        <v>3.4275797506603847</v>
      </c>
      <c r="X416" s="41">
        <f>VLOOKUP(B416,'Player Data'!$A1:$AE734,12,FALSE)*$Q416*IFERROR((VLOOKUP(P416,Settings!$E$28:$F$33,2,FALSE)+1),1)</f>
        <v>6.5605422046770885</v>
      </c>
      <c r="Y416" s="41">
        <f>VLOOKUP(B416,'Player Data'!$A1:$AE734,13,FALSE)*$Q416</f>
        <v>5.6339315219794107E-2</v>
      </c>
      <c r="Z416" s="41">
        <f>VLOOKUP(B416,'Player Data'!$A1:$AE734,14,FALSE)*$Q416</f>
        <v>0.10382029927340532</v>
      </c>
      <c r="AA416" s="41">
        <f>VLOOKUP(B416,'Player Data'!$A1:$AE734,15,FALSE)*$Q416</f>
        <v>24.643136746628972</v>
      </c>
      <c r="AB416" s="41">
        <f>VLOOKUP(B416,'Player Data'!$A1:$AE734,16,FALSE)*$Q416</f>
        <v>56.040473832434451</v>
      </c>
      <c r="AC416" s="41">
        <f>VLOOKUP(B416,'Player Data'!$A1:$AE734,17,FALSE)*$Q416*IFERROR((VLOOKUP(P416,Settings!$E$28:$F$33,2,FALSE)+1),1)</f>
        <v>-1.30237486936604</v>
      </c>
      <c r="AD416" s="41">
        <f>VLOOKUP(B416,'Player Data'!$A1:$AE734,18,FALSE)*$Q416</f>
        <v>24.241977410927976</v>
      </c>
      <c r="AE416" s="41">
        <f>VLOOKUP(B416,'Player Data'!$A1:$AE734,19,FALSE)*$Q416*IFERROR((VLOOKUP(P416,Settings!$E$28:$F$33,2,FALSE)+1),1)</f>
        <v>2.278565828692718</v>
      </c>
      <c r="AF416" s="41">
        <f>VLOOKUP(B416,'Player Data'!$A1:$AE734,20,FALSE)*$Q416</f>
        <v>60.010161369628733</v>
      </c>
      <c r="AG416" s="41">
        <f>VLOOKUP(B416,'Player Data'!$A1:$AE734,21,FALSE)*$Q416</f>
        <v>63.9647548854118</v>
      </c>
      <c r="AH416" s="42">
        <f>VLOOKUP(B416,'Player Data'!$A1:$AE734,22,FALSE)</f>
        <v>0.48405083207458</v>
      </c>
      <c r="AI416" s="39"/>
      <c r="AJ416" s="43"/>
      <c r="AK416" s="41"/>
      <c r="AL416" s="41"/>
      <c r="AM416" s="41"/>
      <c r="AN416" s="41"/>
      <c r="AO416" s="41"/>
      <c r="AP416" s="41"/>
      <c r="AQ416" s="44"/>
      <c r="AR416" s="45"/>
      <c r="AS416" s="39"/>
    </row>
    <row r="417" spans="1:45" ht="21.25" customHeight="1" x14ac:dyDescent="0.15">
      <c r="A417" s="31">
        <f>RANK(K417,K$2:K$727)</f>
        <v>416</v>
      </c>
      <c r="B417" s="8" t="s">
        <v>521</v>
      </c>
      <c r="C417" s="32" t="s">
        <v>106</v>
      </c>
      <c r="D417" s="33" t="str">
        <f>VLOOKUP(B417,'Player Data'!A1:D734,4,FALSE)</f>
        <v>D</v>
      </c>
      <c r="E417" s="49">
        <f>VLOOKUP(B417,D!A1:C227,3,FALSE)</f>
        <v>146</v>
      </c>
      <c r="F417" s="35" t="str">
        <f>VLOOKUP(B417,'Player Data'!A1:B734,2,FALSE)</f>
        <v>MTL</v>
      </c>
      <c r="G417" s="9">
        <f>VLOOKUP(B417,'Player Data'!A1:D734,3,FALSE)</f>
        <v>32</v>
      </c>
      <c r="H417" s="36">
        <f>IFERROR(VLOOKUP(B417,ADP!A1:G728,7,FALSE)/1000000,VLOOKUP(B417,ADP!A1:G728,7,FALSE))</f>
        <v>3.5</v>
      </c>
      <c r="I417" s="37">
        <f>IF(Settings!$E$15="POINTS",((R417*Q417)*Settings!$B$12)+(S417*Settings!$B$2)+(T417*Settings!$B$3)+(U417*Settings!$B$4)+(V417*Settings!$B$5)+(X417*Settings!$B$9)+(AA417*Settings!$B$6)+(W417*Settings!$B$8)+(AB417*Settings!$B$7)+(AC417*Settings!$B$14)+(AD417*Settings!$B$15)+(AE417*Settings!$B$16)+(AF417*Settings!$B$17)+(AG417*Settings!$B$18)+(U417*Settings!$B$13)+(Y417*Settings!$B$10)+(Z417*Settings!$B$11),VLOOKUP(B417,'Standard Deviations'!A1:C728,3,FALSE))</f>
        <v>118.98853414744403</v>
      </c>
      <c r="J417" s="38">
        <f>IF(D417="G",I417/AJ417,I417/Q417)</f>
        <v>1.5773202648034461</v>
      </c>
      <c r="K417" s="37">
        <f>VLOOKUP(B417,D!A1:F227,6,FALSE)</f>
        <v>-192.57694748048343</v>
      </c>
      <c r="L417" s="37">
        <f>IFERROR(K417/H417,"N/A")</f>
        <v>-55.021984994423839</v>
      </c>
      <c r="M417" s="53" t="str">
        <f>IF(Settings!$E$9="YAHOO",VLOOKUP(B417,ADP!A1:E728,2,FALSE),IF(Settings!$E$9="ESPN",VLOOKUP(B417,ADP!A1:E728,3,FALSE),IF(Settings!$E$9="FANTRAX",VLOOKUP(B417,ADP!A1:E728,4,FALSE),VLOOKUP(B417,ADP!A1:E728,5,FALSE))))</f>
        <v>-</v>
      </c>
      <c r="N417" s="53" t="str">
        <f>IFERROR(M417-A417,"N/A")</f>
        <v>N/A</v>
      </c>
      <c r="O417" s="39"/>
      <c r="P417" s="40" t="str">
        <f>IF(Settings!$E$27="ON",VLOOKUP(B417,ADP!A1:H728,8,FALSE)," ")</f>
        <v xml:space="preserve"> </v>
      </c>
      <c r="Q417" s="41">
        <f>IF(Settings!$E$12="YES",VLOOKUP(B417,'Player Data'!A1:E734,5,FALSE),82)</f>
        <v>75.437142857142902</v>
      </c>
      <c r="R417" s="39">
        <f>VLOOKUP(B417,'Player Data'!$A1:$AE734,6,FALSE)</f>
        <v>18.754761174302502</v>
      </c>
      <c r="S417" s="41">
        <f>VLOOKUP(B417,'Player Data'!$A1:$AE734,7,FALSE)*$Q417*IFERROR((VLOOKUP(P417,Settings!$E$28:$F$33,2,FALSE)+1),1)</f>
        <v>2.6093513029846638</v>
      </c>
      <c r="T417" s="41">
        <f>VLOOKUP(B417,'Player Data'!$A1:$AE734,8,FALSE)*$Q417*IFERROR((VLOOKUP(P417,Settings!$E$28:$F$33,2,FALSE)+1),1)</f>
        <v>13.814687421295051</v>
      </c>
      <c r="U417" s="41">
        <f>SUM(S417:T417)</f>
        <v>16.424038724279715</v>
      </c>
      <c r="V417" s="41">
        <f>VLOOKUP(B417,'Player Data'!$A1:$AE734,10,FALSE)*$Q417*IFERROR(((VLOOKUP(P417,Settings!$E$28:$F$33,2,FALSE)/2)+1),1)</f>
        <v>72.744217196966076</v>
      </c>
      <c r="W417" s="41">
        <f>VLOOKUP(B417,'Player Data'!$A1:$AE734,11,FALSE)*$Q417*IFERROR((VLOOKUP(P417,Settings!$E$28:$F$33,2,FALSE)+1),1)</f>
        <v>1.7166757543778714E-2</v>
      </c>
      <c r="X417" s="41">
        <f>VLOOKUP(B417,'Player Data'!$A1:$AE734,12,FALSE)*$Q417*IFERROR((VLOOKUP(P417,Settings!$E$28:$F$33,2,FALSE)+1),1)</f>
        <v>0.12603059740932379</v>
      </c>
      <c r="Y417" s="41">
        <f>VLOOKUP(B417,'Player Data'!$A1:$AE734,13,FALSE)*$Q417</f>
        <v>2.1237870667215084E-2</v>
      </c>
      <c r="Z417" s="41">
        <f>VLOOKUP(B417,'Player Data'!$A1:$AE734,14,FALSE)*$Q417</f>
        <v>0.99760381271111764</v>
      </c>
      <c r="AA417" s="41">
        <f>VLOOKUP(B417,'Player Data'!$A1:$AE734,15,FALSE)*$Q417</f>
        <v>155.48520277940477</v>
      </c>
      <c r="AB417" s="41">
        <f>VLOOKUP(B417,'Player Data'!$A1:$AE734,16,FALSE)*$Q417</f>
        <v>94.616455719409089</v>
      </c>
      <c r="AC417" s="41">
        <f>VLOOKUP(B417,'Player Data'!$A1:$AE734,17,FALSE)*$Q417*IFERROR((VLOOKUP(P417,Settings!$E$28:$F$33,2,FALSE)+1),1)</f>
        <v>-9.5847402117355358</v>
      </c>
      <c r="AD417" s="41">
        <f>VLOOKUP(B417,'Player Data'!$A1:$AE734,18,FALSE)*$Q417</f>
        <v>29.930494009259675</v>
      </c>
      <c r="AE417" s="41">
        <f>VLOOKUP(B417,'Player Data'!$A1:$AE734,19,FALSE)*$Q417*IFERROR((VLOOKUP(P417,Settings!$E$28:$F$33,2,FALSE)+1),1)</f>
        <v>0.28277304527079883</v>
      </c>
      <c r="AF417" s="41">
        <f>VLOOKUP(B417,'Player Data'!$A1:$AE734,20,FALSE)*$Q417</f>
        <v>0</v>
      </c>
      <c r="AG417" s="41">
        <f>VLOOKUP(B417,'Player Data'!$A1:$AE734,21,FALSE)*$Q417</f>
        <v>0</v>
      </c>
      <c r="AH417" s="42">
        <f>VLOOKUP(B417,'Player Data'!$A1:$AE734,22,FALSE)</f>
        <v>0</v>
      </c>
      <c r="AI417" s="39"/>
      <c r="AJ417" s="41"/>
      <c r="AK417" s="41"/>
      <c r="AL417" s="41"/>
      <c r="AM417" s="41"/>
      <c r="AN417" s="41"/>
      <c r="AO417" s="41"/>
      <c r="AP417" s="41"/>
      <c r="AQ417" s="44"/>
      <c r="AR417" s="45"/>
      <c r="AS417" s="39"/>
    </row>
    <row r="418" spans="1:45" ht="21.25" customHeight="1" x14ac:dyDescent="0.15">
      <c r="A418" s="31">
        <f>RANK(K418,K$2:K$727)</f>
        <v>417</v>
      </c>
      <c r="B418" s="8" t="s">
        <v>522</v>
      </c>
      <c r="C418" s="32" t="s">
        <v>106</v>
      </c>
      <c r="D418" s="33" t="str">
        <f>VLOOKUP(B418,'Player Data'!A1:D734,4,FALSE)</f>
        <v>D</v>
      </c>
      <c r="E418" s="49">
        <f>VLOOKUP(B418,D!A1:C227,3,FALSE)</f>
        <v>147</v>
      </c>
      <c r="F418" s="35" t="str">
        <f>VLOOKUP(B418,'Player Data'!A1:B734,2,FALSE)</f>
        <v>BOS</v>
      </c>
      <c r="G418" s="9">
        <f>VLOOKUP(B418,'Player Data'!A1:D734,3,FALSE)</f>
        <v>26</v>
      </c>
      <c r="H418" s="36">
        <f>IFERROR(VLOOKUP(B418,ADP!A1:G728,7,FALSE)/1000000,VLOOKUP(B418,ADP!A1:G728,7,FALSE))</f>
        <v>4.0999999999999996</v>
      </c>
      <c r="I418" s="37">
        <f>IF(Settings!$E$15="POINTS",((R418*Q418)*Settings!$B$12)+(S418*Settings!$B$2)+(T418*Settings!$B$3)+(U418*Settings!$B$4)+(V418*Settings!$B$5)+(X418*Settings!$B$9)+(AA418*Settings!$B$6)+(W418*Settings!$B$8)+(AB418*Settings!$B$7)+(AC418*Settings!$B$14)+(AD418*Settings!$B$15)+(AE418*Settings!$B$16)+(AF418*Settings!$B$17)+(AG418*Settings!$B$18)+(U418*Settings!$B$13)+(Y418*Settings!$B$10)+(Z418*Settings!$B$11),VLOOKUP(B418,'Standard Deviations'!A1:C728,3,FALSE))</f>
        <v>118.94550902224732</v>
      </c>
      <c r="J418" s="38">
        <f>IF(D418="G",I418/AJ418,I418/Q418)</f>
        <v>1.5624292797067583</v>
      </c>
      <c r="K418" s="37">
        <f>VLOOKUP(B418,D!A1:F227,6,FALSE)</f>
        <v>-192.61997260568012</v>
      </c>
      <c r="L418" s="37">
        <f>IFERROR(K418/H418,"N/A")</f>
        <v>-46.980481123336617</v>
      </c>
      <c r="M418" s="39">
        <f>IF(Settings!$E$9="YAHOO",VLOOKUP(B418,ADP!A1:E728,2,FALSE),IF(Settings!$E$9="ESPN",VLOOKUP(B418,ADP!A1:E728,3,FALSE),IF(Settings!$E$9="FANTRAX",VLOOKUP(B418,ADP!A1:E728,4,FALSE),VLOOKUP(B418,ADP!A1:E728,5,FALSE))))</f>
        <v>152.1</v>
      </c>
      <c r="N418" s="39">
        <f>IFERROR(M418-A418,"N/A")</f>
        <v>-264.89999999999998</v>
      </c>
      <c r="O418" s="39"/>
      <c r="P418" s="40" t="str">
        <f>IF(Settings!$E$27="ON",VLOOKUP(B418,ADP!A1:H728,8,FALSE)," ")</f>
        <v xml:space="preserve"> </v>
      </c>
      <c r="Q418" s="41">
        <f>IF(Settings!$E$12="YES",VLOOKUP(B418,'Player Data'!A1:E734,5,FALSE),82)</f>
        <v>76.128571428571405</v>
      </c>
      <c r="R418" s="39">
        <f>VLOOKUP(B418,'Player Data'!$A1:$AE734,6,FALSE)</f>
        <v>18.579255510391199</v>
      </c>
      <c r="S418" s="41">
        <f>VLOOKUP(B418,'Player Data'!$A1:$AE734,7,FALSE)*$Q418*IFERROR((VLOOKUP(P418,Settings!$E$28:$F$33,2,FALSE)+1),1)</f>
        <v>4.5542367975047569</v>
      </c>
      <c r="T418" s="41">
        <f>VLOOKUP(B418,'Player Data'!$A1:$AE734,8,FALSE)*$Q418*IFERROR((VLOOKUP(P418,Settings!$E$28:$F$33,2,FALSE)+1),1)</f>
        <v>10.729147481829999</v>
      </c>
      <c r="U418" s="41">
        <f>SUM(S418:T418)</f>
        <v>15.283384279334756</v>
      </c>
      <c r="V418" s="41">
        <f>VLOOKUP(B418,'Player Data'!$A1:$AE734,10,FALSE)*$Q418*IFERROR(((VLOOKUP(P418,Settings!$E$28:$F$33,2,FALSE)/2)+1),1)</f>
        <v>99.948137140532793</v>
      </c>
      <c r="W418" s="41">
        <f>VLOOKUP(B418,'Player Data'!$A1:$AE734,11,FALSE)*$Q418*IFERROR((VLOOKUP(P418,Settings!$E$28:$F$33,2,FALSE)+1),1)</f>
        <v>9.7960035717289135E-3</v>
      </c>
      <c r="X418" s="41">
        <f>VLOOKUP(B418,'Player Data'!$A1:$AE734,12,FALSE)*$Q418*IFERROR((VLOOKUP(P418,Settings!$E$28:$F$33,2,FALSE)+1),1)</f>
        <v>9.01098490223598E-2</v>
      </c>
      <c r="Y418" s="41">
        <f>VLOOKUP(B418,'Player Data'!$A1:$AE734,13,FALSE)*$Q418</f>
        <v>0.31445209030646964</v>
      </c>
      <c r="Z418" s="41">
        <f>VLOOKUP(B418,'Player Data'!$A1:$AE734,14,FALSE)*$Q418</f>
        <v>0.43346672602267033</v>
      </c>
      <c r="AA418" s="41">
        <f>VLOOKUP(B418,'Player Data'!$A1:$AE734,15,FALSE)*$Q418</f>
        <v>110.37067231943296</v>
      </c>
      <c r="AB418" s="41">
        <f>VLOOKUP(B418,'Player Data'!$A1:$AE734,16,FALSE)*$Q418</f>
        <v>123.85447956619086</v>
      </c>
      <c r="AC418" s="41">
        <f>VLOOKUP(B418,'Player Data'!$A1:$AE734,17,FALSE)*$Q418*IFERROR((VLOOKUP(P418,Settings!$E$28:$F$33,2,FALSE)+1),1)</f>
        <v>4.7262292016251077</v>
      </c>
      <c r="AD418" s="41">
        <f>VLOOKUP(B418,'Player Data'!$A1:$AE734,18,FALSE)*$Q418</f>
        <v>34.005641306039017</v>
      </c>
      <c r="AE418" s="41">
        <f>VLOOKUP(B418,'Player Data'!$A1:$AE734,19,FALSE)*$Q418*IFERROR((VLOOKUP(P418,Settings!$E$28:$F$33,2,FALSE)+1),1)</f>
        <v>0.76456673374266426</v>
      </c>
      <c r="AF418" s="41">
        <f>VLOOKUP(B418,'Player Data'!$A1:$AE734,20,FALSE)*$Q418</f>
        <v>0</v>
      </c>
      <c r="AG418" s="41">
        <f>VLOOKUP(B418,'Player Data'!$A1:$AE734,21,FALSE)*$Q418</f>
        <v>0</v>
      </c>
      <c r="AH418" s="42">
        <f>VLOOKUP(B418,'Player Data'!$A1:$AE734,22,FALSE)</f>
        <v>0</v>
      </c>
      <c r="AI418" s="39"/>
      <c r="AJ418" s="43"/>
      <c r="AK418" s="41"/>
      <c r="AL418" s="41"/>
      <c r="AM418" s="41"/>
      <c r="AN418" s="41"/>
      <c r="AO418" s="41"/>
      <c r="AP418" s="41"/>
      <c r="AQ418" s="44"/>
      <c r="AR418" s="45"/>
      <c r="AS418" s="39"/>
    </row>
    <row r="419" spans="1:45" ht="21.25" customHeight="1" x14ac:dyDescent="0.15">
      <c r="A419" s="31">
        <f>RANK(K419,K$2:K$727)</f>
        <v>418</v>
      </c>
      <c r="B419" s="8" t="s">
        <v>523</v>
      </c>
      <c r="C419" s="32" t="s">
        <v>106</v>
      </c>
      <c r="D419" s="33" t="str">
        <f>VLOOKUP(B419,'Player Data'!A1:D734,4,FALSE)</f>
        <v>D</v>
      </c>
      <c r="E419" s="49">
        <f>VLOOKUP(B419,D!A1:C227,3,FALSE)</f>
        <v>148</v>
      </c>
      <c r="F419" s="35" t="str">
        <f>VLOOKUP(B419,'Player Data'!A1:B734,2,FALSE)</f>
        <v>MIN</v>
      </c>
      <c r="G419" s="9">
        <f>VLOOKUP(B419,'Player Data'!A1:D734,3,FALSE)</f>
        <v>27</v>
      </c>
      <c r="H419" s="36">
        <f>IFERROR(VLOOKUP(B419,ADP!A1:G728,7,FALSE)/1000000,VLOOKUP(B419,ADP!A1:G728,7,FALSE))</f>
        <v>2.4500000000000002</v>
      </c>
      <c r="I419" s="37">
        <f>IF(Settings!$E$15="POINTS",((R419*Q419)*Settings!$B$12)+(S419*Settings!$B$2)+(T419*Settings!$B$3)+(U419*Settings!$B$4)+(V419*Settings!$B$5)+(X419*Settings!$B$9)+(AA419*Settings!$B$6)+(W419*Settings!$B$8)+(AB419*Settings!$B$7)+(AC419*Settings!$B$14)+(AD419*Settings!$B$15)+(AE419*Settings!$B$16)+(AF419*Settings!$B$17)+(AG419*Settings!$B$18)+(U419*Settings!$B$13)+(Y419*Settings!$B$10)+(Z419*Settings!$B$11),VLOOKUP(B419,'Standard Deviations'!A1:C728,3,FALSE))</f>
        <v>118.40450006851506</v>
      </c>
      <c r="J419" s="38">
        <f>IF(D419="G",I419/AJ419,I419/Q419)</f>
        <v>1.5641797954822161</v>
      </c>
      <c r="K419" s="37">
        <f>VLOOKUP(B419,D!A1:F227,6,FALSE)</f>
        <v>-193.16098155941239</v>
      </c>
      <c r="L419" s="37">
        <f>IFERROR(K419/H419,"N/A")</f>
        <v>-78.84121696302546</v>
      </c>
      <c r="M419" s="53" t="str">
        <f>IF(Settings!$E$9="YAHOO",VLOOKUP(B419,ADP!A1:E728,2,FALSE),IF(Settings!$E$9="ESPN",VLOOKUP(B419,ADP!A1:E728,3,FALSE),IF(Settings!$E$9="FANTRAX",VLOOKUP(B419,ADP!A1:E728,4,FALSE),VLOOKUP(B419,ADP!A1:E728,5,FALSE))))</f>
        <v>-</v>
      </c>
      <c r="N419" s="53" t="str">
        <f>IFERROR(M419-A419,"N/A")</f>
        <v>N/A</v>
      </c>
      <c r="O419" s="39"/>
      <c r="P419" s="40" t="str">
        <f>IF(Settings!$E$27="ON",VLOOKUP(B419,ADP!A1:H728,8,FALSE)," ")</f>
        <v xml:space="preserve"> </v>
      </c>
      <c r="Q419" s="41">
        <f>IF(Settings!$E$12="YES",VLOOKUP(B419,'Player Data'!A1:E734,5,FALSE),82)</f>
        <v>75.697500000000005</v>
      </c>
      <c r="R419" s="39">
        <f>VLOOKUP(B419,'Player Data'!$A1:$AE734,6,FALSE)</f>
        <v>18.9596385290324</v>
      </c>
      <c r="S419" s="41">
        <f>VLOOKUP(B419,'Player Data'!$A1:$AE734,7,FALSE)*$Q419*IFERROR((VLOOKUP(P419,Settings!$E$28:$F$33,2,FALSE)+1),1)</f>
        <v>3.7760740221715463</v>
      </c>
      <c r="T419" s="41">
        <f>VLOOKUP(B419,'Player Data'!$A1:$AE734,8,FALSE)*$Q419*IFERROR((VLOOKUP(P419,Settings!$E$28:$F$33,2,FALSE)+1),1)</f>
        <v>12.291779739117548</v>
      </c>
      <c r="U419" s="41">
        <f>SUM(S419:T419)</f>
        <v>16.067853761289093</v>
      </c>
      <c r="V419" s="41">
        <f>VLOOKUP(B419,'Player Data'!$A1:$AE734,10,FALSE)*$Q419*IFERROR(((VLOOKUP(P419,Settings!$E$28:$F$33,2,FALSE)/2)+1),1)</f>
        <v>79.924544794297148</v>
      </c>
      <c r="W419" s="41">
        <f>VLOOKUP(B419,'Player Data'!$A1:$AE734,11,FALSE)*$Q419*IFERROR((VLOOKUP(P419,Settings!$E$28:$F$33,2,FALSE)+1),1)</f>
        <v>1.9724297571464662E-2</v>
      </c>
      <c r="X419" s="41">
        <f>VLOOKUP(B419,'Player Data'!$A1:$AE734,12,FALSE)*$Q419*IFERROR((VLOOKUP(P419,Settings!$E$28:$F$33,2,FALSE)+1),1)</f>
        <v>0.18116195535437951</v>
      </c>
      <c r="Y419" s="41">
        <f>VLOOKUP(B419,'Player Data'!$A1:$AE734,13,FALSE)*$Q419</f>
        <v>3.5331526902702332E-2</v>
      </c>
      <c r="Z419" s="41">
        <f>VLOOKUP(B419,'Player Data'!$A1:$AE734,14,FALSE)*$Q419</f>
        <v>0.99241366041029111</v>
      </c>
      <c r="AA419" s="41">
        <f>VLOOKUP(B419,'Player Data'!$A1:$AE734,15,FALSE)*$Q419</f>
        <v>139.45757577984926</v>
      </c>
      <c r="AB419" s="41">
        <f>VLOOKUP(B419,'Player Data'!$A1:$AE734,16,FALSE)*$Q419</f>
        <v>116.20269827189813</v>
      </c>
      <c r="AC419" s="41">
        <f>VLOOKUP(B419,'Player Data'!$A1:$AE734,17,FALSE)*$Q419*IFERROR((VLOOKUP(P419,Settings!$E$28:$F$33,2,FALSE)+1),1)</f>
        <v>2.0244726319221105</v>
      </c>
      <c r="AD419" s="41">
        <f>VLOOKUP(B419,'Player Data'!$A1:$AE734,18,FALSE)*$Q419</f>
        <v>61.388313188555472</v>
      </c>
      <c r="AE419" s="41">
        <f>VLOOKUP(B419,'Player Data'!$A1:$AE734,19,FALSE)*$Q419*IFERROR((VLOOKUP(P419,Settings!$E$28:$F$33,2,FALSE)+1),1)</f>
        <v>0.60634843127377858</v>
      </c>
      <c r="AF419" s="41">
        <f>VLOOKUP(B419,'Player Data'!$A1:$AE734,20,FALSE)*$Q419</f>
        <v>0</v>
      </c>
      <c r="AG419" s="41">
        <f>VLOOKUP(B419,'Player Data'!$A1:$AE734,21,FALSE)*$Q419</f>
        <v>0</v>
      </c>
      <c r="AH419" s="42">
        <f>VLOOKUP(B419,'Player Data'!$A1:$AE734,22,FALSE)</f>
        <v>0</v>
      </c>
      <c r="AI419" s="39"/>
      <c r="AJ419" s="43"/>
      <c r="AK419" s="41"/>
      <c r="AL419" s="41"/>
      <c r="AM419" s="41"/>
      <c r="AN419" s="41"/>
      <c r="AO419" s="41"/>
      <c r="AP419" s="41"/>
      <c r="AQ419" s="44"/>
      <c r="AR419" s="45"/>
      <c r="AS419" s="39"/>
    </row>
    <row r="420" spans="1:45" ht="21.25" customHeight="1" x14ac:dyDescent="0.15">
      <c r="A420" s="31">
        <f>RANK(K420,K$2:K$727)</f>
        <v>419</v>
      </c>
      <c r="B420" s="8" t="s">
        <v>524</v>
      </c>
      <c r="C420" s="32" t="s">
        <v>106</v>
      </c>
      <c r="D420" s="33" t="str">
        <f>VLOOKUP(B420,'Player Data'!A1:D734,4,FALSE)</f>
        <v>D</v>
      </c>
      <c r="E420" s="49">
        <f>VLOOKUP(B420,D!A1:C227,3,FALSE)</f>
        <v>149</v>
      </c>
      <c r="F420" s="35" t="str">
        <f>VLOOKUP(B420,'Player Data'!A1:B734,2,FALSE)</f>
        <v>NYI</v>
      </c>
      <c r="G420" s="9">
        <f>VLOOKUP(B420,'Player Data'!A1:D734,3,FALSE)</f>
        <v>27</v>
      </c>
      <c r="H420" s="36">
        <f>IFERROR(VLOOKUP(B420,ADP!A1:G728,7,FALSE)/1000000,VLOOKUP(B420,ADP!A1:G728,7,FALSE))</f>
        <v>0.82499999999999996</v>
      </c>
      <c r="I420" s="37">
        <f>IF(Settings!$E$15="POINTS",((R420*Q420)*Settings!$B$12)+(S420*Settings!$B$2)+(T420*Settings!$B$3)+(U420*Settings!$B$4)+(V420*Settings!$B$5)+(X420*Settings!$B$9)+(AA420*Settings!$B$6)+(W420*Settings!$B$8)+(AB420*Settings!$B$7)+(AC420*Settings!$B$14)+(AD420*Settings!$B$15)+(AE420*Settings!$B$16)+(AF420*Settings!$B$17)+(AG420*Settings!$B$18)+(U420*Settings!$B$13)+(Y420*Settings!$B$10)+(Z420*Settings!$B$11),VLOOKUP(B420,'Standard Deviations'!A1:C728,3,FALSE))</f>
        <v>117.64242393626191</v>
      </c>
      <c r="J420" s="38">
        <f>IF(D420="G",I420/AJ420,I420/Q420)</f>
        <v>1.7826828394309542</v>
      </c>
      <c r="K420" s="37">
        <f>VLOOKUP(B420,D!A1:F227,6,FALSE)</f>
        <v>-193.92305769166555</v>
      </c>
      <c r="L420" s="37">
        <f>IFERROR(K420/H420,"N/A")</f>
        <v>-235.05825174747341</v>
      </c>
      <c r="M420" s="53" t="str">
        <f>IF(Settings!$E$9="YAHOO",VLOOKUP(B420,ADP!A1:E728,2,FALSE),IF(Settings!$E$9="ESPN",VLOOKUP(B420,ADP!A1:E728,3,FALSE),IF(Settings!$E$9="FANTRAX",VLOOKUP(B420,ADP!A1:E728,4,FALSE),VLOOKUP(B420,ADP!A1:E728,5,FALSE))))</f>
        <v>-</v>
      </c>
      <c r="N420" s="53" t="str">
        <f>IFERROR(M420-A420,"N/A")</f>
        <v>N/A</v>
      </c>
      <c r="O420" s="39"/>
      <c r="P420" s="40" t="str">
        <f>IF(Settings!$E$27="ON",VLOOKUP(B420,ADP!A1:H728,8,FALSE)," ")</f>
        <v xml:space="preserve"> </v>
      </c>
      <c r="Q420" s="41">
        <f>IF(Settings!$E$12="YES",VLOOKUP(B420,'Player Data'!A1:E734,5,FALSE),82)</f>
        <v>65.991785714285697</v>
      </c>
      <c r="R420" s="39">
        <f>VLOOKUP(B420,'Player Data'!$A1:$AE734,6,FALSE)</f>
        <v>16.645277334815098</v>
      </c>
      <c r="S420" s="41">
        <f>VLOOKUP(B420,'Player Data'!$A1:$AE734,7,FALSE)*$Q420*IFERROR((VLOOKUP(P420,Settings!$E$28:$F$33,2,FALSE)+1),1)</f>
        <v>4.4058840825571695</v>
      </c>
      <c r="T420" s="41">
        <f>VLOOKUP(B420,'Player Data'!$A1:$AE734,8,FALSE)*$Q420*IFERROR((VLOOKUP(P420,Settings!$E$28:$F$33,2,FALSE)+1),1)</f>
        <v>15.895126438336668</v>
      </c>
      <c r="U420" s="41">
        <f>SUM(S420:T420)</f>
        <v>20.301010520893836</v>
      </c>
      <c r="V420" s="41">
        <f>VLOOKUP(B420,'Player Data'!$A1:$AE734,10,FALSE)*$Q420*IFERROR(((VLOOKUP(P420,Settings!$E$28:$F$33,2,FALSE)/2)+1),1)</f>
        <v>78.49320422627882</v>
      </c>
      <c r="W420" s="41">
        <f>VLOOKUP(B420,'Player Data'!$A1:$AE734,11,FALSE)*$Q420*IFERROR((VLOOKUP(P420,Settings!$E$28:$F$33,2,FALSE)+1),1)</f>
        <v>9.1371833645984543E-2</v>
      </c>
      <c r="X420" s="41">
        <f>VLOOKUP(B420,'Player Data'!$A1:$AE734,12,FALSE)*$Q420*IFERROR((VLOOKUP(P420,Settings!$E$28:$F$33,2,FALSE)+1),1)</f>
        <v>1.651574801413584</v>
      </c>
      <c r="Y420" s="41">
        <f>VLOOKUP(B420,'Player Data'!$A1:$AE734,13,FALSE)*$Q420</f>
        <v>2.4066627713845507E-2</v>
      </c>
      <c r="Z420" s="41">
        <f>VLOOKUP(B420,'Player Data'!$A1:$AE734,14,FALSE)*$Q420</f>
        <v>8.9780697416580874E-2</v>
      </c>
      <c r="AA420" s="41">
        <f>VLOOKUP(B420,'Player Data'!$A1:$AE734,15,FALSE)*$Q420</f>
        <v>70.050396313903292</v>
      </c>
      <c r="AB420" s="41">
        <f>VLOOKUP(B420,'Player Data'!$A1:$AE734,16,FALSE)*$Q420</f>
        <v>52.956620279902339</v>
      </c>
      <c r="AC420" s="41">
        <f>VLOOKUP(B420,'Player Data'!$A1:$AE734,17,FALSE)*$Q420*IFERROR((VLOOKUP(P420,Settings!$E$28:$F$33,2,FALSE)+1),1)</f>
        <v>0.9504424479155853</v>
      </c>
      <c r="AD420" s="41">
        <f>VLOOKUP(B420,'Player Data'!$A1:$AE734,18,FALSE)*$Q420</f>
        <v>22.205654356267281</v>
      </c>
      <c r="AE420" s="41">
        <f>VLOOKUP(B420,'Player Data'!$A1:$AE734,19,FALSE)*$Q420*IFERROR((VLOOKUP(P420,Settings!$E$28:$F$33,2,FALSE)+1),1)</f>
        <v>0.68080539167288234</v>
      </c>
      <c r="AF420" s="41">
        <f>VLOOKUP(B420,'Player Data'!$A1:$AE734,20,FALSE)*$Q420</f>
        <v>0</v>
      </c>
      <c r="AG420" s="41">
        <f>VLOOKUP(B420,'Player Data'!$A1:$AE734,21,FALSE)*$Q420</f>
        <v>0</v>
      </c>
      <c r="AH420" s="42">
        <f>VLOOKUP(B420,'Player Data'!$A1:$AE734,22,FALSE)</f>
        <v>0</v>
      </c>
      <c r="AI420" s="39"/>
      <c r="AJ420" s="43"/>
      <c r="AK420" s="41"/>
      <c r="AL420" s="41"/>
      <c r="AM420" s="41"/>
      <c r="AN420" s="41"/>
      <c r="AO420" s="41"/>
      <c r="AP420" s="41"/>
      <c r="AQ420" s="44"/>
      <c r="AR420" s="45"/>
      <c r="AS420" s="39"/>
    </row>
    <row r="421" spans="1:45" ht="21.25" customHeight="1" x14ac:dyDescent="0.15">
      <c r="A421" s="31">
        <f>RANK(K421,K$2:K$727)</f>
        <v>420</v>
      </c>
      <c r="B421" s="8" t="s">
        <v>525</v>
      </c>
      <c r="C421" s="32" t="s">
        <v>106</v>
      </c>
      <c r="D421" s="33" t="str">
        <f>VLOOKUP(B421,'Player Data'!A1:D734,4,FALSE)</f>
        <v>D</v>
      </c>
      <c r="E421" s="49">
        <f>VLOOKUP(B421,D!A1:C227,3,FALSE)</f>
        <v>150</v>
      </c>
      <c r="F421" s="35" t="str">
        <f>VLOOKUP(B421,'Player Data'!A1:B734,2,FALSE)</f>
        <v>SEA</v>
      </c>
      <c r="G421" s="9">
        <f>VLOOKUP(B421,'Player Data'!A1:D734,3,FALSE)</f>
        <v>31</v>
      </c>
      <c r="H421" s="36">
        <f>IFERROR(VLOOKUP(B421,ADP!A1:G728,7,FALSE)/1000000,VLOOKUP(B421,ADP!A1:G728,7,FALSE))</f>
        <v>3.15</v>
      </c>
      <c r="I421" s="37">
        <f>IF(Settings!$E$15="POINTS",((R421*Q421)*Settings!$B$12)+(S421*Settings!$B$2)+(T421*Settings!$B$3)+(U421*Settings!$B$4)+(V421*Settings!$B$5)+(X421*Settings!$B$9)+(AA421*Settings!$B$6)+(W421*Settings!$B$8)+(AB421*Settings!$B$7)+(AC421*Settings!$B$14)+(AD421*Settings!$B$15)+(AE421*Settings!$B$16)+(AF421*Settings!$B$17)+(AG421*Settings!$B$18)+(U421*Settings!$B$13)+(Y421*Settings!$B$10)+(Z421*Settings!$B$11),VLOOKUP(B421,'Standard Deviations'!A1:C728,3,FALSE))</f>
        <v>117.22193340716217</v>
      </c>
      <c r="J421" s="38">
        <f>IF(D421="G",I421/AJ421,I421/Q421)</f>
        <v>1.4836609659894686</v>
      </c>
      <c r="K421" s="37">
        <f>VLOOKUP(B421,D!A1:F227,6,FALSE)</f>
        <v>-194.34354822076529</v>
      </c>
      <c r="L421" s="37">
        <f>IFERROR(K421/H421,"N/A")</f>
        <v>-61.696364514528661</v>
      </c>
      <c r="M421" s="53" t="str">
        <f>IF(Settings!$E$9="YAHOO",VLOOKUP(B421,ADP!A1:E728,2,FALSE),IF(Settings!$E$9="ESPN",VLOOKUP(B421,ADP!A1:E728,3,FALSE),IF(Settings!$E$9="FANTRAX",VLOOKUP(B421,ADP!A1:E728,4,FALSE),VLOOKUP(B421,ADP!A1:E728,5,FALSE))))</f>
        <v>-</v>
      </c>
      <c r="N421" s="53" t="str">
        <f>IFERROR(M421-A421,"N/A")</f>
        <v>N/A</v>
      </c>
      <c r="O421" s="39"/>
      <c r="P421" s="40" t="str">
        <f>IF(Settings!$E$27="ON",VLOOKUP(B421,ADP!A1:H728,8,FALSE)," ")</f>
        <v xml:space="preserve"> </v>
      </c>
      <c r="Q421" s="41">
        <f>IF(Settings!$E$12="YES",VLOOKUP(B421,'Player Data'!A1:E734,5,FALSE),82)</f>
        <v>79.0085714285714</v>
      </c>
      <c r="R421" s="39">
        <f>VLOOKUP(B421,'Player Data'!$A1:$AE734,6,FALSE)</f>
        <v>17.851580830566199</v>
      </c>
      <c r="S421" s="41">
        <f>VLOOKUP(B421,'Player Data'!$A1:$AE734,7,FALSE)*$Q421*IFERROR((VLOOKUP(P421,Settings!$E$28:$F$33,2,FALSE)+1),1)</f>
        <v>2.3656088933728223</v>
      </c>
      <c r="T421" s="41">
        <f>VLOOKUP(B421,'Player Data'!$A1:$AE734,8,FALSE)*$Q421*IFERROR((VLOOKUP(P421,Settings!$E$28:$F$33,2,FALSE)+1),1)</f>
        <v>15.91789453087174</v>
      </c>
      <c r="U421" s="41">
        <f>SUM(S421:T421)</f>
        <v>18.283503424244561</v>
      </c>
      <c r="V421" s="41">
        <f>VLOOKUP(B421,'Player Data'!$A1:$AE734,10,FALSE)*$Q421*IFERROR(((VLOOKUP(P421,Settings!$E$28:$F$33,2,FALSE)/2)+1),1)</f>
        <v>74.701021440346295</v>
      </c>
      <c r="W421" s="41">
        <f>VLOOKUP(B421,'Player Data'!$A1:$AE734,11,FALSE)*$Q421*IFERROR((VLOOKUP(P421,Settings!$E$28:$F$33,2,FALSE)+1),1)</f>
        <v>1.9215274275539852E-2</v>
      </c>
      <c r="X421" s="41">
        <f>VLOOKUP(B421,'Player Data'!$A1:$AE734,12,FALSE)*$Q421*IFERROR((VLOOKUP(P421,Settings!$E$28:$F$33,2,FALSE)+1),1)</f>
        <v>0.14141557605996796</v>
      </c>
      <c r="Y421" s="41">
        <f>VLOOKUP(B421,'Player Data'!$A1:$AE734,13,FALSE)*$Q421</f>
        <v>1.6003235632535438E-2</v>
      </c>
      <c r="Z421" s="41">
        <f>VLOOKUP(B421,'Player Data'!$A1:$AE734,14,FALSE)*$Q421</f>
        <v>0.90135707034347823</v>
      </c>
      <c r="AA421" s="41">
        <f>VLOOKUP(B421,'Player Data'!$A1:$AE734,15,FALSE)*$Q421</f>
        <v>114.67683560724217</v>
      </c>
      <c r="AB421" s="41">
        <f>VLOOKUP(B421,'Player Data'!$A1:$AE734,16,FALSE)*$Q421</f>
        <v>98.089501041456032</v>
      </c>
      <c r="AC421" s="41">
        <f>VLOOKUP(B421,'Player Data'!$A1:$AE734,17,FALSE)*$Q421*IFERROR((VLOOKUP(P421,Settings!$E$28:$F$33,2,FALSE)+1),1)</f>
        <v>-1.708488883233908</v>
      </c>
      <c r="AD421" s="41">
        <f>VLOOKUP(B421,'Player Data'!$A1:$AE734,18,FALSE)*$Q421</f>
        <v>19.975650703169805</v>
      </c>
      <c r="AE421" s="41">
        <f>VLOOKUP(B421,'Player Data'!$A1:$AE734,19,FALSE)*$Q421*IFERROR((VLOOKUP(P421,Settings!$E$28:$F$33,2,FALSE)+1),1)</f>
        <v>0.33251229528215215</v>
      </c>
      <c r="AF421" s="41">
        <f>VLOOKUP(B421,'Player Data'!$A1:$AE734,20,FALSE)*$Q421</f>
        <v>0</v>
      </c>
      <c r="AG421" s="41">
        <f>VLOOKUP(B421,'Player Data'!$A1:$AE734,21,FALSE)*$Q421</f>
        <v>0</v>
      </c>
      <c r="AH421" s="42">
        <f>VLOOKUP(B421,'Player Data'!$A1:$AE734,22,FALSE)</f>
        <v>0</v>
      </c>
      <c r="AI421" s="39"/>
      <c r="AJ421" s="43"/>
      <c r="AK421" s="41"/>
      <c r="AL421" s="41"/>
      <c r="AM421" s="41"/>
      <c r="AN421" s="41"/>
      <c r="AO421" s="41"/>
      <c r="AP421" s="41"/>
      <c r="AQ421" s="44"/>
      <c r="AR421" s="45"/>
      <c r="AS421" s="39"/>
    </row>
    <row r="422" spans="1:45" ht="21.25" customHeight="1" x14ac:dyDescent="0.15">
      <c r="A422" s="31">
        <f>RANK(K422,K$2:K$727)</f>
        <v>421</v>
      </c>
      <c r="B422" s="8" t="s">
        <v>526</v>
      </c>
      <c r="C422" s="32" t="s">
        <v>106</v>
      </c>
      <c r="D422" s="33" t="str">
        <f>VLOOKUP(B422,'Player Data'!A1:D734,4,FALSE)</f>
        <v>D</v>
      </c>
      <c r="E422" s="49">
        <f>VLOOKUP(B422,D!A1:C227,3,FALSE)</f>
        <v>151</v>
      </c>
      <c r="F422" s="35" t="str">
        <f>VLOOKUP(B422,'Player Data'!A1:B734,2,FALSE)</f>
        <v>CHI</v>
      </c>
      <c r="G422" s="9">
        <f>VLOOKUP(B422,'Player Data'!A1:D734,3,FALSE)</f>
        <v>22</v>
      </c>
      <c r="H422" s="36">
        <f>IFERROR(VLOOKUP(B422,ADP!A1:G728,7,FALSE)/1000000,VLOOKUP(B422,ADP!A1:G728,7,FALSE))</f>
        <v>0</v>
      </c>
      <c r="I422" s="37">
        <f>IF(Settings!$E$15="POINTS",((R422*Q422)*Settings!$B$12)+(S422*Settings!$B$2)+(T422*Settings!$B$3)+(U422*Settings!$B$4)+(V422*Settings!$B$5)+(X422*Settings!$B$9)+(AA422*Settings!$B$6)+(W422*Settings!$B$8)+(AB422*Settings!$B$7)+(AC422*Settings!$B$14)+(AD422*Settings!$B$15)+(AE422*Settings!$B$16)+(AF422*Settings!$B$17)+(AG422*Settings!$B$18)+(U422*Settings!$B$13)+(Y422*Settings!$B$10)+(Z422*Settings!$B$11),VLOOKUP(B422,'Standard Deviations'!A1:C728,3,FALSE))</f>
        <v>116.65661654961052</v>
      </c>
      <c r="J422" s="38">
        <f>IF(D422="G",I422/AJ422,I422/Q422)</f>
        <v>1.8925473158600019</v>
      </c>
      <c r="K422" s="37">
        <f>VLOOKUP(B422,D!A1:F227,6,FALSE)</f>
        <v>-194.90886507831692</v>
      </c>
      <c r="L422" s="52" t="str">
        <f>IFERROR(K422/H422,"N/A")</f>
        <v>N/A</v>
      </c>
      <c r="M422" s="53" t="str">
        <f>IF(Settings!$E$9="YAHOO",VLOOKUP(B422,ADP!A1:E728,2,FALSE),IF(Settings!$E$9="ESPN",VLOOKUP(B422,ADP!A1:E728,3,FALSE),IF(Settings!$E$9="FANTRAX",VLOOKUP(B422,ADP!A1:E728,4,FALSE),VLOOKUP(B422,ADP!A1:E728,5,FALSE))))</f>
        <v>-</v>
      </c>
      <c r="N422" s="53" t="str">
        <f>IFERROR(M422-A422,"N/A")</f>
        <v>N/A</v>
      </c>
      <c r="O422" s="39"/>
      <c r="P422" s="40" t="str">
        <f>IF(Settings!$E$27="ON",VLOOKUP(B422,ADP!A1:H728,8,FALSE)," ")</f>
        <v xml:space="preserve"> </v>
      </c>
      <c r="Q422" s="41">
        <f>IF(Settings!$E$12="YES",VLOOKUP(B422,'Player Data'!A1:E734,5,FALSE),82)</f>
        <v>61.64</v>
      </c>
      <c r="R422" s="39">
        <f>VLOOKUP(B422,'Player Data'!$A1:$AE734,6,FALSE)</f>
        <v>20.799675665832201</v>
      </c>
      <c r="S422" s="41">
        <f>VLOOKUP(B422,'Player Data'!$A1:$AE734,7,FALSE)*$Q422*IFERROR((VLOOKUP(P422,Settings!$E$28:$F$33,2,FALSE)+1),1)</f>
        <v>4.4235461032596524</v>
      </c>
      <c r="T422" s="41">
        <f>VLOOKUP(B422,'Player Data'!$A1:$AE734,8,FALSE)*$Q422*IFERROR((VLOOKUP(P422,Settings!$E$28:$F$33,2,FALSE)+1),1)</f>
        <v>13.911312842378173</v>
      </c>
      <c r="U422" s="41">
        <f>SUM(S422:T422)</f>
        <v>18.334858945637826</v>
      </c>
      <c r="V422" s="41">
        <f>VLOOKUP(B422,'Player Data'!$A1:$AE734,10,FALSE)*$Q422*IFERROR(((VLOOKUP(P422,Settings!$E$28:$F$33,2,FALSE)/2)+1),1)</f>
        <v>78.44757936682889</v>
      </c>
      <c r="W422" s="41">
        <f>VLOOKUP(B422,'Player Data'!$A1:$AE734,11,FALSE)*$Q422*IFERROR((VLOOKUP(P422,Settings!$E$28:$F$33,2,FALSE)+1),1)</f>
        <v>2.3005682112350729E-2</v>
      </c>
      <c r="X422" s="41">
        <f>VLOOKUP(B422,'Player Data'!$A1:$AE734,12,FALSE)*$Q422*IFERROR((VLOOKUP(P422,Settings!$E$28:$F$33,2,FALSE)+1),1)</f>
        <v>0.15635229277066237</v>
      </c>
      <c r="Y422" s="41">
        <f>VLOOKUP(B422,'Player Data'!$A1:$AE734,13,FALSE)*$Q422</f>
        <v>9.9352659037178798E-2</v>
      </c>
      <c r="Z422" s="41">
        <f>VLOOKUP(B422,'Player Data'!$A1:$AE734,14,FALSE)*$Q422</f>
        <v>0.52740318413980947</v>
      </c>
      <c r="AA422" s="41">
        <f>VLOOKUP(B422,'Player Data'!$A1:$AE734,15,FALSE)*$Q422</f>
        <v>105.30369537730834</v>
      </c>
      <c r="AB422" s="41">
        <f>VLOOKUP(B422,'Player Data'!$A1:$AE734,16,FALSE)*$Q422</f>
        <v>91.634339163481286</v>
      </c>
      <c r="AC422" s="41">
        <f>VLOOKUP(B422,'Player Data'!$A1:$AE734,17,FALSE)*$Q422*IFERROR((VLOOKUP(P422,Settings!$E$28:$F$33,2,FALSE)+1),1)</f>
        <v>-4.4116154170256641</v>
      </c>
      <c r="AD422" s="41">
        <f>VLOOKUP(B422,'Player Data'!$A1:$AE734,18,FALSE)*$Q422</f>
        <v>23.956177591534583</v>
      </c>
      <c r="AE422" s="41">
        <f>VLOOKUP(B422,'Player Data'!$A1:$AE734,19,FALSE)*$Q422*IFERROR((VLOOKUP(P422,Settings!$E$28:$F$33,2,FALSE)+1),1)</f>
        <v>0.51835799751113898</v>
      </c>
      <c r="AF422" s="41">
        <f>VLOOKUP(B422,'Player Data'!$A1:$AE734,20,FALSE)*$Q422</f>
        <v>0</v>
      </c>
      <c r="AG422" s="41">
        <f>VLOOKUP(B422,'Player Data'!$A1:$AE734,21,FALSE)*$Q422</f>
        <v>0</v>
      </c>
      <c r="AH422" s="42">
        <f>VLOOKUP(B422,'Player Data'!$A1:$AE734,22,FALSE)</f>
        <v>0</v>
      </c>
      <c r="AI422" s="39"/>
      <c r="AJ422" s="43"/>
      <c r="AK422" s="41"/>
      <c r="AL422" s="41"/>
      <c r="AM422" s="41"/>
      <c r="AN422" s="41"/>
      <c r="AO422" s="41"/>
      <c r="AP422" s="41"/>
      <c r="AQ422" s="44"/>
      <c r="AR422" s="45"/>
      <c r="AS422" s="39"/>
    </row>
    <row r="423" spans="1:45" ht="21.25" customHeight="1" x14ac:dyDescent="0.15">
      <c r="A423" s="31">
        <f>RANK(K423,K$2:K$727)</f>
        <v>422</v>
      </c>
      <c r="B423" s="8" t="s">
        <v>527</v>
      </c>
      <c r="C423" s="32" t="s">
        <v>106</v>
      </c>
      <c r="D423" s="33" t="str">
        <f>VLOOKUP(B423,'Player Data'!A1:D734,4,FALSE)</f>
        <v>G</v>
      </c>
      <c r="E423" s="50">
        <f>VLOOKUP(B423,G!A1:D75,3,FALSE)</f>
        <v>40</v>
      </c>
      <c r="F423" s="35" t="str">
        <f>VLOOKUP(B423,'Player Data'!A1:B734,2,FALSE)</f>
        <v>MTL</v>
      </c>
      <c r="G423" s="9">
        <f>VLOOKUP(B423,'Player Data'!A1:D734,3,FALSE)</f>
        <v>26</v>
      </c>
      <c r="H423" s="36">
        <f>IFERROR(VLOOKUP(B423,ADP!A1:G728,7,FALSE)/1000000,VLOOKUP(B423,ADP!A1:G728,7,FALSE))</f>
        <v>1</v>
      </c>
      <c r="I423" s="37">
        <f>IF(Settings!$E$15="POINTS",(AJ423*Settings!$B$29)+(AK423*Settings!$B$21)+(AL423*Settings!$B$22)+(AN423*Settings!$B$24)+(AO423*Settings!$B$25)+(AP423*Settings!$B$27)+(AM423*Settings!$B$23),VLOOKUP(B423,'Standard Deviations'!A1:C728,3,FALSE))</f>
        <v>203.76562017489471</v>
      </c>
      <c r="J423" s="38">
        <f>IF(D423="G",I423/AJ423,I423/Q423)</f>
        <v>6.3676756304654596</v>
      </c>
      <c r="K423" s="37">
        <f>VLOOKUP(B423,G!A1:F75,6,FALSE)</f>
        <v>-195.01004191442149</v>
      </c>
      <c r="L423" s="37">
        <f>IFERROR(K423/H423,"N/A")</f>
        <v>-195.01004191442149</v>
      </c>
      <c r="M423" s="53" t="str">
        <f>IF(Settings!$E$9="YAHOO",VLOOKUP(B423,ADP!A1:E728,2,FALSE),IF(Settings!$E$9="ESPN",VLOOKUP(B423,ADP!A1:E728,3,FALSE),IF(Settings!$E$9="FANTRAX",VLOOKUP(B423,ADP!A1:E728,4,FALSE),VLOOKUP(B423,ADP!A1:E728,5,FALSE))))</f>
        <v>-</v>
      </c>
      <c r="N423" s="53" t="str">
        <f>IFERROR(M423-A423,"N/A")</f>
        <v>N/A</v>
      </c>
      <c r="O423" s="39"/>
      <c r="P423" s="40" t="str">
        <f>IF(Settings!$E$27="ON",VLOOKUP(B423,ADP!A1:H728,8,FALSE)," ")</f>
        <v xml:space="preserve"> </v>
      </c>
      <c r="Q423" s="41"/>
      <c r="R423" s="5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2"/>
      <c r="AI423" s="39"/>
      <c r="AJ423" s="43">
        <f>VLOOKUP(B423,'Player Data'!$A1:$AE734,24,FALSE)</f>
        <v>32</v>
      </c>
      <c r="AK423" s="41">
        <f>VLOOKUP(B423,'Player Data'!$A1:$AE734,25,FALSE)*$AJ423*IFERROR((VLOOKUP(P423,Settings!$E$28:$F$33,2,FALSE)+1),1)</f>
        <v>11.312592395011553</v>
      </c>
      <c r="AL423" s="41">
        <f>AJ423-AK423-AM423</f>
        <v>16.687407604988447</v>
      </c>
      <c r="AM423" s="41">
        <f>VLOOKUP(B423,'Player Data'!$A1:$AE734,27,FALSE)*$AJ423</f>
        <v>4</v>
      </c>
      <c r="AN423" s="41">
        <f>VLOOKUP(B423,'Player Data'!$A1:$AE734,28,FALSE)*AJ423</f>
        <v>1.2940552120415361</v>
      </c>
      <c r="AO423" s="41">
        <f>VLOOKUP(B423,'Player Data'!$A1:$AE734,29,FALSE)*$AJ423*IFERROR((VLOOKUP(P423,Settings!$E$28:$F$33,2,FALSE)/4)+1,1)</f>
        <v>913.39659507593603</v>
      </c>
      <c r="AP423" s="41">
        <f>VLOOKUP(B423,'Player Data'!$A1:$AE734,31,FALSE)*$AJ423*(IFERROR(1-(VLOOKUP(P423,Settings!$E$28:$F$33,2,FALSE)/4),1))</f>
        <v>96.486188324063676</v>
      </c>
      <c r="AQ423" s="44">
        <f>1-(AP423/(AO423+AP423))</f>
        <v>0.90445803224883092</v>
      </c>
      <c r="AR423" s="45">
        <f>AP423/AJ423</f>
        <v>3.0151933851269899</v>
      </c>
      <c r="AS423" s="39"/>
    </row>
    <row r="424" spans="1:45" ht="21.25" customHeight="1" x14ac:dyDescent="0.15">
      <c r="A424" s="31">
        <f>RANK(K424,K$2:K$727)</f>
        <v>423</v>
      </c>
      <c r="B424" s="8" t="s">
        <v>528</v>
      </c>
      <c r="C424" s="32" t="s">
        <v>106</v>
      </c>
      <c r="D424" s="33" t="str">
        <f>VLOOKUP(B424,'Player Data'!A1:D734,4,FALSE)</f>
        <v>D</v>
      </c>
      <c r="E424" s="49">
        <f>VLOOKUP(B424,D!A1:C227,3,FALSE)</f>
        <v>152</v>
      </c>
      <c r="F424" s="35" t="str">
        <f>VLOOKUP(B424,'Player Data'!A1:B734,2,FALSE)</f>
        <v>FLA</v>
      </c>
      <c r="G424" s="9">
        <f>VLOOKUP(B424,'Player Data'!A1:D734,3,FALSE)</f>
        <v>32</v>
      </c>
      <c r="H424" s="36">
        <f>IFERROR(VLOOKUP(B424,ADP!A1:G728,7,FALSE)/1000000,VLOOKUP(B424,ADP!A1:G728,7,FALSE))</f>
        <v>1</v>
      </c>
      <c r="I424" s="37">
        <f>IF(Settings!$E$15="POINTS",((R424*Q424)*Settings!$B$12)+(S424*Settings!$B$2)+(T424*Settings!$B$3)+(U424*Settings!$B$4)+(V424*Settings!$B$5)+(X424*Settings!$B$9)+(AA424*Settings!$B$6)+(W424*Settings!$B$8)+(AB424*Settings!$B$7)+(AC424*Settings!$B$14)+(AD424*Settings!$B$15)+(AE424*Settings!$B$16)+(AF424*Settings!$B$17)+(AG424*Settings!$B$18)+(U424*Settings!$B$13)+(Y424*Settings!$B$10)+(Z424*Settings!$B$11),VLOOKUP(B424,'Standard Deviations'!A1:C728,3,FALSE))</f>
        <v>116.50534922291926</v>
      </c>
      <c r="J424" s="38">
        <f>IF(D424="G",I424/AJ424,I424/Q424)</f>
        <v>1.4951712943233495</v>
      </c>
      <c r="K424" s="37">
        <f>VLOOKUP(B424,D!A1:F227,6,FALSE)</f>
        <v>-195.06013240500818</v>
      </c>
      <c r="L424" s="37">
        <f>IFERROR(K424/H424,"N/A")</f>
        <v>-195.06013240500818</v>
      </c>
      <c r="M424" s="53" t="str">
        <f>IF(Settings!$E$9="YAHOO",VLOOKUP(B424,ADP!A1:E728,2,FALSE),IF(Settings!$E$9="ESPN",VLOOKUP(B424,ADP!A1:E728,3,FALSE),IF(Settings!$E$9="FANTRAX",VLOOKUP(B424,ADP!A1:E728,4,FALSE),VLOOKUP(B424,ADP!A1:E728,5,FALSE))))</f>
        <v>-</v>
      </c>
      <c r="N424" s="53" t="str">
        <f>IFERROR(M424-A424,"N/A")</f>
        <v>N/A</v>
      </c>
      <c r="O424" s="39"/>
      <c r="P424" s="40" t="str">
        <f>IF(Settings!$E$27="ON",VLOOKUP(B424,ADP!A1:H728,8,FALSE)," ")</f>
        <v xml:space="preserve"> </v>
      </c>
      <c r="Q424" s="41">
        <f>IF(Settings!$E$12="YES",VLOOKUP(B424,'Player Data'!A1:E734,5,FALSE),82)</f>
        <v>77.921071428571395</v>
      </c>
      <c r="R424" s="39">
        <f>VLOOKUP(B424,'Player Data'!$A1:$AE734,6,FALSE)</f>
        <v>18.268588651059499</v>
      </c>
      <c r="S424" s="41">
        <f>VLOOKUP(B424,'Player Data'!$A1:$AE734,7,FALSE)*$Q424*IFERROR((VLOOKUP(P424,Settings!$E$28:$F$33,2,FALSE)+1),1)</f>
        <v>3.7165328116445222</v>
      </c>
      <c r="T424" s="41">
        <f>VLOOKUP(B424,'Player Data'!$A1:$AE734,8,FALSE)*$Q424*IFERROR((VLOOKUP(P424,Settings!$E$28:$F$33,2,FALSE)+1),1)</f>
        <v>13.156169068887111</v>
      </c>
      <c r="U424" s="41">
        <f>SUM(S424:T424)</f>
        <v>16.872701880531633</v>
      </c>
      <c r="V424" s="41">
        <f>VLOOKUP(B424,'Player Data'!$A1:$AE734,10,FALSE)*$Q424*IFERROR(((VLOOKUP(P424,Settings!$E$28:$F$33,2,FALSE)/2)+1),1)</f>
        <v>85.818313507941454</v>
      </c>
      <c r="W424" s="41">
        <f>VLOOKUP(B424,'Player Data'!$A1:$AE734,11,FALSE)*$Q424*IFERROR((VLOOKUP(P424,Settings!$E$28:$F$33,2,FALSE)+1),1)</f>
        <v>2.0430866279231658E-2</v>
      </c>
      <c r="X424" s="41">
        <f>VLOOKUP(B424,'Player Data'!$A1:$AE734,12,FALSE)*$Q424*IFERROR((VLOOKUP(P424,Settings!$E$28:$F$33,2,FALSE)+1),1)</f>
        <v>0.14391524855260249</v>
      </c>
      <c r="Y424" s="41">
        <f>VLOOKUP(B424,'Player Data'!$A1:$AE734,13,FALSE)*$Q424</f>
        <v>2.4321613482959362E-2</v>
      </c>
      <c r="Z424" s="41">
        <f>VLOOKUP(B424,'Player Data'!$A1:$AE734,14,FALSE)*$Q424</f>
        <v>0.13381553232694041</v>
      </c>
      <c r="AA424" s="41">
        <f>VLOOKUP(B424,'Player Data'!$A1:$AE734,15,FALSE)*$Q424</f>
        <v>112.11312632797272</v>
      </c>
      <c r="AB424" s="41">
        <f>VLOOKUP(B424,'Player Data'!$A1:$AE734,16,FALSE)*$Q424</f>
        <v>105.45824774174002</v>
      </c>
      <c r="AC424" s="41">
        <f>VLOOKUP(B424,'Player Data'!$A1:$AE734,17,FALSE)*$Q424*IFERROR((VLOOKUP(P424,Settings!$E$28:$F$33,2,FALSE)+1),1)</f>
        <v>1.3351646767948426</v>
      </c>
      <c r="AD424" s="41">
        <f>VLOOKUP(B424,'Player Data'!$A1:$AE734,18,FALSE)*$Q424</f>
        <v>38.195267646457552</v>
      </c>
      <c r="AE424" s="41">
        <f>VLOOKUP(B424,'Player Data'!$A1:$AE734,19,FALSE)*$Q424*IFERROR((VLOOKUP(P424,Settings!$E$28:$F$33,2,FALSE)+1),1)</f>
        <v>0.53314510917767977</v>
      </c>
      <c r="AF424" s="41">
        <f>VLOOKUP(B424,'Player Data'!$A1:$AE734,20,FALSE)*$Q424</f>
        <v>0</v>
      </c>
      <c r="AG424" s="41">
        <f>VLOOKUP(B424,'Player Data'!$A1:$AE734,21,FALSE)*$Q424</f>
        <v>0</v>
      </c>
      <c r="AH424" s="42">
        <f>VLOOKUP(B424,'Player Data'!$A1:$AE734,22,FALSE)</f>
        <v>0</v>
      </c>
      <c r="AI424" s="39"/>
      <c r="AJ424" s="43"/>
      <c r="AK424" s="41"/>
      <c r="AL424" s="41"/>
      <c r="AM424" s="41"/>
      <c r="AN424" s="41"/>
      <c r="AO424" s="41"/>
      <c r="AP424" s="41"/>
      <c r="AQ424" s="44"/>
      <c r="AR424" s="45"/>
      <c r="AS424" s="39"/>
    </row>
    <row r="425" spans="1:45" ht="21.25" customHeight="1" x14ac:dyDescent="0.15">
      <c r="A425" s="31">
        <f>RANK(K425,K$2:K$727)</f>
        <v>424</v>
      </c>
      <c r="B425" s="8" t="s">
        <v>529</v>
      </c>
      <c r="C425" s="32" t="s">
        <v>106</v>
      </c>
      <c r="D425" s="33" t="str">
        <f>VLOOKUP(B425,'Player Data'!A1:D734,4,FALSE)</f>
        <v>LW</v>
      </c>
      <c r="E425" s="47">
        <f>VLOOKUP(B425,LW!A1:C130,3,FALSE)</f>
        <v>77</v>
      </c>
      <c r="F425" s="35" t="str">
        <f>VLOOKUP(B425,'Player Data'!A1:B734,2,FALSE)</f>
        <v>CGY</v>
      </c>
      <c r="G425" s="9">
        <f>VLOOKUP(B425,'Player Data'!A1:D734,3,FALSE)</f>
        <v>22</v>
      </c>
      <c r="H425" s="36">
        <f>IFERROR(VLOOKUP(B425,ADP!A1:G728,7,FALSE)/1000000,VLOOKUP(B425,ADP!A1:G728,7,FALSE))</f>
        <v>0</v>
      </c>
      <c r="I425" s="37">
        <f>IF(Settings!$E$15="POINTS",((R425*Q425)*Settings!$B$12)+(S425*Settings!$B$2)+(T425*Settings!$B$3)+(U425*Settings!$B$4)+(V425*Settings!$B$5)+(X425*Settings!$B$9)+(AA425*Settings!$B$6)+(W425*Settings!$B$8)+(AB425*Settings!$B$7)+(AC425*Settings!$B$14)+(AD425*Settings!$B$15)+(AE425*Settings!$B$16)+(AF425*Settings!$B$17)+(AG425*Settings!$B$18)+(Y425*Settings!$B$10)+(Z425*Settings!$B$11),VLOOKUP(B425,'Standard Deviations'!A1:C728,3,FALSE))</f>
        <v>168.45185179449001</v>
      </c>
      <c r="J425" s="38">
        <f>IF(D425="G",I425/AJ425,I425/Q425)</f>
        <v>2.6787286601652225</v>
      </c>
      <c r="K425" s="37">
        <f>IF(Settings!$E$18="C/LW/RW",VLOOKUP(B425,LW!A1:F130,6,FALSE),VLOOKUP(B425,F!A1:F430,6,FALSE))</f>
        <v>-195.58875306316045</v>
      </c>
      <c r="L425" s="52" t="str">
        <f>IFERROR(K425/H425,"N/A")</f>
        <v>N/A</v>
      </c>
      <c r="M425" s="53" t="str">
        <f>IF(Settings!$E$9="YAHOO",VLOOKUP(B425,ADP!A1:E728,2,FALSE),IF(Settings!$E$9="ESPN",VLOOKUP(B425,ADP!A1:E728,3,FALSE),IF(Settings!$E$9="FANTRAX",VLOOKUP(B425,ADP!A1:E728,4,FALSE),VLOOKUP(B425,ADP!A1:E728,5,FALSE))))</f>
        <v>-</v>
      </c>
      <c r="N425" s="53" t="str">
        <f>IFERROR(M425-A425,"N/A")</f>
        <v>N/A</v>
      </c>
      <c r="O425" s="39"/>
      <c r="P425" s="40" t="str">
        <f>IF(Settings!$E$27="ON",VLOOKUP(B425,ADP!A1:H728,8,FALSE)," ")</f>
        <v xml:space="preserve"> </v>
      </c>
      <c r="Q425" s="41">
        <f>IF(Settings!$E$12="YES",VLOOKUP(B425,'Player Data'!A1:E734,5,FALSE),82)</f>
        <v>62.884999999999998</v>
      </c>
      <c r="R425" s="39">
        <f>VLOOKUP(B425,'Player Data'!$A1:$AE734,6,FALSE)</f>
        <v>14.563637588937301</v>
      </c>
      <c r="S425" s="41">
        <f>VLOOKUP(B425,'Player Data'!$A1:$AE734,7,FALSE)*$Q425*IFERROR((VLOOKUP(P425,Settings!$E$28:$F$33,2,FALSE)+1),1)</f>
        <v>11.596800284679292</v>
      </c>
      <c r="T425" s="41">
        <f>VLOOKUP(B425,'Player Data'!$A1:$AE734,8,FALSE)*$Q425*IFERROR((VLOOKUP(P425,Settings!$E$28:$F$33,2,FALSE)+1),1)</f>
        <v>15.922774163074925</v>
      </c>
      <c r="U425" s="41">
        <f>SUM(S425:T425)</f>
        <v>27.519574447754216</v>
      </c>
      <c r="V425" s="41">
        <f>VLOOKUP(B425,'Player Data'!$A1:$AE734,10,FALSE)*$Q425*IFERROR(((VLOOKUP(P425,Settings!$E$28:$F$33,2,FALSE)/2)+1),1)</f>
        <v>123.64093768666235</v>
      </c>
      <c r="W425" s="41">
        <f>VLOOKUP(B425,'Player Data'!$A1:$AE734,11,FALSE)*$Q425*IFERROR((VLOOKUP(P425,Settings!$E$28:$F$33,2,FALSE)+1),1)</f>
        <v>4.5614576500004986</v>
      </c>
      <c r="X425" s="41">
        <f>VLOOKUP(B425,'Player Data'!$A1:$AE734,12,FALSE)*$Q425*IFERROR((VLOOKUP(P425,Settings!$E$28:$F$33,2,FALSE)+1),1)</f>
        <v>8.6953227341863961</v>
      </c>
      <c r="Y425" s="41">
        <f>VLOOKUP(B425,'Player Data'!$A1:$AE734,13,FALSE)*$Q425</f>
        <v>6.8840294439406523E-3</v>
      </c>
      <c r="Z425" s="41">
        <f>VLOOKUP(B425,'Player Data'!$A1:$AE734,14,FALSE)*$Q425</f>
        <v>1.2518258908852989E-2</v>
      </c>
      <c r="AA425" s="41">
        <f>VLOOKUP(B425,'Player Data'!$A1:$AE734,15,FALSE)*$Q425</f>
        <v>33.284888108528399</v>
      </c>
      <c r="AB425" s="41">
        <f>VLOOKUP(B425,'Player Data'!$A1:$AE734,16,FALSE)*$Q425</f>
        <v>51.75527798700395</v>
      </c>
      <c r="AC425" s="41">
        <f>VLOOKUP(B425,'Player Data'!$A1:$AE734,17,FALSE)*$Q425*IFERROR((VLOOKUP(P425,Settings!$E$28:$F$33,2,FALSE)+1),1)</f>
        <v>1.2877041556741753</v>
      </c>
      <c r="AD425" s="41">
        <f>VLOOKUP(B425,'Player Data'!$A1:$AE734,18,FALSE)*$Q425</f>
        <v>16.390242981279378</v>
      </c>
      <c r="AE425" s="41">
        <f>VLOOKUP(B425,'Player Data'!$A1:$AE734,19,FALSE)*$Q425*IFERROR((VLOOKUP(P425,Settings!$E$28:$F$33,2,FALSE)+1),1)</f>
        <v>1.9378050338725266</v>
      </c>
      <c r="AF425" s="41">
        <f>VLOOKUP(B425,'Player Data'!$A1:$AE734,20,FALSE)*$Q425</f>
        <v>5.3804561864719433</v>
      </c>
      <c r="AG425" s="41">
        <f>VLOOKUP(B425,'Player Data'!$A1:$AE734,21,FALSE)*$Q425</f>
        <v>16.141368559415863</v>
      </c>
      <c r="AH425" s="42">
        <f>VLOOKUP(B425,'Player Data'!$A1:$AE734,22,FALSE)</f>
        <v>0.25</v>
      </c>
      <c r="AI425" s="39"/>
      <c r="AJ425" s="43"/>
      <c r="AK425" s="41"/>
      <c r="AL425" s="41"/>
      <c r="AM425" s="41"/>
      <c r="AN425" s="41"/>
      <c r="AO425" s="41"/>
      <c r="AP425" s="41"/>
      <c r="AQ425" s="44"/>
      <c r="AR425" s="45"/>
      <c r="AS425" s="39"/>
    </row>
    <row r="426" spans="1:45" ht="21.25" customHeight="1" x14ac:dyDescent="0.15">
      <c r="A426" s="31">
        <f>RANK(K426,K$2:K$727)</f>
        <v>425</v>
      </c>
      <c r="B426" s="8" t="s">
        <v>530</v>
      </c>
      <c r="C426" s="32" t="s">
        <v>106</v>
      </c>
      <c r="D426" s="33" t="str">
        <f>VLOOKUP(B426,'Player Data'!A1:D734,4,FALSE)</f>
        <v>RW</v>
      </c>
      <c r="E426" s="46">
        <f>VLOOKUP(B426,RW!A1:F97,3,FALSE)</f>
        <v>58</v>
      </c>
      <c r="F426" s="35" t="str">
        <f>VLOOKUP(B426,'Player Data'!A1:B734,2,FALSE)</f>
        <v>LAK</v>
      </c>
      <c r="G426" s="9">
        <f>VLOOKUP(B426,'Player Data'!A1:D734,3,FALSE)</f>
        <v>22</v>
      </c>
      <c r="H426" s="36">
        <f>IFERROR(VLOOKUP(B426,ADP!A1:G728,7,FALSE)/1000000,VLOOKUP(B426,ADP!A1:G728,7,FALSE))</f>
        <v>0.89416700000000005</v>
      </c>
      <c r="I426" s="37">
        <f>IF(Settings!$E$15="POINTS",((R426*Q426)*Settings!$B$12)+(S426*Settings!$B$2)+(T426*Settings!$B$3)+(U426*Settings!$B$4)+(V426*Settings!$B$5)+(X426*Settings!$B$9)+(AA426*Settings!$B$6)+(W426*Settings!$B$8)+(AB426*Settings!$B$7)+(AC426*Settings!$B$14)+(AD426*Settings!$B$15)+(AE426*Settings!$B$16)+(AF426*Settings!$B$17)+(AG426*Settings!$B$18)+(Y426*Settings!$B$10)+(Z426*Settings!$B$11),VLOOKUP(B426,'Standard Deviations'!A1:C728,3,FALSE))</f>
        <v>154.01067976785777</v>
      </c>
      <c r="J426" s="38">
        <f>IF(D426="G",I426/AJ426,I426/Q426)</f>
        <v>2.2292465098065652</v>
      </c>
      <c r="K426" s="37">
        <f>IF(Settings!$E$18="C/LW/RW",VLOOKUP(B426,RW!A1:F97,6,FALSE),VLOOKUP(B426,F!A1:F430,6,FALSE))</f>
        <v>-196.26086078003181</v>
      </c>
      <c r="L426" s="37">
        <f>IFERROR(K426/H426,"N/A")</f>
        <v>-219.49016322457862</v>
      </c>
      <c r="M426" s="53" t="str">
        <f>IF(Settings!$E$9="YAHOO",VLOOKUP(B426,ADP!A1:E728,2,FALSE),IF(Settings!$E$9="ESPN",VLOOKUP(B426,ADP!A1:E728,3,FALSE),IF(Settings!$E$9="FANTRAX",VLOOKUP(B426,ADP!A1:E728,4,FALSE),VLOOKUP(B426,ADP!A1:E728,5,FALSE))))</f>
        <v>-</v>
      </c>
      <c r="N426" s="53" t="str">
        <f>IFERROR(M426-A426,"N/A")</f>
        <v>N/A</v>
      </c>
      <c r="O426" s="39"/>
      <c r="P426" s="40" t="str">
        <f>IF(Settings!$E$27="ON",VLOOKUP(B426,ADP!A1:H728,8,FALSE)," ")</f>
        <v xml:space="preserve"> </v>
      </c>
      <c r="Q426" s="41">
        <f>IF(Settings!$E$12="YES",VLOOKUP(B426,'Player Data'!A1:E734,5,FALSE),82)</f>
        <v>69.086428571428598</v>
      </c>
      <c r="R426" s="39">
        <f>VLOOKUP(B426,'Player Data'!$A1:$AE734,6,FALSE)</f>
        <v>10.8245709484702</v>
      </c>
      <c r="S426" s="41">
        <f>VLOOKUP(B426,'Player Data'!$A1:$AE734,7,FALSE)*$Q426*IFERROR((VLOOKUP(P426,Settings!$E$28:$F$33,2,FALSE)+1),1)</f>
        <v>11.16970551657394</v>
      </c>
      <c r="T426" s="41">
        <f>VLOOKUP(B426,'Player Data'!$A1:$AE734,8,FALSE)*$Q426*IFERROR((VLOOKUP(P426,Settings!$E$28:$F$33,2,FALSE)+1),1)</f>
        <v>13.321254509911572</v>
      </c>
      <c r="U426" s="41">
        <f>SUM(S426:T426)</f>
        <v>24.49096002648551</v>
      </c>
      <c r="V426" s="41">
        <f>VLOOKUP(B426,'Player Data'!$A1:$AE734,10,FALSE)*$Q426*IFERROR(((VLOOKUP(P426,Settings!$E$28:$F$33,2,FALSE)/2)+1),1)</f>
        <v>126.38713332502651</v>
      </c>
      <c r="W426" s="41">
        <f>VLOOKUP(B426,'Player Data'!$A1:$AE734,11,FALSE)*$Q426*IFERROR((VLOOKUP(P426,Settings!$E$28:$F$33,2,FALSE)+1),1)</f>
        <v>4.4907846346454017</v>
      </c>
      <c r="X426" s="41">
        <f>VLOOKUP(B426,'Player Data'!$A1:$AE734,12,FALSE)*$Q426*IFERROR((VLOOKUP(P426,Settings!$E$28:$F$33,2,FALSE)+1),1)</f>
        <v>7.2676837593807111</v>
      </c>
      <c r="Y426" s="41">
        <f>VLOOKUP(B426,'Player Data'!$A1:$AE734,13,FALSE)*$Q426</f>
        <v>8.0342958758009204E-4</v>
      </c>
      <c r="Z426" s="41">
        <f>VLOOKUP(B426,'Player Data'!$A1:$AE734,14,FALSE)*$Q426</f>
        <v>1.4682049577880306E-3</v>
      </c>
      <c r="AA426" s="41">
        <f>VLOOKUP(B426,'Player Data'!$A1:$AE734,15,FALSE)*$Q426</f>
        <v>14.029645486054786</v>
      </c>
      <c r="AB426" s="41">
        <f>VLOOKUP(B426,'Player Data'!$A1:$AE734,16,FALSE)*$Q426</f>
        <v>50.348582917839714</v>
      </c>
      <c r="AC426" s="41">
        <f>VLOOKUP(B426,'Player Data'!$A1:$AE734,17,FALSE)*$Q426*IFERROR((VLOOKUP(P426,Settings!$E$28:$F$33,2,FALSE)+1),1)</f>
        <v>0.18839219324951925</v>
      </c>
      <c r="AD426" s="41">
        <f>VLOOKUP(B426,'Player Data'!$A1:$AE734,18,FALSE)*$Q426</f>
        <v>17.469084821106016</v>
      </c>
      <c r="AE426" s="41">
        <f>VLOOKUP(B426,'Player Data'!$A1:$AE734,19,FALSE)*$Q426*IFERROR((VLOOKUP(P426,Settings!$E$28:$F$33,2,FALSE)+1),1)</f>
        <v>1.6582972719360058</v>
      </c>
      <c r="AF426" s="41">
        <f>VLOOKUP(B426,'Player Data'!$A1:$AE734,20,FALSE)*$Q426</f>
        <v>0</v>
      </c>
      <c r="AG426" s="41">
        <f>VLOOKUP(B426,'Player Data'!$A1:$AE734,21,FALSE)*$Q426</f>
        <v>0</v>
      </c>
      <c r="AH426" s="42">
        <f>VLOOKUP(B426,'Player Data'!$A1:$AE734,22,FALSE)</f>
        <v>0</v>
      </c>
      <c r="AI426" s="39"/>
      <c r="AJ426" s="41"/>
      <c r="AK426" s="41"/>
      <c r="AL426" s="41"/>
      <c r="AM426" s="41"/>
      <c r="AN426" s="41"/>
      <c r="AO426" s="41"/>
      <c r="AP426" s="41"/>
      <c r="AQ426" s="44"/>
      <c r="AR426" s="45"/>
      <c r="AS426" s="39"/>
    </row>
    <row r="427" spans="1:45" ht="21.25" customHeight="1" x14ac:dyDescent="0.15">
      <c r="A427" s="31">
        <f>RANK(K427,K$2:K$727)</f>
        <v>426</v>
      </c>
      <c r="B427" s="8" t="s">
        <v>531</v>
      </c>
      <c r="C427" s="32" t="s">
        <v>106</v>
      </c>
      <c r="D427" s="33" t="str">
        <f>VLOOKUP(B427,'Player Data'!A1:D734,4,FALSE)</f>
        <v>C</v>
      </c>
      <c r="E427" s="34">
        <f>VLOOKUP(B427,'C'!A1:C211,3,FALSE)</f>
        <v>101</v>
      </c>
      <c r="F427" s="35" t="str">
        <f>VLOOKUP(B427,'Player Data'!A1:B734,2,FALSE)</f>
        <v>SJS</v>
      </c>
      <c r="G427" s="9">
        <f>VLOOKUP(B427,'Player Data'!A1:D734,3,FALSE)</f>
        <v>31</v>
      </c>
      <c r="H427" s="36">
        <f>IFERROR(VLOOKUP(B427,ADP!A1:G728,7,FALSE)/1000000,VLOOKUP(B427,ADP!A1:G728,7,FALSE))</f>
        <v>5</v>
      </c>
      <c r="I427" s="37">
        <f>IF(Settings!$E$15="POINTS",((R427*Q427)*Settings!$B$12)+(S427*Settings!$B$2)+(T427*Settings!$B$3)+(U427*Settings!$B$4)+(V427*Settings!$B$5)+(X427*Settings!$B$9)+(AA427*Settings!$B$6)+(W427*Settings!$B$8)+(AB427*Settings!$B$7)+(AC427*Settings!$B$14)+(AD427*Settings!$B$15)+(AE427*Settings!$B$16)+(AF427*Settings!$B$17)+(AG427*Settings!$B$18)+(Y427*Settings!$B$10)+(Z427*Settings!$B$11),VLOOKUP(B427,'Standard Deviations'!A1:C728,3,FALSE))</f>
        <v>196.85653350166029</v>
      </c>
      <c r="J427" s="38">
        <f>IF(D427="G",I427/AJ427,I427/Q427)</f>
        <v>2.4457157414803419</v>
      </c>
      <c r="K427" s="37">
        <f>IF(Settings!$E$18="C/LW/RW",VLOOKUP(B427,'C'!A1:F211,6,FALSE),VLOOKUP(B427,F!A1:F430,6,FALSE))</f>
        <v>-196.47227226454936</v>
      </c>
      <c r="L427" s="37">
        <f>IFERROR(K427/H427,"N/A")</f>
        <v>-39.294454452909875</v>
      </c>
      <c r="M427" s="53" t="str">
        <f>IF(Settings!$E$9="YAHOO",VLOOKUP(B427,ADP!A1:E728,2,FALSE),IF(Settings!$E$9="ESPN",VLOOKUP(B427,ADP!A1:E728,3,FALSE),IF(Settings!$E$9="FANTRAX",VLOOKUP(B427,ADP!A1:E728,4,FALSE),VLOOKUP(B427,ADP!A1:E728,5,FALSE))))</f>
        <v>-</v>
      </c>
      <c r="N427" s="53" t="str">
        <f>IFERROR(M427-A427,"N/A")</f>
        <v>N/A</v>
      </c>
      <c r="O427" s="39"/>
      <c r="P427" s="40" t="str">
        <f>IF(Settings!$E$27="ON",VLOOKUP(B427,ADP!A1:H728,8,FALSE)," ")</f>
        <v xml:space="preserve"> </v>
      </c>
      <c r="Q427" s="41">
        <f>IF(Settings!$E$12="YES",VLOOKUP(B427,'Player Data'!A1:E734,5,FALSE),82)</f>
        <v>80.490357142857107</v>
      </c>
      <c r="R427" s="39">
        <f>VLOOKUP(B427,'Player Data'!$A1:$AE734,6,FALSE)</f>
        <v>16.121150196768699</v>
      </c>
      <c r="S427" s="41">
        <f>VLOOKUP(B427,'Player Data'!$A1:$AE734,7,FALSE)*$Q427*IFERROR((VLOOKUP(P427,Settings!$E$28:$F$33,2,FALSE)+1),1)</f>
        <v>10.059739165437469</v>
      </c>
      <c r="T427" s="41">
        <f>VLOOKUP(B427,'Player Data'!$A1:$AE734,8,FALSE)*$Q427*IFERROR((VLOOKUP(P427,Settings!$E$28:$F$33,2,FALSE)+1),1)</f>
        <v>28.36043519079853</v>
      </c>
      <c r="U427" s="41">
        <f>SUM(S427:T427)</f>
        <v>38.420174356235997</v>
      </c>
      <c r="V427" s="41">
        <f>VLOOKUP(B427,'Player Data'!$A1:$AE734,10,FALSE)*$Q427*IFERROR(((VLOOKUP(P427,Settings!$E$28:$F$33,2,FALSE)/2)+1),1)</f>
        <v>109.2738776582511</v>
      </c>
      <c r="W427" s="41">
        <f>VLOOKUP(B427,'Player Data'!$A1:$AE734,11,FALSE)*$Q427*IFERROR((VLOOKUP(P427,Settings!$E$28:$F$33,2,FALSE)+1),1)</f>
        <v>1.401962184690174</v>
      </c>
      <c r="X427" s="41">
        <f>VLOOKUP(B427,'Player Data'!$A1:$AE734,12,FALSE)*$Q427*IFERROR((VLOOKUP(P427,Settings!$E$28:$F$33,2,FALSE)+1),1)</f>
        <v>8.3939050254248624</v>
      </c>
      <c r="Y427" s="41">
        <f>VLOOKUP(B427,'Player Data'!$A1:$AE734,13,FALSE)*$Q427</f>
        <v>5.9323829079091617E-2</v>
      </c>
      <c r="Z427" s="41">
        <f>VLOOKUP(B427,'Player Data'!$A1:$AE734,14,FALSE)*$Q427</f>
        <v>0.11491119821657074</v>
      </c>
      <c r="AA427" s="41">
        <f>VLOOKUP(B427,'Player Data'!$A1:$AE734,15,FALSE)*$Q427</f>
        <v>49.707195782719367</v>
      </c>
      <c r="AB427" s="41">
        <f>VLOOKUP(B427,'Player Data'!$A1:$AE734,16,FALSE)*$Q427</f>
        <v>76.830598248504032</v>
      </c>
      <c r="AC427" s="41">
        <f>VLOOKUP(B427,'Player Data'!$A1:$AE734,17,FALSE)*$Q427*IFERROR((VLOOKUP(P427,Settings!$E$28:$F$33,2,FALSE)+1),1)</f>
        <v>-0.56012198242632494</v>
      </c>
      <c r="AD427" s="41">
        <f>VLOOKUP(B427,'Player Data'!$A1:$AE734,18,FALSE)*$Q427</f>
        <v>23.028552300026359</v>
      </c>
      <c r="AE427" s="41">
        <f>VLOOKUP(B427,'Player Data'!$A1:$AE734,19,FALSE)*$Q427*IFERROR((VLOOKUP(P427,Settings!$E$28:$F$33,2,FALSE)+1),1)</f>
        <v>1.2214710696332227</v>
      </c>
      <c r="AF427" s="41">
        <f>VLOOKUP(B427,'Player Data'!$A1:$AE734,20,FALSE)*$Q427</f>
        <v>227.64341038522204</v>
      </c>
      <c r="AG427" s="41">
        <f>VLOOKUP(B427,'Player Data'!$A1:$AE734,21,FALSE)*$Q427</f>
        <v>257.99941148559105</v>
      </c>
      <c r="AH427" s="42">
        <f>VLOOKUP(B427,'Player Data'!$A1:$AE734,22,FALSE)</f>
        <v>0.46874657697664401</v>
      </c>
      <c r="AI427" s="39"/>
      <c r="AJ427" s="43"/>
      <c r="AK427" s="41"/>
      <c r="AL427" s="41"/>
      <c r="AM427" s="41"/>
      <c r="AN427" s="41"/>
      <c r="AO427" s="41"/>
      <c r="AP427" s="41"/>
      <c r="AQ427" s="44"/>
      <c r="AR427" s="45"/>
      <c r="AS427" s="39"/>
    </row>
    <row r="428" spans="1:45" ht="21.25" customHeight="1" x14ac:dyDescent="0.15">
      <c r="A428" s="31">
        <f>RANK(K428,K$2:K$727)</f>
        <v>427</v>
      </c>
      <c r="B428" s="8" t="s">
        <v>532</v>
      </c>
      <c r="C428" s="32" t="s">
        <v>106</v>
      </c>
      <c r="D428" s="33" t="str">
        <f>VLOOKUP(B428,'Player Data'!A1:D734,4,FALSE)</f>
        <v>C</v>
      </c>
      <c r="E428" s="34">
        <f>VLOOKUP(B428,'C'!A1:C211,3,FALSE)</f>
        <v>102</v>
      </c>
      <c r="F428" s="35" t="str">
        <f>VLOOKUP(B428,'Player Data'!A1:B734,2,FALSE)</f>
        <v>MTL</v>
      </c>
      <c r="G428" s="9">
        <f>VLOOKUP(B428,'Player Data'!A1:D734,3,FALSE)</f>
        <v>28</v>
      </c>
      <c r="H428" s="36">
        <f>IFERROR(VLOOKUP(B428,ADP!A1:G728,7,FALSE)/1000000,VLOOKUP(B428,ADP!A1:G728,7,FALSE))</f>
        <v>1.9850000000000001</v>
      </c>
      <c r="I428" s="37">
        <f>IF(Settings!$E$15="POINTS",((R428*Q428)*Settings!$B$12)+(S428*Settings!$B$2)+(T428*Settings!$B$3)+(U428*Settings!$B$4)+(V428*Settings!$B$5)+(X428*Settings!$B$9)+(AA428*Settings!$B$6)+(W428*Settings!$B$8)+(AB428*Settings!$B$7)+(AC428*Settings!$B$14)+(AD428*Settings!$B$15)+(AE428*Settings!$B$16)+(AF428*Settings!$B$17)+(AG428*Settings!$B$18)+(Y428*Settings!$B$10)+(Z428*Settings!$B$11),VLOOKUP(B428,'Standard Deviations'!A1:C728,3,FALSE))</f>
        <v>196.66954153301108</v>
      </c>
      <c r="J428" s="38">
        <f>IF(D428="G",I428/AJ428,I428/Q428)</f>
        <v>2.8628786914085302</v>
      </c>
      <c r="K428" s="37">
        <f>IF(Settings!$E$18="C/LW/RW",VLOOKUP(B428,'C'!A1:F211,6,FALSE),VLOOKUP(B428,F!A1:F430,6,FALSE))</f>
        <v>-196.65926423319857</v>
      </c>
      <c r="L428" s="37">
        <f>IFERROR(K428/H428,"N/A")</f>
        <v>-99.07267719556603</v>
      </c>
      <c r="M428" s="53" t="str">
        <f>IF(Settings!$E$9="YAHOO",VLOOKUP(B428,ADP!A1:E728,2,FALSE),IF(Settings!$E$9="ESPN",VLOOKUP(B428,ADP!A1:E728,3,FALSE),IF(Settings!$E$9="FANTRAX",VLOOKUP(B428,ADP!A1:E728,4,FALSE),VLOOKUP(B428,ADP!A1:E728,5,FALSE))))</f>
        <v>-</v>
      </c>
      <c r="N428" s="53" t="str">
        <f>IFERROR(M428-A428,"N/A")</f>
        <v>N/A</v>
      </c>
      <c r="O428" s="39"/>
      <c r="P428" s="40" t="str">
        <f>IF(Settings!$E$27="ON",VLOOKUP(B428,ADP!A1:H728,8,FALSE)," ")</f>
        <v xml:space="preserve"> </v>
      </c>
      <c r="Q428" s="41">
        <f>IF(Settings!$E$12="YES",VLOOKUP(B428,'Player Data'!A1:E734,5,FALSE),82)</f>
        <v>68.696428571428598</v>
      </c>
      <c r="R428" s="39">
        <f>VLOOKUP(B428,'Player Data'!$A1:$AE734,6,FALSE)</f>
        <v>16.360397160823201</v>
      </c>
      <c r="S428" s="41">
        <f>VLOOKUP(B428,'Player Data'!$A1:$AE734,7,FALSE)*$Q428*IFERROR((VLOOKUP(P428,Settings!$E$28:$F$33,2,FALSE)+1),1)</f>
        <v>12.278722497562473</v>
      </c>
      <c r="T428" s="41">
        <f>VLOOKUP(B428,'Player Data'!$A1:$AE734,8,FALSE)*$Q428*IFERROR((VLOOKUP(P428,Settings!$E$28:$F$33,2,FALSE)+1),1)</f>
        <v>21.507709515015137</v>
      </c>
      <c r="U428" s="41">
        <f>SUM(S428:T428)</f>
        <v>33.786432012577606</v>
      </c>
      <c r="V428" s="41">
        <f>VLOOKUP(B428,'Player Data'!$A1:$AE734,10,FALSE)*$Q428*IFERROR(((VLOOKUP(P428,Settings!$E$28:$F$33,2,FALSE)/2)+1),1)</f>
        <v>133.41559693436645</v>
      </c>
      <c r="W428" s="41">
        <f>VLOOKUP(B428,'Player Data'!$A1:$AE734,11,FALSE)*$Q428*IFERROR((VLOOKUP(P428,Settings!$E$28:$F$33,2,FALSE)+1),1)</f>
        <v>4.0288074679719408</v>
      </c>
      <c r="X428" s="41">
        <f>VLOOKUP(B428,'Player Data'!$A1:$AE734,12,FALSE)*$Q428*IFERROR((VLOOKUP(P428,Settings!$E$28:$F$33,2,FALSE)+1),1)</f>
        <v>11.123023130992408</v>
      </c>
      <c r="Y428" s="41">
        <f>VLOOKUP(B428,'Player Data'!$A1:$AE734,13,FALSE)*$Q428</f>
        <v>0.22443062756926696</v>
      </c>
      <c r="Z428" s="41">
        <f>VLOOKUP(B428,'Player Data'!$A1:$AE734,14,FALSE)*$Q428</f>
        <v>0.41511347494953826</v>
      </c>
      <c r="AA428" s="41">
        <f>VLOOKUP(B428,'Player Data'!$A1:$AE734,15,FALSE)*$Q428</f>
        <v>27.630869081055732</v>
      </c>
      <c r="AB428" s="41">
        <f>VLOOKUP(B428,'Player Data'!$A1:$AE734,16,FALSE)*$Q428</f>
        <v>55.479986525323298</v>
      </c>
      <c r="AC428" s="41">
        <f>VLOOKUP(B428,'Player Data'!$A1:$AE734,17,FALSE)*$Q428*IFERROR((VLOOKUP(P428,Settings!$E$28:$F$33,2,FALSE)+1),1)</f>
        <v>-6.6544864698230972</v>
      </c>
      <c r="AD428" s="41">
        <f>VLOOKUP(B428,'Player Data'!$A1:$AE734,18,FALSE)*$Q428</f>
        <v>22.426064097319756</v>
      </c>
      <c r="AE428" s="41">
        <f>VLOOKUP(B428,'Player Data'!$A1:$AE734,19,FALSE)*$Q428*IFERROR((VLOOKUP(P428,Settings!$E$28:$F$33,2,FALSE)+1),1)</f>
        <v>1.3306340731887323</v>
      </c>
      <c r="AF428" s="41">
        <f>VLOOKUP(B428,'Player Data'!$A1:$AE734,20,FALSE)*$Q428</f>
        <v>457.09970673433611</v>
      </c>
      <c r="AG428" s="41">
        <f>VLOOKUP(B428,'Player Data'!$A1:$AE734,21,FALSE)*$Q428</f>
        <v>415.38127626867947</v>
      </c>
      <c r="AH428" s="42">
        <f>VLOOKUP(B428,'Player Data'!$A1:$AE734,22,FALSE)</f>
        <v>0.52390793110588196</v>
      </c>
      <c r="AI428" s="39"/>
      <c r="AJ428" s="43"/>
      <c r="AK428" s="41"/>
      <c r="AL428" s="41"/>
      <c r="AM428" s="41"/>
      <c r="AN428" s="41"/>
      <c r="AO428" s="41"/>
      <c r="AP428" s="41"/>
      <c r="AQ428" s="44"/>
      <c r="AR428" s="45"/>
      <c r="AS428" s="39"/>
    </row>
    <row r="429" spans="1:45" ht="21.25" customHeight="1" x14ac:dyDescent="0.15">
      <c r="A429" s="31">
        <f>RANK(K429,K$2:K$727)</f>
        <v>428</v>
      </c>
      <c r="B429" s="8" t="s">
        <v>533</v>
      </c>
      <c r="C429" s="32" t="s">
        <v>106</v>
      </c>
      <c r="D429" s="33" t="str">
        <f>VLOOKUP(B429,'Player Data'!A1:D734,4,FALSE)</f>
        <v>D</v>
      </c>
      <c r="E429" s="49">
        <f>VLOOKUP(B429,D!A1:C227,3,FALSE)</f>
        <v>153</v>
      </c>
      <c r="F429" s="35" t="str">
        <f>VLOOKUP(B429,'Player Data'!A1:B734,2,FALSE)</f>
        <v>OTT</v>
      </c>
      <c r="G429" s="9">
        <f>VLOOKUP(B429,'Player Data'!A1:D734,3,FALSE)</f>
        <v>27</v>
      </c>
      <c r="H429" s="36">
        <f>IFERROR(VLOOKUP(B429,ADP!A1:G728,7,FALSE)/1000000,VLOOKUP(B429,ADP!A1:G728,7,FALSE))</f>
        <v>4.5999999999999996</v>
      </c>
      <c r="I429" s="37">
        <f>IF(Settings!$E$15="POINTS",((R429*Q429)*Settings!$B$12)+(S429*Settings!$B$2)+(T429*Settings!$B$3)+(U429*Settings!$B$4)+(V429*Settings!$B$5)+(X429*Settings!$B$9)+(AA429*Settings!$B$6)+(W429*Settings!$B$8)+(AB429*Settings!$B$7)+(AC429*Settings!$B$14)+(AD429*Settings!$B$15)+(AE429*Settings!$B$16)+(AF429*Settings!$B$17)+(AG429*Settings!$B$18)+(U429*Settings!$B$13)+(Y429*Settings!$B$10)+(Z429*Settings!$B$11),VLOOKUP(B429,'Standard Deviations'!A1:C728,3,FALSE))</f>
        <v>114.73942916987865</v>
      </c>
      <c r="J429" s="38">
        <f>IF(D429="G",I429/AJ429,I429/Q429)</f>
        <v>1.5211954851212146</v>
      </c>
      <c r="K429" s="37">
        <f>VLOOKUP(B429,D!A1:F227,6,FALSE)</f>
        <v>-196.82605245804882</v>
      </c>
      <c r="L429" s="37">
        <f>IFERROR(K429/H429,"N/A")</f>
        <v>-42.788272273488879</v>
      </c>
      <c r="M429" s="53" t="str">
        <f>IF(Settings!$E$9="YAHOO",VLOOKUP(B429,ADP!A1:E728,2,FALSE),IF(Settings!$E$9="ESPN",VLOOKUP(B429,ADP!A1:E728,3,FALSE),IF(Settings!$E$9="FANTRAX",VLOOKUP(B429,ADP!A1:E728,4,FALSE),VLOOKUP(B429,ADP!A1:E728,5,FALSE))))</f>
        <v>-</v>
      </c>
      <c r="N429" s="53" t="str">
        <f>IFERROR(M429-A429,"N/A")</f>
        <v>N/A</v>
      </c>
      <c r="O429" s="39"/>
      <c r="P429" s="40" t="str">
        <f>IF(Settings!$E$27="ON",VLOOKUP(B429,ADP!A1:H728,8,FALSE)," ")</f>
        <v xml:space="preserve"> </v>
      </c>
      <c r="Q429" s="41">
        <f>IF(Settings!$E$12="YES",VLOOKUP(B429,'Player Data'!A1:E734,5,FALSE),82)</f>
        <v>75.427142857142897</v>
      </c>
      <c r="R429" s="39">
        <f>VLOOKUP(B429,'Player Data'!$A1:$AE734,6,FALSE)</f>
        <v>19.1066687682261</v>
      </c>
      <c r="S429" s="41">
        <f>VLOOKUP(B429,'Player Data'!$A1:$AE734,7,FALSE)*$Q429*IFERROR((VLOOKUP(P429,Settings!$E$28:$F$33,2,FALSE)+1),1)</f>
        <v>4.9734233369453706</v>
      </c>
      <c r="T429" s="41">
        <f>VLOOKUP(B429,'Player Data'!$A1:$AE734,8,FALSE)*$Q429*IFERROR((VLOOKUP(P429,Settings!$E$28:$F$33,2,FALSE)+1),1)</f>
        <v>14.599821819741264</v>
      </c>
      <c r="U429" s="41">
        <f>SUM(S429:T429)</f>
        <v>19.573245156686635</v>
      </c>
      <c r="V429" s="41">
        <f>VLOOKUP(B429,'Player Data'!$A1:$AE734,10,FALSE)*$Q429*IFERROR(((VLOOKUP(P429,Settings!$E$28:$F$33,2,FALSE)/2)+1),1)</f>
        <v>70.7955504114246</v>
      </c>
      <c r="W429" s="41">
        <f>VLOOKUP(B429,'Player Data'!$A1:$AE734,11,FALSE)*$Q429*IFERROR((VLOOKUP(P429,Settings!$E$28:$F$33,2,FALSE)+1),1)</f>
        <v>1.952886049570865E-2</v>
      </c>
      <c r="X429" s="41">
        <f>VLOOKUP(B429,'Player Data'!$A1:$AE734,12,FALSE)*$Q429*IFERROR((VLOOKUP(P429,Settings!$E$28:$F$33,2,FALSE)+1),1)</f>
        <v>0.13359086098798797</v>
      </c>
      <c r="Y429" s="41">
        <f>VLOOKUP(B429,'Player Data'!$A1:$AE734,13,FALSE)*$Q429</f>
        <v>2.5861107689959206E-2</v>
      </c>
      <c r="Z429" s="41">
        <f>VLOOKUP(B429,'Player Data'!$A1:$AE734,14,FALSE)*$Q429</f>
        <v>9.691134792898512E-2</v>
      </c>
      <c r="AA429" s="41">
        <f>VLOOKUP(B429,'Player Data'!$A1:$AE734,15,FALSE)*$Q429</f>
        <v>100.80457038136251</v>
      </c>
      <c r="AB429" s="41">
        <f>VLOOKUP(B429,'Player Data'!$A1:$AE734,16,FALSE)*$Q429</f>
        <v>148.19802103804497</v>
      </c>
      <c r="AC429" s="41">
        <f>VLOOKUP(B429,'Player Data'!$A1:$AE734,17,FALSE)*$Q429*IFERROR((VLOOKUP(P429,Settings!$E$28:$F$33,2,FALSE)+1),1)</f>
        <v>1.6726001918074382</v>
      </c>
      <c r="AD429" s="41">
        <f>VLOOKUP(B429,'Player Data'!$A1:$AE734,18,FALSE)*$Q429</f>
        <v>47.77805134452688</v>
      </c>
      <c r="AE429" s="41">
        <f>VLOOKUP(B429,'Player Data'!$A1:$AE734,19,FALSE)*$Q429*IFERROR((VLOOKUP(P429,Settings!$E$28:$F$33,2,FALSE)+1),1)</f>
        <v>0.69081317475167836</v>
      </c>
      <c r="AF429" s="41">
        <f>VLOOKUP(B429,'Player Data'!$A1:$AE734,20,FALSE)*$Q429</f>
        <v>0</v>
      </c>
      <c r="AG429" s="41">
        <f>VLOOKUP(B429,'Player Data'!$A1:$AE734,21,FALSE)*$Q429</f>
        <v>0</v>
      </c>
      <c r="AH429" s="42">
        <f>VLOOKUP(B429,'Player Data'!$A1:$AE734,22,FALSE)</f>
        <v>0</v>
      </c>
      <c r="AI429" s="39"/>
      <c r="AJ429" s="43"/>
      <c r="AK429" s="41"/>
      <c r="AL429" s="41"/>
      <c r="AM429" s="41"/>
      <c r="AN429" s="41"/>
      <c r="AO429" s="41"/>
      <c r="AP429" s="41"/>
      <c r="AQ429" s="44"/>
      <c r="AR429" s="45"/>
      <c r="AS429" s="39"/>
    </row>
    <row r="430" spans="1:45" ht="21.25" customHeight="1" x14ac:dyDescent="0.15">
      <c r="A430" s="31">
        <f>RANK(K430,K$2:K$727)</f>
        <v>429</v>
      </c>
      <c r="B430" s="8" t="s">
        <v>534</v>
      </c>
      <c r="C430" s="32" t="s">
        <v>106</v>
      </c>
      <c r="D430" s="33" t="str">
        <f>VLOOKUP(B430,'Player Data'!A1:D734,4,FALSE)</f>
        <v>D</v>
      </c>
      <c r="E430" s="49">
        <f>VLOOKUP(B430,D!A1:C227,3,FALSE)</f>
        <v>154</v>
      </c>
      <c r="F430" s="35" t="str">
        <f>VLOOKUP(B430,'Player Data'!A1:B734,2,FALSE)</f>
        <v>MTL</v>
      </c>
      <c r="G430" s="9">
        <f>VLOOKUP(B430,'Player Data'!A1:D734,3,FALSE)</f>
        <v>23</v>
      </c>
      <c r="H430" s="36">
        <f>IFERROR(VLOOKUP(B430,ADP!A1:G728,7,FALSE)/1000000,VLOOKUP(B430,ADP!A1:G728,7,FALSE))</f>
        <v>1.4</v>
      </c>
      <c r="I430" s="37">
        <f>IF(Settings!$E$15="POINTS",((R430*Q430)*Settings!$B$12)+(S430*Settings!$B$2)+(T430*Settings!$B$3)+(U430*Settings!$B$4)+(V430*Settings!$B$5)+(X430*Settings!$B$9)+(AA430*Settings!$B$6)+(W430*Settings!$B$8)+(AB430*Settings!$B$7)+(AC430*Settings!$B$14)+(AD430*Settings!$B$15)+(AE430*Settings!$B$16)+(AF430*Settings!$B$17)+(AG430*Settings!$B$18)+(U430*Settings!$B$13)+(Y430*Settings!$B$10)+(Z430*Settings!$B$11),VLOOKUP(B430,'Standard Deviations'!A1:C728,3,FALSE))</f>
        <v>114.61106305560224</v>
      </c>
      <c r="J430" s="38">
        <f>IF(D430="G",I430/AJ430,I430/Q430)</f>
        <v>1.5286570597612839</v>
      </c>
      <c r="K430" s="37">
        <f>VLOOKUP(B430,D!A1:F227,6,FALSE)</f>
        <v>-196.95441857232521</v>
      </c>
      <c r="L430" s="37">
        <f>IFERROR(K430/H430,"N/A")</f>
        <v>-140.68172755166088</v>
      </c>
      <c r="M430" s="53" t="str">
        <f>IF(Settings!$E$9="YAHOO",VLOOKUP(B430,ADP!A1:E728,2,FALSE),IF(Settings!$E$9="ESPN",VLOOKUP(B430,ADP!A1:E728,3,FALSE),IF(Settings!$E$9="FANTRAX",VLOOKUP(B430,ADP!A1:E728,4,FALSE),VLOOKUP(B430,ADP!A1:E728,5,FALSE))))</f>
        <v>-</v>
      </c>
      <c r="N430" s="53" t="str">
        <f>IFERROR(M430-A430,"N/A")</f>
        <v>N/A</v>
      </c>
      <c r="O430" s="39"/>
      <c r="P430" s="40" t="str">
        <f>IF(Settings!$E$27="ON",VLOOKUP(B430,ADP!A1:H728,8,FALSE)," ")</f>
        <v xml:space="preserve"> </v>
      </c>
      <c r="Q430" s="41">
        <f>IF(Settings!$E$12="YES",VLOOKUP(B430,'Player Data'!A1:E734,5,FALSE),82)</f>
        <v>74.974999999999994</v>
      </c>
      <c r="R430" s="39">
        <f>VLOOKUP(B430,'Player Data'!$A1:$AE734,6,FALSE)</f>
        <v>17.2095682109073</v>
      </c>
      <c r="S430" s="41">
        <f>VLOOKUP(B430,'Player Data'!$A1:$AE734,7,FALSE)*$Q430*IFERROR((VLOOKUP(P430,Settings!$E$28:$F$33,2,FALSE)+1),1)</f>
        <v>4.7008136534031237</v>
      </c>
      <c r="T430" s="41">
        <f>VLOOKUP(B430,'Player Data'!$A1:$AE734,8,FALSE)*$Q430*IFERROR((VLOOKUP(P430,Settings!$E$28:$F$33,2,FALSE)+1),1)</f>
        <v>13.616310674726432</v>
      </c>
      <c r="U430" s="41">
        <f>SUM(S430:T430)</f>
        <v>18.317124328129555</v>
      </c>
      <c r="V430" s="41">
        <f>VLOOKUP(B430,'Player Data'!$A1:$AE734,10,FALSE)*$Q430*IFERROR(((VLOOKUP(P430,Settings!$E$28:$F$33,2,FALSE)/2)+1),1)</f>
        <v>78.516520444173537</v>
      </c>
      <c r="W430" s="41">
        <f>VLOOKUP(B430,'Player Data'!$A1:$AE734,11,FALSE)*$Q430*IFERROR((VLOOKUP(P430,Settings!$E$28:$F$33,2,FALSE)+1),1)</f>
        <v>2.4158130249619526E-2</v>
      </c>
      <c r="X430" s="41">
        <f>VLOOKUP(B430,'Player Data'!$A1:$AE734,12,FALSE)*$Q430*IFERROR((VLOOKUP(P430,Settings!$E$28:$F$33,2,FALSE)+1),1)</f>
        <v>0.24538669027324109</v>
      </c>
      <c r="Y430" s="41">
        <f>VLOOKUP(B430,'Player Data'!$A1:$AE734,13,FALSE)*$Q430</f>
        <v>2.7657489669478563E-2</v>
      </c>
      <c r="Z430" s="41">
        <f>VLOOKUP(B430,'Player Data'!$A1:$AE734,14,FALSE)*$Q430</f>
        <v>0.10330326259888709</v>
      </c>
      <c r="AA430" s="41">
        <f>VLOOKUP(B430,'Player Data'!$A1:$AE734,15,FALSE)*$Q430</f>
        <v>98.520249716912744</v>
      </c>
      <c r="AB430" s="41">
        <f>VLOOKUP(B430,'Player Data'!$A1:$AE734,16,FALSE)*$Q430</f>
        <v>70.543453590069873</v>
      </c>
      <c r="AC430" s="41">
        <f>VLOOKUP(B430,'Player Data'!$A1:$AE734,17,FALSE)*$Q430*IFERROR((VLOOKUP(P430,Settings!$E$28:$F$33,2,FALSE)+1),1)</f>
        <v>-6.188299133985784</v>
      </c>
      <c r="AD430" s="41">
        <f>VLOOKUP(B430,'Player Data'!$A1:$AE734,18,FALSE)*$Q430</f>
        <v>31.345210699947163</v>
      </c>
      <c r="AE430" s="41">
        <f>VLOOKUP(B430,'Player Data'!$A1:$AE734,19,FALSE)*$Q430*IFERROR((VLOOKUP(P430,Settings!$E$28:$F$33,2,FALSE)+1),1)</f>
        <v>0.50942293224484503</v>
      </c>
      <c r="AF430" s="41">
        <f>VLOOKUP(B430,'Player Data'!$A1:$AE734,20,FALSE)*$Q430</f>
        <v>0</v>
      </c>
      <c r="AG430" s="41">
        <f>VLOOKUP(B430,'Player Data'!$A1:$AE734,21,FALSE)*$Q430</f>
        <v>0</v>
      </c>
      <c r="AH430" s="42">
        <f>VLOOKUP(B430,'Player Data'!$A1:$AE734,22,FALSE)</f>
        <v>0</v>
      </c>
      <c r="AI430" s="39"/>
      <c r="AJ430" s="43"/>
      <c r="AK430" s="41"/>
      <c r="AL430" s="41"/>
      <c r="AM430" s="41"/>
      <c r="AN430" s="41"/>
      <c r="AO430" s="41"/>
      <c r="AP430" s="41"/>
      <c r="AQ430" s="44"/>
      <c r="AR430" s="45"/>
      <c r="AS430" s="39"/>
    </row>
    <row r="431" spans="1:45" ht="21.25" customHeight="1" x14ac:dyDescent="0.15">
      <c r="A431" s="31">
        <f>RANK(K431,K$2:K$727)</f>
        <v>430</v>
      </c>
      <c r="B431" s="8" t="s">
        <v>535</v>
      </c>
      <c r="C431" s="32" t="s">
        <v>106</v>
      </c>
      <c r="D431" s="33" t="str">
        <f>VLOOKUP(B431,'Player Data'!A1:D734,4,FALSE)</f>
        <v>C</v>
      </c>
      <c r="E431" s="34">
        <f>VLOOKUP(B431,'C'!A1:C211,3,FALSE)</f>
        <v>103</v>
      </c>
      <c r="F431" s="35" t="str">
        <f>VLOOKUP(B431,'Player Data'!A1:B734,2,FALSE)</f>
        <v>CGY</v>
      </c>
      <c r="G431" s="9">
        <f>VLOOKUP(B431,'Player Data'!A1:D734,3,FALSE)</f>
        <v>25</v>
      </c>
      <c r="H431" s="36">
        <f>IFERROR(VLOOKUP(B431,ADP!A1:G728,7,FALSE)/1000000,VLOOKUP(B431,ADP!A1:G728,7,FALSE))</f>
        <v>3.1</v>
      </c>
      <c r="I431" s="37">
        <f>IF(Settings!$E$15="POINTS",((R431*Q431)*Settings!$B$12)+(S431*Settings!$B$2)+(T431*Settings!$B$3)+(U431*Settings!$B$4)+(V431*Settings!$B$5)+(X431*Settings!$B$9)+(AA431*Settings!$B$6)+(W431*Settings!$B$8)+(AB431*Settings!$B$7)+(AC431*Settings!$B$14)+(AD431*Settings!$B$15)+(AE431*Settings!$B$16)+(AF431*Settings!$B$17)+(AG431*Settings!$B$18)+(Y431*Settings!$B$10)+(Z431*Settings!$B$11),VLOOKUP(B431,'Standard Deviations'!A1:C728,3,FALSE))</f>
        <v>195.61055890802658</v>
      </c>
      <c r="J431" s="38">
        <f>IF(D431="G",I431/AJ431,I431/Q431)</f>
        <v>2.4552709400088495</v>
      </c>
      <c r="K431" s="37">
        <f>IF(Settings!$E$18="C/LW/RW",VLOOKUP(B431,'C'!A1:F211,6,FALSE),VLOOKUP(B431,F!A1:F430,6,FALSE))</f>
        <v>-197.71824685818308</v>
      </c>
      <c r="L431" s="37">
        <f>IFERROR(K431/H431,"N/A")</f>
        <v>-63.78007963167196</v>
      </c>
      <c r="M431" s="53" t="str">
        <f>IF(Settings!$E$9="YAHOO",VLOOKUP(B431,ADP!A1:E728,2,FALSE),IF(Settings!$E$9="ESPN",VLOOKUP(B431,ADP!A1:E728,3,FALSE),IF(Settings!$E$9="FANTRAX",VLOOKUP(B431,ADP!A1:E728,4,FALSE),VLOOKUP(B431,ADP!A1:E728,5,FALSE))))</f>
        <v>-</v>
      </c>
      <c r="N431" s="53" t="str">
        <f>IFERROR(M431-A431,"N/A")</f>
        <v>N/A</v>
      </c>
      <c r="O431" s="39"/>
      <c r="P431" s="40" t="str">
        <f>IF(Settings!$E$27="ON",VLOOKUP(B431,ADP!A1:H728,8,FALSE)," ")</f>
        <v xml:space="preserve"> </v>
      </c>
      <c r="Q431" s="41">
        <f>IF(Settings!$E$12="YES",VLOOKUP(B431,'Player Data'!A1:E734,5,FALSE),82)</f>
        <v>79.669642857142904</v>
      </c>
      <c r="R431" s="39">
        <f>VLOOKUP(B431,'Player Data'!$A1:$AE734,6,FALSE)</f>
        <v>14.463996465955301</v>
      </c>
      <c r="S431" s="41">
        <f>VLOOKUP(B431,'Player Data'!$A1:$AE734,7,FALSE)*$Q431*IFERROR((VLOOKUP(P431,Settings!$E$28:$F$33,2,FALSE)+1),1)</f>
        <v>17.256297368278155</v>
      </c>
      <c r="T431" s="41">
        <f>VLOOKUP(B431,'Player Data'!$A1:$AE734,8,FALSE)*$Q431*IFERROR((VLOOKUP(P431,Settings!$E$28:$F$33,2,FALSE)+1),1)</f>
        <v>19.217060007394174</v>
      </c>
      <c r="U431" s="41">
        <f>SUM(S431:T431)</f>
        <v>36.473357375672329</v>
      </c>
      <c r="V431" s="41">
        <f>VLOOKUP(B431,'Player Data'!$A1:$AE734,10,FALSE)*$Q431*IFERROR(((VLOOKUP(P431,Settings!$E$28:$F$33,2,FALSE)/2)+1),1)</f>
        <v>141.85502809072568</v>
      </c>
      <c r="W431" s="41">
        <f>VLOOKUP(B431,'Player Data'!$A1:$AE734,11,FALSE)*$Q431*IFERROR((VLOOKUP(P431,Settings!$E$28:$F$33,2,FALSE)+1),1)</f>
        <v>8.5278457454885492E-2</v>
      </c>
      <c r="X431" s="41">
        <f>VLOOKUP(B431,'Player Data'!$A1:$AE734,12,FALSE)*$Q431*IFERROR((VLOOKUP(P431,Settings!$E$28:$F$33,2,FALSE)+1),1)</f>
        <v>0.16616301964971061</v>
      </c>
      <c r="Y431" s="41">
        <f>VLOOKUP(B431,'Player Data'!$A1:$AE734,13,FALSE)*$Q431</f>
        <v>2.0418304563069709</v>
      </c>
      <c r="Z431" s="41">
        <f>VLOOKUP(B431,'Player Data'!$A1:$AE734,14,FALSE)*$Q431</f>
        <v>3.5092299359539454</v>
      </c>
      <c r="AA431" s="41">
        <f>VLOOKUP(B431,'Player Data'!$A1:$AE734,15,FALSE)*$Q431</f>
        <v>39.560934122197139</v>
      </c>
      <c r="AB431" s="41">
        <f>VLOOKUP(B431,'Player Data'!$A1:$AE734,16,FALSE)*$Q431</f>
        <v>32.700950733249897</v>
      </c>
      <c r="AC431" s="41">
        <f>VLOOKUP(B431,'Player Data'!$A1:$AE734,17,FALSE)*$Q431*IFERROR((VLOOKUP(P431,Settings!$E$28:$F$33,2,FALSE)+1),1)</f>
        <v>-0.12756682528547503</v>
      </c>
      <c r="AD431" s="41">
        <f>VLOOKUP(B431,'Player Data'!$A1:$AE734,18,FALSE)*$Q431</f>
        <v>15.670389122845121</v>
      </c>
      <c r="AE431" s="41">
        <f>VLOOKUP(B431,'Player Data'!$A1:$AE734,19,FALSE)*$Q431*IFERROR((VLOOKUP(P431,Settings!$E$28:$F$33,2,FALSE)+1),1)</f>
        <v>2.8834970927651233</v>
      </c>
      <c r="AF431" s="41">
        <f>VLOOKUP(B431,'Player Data'!$A1:$AE734,20,FALSE)*$Q431</f>
        <v>37.804114386446187</v>
      </c>
      <c r="AG431" s="41">
        <f>VLOOKUP(B431,'Player Data'!$A1:$AE734,21,FALSE)*$Q431</f>
        <v>70.416160394290927</v>
      </c>
      <c r="AH431" s="42">
        <f>VLOOKUP(B431,'Player Data'!$A1:$AE734,22,FALSE)</f>
        <v>0.349325618171275</v>
      </c>
      <c r="AI431" s="39"/>
      <c r="AJ431" s="43"/>
      <c r="AK431" s="41"/>
      <c r="AL431" s="41"/>
      <c r="AM431" s="41"/>
      <c r="AN431" s="41"/>
      <c r="AO431" s="41"/>
      <c r="AP431" s="41"/>
      <c r="AQ431" s="44"/>
      <c r="AR431" s="45"/>
      <c r="AS431" s="39"/>
    </row>
    <row r="432" spans="1:45" ht="21.25" customHeight="1" x14ac:dyDescent="0.15">
      <c r="A432" s="31">
        <f>RANK(K432,K$2:K$727)</f>
        <v>431</v>
      </c>
      <c r="B432" s="8" t="s">
        <v>536</v>
      </c>
      <c r="C432" s="32" t="s">
        <v>106</v>
      </c>
      <c r="D432" s="33" t="str">
        <f>VLOOKUP(B432,'Player Data'!A1:D734,4,FALSE)</f>
        <v>C</v>
      </c>
      <c r="E432" s="34">
        <f>VLOOKUP(B432,'C'!A1:C211,3,FALSE)</f>
        <v>104</v>
      </c>
      <c r="F432" s="35" t="str">
        <f>VLOOKUP(B432,'Player Data'!A1:B734,2,FALSE)</f>
        <v>BOS</v>
      </c>
      <c r="G432" s="9">
        <f>VLOOKUP(B432,'Player Data'!A1:D734,3,FALSE)</f>
        <v>25</v>
      </c>
      <c r="H432" s="36">
        <f>IFERROR(VLOOKUP(B432,ADP!A1:G728,7,FALSE)/1000000,VLOOKUP(B432,ADP!A1:G728,7,FALSE))</f>
        <v>2</v>
      </c>
      <c r="I432" s="37">
        <f>IF(Settings!$E$15="POINTS",((R432*Q432)*Settings!$B$12)+(S432*Settings!$B$2)+(T432*Settings!$B$3)+(U432*Settings!$B$4)+(V432*Settings!$B$5)+(X432*Settings!$B$9)+(AA432*Settings!$B$6)+(W432*Settings!$B$8)+(AB432*Settings!$B$7)+(AC432*Settings!$B$14)+(AD432*Settings!$B$15)+(AE432*Settings!$B$16)+(AF432*Settings!$B$17)+(AG432*Settings!$B$18)+(Y432*Settings!$B$10)+(Z432*Settings!$B$11),VLOOKUP(B432,'Standard Deviations'!A1:C728,3,FALSE))</f>
        <v>195.17762839245464</v>
      </c>
      <c r="J432" s="38">
        <f>IF(D432="G",I432/AJ432,I432/Q432)</f>
        <v>2.5832034690197148</v>
      </c>
      <c r="K432" s="37">
        <f>IF(Settings!$E$18="C/LW/RW",VLOOKUP(B432,'C'!A1:F211,6,FALSE),VLOOKUP(B432,F!A1:F430,6,FALSE))</f>
        <v>-198.15117737375502</v>
      </c>
      <c r="L432" s="37">
        <f>IFERROR(K432/H432,"N/A")</f>
        <v>-99.075588686877509</v>
      </c>
      <c r="M432" s="53" t="str">
        <f>IF(Settings!$E$9="YAHOO",VLOOKUP(B432,ADP!A1:E728,2,FALSE),IF(Settings!$E$9="ESPN",VLOOKUP(B432,ADP!A1:E728,3,FALSE),IF(Settings!$E$9="FANTRAX",VLOOKUP(B432,ADP!A1:E728,4,FALSE),VLOOKUP(B432,ADP!A1:E728,5,FALSE))))</f>
        <v>-</v>
      </c>
      <c r="N432" s="53" t="str">
        <f>IFERROR(M432-A432,"N/A")</f>
        <v>N/A</v>
      </c>
      <c r="O432" s="39"/>
      <c r="P432" s="40" t="str">
        <f>IF(Settings!$E$27="ON",VLOOKUP(B432,ADP!A1:H728,8,FALSE)," ")</f>
        <v xml:space="preserve"> </v>
      </c>
      <c r="Q432" s="41">
        <f>IF(Settings!$E$12="YES",VLOOKUP(B432,'Player Data'!A1:E734,5,FALSE),82)</f>
        <v>75.556428571428597</v>
      </c>
      <c r="R432" s="39">
        <f>VLOOKUP(B432,'Player Data'!$A1:$AE734,6,FALSE)</f>
        <v>15.1161716758256</v>
      </c>
      <c r="S432" s="41">
        <f>VLOOKUP(B432,'Player Data'!$A1:$AE734,7,FALSE)*$Q432*IFERROR((VLOOKUP(P432,Settings!$E$28:$F$33,2,FALSE)+1),1)</f>
        <v>12.94572017923173</v>
      </c>
      <c r="T432" s="41">
        <f>VLOOKUP(B432,'Player Data'!$A1:$AE734,8,FALSE)*$Q432*IFERROR((VLOOKUP(P432,Settings!$E$28:$F$33,2,FALSE)+1),1)</f>
        <v>23.835583023151969</v>
      </c>
      <c r="U432" s="41">
        <f>SUM(S432:T432)</f>
        <v>36.781303202383697</v>
      </c>
      <c r="V432" s="41">
        <f>VLOOKUP(B432,'Player Data'!$A1:$AE734,10,FALSE)*$Q432*IFERROR(((VLOOKUP(P432,Settings!$E$28:$F$33,2,FALSE)/2)+1),1)</f>
        <v>128.78913933298571</v>
      </c>
      <c r="W432" s="41">
        <f>VLOOKUP(B432,'Player Data'!$A1:$AE734,11,FALSE)*$Q432*IFERROR((VLOOKUP(P432,Settings!$E$28:$F$33,2,FALSE)+1),1)</f>
        <v>2.3616426226808906</v>
      </c>
      <c r="X432" s="41">
        <f>VLOOKUP(B432,'Player Data'!$A1:$AE734,12,FALSE)*$Q432*IFERROR((VLOOKUP(P432,Settings!$E$28:$F$33,2,FALSE)+1),1)</f>
        <v>5.69165244380698</v>
      </c>
      <c r="Y432" s="41">
        <f>VLOOKUP(B432,'Player Data'!$A1:$AE734,13,FALSE)*$Q432</f>
        <v>0.20271712408088982</v>
      </c>
      <c r="Z432" s="41">
        <f>VLOOKUP(B432,'Player Data'!$A1:$AE734,14,FALSE)*$Q432</f>
        <v>0.36889150136856541</v>
      </c>
      <c r="AA432" s="41">
        <f>VLOOKUP(B432,'Player Data'!$A1:$AE734,15,FALSE)*$Q432</f>
        <v>41.590306142298033</v>
      </c>
      <c r="AB432" s="41">
        <f>VLOOKUP(B432,'Player Data'!$A1:$AE734,16,FALSE)*$Q432</f>
        <v>76.916666184659519</v>
      </c>
      <c r="AC432" s="41">
        <f>VLOOKUP(B432,'Player Data'!$A1:$AE734,17,FALSE)*$Q432*IFERROR((VLOOKUP(P432,Settings!$E$28:$F$33,2,FALSE)+1),1)</f>
        <v>2.7419336897314901</v>
      </c>
      <c r="AD432" s="41">
        <f>VLOOKUP(B432,'Player Data'!$A1:$AE734,18,FALSE)*$Q432</f>
        <v>30.243709870448946</v>
      </c>
      <c r="AE432" s="41">
        <f>VLOOKUP(B432,'Player Data'!$A1:$AE734,19,FALSE)*$Q432*IFERROR((VLOOKUP(P432,Settings!$E$28:$F$33,2,FALSE)+1),1)</f>
        <v>2.1733316543410157</v>
      </c>
      <c r="AF432" s="41">
        <f>VLOOKUP(B432,'Player Data'!$A1:$AE734,20,FALSE)*$Q432</f>
        <v>458.00523014118795</v>
      </c>
      <c r="AG432" s="41">
        <f>VLOOKUP(B432,'Player Data'!$A1:$AE734,21,FALSE)*$Q432</f>
        <v>438.29231297408808</v>
      </c>
      <c r="AH432" s="42">
        <f>VLOOKUP(B432,'Player Data'!$A1:$AE734,22,FALSE)</f>
        <v>0.510996859981666</v>
      </c>
      <c r="AI432" s="39"/>
      <c r="AJ432" s="43"/>
      <c r="AK432" s="41"/>
      <c r="AL432" s="41"/>
      <c r="AM432" s="41"/>
      <c r="AN432" s="41"/>
      <c r="AO432" s="41"/>
      <c r="AP432" s="41"/>
      <c r="AQ432" s="44"/>
      <c r="AR432" s="45"/>
      <c r="AS432" s="39"/>
    </row>
    <row r="433" spans="1:45" ht="21.25" customHeight="1" x14ac:dyDescent="0.15">
      <c r="A433" s="31">
        <f>RANK(K433,K$2:K$727)</f>
        <v>432</v>
      </c>
      <c r="B433" s="8" t="s">
        <v>537</v>
      </c>
      <c r="C433" s="32" t="s">
        <v>106</v>
      </c>
      <c r="D433" s="33" t="str">
        <f>VLOOKUP(B433,'Player Data'!A1:D734,4,FALSE)</f>
        <v>D</v>
      </c>
      <c r="E433" s="49">
        <f>VLOOKUP(B433,D!A1:C227,3,FALSE)</f>
        <v>155</v>
      </c>
      <c r="F433" s="35" t="str">
        <f>VLOOKUP(B433,'Player Data'!A1:B734,2,FALSE)</f>
        <v>FLA</v>
      </c>
      <c r="G433" s="9">
        <f>VLOOKUP(B433,'Player Data'!A1:D734,3,FALSE)</f>
        <v>30</v>
      </c>
      <c r="H433" s="36">
        <f>IFERROR(VLOOKUP(B433,ADP!A1:G728,7,FALSE)/1000000,VLOOKUP(B433,ADP!A1:G728,7,FALSE))</f>
        <v>1</v>
      </c>
      <c r="I433" s="37">
        <f>IF(Settings!$E$15="POINTS",((R433*Q433)*Settings!$B$12)+(S433*Settings!$B$2)+(T433*Settings!$B$3)+(U433*Settings!$B$4)+(V433*Settings!$B$5)+(X433*Settings!$B$9)+(AA433*Settings!$B$6)+(W433*Settings!$B$8)+(AB433*Settings!$B$7)+(AC433*Settings!$B$14)+(AD433*Settings!$B$15)+(AE433*Settings!$B$16)+(AF433*Settings!$B$17)+(AG433*Settings!$B$18)+(U433*Settings!$B$13)+(Y433*Settings!$B$10)+(Z433*Settings!$B$11),VLOOKUP(B433,'Standard Deviations'!A1:C728,3,FALSE))</f>
        <v>113.29010119794154</v>
      </c>
      <c r="J433" s="38">
        <f>IF(D433="G",I433/AJ433,I433/Q433)</f>
        <v>1.6795270998794751</v>
      </c>
      <c r="K433" s="37">
        <f>VLOOKUP(B433,D!A1:F227,6,FALSE)</f>
        <v>-198.27538042998592</v>
      </c>
      <c r="L433" s="37">
        <f>IFERROR(K433/H433,"N/A")</f>
        <v>-198.27538042998592</v>
      </c>
      <c r="M433" s="53" t="str">
        <f>IF(Settings!$E$9="YAHOO",VLOOKUP(B433,ADP!A1:E728,2,FALSE),IF(Settings!$E$9="ESPN",VLOOKUP(B433,ADP!A1:E728,3,FALSE),IF(Settings!$E$9="FANTRAX",VLOOKUP(B433,ADP!A1:E728,4,FALSE),VLOOKUP(B433,ADP!A1:E728,5,FALSE))))</f>
        <v>-</v>
      </c>
      <c r="N433" s="53" t="str">
        <f>IFERROR(M433-A433,"N/A")</f>
        <v>N/A</v>
      </c>
      <c r="O433" s="39"/>
      <c r="P433" s="40" t="str">
        <f>IF(Settings!$E$27="ON",VLOOKUP(B433,ADP!A1:H728,8,FALSE)," ")</f>
        <v xml:space="preserve"> </v>
      </c>
      <c r="Q433" s="41">
        <f>IF(Settings!$E$12="YES",VLOOKUP(B433,'Player Data'!A1:E734,5,FALSE),82)</f>
        <v>67.453571428571394</v>
      </c>
      <c r="R433" s="39">
        <f>VLOOKUP(B433,'Player Data'!$A1:$AE734,6,FALSE)</f>
        <v>16.152891650609799</v>
      </c>
      <c r="S433" s="41">
        <f>VLOOKUP(B433,'Player Data'!$A1:$AE734,7,FALSE)*$Q433*IFERROR((VLOOKUP(P433,Settings!$E$28:$F$33,2,FALSE)+1),1)</f>
        <v>1.9561826665862021</v>
      </c>
      <c r="T433" s="41">
        <f>VLOOKUP(B433,'Player Data'!$A1:$AE734,8,FALSE)*$Q433*IFERROR((VLOOKUP(P433,Settings!$E$28:$F$33,2,FALSE)+1),1)</f>
        <v>14.749432384606937</v>
      </c>
      <c r="U433" s="41">
        <f>SUM(S433:T433)</f>
        <v>16.705615051193138</v>
      </c>
      <c r="V433" s="41">
        <f>VLOOKUP(B433,'Player Data'!$A1:$AE734,10,FALSE)*$Q433*IFERROR(((VLOOKUP(P433,Settings!$E$28:$F$33,2,FALSE)/2)+1),1)</f>
        <v>96.044840286821781</v>
      </c>
      <c r="W433" s="41">
        <f>VLOOKUP(B433,'Player Data'!$A1:$AE734,11,FALSE)*$Q433*IFERROR((VLOOKUP(P433,Settings!$E$28:$F$33,2,FALSE)+1),1)</f>
        <v>6.6693549356788229E-2</v>
      </c>
      <c r="X433" s="41">
        <f>VLOOKUP(B433,'Player Data'!$A1:$AE734,12,FALSE)*$Q433*IFERROR((VLOOKUP(P433,Settings!$E$28:$F$33,2,FALSE)+1),1)</f>
        <v>1.4493845310939992</v>
      </c>
      <c r="Y433" s="41">
        <f>VLOOKUP(B433,'Player Data'!$A1:$AE734,13,FALSE)*$Q433</f>
        <v>7.5991449570271458E-2</v>
      </c>
      <c r="Z433" s="41">
        <f>VLOOKUP(B433,'Player Data'!$A1:$AE734,14,FALSE)*$Q433</f>
        <v>0.10416522685829915</v>
      </c>
      <c r="AA433" s="41">
        <f>VLOOKUP(B433,'Player Data'!$A1:$AE734,15,FALSE)*$Q433</f>
        <v>60.218681925233142</v>
      </c>
      <c r="AB433" s="41">
        <f>VLOOKUP(B433,'Player Data'!$A1:$AE734,16,FALSE)*$Q433</f>
        <v>88.765176737604335</v>
      </c>
      <c r="AC433" s="41">
        <f>VLOOKUP(B433,'Player Data'!$A1:$AE734,17,FALSE)*$Q433*IFERROR((VLOOKUP(P433,Settings!$E$28:$F$33,2,FALSE)+1),1)</f>
        <v>2.5479611474221744</v>
      </c>
      <c r="AD433" s="41">
        <f>VLOOKUP(B433,'Player Data'!$A1:$AE734,18,FALSE)*$Q433</f>
        <v>25.304908826959821</v>
      </c>
      <c r="AE433" s="41">
        <f>VLOOKUP(B433,'Player Data'!$A1:$AE734,19,FALSE)*$Q433*IFERROR((VLOOKUP(P433,Settings!$E$28:$F$33,2,FALSE)+1),1)</f>
        <v>0.28061886554072984</v>
      </c>
      <c r="AF433" s="41">
        <f>VLOOKUP(B433,'Player Data'!$A1:$AE734,20,FALSE)*$Q433</f>
        <v>0</v>
      </c>
      <c r="AG433" s="41">
        <f>VLOOKUP(B433,'Player Data'!$A1:$AE734,21,FALSE)*$Q433</f>
        <v>0</v>
      </c>
      <c r="AH433" s="42">
        <f>VLOOKUP(B433,'Player Data'!$A1:$AE734,22,FALSE)</f>
        <v>0</v>
      </c>
      <c r="AI433" s="39"/>
      <c r="AJ433" s="43"/>
      <c r="AK433" s="41"/>
      <c r="AL433" s="41"/>
      <c r="AM433" s="41"/>
      <c r="AN433" s="41"/>
      <c r="AO433" s="41"/>
      <c r="AP433" s="41"/>
      <c r="AQ433" s="44"/>
      <c r="AR433" s="45"/>
      <c r="AS433" s="39"/>
    </row>
    <row r="434" spans="1:45" ht="21.25" customHeight="1" x14ac:dyDescent="0.15">
      <c r="A434" s="31">
        <f>RANK(K434,K$2:K$727)</f>
        <v>433</v>
      </c>
      <c r="B434" s="8" t="s">
        <v>538</v>
      </c>
      <c r="C434" s="32" t="s">
        <v>106</v>
      </c>
      <c r="D434" s="33" t="str">
        <f>VLOOKUP(B434,'Player Data'!A1:D734,4,FALSE)</f>
        <v>LW</v>
      </c>
      <c r="E434" s="47">
        <f>VLOOKUP(B434,LW!A1:C130,3,FALSE)</f>
        <v>78</v>
      </c>
      <c r="F434" s="35" t="str">
        <f>VLOOKUP(B434,'Player Data'!A1:B734,2,FALSE)</f>
        <v>VGK</v>
      </c>
      <c r="G434" s="9">
        <f>VLOOKUP(B434,'Player Data'!A1:D734,3,FALSE)</f>
        <v>28</v>
      </c>
      <c r="H434" s="36">
        <f>IFERROR(VLOOKUP(B434,ADP!A1:G728,7,FALSE)/1000000,VLOOKUP(B434,ADP!A1:G728,7,FALSE))</f>
        <v>1.4</v>
      </c>
      <c r="I434" s="37">
        <f>IF(Settings!$E$15="POINTS",((R434*Q434)*Settings!$B$12)+(S434*Settings!$B$2)+(T434*Settings!$B$3)+(U434*Settings!$B$4)+(V434*Settings!$B$5)+(X434*Settings!$B$9)+(AA434*Settings!$B$6)+(W434*Settings!$B$8)+(AB434*Settings!$B$7)+(AC434*Settings!$B$14)+(AD434*Settings!$B$15)+(AE434*Settings!$B$16)+(AF434*Settings!$B$17)+(AG434*Settings!$B$18)+(Y434*Settings!$B$10)+(Z434*Settings!$B$11),VLOOKUP(B434,'Standard Deviations'!A1:C728,3,FALSE))</f>
        <v>165.27101494532678</v>
      </c>
      <c r="J434" s="38">
        <f>IF(D434="G",I434/AJ434,I434/Q434)</f>
        <v>2.2268684011939688</v>
      </c>
      <c r="K434" s="37">
        <f>IF(Settings!$E$18="C/LW/RW",VLOOKUP(B434,LW!A1:F130,6,FALSE),VLOOKUP(B434,F!A1:F430,6,FALSE))</f>
        <v>-198.76958991232368</v>
      </c>
      <c r="L434" s="37">
        <f>IFERROR(K434/H434,"N/A")</f>
        <v>-141.97827850880265</v>
      </c>
      <c r="M434" s="53" t="str">
        <f>IF(Settings!$E$9="YAHOO",VLOOKUP(B434,ADP!A1:E728,2,FALSE),IF(Settings!$E$9="ESPN",VLOOKUP(B434,ADP!A1:E728,3,FALSE),IF(Settings!$E$9="FANTRAX",VLOOKUP(B434,ADP!A1:E728,4,FALSE),VLOOKUP(B434,ADP!A1:E728,5,FALSE))))</f>
        <v>-</v>
      </c>
      <c r="N434" s="53" t="str">
        <f>IFERROR(M434-A434,"N/A")</f>
        <v>N/A</v>
      </c>
      <c r="O434" s="39"/>
      <c r="P434" s="40" t="str">
        <f>IF(Settings!$E$27="ON",VLOOKUP(B434,ADP!A1:H728,8,FALSE)," ")</f>
        <v xml:space="preserve"> </v>
      </c>
      <c r="Q434" s="41">
        <f>IF(Settings!$E$12="YES",VLOOKUP(B434,'Player Data'!A1:E734,5,FALSE),82)</f>
        <v>74.216785714285706</v>
      </c>
      <c r="R434" s="39">
        <f>VLOOKUP(B434,'Player Data'!$A1:$AE734,6,FALSE)</f>
        <v>12.603615948252401</v>
      </c>
      <c r="S434" s="41">
        <f>VLOOKUP(B434,'Player Data'!$A1:$AE734,7,FALSE)*$Q434*IFERROR((VLOOKUP(P434,Settings!$E$28:$F$33,2,FALSE)+1),1)</f>
        <v>14.904150409325771</v>
      </c>
      <c r="T434" s="41">
        <f>VLOOKUP(B434,'Player Data'!$A1:$AE734,8,FALSE)*$Q434*IFERROR((VLOOKUP(P434,Settings!$E$28:$F$33,2,FALSE)+1),1)</f>
        <v>13.614425720978707</v>
      </c>
      <c r="U434" s="41">
        <f>SUM(S434:T434)</f>
        <v>28.518576130304478</v>
      </c>
      <c r="V434" s="41">
        <f>VLOOKUP(B434,'Player Data'!$A1:$AE734,10,FALSE)*$Q434*IFERROR(((VLOOKUP(P434,Settings!$E$28:$F$33,2,FALSE)/2)+1),1)</f>
        <v>143.53110656161672</v>
      </c>
      <c r="W434" s="41">
        <f>VLOOKUP(B434,'Player Data'!$A1:$AE734,11,FALSE)*$Q434*IFERROR((VLOOKUP(P434,Settings!$E$28:$F$33,2,FALSE)+1),1)</f>
        <v>0.37730565996408078</v>
      </c>
      <c r="X434" s="41">
        <f>VLOOKUP(B434,'Player Data'!$A1:$AE734,12,FALSE)*$Q434*IFERROR((VLOOKUP(P434,Settings!$E$28:$F$33,2,FALSE)+1),1)</f>
        <v>0.95571783016417078</v>
      </c>
      <c r="Y434" s="41">
        <f>VLOOKUP(B434,'Player Data'!$A1:$AE734,13,FALSE)*$Q434</f>
        <v>6.3310091581305572E-2</v>
      </c>
      <c r="Z434" s="41">
        <f>VLOOKUP(B434,'Player Data'!$A1:$AE734,14,FALSE)*$Q434</f>
        <v>0.11592066071549081</v>
      </c>
      <c r="AA434" s="41">
        <f>VLOOKUP(B434,'Player Data'!$A1:$AE734,15,FALSE)*$Q434</f>
        <v>29.032281459228237</v>
      </c>
      <c r="AB434" s="41">
        <f>VLOOKUP(B434,'Player Data'!$A1:$AE734,16,FALSE)*$Q434</f>
        <v>169.72506688554745</v>
      </c>
      <c r="AC434" s="41">
        <f>VLOOKUP(B434,'Player Data'!$A1:$AE734,17,FALSE)*$Q434*IFERROR((VLOOKUP(P434,Settings!$E$28:$F$33,2,FALSE)+1),1)</f>
        <v>6.3130383290888155</v>
      </c>
      <c r="AD434" s="41">
        <f>VLOOKUP(B434,'Player Data'!$A1:$AE734,18,FALSE)*$Q434</f>
        <v>31.415949650703254</v>
      </c>
      <c r="AE434" s="41">
        <f>VLOOKUP(B434,'Player Data'!$A1:$AE734,19,FALSE)*$Q434*IFERROR((VLOOKUP(P434,Settings!$E$28:$F$33,2,FALSE)+1),1)</f>
        <v>2.4357448330196911</v>
      </c>
      <c r="AF434" s="41">
        <f>VLOOKUP(B434,'Player Data'!$A1:$AE734,20,FALSE)*$Q434</f>
        <v>3.4248742714286267</v>
      </c>
      <c r="AG434" s="41">
        <f>VLOOKUP(B434,'Player Data'!$A1:$AE734,21,FALSE)*$Q434</f>
        <v>7.5008358652611333</v>
      </c>
      <c r="AH434" s="42">
        <f>VLOOKUP(B434,'Player Data'!$A1:$AE734,22,FALSE)</f>
        <v>0.31346925999139502</v>
      </c>
      <c r="AI434" s="39"/>
      <c r="AJ434" s="43"/>
      <c r="AK434" s="41"/>
      <c r="AL434" s="41"/>
      <c r="AM434" s="41"/>
      <c r="AN434" s="41"/>
      <c r="AO434" s="41"/>
      <c r="AP434" s="41"/>
      <c r="AQ434" s="44"/>
      <c r="AR434" s="45"/>
      <c r="AS434" s="43"/>
    </row>
    <row r="435" spans="1:45" ht="21.25" customHeight="1" x14ac:dyDescent="0.15">
      <c r="A435" s="31">
        <f>RANK(K435,K$2:K$727)</f>
        <v>434</v>
      </c>
      <c r="B435" s="8" t="s">
        <v>539</v>
      </c>
      <c r="C435" s="32" t="s">
        <v>106</v>
      </c>
      <c r="D435" s="33" t="str">
        <f>VLOOKUP(B435,'Player Data'!A1:D734,4,FALSE)</f>
        <v>C</v>
      </c>
      <c r="E435" s="34">
        <f>VLOOKUP(B435,'C'!A1:C211,3,FALSE)</f>
        <v>105</v>
      </c>
      <c r="F435" s="35" t="str">
        <f>VLOOKUP(B435,'Player Data'!A1:B734,2,FALSE)</f>
        <v>MTL</v>
      </c>
      <c r="G435" s="9">
        <f>VLOOKUP(B435,'Player Data'!A1:D734,3,FALSE)</f>
        <v>22</v>
      </c>
      <c r="H435" s="36">
        <f>IFERROR(VLOOKUP(B435,ADP!A1:G728,7,FALSE)/1000000,VLOOKUP(B435,ADP!A1:G728,7,FALSE))</f>
        <v>2.9</v>
      </c>
      <c r="I435" s="37">
        <f>IF(Settings!$E$15="POINTS",((R435*Q435)*Settings!$B$12)+(S435*Settings!$B$2)+(T435*Settings!$B$3)+(U435*Settings!$B$4)+(V435*Settings!$B$5)+(X435*Settings!$B$9)+(AA435*Settings!$B$6)+(W435*Settings!$B$8)+(AB435*Settings!$B$7)+(AC435*Settings!$B$14)+(AD435*Settings!$B$15)+(AE435*Settings!$B$16)+(AF435*Settings!$B$17)+(AG435*Settings!$B$18)+(Y435*Settings!$B$10)+(Z435*Settings!$B$11),VLOOKUP(B435,'Standard Deviations'!A1:C728,3,FALSE))</f>
        <v>194.55737811145266</v>
      </c>
      <c r="J435" s="38">
        <f>IF(D435="G",I435/AJ435,I435/Q435)</f>
        <v>2.4498048680889308</v>
      </c>
      <c r="K435" s="37">
        <f>IF(Settings!$E$18="C/LW/RW",VLOOKUP(B435,'C'!A1:F211,6,FALSE),VLOOKUP(B435,F!A1:F430,6,FALSE))</f>
        <v>-198.77142765475699</v>
      </c>
      <c r="L435" s="37">
        <f>IFERROR(K435/H435,"N/A")</f>
        <v>-68.541871605088616</v>
      </c>
      <c r="M435" s="53" t="str">
        <f>IF(Settings!$E$9="YAHOO",VLOOKUP(B435,ADP!A1:E728,2,FALSE),IF(Settings!$E$9="ESPN",VLOOKUP(B435,ADP!A1:E728,3,FALSE),IF(Settings!$E$9="FANTRAX",VLOOKUP(B435,ADP!A1:E728,4,FALSE),VLOOKUP(B435,ADP!A1:E728,5,FALSE))))</f>
        <v>-</v>
      </c>
      <c r="N435" s="53" t="str">
        <f>IFERROR(M435-A435,"N/A")</f>
        <v>N/A</v>
      </c>
      <c r="O435" s="39"/>
      <c r="P435" s="40" t="str">
        <f>IF(Settings!$E$27="ON",VLOOKUP(B435,ADP!A1:H728,8,FALSE)," ")</f>
        <v xml:space="preserve"> </v>
      </c>
      <c r="Q435" s="41">
        <f>IF(Settings!$E$12="YES",VLOOKUP(B435,'Player Data'!A1:E734,5,FALSE),82)</f>
        <v>79.417500000000004</v>
      </c>
      <c r="R435" s="39">
        <f>VLOOKUP(B435,'Player Data'!$A1:$AE734,6,FALSE)</f>
        <v>15.153814580747801</v>
      </c>
      <c r="S435" s="41">
        <f>VLOOKUP(B435,'Player Data'!$A1:$AE734,7,FALSE)*$Q435*IFERROR((VLOOKUP(P435,Settings!$E$28:$F$33,2,FALSE)+1),1)</f>
        <v>16.521663195764255</v>
      </c>
      <c r="T435" s="41">
        <f>VLOOKUP(B435,'Player Data'!$A1:$AE734,8,FALSE)*$Q435*IFERROR((VLOOKUP(P435,Settings!$E$28:$F$33,2,FALSE)+1),1)</f>
        <v>22.511288241880713</v>
      </c>
      <c r="U435" s="41">
        <f>SUM(S435:T435)</f>
        <v>39.032951437644968</v>
      </c>
      <c r="V435" s="41">
        <f>VLOOKUP(B435,'Player Data'!$A1:$AE734,10,FALSE)*$Q435*IFERROR(((VLOOKUP(P435,Settings!$E$28:$F$33,2,FALSE)/2)+1),1)</f>
        <v>127.1219279641505</v>
      </c>
      <c r="W435" s="41">
        <f>VLOOKUP(B435,'Player Data'!$A1:$AE734,11,FALSE)*$Q435*IFERROR((VLOOKUP(P435,Settings!$E$28:$F$33,2,FALSE)+1),1)</f>
        <v>1.7077448907110857</v>
      </c>
      <c r="X435" s="41">
        <f>VLOOKUP(B435,'Player Data'!$A1:$AE734,12,FALSE)*$Q435*IFERROR((VLOOKUP(P435,Settings!$E$28:$F$33,2,FALSE)+1),1)</f>
        <v>3.6537619426038499</v>
      </c>
      <c r="Y435" s="41">
        <f>VLOOKUP(B435,'Player Data'!$A1:$AE734,13,FALSE)*$Q435</f>
        <v>1.89036324559986E-2</v>
      </c>
      <c r="Z435" s="41">
        <f>VLOOKUP(B435,'Player Data'!$A1:$AE734,14,FALSE)*$Q435</f>
        <v>3.4380247634359179E-2</v>
      </c>
      <c r="AA435" s="41">
        <f>VLOOKUP(B435,'Player Data'!$A1:$AE734,15,FALSE)*$Q435</f>
        <v>32.606377179830503</v>
      </c>
      <c r="AB435" s="41">
        <f>VLOOKUP(B435,'Player Data'!$A1:$AE734,16,FALSE)*$Q435</f>
        <v>62.988289476318464</v>
      </c>
      <c r="AC435" s="41">
        <f>VLOOKUP(B435,'Player Data'!$A1:$AE734,17,FALSE)*$Q435*IFERROR((VLOOKUP(P435,Settings!$E$28:$F$33,2,FALSE)+1),1)</f>
        <v>-5.766046695205965</v>
      </c>
      <c r="AD435" s="41">
        <f>VLOOKUP(B435,'Player Data'!$A1:$AE734,18,FALSE)*$Q435</f>
        <v>22.593840931400106</v>
      </c>
      <c r="AE435" s="41">
        <f>VLOOKUP(B435,'Player Data'!$A1:$AE734,19,FALSE)*$Q435*IFERROR((VLOOKUP(P435,Settings!$E$28:$F$33,2,FALSE)+1),1)</f>
        <v>1.7904377265954579</v>
      </c>
      <c r="AF435" s="41">
        <f>VLOOKUP(B435,'Player Data'!$A1:$AE734,20,FALSE)*$Q435</f>
        <v>202.74089043488701</v>
      </c>
      <c r="AG435" s="41">
        <f>VLOOKUP(B435,'Player Data'!$A1:$AE734,21,FALSE)*$Q435</f>
        <v>320.77431159745839</v>
      </c>
      <c r="AH435" s="42">
        <f>VLOOKUP(B435,'Player Data'!$A1:$AE734,22,FALSE)</f>
        <v>0.38726839191646001</v>
      </c>
      <c r="AI435" s="39"/>
      <c r="AJ435" s="43"/>
      <c r="AK435" s="41"/>
      <c r="AL435" s="41"/>
      <c r="AM435" s="41"/>
      <c r="AN435" s="41"/>
      <c r="AO435" s="41"/>
      <c r="AP435" s="41"/>
      <c r="AQ435" s="44"/>
      <c r="AR435" s="45"/>
      <c r="AS435" s="39"/>
    </row>
    <row r="436" spans="1:45" ht="21.25" customHeight="1" x14ac:dyDescent="0.15">
      <c r="A436" s="31">
        <f>RANK(K436,K$2:K$727)</f>
        <v>435</v>
      </c>
      <c r="B436" s="8" t="s">
        <v>540</v>
      </c>
      <c r="C436" s="32" t="s">
        <v>106</v>
      </c>
      <c r="D436" s="33" t="str">
        <f>VLOOKUP(B436,'Player Data'!A1:D734,4,FALSE)</f>
        <v>LW</v>
      </c>
      <c r="E436" s="47">
        <f>VLOOKUP(B436,LW!A1:C130,3,FALSE)</f>
        <v>79</v>
      </c>
      <c r="F436" s="35" t="str">
        <f>VLOOKUP(B436,'Player Data'!A1:B734,2,FALSE)</f>
        <v>ARI</v>
      </c>
      <c r="G436" s="9">
        <f>VLOOKUP(B436,'Player Data'!A1:D734,3,FALSE)</f>
        <v>20</v>
      </c>
      <c r="H436" s="36">
        <f>IFERROR(VLOOKUP(B436,ADP!A1:G728,7,FALSE)/1000000,VLOOKUP(B436,ADP!A1:G728,7,FALSE))</f>
        <v>0.89416700000000005</v>
      </c>
      <c r="I436" s="37">
        <f>IF(Settings!$E$15="POINTS",((R436*Q436)*Settings!$B$12)+(S436*Settings!$B$2)+(T436*Settings!$B$3)+(U436*Settings!$B$4)+(V436*Settings!$B$5)+(X436*Settings!$B$9)+(AA436*Settings!$B$6)+(W436*Settings!$B$8)+(AB436*Settings!$B$7)+(AC436*Settings!$B$14)+(AD436*Settings!$B$15)+(AE436*Settings!$B$16)+(AF436*Settings!$B$17)+(AG436*Settings!$B$18)+(Y436*Settings!$B$10)+(Z436*Settings!$B$11),VLOOKUP(B436,'Standard Deviations'!A1:C728,3,FALSE))</f>
        <v>165.18647464674402</v>
      </c>
      <c r="J436" s="38">
        <f>IF(D436="G",I436/AJ436,I436/Q436)</f>
        <v>2.6774694002227735</v>
      </c>
      <c r="K436" s="37">
        <f>IF(Settings!$E$18="C/LW/RW",VLOOKUP(B436,LW!A1:F130,6,FALSE),VLOOKUP(B436,F!A1:F430,6,FALSE))</f>
        <v>-198.85413021090645</v>
      </c>
      <c r="L436" s="37">
        <f>IFERROR(K436/H436,"N/A")</f>
        <v>-222.39037026741809</v>
      </c>
      <c r="M436" s="53" t="str">
        <f>IF(Settings!$E$9="YAHOO",VLOOKUP(B436,ADP!A1:E728,2,FALSE),IF(Settings!$E$9="ESPN",VLOOKUP(B436,ADP!A1:E728,3,FALSE),IF(Settings!$E$9="FANTRAX",VLOOKUP(B436,ADP!A1:E728,4,FALSE),VLOOKUP(B436,ADP!A1:E728,5,FALSE))))</f>
        <v>-</v>
      </c>
      <c r="N436" s="53" t="str">
        <f>IFERROR(M436-A436,"N/A")</f>
        <v>N/A</v>
      </c>
      <c r="O436" s="39"/>
      <c r="P436" s="40" t="str">
        <f>IF(Settings!$E$27="ON",VLOOKUP(B436,ADP!A1:H728,8,FALSE)," ")</f>
        <v xml:space="preserve"> </v>
      </c>
      <c r="Q436" s="41">
        <f>IF(Settings!$E$12="YES",VLOOKUP(B436,'Player Data'!A1:E734,5,FALSE),82)</f>
        <v>61.695</v>
      </c>
      <c r="R436" s="39">
        <f>VLOOKUP(B436,'Player Data'!$A1:$AE734,6,FALSE)</f>
        <v>14.025948510391601</v>
      </c>
      <c r="S436" s="41">
        <f>VLOOKUP(B436,'Player Data'!$A1:$AE734,7,FALSE)*$Q436*IFERROR((VLOOKUP(P436,Settings!$E$28:$F$33,2,FALSE)+1),1)</f>
        <v>12.107188156277397</v>
      </c>
      <c r="T436" s="41">
        <f>VLOOKUP(B436,'Player Data'!$A1:$AE734,8,FALSE)*$Q436*IFERROR((VLOOKUP(P436,Settings!$E$28:$F$33,2,FALSE)+1),1)</f>
        <v>17.987702358230884</v>
      </c>
      <c r="U436" s="41">
        <f>SUM(S436:T436)</f>
        <v>30.094890514508279</v>
      </c>
      <c r="V436" s="41">
        <f>VLOOKUP(B436,'Player Data'!$A1:$AE734,10,FALSE)*$Q436*IFERROR(((VLOOKUP(P436,Settings!$E$28:$F$33,2,FALSE)/2)+1),1)</f>
        <v>103.13778318512651</v>
      </c>
      <c r="W436" s="41">
        <f>VLOOKUP(B436,'Player Data'!$A1:$AE734,11,FALSE)*$Q436*IFERROR((VLOOKUP(P436,Settings!$E$28:$F$33,2,FALSE)+1),1)</f>
        <v>5.2500059679157642</v>
      </c>
      <c r="X436" s="41">
        <f>VLOOKUP(B436,'Player Data'!$A1:$AE734,12,FALSE)*$Q436*IFERROR((VLOOKUP(P436,Settings!$E$28:$F$33,2,FALSE)+1),1)</f>
        <v>9.1766431011313028</v>
      </c>
      <c r="Y436" s="41">
        <f>VLOOKUP(B436,'Player Data'!$A1:$AE734,13,FALSE)*$Q436</f>
        <v>2.7153349740042059E-2</v>
      </c>
      <c r="Z436" s="41">
        <f>VLOOKUP(B436,'Player Data'!$A1:$AE734,14,FALSE)*$Q436</f>
        <v>4.9106895305654104E-2</v>
      </c>
      <c r="AA436" s="41">
        <f>VLOOKUP(B436,'Player Data'!$A1:$AE734,15,FALSE)*$Q436</f>
        <v>24.407057588909922</v>
      </c>
      <c r="AB436" s="41">
        <f>VLOOKUP(B436,'Player Data'!$A1:$AE734,16,FALSE)*$Q436</f>
        <v>55.527071690919342</v>
      </c>
      <c r="AC436" s="41">
        <f>VLOOKUP(B436,'Player Data'!$A1:$AE734,17,FALSE)*$Q436*IFERROR((VLOOKUP(P436,Settings!$E$28:$F$33,2,FALSE)+1),1)</f>
        <v>-3.2635393625455049</v>
      </c>
      <c r="AD436" s="41">
        <f>VLOOKUP(B436,'Player Data'!$A1:$AE734,18,FALSE)*$Q436</f>
        <v>21.039125142705053</v>
      </c>
      <c r="AE436" s="41">
        <f>VLOOKUP(B436,'Player Data'!$A1:$AE734,19,FALSE)*$Q436*IFERROR((VLOOKUP(P436,Settings!$E$28:$F$33,2,FALSE)+1),1)</f>
        <v>1.4922108892075174</v>
      </c>
      <c r="AF436" s="41">
        <f>VLOOKUP(B436,'Player Data'!$A1:$AE734,20,FALSE)*$Q436</f>
        <v>3.9996805793788224</v>
      </c>
      <c r="AG436" s="41">
        <f>VLOOKUP(B436,'Player Data'!$A1:$AE734,21,FALSE)*$Q436</f>
        <v>3.9996805793788224</v>
      </c>
      <c r="AH436" s="42">
        <f>VLOOKUP(B436,'Player Data'!$A1:$AE734,22,FALSE)</f>
        <v>0.5</v>
      </c>
      <c r="AI436" s="39"/>
      <c r="AJ436" s="43"/>
      <c r="AK436" s="41"/>
      <c r="AL436" s="41"/>
      <c r="AM436" s="41"/>
      <c r="AN436" s="41"/>
      <c r="AO436" s="41"/>
      <c r="AP436" s="41"/>
      <c r="AQ436" s="44"/>
      <c r="AR436" s="45"/>
      <c r="AS436" s="39"/>
    </row>
    <row r="437" spans="1:45" ht="21.25" customHeight="1" x14ac:dyDescent="0.15">
      <c r="A437" s="31">
        <f>RANK(K437,K$2:K$727)</f>
        <v>436</v>
      </c>
      <c r="B437" s="8" t="s">
        <v>541</v>
      </c>
      <c r="C437" s="32" t="s">
        <v>106</v>
      </c>
      <c r="D437" s="33" t="str">
        <f>VLOOKUP(B437,'Player Data'!A1:D734,4,FALSE)</f>
        <v>D</v>
      </c>
      <c r="E437" s="49">
        <f>VLOOKUP(B437,D!A1:C227,3,FALSE)</f>
        <v>156</v>
      </c>
      <c r="F437" s="35" t="str">
        <f>VLOOKUP(B437,'Player Data'!A1:B734,2,FALSE)</f>
        <v>COL</v>
      </c>
      <c r="G437" s="9">
        <f>VLOOKUP(B437,'Player Data'!A1:D734,3,FALSE)</f>
        <v>31</v>
      </c>
      <c r="H437" s="36">
        <f>IFERROR(VLOOKUP(B437,ADP!A1:G728,7,FALSE)/1000000,VLOOKUP(B437,ADP!A1:G728,7,FALSE))</f>
        <v>4.5</v>
      </c>
      <c r="I437" s="37">
        <f>IF(Settings!$E$15="POINTS",((R437*Q437)*Settings!$B$12)+(S437*Settings!$B$2)+(T437*Settings!$B$3)+(U437*Settings!$B$4)+(V437*Settings!$B$5)+(X437*Settings!$B$9)+(AA437*Settings!$B$6)+(W437*Settings!$B$8)+(AB437*Settings!$B$7)+(AC437*Settings!$B$14)+(AD437*Settings!$B$15)+(AE437*Settings!$B$16)+(AF437*Settings!$B$17)+(AG437*Settings!$B$18)+(U437*Settings!$B$13)+(Y437*Settings!$B$10)+(Z437*Settings!$B$11),VLOOKUP(B437,'Standard Deviations'!A1:C728,3,FALSE))</f>
        <v>112.50015599075675</v>
      </c>
      <c r="J437" s="38">
        <f>IF(D437="G",I437/AJ437,I437/Q437)</f>
        <v>1.6622275759168312</v>
      </c>
      <c r="K437" s="37">
        <f>VLOOKUP(B437,D!A1:F227,6,FALSE)</f>
        <v>-199.0653256371707</v>
      </c>
      <c r="L437" s="37">
        <f>IFERROR(K437/H437,"N/A")</f>
        <v>-44.236739030482376</v>
      </c>
      <c r="M437" s="53" t="str">
        <f>IF(Settings!$E$9="YAHOO",VLOOKUP(B437,ADP!A1:E728,2,FALSE),IF(Settings!$E$9="ESPN",VLOOKUP(B437,ADP!A1:E728,3,FALSE),IF(Settings!$E$9="FANTRAX",VLOOKUP(B437,ADP!A1:E728,4,FALSE),VLOOKUP(B437,ADP!A1:E728,5,FALSE))))</f>
        <v>-</v>
      </c>
      <c r="N437" s="53" t="str">
        <f>IFERROR(M437-A437,"N/A")</f>
        <v>N/A</v>
      </c>
      <c r="O437" s="39"/>
      <c r="P437" s="40" t="str">
        <f>IF(Settings!$E$27="ON",VLOOKUP(B437,ADP!A1:H728,8,FALSE)," ")</f>
        <v xml:space="preserve"> </v>
      </c>
      <c r="Q437" s="41">
        <f>IF(Settings!$E$12="YES",VLOOKUP(B437,'Player Data'!A1:E734,5,FALSE),82)</f>
        <v>67.680357142857105</v>
      </c>
      <c r="R437" s="39">
        <f>VLOOKUP(B437,'Player Data'!$A1:$AE734,6,FALSE)</f>
        <v>17.488209394454302</v>
      </c>
      <c r="S437" s="41">
        <f>VLOOKUP(B437,'Player Data'!$A1:$AE734,7,FALSE)*$Q437*IFERROR((VLOOKUP(P437,Settings!$E$28:$F$33,2,FALSE)+1),1)</f>
        <v>4.3940088760273355</v>
      </c>
      <c r="T437" s="41">
        <f>VLOOKUP(B437,'Player Data'!$A1:$AE734,8,FALSE)*$Q437*IFERROR((VLOOKUP(P437,Settings!$E$28:$F$33,2,FALSE)+1),1)</f>
        <v>12.550657426587446</v>
      </c>
      <c r="U437" s="41">
        <f>SUM(S437:T437)</f>
        <v>16.944666302614781</v>
      </c>
      <c r="V437" s="41">
        <f>VLOOKUP(B437,'Player Data'!$A1:$AE734,10,FALSE)*$Q437*IFERROR(((VLOOKUP(P437,Settings!$E$28:$F$33,2,FALSE)/2)+1),1)</f>
        <v>87.975761126760304</v>
      </c>
      <c r="W437" s="41">
        <f>VLOOKUP(B437,'Player Data'!$A1:$AE734,11,FALSE)*$Q437*IFERROR((VLOOKUP(P437,Settings!$E$28:$F$33,2,FALSE)+1),1)</f>
        <v>8.1493109891143615E-3</v>
      </c>
      <c r="X437" s="41">
        <f>VLOOKUP(B437,'Player Data'!$A1:$AE734,12,FALSE)*$Q437*IFERROR((VLOOKUP(P437,Settings!$E$28:$F$33,2,FALSE)+1),1)</f>
        <v>5.6073639687677757E-2</v>
      </c>
      <c r="Y437" s="41">
        <f>VLOOKUP(B437,'Player Data'!$A1:$AE734,13,FALSE)*$Q437</f>
        <v>3.6760976799253491E-2</v>
      </c>
      <c r="Z437" s="41">
        <f>VLOOKUP(B437,'Player Data'!$A1:$AE734,14,FALSE)*$Q437</f>
        <v>0.14302562451590595</v>
      </c>
      <c r="AA437" s="41">
        <f>VLOOKUP(B437,'Player Data'!$A1:$AE734,15,FALSE)*$Q437</f>
        <v>86.400389955625457</v>
      </c>
      <c r="AB437" s="41">
        <f>VLOOKUP(B437,'Player Data'!$A1:$AE734,16,FALSE)*$Q437</f>
        <v>137.96300889710352</v>
      </c>
      <c r="AC437" s="41">
        <f>VLOOKUP(B437,'Player Data'!$A1:$AE734,17,FALSE)*$Q437*IFERROR((VLOOKUP(P437,Settings!$E$28:$F$33,2,FALSE)+1),1)</f>
        <v>3.4385077732402731</v>
      </c>
      <c r="AD437" s="41">
        <f>VLOOKUP(B437,'Player Data'!$A1:$AE734,18,FALSE)*$Q437</f>
        <v>65.791559529936833</v>
      </c>
      <c r="AE437" s="41">
        <f>VLOOKUP(B437,'Player Data'!$A1:$AE734,19,FALSE)*$Q437*IFERROR((VLOOKUP(P437,Settings!$E$28:$F$33,2,FALSE)+1),1)</f>
        <v>0.6951984075763149</v>
      </c>
      <c r="AF437" s="41">
        <f>VLOOKUP(B437,'Player Data'!$A1:$AE734,20,FALSE)*$Q437</f>
        <v>0</v>
      </c>
      <c r="AG437" s="41">
        <f>VLOOKUP(B437,'Player Data'!$A1:$AE734,21,FALSE)*$Q437</f>
        <v>0</v>
      </c>
      <c r="AH437" s="42">
        <f>VLOOKUP(B437,'Player Data'!$A1:$AE734,22,FALSE)</f>
        <v>0</v>
      </c>
      <c r="AI437" s="39"/>
      <c r="AJ437" s="43"/>
      <c r="AK437" s="41"/>
      <c r="AL437" s="41"/>
      <c r="AM437" s="41"/>
      <c r="AN437" s="41"/>
      <c r="AO437" s="41"/>
      <c r="AP437" s="41"/>
      <c r="AQ437" s="44"/>
      <c r="AR437" s="45"/>
      <c r="AS437" s="39"/>
    </row>
    <row r="438" spans="1:45" ht="21.25" customHeight="1" x14ac:dyDescent="0.15">
      <c r="A438" s="31">
        <f>RANK(K438,K$2:K$727)</f>
        <v>437</v>
      </c>
      <c r="B438" s="8" t="s">
        <v>542</v>
      </c>
      <c r="C438" s="32" t="s">
        <v>106</v>
      </c>
      <c r="D438" s="33" t="str">
        <f>VLOOKUP(B438,'Player Data'!A1:D734,4,FALSE)</f>
        <v>C</v>
      </c>
      <c r="E438" s="34">
        <f>VLOOKUP(B438,'C'!A1:C211,3,FALSE)</f>
        <v>106</v>
      </c>
      <c r="F438" s="35" t="str">
        <f>VLOOKUP(B438,'Player Data'!A1:B734,2,FALSE)</f>
        <v>COL</v>
      </c>
      <c r="G438" s="9">
        <f>VLOOKUP(B438,'Player Data'!A1:D734,3,FALSE)</f>
        <v>31</v>
      </c>
      <c r="H438" s="36">
        <f>IFERROR(VLOOKUP(B438,ADP!A1:G728,7,FALSE)/1000000,VLOOKUP(B438,ADP!A1:G728,7,FALSE))</f>
        <v>4</v>
      </c>
      <c r="I438" s="37">
        <f>IF(Settings!$E$15="POINTS",((R438*Q438)*Settings!$B$12)+(S438*Settings!$B$2)+(T438*Settings!$B$3)+(U438*Settings!$B$4)+(V438*Settings!$B$5)+(X438*Settings!$B$9)+(AA438*Settings!$B$6)+(W438*Settings!$B$8)+(AB438*Settings!$B$7)+(AC438*Settings!$B$14)+(AD438*Settings!$B$15)+(AE438*Settings!$B$16)+(AF438*Settings!$B$17)+(AG438*Settings!$B$18)+(Y438*Settings!$B$10)+(Z438*Settings!$B$11),VLOOKUP(B438,'Standard Deviations'!A1:C728,3,FALSE))</f>
        <v>193.98060900668938</v>
      </c>
      <c r="J438" s="38">
        <f>IF(D438="G",I438/AJ438,I438/Q438)</f>
        <v>2.56406413264755</v>
      </c>
      <c r="K438" s="37">
        <f>IF(Settings!$E$18="C/LW/RW",VLOOKUP(B438,'C'!A1:F211,6,FALSE),VLOOKUP(B438,F!A1:F430,6,FALSE))</f>
        <v>-199.34819675952028</v>
      </c>
      <c r="L438" s="37">
        <f>IFERROR(K438/H438,"N/A")</f>
        <v>-49.837049189880069</v>
      </c>
      <c r="M438" s="53" t="str">
        <f>IF(Settings!$E$9="YAHOO",VLOOKUP(B438,ADP!A1:E728,2,FALSE),IF(Settings!$E$9="ESPN",VLOOKUP(B438,ADP!A1:E728,3,FALSE),IF(Settings!$E$9="FANTRAX",VLOOKUP(B438,ADP!A1:E728,4,FALSE),VLOOKUP(B438,ADP!A1:E728,5,FALSE))))</f>
        <v>-</v>
      </c>
      <c r="N438" s="53" t="str">
        <f>IFERROR(M438-A438,"N/A")</f>
        <v>N/A</v>
      </c>
      <c r="O438" s="39"/>
      <c r="P438" s="40" t="str">
        <f>IF(Settings!$E$27="ON",VLOOKUP(B438,ADP!A1:H728,8,FALSE)," ")</f>
        <v xml:space="preserve"> </v>
      </c>
      <c r="Q438" s="41">
        <f>IF(Settings!$E$12="YES",VLOOKUP(B438,'Player Data'!A1:E734,5,FALSE),82)</f>
        <v>75.653571428571396</v>
      </c>
      <c r="R438" s="39">
        <f>VLOOKUP(B438,'Player Data'!$A1:$AE734,6,FALSE)</f>
        <v>15.568644361031099</v>
      </c>
      <c r="S438" s="41">
        <f>VLOOKUP(B438,'Player Data'!$A1:$AE734,7,FALSE)*$Q438*IFERROR((VLOOKUP(P438,Settings!$E$28:$F$33,2,FALSE)+1),1)</f>
        <v>15.404713823220744</v>
      </c>
      <c r="T438" s="41">
        <f>VLOOKUP(B438,'Player Data'!$A1:$AE734,8,FALSE)*$Q438*IFERROR((VLOOKUP(P438,Settings!$E$28:$F$33,2,FALSE)+1),1)</f>
        <v>23.938100495012478</v>
      </c>
      <c r="U438" s="41">
        <f>SUM(S438:T438)</f>
        <v>39.342814318233224</v>
      </c>
      <c r="V438" s="41">
        <f>VLOOKUP(B438,'Player Data'!$A1:$AE734,10,FALSE)*$Q438*IFERROR(((VLOOKUP(P438,Settings!$E$28:$F$33,2,FALSE)/2)+1),1)</f>
        <v>107.5730143023291</v>
      </c>
      <c r="W438" s="41">
        <f>VLOOKUP(B438,'Player Data'!$A1:$AE734,11,FALSE)*$Q438*IFERROR((VLOOKUP(P438,Settings!$E$28:$F$33,2,FALSE)+1),1)</f>
        <v>3.5692504785080366</v>
      </c>
      <c r="X438" s="41">
        <f>VLOOKUP(B438,'Player Data'!$A1:$AE734,12,FALSE)*$Q438*IFERROR((VLOOKUP(P438,Settings!$E$28:$F$33,2,FALSE)+1),1)</f>
        <v>7.9937653886760911</v>
      </c>
      <c r="Y438" s="41">
        <f>VLOOKUP(B438,'Player Data'!$A1:$AE734,13,FALSE)*$Q438</f>
        <v>1.3358342519737174E-2</v>
      </c>
      <c r="Z438" s="41">
        <f>VLOOKUP(B438,'Player Data'!$A1:$AE734,14,FALSE)*$Q438</f>
        <v>2.4829412653288179E-2</v>
      </c>
      <c r="AA438" s="41">
        <f>VLOOKUP(B438,'Player Data'!$A1:$AE734,15,FALSE)*$Q438</f>
        <v>30.642346490831837</v>
      </c>
      <c r="AB438" s="41">
        <f>VLOOKUP(B438,'Player Data'!$A1:$AE734,16,FALSE)*$Q438</f>
        <v>71.421439967184085</v>
      </c>
      <c r="AC438" s="41">
        <f>VLOOKUP(B438,'Player Data'!$A1:$AE734,17,FALSE)*$Q438*IFERROR((VLOOKUP(P438,Settings!$E$28:$F$33,2,FALSE)+1),1)</f>
        <v>3.5497247033773038</v>
      </c>
      <c r="AD438" s="41">
        <f>VLOOKUP(B438,'Player Data'!$A1:$AE734,18,FALSE)*$Q438</f>
        <v>40.27841297415268</v>
      </c>
      <c r="AE438" s="41">
        <f>VLOOKUP(B438,'Player Data'!$A1:$AE734,19,FALSE)*$Q438*IFERROR((VLOOKUP(P438,Settings!$E$28:$F$33,2,FALSE)+1),1)</f>
        <v>2.4372578256496964</v>
      </c>
      <c r="AF438" s="41">
        <f>VLOOKUP(B438,'Player Data'!$A1:$AE734,20,FALSE)*$Q438</f>
        <v>637.32702118333555</v>
      </c>
      <c r="AG438" s="41">
        <f>VLOOKUP(B438,'Player Data'!$A1:$AE734,21,FALSE)*$Q438</f>
        <v>527.37711388736125</v>
      </c>
      <c r="AH438" s="42">
        <f>VLOOKUP(B438,'Player Data'!$A1:$AE734,22,FALSE)</f>
        <v>0.54720078858881205</v>
      </c>
      <c r="AI438" s="39"/>
      <c r="AJ438" s="43"/>
      <c r="AK438" s="41"/>
      <c r="AL438" s="41"/>
      <c r="AM438" s="41"/>
      <c r="AN438" s="41"/>
      <c r="AO438" s="41"/>
      <c r="AP438" s="41"/>
      <c r="AQ438" s="44"/>
      <c r="AR438" s="45"/>
      <c r="AS438" s="43"/>
    </row>
    <row r="439" spans="1:45" ht="21.25" customHeight="1" x14ac:dyDescent="0.15">
      <c r="A439" s="31">
        <f>RANK(K439,K$2:K$727)</f>
        <v>438</v>
      </c>
      <c r="B439" s="8" t="s">
        <v>543</v>
      </c>
      <c r="C439" s="32" t="s">
        <v>106</v>
      </c>
      <c r="D439" s="33" t="str">
        <f>VLOOKUP(B439,'Player Data'!A1:D734,4,FALSE)</f>
        <v>LW</v>
      </c>
      <c r="E439" s="47">
        <f>VLOOKUP(B439,LW!A1:C130,3,FALSE)</f>
        <v>80</v>
      </c>
      <c r="F439" s="35" t="str">
        <f>VLOOKUP(B439,'Player Data'!A1:B734,2,FALSE)</f>
        <v>VGK</v>
      </c>
      <c r="G439" s="9">
        <f>VLOOKUP(B439,'Player Data'!A1:D734,3,FALSE)</f>
        <v>22</v>
      </c>
      <c r="H439" s="36">
        <f>IFERROR(VLOOKUP(B439,ADP!A1:G728,7,FALSE)/1000000,VLOOKUP(B439,ADP!A1:G728,7,FALSE))</f>
        <v>0.82499999999999996</v>
      </c>
      <c r="I439" s="37">
        <f>IF(Settings!$E$15="POINTS",((R439*Q439)*Settings!$B$12)+(S439*Settings!$B$2)+(T439*Settings!$B$3)+(U439*Settings!$B$4)+(V439*Settings!$B$5)+(X439*Settings!$B$9)+(AA439*Settings!$B$6)+(W439*Settings!$B$8)+(AB439*Settings!$B$7)+(AC439*Settings!$B$14)+(AD439*Settings!$B$15)+(AE439*Settings!$B$16)+(AF439*Settings!$B$17)+(AG439*Settings!$B$18)+(Y439*Settings!$B$10)+(Z439*Settings!$B$11),VLOOKUP(B439,'Standard Deviations'!A1:C728,3,FALSE))</f>
        <v>164.65796048351729</v>
      </c>
      <c r="J439" s="38">
        <f>IF(D439="G",I439/AJ439,I439/Q439)</f>
        <v>2.4411854778875801</v>
      </c>
      <c r="K439" s="37">
        <f>IF(Settings!$E$18="C/LW/RW",VLOOKUP(B439,LW!A1:F130,6,FALSE),VLOOKUP(B439,F!A1:F430,6,FALSE))</f>
        <v>-199.38264437413318</v>
      </c>
      <c r="L439" s="37">
        <f>IFERROR(K439/H439,"N/A")</f>
        <v>-241.67593257470691</v>
      </c>
      <c r="M439" s="53" t="str">
        <f>IF(Settings!$E$9="YAHOO",VLOOKUP(B439,ADP!A1:E728,2,FALSE),IF(Settings!$E$9="ESPN",VLOOKUP(B439,ADP!A1:E728,3,FALSE),IF(Settings!$E$9="FANTRAX",VLOOKUP(B439,ADP!A1:E728,4,FALSE),VLOOKUP(B439,ADP!A1:E728,5,FALSE))))</f>
        <v>-</v>
      </c>
      <c r="N439" s="53" t="str">
        <f>IFERROR(M439-A439,"N/A")</f>
        <v>N/A</v>
      </c>
      <c r="O439" s="39"/>
      <c r="P439" s="40" t="str">
        <f>IF(Settings!$E$27="ON",VLOOKUP(B439,ADP!A1:H728,8,FALSE)," ")</f>
        <v xml:space="preserve"> </v>
      </c>
      <c r="Q439" s="41">
        <f>IF(Settings!$E$12="YES",VLOOKUP(B439,'Player Data'!A1:E734,5,FALSE),82)</f>
        <v>67.45</v>
      </c>
      <c r="R439" s="39">
        <f>VLOOKUP(B439,'Player Data'!$A1:$AE734,6,FALSE)</f>
        <v>13.4822938528963</v>
      </c>
      <c r="S439" s="41">
        <f>VLOOKUP(B439,'Player Data'!$A1:$AE734,7,FALSE)*$Q439*IFERROR((VLOOKUP(P439,Settings!$E$28:$F$33,2,FALSE)+1),1)</f>
        <v>16.64002389929124</v>
      </c>
      <c r="T439" s="41">
        <f>VLOOKUP(B439,'Player Data'!$A1:$AE734,8,FALSE)*$Q439*IFERROR((VLOOKUP(P439,Settings!$E$28:$F$33,2,FALSE)+1),1)</f>
        <v>12.912173736594969</v>
      </c>
      <c r="U439" s="41">
        <f>SUM(S439:T439)</f>
        <v>29.552197635886209</v>
      </c>
      <c r="V439" s="41">
        <f>VLOOKUP(B439,'Player Data'!$A1:$AE734,10,FALSE)*$Q439*IFERROR(((VLOOKUP(P439,Settings!$E$28:$F$33,2,FALSE)/2)+1),1)</f>
        <v>122.53829355687172</v>
      </c>
      <c r="W439" s="41">
        <f>VLOOKUP(B439,'Player Data'!$A1:$AE734,11,FALSE)*$Q439*IFERROR((VLOOKUP(P439,Settings!$E$28:$F$33,2,FALSE)+1),1)</f>
        <v>2.2374175517603714</v>
      </c>
      <c r="X439" s="41">
        <f>VLOOKUP(B439,'Player Data'!$A1:$AE734,12,FALSE)*$Q439*IFERROR((VLOOKUP(P439,Settings!$E$28:$F$33,2,FALSE)+1),1)</f>
        <v>4.1747547258604181</v>
      </c>
      <c r="Y439" s="41">
        <f>VLOOKUP(B439,'Player Data'!$A1:$AE734,13,FALSE)*$Q439</f>
        <v>9.1261027156929484E-4</v>
      </c>
      <c r="Z439" s="41">
        <f>VLOOKUP(B439,'Player Data'!$A1:$AE734,14,FALSE)*$Q439</f>
        <v>1.6875660593075007E-3</v>
      </c>
      <c r="AA439" s="41">
        <f>VLOOKUP(B439,'Player Data'!$A1:$AE734,15,FALSE)*$Q439</f>
        <v>31.896681067916681</v>
      </c>
      <c r="AB439" s="41">
        <f>VLOOKUP(B439,'Player Data'!$A1:$AE734,16,FALSE)*$Q439</f>
        <v>40.153937954706322</v>
      </c>
      <c r="AC439" s="41">
        <f>VLOOKUP(B439,'Player Data'!$A1:$AE734,17,FALSE)*$Q439*IFERROR((VLOOKUP(P439,Settings!$E$28:$F$33,2,FALSE)+1),1)</f>
        <v>4.2773108379087237</v>
      </c>
      <c r="AD439" s="41">
        <f>VLOOKUP(B439,'Player Data'!$A1:$AE734,18,FALSE)*$Q439</f>
        <v>23.778768619988718</v>
      </c>
      <c r="AE439" s="41">
        <f>VLOOKUP(B439,'Player Data'!$A1:$AE734,19,FALSE)*$Q439*IFERROR((VLOOKUP(P439,Settings!$E$28:$F$33,2,FALSE)+1),1)</f>
        <v>2.7194339241679879</v>
      </c>
      <c r="AF439" s="41">
        <f>VLOOKUP(B439,'Player Data'!$A1:$AE734,20,FALSE)*$Q439</f>
        <v>0</v>
      </c>
      <c r="AG439" s="41">
        <f>VLOOKUP(B439,'Player Data'!$A1:$AE734,21,FALSE)*$Q439</f>
        <v>3.5134687083336766</v>
      </c>
      <c r="AH439" s="42">
        <f>VLOOKUP(B439,'Player Data'!$A1:$AE734,22,FALSE)</f>
        <v>0</v>
      </c>
      <c r="AI439" s="39"/>
      <c r="AJ439" s="43"/>
      <c r="AK439" s="41"/>
      <c r="AL439" s="41"/>
      <c r="AM439" s="41"/>
      <c r="AN439" s="41"/>
      <c r="AO439" s="41"/>
      <c r="AP439" s="41"/>
      <c r="AQ439" s="44"/>
      <c r="AR439" s="45"/>
      <c r="AS439" s="39"/>
    </row>
    <row r="440" spans="1:45" ht="21.25" customHeight="1" x14ac:dyDescent="0.15">
      <c r="A440" s="31">
        <f>RANK(K440,K$2:K$727)</f>
        <v>439</v>
      </c>
      <c r="B440" s="8" t="s">
        <v>544</v>
      </c>
      <c r="C440" s="32" t="s">
        <v>106</v>
      </c>
      <c r="D440" s="33" t="str">
        <f>VLOOKUP(B440,'Player Data'!A1:D734,4,FALSE)</f>
        <v>RW</v>
      </c>
      <c r="E440" s="46">
        <f>VLOOKUP(B440,RW!A1:F97,3,FALSE)</f>
        <v>59</v>
      </c>
      <c r="F440" s="35" t="str">
        <f>VLOOKUP(B440,'Player Data'!A1:B734,2,FALSE)</f>
        <v>ANA</v>
      </c>
      <c r="G440" s="9">
        <f>VLOOKUP(B440,'Player Data'!A1:D734,3,FALSE)</f>
        <v>32</v>
      </c>
      <c r="H440" s="36">
        <f>IFERROR(VLOOKUP(B440,ADP!A1:G728,7,FALSE)/1000000,VLOOKUP(B440,ADP!A1:G728,7,FALSE))</f>
        <v>5.25</v>
      </c>
      <c r="I440" s="37">
        <f>IF(Settings!$E$15="POINTS",((R440*Q440)*Settings!$B$12)+(S440*Settings!$B$2)+(T440*Settings!$B$3)+(U440*Settings!$B$4)+(V440*Settings!$B$5)+(X440*Settings!$B$9)+(AA440*Settings!$B$6)+(W440*Settings!$B$8)+(AB440*Settings!$B$7)+(AC440*Settings!$B$14)+(AD440*Settings!$B$15)+(AE440*Settings!$B$16)+(AF440*Settings!$B$17)+(AG440*Settings!$B$18)+(Y440*Settings!$B$10)+(Z440*Settings!$B$11),VLOOKUP(B440,'Standard Deviations'!A1:C728,3,FALSE))</f>
        <v>150.41430114863792</v>
      </c>
      <c r="J440" s="38">
        <f>IF(D440="G",I440/AJ440,I440/Q440)</f>
        <v>1.9649890973638371</v>
      </c>
      <c r="K440" s="37">
        <f>IF(Settings!$E$18="C/LW/RW",VLOOKUP(B440,RW!A1:F97,6,FALSE),VLOOKUP(B440,F!A1:F430,6,FALSE))</f>
        <v>-199.85723939925165</v>
      </c>
      <c r="L440" s="37">
        <f>IFERROR(K440/H440,"N/A")</f>
        <v>-38.068045599857456</v>
      </c>
      <c r="M440" s="53" t="str">
        <f>IF(Settings!$E$9="YAHOO",VLOOKUP(B440,ADP!A1:E728,2,FALSE),IF(Settings!$E$9="ESPN",VLOOKUP(B440,ADP!A1:E728,3,FALSE),IF(Settings!$E$9="FANTRAX",VLOOKUP(B440,ADP!A1:E728,4,FALSE),VLOOKUP(B440,ADP!A1:E728,5,FALSE))))</f>
        <v>-</v>
      </c>
      <c r="N440" s="53" t="str">
        <f>IFERROR(M440-A440,"N/A")</f>
        <v>N/A</v>
      </c>
      <c r="O440" s="39"/>
      <c r="P440" s="40" t="str">
        <f>IF(Settings!$E$27="ON",VLOOKUP(B440,ADP!A1:H728,8,FALSE)," ")</f>
        <v xml:space="preserve"> </v>
      </c>
      <c r="Q440" s="41">
        <f>IF(Settings!$E$12="YES",VLOOKUP(B440,'Player Data'!A1:E734,5,FALSE),82)</f>
        <v>76.547142857142902</v>
      </c>
      <c r="R440" s="39">
        <f>VLOOKUP(B440,'Player Data'!$A1:$AE734,6,FALSE)</f>
        <v>14.861785868267299</v>
      </c>
      <c r="S440" s="41">
        <f>VLOOKUP(B440,'Player Data'!$A1:$AE734,7,FALSE)*$Q440*IFERROR((VLOOKUP(P440,Settings!$E$28:$F$33,2,FALSE)+1),1)</f>
        <v>7.5875667356904843</v>
      </c>
      <c r="T440" s="41">
        <f>VLOOKUP(B440,'Player Data'!$A1:$AE734,8,FALSE)*$Q440*IFERROR((VLOOKUP(P440,Settings!$E$28:$F$33,2,FALSE)+1),1)</f>
        <v>14.300265058659308</v>
      </c>
      <c r="U440" s="41">
        <f>SUM(S440:T440)</f>
        <v>21.887831794349793</v>
      </c>
      <c r="V440" s="41">
        <f>VLOOKUP(B440,'Player Data'!$A1:$AE734,10,FALSE)*$Q440*IFERROR(((VLOOKUP(P440,Settings!$E$28:$F$33,2,FALSE)/2)+1),1)</f>
        <v>130.4058634412429</v>
      </c>
      <c r="W440" s="41">
        <f>VLOOKUP(B440,'Player Data'!$A1:$AE734,11,FALSE)*$Q440*IFERROR((VLOOKUP(P440,Settings!$E$28:$F$33,2,FALSE)+1),1)</f>
        <v>1.9327700570217676</v>
      </c>
      <c r="X440" s="41">
        <f>VLOOKUP(B440,'Player Data'!$A1:$AE734,12,FALSE)*$Q440*IFERROR((VLOOKUP(P440,Settings!$E$28:$F$33,2,FALSE)+1),1)</f>
        <v>4.7164959062296612</v>
      </c>
      <c r="Y440" s="41">
        <f>VLOOKUP(B440,'Player Data'!$A1:$AE734,13,FALSE)*$Q440</f>
        <v>0.24424154023088746</v>
      </c>
      <c r="Z440" s="41">
        <f>VLOOKUP(B440,'Player Data'!$A1:$AE734,14,FALSE)*$Q440</f>
        <v>0.34121827009725364</v>
      </c>
      <c r="AA440" s="41">
        <f>VLOOKUP(B440,'Player Data'!$A1:$AE734,15,FALSE)*$Q440</f>
        <v>47.162228461566116</v>
      </c>
      <c r="AB440" s="41">
        <f>VLOOKUP(B440,'Player Data'!$A1:$AE734,16,FALSE)*$Q440</f>
        <v>29.852771318774526</v>
      </c>
      <c r="AC440" s="41">
        <f>VLOOKUP(B440,'Player Data'!$A1:$AE734,17,FALSE)*$Q440*IFERROR((VLOOKUP(P440,Settings!$E$28:$F$33,2,FALSE)+1),1)</f>
        <v>-9.1818388207617918</v>
      </c>
      <c r="AD440" s="41">
        <f>VLOOKUP(B440,'Player Data'!$A1:$AE734,18,FALSE)*$Q440</f>
        <v>31.113609473853852</v>
      </c>
      <c r="AE440" s="41">
        <f>VLOOKUP(B440,'Player Data'!$A1:$AE734,19,FALSE)*$Q440*IFERROR((VLOOKUP(P440,Settings!$E$28:$F$33,2,FALSE)+1),1)</f>
        <v>0.82256381694318759</v>
      </c>
      <c r="AF440" s="41">
        <f>VLOOKUP(B440,'Player Data'!$A1:$AE734,20,FALSE)*$Q440</f>
        <v>15.688334705838983</v>
      </c>
      <c r="AG440" s="41">
        <f>VLOOKUP(B440,'Player Data'!$A1:$AE734,21,FALSE)*$Q440</f>
        <v>28.594160150397027</v>
      </c>
      <c r="AH440" s="42">
        <f>VLOOKUP(B440,'Player Data'!$A1:$AE734,22,FALSE)</f>
        <v>0.35427847407359198</v>
      </c>
      <c r="AI440" s="39"/>
      <c r="AJ440" s="43"/>
      <c r="AK440" s="41"/>
      <c r="AL440" s="41"/>
      <c r="AM440" s="41"/>
      <c r="AN440" s="41"/>
      <c r="AO440" s="41"/>
      <c r="AP440" s="41"/>
      <c r="AQ440" s="44"/>
      <c r="AR440" s="45"/>
      <c r="AS440" s="39"/>
    </row>
    <row r="441" spans="1:45" ht="21.25" customHeight="1" x14ac:dyDescent="0.15">
      <c r="A441" s="31">
        <f>RANK(K441,K$2:K$727)</f>
        <v>440</v>
      </c>
      <c r="B441" s="8" t="s">
        <v>545</v>
      </c>
      <c r="C441" s="32" t="s">
        <v>106</v>
      </c>
      <c r="D441" s="33" t="str">
        <f>VLOOKUP(B441,'Player Data'!A1:D734,4,FALSE)</f>
        <v>D</v>
      </c>
      <c r="E441" s="49">
        <f>VLOOKUP(B441,D!A1:C227,3,FALSE)</f>
        <v>157</v>
      </c>
      <c r="F441" s="35" t="str">
        <f>VLOOKUP(B441,'Player Data'!A1:B734,2,FALSE)</f>
        <v>SJS</v>
      </c>
      <c r="G441" s="9">
        <f>VLOOKUP(B441,'Player Data'!A1:D734,3,FALSE)</f>
        <v>36</v>
      </c>
      <c r="H441" s="36">
        <f>IFERROR(VLOOKUP(B441,ADP!A1:G728,7,FALSE)/1000000,VLOOKUP(B441,ADP!A1:G728,7,FALSE))</f>
        <v>7</v>
      </c>
      <c r="I441" s="37">
        <f>IF(Settings!$E$15="POINTS",((R441*Q441)*Settings!$B$12)+(S441*Settings!$B$2)+(T441*Settings!$B$3)+(U441*Settings!$B$4)+(V441*Settings!$B$5)+(X441*Settings!$B$9)+(AA441*Settings!$B$6)+(W441*Settings!$B$8)+(AB441*Settings!$B$7)+(AC441*Settings!$B$14)+(AD441*Settings!$B$15)+(AE441*Settings!$B$16)+(AF441*Settings!$B$17)+(AG441*Settings!$B$18)+(U441*Settings!$B$13)+(Y441*Settings!$B$10)+(Z441*Settings!$B$11),VLOOKUP(B441,'Standard Deviations'!A1:C728,3,FALSE))</f>
        <v>110.98913045484264</v>
      </c>
      <c r="J441" s="38">
        <f>IF(D441="G",I441/AJ441,I441/Q441)</f>
        <v>1.4084915032340437</v>
      </c>
      <c r="K441" s="37">
        <f>VLOOKUP(B441,D!A1:F227,6,FALSE)</f>
        <v>-200.57635117308482</v>
      </c>
      <c r="L441" s="37">
        <f>IFERROR(K441/H441,"N/A")</f>
        <v>-28.653764453297832</v>
      </c>
      <c r="M441" s="53" t="str">
        <f>IF(Settings!$E$9="YAHOO",VLOOKUP(B441,ADP!A1:E728,2,FALSE),IF(Settings!$E$9="ESPN",VLOOKUP(B441,ADP!A1:E728,3,FALSE),IF(Settings!$E$9="FANTRAX",VLOOKUP(B441,ADP!A1:E728,4,FALSE),VLOOKUP(B441,ADP!A1:E728,5,FALSE))))</f>
        <v>-</v>
      </c>
      <c r="N441" s="53" t="str">
        <f>IFERROR(M441-A441,"N/A")</f>
        <v>N/A</v>
      </c>
      <c r="O441" s="39"/>
      <c r="P441" s="40" t="str">
        <f>IF(Settings!$E$27="ON",VLOOKUP(B441,ADP!A1:H728,8,FALSE)," ")</f>
        <v xml:space="preserve"> </v>
      </c>
      <c r="Q441" s="41">
        <f>IF(Settings!$E$12="YES",VLOOKUP(B441,'Player Data'!A1:E734,5,FALSE),82)</f>
        <v>78.8</v>
      </c>
      <c r="R441" s="39">
        <f>VLOOKUP(B441,'Player Data'!$A1:$AE734,6,FALSE)</f>
        <v>19.120010454026499</v>
      </c>
      <c r="S441" s="41">
        <f>VLOOKUP(B441,'Player Data'!$A1:$AE734,7,FALSE)*$Q441*IFERROR((VLOOKUP(P441,Settings!$E$28:$F$33,2,FALSE)+1),1)</f>
        <v>1.610281446986098</v>
      </c>
      <c r="T441" s="41">
        <f>VLOOKUP(B441,'Player Data'!$A1:$AE734,8,FALSE)*$Q441*IFERROR((VLOOKUP(P441,Settings!$E$28:$F$33,2,FALSE)+1),1)</f>
        <v>13.797930789160841</v>
      </c>
      <c r="U441" s="41">
        <f>SUM(S441:T441)</f>
        <v>15.408212236146939</v>
      </c>
      <c r="V441" s="41">
        <f>VLOOKUP(B441,'Player Data'!$A1:$AE734,10,FALSE)*$Q441*IFERROR(((VLOOKUP(P441,Settings!$E$28:$F$33,2,FALSE)/2)+1),1)</f>
        <v>78.839280606884472</v>
      </c>
      <c r="W441" s="41">
        <f>VLOOKUP(B441,'Player Data'!$A1:$AE734,11,FALSE)*$Q441*IFERROR((VLOOKUP(P441,Settings!$E$28:$F$33,2,FALSE)+1),1)</f>
        <v>3.9667222459022627E-2</v>
      </c>
      <c r="X441" s="41">
        <f>VLOOKUP(B441,'Player Data'!$A1:$AE734,12,FALSE)*$Q441*IFERROR((VLOOKUP(P441,Settings!$E$28:$F$33,2,FALSE)+1),1)</f>
        <v>0.16538163652663579</v>
      </c>
      <c r="Y441" s="41">
        <f>VLOOKUP(B441,'Player Data'!$A1:$AE734,13,FALSE)*$Q441</f>
        <v>1.8469250689968152E-2</v>
      </c>
      <c r="Z441" s="41">
        <f>VLOOKUP(B441,'Player Data'!$A1:$AE734,14,FALSE)*$Q441</f>
        <v>0.12903482106496303</v>
      </c>
      <c r="AA441" s="41">
        <f>VLOOKUP(B441,'Player Data'!$A1:$AE734,15,FALSE)*$Q441</f>
        <v>123.780102638882</v>
      </c>
      <c r="AB441" s="41">
        <f>VLOOKUP(B441,'Player Data'!$A1:$AE734,16,FALSE)*$Q441</f>
        <v>70.424713411459052</v>
      </c>
      <c r="AC441" s="41">
        <f>VLOOKUP(B441,'Player Data'!$A1:$AE734,17,FALSE)*$Q441*IFERROR((VLOOKUP(P441,Settings!$E$28:$F$33,2,FALSE)+1),1)</f>
        <v>-0.62503187363012369</v>
      </c>
      <c r="AD441" s="41">
        <f>VLOOKUP(B441,'Player Data'!$A1:$AE734,18,FALSE)*$Q441</f>
        <v>17.407734067779142</v>
      </c>
      <c r="AE441" s="41">
        <f>VLOOKUP(B441,'Player Data'!$A1:$AE734,19,FALSE)*$Q441*IFERROR((VLOOKUP(P441,Settings!$E$28:$F$33,2,FALSE)+1),1)</f>
        <v>0.19552318098051907</v>
      </c>
      <c r="AF441" s="41">
        <f>VLOOKUP(B441,'Player Data'!$A1:$AE734,20,FALSE)*$Q441</f>
        <v>0</v>
      </c>
      <c r="AG441" s="41">
        <f>VLOOKUP(B441,'Player Data'!$A1:$AE734,21,FALSE)*$Q441</f>
        <v>0</v>
      </c>
      <c r="AH441" s="42">
        <f>VLOOKUP(B441,'Player Data'!$A1:$AE734,22,FALSE)</f>
        <v>0</v>
      </c>
      <c r="AI441" s="39"/>
      <c r="AJ441" s="43"/>
      <c r="AK441" s="41"/>
      <c r="AL441" s="41"/>
      <c r="AM441" s="41"/>
      <c r="AN441" s="41"/>
      <c r="AO441" s="41"/>
      <c r="AP441" s="41"/>
      <c r="AQ441" s="44"/>
      <c r="AR441" s="45"/>
      <c r="AS441" s="39"/>
    </row>
    <row r="442" spans="1:45" ht="21.25" customHeight="1" x14ac:dyDescent="0.15">
      <c r="A442" s="31">
        <f>RANK(K442,K$2:K$727)</f>
        <v>441</v>
      </c>
      <c r="B442" s="8" t="s">
        <v>546</v>
      </c>
      <c r="C442" s="32" t="s">
        <v>106</v>
      </c>
      <c r="D442" s="33" t="str">
        <f>VLOOKUP(B442,'Player Data'!A1:D734,4,FALSE)</f>
        <v>D</v>
      </c>
      <c r="E442" s="49">
        <f>VLOOKUP(B442,D!A1:C227,3,FALSE)</f>
        <v>158</v>
      </c>
      <c r="F442" s="35" t="str">
        <f>VLOOKUP(B442,'Player Data'!A1:B734,2,FALSE)</f>
        <v>PHI</v>
      </c>
      <c r="G442" s="9">
        <f>VLOOKUP(B442,'Player Data'!A1:D734,3,FALSE)</f>
        <v>30</v>
      </c>
      <c r="H442" s="36">
        <f>IFERROR(VLOOKUP(B442,ADP!A1:G728,7,FALSE)/1000000,VLOOKUP(B442,ADP!A1:G728,7,FALSE))</f>
        <v>0.77500000000000002</v>
      </c>
      <c r="I442" s="37">
        <f>IF(Settings!$E$15="POINTS",((R442*Q442)*Settings!$B$12)+(S442*Settings!$B$2)+(T442*Settings!$B$3)+(U442*Settings!$B$4)+(V442*Settings!$B$5)+(X442*Settings!$B$9)+(AA442*Settings!$B$6)+(W442*Settings!$B$8)+(AB442*Settings!$B$7)+(AC442*Settings!$B$14)+(AD442*Settings!$B$15)+(AE442*Settings!$B$16)+(AF442*Settings!$B$17)+(AG442*Settings!$B$18)+(U442*Settings!$B$13)+(Y442*Settings!$B$10)+(Z442*Settings!$B$11),VLOOKUP(B442,'Standard Deviations'!A1:C728,3,FALSE))</f>
        <v>110.96466429361823</v>
      </c>
      <c r="J442" s="38">
        <f>IF(D442="G",I442/AJ442,I442/Q442)</f>
        <v>1.5437488076463304</v>
      </c>
      <c r="K442" s="37">
        <f>VLOOKUP(B442,D!A1:F227,6,FALSE)</f>
        <v>-200.60081733430923</v>
      </c>
      <c r="L442" s="37">
        <f>IFERROR(K442/H442,"N/A")</f>
        <v>-258.83976430233446</v>
      </c>
      <c r="M442" s="53" t="str">
        <f>IF(Settings!$E$9="YAHOO",VLOOKUP(B442,ADP!A1:E728,2,FALSE),IF(Settings!$E$9="ESPN",VLOOKUP(B442,ADP!A1:E728,3,FALSE),IF(Settings!$E$9="FANTRAX",VLOOKUP(B442,ADP!A1:E728,4,FALSE),VLOOKUP(B442,ADP!A1:E728,5,FALSE))))</f>
        <v>-</v>
      </c>
      <c r="N442" s="53" t="str">
        <f>IFERROR(M442-A442,"N/A")</f>
        <v>N/A</v>
      </c>
      <c r="O442" s="39"/>
      <c r="P442" s="40" t="str">
        <f>IF(Settings!$E$27="ON",VLOOKUP(B442,ADP!A1:H728,8,FALSE)," ")</f>
        <v xml:space="preserve"> </v>
      </c>
      <c r="Q442" s="41">
        <f>IF(Settings!$E$12="YES",VLOOKUP(B442,'Player Data'!A1:E734,5,FALSE),82)</f>
        <v>71.88</v>
      </c>
      <c r="R442" s="39">
        <f>VLOOKUP(B442,'Player Data'!$A1:$AE734,6,FALSE)</f>
        <v>16.444215701023602</v>
      </c>
      <c r="S442" s="41">
        <f>VLOOKUP(B442,'Player Data'!$A1:$AE734,7,FALSE)*$Q442*IFERROR((VLOOKUP(P442,Settings!$E$28:$F$33,2,FALSE)+1),1)</f>
        <v>3.4081704323473008</v>
      </c>
      <c r="T442" s="41">
        <f>VLOOKUP(B442,'Player Data'!$A1:$AE734,8,FALSE)*$Q442*IFERROR((VLOOKUP(P442,Settings!$E$28:$F$33,2,FALSE)+1),1)</f>
        <v>9.60319696266885</v>
      </c>
      <c r="U442" s="41">
        <f>SUM(S442:T442)</f>
        <v>13.011367395016151</v>
      </c>
      <c r="V442" s="41">
        <f>VLOOKUP(B442,'Player Data'!$A1:$AE734,10,FALSE)*$Q442*IFERROR(((VLOOKUP(P442,Settings!$E$28:$F$33,2,FALSE)/2)+1),1)</f>
        <v>85.156393112696918</v>
      </c>
      <c r="W442" s="41">
        <f>VLOOKUP(B442,'Player Data'!$A1:$AE734,11,FALSE)*$Q442*IFERROR((VLOOKUP(P442,Settings!$E$28:$F$33,2,FALSE)+1),1)</f>
        <v>8.8199827384957945E-3</v>
      </c>
      <c r="X442" s="41">
        <f>VLOOKUP(B442,'Player Data'!$A1:$AE734,12,FALSE)*$Q442*IFERROR((VLOOKUP(P442,Settings!$E$28:$F$33,2,FALSE)+1),1)</f>
        <v>6.0891011006255685E-2</v>
      </c>
      <c r="Y442" s="41">
        <f>VLOOKUP(B442,'Player Data'!$A1:$AE734,13,FALSE)*$Q442</f>
        <v>2.7174158988598113E-2</v>
      </c>
      <c r="Z442" s="41">
        <f>VLOOKUP(B442,'Player Data'!$A1:$AE734,14,FALSE)*$Q442</f>
        <v>0.52598768002081853</v>
      </c>
      <c r="AA442" s="41">
        <f>VLOOKUP(B442,'Player Data'!$A1:$AE734,15,FALSE)*$Q442</f>
        <v>140.89304085083586</v>
      </c>
      <c r="AB442" s="41">
        <f>VLOOKUP(B442,'Player Data'!$A1:$AE734,16,FALSE)*$Q442</f>
        <v>124.52435747110175</v>
      </c>
      <c r="AC442" s="41">
        <f>VLOOKUP(B442,'Player Data'!$A1:$AE734,17,FALSE)*$Q442*IFERROR((VLOOKUP(P442,Settings!$E$28:$F$33,2,FALSE)+1),1)</f>
        <v>-4.7908583850459658</v>
      </c>
      <c r="AD442" s="41">
        <f>VLOOKUP(B442,'Player Data'!$A1:$AE734,18,FALSE)*$Q442</f>
        <v>51.749217462810655</v>
      </c>
      <c r="AE442" s="41">
        <f>VLOOKUP(B442,'Player Data'!$A1:$AE734,19,FALSE)*$Q442*IFERROR((VLOOKUP(P442,Settings!$E$28:$F$33,2,FALSE)+1),1)</f>
        <v>0.4006155828883361</v>
      </c>
      <c r="AF442" s="41">
        <f>VLOOKUP(B442,'Player Data'!$A1:$AE734,20,FALSE)*$Q442</f>
        <v>0</v>
      </c>
      <c r="AG442" s="41">
        <f>VLOOKUP(B442,'Player Data'!$A1:$AE734,21,FALSE)*$Q442</f>
        <v>0</v>
      </c>
      <c r="AH442" s="42">
        <f>VLOOKUP(B442,'Player Data'!$A1:$AE734,22,FALSE)</f>
        <v>0</v>
      </c>
      <c r="AI442" s="39"/>
      <c r="AJ442" s="43"/>
      <c r="AK442" s="41"/>
      <c r="AL442" s="41"/>
      <c r="AM442" s="41"/>
      <c r="AN442" s="41"/>
      <c r="AO442" s="41"/>
      <c r="AP442" s="41"/>
      <c r="AQ442" s="44"/>
      <c r="AR442" s="45"/>
      <c r="AS442" s="39"/>
    </row>
    <row r="443" spans="1:45" ht="21.25" customHeight="1" x14ac:dyDescent="0.15">
      <c r="A443" s="31">
        <f>RANK(K443,K$2:K$727)</f>
        <v>442</v>
      </c>
      <c r="B443" s="8" t="s">
        <v>547</v>
      </c>
      <c r="C443" s="32" t="s">
        <v>106</v>
      </c>
      <c r="D443" s="33" t="str">
        <f>VLOOKUP(B443,'Player Data'!A1:D734,4,FALSE)</f>
        <v>D</v>
      </c>
      <c r="E443" s="49">
        <f>VLOOKUP(B443,D!A1:C227,3,FALSE)</f>
        <v>159</v>
      </c>
      <c r="F443" s="35" t="str">
        <f>VLOOKUP(B443,'Player Data'!A1:B734,2,FALSE)</f>
        <v>STL</v>
      </c>
      <c r="G443" s="9">
        <f>VLOOKUP(B443,'Player Data'!A1:D734,3,FALSE)</f>
        <v>32</v>
      </c>
      <c r="H443" s="36">
        <f>IFERROR(VLOOKUP(B443,ADP!A1:G728,7,FALSE)/1000000,VLOOKUP(B443,ADP!A1:G728,7,FALSE))</f>
        <v>4</v>
      </c>
      <c r="I443" s="37">
        <f>IF(Settings!$E$15="POINTS",((R443*Q443)*Settings!$B$12)+(S443*Settings!$B$2)+(T443*Settings!$B$3)+(U443*Settings!$B$4)+(V443*Settings!$B$5)+(X443*Settings!$B$9)+(AA443*Settings!$B$6)+(W443*Settings!$B$8)+(AB443*Settings!$B$7)+(AC443*Settings!$B$14)+(AD443*Settings!$B$15)+(AE443*Settings!$B$16)+(AF443*Settings!$B$17)+(AG443*Settings!$B$18)+(U443*Settings!$B$13)+(Y443*Settings!$B$10)+(Z443*Settings!$B$11),VLOOKUP(B443,'Standard Deviations'!A1:C728,3,FALSE))</f>
        <v>110.9125140798246</v>
      </c>
      <c r="J443" s="38">
        <f>IF(D443="G",I443/AJ443,I443/Q443)</f>
        <v>1.3802384852667717</v>
      </c>
      <c r="K443" s="37">
        <f>VLOOKUP(B443,D!A1:F227,6,FALSE)</f>
        <v>-200.65296754810285</v>
      </c>
      <c r="L443" s="37">
        <f>IFERROR(K443/H443,"N/A")</f>
        <v>-50.163241887025713</v>
      </c>
      <c r="M443" s="53" t="str">
        <f>IF(Settings!$E$9="YAHOO",VLOOKUP(B443,ADP!A1:E728,2,FALSE),IF(Settings!$E$9="ESPN",VLOOKUP(B443,ADP!A1:E728,3,FALSE),IF(Settings!$E$9="FANTRAX",VLOOKUP(B443,ADP!A1:E728,4,FALSE),VLOOKUP(B443,ADP!A1:E728,5,FALSE))))</f>
        <v>-</v>
      </c>
      <c r="N443" s="53" t="str">
        <f>IFERROR(M443-A443,"N/A")</f>
        <v>N/A</v>
      </c>
      <c r="O443" s="39"/>
      <c r="P443" s="40" t="str">
        <f>IF(Settings!$E$27="ON",VLOOKUP(B443,ADP!A1:H728,8,FALSE)," ")</f>
        <v xml:space="preserve"> </v>
      </c>
      <c r="Q443" s="41">
        <f>IF(Settings!$E$12="YES",VLOOKUP(B443,'Player Data'!A1:E734,5,FALSE),82)</f>
        <v>80.357500000000002</v>
      </c>
      <c r="R443" s="39">
        <f>VLOOKUP(B443,'Player Data'!$A1:$AE734,6,FALSE)</f>
        <v>17.669817243627499</v>
      </c>
      <c r="S443" s="41">
        <f>VLOOKUP(B443,'Player Data'!$A1:$AE734,7,FALSE)*$Q443*IFERROR((VLOOKUP(P443,Settings!$E$28:$F$33,2,FALSE)+1),1)</f>
        <v>1.9982238319198939</v>
      </c>
      <c r="T443" s="41">
        <f>VLOOKUP(B443,'Player Data'!$A1:$AE734,8,FALSE)*$Q443*IFERROR((VLOOKUP(P443,Settings!$E$28:$F$33,2,FALSE)+1),1)</f>
        <v>16.975208948524507</v>
      </c>
      <c r="U443" s="41">
        <f>SUM(S443:T443)</f>
        <v>18.973432780444401</v>
      </c>
      <c r="V443" s="41">
        <f>VLOOKUP(B443,'Player Data'!$A1:$AE734,10,FALSE)*$Q443*IFERROR(((VLOOKUP(P443,Settings!$E$28:$F$33,2,FALSE)/2)+1),1)</f>
        <v>69.495406868038856</v>
      </c>
      <c r="W443" s="41">
        <f>VLOOKUP(B443,'Player Data'!$A1:$AE734,11,FALSE)*$Q443*IFERROR((VLOOKUP(P443,Settings!$E$28:$F$33,2,FALSE)+1),1)</f>
        <v>5.7453212407924004E-2</v>
      </c>
      <c r="X443" s="41">
        <f>VLOOKUP(B443,'Player Data'!$A1:$AE734,12,FALSE)*$Q443*IFERROR((VLOOKUP(P443,Settings!$E$28:$F$33,2,FALSE)+1),1)</f>
        <v>0.95659570997937271</v>
      </c>
      <c r="Y443" s="41">
        <f>VLOOKUP(B443,'Player Data'!$A1:$AE734,13,FALSE)*$Q443</f>
        <v>3.3051922848867599E-2</v>
      </c>
      <c r="Z443" s="41">
        <f>VLOOKUP(B443,'Player Data'!$A1:$AE734,14,FALSE)*$Q443</f>
        <v>0.14446589229871015</v>
      </c>
      <c r="AA443" s="41">
        <f>VLOOKUP(B443,'Player Data'!$A1:$AE734,15,FALSE)*$Q443</f>
        <v>85.211945499579045</v>
      </c>
      <c r="AB443" s="41">
        <f>VLOOKUP(B443,'Player Data'!$A1:$AE734,16,FALSE)*$Q443</f>
        <v>53.542889034106764</v>
      </c>
      <c r="AC443" s="41">
        <f>VLOOKUP(B443,'Player Data'!$A1:$AE734,17,FALSE)*$Q443*IFERROR((VLOOKUP(P443,Settings!$E$28:$F$33,2,FALSE)+1),1)</f>
        <v>-5.1415795650841938</v>
      </c>
      <c r="AD443" s="41">
        <f>VLOOKUP(B443,'Player Data'!$A1:$AE734,18,FALSE)*$Q443</f>
        <v>19.754161231428981</v>
      </c>
      <c r="AE443" s="41">
        <f>VLOOKUP(B443,'Player Data'!$A1:$AE734,19,FALSE)*$Q443*IFERROR((VLOOKUP(P443,Settings!$E$28:$F$33,2,FALSE)+1),1)</f>
        <v>0.22994107481525541</v>
      </c>
      <c r="AF443" s="41">
        <f>VLOOKUP(B443,'Player Data'!$A1:$AE734,20,FALSE)*$Q443</f>
        <v>0</v>
      </c>
      <c r="AG443" s="41">
        <f>VLOOKUP(B443,'Player Data'!$A1:$AE734,21,FALSE)*$Q443</f>
        <v>0</v>
      </c>
      <c r="AH443" s="42">
        <f>VLOOKUP(B443,'Player Data'!$A1:$AE734,22,FALSE)</f>
        <v>0</v>
      </c>
      <c r="AI443" s="39"/>
      <c r="AJ443" s="43"/>
      <c r="AK443" s="41"/>
      <c r="AL443" s="41"/>
      <c r="AM443" s="41"/>
      <c r="AN443" s="41"/>
      <c r="AO443" s="41"/>
      <c r="AP443" s="41"/>
      <c r="AQ443" s="44"/>
      <c r="AR443" s="45"/>
      <c r="AS443" s="39"/>
    </row>
    <row r="444" spans="1:45" ht="21.25" customHeight="1" x14ac:dyDescent="0.15">
      <c r="A444" s="31">
        <f>RANK(K444,K$2:K$727)</f>
        <v>443</v>
      </c>
      <c r="B444" s="8" t="s">
        <v>548</v>
      </c>
      <c r="C444" s="32" t="s">
        <v>106</v>
      </c>
      <c r="D444" s="33" t="str">
        <f>VLOOKUP(B444,'Player Data'!A1:D734,4,FALSE)</f>
        <v>D</v>
      </c>
      <c r="E444" s="49">
        <f>VLOOKUP(B444,D!A1:C227,3,FALSE)</f>
        <v>160</v>
      </c>
      <c r="F444" s="35" t="str">
        <f>VLOOKUP(B444,'Player Data'!A1:B734,2,FALSE)</f>
        <v>MIN</v>
      </c>
      <c r="G444" s="9">
        <f>VLOOKUP(B444,'Player Data'!A1:D734,3,FALSE)</f>
        <v>38</v>
      </c>
      <c r="H444" s="36">
        <f>IFERROR(VLOOKUP(B444,ADP!A1:G728,7,FALSE)/1000000,VLOOKUP(B444,ADP!A1:G728,7,FALSE))</f>
        <v>2</v>
      </c>
      <c r="I444" s="37">
        <f>IF(Settings!$E$15="POINTS",((R444*Q444)*Settings!$B$12)+(S444*Settings!$B$2)+(T444*Settings!$B$3)+(U444*Settings!$B$4)+(V444*Settings!$B$5)+(X444*Settings!$B$9)+(AA444*Settings!$B$6)+(W444*Settings!$B$8)+(AB444*Settings!$B$7)+(AC444*Settings!$B$14)+(AD444*Settings!$B$15)+(AE444*Settings!$B$16)+(AF444*Settings!$B$17)+(AG444*Settings!$B$18)+(U444*Settings!$B$13)+(Y444*Settings!$B$10)+(Z444*Settings!$B$11),VLOOKUP(B444,'Standard Deviations'!A1:C728,3,FALSE))</f>
        <v>110.65096779793963</v>
      </c>
      <c r="J444" s="38">
        <f>IF(D444="G",I444/AJ444,I444/Q444)</f>
        <v>1.4899477250109692</v>
      </c>
      <c r="K444" s="37">
        <f>VLOOKUP(B444,D!A1:F227,6,FALSE)</f>
        <v>-200.91451382998781</v>
      </c>
      <c r="L444" s="37">
        <f>IFERROR(K444/H444,"N/A")</f>
        <v>-100.45725691499391</v>
      </c>
      <c r="M444" s="53" t="str">
        <f>IF(Settings!$E$9="YAHOO",VLOOKUP(B444,ADP!A1:E728,2,FALSE),IF(Settings!$E$9="ESPN",VLOOKUP(B444,ADP!A1:E728,3,FALSE),IF(Settings!$E$9="FANTRAX",VLOOKUP(B444,ADP!A1:E728,4,FALSE),VLOOKUP(B444,ADP!A1:E728,5,FALSE))))</f>
        <v>-</v>
      </c>
      <c r="N444" s="53" t="str">
        <f>IFERROR(M444-A444,"N/A")</f>
        <v>N/A</v>
      </c>
      <c r="O444" s="39"/>
      <c r="P444" s="40" t="str">
        <f>IF(Settings!$E$27="ON",VLOOKUP(B444,ADP!A1:H728,8,FALSE)," ")</f>
        <v xml:space="preserve"> </v>
      </c>
      <c r="Q444" s="41">
        <f>IF(Settings!$E$12="YES",VLOOKUP(B444,'Player Data'!A1:E734,5,FALSE),82)</f>
        <v>74.265000000000001</v>
      </c>
      <c r="R444" s="39">
        <f>VLOOKUP(B444,'Player Data'!$A1:$AE734,6,FALSE)</f>
        <v>16.496454607824901</v>
      </c>
      <c r="S444" s="41">
        <f>VLOOKUP(B444,'Player Data'!$A1:$AE734,7,FALSE)*$Q444*IFERROR((VLOOKUP(P444,Settings!$E$28:$F$33,2,FALSE)+1),1)</f>
        <v>1.9921948234790838</v>
      </c>
      <c r="T444" s="41">
        <f>VLOOKUP(B444,'Player Data'!$A1:$AE734,8,FALSE)*$Q444*IFERROR((VLOOKUP(P444,Settings!$E$28:$F$33,2,FALSE)+1),1)</f>
        <v>14.140465314071989</v>
      </c>
      <c r="U444" s="41">
        <f>SUM(S444:T444)</f>
        <v>16.132660137551074</v>
      </c>
      <c r="V444" s="41">
        <f>VLOOKUP(B444,'Player Data'!$A1:$AE734,10,FALSE)*$Q444*IFERROR(((VLOOKUP(P444,Settings!$E$28:$F$33,2,FALSE)/2)+1),1)</f>
        <v>82.495389798007224</v>
      </c>
      <c r="W444" s="41">
        <f>VLOOKUP(B444,'Player Data'!$A1:$AE734,11,FALSE)*$Q444*IFERROR((VLOOKUP(P444,Settings!$E$28:$F$33,2,FALSE)+1),1)</f>
        <v>2.5656923726729695E-2</v>
      </c>
      <c r="X444" s="41">
        <f>VLOOKUP(B444,'Player Data'!$A1:$AE734,12,FALSE)*$Q444*IFERROR((VLOOKUP(P444,Settings!$E$28:$F$33,2,FALSE)+1),1)</f>
        <v>0.98934793918538855</v>
      </c>
      <c r="Y444" s="41">
        <f>VLOOKUP(B444,'Player Data'!$A1:$AE734,13,FALSE)*$Q444</f>
        <v>1.7049848605083049E-2</v>
      </c>
      <c r="Z444" s="41">
        <f>VLOOKUP(B444,'Player Data'!$A1:$AE734,14,FALSE)*$Q444</f>
        <v>7.8439799628208615E-2</v>
      </c>
      <c r="AA444" s="41">
        <f>VLOOKUP(B444,'Player Data'!$A1:$AE734,15,FALSE)*$Q444</f>
        <v>94.348585043278035</v>
      </c>
      <c r="AB444" s="41">
        <f>VLOOKUP(B444,'Player Data'!$A1:$AE734,16,FALSE)*$Q444</f>
        <v>65.320610294424725</v>
      </c>
      <c r="AC444" s="41">
        <f>VLOOKUP(B444,'Player Data'!$A1:$AE734,17,FALSE)*$Q444*IFERROR((VLOOKUP(P444,Settings!$E$28:$F$33,2,FALSE)+1),1)</f>
        <v>2.3040941768131344</v>
      </c>
      <c r="AD444" s="41">
        <f>VLOOKUP(B444,'Player Data'!$A1:$AE734,18,FALSE)*$Q444</f>
        <v>25.555785098465638</v>
      </c>
      <c r="AE444" s="41">
        <f>VLOOKUP(B444,'Player Data'!$A1:$AE734,19,FALSE)*$Q444*IFERROR((VLOOKUP(P444,Settings!$E$28:$F$33,2,FALSE)+1),1)</f>
        <v>0.31989950380093651</v>
      </c>
      <c r="AF444" s="41">
        <f>VLOOKUP(B444,'Player Data'!$A1:$AE734,20,FALSE)*$Q444</f>
        <v>0</v>
      </c>
      <c r="AG444" s="41">
        <f>VLOOKUP(B444,'Player Data'!$A1:$AE734,21,FALSE)*$Q444</f>
        <v>0</v>
      </c>
      <c r="AH444" s="42">
        <f>VLOOKUP(B444,'Player Data'!$A1:$AE734,22,FALSE)</f>
        <v>0</v>
      </c>
      <c r="AI444" s="39"/>
      <c r="AJ444" s="43"/>
      <c r="AK444" s="41"/>
      <c r="AL444" s="41"/>
      <c r="AM444" s="41"/>
      <c r="AN444" s="41"/>
      <c r="AO444" s="41"/>
      <c r="AP444" s="41"/>
      <c r="AQ444" s="44"/>
      <c r="AR444" s="45"/>
      <c r="AS444" s="39"/>
    </row>
    <row r="445" spans="1:45" ht="21.25" customHeight="1" x14ac:dyDescent="0.15">
      <c r="A445" s="31">
        <f>RANK(K445,K$2:K$727)</f>
        <v>444</v>
      </c>
      <c r="B445" s="8" t="s">
        <v>549</v>
      </c>
      <c r="C445" s="32" t="s">
        <v>106</v>
      </c>
      <c r="D445" s="33" t="str">
        <f>VLOOKUP(B445,'Player Data'!A1:D734,4,FALSE)</f>
        <v>RW</v>
      </c>
      <c r="E445" s="46">
        <f>VLOOKUP(B445,RW!A1:F97,3,FALSE)</f>
        <v>60</v>
      </c>
      <c r="F445" s="35" t="str">
        <f>VLOOKUP(B445,'Player Data'!A1:B734,2,FALSE)</f>
        <v>SEA</v>
      </c>
      <c r="G445" s="9">
        <f>VLOOKUP(B445,'Player Data'!A1:D734,3,FALSE)</f>
        <v>24</v>
      </c>
      <c r="H445" s="36">
        <f>IFERROR(VLOOKUP(B445,ADP!A1:G728,7,FALSE)/1000000,VLOOKUP(B445,ADP!A1:G728,7,FALSE))</f>
        <v>1.5</v>
      </c>
      <c r="I445" s="37">
        <f>IF(Settings!$E$15="POINTS",((R445*Q445)*Settings!$B$12)+(S445*Settings!$B$2)+(T445*Settings!$B$3)+(U445*Settings!$B$4)+(V445*Settings!$B$5)+(X445*Settings!$B$9)+(AA445*Settings!$B$6)+(W445*Settings!$B$8)+(AB445*Settings!$B$7)+(AC445*Settings!$B$14)+(AD445*Settings!$B$15)+(AE445*Settings!$B$16)+(AF445*Settings!$B$17)+(AG445*Settings!$B$18)+(Y445*Settings!$B$10)+(Z445*Settings!$B$11),VLOOKUP(B445,'Standard Deviations'!A1:C728,3,FALSE))</f>
        <v>149.118630051233</v>
      </c>
      <c r="J445" s="38">
        <f>IF(D445="G",I445/AJ445,I445/Q445)</f>
        <v>1.9569374022471522</v>
      </c>
      <c r="K445" s="37">
        <f>IF(Settings!$E$18="C/LW/RW",VLOOKUP(B445,RW!A1:F97,6,FALSE),VLOOKUP(B445,F!A1:F430,6,FALSE))</f>
        <v>-201.15291049665657</v>
      </c>
      <c r="L445" s="37">
        <f>IFERROR(K445/H445,"N/A")</f>
        <v>-134.10194033110437</v>
      </c>
      <c r="M445" s="53" t="str">
        <f>IF(Settings!$E$9="YAHOO",VLOOKUP(B445,ADP!A1:E728,2,FALSE),IF(Settings!$E$9="ESPN",VLOOKUP(B445,ADP!A1:E728,3,FALSE),IF(Settings!$E$9="FANTRAX",VLOOKUP(B445,ADP!A1:E728,4,FALSE),VLOOKUP(B445,ADP!A1:E728,5,FALSE))))</f>
        <v>-</v>
      </c>
      <c r="N445" s="53" t="str">
        <f>IFERROR(M445-A445,"N/A")</f>
        <v>N/A</v>
      </c>
      <c r="O445" s="39"/>
      <c r="P445" s="40" t="str">
        <f>IF(Settings!$E$27="ON",VLOOKUP(B445,ADP!A1:H728,8,FALSE)," ")</f>
        <v xml:space="preserve"> </v>
      </c>
      <c r="Q445" s="41">
        <f>IF(Settings!$E$12="YES",VLOOKUP(B445,'Player Data'!A1:E734,5,FALSE),82)</f>
        <v>76.2</v>
      </c>
      <c r="R445" s="39">
        <f>VLOOKUP(B445,'Player Data'!$A1:$AE734,6,FALSE)</f>
        <v>13.4132314240788</v>
      </c>
      <c r="S445" s="41">
        <f>VLOOKUP(B445,'Player Data'!$A1:$AE734,7,FALSE)*$Q445*IFERROR((VLOOKUP(P445,Settings!$E$28:$F$33,2,FALSE)+1),1)</f>
        <v>12.864135804784961</v>
      </c>
      <c r="T445" s="41">
        <f>VLOOKUP(B445,'Player Data'!$A1:$AE734,8,FALSE)*$Q445*IFERROR((VLOOKUP(P445,Settings!$E$28:$F$33,2,FALSE)+1),1)</f>
        <v>16.862455189351738</v>
      </c>
      <c r="U445" s="41">
        <f>SUM(S445:T445)</f>
        <v>29.7265909941367</v>
      </c>
      <c r="V445" s="41">
        <f>VLOOKUP(B445,'Player Data'!$A1:$AE734,10,FALSE)*$Q445*IFERROR(((VLOOKUP(P445,Settings!$E$28:$F$33,2,FALSE)/2)+1),1)</f>
        <v>97.911743655698132</v>
      </c>
      <c r="W445" s="41">
        <f>VLOOKUP(B445,'Player Data'!$A1:$AE734,11,FALSE)*$Q445*IFERROR((VLOOKUP(P445,Settings!$E$28:$F$33,2,FALSE)+1),1)</f>
        <v>0.82516946469038865</v>
      </c>
      <c r="X445" s="41">
        <f>VLOOKUP(B445,'Player Data'!$A1:$AE734,12,FALSE)*$Q445*IFERROR((VLOOKUP(P445,Settings!$E$28:$F$33,2,FALSE)+1),1)</f>
        <v>1.7973724613715454</v>
      </c>
      <c r="Y445" s="41">
        <f>VLOOKUP(B445,'Player Data'!$A1:$AE734,13,FALSE)*$Q445</f>
        <v>0.39900453803231878</v>
      </c>
      <c r="Z445" s="41">
        <f>VLOOKUP(B445,'Player Data'!$A1:$AE734,14,FALSE)*$Q445</f>
        <v>0.87250331090059952</v>
      </c>
      <c r="AA445" s="41">
        <f>VLOOKUP(B445,'Player Data'!$A1:$AE734,15,FALSE)*$Q445</f>
        <v>28.216168482147605</v>
      </c>
      <c r="AB445" s="41">
        <f>VLOOKUP(B445,'Player Data'!$A1:$AE734,16,FALSE)*$Q445</f>
        <v>84.168865197257034</v>
      </c>
      <c r="AC445" s="41">
        <f>VLOOKUP(B445,'Player Data'!$A1:$AE734,17,FALSE)*$Q445*IFERROR((VLOOKUP(P445,Settings!$E$28:$F$33,2,FALSE)+1),1)</f>
        <v>6.8375790505234776E-2</v>
      </c>
      <c r="AD445" s="41">
        <f>VLOOKUP(B445,'Player Data'!$A1:$AE734,18,FALSE)*$Q445</f>
        <v>25.50263184534705</v>
      </c>
      <c r="AE445" s="41">
        <f>VLOOKUP(B445,'Player Data'!$A1:$AE734,19,FALSE)*$Q445*IFERROR((VLOOKUP(P445,Settings!$E$28:$F$33,2,FALSE)+1),1)</f>
        <v>1.8081954862672278</v>
      </c>
      <c r="AF445" s="41">
        <f>VLOOKUP(B445,'Player Data'!$A1:$AE734,20,FALSE)*$Q445</f>
        <v>3.2950814410143847</v>
      </c>
      <c r="AG445" s="41">
        <f>VLOOKUP(B445,'Player Data'!$A1:$AE734,21,FALSE)*$Q445</f>
        <v>7.1137435652113998</v>
      </c>
      <c r="AH445" s="42">
        <f>VLOOKUP(B445,'Player Data'!$A1:$AE734,22,FALSE)</f>
        <v>0.316566129130186</v>
      </c>
      <c r="AI445" s="39"/>
      <c r="AJ445" s="43"/>
      <c r="AK445" s="41"/>
      <c r="AL445" s="41"/>
      <c r="AM445" s="41"/>
      <c r="AN445" s="41"/>
      <c r="AO445" s="41"/>
      <c r="AP445" s="41"/>
      <c r="AQ445" s="44"/>
      <c r="AR445" s="45"/>
      <c r="AS445" s="39"/>
    </row>
    <row r="446" spans="1:45" ht="21.25" customHeight="1" x14ac:dyDescent="0.15">
      <c r="A446" s="31">
        <f>RANK(K446,K$2:K$727)</f>
        <v>445</v>
      </c>
      <c r="B446" s="8" t="s">
        <v>550</v>
      </c>
      <c r="C446" s="32" t="s">
        <v>106</v>
      </c>
      <c r="D446" s="33" t="str">
        <f>VLOOKUP(B446,'Player Data'!A1:D734,4,FALSE)</f>
        <v>D</v>
      </c>
      <c r="E446" s="49">
        <f>VLOOKUP(B446,D!A1:C227,3,FALSE)</f>
        <v>161</v>
      </c>
      <c r="F446" s="35" t="str">
        <f>VLOOKUP(B446,'Player Data'!A1:B734,2,FALSE)</f>
        <v>ARI</v>
      </c>
      <c r="G446" s="9">
        <f>VLOOKUP(B446,'Player Data'!A1:D734,3,FALSE)</f>
        <v>29</v>
      </c>
      <c r="H446" s="36">
        <f>IFERROR(VLOOKUP(B446,ADP!A1:G728,7,FALSE)/1000000,VLOOKUP(B446,ADP!A1:G728,7,FALSE))</f>
        <v>1.1000000000000001</v>
      </c>
      <c r="I446" s="37">
        <f>IF(Settings!$E$15="POINTS",((R446*Q446)*Settings!$B$12)+(S446*Settings!$B$2)+(T446*Settings!$B$3)+(U446*Settings!$B$4)+(V446*Settings!$B$5)+(X446*Settings!$B$9)+(AA446*Settings!$B$6)+(W446*Settings!$B$8)+(AB446*Settings!$B$7)+(AC446*Settings!$B$14)+(AD446*Settings!$B$15)+(AE446*Settings!$B$16)+(AF446*Settings!$B$17)+(AG446*Settings!$B$18)+(U446*Settings!$B$13)+(Y446*Settings!$B$10)+(Z446*Settings!$B$11),VLOOKUP(B446,'Standard Deviations'!A1:C728,3,FALSE))</f>
        <v>110.26336589007438</v>
      </c>
      <c r="J446" s="38">
        <f>IF(D446="G",I446/AJ446,I446/Q446)</f>
        <v>1.5144432238092849</v>
      </c>
      <c r="K446" s="37">
        <f>VLOOKUP(B446,D!A1:F227,6,FALSE)</f>
        <v>-201.30211573785306</v>
      </c>
      <c r="L446" s="37">
        <f>IFERROR(K446/H446,"N/A")</f>
        <v>-183.00192339804821</v>
      </c>
      <c r="M446" s="53" t="str">
        <f>IF(Settings!$E$9="YAHOO",VLOOKUP(B446,ADP!A1:E728,2,FALSE),IF(Settings!$E$9="ESPN",VLOOKUP(B446,ADP!A1:E728,3,FALSE),IF(Settings!$E$9="FANTRAX",VLOOKUP(B446,ADP!A1:E728,4,FALSE),VLOOKUP(B446,ADP!A1:E728,5,FALSE))))</f>
        <v>-</v>
      </c>
      <c r="N446" s="53" t="str">
        <f>IFERROR(M446-A446,"N/A")</f>
        <v>N/A</v>
      </c>
      <c r="O446" s="39"/>
      <c r="P446" s="40" t="str">
        <f>IF(Settings!$E$27="ON",VLOOKUP(B446,ADP!A1:H728,8,FALSE)," ")</f>
        <v xml:space="preserve"> </v>
      </c>
      <c r="Q446" s="41">
        <f>IF(Settings!$E$12="YES",VLOOKUP(B446,'Player Data'!A1:E734,5,FALSE),82)</f>
        <v>72.807857142857102</v>
      </c>
      <c r="R446" s="39">
        <f>VLOOKUP(B446,'Player Data'!$A1:$AE734,6,FALSE)</f>
        <v>18.2475032158777</v>
      </c>
      <c r="S446" s="41">
        <f>VLOOKUP(B446,'Player Data'!$A1:$AE734,7,FALSE)*$Q446*IFERROR((VLOOKUP(P446,Settings!$E$28:$F$33,2,FALSE)+1),1)</f>
        <v>3.3743919570827225</v>
      </c>
      <c r="T446" s="41">
        <f>VLOOKUP(B446,'Player Data'!$A1:$AE734,8,FALSE)*$Q446*IFERROR((VLOOKUP(P446,Settings!$E$28:$F$33,2,FALSE)+1),1)</f>
        <v>11.232212227316271</v>
      </c>
      <c r="U446" s="41">
        <f>SUM(S446:T446)</f>
        <v>14.606604184398993</v>
      </c>
      <c r="V446" s="41">
        <f>VLOOKUP(B446,'Player Data'!$A1:$AE734,10,FALSE)*$Q446*IFERROR(((VLOOKUP(P446,Settings!$E$28:$F$33,2,FALSE)/2)+1),1)</f>
        <v>93.184205578099125</v>
      </c>
      <c r="W446" s="41">
        <f>VLOOKUP(B446,'Player Data'!$A1:$AE734,11,FALSE)*$Q446*IFERROR((VLOOKUP(P446,Settings!$E$28:$F$33,2,FALSE)+1),1)</f>
        <v>1.8194524243266751E-2</v>
      </c>
      <c r="X446" s="41">
        <f>VLOOKUP(B446,'Player Data'!$A1:$AE734,12,FALSE)*$Q446*IFERROR((VLOOKUP(P446,Settings!$E$28:$F$33,2,FALSE)+1),1)</f>
        <v>0.12600408537809729</v>
      </c>
      <c r="Y446" s="41">
        <f>VLOOKUP(B446,'Player Data'!$A1:$AE734,13,FALSE)*$Q446</f>
        <v>2.8538792999385883E-2</v>
      </c>
      <c r="Z446" s="41">
        <f>VLOOKUP(B446,'Player Data'!$A1:$AE734,14,FALSE)*$Q446</f>
        <v>0.15437381490159419</v>
      </c>
      <c r="AA446" s="41">
        <f>VLOOKUP(B446,'Player Data'!$A1:$AE734,15,FALSE)*$Q446</f>
        <v>96.453473736342261</v>
      </c>
      <c r="AB446" s="41">
        <f>VLOOKUP(B446,'Player Data'!$A1:$AE734,16,FALSE)*$Q446</f>
        <v>80.859194510392072</v>
      </c>
      <c r="AC446" s="41">
        <f>VLOOKUP(B446,'Player Data'!$A1:$AE734,17,FALSE)*$Q446*IFERROR((VLOOKUP(P446,Settings!$E$28:$F$33,2,FALSE)+1),1)</f>
        <v>-4.4470638005127512</v>
      </c>
      <c r="AD446" s="41">
        <f>VLOOKUP(B446,'Player Data'!$A1:$AE734,18,FALSE)*$Q446</f>
        <v>36.958002659141776</v>
      </c>
      <c r="AE446" s="41">
        <f>VLOOKUP(B446,'Player Data'!$A1:$AE734,19,FALSE)*$Q446*IFERROR((VLOOKUP(P446,Settings!$E$28:$F$33,2,FALSE)+1),1)</f>
        <v>0.41589379448128622</v>
      </c>
      <c r="AF446" s="41">
        <f>VLOOKUP(B446,'Player Data'!$A1:$AE734,20,FALSE)*$Q446</f>
        <v>0</v>
      </c>
      <c r="AG446" s="41">
        <f>VLOOKUP(B446,'Player Data'!$A1:$AE734,21,FALSE)*$Q446</f>
        <v>0</v>
      </c>
      <c r="AH446" s="42">
        <f>VLOOKUP(B446,'Player Data'!$A1:$AE734,22,FALSE)</f>
        <v>0</v>
      </c>
      <c r="AI446" s="39"/>
      <c r="AJ446" s="43"/>
      <c r="AK446" s="41"/>
      <c r="AL446" s="41"/>
      <c r="AM446" s="41"/>
      <c r="AN446" s="41"/>
      <c r="AO446" s="41"/>
      <c r="AP446" s="41"/>
      <c r="AQ446" s="44"/>
      <c r="AR446" s="45"/>
      <c r="AS446" s="39"/>
    </row>
    <row r="447" spans="1:45" ht="21.25" customHeight="1" x14ac:dyDescent="0.15">
      <c r="A447" s="31">
        <f>RANK(K447,K$2:K$727)</f>
        <v>446</v>
      </c>
      <c r="B447" s="8" t="s">
        <v>551</v>
      </c>
      <c r="C447" s="32" t="s">
        <v>106</v>
      </c>
      <c r="D447" s="33" t="str">
        <f>VLOOKUP(B447,'Player Data'!A1:D734,4,FALSE)</f>
        <v>G</v>
      </c>
      <c r="E447" s="50">
        <f>VLOOKUP(B447,G!A1:D75,3,FALSE)</f>
        <v>41</v>
      </c>
      <c r="F447" s="35" t="str">
        <f>VLOOKUP(B447,'Player Data'!A1:B734,2,FALSE)</f>
        <v>LAK</v>
      </c>
      <c r="G447" s="9">
        <f>VLOOKUP(B447,'Player Data'!A1:D734,3,FALSE)</f>
        <v>36</v>
      </c>
      <c r="H447" s="36">
        <f>IFERROR(VLOOKUP(B447,ADP!A1:G728,7,FALSE)/1000000,VLOOKUP(B447,ADP!A1:G728,7,FALSE))</f>
        <v>1</v>
      </c>
      <c r="I447" s="37">
        <f>IF(Settings!$E$15="POINTS",(AJ447*Settings!$B$29)+(AK447*Settings!$B$21)+(AL447*Settings!$B$22)+(AN447*Settings!$B$24)+(AO447*Settings!$B$25)+(AP447*Settings!$B$27)+(AM447*Settings!$B$23),VLOOKUP(B447,'Standard Deviations'!A1:C728,3,FALSE))</f>
        <v>197.24485277587178</v>
      </c>
      <c r="J447" s="38">
        <f>IF(D447="G",I447/AJ447,I447/Q447)</f>
        <v>6.163901649245993</v>
      </c>
      <c r="K447" s="37">
        <f>VLOOKUP(B447,G!A1:F75,6,FALSE)</f>
        <v>-201.53080931344442</v>
      </c>
      <c r="L447" s="37">
        <f>IFERROR(K447/H447,"N/A")</f>
        <v>-201.53080931344442</v>
      </c>
      <c r="M447" s="39">
        <f>IF(Settings!$E$9="YAHOO",VLOOKUP(B447,ADP!A1:E728,2,FALSE),IF(Settings!$E$9="ESPN",VLOOKUP(B447,ADP!A1:E728,3,FALSE),IF(Settings!$E$9="FANTRAX",VLOOKUP(B447,ADP!A1:E728,4,FALSE),VLOOKUP(B447,ADP!A1:E728,5,FALSE))))</f>
        <v>172.9</v>
      </c>
      <c r="N447" s="39">
        <f>IFERROR(M447-A447,"N/A")</f>
        <v>-273.10000000000002</v>
      </c>
      <c r="O447" s="39"/>
      <c r="P447" s="40" t="str">
        <f>IF(Settings!$E$27="ON",VLOOKUP(B447,ADP!A1:H728,8,FALSE)," ")</f>
        <v xml:space="preserve"> </v>
      </c>
      <c r="Q447" s="41"/>
      <c r="R447" s="5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2"/>
      <c r="AI447" s="39"/>
      <c r="AJ447" s="43">
        <f>VLOOKUP(B447,'Player Data'!$A1:$AE734,24,FALSE)</f>
        <v>32</v>
      </c>
      <c r="AK447" s="41">
        <f>VLOOKUP(B447,'Player Data'!$A1:$AE734,25,FALSE)*$AJ447*IFERROR((VLOOKUP(P447,Settings!$E$28:$F$33,2,FALSE)+1),1)</f>
        <v>16.562709437673696</v>
      </c>
      <c r="AL447" s="41">
        <f>AJ447-AK447-AM447</f>
        <v>11.437290562326304</v>
      </c>
      <c r="AM447" s="41">
        <f>VLOOKUP(B447,'Player Data'!$A1:$AE734,27,FALSE)*$AJ447</f>
        <v>4</v>
      </c>
      <c r="AN447" s="41">
        <f>VLOOKUP(B447,'Player Data'!$A1:$AE734,28,FALSE)*AJ447</f>
        <v>1.3214298347026336</v>
      </c>
      <c r="AO447" s="41">
        <f>VLOOKUP(B447,'Player Data'!$A1:$AE734,29,FALSE)*$AJ447*IFERROR((VLOOKUP(P447,Settings!$E$28:$F$33,2,FALSE)/4)+1,1)</f>
        <v>866.59502005527042</v>
      </c>
      <c r="AP447" s="41">
        <f>VLOOKUP(B447,'Player Data'!$A1:$AE734,31,FALSE)*$AJ447*(IFERROR(1-(VLOOKUP(P447,Settings!$E$28:$F$33,2,FALSE)/4),1))</f>
        <v>96.127881744729919</v>
      </c>
      <c r="AQ447" s="44">
        <f>1-(AP447/(AO447+AP447))</f>
        <v>0.90015000000000012</v>
      </c>
      <c r="AR447" s="45">
        <f>AP447/AJ447</f>
        <v>3.00399630452281</v>
      </c>
      <c r="AS447" s="39"/>
    </row>
    <row r="448" spans="1:45" ht="21.25" customHeight="1" x14ac:dyDescent="0.15">
      <c r="A448" s="31">
        <f>RANK(K448,K$2:K$727)</f>
        <v>447</v>
      </c>
      <c r="B448" s="8" t="s">
        <v>552</v>
      </c>
      <c r="C448" s="32" t="s">
        <v>106</v>
      </c>
      <c r="D448" s="33" t="str">
        <f>VLOOKUP(B448,'Player Data'!A1:D734,4,FALSE)</f>
        <v>D</v>
      </c>
      <c r="E448" s="49">
        <f>VLOOKUP(B448,D!A1:C227,3,FALSE)</f>
        <v>162</v>
      </c>
      <c r="F448" s="35" t="str">
        <f>VLOOKUP(B448,'Player Data'!A1:B734,2,FALSE)</f>
        <v>CBJ</v>
      </c>
      <c r="G448" s="9">
        <f>VLOOKUP(B448,'Player Data'!A1:D734,3,FALSE)</f>
        <v>31</v>
      </c>
      <c r="H448" s="36">
        <f>IFERROR(VLOOKUP(B448,ADP!A1:G728,7,FALSE)/1000000,VLOOKUP(B448,ADP!A1:G728,7,FALSE))</f>
        <v>4</v>
      </c>
      <c r="I448" s="37">
        <f>IF(Settings!$E$15="POINTS",((R448*Q448)*Settings!$B$12)+(S448*Settings!$B$2)+(T448*Settings!$B$3)+(U448*Settings!$B$4)+(V448*Settings!$B$5)+(X448*Settings!$B$9)+(AA448*Settings!$B$6)+(W448*Settings!$B$8)+(AB448*Settings!$B$7)+(AC448*Settings!$B$14)+(AD448*Settings!$B$15)+(AE448*Settings!$B$16)+(AF448*Settings!$B$17)+(AG448*Settings!$B$18)+(U448*Settings!$B$13)+(Y448*Settings!$B$10)+(Z448*Settings!$B$11),VLOOKUP(B448,'Standard Deviations'!A1:C728,3,FALSE))</f>
        <v>109.69228680422174</v>
      </c>
      <c r="J448" s="38">
        <f>IF(D448="G",I448/AJ448,I448/Q448)</f>
        <v>1.4519164368527033</v>
      </c>
      <c r="K448" s="37">
        <f>VLOOKUP(B448,D!A1:F227,6,FALSE)</f>
        <v>-201.87319482370572</v>
      </c>
      <c r="L448" s="37">
        <f>IFERROR(K448/H448,"N/A")</f>
        <v>-50.468298705926429</v>
      </c>
      <c r="M448" s="53" t="str">
        <f>IF(Settings!$E$9="YAHOO",VLOOKUP(B448,ADP!A1:E728,2,FALSE),IF(Settings!$E$9="ESPN",VLOOKUP(B448,ADP!A1:E728,3,FALSE),IF(Settings!$E$9="FANTRAX",VLOOKUP(B448,ADP!A1:E728,4,FALSE),VLOOKUP(B448,ADP!A1:E728,5,FALSE))))</f>
        <v>-</v>
      </c>
      <c r="N448" s="53" t="str">
        <f>IFERROR(M448-A448,"N/A")</f>
        <v>N/A</v>
      </c>
      <c r="O448" s="39"/>
      <c r="P448" s="40" t="str">
        <f>IF(Settings!$E$27="ON",VLOOKUP(B448,ADP!A1:H728,8,FALSE)," ")</f>
        <v xml:space="preserve"> </v>
      </c>
      <c r="Q448" s="41">
        <f>IF(Settings!$E$12="YES",VLOOKUP(B448,'Player Data'!A1:E734,5,FALSE),82)</f>
        <v>75.55</v>
      </c>
      <c r="R448" s="39">
        <f>VLOOKUP(B448,'Player Data'!$A1:$AE734,6,FALSE)</f>
        <v>17.460989196708201</v>
      </c>
      <c r="S448" s="41">
        <f>VLOOKUP(B448,'Player Data'!$A1:$AE734,7,FALSE)*$Q448*IFERROR((VLOOKUP(P448,Settings!$E$28:$F$33,2,FALSE)+1),1)</f>
        <v>2.7637876821885166</v>
      </c>
      <c r="T448" s="41">
        <f>VLOOKUP(B448,'Player Data'!$A1:$AE734,8,FALSE)*$Q448*IFERROR((VLOOKUP(P448,Settings!$E$28:$F$33,2,FALSE)+1),1)</f>
        <v>9.9961092539804781</v>
      </c>
      <c r="U448" s="41">
        <f>SUM(S448:T448)</f>
        <v>12.759896936168994</v>
      </c>
      <c r="V448" s="41">
        <f>VLOOKUP(B448,'Player Data'!$A1:$AE734,10,FALSE)*$Q448*IFERROR(((VLOOKUP(P448,Settings!$E$28:$F$33,2,FALSE)/2)+1),1)</f>
        <v>97.538084955372923</v>
      </c>
      <c r="W448" s="41">
        <f>VLOOKUP(B448,'Player Data'!$A1:$AE734,11,FALSE)*$Q448*IFERROR((VLOOKUP(P448,Settings!$E$28:$F$33,2,FALSE)+1),1)</f>
        <v>1.8816370406326569E-2</v>
      </c>
      <c r="X448" s="41">
        <f>VLOOKUP(B448,'Player Data'!$A1:$AE734,12,FALSE)*$Q448*IFERROR((VLOOKUP(P448,Settings!$E$28:$F$33,2,FALSE)+1),1)</f>
        <v>0.13309155030972894</v>
      </c>
      <c r="Y448" s="41">
        <f>VLOOKUP(B448,'Player Data'!$A1:$AE734,13,FALSE)*$Q448</f>
        <v>1.973354388139437E-2</v>
      </c>
      <c r="Z448" s="41">
        <f>VLOOKUP(B448,'Player Data'!$A1:$AE734,14,FALSE)*$Q448</f>
        <v>0.10902192068338613</v>
      </c>
      <c r="AA448" s="41">
        <f>VLOOKUP(B448,'Player Data'!$A1:$AE734,15,FALSE)*$Q448</f>
        <v>110.79663288021024</v>
      </c>
      <c r="AB448" s="41">
        <f>VLOOKUP(B448,'Player Data'!$A1:$AE734,16,FALSE)*$Q448</f>
        <v>112.51073328441066</v>
      </c>
      <c r="AC448" s="41">
        <f>VLOOKUP(B448,'Player Data'!$A1:$AE734,17,FALSE)*$Q448*IFERROR((VLOOKUP(P448,Settings!$E$28:$F$33,2,FALSE)+1),1)</f>
        <v>-6.4395691571501432</v>
      </c>
      <c r="AD448" s="41">
        <f>VLOOKUP(B448,'Player Data'!$A1:$AE734,18,FALSE)*$Q448</f>
        <v>55.439634941675138</v>
      </c>
      <c r="AE448" s="41">
        <f>VLOOKUP(B448,'Player Data'!$A1:$AE734,19,FALSE)*$Q448*IFERROR((VLOOKUP(P448,Settings!$E$28:$F$33,2,FALSE)+1),1)</f>
        <v>0.29615887934225538</v>
      </c>
      <c r="AF448" s="41">
        <f>VLOOKUP(B448,'Player Data'!$A1:$AE734,20,FALSE)*$Q448</f>
        <v>0</v>
      </c>
      <c r="AG448" s="41">
        <f>VLOOKUP(B448,'Player Data'!$A1:$AE734,21,FALSE)*$Q448</f>
        <v>0</v>
      </c>
      <c r="AH448" s="42">
        <f>VLOOKUP(B448,'Player Data'!$A1:$AE734,22,FALSE)</f>
        <v>0</v>
      </c>
      <c r="AI448" s="39"/>
      <c r="AJ448" s="43"/>
      <c r="AK448" s="41"/>
      <c r="AL448" s="41"/>
      <c r="AM448" s="41"/>
      <c r="AN448" s="41"/>
      <c r="AO448" s="41"/>
      <c r="AP448" s="41"/>
      <c r="AQ448" s="44"/>
      <c r="AR448" s="45"/>
      <c r="AS448" s="39"/>
    </row>
    <row r="449" spans="1:45" ht="21.25" customHeight="1" x14ac:dyDescent="0.15">
      <c r="A449" s="31">
        <f>RANK(K449,K$2:K$727)</f>
        <v>448</v>
      </c>
      <c r="B449" s="8" t="s">
        <v>553</v>
      </c>
      <c r="C449" s="32" t="s">
        <v>106</v>
      </c>
      <c r="D449" s="33" t="str">
        <f>VLOOKUP(B449,'Player Data'!A1:D734,4,FALSE)</f>
        <v>D</v>
      </c>
      <c r="E449" s="49">
        <f>VLOOKUP(B449,D!A1:C227,3,FALSE)</f>
        <v>163</v>
      </c>
      <c r="F449" s="35" t="str">
        <f>VLOOKUP(B449,'Player Data'!A1:B734,2,FALSE)</f>
        <v>STL</v>
      </c>
      <c r="G449" s="9">
        <f>VLOOKUP(B449,'Player Data'!A1:D734,3,FALSE)</f>
        <v>29</v>
      </c>
      <c r="H449" s="36">
        <f>IFERROR(VLOOKUP(B449,ADP!A1:G728,7,FALSE)/1000000,VLOOKUP(B449,ADP!A1:G728,7,FALSE))</f>
        <v>0.76249999999999996</v>
      </c>
      <c r="I449" s="37">
        <f>IF(Settings!$E$15="POINTS",((R449*Q449)*Settings!$B$12)+(S449*Settings!$B$2)+(T449*Settings!$B$3)+(U449*Settings!$B$4)+(V449*Settings!$B$5)+(X449*Settings!$B$9)+(AA449*Settings!$B$6)+(W449*Settings!$B$8)+(AB449*Settings!$B$7)+(AC449*Settings!$B$14)+(AD449*Settings!$B$15)+(AE449*Settings!$B$16)+(AF449*Settings!$B$17)+(AG449*Settings!$B$18)+(U449*Settings!$B$13)+(Y449*Settings!$B$10)+(Z449*Settings!$B$11),VLOOKUP(B449,'Standard Deviations'!A1:C728,3,FALSE))</f>
        <v>109.24688724293968</v>
      </c>
      <c r="J449" s="38">
        <f>IF(D449="G",I449/AJ449,I449/Q449)</f>
        <v>1.7572283616364754</v>
      </c>
      <c r="K449" s="37">
        <f>VLOOKUP(B449,D!A1:F227,6,FALSE)</f>
        <v>-202.31859438498776</v>
      </c>
      <c r="L449" s="37">
        <f>IFERROR(K449/H449,"N/A")</f>
        <v>-265.33586148850856</v>
      </c>
      <c r="M449" s="53" t="str">
        <f>IF(Settings!$E$9="YAHOO",VLOOKUP(B449,ADP!A1:E728,2,FALSE),IF(Settings!$E$9="ESPN",VLOOKUP(B449,ADP!A1:E728,3,FALSE),IF(Settings!$E$9="FANTRAX",VLOOKUP(B449,ADP!A1:E728,4,FALSE),VLOOKUP(B449,ADP!A1:E728,5,FALSE))))</f>
        <v>-</v>
      </c>
      <c r="N449" s="53" t="str">
        <f>IFERROR(M449-A449,"N/A")</f>
        <v>N/A</v>
      </c>
      <c r="O449" s="39"/>
      <c r="P449" s="40" t="str">
        <f>IF(Settings!$E$27="ON",VLOOKUP(B449,ADP!A1:H728,8,FALSE)," ")</f>
        <v xml:space="preserve"> </v>
      </c>
      <c r="Q449" s="41">
        <f>IF(Settings!$E$12="YES",VLOOKUP(B449,'Player Data'!A1:E734,5,FALSE),82)</f>
        <v>62.17</v>
      </c>
      <c r="R449" s="39">
        <f>VLOOKUP(B449,'Player Data'!$A1:$AE734,6,FALSE)</f>
        <v>15.495330844450001</v>
      </c>
      <c r="S449" s="41">
        <f>VLOOKUP(B449,'Player Data'!$A1:$AE734,7,FALSE)*$Q449*IFERROR((VLOOKUP(P449,Settings!$E$28:$F$33,2,FALSE)+1),1)</f>
        <v>6.745213716664483</v>
      </c>
      <c r="T449" s="41">
        <f>VLOOKUP(B449,'Player Data'!$A1:$AE734,8,FALSE)*$Q449*IFERROR((VLOOKUP(P449,Settings!$E$28:$F$33,2,FALSE)+1),1)</f>
        <v>12.647444362472923</v>
      </c>
      <c r="U449" s="41">
        <f>SUM(S449:T449)</f>
        <v>19.392658079137405</v>
      </c>
      <c r="V449" s="41">
        <f>VLOOKUP(B449,'Player Data'!$A1:$AE734,10,FALSE)*$Q449*IFERROR(((VLOOKUP(P449,Settings!$E$28:$F$33,2,FALSE)/2)+1),1)</f>
        <v>73.937929891613891</v>
      </c>
      <c r="W449" s="41">
        <f>VLOOKUP(B449,'Player Data'!$A1:$AE734,11,FALSE)*$Q449*IFERROR((VLOOKUP(P449,Settings!$E$28:$F$33,2,FALSE)+1),1)</f>
        <v>1.6370056675423999E-2</v>
      </c>
      <c r="X449" s="41">
        <f>VLOOKUP(B449,'Player Data'!$A1:$AE734,12,FALSE)*$Q449*IFERROR((VLOOKUP(P449,Settings!$E$28:$F$33,2,FALSE)+1),1)</f>
        <v>0.11094780566549403</v>
      </c>
      <c r="Y449" s="41">
        <f>VLOOKUP(B449,'Player Data'!$A1:$AE734,13,FALSE)*$Q449</f>
        <v>3.4382095998936803E-2</v>
      </c>
      <c r="Z449" s="41">
        <f>VLOOKUP(B449,'Player Data'!$A1:$AE734,14,FALSE)*$Q449</f>
        <v>0.12765227181602332</v>
      </c>
      <c r="AA449" s="41">
        <f>VLOOKUP(B449,'Player Data'!$A1:$AE734,15,FALSE)*$Q449</f>
        <v>68.113739523787402</v>
      </c>
      <c r="AB449" s="41">
        <f>VLOOKUP(B449,'Player Data'!$A1:$AE734,16,FALSE)*$Q449</f>
        <v>43.020006105988017</v>
      </c>
      <c r="AC449" s="41">
        <f>VLOOKUP(B449,'Player Data'!$A1:$AE734,17,FALSE)*$Q449*IFERROR((VLOOKUP(P449,Settings!$E$28:$F$33,2,FALSE)+1),1)</f>
        <v>-1.6128447599869826</v>
      </c>
      <c r="AD449" s="41">
        <f>VLOOKUP(B449,'Player Data'!$A1:$AE734,18,FALSE)*$Q449</f>
        <v>15.941563815357627</v>
      </c>
      <c r="AE449" s="41">
        <f>VLOOKUP(B449,'Player Data'!$A1:$AE734,19,FALSE)*$Q449*IFERROR((VLOOKUP(P449,Settings!$E$28:$F$33,2,FALSE)+1),1)</f>
        <v>0.77619016803449559</v>
      </c>
      <c r="AF449" s="41">
        <f>VLOOKUP(B449,'Player Data'!$A1:$AE734,20,FALSE)*$Q449</f>
        <v>0</v>
      </c>
      <c r="AG449" s="41">
        <f>VLOOKUP(B449,'Player Data'!$A1:$AE734,21,FALSE)*$Q449</f>
        <v>0</v>
      </c>
      <c r="AH449" s="42">
        <f>VLOOKUP(B449,'Player Data'!$A1:$AE734,22,FALSE)</f>
        <v>0</v>
      </c>
      <c r="AI449" s="39"/>
      <c r="AJ449" s="43"/>
      <c r="AK449" s="41"/>
      <c r="AL449" s="41"/>
      <c r="AM449" s="41"/>
      <c r="AN449" s="41"/>
      <c r="AO449" s="41"/>
      <c r="AP449" s="41"/>
      <c r="AQ449" s="44"/>
      <c r="AR449" s="45"/>
      <c r="AS449" s="39"/>
    </row>
    <row r="450" spans="1:45" ht="21.25" customHeight="1" x14ac:dyDescent="0.15">
      <c r="A450" s="31">
        <f>RANK(K450,K$2:K$727)</f>
        <v>449</v>
      </c>
      <c r="B450" s="8" t="s">
        <v>554</v>
      </c>
      <c r="C450" s="32" t="s">
        <v>106</v>
      </c>
      <c r="D450" s="33" t="str">
        <f>VLOOKUP(B450,'Player Data'!A1:D734,4,FALSE)</f>
        <v>D</v>
      </c>
      <c r="E450" s="49">
        <f>VLOOKUP(B450,D!A1:C227,3,FALSE)</f>
        <v>164</v>
      </c>
      <c r="F450" s="35" t="str">
        <f>VLOOKUP(B450,'Player Data'!A1:B734,2,FALSE)</f>
        <v>DAL</v>
      </c>
      <c r="G450" s="9">
        <f>VLOOKUP(B450,'Player Data'!A1:D734,3,FALSE)</f>
        <v>23</v>
      </c>
      <c r="H450" s="36">
        <f>IFERROR(VLOOKUP(B450,ADP!A1:G728,7,FALSE)/1000000,VLOOKUP(B450,ADP!A1:G728,7,FALSE))</f>
        <v>0.92500000000000004</v>
      </c>
      <c r="I450" s="37">
        <f>IF(Settings!$E$15="POINTS",((R450*Q450)*Settings!$B$12)+(S450*Settings!$B$2)+(T450*Settings!$B$3)+(U450*Settings!$B$4)+(V450*Settings!$B$5)+(X450*Settings!$B$9)+(AA450*Settings!$B$6)+(W450*Settings!$B$8)+(AB450*Settings!$B$7)+(AC450*Settings!$B$14)+(AD450*Settings!$B$15)+(AE450*Settings!$B$16)+(AF450*Settings!$B$17)+(AG450*Settings!$B$18)+(U450*Settings!$B$13)+(Y450*Settings!$B$10)+(Z450*Settings!$B$11),VLOOKUP(B450,'Standard Deviations'!A1:C728,3,FALSE))</f>
        <v>109.20069152143604</v>
      </c>
      <c r="J450" s="38">
        <f>IF(D450="G",I450/AJ450,I450/Q450)</f>
        <v>1.6448983848079237</v>
      </c>
      <c r="K450" s="37">
        <f>VLOOKUP(B450,D!A1:F227,6,FALSE)</f>
        <v>-202.3647901064914</v>
      </c>
      <c r="L450" s="37">
        <f>IFERROR(K450/H450,"N/A")</f>
        <v>-218.77274606107176</v>
      </c>
      <c r="M450" s="53" t="str">
        <f>IF(Settings!$E$9="YAHOO",VLOOKUP(B450,ADP!A1:E728,2,FALSE),IF(Settings!$E$9="ESPN",VLOOKUP(B450,ADP!A1:E728,3,FALSE),IF(Settings!$E$9="FANTRAX",VLOOKUP(B450,ADP!A1:E728,4,FALSE),VLOOKUP(B450,ADP!A1:E728,5,FALSE))))</f>
        <v>-</v>
      </c>
      <c r="N450" s="53" t="str">
        <f>IFERROR(M450-A450,"N/A")</f>
        <v>N/A</v>
      </c>
      <c r="O450" s="39"/>
      <c r="P450" s="40" t="str">
        <f>IF(Settings!$E$27="ON",VLOOKUP(B450,ADP!A1:H728,8,FALSE)," ")</f>
        <v xml:space="preserve"> </v>
      </c>
      <c r="Q450" s="41">
        <f>IF(Settings!$E$12="YES",VLOOKUP(B450,'Player Data'!A1:E734,5,FALSE),82)</f>
        <v>66.387500000000003</v>
      </c>
      <c r="R450" s="39">
        <f>VLOOKUP(B450,'Player Data'!$A1:$AE734,6,FALSE)</f>
        <v>15.4451657787094</v>
      </c>
      <c r="S450" s="41">
        <f>VLOOKUP(B450,'Player Data'!$A1:$AE734,7,FALSE)*$Q450*IFERROR((VLOOKUP(P450,Settings!$E$28:$F$33,2,FALSE)+1),1)</f>
        <v>4.7007274114301296</v>
      </c>
      <c r="T450" s="41">
        <f>VLOOKUP(B450,'Player Data'!$A1:$AE734,8,FALSE)*$Q450*IFERROR((VLOOKUP(P450,Settings!$E$28:$F$33,2,FALSE)+1),1)</f>
        <v>10.91688820366412</v>
      </c>
      <c r="U450" s="41">
        <f>SUM(S450:T450)</f>
        <v>15.61761561509425</v>
      </c>
      <c r="V450" s="41">
        <f>VLOOKUP(B450,'Player Data'!$A1:$AE734,10,FALSE)*$Q450*IFERROR(((VLOOKUP(P450,Settings!$E$28:$F$33,2,FALSE)/2)+1),1)</f>
        <v>90.180732700546685</v>
      </c>
      <c r="W450" s="41">
        <f>VLOOKUP(B450,'Player Data'!$A1:$AE734,11,FALSE)*$Q450*IFERROR((VLOOKUP(P450,Settings!$E$28:$F$33,2,FALSE)+1),1)</f>
        <v>0.47266804301696286</v>
      </c>
      <c r="X450" s="41">
        <f>VLOOKUP(B450,'Player Data'!$A1:$AE734,12,FALSE)*$Q450*IFERROR((VLOOKUP(P450,Settings!$E$28:$F$33,2,FALSE)+1),1)</f>
        <v>1.5523894407868517</v>
      </c>
      <c r="Y450" s="41">
        <f>VLOOKUP(B450,'Player Data'!$A1:$AE734,13,FALSE)*$Q450</f>
        <v>2.3161548064971694E-3</v>
      </c>
      <c r="Z450" s="41">
        <f>VLOOKUP(B450,'Player Data'!$A1:$AE734,14,FALSE)*$Q450</f>
        <v>8.693873376407979E-3</v>
      </c>
      <c r="AA450" s="41">
        <f>VLOOKUP(B450,'Player Data'!$A1:$AE734,15,FALSE)*$Q450</f>
        <v>70.676558487767053</v>
      </c>
      <c r="AB450" s="41">
        <f>VLOOKUP(B450,'Player Data'!$A1:$AE734,16,FALSE)*$Q450</f>
        <v>62.100238156354109</v>
      </c>
      <c r="AC450" s="41">
        <f>VLOOKUP(B450,'Player Data'!$A1:$AE734,17,FALSE)*$Q450*IFERROR((VLOOKUP(P450,Settings!$E$28:$F$33,2,FALSE)+1),1)</f>
        <v>3.4932345964229632</v>
      </c>
      <c r="AD450" s="41">
        <f>VLOOKUP(B450,'Player Data'!$A1:$AE734,18,FALSE)*$Q450</f>
        <v>22.991804397698953</v>
      </c>
      <c r="AE450" s="41">
        <f>VLOOKUP(B450,'Player Data'!$A1:$AE734,19,FALSE)*$Q450*IFERROR((VLOOKUP(P450,Settings!$E$28:$F$33,2,FALSE)+1),1)</f>
        <v>0.75208306211620413</v>
      </c>
      <c r="AF450" s="41">
        <f>VLOOKUP(B450,'Player Data'!$A1:$AE734,20,FALSE)*$Q450</f>
        <v>0</v>
      </c>
      <c r="AG450" s="41">
        <f>VLOOKUP(B450,'Player Data'!$A1:$AE734,21,FALSE)*$Q450</f>
        <v>0</v>
      </c>
      <c r="AH450" s="42">
        <f>VLOOKUP(B450,'Player Data'!$A1:$AE734,22,FALSE)</f>
        <v>0</v>
      </c>
      <c r="AI450" s="39"/>
      <c r="AJ450" s="43"/>
      <c r="AK450" s="41"/>
      <c r="AL450" s="41"/>
      <c r="AM450" s="41"/>
      <c r="AN450" s="41"/>
      <c r="AO450" s="41"/>
      <c r="AP450" s="41"/>
      <c r="AQ450" s="44"/>
      <c r="AR450" s="45"/>
      <c r="AS450" s="39"/>
    </row>
    <row r="451" spans="1:45" ht="21.25" customHeight="1" x14ac:dyDescent="0.15">
      <c r="A451" s="31">
        <f>RANK(K451,K$2:K$727)</f>
        <v>450</v>
      </c>
      <c r="B451" s="8" t="s">
        <v>555</v>
      </c>
      <c r="C451" s="32" t="s">
        <v>106</v>
      </c>
      <c r="D451" s="33" t="str">
        <f>VLOOKUP(B451,'Player Data'!A1:D734,4,FALSE)</f>
        <v>D</v>
      </c>
      <c r="E451" s="49">
        <f>VLOOKUP(B451,D!A1:C227,3,FALSE)</f>
        <v>165</v>
      </c>
      <c r="F451" s="35" t="str">
        <f>VLOOKUP(B451,'Player Data'!A1:B734,2,FALSE)</f>
        <v>PIT</v>
      </c>
      <c r="G451" s="9">
        <f>VLOOKUP(B451,'Player Data'!A1:D734,3,FALSE)</f>
        <v>33</v>
      </c>
      <c r="H451" s="36">
        <f>IFERROR(VLOOKUP(B451,ADP!A1:G728,7,FALSE)/1000000,VLOOKUP(B451,ADP!A1:G728,7,FALSE))</f>
        <v>2.75</v>
      </c>
      <c r="I451" s="37">
        <f>IF(Settings!$E$15="POINTS",((R451*Q451)*Settings!$B$12)+(S451*Settings!$B$2)+(T451*Settings!$B$3)+(U451*Settings!$B$4)+(V451*Settings!$B$5)+(X451*Settings!$B$9)+(AA451*Settings!$B$6)+(W451*Settings!$B$8)+(AB451*Settings!$B$7)+(AC451*Settings!$B$14)+(AD451*Settings!$B$15)+(AE451*Settings!$B$16)+(AF451*Settings!$B$17)+(AG451*Settings!$B$18)+(U451*Settings!$B$13)+(Y451*Settings!$B$10)+(Z451*Settings!$B$11),VLOOKUP(B451,'Standard Deviations'!A1:C728,3,FALSE))</f>
        <v>108.26489022723895</v>
      </c>
      <c r="J451" s="38">
        <f>IF(D451="G",I451/AJ451,I451/Q451)</f>
        <v>1.4726911545567429</v>
      </c>
      <c r="K451" s="37">
        <f>VLOOKUP(B451,D!A1:F227,6,FALSE)</f>
        <v>-203.30059140068852</v>
      </c>
      <c r="L451" s="37">
        <f>IFERROR(K451/H451,"N/A")</f>
        <v>-73.927487782068553</v>
      </c>
      <c r="M451" s="53" t="str">
        <f>IF(Settings!$E$9="YAHOO",VLOOKUP(B451,ADP!A1:E728,2,FALSE),IF(Settings!$E$9="ESPN",VLOOKUP(B451,ADP!A1:E728,3,FALSE),IF(Settings!$E$9="FANTRAX",VLOOKUP(B451,ADP!A1:E728,4,FALSE),VLOOKUP(B451,ADP!A1:E728,5,FALSE))))</f>
        <v>-</v>
      </c>
      <c r="N451" s="53" t="str">
        <f>IFERROR(M451-A451,"N/A")</f>
        <v>N/A</v>
      </c>
      <c r="O451" s="39"/>
      <c r="P451" s="40" t="str">
        <f>IF(Settings!$E$27="ON",VLOOKUP(B451,ADP!A1:H728,8,FALSE)," ")</f>
        <v xml:space="preserve"> </v>
      </c>
      <c r="Q451" s="41">
        <f>IF(Settings!$E$12="YES",VLOOKUP(B451,'Player Data'!A1:E734,5,FALSE),82)</f>
        <v>73.515000000000001</v>
      </c>
      <c r="R451" s="39">
        <f>VLOOKUP(B451,'Player Data'!$A1:$AE734,6,FALSE)</f>
        <v>17.514088328693202</v>
      </c>
      <c r="S451" s="41">
        <f>VLOOKUP(B451,'Player Data'!$A1:$AE734,7,FALSE)*$Q451*IFERROR((VLOOKUP(P451,Settings!$E$28:$F$33,2,FALSE)+1),1)</f>
        <v>2.7228930022939015</v>
      </c>
      <c r="T451" s="41">
        <f>VLOOKUP(B451,'Player Data'!$A1:$AE734,8,FALSE)*$Q451*IFERROR((VLOOKUP(P451,Settings!$E$28:$F$33,2,FALSE)+1),1)</f>
        <v>12.21197090096115</v>
      </c>
      <c r="U451" s="41">
        <f>SUM(S451:T451)</f>
        <v>14.934863903255051</v>
      </c>
      <c r="V451" s="41">
        <f>VLOOKUP(B451,'Player Data'!$A1:$AE734,10,FALSE)*$Q451*IFERROR(((VLOOKUP(P451,Settings!$E$28:$F$33,2,FALSE)/2)+1),1)</f>
        <v>88.798378464125989</v>
      </c>
      <c r="W451" s="41">
        <f>VLOOKUP(B451,'Player Data'!$A1:$AE734,11,FALSE)*$Q451*IFERROR((VLOOKUP(P451,Settings!$E$28:$F$33,2,FALSE)+1),1)</f>
        <v>9.8222444255453688E-3</v>
      </c>
      <c r="X451" s="41">
        <f>VLOOKUP(B451,'Player Data'!$A1:$AE734,12,FALSE)*$Q451*IFERROR((VLOOKUP(P451,Settings!$E$28:$F$33,2,FALSE)+1),1)</f>
        <v>7.1549575433236645E-2</v>
      </c>
      <c r="Y451" s="41">
        <f>VLOOKUP(B451,'Player Data'!$A1:$AE734,13,FALSE)*$Q451</f>
        <v>2.954107705662478E-2</v>
      </c>
      <c r="Z451" s="41">
        <f>VLOOKUP(B451,'Player Data'!$A1:$AE734,14,FALSE)*$Q451</f>
        <v>0.45657632079944521</v>
      </c>
      <c r="AA451" s="41">
        <f>VLOOKUP(B451,'Player Data'!$A1:$AE734,15,FALSE)*$Q451</f>
        <v>90.024287464727237</v>
      </c>
      <c r="AB451" s="41">
        <f>VLOOKUP(B451,'Player Data'!$A1:$AE734,16,FALSE)*$Q451</f>
        <v>97.094020785878641</v>
      </c>
      <c r="AC451" s="41">
        <f>VLOOKUP(B451,'Player Data'!$A1:$AE734,17,FALSE)*$Q451*IFERROR((VLOOKUP(P451,Settings!$E$28:$F$33,2,FALSE)+1),1)</f>
        <v>0.31023535349346582</v>
      </c>
      <c r="AD451" s="41">
        <f>VLOOKUP(B451,'Player Data'!$A1:$AE734,18,FALSE)*$Q451</f>
        <v>42.652167291282268</v>
      </c>
      <c r="AE451" s="41">
        <f>VLOOKUP(B451,'Player Data'!$A1:$AE734,19,FALSE)*$Q451*IFERROR((VLOOKUP(P451,Settings!$E$28:$F$33,2,FALSE)+1),1)</f>
        <v>0.43334668658606124</v>
      </c>
      <c r="AF451" s="41">
        <f>VLOOKUP(B451,'Player Data'!$A1:$AE734,20,FALSE)*$Q451</f>
        <v>0</v>
      </c>
      <c r="AG451" s="41">
        <f>VLOOKUP(B451,'Player Data'!$A1:$AE734,21,FALSE)*$Q451</f>
        <v>0</v>
      </c>
      <c r="AH451" s="42">
        <f>VLOOKUP(B451,'Player Data'!$A1:$AE734,22,FALSE)</f>
        <v>0</v>
      </c>
      <c r="AI451" s="39"/>
      <c r="AJ451" s="43"/>
      <c r="AK451" s="41"/>
      <c r="AL451" s="41"/>
      <c r="AM451" s="41"/>
      <c r="AN451" s="41"/>
      <c r="AO451" s="41"/>
      <c r="AP451" s="41"/>
      <c r="AQ451" s="44"/>
      <c r="AR451" s="45"/>
      <c r="AS451" s="39"/>
    </row>
    <row r="452" spans="1:45" ht="21.25" customHeight="1" x14ac:dyDescent="0.15">
      <c r="A452" s="31">
        <f>RANK(K452,K$2:K$727)</f>
        <v>451</v>
      </c>
      <c r="B452" s="8" t="s">
        <v>556</v>
      </c>
      <c r="C452" s="32" t="s">
        <v>106</v>
      </c>
      <c r="D452" s="33" t="str">
        <f>VLOOKUP(B452,'Player Data'!A1:D734,4,FALSE)</f>
        <v>C</v>
      </c>
      <c r="E452" s="34">
        <f>VLOOKUP(B452,'C'!A1:C211,3,FALSE)</f>
        <v>107</v>
      </c>
      <c r="F452" s="35" t="str">
        <f>VLOOKUP(B452,'Player Data'!A1:B734,2,FALSE)</f>
        <v>MIN</v>
      </c>
      <c r="G452" s="9">
        <f>VLOOKUP(B452,'Player Data'!A1:D734,3,FALSE)</f>
        <v>30</v>
      </c>
      <c r="H452" s="36">
        <f>IFERROR(VLOOKUP(B452,ADP!A1:G728,7,FALSE)/1000000,VLOOKUP(B452,ADP!A1:G728,7,FALSE))</f>
        <v>2.1</v>
      </c>
      <c r="I452" s="37">
        <f>IF(Settings!$E$15="POINTS",((R452*Q452)*Settings!$B$12)+(S452*Settings!$B$2)+(T452*Settings!$B$3)+(U452*Settings!$B$4)+(V452*Settings!$B$5)+(X452*Settings!$B$9)+(AA452*Settings!$B$6)+(W452*Settings!$B$8)+(AB452*Settings!$B$7)+(AC452*Settings!$B$14)+(AD452*Settings!$B$15)+(AE452*Settings!$B$16)+(AF452*Settings!$B$17)+(AG452*Settings!$B$18)+(Y452*Settings!$B$10)+(Z452*Settings!$B$11),VLOOKUP(B452,'Standard Deviations'!A1:C728,3,FALSE))</f>
        <v>189.61918963870784</v>
      </c>
      <c r="J452" s="38">
        <f>IF(D452="G",I452/AJ452,I452/Q452)</f>
        <v>2.5019968096189595</v>
      </c>
      <c r="K452" s="37">
        <f>IF(Settings!$E$18="C/LW/RW",VLOOKUP(B452,'C'!A1:F211,6,FALSE),VLOOKUP(B452,F!A1:F430,6,FALSE))</f>
        <v>-203.70961612750182</v>
      </c>
      <c r="L452" s="37">
        <f>IFERROR(K452/H452,"N/A")</f>
        <v>-97.004579108334198</v>
      </c>
      <c r="M452" s="53" t="str">
        <f>IF(Settings!$E$9="YAHOO",VLOOKUP(B452,ADP!A1:E728,2,FALSE),IF(Settings!$E$9="ESPN",VLOOKUP(B452,ADP!A1:E728,3,FALSE),IF(Settings!$E$9="FANTRAX",VLOOKUP(B452,ADP!A1:E728,4,FALSE),VLOOKUP(B452,ADP!A1:E728,5,FALSE))))</f>
        <v>-</v>
      </c>
      <c r="N452" s="53" t="str">
        <f>IFERROR(M452-A452,"N/A")</f>
        <v>N/A</v>
      </c>
      <c r="O452" s="39"/>
      <c r="P452" s="40" t="str">
        <f>IF(Settings!$E$27="ON",VLOOKUP(B452,ADP!A1:H728,8,FALSE)," ")</f>
        <v xml:space="preserve"> </v>
      </c>
      <c r="Q452" s="41">
        <f>IF(Settings!$E$12="YES",VLOOKUP(B452,'Player Data'!A1:E734,5,FALSE),82)</f>
        <v>75.787142857142896</v>
      </c>
      <c r="R452" s="39">
        <f>VLOOKUP(B452,'Player Data'!$A1:$AE734,6,FALSE)</f>
        <v>15.839862500000001</v>
      </c>
      <c r="S452" s="41">
        <f>VLOOKUP(B452,'Player Data'!$A1:$AE734,7,FALSE)*$Q452*IFERROR((VLOOKUP(P452,Settings!$E$28:$F$33,2,FALSE)+1),1)</f>
        <v>14.370905786865601</v>
      </c>
      <c r="T452" s="41">
        <f>VLOOKUP(B452,'Player Data'!$A1:$AE734,8,FALSE)*$Q452*IFERROR((VLOOKUP(P452,Settings!$E$28:$F$33,2,FALSE)+1),1)</f>
        <v>21.503595920171293</v>
      </c>
      <c r="U452" s="41">
        <f>SUM(S452:T452)</f>
        <v>35.874501707036892</v>
      </c>
      <c r="V452" s="41">
        <f>VLOOKUP(B452,'Player Data'!$A1:$AE734,10,FALSE)*$Q452*IFERROR(((VLOOKUP(P452,Settings!$E$28:$F$33,2,FALSE)/2)+1),1)</f>
        <v>125.05657024844825</v>
      </c>
      <c r="W452" s="41">
        <f>VLOOKUP(B452,'Player Data'!$A1:$AE734,11,FALSE)*$Q452*IFERROR((VLOOKUP(P452,Settings!$E$28:$F$33,2,FALSE)+1),1)</f>
        <v>1.4064288009046901</v>
      </c>
      <c r="X452" s="41">
        <f>VLOOKUP(B452,'Player Data'!$A1:$AE734,12,FALSE)*$Q452*IFERROR((VLOOKUP(P452,Settings!$E$28:$F$33,2,FALSE)+1),1)</f>
        <v>2.5814358907990664</v>
      </c>
      <c r="Y452" s="41">
        <f>VLOOKUP(B452,'Player Data'!$A1:$AE734,13,FALSE)*$Q452</f>
        <v>1.1091010770421177</v>
      </c>
      <c r="Z452" s="41">
        <f>VLOOKUP(B452,'Player Data'!$A1:$AE734,14,FALSE)*$Q452</f>
        <v>2.5289698816210242</v>
      </c>
      <c r="AA452" s="41">
        <f>VLOOKUP(B452,'Player Data'!$A1:$AE734,15,FALSE)*$Q452</f>
        <v>46.23293924266418</v>
      </c>
      <c r="AB452" s="41">
        <f>VLOOKUP(B452,'Player Data'!$A1:$AE734,16,FALSE)*$Q452</f>
        <v>46.425778592986276</v>
      </c>
      <c r="AC452" s="41">
        <f>VLOOKUP(B452,'Player Data'!$A1:$AE734,17,FALSE)*$Q452*IFERROR((VLOOKUP(P452,Settings!$E$28:$F$33,2,FALSE)+1),1)</f>
        <v>1.9165218814264022</v>
      </c>
      <c r="AD452" s="41">
        <f>VLOOKUP(B452,'Player Data'!$A1:$AE734,18,FALSE)*$Q452</f>
        <v>12.777472272239963</v>
      </c>
      <c r="AE452" s="41">
        <f>VLOOKUP(B452,'Player Data'!$A1:$AE734,19,FALSE)*$Q452*IFERROR((VLOOKUP(P452,Settings!$E$28:$F$33,2,FALSE)+1),1)</f>
        <v>2.3076285392408984</v>
      </c>
      <c r="AF452" s="41">
        <f>VLOOKUP(B452,'Player Data'!$A1:$AE734,20,FALSE)*$Q452</f>
        <v>456.63725641914635</v>
      </c>
      <c r="AG452" s="41">
        <f>VLOOKUP(B452,'Player Data'!$A1:$AE734,21,FALSE)*$Q452</f>
        <v>459.81199740974455</v>
      </c>
      <c r="AH452" s="42">
        <f>VLOOKUP(B452,'Player Data'!$A1:$AE734,22,FALSE)</f>
        <v>0.49826791228355899</v>
      </c>
      <c r="AI452" s="39"/>
      <c r="AJ452" s="41"/>
      <c r="AK452" s="41"/>
      <c r="AL452" s="41"/>
      <c r="AM452" s="41"/>
      <c r="AN452" s="41"/>
      <c r="AO452" s="41"/>
      <c r="AP452" s="41"/>
      <c r="AQ452" s="44"/>
      <c r="AR452" s="45"/>
      <c r="AS452" s="39"/>
    </row>
    <row r="453" spans="1:45" ht="21.25" customHeight="1" x14ac:dyDescent="0.15">
      <c r="A453" s="31">
        <f>RANK(K453,K$2:K$727)</f>
        <v>452</v>
      </c>
      <c r="B453" s="8" t="s">
        <v>557</v>
      </c>
      <c r="C453" s="32" t="s">
        <v>106</v>
      </c>
      <c r="D453" s="33" t="str">
        <f>VLOOKUP(B453,'Player Data'!A1:D734,4,FALSE)</f>
        <v>G</v>
      </c>
      <c r="E453" s="50">
        <f>VLOOKUP(B453,G!A1:D75,3,FALSE)</f>
        <v>42</v>
      </c>
      <c r="F453" s="35" t="str">
        <f>VLOOKUP(B453,'Player Data'!A1:B734,2,FALSE)</f>
        <v>SJS</v>
      </c>
      <c r="G453" s="9">
        <f>VLOOKUP(B453,'Player Data'!A1:D734,3,FALSE)</f>
        <v>26</v>
      </c>
      <c r="H453" s="36">
        <f>IFERROR(VLOOKUP(B453,ADP!A1:G728,7,FALSE)/1000000,VLOOKUP(B453,ADP!A1:G728,7,FALSE))</f>
        <v>2.35</v>
      </c>
      <c r="I453" s="37">
        <f>IF(Settings!$E$15="POINTS",(AJ453*Settings!$B$29)+(AK453*Settings!$B$21)+(AL453*Settings!$B$22)+(AN453*Settings!$B$24)+(AO453*Settings!$B$25)+(AP453*Settings!$B$27)+(AM453*Settings!$B$23),VLOOKUP(B453,'Standard Deviations'!A1:C728,3,FALSE))</f>
        <v>194.96758435536321</v>
      </c>
      <c r="J453" s="38">
        <f>IF(D453="G",I453/AJ453,I453/Q453)</f>
        <v>6.4989194785121072</v>
      </c>
      <c r="K453" s="37">
        <f>VLOOKUP(B453,G!A1:F75,6,FALSE)</f>
        <v>-203.80807773395298</v>
      </c>
      <c r="L453" s="37">
        <f>IFERROR(K453/H453,"N/A")</f>
        <v>-86.726841588916159</v>
      </c>
      <c r="M453" s="53" t="str">
        <f>IF(Settings!$E$9="YAHOO",VLOOKUP(B453,ADP!A1:E728,2,FALSE),IF(Settings!$E$9="ESPN",VLOOKUP(B453,ADP!A1:E728,3,FALSE),IF(Settings!$E$9="FANTRAX",VLOOKUP(B453,ADP!A1:E728,4,FALSE),VLOOKUP(B453,ADP!A1:E728,5,FALSE))))</f>
        <v>-</v>
      </c>
      <c r="N453" s="53" t="str">
        <f>IFERROR(M453-A453,"N/A")</f>
        <v>N/A</v>
      </c>
      <c r="O453" s="39"/>
      <c r="P453" s="40" t="str">
        <f>IF(Settings!$E$27="ON",VLOOKUP(B453,ADP!A1:H728,8,FALSE)," ")</f>
        <v xml:space="preserve"> </v>
      </c>
      <c r="Q453" s="41"/>
      <c r="R453" s="5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2"/>
      <c r="AI453" s="39"/>
      <c r="AJ453" s="43">
        <f>VLOOKUP(B453,'Player Data'!$A1:$AE734,24,FALSE)</f>
        <v>30</v>
      </c>
      <c r="AK453" s="41">
        <f>VLOOKUP(B453,'Player Data'!$A1:$AE734,25,FALSE)*$AJ453*IFERROR((VLOOKUP(P453,Settings!$E$28:$F$33,2,FALSE)+1),1)</f>
        <v>11.365270953864359</v>
      </c>
      <c r="AL453" s="41">
        <f>AJ453-AK453-AM453</f>
        <v>14.884729046135639</v>
      </c>
      <c r="AM453" s="41">
        <f>VLOOKUP(B453,'Player Data'!$A1:$AE734,27,FALSE)*$AJ453</f>
        <v>3.75</v>
      </c>
      <c r="AN453" s="41">
        <f>VLOOKUP(B453,'Player Data'!$A1:$AE734,28,FALSE)*AJ453</f>
        <v>0.91972354539300905</v>
      </c>
      <c r="AO453" s="41">
        <f>VLOOKUP(B453,'Player Data'!$A1:$AE734,29,FALSE)*$AJ453*IFERROR((VLOOKUP(P453,Settings!$E$28:$F$33,2,FALSE)/4)+1,1)</f>
        <v>883.84552220442299</v>
      </c>
      <c r="AP453" s="41">
        <f>VLOOKUP(B453,'Player Data'!$A1:$AE734,31,FALSE)*$AJ453*(IFERROR(1-(VLOOKUP(P453,Settings!$E$28:$F$33,2,FALSE)/4),1))</f>
        <v>94.296812233075798</v>
      </c>
      <c r="AQ453" s="44">
        <f>1-(AP453/(AO453+AP453))</f>
        <v>0.90359602185370791</v>
      </c>
      <c r="AR453" s="45">
        <f>AP453/AJ453</f>
        <v>3.1432270744358601</v>
      </c>
      <c r="AS453" s="39"/>
    </row>
    <row r="454" spans="1:45" ht="21.25" customHeight="1" x14ac:dyDescent="0.15">
      <c r="A454" s="31">
        <f>RANK(K454,K$2:K$727)</f>
        <v>453</v>
      </c>
      <c r="B454" s="8" t="s">
        <v>558</v>
      </c>
      <c r="C454" s="32" t="s">
        <v>106</v>
      </c>
      <c r="D454" s="33" t="str">
        <f>VLOOKUP(B454,'Player Data'!A1:D734,4,FALSE)</f>
        <v>D</v>
      </c>
      <c r="E454" s="49">
        <f>VLOOKUP(B454,D!A1:C227,3,FALSE)</f>
        <v>166</v>
      </c>
      <c r="F454" s="35" t="str">
        <f>VLOOKUP(B454,'Player Data'!A1:B734,2,FALSE)</f>
        <v>NYR</v>
      </c>
      <c r="G454" s="9">
        <f>VLOOKUP(B454,'Player Data'!A1:D734,3,FALSE)</f>
        <v>21</v>
      </c>
      <c r="H454" s="36">
        <f>IFERROR(VLOOKUP(B454,ADP!A1:G728,7,FALSE)/1000000,VLOOKUP(B454,ADP!A1:G728,7,FALSE))</f>
        <v>0.92500000000000004</v>
      </c>
      <c r="I454" s="37">
        <f>IF(Settings!$E$15="POINTS",((R454*Q454)*Settings!$B$12)+(S454*Settings!$B$2)+(T454*Settings!$B$3)+(U454*Settings!$B$4)+(V454*Settings!$B$5)+(X454*Settings!$B$9)+(AA454*Settings!$B$6)+(W454*Settings!$B$8)+(AB454*Settings!$B$7)+(AC454*Settings!$B$14)+(AD454*Settings!$B$15)+(AE454*Settings!$B$16)+(AF454*Settings!$B$17)+(AG454*Settings!$B$18)+(U454*Settings!$B$13)+(Y454*Settings!$B$10)+(Z454*Settings!$B$11),VLOOKUP(B454,'Standard Deviations'!A1:C728,3,FALSE))</f>
        <v>107.72624033783221</v>
      </c>
      <c r="J454" s="38">
        <f>IF(D454="G",I454/AJ454,I454/Q454)</f>
        <v>1.490195605724612</v>
      </c>
      <c r="K454" s="37">
        <f>VLOOKUP(B454,D!A1:F227,6,FALSE)</f>
        <v>-203.83924129009523</v>
      </c>
      <c r="L454" s="37">
        <f>IFERROR(K454/H454,"N/A")</f>
        <v>-220.36674734064349</v>
      </c>
      <c r="M454" s="53" t="str">
        <f>IF(Settings!$E$9="YAHOO",VLOOKUP(B454,ADP!A1:E728,2,FALSE),IF(Settings!$E$9="ESPN",VLOOKUP(B454,ADP!A1:E728,3,FALSE),IF(Settings!$E$9="FANTRAX",VLOOKUP(B454,ADP!A1:E728,4,FALSE),VLOOKUP(B454,ADP!A1:E728,5,FALSE))))</f>
        <v>-</v>
      </c>
      <c r="N454" s="53" t="str">
        <f>IFERROR(M454-A454,"N/A")</f>
        <v>N/A</v>
      </c>
      <c r="O454" s="39"/>
      <c r="P454" s="40" t="str">
        <f>IF(Settings!$E$27="ON",VLOOKUP(B454,ADP!A1:H728,8,FALSE)," ")</f>
        <v xml:space="preserve"> </v>
      </c>
      <c r="Q454" s="41">
        <f>IF(Settings!$E$12="YES",VLOOKUP(B454,'Player Data'!A1:E734,5,FALSE),82)</f>
        <v>72.290000000000006</v>
      </c>
      <c r="R454" s="39">
        <f>VLOOKUP(B454,'Player Data'!$A1:$AE734,6,FALSE)</f>
        <v>15.7607254043516</v>
      </c>
      <c r="S454" s="41">
        <f>VLOOKUP(B454,'Player Data'!$A1:$AE734,7,FALSE)*$Q454*IFERROR((VLOOKUP(P454,Settings!$E$28:$F$33,2,FALSE)+1),1)</f>
        <v>4.2806253464363024</v>
      </c>
      <c r="T454" s="41">
        <f>VLOOKUP(B454,'Player Data'!$A1:$AE734,8,FALSE)*$Q454*IFERROR((VLOOKUP(P454,Settings!$E$28:$F$33,2,FALSE)+1),1)</f>
        <v>13.219428044998466</v>
      </c>
      <c r="U454" s="41">
        <f>SUM(S454:T454)</f>
        <v>17.500053391434768</v>
      </c>
      <c r="V454" s="41">
        <f>VLOOKUP(B454,'Player Data'!$A1:$AE734,10,FALSE)*$Q454*IFERROR(((VLOOKUP(P454,Settings!$E$28:$F$33,2,FALSE)/2)+1),1)</f>
        <v>67.509147144176239</v>
      </c>
      <c r="W454" s="41">
        <f>VLOOKUP(B454,'Player Data'!$A1:$AE734,11,FALSE)*$Q454*IFERROR((VLOOKUP(P454,Settings!$E$28:$F$33,2,FALSE)+1),1)</f>
        <v>2.3429002388867356E-2</v>
      </c>
      <c r="X454" s="41">
        <f>VLOOKUP(B454,'Player Data'!$A1:$AE734,12,FALSE)*$Q454*IFERROR((VLOOKUP(P454,Settings!$E$28:$F$33,2,FALSE)+1),1)</f>
        <v>0.21293799252541853</v>
      </c>
      <c r="Y454" s="41">
        <f>VLOOKUP(B454,'Player Data'!$A1:$AE734,13,FALSE)*$Q454</f>
        <v>2.8539258814535763E-2</v>
      </c>
      <c r="Z454" s="41">
        <f>VLOOKUP(B454,'Player Data'!$A1:$AE734,14,FALSE)*$Q454</f>
        <v>0.10624617066460748</v>
      </c>
      <c r="AA454" s="41">
        <f>VLOOKUP(B454,'Player Data'!$A1:$AE734,15,FALSE)*$Q454</f>
        <v>104.1656913252987</v>
      </c>
      <c r="AB454" s="41">
        <f>VLOOKUP(B454,'Player Data'!$A1:$AE734,16,FALSE)*$Q454</f>
        <v>116.69522796261904</v>
      </c>
      <c r="AC454" s="41">
        <f>VLOOKUP(B454,'Player Data'!$A1:$AE734,17,FALSE)*$Q454*IFERROR((VLOOKUP(P454,Settings!$E$28:$F$33,2,FALSE)+1),1)</f>
        <v>3.2020325640429297</v>
      </c>
      <c r="AD454" s="41">
        <f>VLOOKUP(B454,'Player Data'!$A1:$AE734,18,FALSE)*$Q454</f>
        <v>19.727526743908541</v>
      </c>
      <c r="AE454" s="41">
        <f>VLOOKUP(B454,'Player Data'!$A1:$AE734,19,FALSE)*$Q454*IFERROR((VLOOKUP(P454,Settings!$E$28:$F$33,2,FALSE)+1),1)</f>
        <v>0.72941056550654038</v>
      </c>
      <c r="AF454" s="41">
        <f>VLOOKUP(B454,'Player Data'!$A1:$AE734,20,FALSE)*$Q454</f>
        <v>0</v>
      </c>
      <c r="AG454" s="41">
        <f>VLOOKUP(B454,'Player Data'!$A1:$AE734,21,FALSE)*$Q454</f>
        <v>0</v>
      </c>
      <c r="AH454" s="42">
        <f>VLOOKUP(B454,'Player Data'!$A1:$AE734,22,FALSE)</f>
        <v>0</v>
      </c>
      <c r="AI454" s="39"/>
      <c r="AJ454" s="43"/>
      <c r="AK454" s="41"/>
      <c r="AL454" s="41"/>
      <c r="AM454" s="41"/>
      <c r="AN454" s="41"/>
      <c r="AO454" s="41"/>
      <c r="AP454" s="41"/>
      <c r="AQ454" s="44"/>
      <c r="AR454" s="45"/>
      <c r="AS454" s="39"/>
    </row>
    <row r="455" spans="1:45" ht="21.25" customHeight="1" x14ac:dyDescent="0.15">
      <c r="A455" s="31">
        <f>RANK(K455,K$2:K$727)</f>
        <v>454</v>
      </c>
      <c r="B455" s="8" t="s">
        <v>559</v>
      </c>
      <c r="C455" s="32" t="s">
        <v>106</v>
      </c>
      <c r="D455" s="33" t="str">
        <f>VLOOKUP(B455,'Player Data'!A1:D734,4,FALSE)</f>
        <v>G</v>
      </c>
      <c r="E455" s="50">
        <f>VLOOKUP(B455,G!A1:D75,3,FALSE)</f>
        <v>43</v>
      </c>
      <c r="F455" s="35" t="str">
        <f>VLOOKUP(B455,'Player Data'!A1:B734,2,FALSE)</f>
        <v>MIN</v>
      </c>
      <c r="G455" s="9">
        <f>VLOOKUP(B455,'Player Data'!A1:D734,3,FALSE)</f>
        <v>38</v>
      </c>
      <c r="H455" s="36">
        <f>IFERROR(VLOOKUP(B455,ADP!A1:G728,7,FALSE)/1000000,VLOOKUP(B455,ADP!A1:G728,7,FALSE))</f>
        <v>3.5</v>
      </c>
      <c r="I455" s="37">
        <f>IF(Settings!$E$15="POINTS",(AJ455*Settings!$B$29)+(AK455*Settings!$B$21)+(AL455*Settings!$B$22)+(AN455*Settings!$B$24)+(AO455*Settings!$B$25)+(AP455*Settings!$B$27)+(AM455*Settings!$B$23),VLOOKUP(B455,'Standard Deviations'!A1:C728,3,FALSE))</f>
        <v>194.30631333780309</v>
      </c>
      <c r="J455" s="38">
        <f>IF(D455="G",I455/AJ455,I455/Q455)</f>
        <v>6.9395111906358249</v>
      </c>
      <c r="K455" s="37">
        <f>VLOOKUP(B455,G!A1:F75,6,FALSE)</f>
        <v>-204.46934875151311</v>
      </c>
      <c r="L455" s="37">
        <f>IFERROR(K455/H455,"N/A")</f>
        <v>-58.419813929003745</v>
      </c>
      <c r="M455" s="39">
        <f>IF(Settings!$E$9="YAHOO",VLOOKUP(B455,ADP!A1:E728,2,FALSE),IF(Settings!$E$9="ESPN",VLOOKUP(B455,ADP!A1:E728,3,FALSE),IF(Settings!$E$9="FANTRAX",VLOOKUP(B455,ADP!A1:E728,4,FALSE),VLOOKUP(B455,ADP!A1:E728,5,FALSE))))</f>
        <v>94.9</v>
      </c>
      <c r="N455" s="39">
        <f>IFERROR(M455-A455,"N/A")</f>
        <v>-359.1</v>
      </c>
      <c r="O455" s="39"/>
      <c r="P455" s="40" t="str">
        <f>IF(Settings!$E$27="ON",VLOOKUP(B455,ADP!A1:H728,8,FALSE)," ")</f>
        <v xml:space="preserve"> </v>
      </c>
      <c r="Q455" s="41"/>
      <c r="R455" s="5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2"/>
      <c r="AI455" s="39"/>
      <c r="AJ455" s="43">
        <f>VLOOKUP(B455,'Player Data'!$A1:$AE734,24,FALSE)</f>
        <v>28</v>
      </c>
      <c r="AK455" s="41">
        <f>VLOOKUP(B455,'Player Data'!$A1:$AE734,25,FALSE)*$AJ455*IFERROR((VLOOKUP(P455,Settings!$E$28:$F$33,2,FALSE)+1),1)</f>
        <v>14.441078898753949</v>
      </c>
      <c r="AL455" s="41">
        <f>AJ455-AK455-AM455</f>
        <v>10.058921101246051</v>
      </c>
      <c r="AM455" s="41">
        <f>VLOOKUP(B455,'Player Data'!$A1:$AE734,27,FALSE)*$AJ455</f>
        <v>3.5</v>
      </c>
      <c r="AN455" s="41">
        <f>VLOOKUP(B455,'Player Data'!$A1:$AE734,28,FALSE)*AJ455</f>
        <v>1.0408294986719084</v>
      </c>
      <c r="AO455" s="41">
        <f>VLOOKUP(B455,'Player Data'!$A1:$AE734,29,FALSE)*$AJ455*IFERROR((VLOOKUP(P455,Settings!$E$28:$F$33,2,FALSE)/4)+1,1)</f>
        <v>811.53873853405639</v>
      </c>
      <c r="AP455" s="41">
        <f>VLOOKUP(B455,'Player Data'!$A1:$AE734,31,FALSE)*$AJ455*(IFERROR(1-(VLOOKUP(P455,Settings!$E$28:$F$33,2,FALSE)/4),1))</f>
        <v>85.622650540943596</v>
      </c>
      <c r="AQ455" s="44">
        <f>1-(AP455/(AO455+AP455))</f>
        <v>0.90456271125396615</v>
      </c>
      <c r="AR455" s="45">
        <f>AP455/AJ455</f>
        <v>3.0579518050336998</v>
      </c>
      <c r="AS455" s="39"/>
    </row>
    <row r="456" spans="1:45" ht="21.25" customHeight="1" x14ac:dyDescent="0.15">
      <c r="A456" s="31">
        <f>RANK(K456,K$2:K$727)</f>
        <v>455</v>
      </c>
      <c r="B456" s="8" t="s">
        <v>560</v>
      </c>
      <c r="C456" s="32" t="s">
        <v>106</v>
      </c>
      <c r="D456" s="33" t="str">
        <f>VLOOKUP(B456,'Player Data'!A1:D734,4,FALSE)</f>
        <v>LW</v>
      </c>
      <c r="E456" s="47">
        <f>VLOOKUP(B456,LW!A1:C130,3,FALSE)</f>
        <v>81</v>
      </c>
      <c r="F456" s="35" t="str">
        <f>VLOOKUP(B456,'Player Data'!A1:B734,2,FALSE)</f>
        <v>CAR</v>
      </c>
      <c r="G456" s="9">
        <f>VLOOKUP(B456,'Player Data'!A1:D734,3,FALSE)</f>
        <v>31</v>
      </c>
      <c r="H456" s="36">
        <f>IFERROR(VLOOKUP(B456,ADP!A1:G728,7,FALSE)/1000000,VLOOKUP(B456,ADP!A1:G728,7,FALSE))</f>
        <v>1.8</v>
      </c>
      <c r="I456" s="37">
        <f>IF(Settings!$E$15="POINTS",((R456*Q456)*Settings!$B$12)+(S456*Settings!$B$2)+(T456*Settings!$B$3)+(U456*Settings!$B$4)+(V456*Settings!$B$5)+(X456*Settings!$B$9)+(AA456*Settings!$B$6)+(W456*Settings!$B$8)+(AB456*Settings!$B$7)+(AC456*Settings!$B$14)+(AD456*Settings!$B$15)+(AE456*Settings!$B$16)+(AF456*Settings!$B$17)+(AG456*Settings!$B$18)+(Y456*Settings!$B$10)+(Z456*Settings!$B$11),VLOOKUP(B456,'Standard Deviations'!A1:C728,3,FALSE))</f>
        <v>159.54785816106269</v>
      </c>
      <c r="J456" s="38">
        <f>IF(D456="G",I456/AJ456,I456/Q456)</f>
        <v>2.0690846738717505</v>
      </c>
      <c r="K456" s="37">
        <f>IF(Settings!$E$18="C/LW/RW",VLOOKUP(B456,LW!A1:F130,6,FALSE),VLOOKUP(B456,F!A1:F430,6,FALSE))</f>
        <v>-204.49274669658777</v>
      </c>
      <c r="L456" s="37">
        <f>IFERROR(K456/H456,"N/A")</f>
        <v>-113.60708149810432</v>
      </c>
      <c r="M456" s="53" t="str">
        <f>IF(Settings!$E$9="YAHOO",VLOOKUP(B456,ADP!A1:E728,2,FALSE),IF(Settings!$E$9="ESPN",VLOOKUP(B456,ADP!A1:E728,3,FALSE),IF(Settings!$E$9="FANTRAX",VLOOKUP(B456,ADP!A1:E728,4,FALSE),VLOOKUP(B456,ADP!A1:E728,5,FALSE))))</f>
        <v>-</v>
      </c>
      <c r="N456" s="53" t="str">
        <f>IFERROR(M456-A456,"N/A")</f>
        <v>N/A</v>
      </c>
      <c r="O456" s="39"/>
      <c r="P456" s="40" t="str">
        <f>IF(Settings!$E$27="ON",VLOOKUP(B456,ADP!A1:H728,8,FALSE)," ")</f>
        <v xml:space="preserve"> </v>
      </c>
      <c r="Q456" s="41">
        <f>IF(Settings!$E$12="YES",VLOOKUP(B456,'Player Data'!A1:E734,5,FALSE),82)</f>
        <v>77.110357142857097</v>
      </c>
      <c r="R456" s="39">
        <f>VLOOKUP(B456,'Player Data'!$A1:$AE734,6,FALSE)</f>
        <v>14.9683511553716</v>
      </c>
      <c r="S456" s="41">
        <f>VLOOKUP(B456,'Player Data'!$A1:$AE734,7,FALSE)*$Q456*IFERROR((VLOOKUP(P456,Settings!$E$28:$F$33,2,FALSE)+1),1)</f>
        <v>10.218404635953254</v>
      </c>
      <c r="T456" s="41">
        <f>VLOOKUP(B456,'Player Data'!$A1:$AE734,8,FALSE)*$Q456*IFERROR((VLOOKUP(P456,Settings!$E$28:$F$33,2,FALSE)+1),1)</f>
        <v>17.134862676955066</v>
      </c>
      <c r="U456" s="41">
        <f>SUM(S456:T456)</f>
        <v>27.353267312908322</v>
      </c>
      <c r="V456" s="41">
        <f>VLOOKUP(B456,'Player Data'!$A1:$AE734,10,FALSE)*$Q456*IFERROR(((VLOOKUP(P456,Settings!$E$28:$F$33,2,FALSE)/2)+1),1)</f>
        <v>140.82689023682286</v>
      </c>
      <c r="W456" s="41">
        <f>VLOOKUP(B456,'Player Data'!$A1:$AE734,11,FALSE)*$Q456*IFERROR((VLOOKUP(P456,Settings!$E$28:$F$33,2,FALSE)+1),1)</f>
        <v>4.9990838611766154E-2</v>
      </c>
      <c r="X456" s="41">
        <f>VLOOKUP(B456,'Player Data'!$A1:$AE734,12,FALSE)*$Q456*IFERROR((VLOOKUP(P456,Settings!$E$28:$F$33,2,FALSE)+1),1)</f>
        <v>0.1303087576735735</v>
      </c>
      <c r="Y456" s="41">
        <f>VLOOKUP(B456,'Player Data'!$A1:$AE734,13,FALSE)*$Q456</f>
        <v>0.1457889545668058</v>
      </c>
      <c r="Z456" s="41">
        <f>VLOOKUP(B456,'Player Data'!$A1:$AE734,14,FALSE)*$Q456</f>
        <v>0.46127028557734262</v>
      </c>
      <c r="AA456" s="41">
        <f>VLOOKUP(B456,'Player Data'!$A1:$AE734,15,FALSE)*$Q456</f>
        <v>29.457265087122206</v>
      </c>
      <c r="AB456" s="41">
        <f>VLOOKUP(B456,'Player Data'!$A1:$AE734,16,FALSE)*$Q456</f>
        <v>87.32630043826623</v>
      </c>
      <c r="AC456" s="41">
        <f>VLOOKUP(B456,'Player Data'!$A1:$AE734,17,FALSE)*$Q456*IFERROR((VLOOKUP(P456,Settings!$E$28:$F$33,2,FALSE)+1),1)</f>
        <v>6.0824382330781397</v>
      </c>
      <c r="AD456" s="41">
        <f>VLOOKUP(B456,'Player Data'!$A1:$AE734,18,FALSE)*$Q456</f>
        <v>46.079896224066395</v>
      </c>
      <c r="AE456" s="41">
        <f>VLOOKUP(B456,'Player Data'!$A1:$AE734,19,FALSE)*$Q456*IFERROR((VLOOKUP(P456,Settings!$E$28:$F$33,2,FALSE)+1),1)</f>
        <v>1.8334105990730858</v>
      </c>
      <c r="AF456" s="41">
        <f>VLOOKUP(B456,'Player Data'!$A1:$AE734,20,FALSE)*$Q456</f>
        <v>39.502273482457596</v>
      </c>
      <c r="AG456" s="41">
        <f>VLOOKUP(B456,'Player Data'!$A1:$AE734,21,FALSE)*$Q456</f>
        <v>47.563681336510271</v>
      </c>
      <c r="AH456" s="42">
        <f>VLOOKUP(B456,'Player Data'!$A1:$AE734,22,FALSE)</f>
        <v>0.45370516598126998</v>
      </c>
      <c r="AI456" s="39"/>
      <c r="AJ456" s="43"/>
      <c r="AK456" s="41"/>
      <c r="AL456" s="41"/>
      <c r="AM456" s="41"/>
      <c r="AN456" s="41"/>
      <c r="AO456" s="41"/>
      <c r="AP456" s="41"/>
      <c r="AQ456" s="44"/>
      <c r="AR456" s="45"/>
      <c r="AS456" s="39"/>
    </row>
    <row r="457" spans="1:45" ht="21.25" customHeight="1" x14ac:dyDescent="0.15">
      <c r="A457" s="31">
        <f>RANK(K457,K$2:K$727)</f>
        <v>456</v>
      </c>
      <c r="B457" s="8" t="s">
        <v>561</v>
      </c>
      <c r="C457" s="32" t="s">
        <v>106</v>
      </c>
      <c r="D457" s="33" t="str">
        <f>VLOOKUP(B457,'Player Data'!A1:D734,4,FALSE)</f>
        <v>LW</v>
      </c>
      <c r="E457" s="47">
        <f>VLOOKUP(B457,LW!A1:C130,3,FALSE)</f>
        <v>82</v>
      </c>
      <c r="F457" s="35" t="str">
        <f>VLOOKUP(B457,'Player Data'!A1:B734,2,FALSE)</f>
        <v>EDM</v>
      </c>
      <c r="G457" s="9">
        <f>VLOOKUP(B457,'Player Data'!A1:D734,3,FALSE)</f>
        <v>27</v>
      </c>
      <c r="H457" s="36">
        <f>IFERROR(VLOOKUP(B457,ADP!A1:G728,7,FALSE)/1000000,VLOOKUP(B457,ADP!A1:G728,7,FALSE))</f>
        <v>2.75</v>
      </c>
      <c r="I457" s="37">
        <f>IF(Settings!$E$15="POINTS",((R457*Q457)*Settings!$B$12)+(S457*Settings!$B$2)+(T457*Settings!$B$3)+(U457*Settings!$B$4)+(V457*Settings!$B$5)+(X457*Settings!$B$9)+(AA457*Settings!$B$6)+(W457*Settings!$B$8)+(AB457*Settings!$B$7)+(AC457*Settings!$B$14)+(AD457*Settings!$B$15)+(AE457*Settings!$B$16)+(AF457*Settings!$B$17)+(AG457*Settings!$B$18)+(Y457*Settings!$B$10)+(Z457*Settings!$B$11),VLOOKUP(B457,'Standard Deviations'!A1:C728,3,FALSE))</f>
        <v>159.41518750893826</v>
      </c>
      <c r="J457" s="38">
        <f>IF(D457="G",I457/AJ457,I457/Q457)</f>
        <v>2.0197490713760109</v>
      </c>
      <c r="K457" s="37">
        <f>IF(Settings!$E$18="C/LW/RW",VLOOKUP(B457,LW!A1:F130,6,FALSE),VLOOKUP(B457,F!A1:F430,6,FALSE))</f>
        <v>-204.6254173487122</v>
      </c>
      <c r="L457" s="37">
        <f>IFERROR(K457/H457,"N/A")</f>
        <v>-74.409242672258983</v>
      </c>
      <c r="M457" s="53" t="str">
        <f>IF(Settings!$E$9="YAHOO",VLOOKUP(B457,ADP!A1:E728,2,FALSE),IF(Settings!$E$9="ESPN",VLOOKUP(B457,ADP!A1:E728,3,FALSE),IF(Settings!$E$9="FANTRAX",VLOOKUP(B457,ADP!A1:E728,4,FALSE),VLOOKUP(B457,ADP!A1:E728,5,FALSE))))</f>
        <v>-</v>
      </c>
      <c r="N457" s="53" t="str">
        <f>IFERROR(M457-A457,"N/A")</f>
        <v>N/A</v>
      </c>
      <c r="O457" s="39"/>
      <c r="P457" s="40" t="str">
        <f>IF(Settings!$E$27="ON",VLOOKUP(B457,ADP!A1:H728,8,FALSE)," ")</f>
        <v xml:space="preserve"> </v>
      </c>
      <c r="Q457" s="41">
        <f>IF(Settings!$E$12="YES",VLOOKUP(B457,'Player Data'!A1:E734,5,FALSE),82)</f>
        <v>78.928214285714304</v>
      </c>
      <c r="R457" s="39">
        <f>VLOOKUP(B457,'Player Data'!$A1:$AE734,6,FALSE)</f>
        <v>12.301779787211</v>
      </c>
      <c r="S457" s="41">
        <f>VLOOKUP(B457,'Player Data'!$A1:$AE734,7,FALSE)*$Q457*IFERROR((VLOOKUP(P457,Settings!$E$28:$F$33,2,FALSE)+1),1)</f>
        <v>12.595064261592345</v>
      </c>
      <c r="T457" s="41">
        <f>VLOOKUP(B457,'Player Data'!$A1:$AE734,8,FALSE)*$Q457*IFERROR((VLOOKUP(P457,Settings!$E$28:$F$33,2,FALSE)+1),1)</f>
        <v>15.458551026406951</v>
      </c>
      <c r="U457" s="41">
        <f>SUM(S457:T457)</f>
        <v>28.053615287999296</v>
      </c>
      <c r="V457" s="41">
        <f>VLOOKUP(B457,'Player Data'!$A1:$AE734,10,FALSE)*$Q457*IFERROR(((VLOOKUP(P457,Settings!$E$28:$F$33,2,FALSE)/2)+1),1)</f>
        <v>136.17445242762636</v>
      </c>
      <c r="W457" s="41">
        <f>VLOOKUP(B457,'Player Data'!$A1:$AE734,11,FALSE)*$Q457*IFERROR((VLOOKUP(P457,Settings!$E$28:$F$33,2,FALSE)+1),1)</f>
        <v>0.49278689896032402</v>
      </c>
      <c r="X457" s="41">
        <f>VLOOKUP(B457,'Player Data'!$A1:$AE734,12,FALSE)*$Q457*IFERROR((VLOOKUP(P457,Settings!$E$28:$F$33,2,FALSE)+1),1)</f>
        <v>0.97999910023645953</v>
      </c>
      <c r="Y457" s="41">
        <f>VLOOKUP(B457,'Player Data'!$A1:$AE734,13,FALSE)*$Q457</f>
        <v>0.26942297181055508</v>
      </c>
      <c r="Z457" s="41">
        <f>VLOOKUP(B457,'Player Data'!$A1:$AE734,14,FALSE)*$Q457</f>
        <v>0.31154527718725089</v>
      </c>
      <c r="AA457" s="41">
        <f>VLOOKUP(B457,'Player Data'!$A1:$AE734,15,FALSE)*$Q457</f>
        <v>22.920133381398959</v>
      </c>
      <c r="AB457" s="41">
        <f>VLOOKUP(B457,'Player Data'!$A1:$AE734,16,FALSE)*$Q457</f>
        <v>111.10697227950509</v>
      </c>
      <c r="AC457" s="41">
        <f>VLOOKUP(B457,'Player Data'!$A1:$AE734,17,FALSE)*$Q457*IFERROR((VLOOKUP(P457,Settings!$E$28:$F$33,2,FALSE)+1),1)</f>
        <v>5.8906355047185359</v>
      </c>
      <c r="AD457" s="41">
        <f>VLOOKUP(B457,'Player Data'!$A1:$AE734,18,FALSE)*$Q457</f>
        <v>26.615937062641986</v>
      </c>
      <c r="AE457" s="41">
        <f>VLOOKUP(B457,'Player Data'!$A1:$AE734,19,FALSE)*$Q457*IFERROR((VLOOKUP(P457,Settings!$E$28:$F$33,2,FALSE)+1),1)</f>
        <v>1.9936634567492455</v>
      </c>
      <c r="AF457" s="41">
        <f>VLOOKUP(B457,'Player Data'!$A1:$AE734,20,FALSE)*$Q457</f>
        <v>10.429855859735435</v>
      </c>
      <c r="AG457" s="41">
        <f>VLOOKUP(B457,'Player Data'!$A1:$AE734,21,FALSE)*$Q457</f>
        <v>10.268154336689005</v>
      </c>
      <c r="AH457" s="42">
        <f>VLOOKUP(B457,'Player Data'!$A1:$AE734,22,FALSE)</f>
        <v>0.50390620937742303</v>
      </c>
      <c r="AI457" s="39"/>
      <c r="AJ457" s="43"/>
      <c r="AK457" s="41"/>
      <c r="AL457" s="41"/>
      <c r="AM457" s="41"/>
      <c r="AN457" s="41"/>
      <c r="AO457" s="41"/>
      <c r="AP457" s="41"/>
      <c r="AQ457" s="44"/>
      <c r="AR457" s="45"/>
      <c r="AS457" s="39"/>
    </row>
    <row r="458" spans="1:45" ht="21.25" customHeight="1" x14ac:dyDescent="0.15">
      <c r="A458" s="31">
        <f>RANK(K458,K$2:K$727)</f>
        <v>457</v>
      </c>
      <c r="B458" s="8" t="s">
        <v>562</v>
      </c>
      <c r="C458" s="32" t="s">
        <v>106</v>
      </c>
      <c r="D458" s="33" t="str">
        <f>VLOOKUP(B458,'Player Data'!A1:D734,4,FALSE)</f>
        <v>C</v>
      </c>
      <c r="E458" s="34">
        <f>VLOOKUP(B458,'C'!A1:C211,3,FALSE)</f>
        <v>108</v>
      </c>
      <c r="F458" s="35" t="str">
        <f>VLOOKUP(B458,'Player Data'!A1:B734,2,FALSE)</f>
        <v>CHI</v>
      </c>
      <c r="G458" s="9">
        <f>VLOOKUP(B458,'Player Data'!A1:D734,3,FALSE)</f>
        <v>33</v>
      </c>
      <c r="H458" s="36">
        <f>IFERROR(VLOOKUP(B458,ADP!A1:G728,7,FALSE)/1000000,VLOOKUP(B458,ADP!A1:G728,7,FALSE))</f>
        <v>5</v>
      </c>
      <c r="I458" s="37">
        <f>IF(Settings!$E$15="POINTS",((R458*Q458)*Settings!$B$12)+(S458*Settings!$B$2)+(T458*Settings!$B$3)+(U458*Settings!$B$4)+(V458*Settings!$B$5)+(X458*Settings!$B$9)+(AA458*Settings!$B$6)+(W458*Settings!$B$8)+(AB458*Settings!$B$7)+(AC458*Settings!$B$14)+(AD458*Settings!$B$15)+(AE458*Settings!$B$16)+(AF458*Settings!$B$17)+(AG458*Settings!$B$18)+(Y458*Settings!$B$10)+(Z458*Settings!$B$11),VLOOKUP(B458,'Standard Deviations'!A1:C728,3,FALSE))</f>
        <v>187.93516789116177</v>
      </c>
      <c r="J458" s="38">
        <f>IF(D458="G",I458/AJ458,I458/Q458)</f>
        <v>2.7014377905419789</v>
      </c>
      <c r="K458" s="37">
        <f>IF(Settings!$E$18="C/LW/RW",VLOOKUP(B458,'C'!A1:F211,6,FALSE),VLOOKUP(B458,F!A1:F430,6,FALSE))</f>
        <v>-205.39363787504789</v>
      </c>
      <c r="L458" s="37">
        <f>IFERROR(K458/H458,"N/A")</f>
        <v>-41.07872757500958</v>
      </c>
      <c r="M458" s="53" t="str">
        <f>IF(Settings!$E$9="YAHOO",VLOOKUP(B458,ADP!A1:E728,2,FALSE),IF(Settings!$E$9="ESPN",VLOOKUP(B458,ADP!A1:E728,3,FALSE),IF(Settings!$E$9="FANTRAX",VLOOKUP(B458,ADP!A1:E728,4,FALSE),VLOOKUP(B458,ADP!A1:E728,5,FALSE))))</f>
        <v>-</v>
      </c>
      <c r="N458" s="53" t="str">
        <f>IFERROR(M458-A458,"N/A")</f>
        <v>N/A</v>
      </c>
      <c r="O458" s="39"/>
      <c r="P458" s="40" t="str">
        <f>IF(Settings!$E$27="ON",VLOOKUP(B458,ADP!A1:H728,8,FALSE)," ")</f>
        <v xml:space="preserve"> </v>
      </c>
      <c r="Q458" s="41">
        <f>IF(Settings!$E$12="YES",VLOOKUP(B458,'Player Data'!A1:E734,5,FALSE),82)</f>
        <v>69.568571428571403</v>
      </c>
      <c r="R458" s="39">
        <f>VLOOKUP(B458,'Player Data'!$A1:$AE734,6,FALSE)</f>
        <v>15.7077322791556</v>
      </c>
      <c r="S458" s="41">
        <f>VLOOKUP(B458,'Player Data'!$A1:$AE734,7,FALSE)*$Q458*IFERROR((VLOOKUP(P458,Settings!$E$28:$F$33,2,FALSE)+1),1)</f>
        <v>12.336841530844696</v>
      </c>
      <c r="T458" s="41">
        <f>VLOOKUP(B458,'Player Data'!$A1:$AE734,8,FALSE)*$Q458*IFERROR((VLOOKUP(P458,Settings!$E$28:$F$33,2,FALSE)+1),1)</f>
        <v>20.231245139611648</v>
      </c>
      <c r="U458" s="41">
        <f>SUM(S458:T458)</f>
        <v>32.568086670456346</v>
      </c>
      <c r="V458" s="41">
        <f>VLOOKUP(B458,'Player Data'!$A1:$AE734,10,FALSE)*$Q458*IFERROR(((VLOOKUP(P458,Settings!$E$28:$F$33,2,FALSE)/2)+1),1)</f>
        <v>137.87743990892531</v>
      </c>
      <c r="W458" s="41">
        <f>VLOOKUP(B458,'Player Data'!$A1:$AE734,11,FALSE)*$Q458*IFERROR((VLOOKUP(P458,Settings!$E$28:$F$33,2,FALSE)+1),1)</f>
        <v>2.9026565021374795</v>
      </c>
      <c r="X458" s="41">
        <f>VLOOKUP(B458,'Player Data'!$A1:$AE734,12,FALSE)*$Q458*IFERROR((VLOOKUP(P458,Settings!$E$28:$F$33,2,FALSE)+1),1)</f>
        <v>7.7084587837868188</v>
      </c>
      <c r="Y458" s="41">
        <f>VLOOKUP(B458,'Player Data'!$A1:$AE734,13,FALSE)*$Q458</f>
        <v>1.8587191744096246E-2</v>
      </c>
      <c r="Z458" s="41">
        <f>VLOOKUP(B458,'Player Data'!$A1:$AE734,14,FALSE)*$Q458</f>
        <v>3.4926558802474833E-2</v>
      </c>
      <c r="AA458" s="41">
        <f>VLOOKUP(B458,'Player Data'!$A1:$AE734,15,FALSE)*$Q458</f>
        <v>29.02708620075753</v>
      </c>
      <c r="AB458" s="41">
        <f>VLOOKUP(B458,'Player Data'!$A1:$AE734,16,FALSE)*$Q458</f>
        <v>69.616150822278769</v>
      </c>
      <c r="AC458" s="41">
        <f>VLOOKUP(B458,'Player Data'!$A1:$AE734,17,FALSE)*$Q458*IFERROR((VLOOKUP(P458,Settings!$E$28:$F$33,2,FALSE)+1),1)</f>
        <v>-6.7581773049958649</v>
      </c>
      <c r="AD458" s="41">
        <f>VLOOKUP(B458,'Player Data'!$A1:$AE734,18,FALSE)*$Q458</f>
        <v>24.244599195156056</v>
      </c>
      <c r="AE458" s="41">
        <f>VLOOKUP(B458,'Player Data'!$A1:$AE734,19,FALSE)*$Q458*IFERROR((VLOOKUP(P458,Settings!$E$28:$F$33,2,FALSE)+1),1)</f>
        <v>1.445650236770138</v>
      </c>
      <c r="AF458" s="41">
        <f>VLOOKUP(B458,'Player Data'!$A1:$AE734,20,FALSE)*$Q458</f>
        <v>95.76138383004249</v>
      </c>
      <c r="AG458" s="41">
        <f>VLOOKUP(B458,'Player Data'!$A1:$AE734,21,FALSE)*$Q458</f>
        <v>81.99566937237401</v>
      </c>
      <c r="AH458" s="42">
        <f>VLOOKUP(B458,'Player Data'!$A1:$AE734,22,FALSE)</f>
        <v>0.53872058579299498</v>
      </c>
      <c r="AI458" s="39"/>
      <c r="AJ458" s="43"/>
      <c r="AK458" s="41"/>
      <c r="AL458" s="41"/>
      <c r="AM458" s="41"/>
      <c r="AN458" s="41"/>
      <c r="AO458" s="41"/>
      <c r="AP458" s="41"/>
      <c r="AQ458" s="44"/>
      <c r="AR458" s="45"/>
      <c r="AS458" s="39"/>
    </row>
    <row r="459" spans="1:45" ht="21.25" customHeight="1" x14ac:dyDescent="0.15">
      <c r="A459" s="31">
        <f>RANK(K459,K$2:K$727)</f>
        <v>458</v>
      </c>
      <c r="B459" s="8" t="s">
        <v>563</v>
      </c>
      <c r="C459" s="32" t="s">
        <v>106</v>
      </c>
      <c r="D459" s="33" t="str">
        <f>VLOOKUP(B459,'Player Data'!A1:D734,4,FALSE)</f>
        <v>D</v>
      </c>
      <c r="E459" s="49">
        <f>VLOOKUP(B459,D!A1:C227,3,FALSE)</f>
        <v>167</v>
      </c>
      <c r="F459" s="35" t="str">
        <f>VLOOKUP(B459,'Player Data'!A1:B734,2,FALSE)</f>
        <v>DAL</v>
      </c>
      <c r="G459" s="9">
        <f>VLOOKUP(B459,'Player Data'!A1:D734,3,FALSE)</f>
        <v>31</v>
      </c>
      <c r="H459" s="36">
        <f>IFERROR(VLOOKUP(B459,ADP!A1:G728,7,FALSE)/1000000,VLOOKUP(B459,ADP!A1:G728,7,FALSE))</f>
        <v>1.5</v>
      </c>
      <c r="I459" s="37">
        <f>IF(Settings!$E$15="POINTS",((R459*Q459)*Settings!$B$12)+(S459*Settings!$B$2)+(T459*Settings!$B$3)+(U459*Settings!$B$4)+(V459*Settings!$B$5)+(X459*Settings!$B$9)+(AA459*Settings!$B$6)+(W459*Settings!$B$8)+(AB459*Settings!$B$7)+(AC459*Settings!$B$14)+(AD459*Settings!$B$15)+(AE459*Settings!$B$16)+(AF459*Settings!$B$17)+(AG459*Settings!$B$18)+(U459*Settings!$B$13)+(Y459*Settings!$B$10)+(Z459*Settings!$B$11),VLOOKUP(B459,'Standard Deviations'!A1:C728,3,FALSE))</f>
        <v>105.70941021727675</v>
      </c>
      <c r="J459" s="38">
        <f>IF(D459="G",I459/AJ459,I459/Q459)</f>
        <v>1.2906906761105459</v>
      </c>
      <c r="K459" s="37">
        <f>VLOOKUP(B459,D!A1:F227,6,FALSE)</f>
        <v>-205.85607141065071</v>
      </c>
      <c r="L459" s="37">
        <f>IFERROR(K459/H459,"N/A")</f>
        <v>-137.23738094043381</v>
      </c>
      <c r="M459" s="39">
        <f>IF(Settings!$E$9="YAHOO",VLOOKUP(B459,ADP!A1:E728,2,FALSE),IF(Settings!$E$9="ESPN",VLOOKUP(B459,ADP!A1:E728,3,FALSE),IF(Settings!$E$9="FANTRAX",VLOOKUP(B459,ADP!A1:E728,4,FALSE),VLOOKUP(B459,ADP!A1:E728,5,FALSE))))</f>
        <v>179.7</v>
      </c>
      <c r="N459" s="39">
        <f>IFERROR(M459-A459,"N/A")</f>
        <v>-278.3</v>
      </c>
      <c r="O459" s="39"/>
      <c r="P459" s="40" t="str">
        <f>IF(Settings!$E$27="ON",VLOOKUP(B459,ADP!A1:H728,8,FALSE)," ")</f>
        <v xml:space="preserve"> </v>
      </c>
      <c r="Q459" s="41">
        <f>IF(Settings!$E$12="YES",VLOOKUP(B459,'Player Data'!A1:E734,5,FALSE),82)</f>
        <v>81.901428571428596</v>
      </c>
      <c r="R459" s="39">
        <f>VLOOKUP(B459,'Player Data'!$A1:$AE734,6,FALSE)</f>
        <v>18.300264117446801</v>
      </c>
      <c r="S459" s="41">
        <f>VLOOKUP(B459,'Player Data'!$A1:$AE734,7,FALSE)*$Q459*IFERROR((VLOOKUP(P459,Settings!$E$28:$F$33,2,FALSE)+1),1)</f>
        <v>4.1828916432462471</v>
      </c>
      <c r="T459" s="41">
        <f>VLOOKUP(B459,'Player Data'!$A1:$AE734,8,FALSE)*$Q459*IFERROR((VLOOKUP(P459,Settings!$E$28:$F$33,2,FALSE)+1),1)</f>
        <v>8.6360934430805791</v>
      </c>
      <c r="U459" s="41">
        <f>SUM(S459:T459)</f>
        <v>12.818985086326826</v>
      </c>
      <c r="V459" s="41">
        <f>VLOOKUP(B459,'Player Data'!$A1:$AE734,10,FALSE)*$Q459*IFERROR(((VLOOKUP(P459,Settings!$E$28:$F$33,2,FALSE)/2)+1),1)</f>
        <v>81.451473855369571</v>
      </c>
      <c r="W459" s="41">
        <f>VLOOKUP(B459,'Player Data'!$A1:$AE734,11,FALSE)*$Q459*IFERROR((VLOOKUP(P459,Settings!$E$28:$F$33,2,FALSE)+1),1)</f>
        <v>2.6677837480970662E-2</v>
      </c>
      <c r="X459" s="41">
        <f>VLOOKUP(B459,'Player Data'!$A1:$AE734,12,FALSE)*$Q459*IFERROR((VLOOKUP(P459,Settings!$E$28:$F$33,2,FALSE)+1),1)</f>
        <v>0.18250930769261883</v>
      </c>
      <c r="Y459" s="41">
        <f>VLOOKUP(B459,'Player Data'!$A1:$AE734,13,FALSE)*$Q459</f>
        <v>2.6026395996370813E-2</v>
      </c>
      <c r="Z459" s="41">
        <f>VLOOKUP(B459,'Player Data'!$A1:$AE734,14,FALSE)*$Q459</f>
        <v>0.61786702553572648</v>
      </c>
      <c r="AA459" s="41">
        <f>VLOOKUP(B459,'Player Data'!$A1:$AE734,15,FALSE)*$Q459</f>
        <v>124.629826820774</v>
      </c>
      <c r="AB459" s="41">
        <f>VLOOKUP(B459,'Player Data'!$A1:$AE734,16,FALSE)*$Q459</f>
        <v>208.43343997108346</v>
      </c>
      <c r="AC459" s="41">
        <f>VLOOKUP(B459,'Player Data'!$A1:$AE734,17,FALSE)*$Q459*IFERROR((VLOOKUP(P459,Settings!$E$28:$F$33,2,FALSE)+1),1)</f>
        <v>3.5588621536210194</v>
      </c>
      <c r="AD459" s="41">
        <f>VLOOKUP(B459,'Player Data'!$A1:$AE734,18,FALSE)*$Q459</f>
        <v>48.21706793874295</v>
      </c>
      <c r="AE459" s="41">
        <f>VLOOKUP(B459,'Player Data'!$A1:$AE734,19,FALSE)*$Q459*IFERROR((VLOOKUP(P459,Settings!$E$28:$F$33,2,FALSE)+1),1)</f>
        <v>0.66923301017274683</v>
      </c>
      <c r="AF459" s="41">
        <f>VLOOKUP(B459,'Player Data'!$A1:$AE734,20,FALSE)*$Q459</f>
        <v>0</v>
      </c>
      <c r="AG459" s="41">
        <f>VLOOKUP(B459,'Player Data'!$A1:$AE734,21,FALSE)*$Q459</f>
        <v>0</v>
      </c>
      <c r="AH459" s="42">
        <f>VLOOKUP(B459,'Player Data'!$A1:$AE734,22,FALSE)</f>
        <v>0</v>
      </c>
      <c r="AI459" s="39"/>
      <c r="AJ459" s="43"/>
      <c r="AK459" s="41"/>
      <c r="AL459" s="41"/>
      <c r="AM459" s="41"/>
      <c r="AN459" s="41"/>
      <c r="AO459" s="41"/>
      <c r="AP459" s="41"/>
      <c r="AQ459" s="44"/>
      <c r="AR459" s="45"/>
      <c r="AS459" s="39"/>
    </row>
    <row r="460" spans="1:45" ht="21.25" customHeight="1" x14ac:dyDescent="0.15">
      <c r="A460" s="31">
        <f>RANK(K460,K$2:K$727)</f>
        <v>459</v>
      </c>
      <c r="B460" s="8" t="s">
        <v>564</v>
      </c>
      <c r="C460" s="32" t="s">
        <v>106</v>
      </c>
      <c r="D460" s="33" t="str">
        <f>VLOOKUP(B460,'Player Data'!A1:D734,4,FALSE)</f>
        <v>RW</v>
      </c>
      <c r="E460" s="46">
        <f>VLOOKUP(B460,RW!A1:F97,3,FALSE)</f>
        <v>61</v>
      </c>
      <c r="F460" s="35" t="str">
        <f>VLOOKUP(B460,'Player Data'!A1:B734,2,FALSE)</f>
        <v>UFA</v>
      </c>
      <c r="G460" s="9">
        <f>VLOOKUP(B460,'Player Data'!A1:D734,3,FALSE)</f>
        <v>33</v>
      </c>
      <c r="H460" s="36">
        <f>IFERROR(VLOOKUP(B460,ADP!A1:G728,7,FALSE)/1000000,VLOOKUP(B460,ADP!A1:G728,7,FALSE))</f>
        <v>5</v>
      </c>
      <c r="I460" s="37">
        <f>IF(Settings!$E$15="POINTS",((R460*Q460)*Settings!$B$12)+(S460*Settings!$B$2)+(T460*Settings!$B$3)+(U460*Settings!$B$4)+(V460*Settings!$B$5)+(X460*Settings!$B$9)+(AA460*Settings!$B$6)+(W460*Settings!$B$8)+(AB460*Settings!$B$7)+(AC460*Settings!$B$14)+(AD460*Settings!$B$15)+(AE460*Settings!$B$16)+(AF460*Settings!$B$17)+(AG460*Settings!$B$18)+(Y460*Settings!$B$10)+(Z460*Settings!$B$11),VLOOKUP(B460,'Standard Deviations'!A1:C728,3,FALSE))</f>
        <v>144.11403409872037</v>
      </c>
      <c r="J460" s="38">
        <f>IF(D460="G",I460/AJ460,I460/Q460)</f>
        <v>1.8609251859748606</v>
      </c>
      <c r="K460" s="37">
        <f>IF(Settings!$E$18="C/LW/RW",VLOOKUP(B460,RW!A1:F97,6,FALSE),VLOOKUP(B460,F!A1:F430,6,FALSE))</f>
        <v>-206.1575064491692</v>
      </c>
      <c r="L460" s="37">
        <f>IFERROR(K460/H460,"N/A")</f>
        <v>-41.231501289833844</v>
      </c>
      <c r="M460" s="53" t="str">
        <f>IF(Settings!$E$9="YAHOO",VLOOKUP(B460,ADP!A1:E728,2,FALSE),IF(Settings!$E$9="ESPN",VLOOKUP(B460,ADP!A1:E728,3,FALSE),IF(Settings!$E$9="FANTRAX",VLOOKUP(B460,ADP!A1:E728,4,FALSE),VLOOKUP(B460,ADP!A1:E728,5,FALSE))))</f>
        <v>-</v>
      </c>
      <c r="N460" s="53" t="str">
        <f>IFERROR(M460-A460,"N/A")</f>
        <v>N/A</v>
      </c>
      <c r="O460" s="39"/>
      <c r="P460" s="40" t="str">
        <f>IF(Settings!$E$27="ON",VLOOKUP(B460,ADP!A1:H728,8,FALSE)," ")</f>
        <v xml:space="preserve"> </v>
      </c>
      <c r="Q460" s="41">
        <f>IF(Settings!$E$12="YES",VLOOKUP(B460,'Player Data'!A1:E734,5,FALSE),82)</f>
        <v>77.442142857142898</v>
      </c>
      <c r="R460" s="39">
        <f>VLOOKUP(B460,'Player Data'!$A1:$AE734,6,FALSE)</f>
        <v>13.1155186302065</v>
      </c>
      <c r="S460" s="41">
        <f>VLOOKUP(B460,'Player Data'!$A1:$AE734,7,FALSE)*$Q460*IFERROR((VLOOKUP(P460,Settings!$E$28:$F$33,2,FALSE)+1),1)</f>
        <v>9.3499423625645548</v>
      </c>
      <c r="T460" s="41">
        <f>VLOOKUP(B460,'Player Data'!$A1:$AE734,8,FALSE)*$Q460*IFERROR((VLOOKUP(P460,Settings!$E$28:$F$33,2,FALSE)+1),1)</f>
        <v>20.141436790627122</v>
      </c>
      <c r="U460" s="41">
        <f>SUM(S460:T460)</f>
        <v>29.491379153191676</v>
      </c>
      <c r="V460" s="41">
        <f>VLOOKUP(B460,'Player Data'!$A1:$AE734,10,FALSE)*$Q460*IFERROR(((VLOOKUP(P460,Settings!$E$28:$F$33,2,FALSE)/2)+1),1)</f>
        <v>83.23613481128784</v>
      </c>
      <c r="W460" s="41">
        <f>VLOOKUP(B460,'Player Data'!$A1:$AE734,11,FALSE)*$Q460*IFERROR((VLOOKUP(P460,Settings!$E$28:$F$33,2,FALSE)+1),1)</f>
        <v>0.57602142073652196</v>
      </c>
      <c r="X460" s="41">
        <f>VLOOKUP(B460,'Player Data'!$A1:$AE734,12,FALSE)*$Q460*IFERROR((VLOOKUP(P460,Settings!$E$28:$F$33,2,FALSE)+1),1)</f>
        <v>4.2764405872165803</v>
      </c>
      <c r="Y460" s="41">
        <f>VLOOKUP(B460,'Player Data'!$A1:$AE734,13,FALSE)*$Q460</f>
        <v>0</v>
      </c>
      <c r="Z460" s="41">
        <f>VLOOKUP(B460,'Player Data'!$A1:$AE734,14,FALSE)*$Q460</f>
        <v>0</v>
      </c>
      <c r="AA460" s="41">
        <f>VLOOKUP(B460,'Player Data'!$A1:$AE734,15,FALSE)*$Q460</f>
        <v>27.344740295341204</v>
      </c>
      <c r="AB460" s="41">
        <f>VLOOKUP(B460,'Player Data'!$A1:$AE734,16,FALSE)*$Q460</f>
        <v>27.534715165226437</v>
      </c>
      <c r="AC460" s="41">
        <f>VLOOKUP(B460,'Player Data'!$A1:$AE734,17,FALSE)*$Q460*IFERROR((VLOOKUP(P460,Settings!$E$28:$F$33,2,FALSE)+1),1)</f>
        <v>-0.55943553757420028</v>
      </c>
      <c r="AD460" s="41">
        <f>VLOOKUP(B460,'Player Data'!$A1:$AE734,18,FALSE)*$Q460</f>
        <v>7.7468711722050214</v>
      </c>
      <c r="AE460" s="41">
        <f>VLOOKUP(B460,'Player Data'!$A1:$AE734,19,FALSE)*$Q460*IFERROR((VLOOKUP(P460,Settings!$E$28:$F$33,2,FALSE)+1),1)</f>
        <v>0</v>
      </c>
      <c r="AF460" s="41">
        <f>VLOOKUP(B460,'Player Data'!$A1:$AE734,20,FALSE)*$Q460</f>
        <v>36.786114069498026</v>
      </c>
      <c r="AG460" s="41">
        <f>VLOOKUP(B460,'Player Data'!$A1:$AE734,21,FALSE)*$Q460</f>
        <v>52.769611067420627</v>
      </c>
      <c r="AH460" s="42">
        <f>VLOOKUP(B460,'Player Data'!$A1:$AE734,22,FALSE)</f>
        <v>0.41076228251468</v>
      </c>
      <c r="AI460" s="39"/>
      <c r="AJ460" s="43"/>
      <c r="AK460" s="41"/>
      <c r="AL460" s="41"/>
      <c r="AM460" s="41"/>
      <c r="AN460" s="41"/>
      <c r="AO460" s="41"/>
      <c r="AP460" s="41"/>
      <c r="AQ460" s="44"/>
      <c r="AR460" s="45"/>
      <c r="AS460" s="39"/>
    </row>
    <row r="461" spans="1:45" ht="21.25" customHeight="1" x14ac:dyDescent="0.15">
      <c r="A461" s="31">
        <f>RANK(K461,K$2:K$727)</f>
        <v>460</v>
      </c>
      <c r="B461" s="8" t="s">
        <v>565</v>
      </c>
      <c r="C461" s="32" t="s">
        <v>106</v>
      </c>
      <c r="D461" s="33" t="str">
        <f>VLOOKUP(B461,'Player Data'!A1:D734,4,FALSE)</f>
        <v>RW</v>
      </c>
      <c r="E461" s="46">
        <f>VLOOKUP(B461,RW!A1:F97,3,FALSE)</f>
        <v>62</v>
      </c>
      <c r="F461" s="35" t="str">
        <f>VLOOKUP(B461,'Player Data'!A1:B734,2,FALSE)</f>
        <v>CBJ</v>
      </c>
      <c r="G461" s="9">
        <f>VLOOKUP(B461,'Player Data'!A1:D734,3,FALSE)</f>
        <v>22</v>
      </c>
      <c r="H461" s="36">
        <f>IFERROR(VLOOKUP(B461,ADP!A1:G728,7,FALSE)/1000000,VLOOKUP(B461,ADP!A1:G728,7,FALSE))</f>
        <v>0.8</v>
      </c>
      <c r="I461" s="37">
        <f>IF(Settings!$E$15="POINTS",((R461*Q461)*Settings!$B$12)+(S461*Settings!$B$2)+(T461*Settings!$B$3)+(U461*Settings!$B$4)+(V461*Settings!$B$5)+(X461*Settings!$B$9)+(AA461*Settings!$B$6)+(W461*Settings!$B$8)+(AB461*Settings!$B$7)+(AC461*Settings!$B$14)+(AD461*Settings!$B$15)+(AE461*Settings!$B$16)+(AF461*Settings!$B$17)+(AG461*Settings!$B$18)+(Y461*Settings!$B$10)+(Z461*Settings!$B$11),VLOOKUP(B461,'Standard Deviations'!A1:C728,3,FALSE))</f>
        <v>144.07397630707715</v>
      </c>
      <c r="J461" s="38">
        <f>IF(D461="G",I461/AJ461,I461/Q461)</f>
        <v>2.0581996615296734</v>
      </c>
      <c r="K461" s="37">
        <f>IF(Settings!$E$18="C/LW/RW",VLOOKUP(B461,RW!A1:F97,6,FALSE),VLOOKUP(B461,F!A1:F430,6,FALSE))</f>
        <v>-206.19756424081243</v>
      </c>
      <c r="L461" s="37">
        <f>IFERROR(K461/H461,"N/A")</f>
        <v>-257.74695530101553</v>
      </c>
      <c r="M461" s="53" t="str">
        <f>IF(Settings!$E$9="YAHOO",VLOOKUP(B461,ADP!A1:E728,2,FALSE),IF(Settings!$E$9="ESPN",VLOOKUP(B461,ADP!A1:E728,3,FALSE),IF(Settings!$E$9="FANTRAX",VLOOKUP(B461,ADP!A1:E728,4,FALSE),VLOOKUP(B461,ADP!A1:E728,5,FALSE))))</f>
        <v>-</v>
      </c>
      <c r="N461" s="53" t="str">
        <f>IFERROR(M461-A461,"N/A")</f>
        <v>N/A</v>
      </c>
      <c r="O461" s="39"/>
      <c r="P461" s="40" t="str">
        <f>IF(Settings!$E$27="ON",VLOOKUP(B461,ADP!A1:H728,8,FALSE)," ")</f>
        <v xml:space="preserve"> </v>
      </c>
      <c r="Q461" s="41">
        <f>IF(Settings!$E$12="YES",VLOOKUP(B461,'Player Data'!A1:E734,5,FALSE),82)</f>
        <v>70</v>
      </c>
      <c r="R461" s="39">
        <f>VLOOKUP(B461,'Player Data'!$A1:$AE734,6,FALSE)</f>
        <v>13.252333333333301</v>
      </c>
      <c r="S461" s="41">
        <f>VLOOKUP(B461,'Player Data'!$A1:$AE734,7,FALSE)*$Q461*IFERROR((VLOOKUP(P461,Settings!$E$28:$F$33,2,FALSE)+1),1)</f>
        <v>10.19842921564684</v>
      </c>
      <c r="T461" s="41">
        <f>VLOOKUP(B461,'Player Data'!$A1:$AE734,8,FALSE)*$Q461*IFERROR((VLOOKUP(P461,Settings!$E$28:$F$33,2,FALSE)+1),1)</f>
        <v>15.256804158329091</v>
      </c>
      <c r="U461" s="41">
        <f>SUM(S461:T461)</f>
        <v>25.455233373975929</v>
      </c>
      <c r="V461" s="41">
        <f>VLOOKUP(B461,'Player Data'!$A1:$AE734,10,FALSE)*$Q461*IFERROR(((VLOOKUP(P461,Settings!$E$28:$F$33,2,FALSE)/2)+1),1)</f>
        <v>107.22360060654411</v>
      </c>
      <c r="W461" s="41">
        <f>VLOOKUP(B461,'Player Data'!$A1:$AE734,11,FALSE)*$Q461*IFERROR((VLOOKUP(P461,Settings!$E$28:$F$33,2,FALSE)+1),1)</f>
        <v>1.6874474332506699</v>
      </c>
      <c r="X461" s="41">
        <f>VLOOKUP(B461,'Player Data'!$A1:$AE734,12,FALSE)*$Q461*IFERROR((VLOOKUP(P461,Settings!$E$28:$F$33,2,FALSE)+1),1)</f>
        <v>3.9807667329386529</v>
      </c>
      <c r="Y461" s="41">
        <f>VLOOKUP(B461,'Player Data'!$A1:$AE734,13,FALSE)*$Q461</f>
        <v>0</v>
      </c>
      <c r="Z461" s="41">
        <f>VLOOKUP(B461,'Player Data'!$A1:$AE734,14,FALSE)*$Q461</f>
        <v>0</v>
      </c>
      <c r="AA461" s="41">
        <f>VLOOKUP(B461,'Player Data'!$A1:$AE734,15,FALSE)*$Q461</f>
        <v>30.674712080000031</v>
      </c>
      <c r="AB461" s="41">
        <f>VLOOKUP(B461,'Player Data'!$A1:$AE734,16,FALSE)*$Q461</f>
        <v>70.632839100986402</v>
      </c>
      <c r="AC461" s="41">
        <f>VLOOKUP(B461,'Player Data'!$A1:$AE734,17,FALSE)*$Q461*IFERROR((VLOOKUP(P461,Settings!$E$28:$F$33,2,FALSE)+1),1)</f>
        <v>-1.844833605883569</v>
      </c>
      <c r="AD461" s="41">
        <f>VLOOKUP(B461,'Player Data'!$A1:$AE734,18,FALSE)*$Q461</f>
        <v>21.81805701464949</v>
      </c>
      <c r="AE461" s="41">
        <f>VLOOKUP(B461,'Player Data'!$A1:$AE734,19,FALSE)*$Q461*IFERROR((VLOOKUP(P461,Settings!$E$28:$F$33,2,FALSE)+1),1)</f>
        <v>1.0928319085515299</v>
      </c>
      <c r="AF461" s="41">
        <f>VLOOKUP(B461,'Player Data'!$A1:$AE734,20,FALSE)*$Q461</f>
        <v>0.89810160119119309</v>
      </c>
      <c r="AG461" s="41">
        <f>VLOOKUP(B461,'Player Data'!$A1:$AE734,21,FALSE)*$Q461</f>
        <v>6.1535352298635466</v>
      </c>
      <c r="AH461" s="42">
        <f>VLOOKUP(B461,'Player Data'!$A1:$AE734,22,FALSE)</f>
        <v>0.12736072811294499</v>
      </c>
      <c r="AI461" s="39"/>
      <c r="AJ461" s="43"/>
      <c r="AK461" s="41"/>
      <c r="AL461" s="41"/>
      <c r="AM461" s="41"/>
      <c r="AN461" s="41"/>
      <c r="AO461" s="41"/>
      <c r="AP461" s="41"/>
      <c r="AQ461" s="44"/>
      <c r="AR461" s="45"/>
      <c r="AS461" s="39"/>
    </row>
    <row r="462" spans="1:45" ht="21.25" customHeight="1" x14ac:dyDescent="0.15">
      <c r="A462" s="31">
        <f>RANK(K462,K$2:K$727)</f>
        <v>461</v>
      </c>
      <c r="B462" s="8" t="s">
        <v>566</v>
      </c>
      <c r="C462" s="32" t="s">
        <v>106</v>
      </c>
      <c r="D462" s="33" t="str">
        <f>VLOOKUP(B462,'Player Data'!A1:D734,4,FALSE)</f>
        <v>C</v>
      </c>
      <c r="E462" s="34">
        <f>VLOOKUP(B462,'C'!A1:C211,3,FALSE)</f>
        <v>109</v>
      </c>
      <c r="F462" s="35" t="str">
        <f>VLOOKUP(B462,'Player Data'!A1:B734,2,FALSE)</f>
        <v>NSH</v>
      </c>
      <c r="G462" s="9">
        <f>VLOOKUP(B462,'Player Data'!A1:D734,3,FALSE)</f>
        <v>22</v>
      </c>
      <c r="H462" s="36">
        <f>IFERROR(VLOOKUP(B462,ADP!A1:G728,7,FALSE)/1000000,VLOOKUP(B462,ADP!A1:G728,7,FALSE))</f>
        <v>0.85083299999999995</v>
      </c>
      <c r="I462" s="37">
        <f>IF(Settings!$E$15="POINTS",((R462*Q462)*Settings!$B$12)+(S462*Settings!$B$2)+(T462*Settings!$B$3)+(U462*Settings!$B$4)+(V462*Settings!$B$5)+(X462*Settings!$B$9)+(AA462*Settings!$B$6)+(W462*Settings!$B$8)+(AB462*Settings!$B$7)+(AC462*Settings!$B$14)+(AD462*Settings!$B$15)+(AE462*Settings!$B$16)+(AF462*Settings!$B$17)+(AG462*Settings!$B$18)+(Y462*Settings!$B$10)+(Z462*Settings!$B$11),VLOOKUP(B462,'Standard Deviations'!A1:C728,3,FALSE))</f>
        <v>186.9862027885772</v>
      </c>
      <c r="J462" s="38">
        <f>IF(D462="G",I462/AJ462,I462/Q462)</f>
        <v>2.6115391450918604</v>
      </c>
      <c r="K462" s="37">
        <f>IF(Settings!$E$18="C/LW/RW",VLOOKUP(B462,'C'!A1:F211,6,FALSE),VLOOKUP(B462,F!A1:F430,6,FALSE))</f>
        <v>-206.34260297763245</v>
      </c>
      <c r="L462" s="37">
        <f>IFERROR(K462/H462,"N/A")</f>
        <v>-242.51833553427343</v>
      </c>
      <c r="M462" s="53" t="str">
        <f>IF(Settings!$E$9="YAHOO",VLOOKUP(B462,ADP!A1:E728,2,FALSE),IF(Settings!$E$9="ESPN",VLOOKUP(B462,ADP!A1:E728,3,FALSE),IF(Settings!$E$9="FANTRAX",VLOOKUP(B462,ADP!A1:E728,4,FALSE),VLOOKUP(B462,ADP!A1:E728,5,FALSE))))</f>
        <v>-</v>
      </c>
      <c r="N462" s="53" t="str">
        <f>IFERROR(M462-A462,"N/A")</f>
        <v>N/A</v>
      </c>
      <c r="O462" s="39"/>
      <c r="P462" s="40" t="str">
        <f>IF(Settings!$E$27="ON",VLOOKUP(B462,ADP!A1:H728,8,FALSE)," ")</f>
        <v xml:space="preserve"> </v>
      </c>
      <c r="Q462" s="41">
        <f>IF(Settings!$E$12="YES",VLOOKUP(B462,'Player Data'!A1:E734,5,FALSE),82)</f>
        <v>71.599999999999994</v>
      </c>
      <c r="R462" s="39">
        <f>VLOOKUP(B462,'Player Data'!$A1:$AE734,6,FALSE)</f>
        <v>14.120485748556</v>
      </c>
      <c r="S462" s="41">
        <f>VLOOKUP(B462,'Player Data'!$A1:$AE734,7,FALSE)*$Q462*IFERROR((VLOOKUP(P462,Settings!$E$28:$F$33,2,FALSE)+1),1)</f>
        <v>12.116037083759855</v>
      </c>
      <c r="T462" s="41">
        <f>VLOOKUP(B462,'Player Data'!$A1:$AE734,8,FALSE)*$Q462*IFERROR((VLOOKUP(P462,Settings!$E$28:$F$33,2,FALSE)+1),1)</f>
        <v>26.553803721527842</v>
      </c>
      <c r="U462" s="41">
        <f>SUM(S462:T462)</f>
        <v>38.669840805287699</v>
      </c>
      <c r="V462" s="41">
        <f>VLOOKUP(B462,'Player Data'!$A1:$AE734,10,FALSE)*$Q462*IFERROR(((VLOOKUP(P462,Settings!$E$28:$F$33,2,FALSE)/2)+1),1)</f>
        <v>89.317737404290696</v>
      </c>
      <c r="W462" s="41">
        <f>VLOOKUP(B462,'Player Data'!$A1:$AE734,11,FALSE)*$Q462*IFERROR((VLOOKUP(P462,Settings!$E$28:$F$33,2,FALSE)+1),1)</f>
        <v>2.1855097351911055</v>
      </c>
      <c r="X462" s="41">
        <f>VLOOKUP(B462,'Player Data'!$A1:$AE734,12,FALSE)*$Q462*IFERROR((VLOOKUP(P462,Settings!$E$28:$F$33,2,FALSE)+1),1)</f>
        <v>10.194363702879809</v>
      </c>
      <c r="Y462" s="41">
        <f>VLOOKUP(B462,'Player Data'!$A1:$AE734,13,FALSE)*$Q462</f>
        <v>1.6112068939315941E-2</v>
      </c>
      <c r="Z462" s="41">
        <f>VLOOKUP(B462,'Player Data'!$A1:$AE734,14,FALSE)*$Q462</f>
        <v>2.8709843756612393E-2</v>
      </c>
      <c r="AA462" s="41">
        <f>VLOOKUP(B462,'Player Data'!$A1:$AE734,15,FALSE)*$Q462</f>
        <v>29.358322886479613</v>
      </c>
      <c r="AB462" s="41">
        <f>VLOOKUP(B462,'Player Data'!$A1:$AE734,16,FALSE)*$Q462</f>
        <v>107.97297553557098</v>
      </c>
      <c r="AC462" s="41">
        <f>VLOOKUP(B462,'Player Data'!$A1:$AE734,17,FALSE)*$Q462*IFERROR((VLOOKUP(P462,Settings!$E$28:$F$33,2,FALSE)+1),1)</f>
        <v>-0.17221345097196963</v>
      </c>
      <c r="AD462" s="41">
        <f>VLOOKUP(B462,'Player Data'!$A1:$AE734,18,FALSE)*$Q462</f>
        <v>24.445412582997861</v>
      </c>
      <c r="AE462" s="41">
        <f>VLOOKUP(B462,'Player Data'!$A1:$AE734,19,FALSE)*$Q462*IFERROR((VLOOKUP(P462,Settings!$E$28:$F$33,2,FALSE)+1),1)</f>
        <v>1.7692582979995413</v>
      </c>
      <c r="AF462" s="41">
        <f>VLOOKUP(B462,'Player Data'!$A1:$AE734,20,FALSE)*$Q462</f>
        <v>242.95992377903016</v>
      </c>
      <c r="AG462" s="41">
        <f>VLOOKUP(B462,'Player Data'!$A1:$AE734,21,FALSE)*$Q462</f>
        <v>244.52740715825016</v>
      </c>
      <c r="AH462" s="42">
        <f>VLOOKUP(B462,'Player Data'!$A1:$AE734,22,FALSE)</f>
        <v>0.49839228295819898</v>
      </c>
      <c r="AI462" s="39"/>
      <c r="AJ462" s="43"/>
      <c r="AK462" s="41"/>
      <c r="AL462" s="41"/>
      <c r="AM462" s="41"/>
      <c r="AN462" s="41"/>
      <c r="AO462" s="41"/>
      <c r="AP462" s="41"/>
      <c r="AQ462" s="44"/>
      <c r="AR462" s="45"/>
      <c r="AS462" s="39"/>
    </row>
    <row r="463" spans="1:45" ht="21.25" customHeight="1" x14ac:dyDescent="0.15">
      <c r="A463" s="31">
        <f>RANK(K463,K$2:K$727)</f>
        <v>462</v>
      </c>
      <c r="B463" s="8" t="s">
        <v>567</v>
      </c>
      <c r="C463" s="32" t="s">
        <v>106</v>
      </c>
      <c r="D463" s="33" t="str">
        <f>VLOOKUP(B463,'Player Data'!A1:D734,4,FALSE)</f>
        <v>D</v>
      </c>
      <c r="E463" s="49">
        <f>VLOOKUP(B463,D!A1:C227,3,FALSE)</f>
        <v>168</v>
      </c>
      <c r="F463" s="35" t="str">
        <f>VLOOKUP(B463,'Player Data'!A1:B734,2,FALSE)</f>
        <v>WSH</v>
      </c>
      <c r="G463" s="9">
        <f>VLOOKUP(B463,'Player Data'!A1:D734,3,FALSE)</f>
        <v>30</v>
      </c>
      <c r="H463" s="36">
        <f>IFERROR(VLOOKUP(B463,ADP!A1:G728,7,FALSE)/1000000,VLOOKUP(B463,ADP!A1:G728,7,FALSE))</f>
        <v>1.75</v>
      </c>
      <c r="I463" s="37">
        <f>IF(Settings!$E$15="POINTS",((R463*Q463)*Settings!$B$12)+(S463*Settings!$B$2)+(T463*Settings!$B$3)+(U463*Settings!$B$4)+(V463*Settings!$B$5)+(X463*Settings!$B$9)+(AA463*Settings!$B$6)+(W463*Settings!$B$8)+(AB463*Settings!$B$7)+(AC463*Settings!$B$14)+(AD463*Settings!$B$15)+(AE463*Settings!$B$16)+(AF463*Settings!$B$17)+(AG463*Settings!$B$18)+(U463*Settings!$B$13)+(Y463*Settings!$B$10)+(Z463*Settings!$B$11),VLOOKUP(B463,'Standard Deviations'!A1:C728,3,FALSE))</f>
        <v>105.07090260922206</v>
      </c>
      <c r="J463" s="38">
        <f>IF(D463="G",I463/AJ463,I463/Q463)</f>
        <v>1.6838285674554818</v>
      </c>
      <c r="K463" s="37">
        <f>VLOOKUP(B463,D!A1:F227,6,FALSE)</f>
        <v>-206.49457901870539</v>
      </c>
      <c r="L463" s="37">
        <f>IFERROR(K463/H463,"N/A")</f>
        <v>-117.99690229640308</v>
      </c>
      <c r="M463" s="53" t="str">
        <f>IF(Settings!$E$9="YAHOO",VLOOKUP(B463,ADP!A1:E728,2,FALSE),IF(Settings!$E$9="ESPN",VLOOKUP(B463,ADP!A1:E728,3,FALSE),IF(Settings!$E$9="FANTRAX",VLOOKUP(B463,ADP!A1:E728,4,FALSE),VLOOKUP(B463,ADP!A1:E728,5,FALSE))))</f>
        <v>-</v>
      </c>
      <c r="N463" s="53" t="str">
        <f>IFERROR(M463-A463,"N/A")</f>
        <v>N/A</v>
      </c>
      <c r="O463" s="39"/>
      <c r="P463" s="40" t="str">
        <f>IF(Settings!$E$27="ON",VLOOKUP(B463,ADP!A1:H728,8,FALSE)," ")</f>
        <v xml:space="preserve"> </v>
      </c>
      <c r="Q463" s="41">
        <f>IF(Settings!$E$12="YES",VLOOKUP(B463,'Player Data'!A1:E734,5,FALSE),82)</f>
        <v>62.4</v>
      </c>
      <c r="R463" s="39">
        <f>VLOOKUP(B463,'Player Data'!$A1:$AE734,6,FALSE)</f>
        <v>19.066660898265699</v>
      </c>
      <c r="S463" s="41">
        <f>VLOOKUP(B463,'Player Data'!$A1:$AE734,7,FALSE)*$Q463*IFERROR((VLOOKUP(P463,Settings!$E$28:$F$33,2,FALSE)+1),1)</f>
        <v>3.2051585631515112</v>
      </c>
      <c r="T463" s="41">
        <f>VLOOKUP(B463,'Player Data'!$A1:$AE734,8,FALSE)*$Q463*IFERROR((VLOOKUP(P463,Settings!$E$28:$F$33,2,FALSE)+1),1)</f>
        <v>10.646839580831063</v>
      </c>
      <c r="U463" s="41">
        <f>SUM(S463:T463)</f>
        <v>13.851998143982573</v>
      </c>
      <c r="V463" s="41">
        <f>VLOOKUP(B463,'Player Data'!$A1:$AE734,10,FALSE)*$Q463*IFERROR(((VLOOKUP(P463,Settings!$E$28:$F$33,2,FALSE)/2)+1),1)</f>
        <v>73.020677530009877</v>
      </c>
      <c r="W463" s="41">
        <f>VLOOKUP(B463,'Player Data'!$A1:$AE734,11,FALSE)*$Q463*IFERROR((VLOOKUP(P463,Settings!$E$28:$F$33,2,FALSE)+1),1)</f>
        <v>1.635719151207642E-2</v>
      </c>
      <c r="X463" s="41">
        <f>VLOOKUP(B463,'Player Data'!$A1:$AE734,12,FALSE)*$Q463*IFERROR((VLOOKUP(P463,Settings!$E$28:$F$33,2,FALSE)+1),1)</f>
        <v>0.11358592873949443</v>
      </c>
      <c r="Y463" s="41">
        <f>VLOOKUP(B463,'Player Data'!$A1:$AE734,13,FALSE)*$Q463</f>
        <v>2.5004005051338454E-2</v>
      </c>
      <c r="Z463" s="41">
        <f>VLOOKUP(B463,'Player Data'!$A1:$AE734,14,FALSE)*$Q463</f>
        <v>0.64402308619879778</v>
      </c>
      <c r="AA463" s="41">
        <f>VLOOKUP(B463,'Player Data'!$A1:$AE734,15,FALSE)*$Q463</f>
        <v>127.44675691196403</v>
      </c>
      <c r="AB463" s="41">
        <f>VLOOKUP(B463,'Player Data'!$A1:$AE734,16,FALSE)*$Q463</f>
        <v>109.97512151548665</v>
      </c>
      <c r="AC463" s="41">
        <f>VLOOKUP(B463,'Player Data'!$A1:$AE734,17,FALSE)*$Q463*IFERROR((VLOOKUP(P463,Settings!$E$28:$F$33,2,FALSE)+1),1)</f>
        <v>-4.8403743563938777</v>
      </c>
      <c r="AD463" s="41">
        <f>VLOOKUP(B463,'Player Data'!$A1:$AE734,18,FALSE)*$Q463</f>
        <v>36.872563877738848</v>
      </c>
      <c r="AE463" s="41">
        <f>VLOOKUP(B463,'Player Data'!$A1:$AE734,19,FALSE)*$Q463*IFERROR((VLOOKUP(P463,Settings!$E$28:$F$33,2,FALSE)+1),1)</f>
        <v>0.39425337105022629</v>
      </c>
      <c r="AF463" s="41">
        <f>VLOOKUP(B463,'Player Data'!$A1:$AE734,20,FALSE)*$Q463</f>
        <v>0</v>
      </c>
      <c r="AG463" s="41">
        <f>VLOOKUP(B463,'Player Data'!$A1:$AE734,21,FALSE)*$Q463</f>
        <v>0</v>
      </c>
      <c r="AH463" s="42">
        <f>VLOOKUP(B463,'Player Data'!$A1:$AE734,22,FALSE)</f>
        <v>0</v>
      </c>
      <c r="AI463" s="39"/>
      <c r="AJ463" s="43"/>
      <c r="AK463" s="41"/>
      <c r="AL463" s="41"/>
      <c r="AM463" s="41"/>
      <c r="AN463" s="41"/>
      <c r="AO463" s="41"/>
      <c r="AP463" s="41"/>
      <c r="AQ463" s="44"/>
      <c r="AR463" s="45"/>
      <c r="AS463" s="39"/>
    </row>
    <row r="464" spans="1:45" ht="21.25" customHeight="1" x14ac:dyDescent="0.15">
      <c r="A464" s="31">
        <f>RANK(K464,K$2:K$727)</f>
        <v>463</v>
      </c>
      <c r="B464" s="8" t="s">
        <v>568</v>
      </c>
      <c r="C464" s="32" t="s">
        <v>106</v>
      </c>
      <c r="D464" s="33" t="str">
        <f>VLOOKUP(B464,'Player Data'!A1:D734,4,FALSE)</f>
        <v>D</v>
      </c>
      <c r="E464" s="49">
        <f>VLOOKUP(B464,D!A1:C227,3,FALSE)</f>
        <v>169</v>
      </c>
      <c r="F464" s="35" t="str">
        <f>VLOOKUP(B464,'Player Data'!A1:B734,2,FALSE)</f>
        <v>WPG</v>
      </c>
      <c r="G464" s="9">
        <f>VLOOKUP(B464,'Player Data'!A1:D734,3,FALSE)</f>
        <v>24</v>
      </c>
      <c r="H464" s="36">
        <f>IFERROR(VLOOKUP(B464,ADP!A1:G728,7,FALSE)/1000000,VLOOKUP(B464,ADP!A1:G728,7,FALSE))</f>
        <v>1.4</v>
      </c>
      <c r="I464" s="37">
        <f>IF(Settings!$E$15="POINTS",((R464*Q464)*Settings!$B$12)+(S464*Settings!$B$2)+(T464*Settings!$B$3)+(U464*Settings!$B$4)+(V464*Settings!$B$5)+(X464*Settings!$B$9)+(AA464*Settings!$B$6)+(W464*Settings!$B$8)+(AB464*Settings!$B$7)+(AC464*Settings!$B$14)+(AD464*Settings!$B$15)+(AE464*Settings!$B$16)+(AF464*Settings!$B$17)+(AG464*Settings!$B$18)+(U464*Settings!$B$13)+(Y464*Settings!$B$10)+(Z464*Settings!$B$11),VLOOKUP(B464,'Standard Deviations'!A1:C728,3,FALSE))</f>
        <v>104.73600431870783</v>
      </c>
      <c r="J464" s="38">
        <f>IF(D464="G",I464/AJ464,I464/Q464)</f>
        <v>1.4125835095921213</v>
      </c>
      <c r="K464" s="37">
        <f>VLOOKUP(B464,D!A1:F227,6,FALSE)</f>
        <v>-206.82947730921961</v>
      </c>
      <c r="L464" s="37">
        <f>IFERROR(K464/H464,"N/A")</f>
        <v>-147.73534093515687</v>
      </c>
      <c r="M464" s="53" t="str">
        <f>IF(Settings!$E$9="YAHOO",VLOOKUP(B464,ADP!A1:E728,2,FALSE),IF(Settings!$E$9="ESPN",VLOOKUP(B464,ADP!A1:E728,3,FALSE),IF(Settings!$E$9="FANTRAX",VLOOKUP(B464,ADP!A1:E728,4,FALSE),VLOOKUP(B464,ADP!A1:E728,5,FALSE))))</f>
        <v>-</v>
      </c>
      <c r="N464" s="53" t="str">
        <f>IFERROR(M464-A464,"N/A")</f>
        <v>N/A</v>
      </c>
      <c r="O464" s="39"/>
      <c r="P464" s="40" t="str">
        <f>IF(Settings!$E$27="ON",VLOOKUP(B464,ADP!A1:H728,8,FALSE)," ")</f>
        <v xml:space="preserve"> </v>
      </c>
      <c r="Q464" s="41">
        <f>IF(Settings!$E$12="YES",VLOOKUP(B464,'Player Data'!A1:E734,5,FALSE),82)</f>
        <v>74.144999999999996</v>
      </c>
      <c r="R464" s="39">
        <f>VLOOKUP(B464,'Player Data'!$A1:$AE734,6,FALSE)</f>
        <v>16.6680274090347</v>
      </c>
      <c r="S464" s="41">
        <f>VLOOKUP(B464,'Player Data'!$A1:$AE734,7,FALSE)*$Q464*IFERROR((VLOOKUP(P464,Settings!$E$28:$F$33,2,FALSE)+1),1)</f>
        <v>2.9589819788516794</v>
      </c>
      <c r="T464" s="41">
        <f>VLOOKUP(B464,'Player Data'!$A1:$AE734,8,FALSE)*$Q464*IFERROR((VLOOKUP(P464,Settings!$E$28:$F$33,2,FALSE)+1),1)</f>
        <v>12.23078856696471</v>
      </c>
      <c r="U464" s="41">
        <f>SUM(S464:T464)</f>
        <v>15.189770545816391</v>
      </c>
      <c r="V464" s="41">
        <f>VLOOKUP(B464,'Player Data'!$A1:$AE734,10,FALSE)*$Q464*IFERROR(((VLOOKUP(P464,Settings!$E$28:$F$33,2,FALSE)/2)+1),1)</f>
        <v>70.745377650352481</v>
      </c>
      <c r="W464" s="41">
        <f>VLOOKUP(B464,'Player Data'!$A1:$AE734,11,FALSE)*$Q464*IFERROR((VLOOKUP(P464,Settings!$E$28:$F$33,2,FALSE)+1),1)</f>
        <v>2.7071610735271041E-2</v>
      </c>
      <c r="X464" s="41">
        <f>VLOOKUP(B464,'Player Data'!$A1:$AE734,12,FALSE)*$Q464*IFERROR((VLOOKUP(P464,Settings!$E$28:$F$33,2,FALSE)+1),1)</f>
        <v>0.18267191149899381</v>
      </c>
      <c r="Y464" s="41">
        <f>VLOOKUP(B464,'Player Data'!$A1:$AE734,13,FALSE)*$Q464</f>
        <v>4.6377247058623325E-2</v>
      </c>
      <c r="Z464" s="41">
        <f>VLOOKUP(B464,'Player Data'!$A1:$AE734,14,FALSE)*$Q464</f>
        <v>0.87884227931648295</v>
      </c>
      <c r="AA464" s="41">
        <f>VLOOKUP(B464,'Player Data'!$A1:$AE734,15,FALSE)*$Q464</f>
        <v>108.35487737225742</v>
      </c>
      <c r="AB464" s="41">
        <f>VLOOKUP(B464,'Player Data'!$A1:$AE734,16,FALSE)*$Q464</f>
        <v>112.35774817477476</v>
      </c>
      <c r="AC464" s="41">
        <f>VLOOKUP(B464,'Player Data'!$A1:$AE734,17,FALSE)*$Q464*IFERROR((VLOOKUP(P464,Settings!$E$28:$F$33,2,FALSE)+1),1)</f>
        <v>2.5423619089651441</v>
      </c>
      <c r="AD464" s="41">
        <f>VLOOKUP(B464,'Player Data'!$A1:$AE734,18,FALSE)*$Q464</f>
        <v>31.264338631599962</v>
      </c>
      <c r="AE464" s="41">
        <f>VLOOKUP(B464,'Player Data'!$A1:$AE734,19,FALSE)*$Q464*IFERROR((VLOOKUP(P464,Settings!$E$28:$F$33,2,FALSE)+1),1)</f>
        <v>0.46161109295213687</v>
      </c>
      <c r="AF464" s="41">
        <f>VLOOKUP(B464,'Player Data'!$A1:$AE734,20,FALSE)*$Q464</f>
        <v>0</v>
      </c>
      <c r="AG464" s="41">
        <f>VLOOKUP(B464,'Player Data'!$A1:$AE734,21,FALSE)*$Q464</f>
        <v>0</v>
      </c>
      <c r="AH464" s="42">
        <f>VLOOKUP(B464,'Player Data'!$A1:$AE734,22,FALSE)</f>
        <v>0</v>
      </c>
      <c r="AI464" s="39"/>
      <c r="AJ464" s="43"/>
      <c r="AK464" s="41"/>
      <c r="AL464" s="41"/>
      <c r="AM464" s="41"/>
      <c r="AN464" s="41"/>
      <c r="AO464" s="41"/>
      <c r="AP464" s="41"/>
      <c r="AQ464" s="44"/>
      <c r="AR464" s="45"/>
      <c r="AS464" s="39"/>
    </row>
    <row r="465" spans="1:45" ht="21.25" customHeight="1" x14ac:dyDescent="0.15">
      <c r="A465" s="31">
        <f>RANK(K465,K$2:K$727)</f>
        <v>464</v>
      </c>
      <c r="B465" s="8" t="s">
        <v>569</v>
      </c>
      <c r="C465" s="32" t="s">
        <v>106</v>
      </c>
      <c r="D465" s="33" t="str">
        <f>VLOOKUP(B465,'Player Data'!A1:D734,4,FALSE)</f>
        <v>D</v>
      </c>
      <c r="E465" s="49">
        <f>VLOOKUP(B465,D!A1:C227,3,FALSE)</f>
        <v>170</v>
      </c>
      <c r="F465" s="35" t="str">
        <f>VLOOKUP(B465,'Player Data'!A1:B734,2,FALSE)</f>
        <v>MTL</v>
      </c>
      <c r="G465" s="9">
        <f>VLOOKUP(B465,'Player Data'!A1:D734,3,FALSE)</f>
        <v>26</v>
      </c>
      <c r="H465" s="36">
        <f>IFERROR(VLOOKUP(B465,ADP!A1:G728,7,FALSE)/1000000,VLOOKUP(B465,ADP!A1:G728,7,FALSE))</f>
        <v>0.76666699999999999</v>
      </c>
      <c r="I465" s="37">
        <f>IF(Settings!$E$15="POINTS",((R465*Q465)*Settings!$B$12)+(S465*Settings!$B$2)+(T465*Settings!$B$3)+(U465*Settings!$B$4)+(V465*Settings!$B$5)+(X465*Settings!$B$9)+(AA465*Settings!$B$6)+(W465*Settings!$B$8)+(AB465*Settings!$B$7)+(AC465*Settings!$B$14)+(AD465*Settings!$B$15)+(AE465*Settings!$B$16)+(AF465*Settings!$B$17)+(AG465*Settings!$B$18)+(U465*Settings!$B$13)+(Y465*Settings!$B$10)+(Z465*Settings!$B$11),VLOOKUP(B465,'Standard Deviations'!A1:C728,3,FALSE))</f>
        <v>104.51515341991423</v>
      </c>
      <c r="J465" s="38">
        <f>IF(D465="G",I465/AJ465,I465/Q465)</f>
        <v>1.4636951672840028</v>
      </c>
      <c r="K465" s="37">
        <f>VLOOKUP(B465,D!A1:F227,6,FALSE)</f>
        <v>-207.05032820801324</v>
      </c>
      <c r="L465" s="37">
        <f>IFERROR(K465/H465,"N/A")</f>
        <v>-270.06552806891813</v>
      </c>
      <c r="M465" s="53" t="str">
        <f>IF(Settings!$E$9="YAHOO",VLOOKUP(B465,ADP!A1:E728,2,FALSE),IF(Settings!$E$9="ESPN",VLOOKUP(B465,ADP!A1:E728,3,FALSE),IF(Settings!$E$9="FANTRAX",VLOOKUP(B465,ADP!A1:E728,4,FALSE),VLOOKUP(B465,ADP!A1:E728,5,FALSE))))</f>
        <v>-</v>
      </c>
      <c r="N465" s="53" t="str">
        <f>IFERROR(M465-A465,"N/A")</f>
        <v>N/A</v>
      </c>
      <c r="O465" s="39"/>
      <c r="P465" s="40" t="str">
        <f>IF(Settings!$E$27="ON",VLOOKUP(B465,ADP!A1:H728,8,FALSE)," ")</f>
        <v xml:space="preserve"> </v>
      </c>
      <c r="Q465" s="41">
        <f>IF(Settings!$E$12="YES",VLOOKUP(B465,'Player Data'!A1:E734,5,FALSE),82)</f>
        <v>71.405000000000001</v>
      </c>
      <c r="R465" s="39">
        <f>VLOOKUP(B465,'Player Data'!$A1:$AE734,6,FALSE)</f>
        <v>16.746874710415401</v>
      </c>
      <c r="S465" s="41">
        <f>VLOOKUP(B465,'Player Data'!$A1:$AE734,7,FALSE)*$Q465*IFERROR((VLOOKUP(P465,Settings!$E$28:$F$33,2,FALSE)+1),1)</f>
        <v>3.0886472312133542</v>
      </c>
      <c r="T465" s="41">
        <f>VLOOKUP(B465,'Player Data'!$A1:$AE734,8,FALSE)*$Q465*IFERROR((VLOOKUP(P465,Settings!$E$28:$F$33,2,FALSE)+1),1)</f>
        <v>11.972680936758227</v>
      </c>
      <c r="U465" s="41">
        <f>SUM(S465:T465)</f>
        <v>15.061328167971581</v>
      </c>
      <c r="V465" s="41">
        <f>VLOOKUP(B465,'Player Data'!$A1:$AE734,10,FALSE)*$Q465*IFERROR(((VLOOKUP(P465,Settings!$E$28:$F$33,2,FALSE)/2)+1),1)</f>
        <v>85.744598985581234</v>
      </c>
      <c r="W465" s="41">
        <f>VLOOKUP(B465,'Player Data'!$A1:$AE734,11,FALSE)*$Q465*IFERROR((VLOOKUP(P465,Settings!$E$28:$F$33,2,FALSE)+1),1)</f>
        <v>2.5193558082591879E-2</v>
      </c>
      <c r="X465" s="41">
        <f>VLOOKUP(B465,'Player Data'!$A1:$AE734,12,FALSE)*$Q465*IFERROR((VLOOKUP(P465,Settings!$E$28:$F$33,2,FALSE)+1),1)</f>
        <v>0.17178535207797035</v>
      </c>
      <c r="Y465" s="41">
        <f>VLOOKUP(B465,'Player Data'!$A1:$AE734,13,FALSE)*$Q465</f>
        <v>2.8511377225018168E-2</v>
      </c>
      <c r="Z465" s="41">
        <f>VLOOKUP(B465,'Player Data'!$A1:$AE734,14,FALSE)*$Q465</f>
        <v>0.10649825305564553</v>
      </c>
      <c r="AA465" s="41">
        <f>VLOOKUP(B465,'Player Data'!$A1:$AE734,15,FALSE)*$Q465</f>
        <v>79.511511064708174</v>
      </c>
      <c r="AB465" s="41">
        <f>VLOOKUP(B465,'Player Data'!$A1:$AE734,16,FALSE)*$Q465</f>
        <v>86.545713833757546</v>
      </c>
      <c r="AC465" s="41">
        <f>VLOOKUP(B465,'Player Data'!$A1:$AE734,17,FALSE)*$Q465*IFERROR((VLOOKUP(P465,Settings!$E$28:$F$33,2,FALSE)+1),1)</f>
        <v>-5.7272503143749809</v>
      </c>
      <c r="AD465" s="41">
        <f>VLOOKUP(B465,'Player Data'!$A1:$AE734,18,FALSE)*$Q465</f>
        <v>27.582763901350496</v>
      </c>
      <c r="AE465" s="41">
        <f>VLOOKUP(B465,'Player Data'!$A1:$AE734,19,FALSE)*$Q465*IFERROR((VLOOKUP(P465,Settings!$E$28:$F$33,2,FALSE)+1),1)</f>
        <v>0.33471391235760939</v>
      </c>
      <c r="AF465" s="41">
        <f>VLOOKUP(B465,'Player Data'!$A1:$AE734,20,FALSE)*$Q465</f>
        <v>0</v>
      </c>
      <c r="AG465" s="41">
        <f>VLOOKUP(B465,'Player Data'!$A1:$AE734,21,FALSE)*$Q465</f>
        <v>0</v>
      </c>
      <c r="AH465" s="42">
        <f>VLOOKUP(B465,'Player Data'!$A1:$AE734,22,FALSE)</f>
        <v>0</v>
      </c>
      <c r="AI465" s="39"/>
      <c r="AJ465" s="43"/>
      <c r="AK465" s="41"/>
      <c r="AL465" s="41"/>
      <c r="AM465" s="41"/>
      <c r="AN465" s="41"/>
      <c r="AO465" s="41"/>
      <c r="AP465" s="41"/>
      <c r="AQ465" s="44"/>
      <c r="AR465" s="45"/>
      <c r="AS465" s="39"/>
    </row>
    <row r="466" spans="1:45" ht="21.25" customHeight="1" x14ac:dyDescent="0.15">
      <c r="A466" s="31">
        <f>RANK(K466,K$2:K$727)</f>
        <v>465</v>
      </c>
      <c r="B466" s="8" t="s">
        <v>570</v>
      </c>
      <c r="C466" s="32" t="s">
        <v>106</v>
      </c>
      <c r="D466" s="33" t="str">
        <f>VLOOKUP(B466,'Player Data'!A1:D734,4,FALSE)</f>
        <v>LW</v>
      </c>
      <c r="E466" s="47">
        <f>VLOOKUP(B466,LW!A1:C130,3,FALSE)</f>
        <v>83</v>
      </c>
      <c r="F466" s="35" t="str">
        <f>VLOOKUP(B466,'Player Data'!A1:B734,2,FALSE)</f>
        <v>COL</v>
      </c>
      <c r="G466" s="9">
        <f>VLOOKUP(B466,'Player Data'!A1:D734,3,FALSE)</f>
        <v>27</v>
      </c>
      <c r="H466" s="36">
        <f>IFERROR(VLOOKUP(B466,ADP!A1:G728,7,FALSE)/1000000,VLOOKUP(B466,ADP!A1:G728,7,FALSE))</f>
        <v>2.5</v>
      </c>
      <c r="I466" s="37">
        <f>IF(Settings!$E$15="POINTS",((R466*Q466)*Settings!$B$12)+(S466*Settings!$B$2)+(T466*Settings!$B$3)+(U466*Settings!$B$4)+(V466*Settings!$B$5)+(X466*Settings!$B$9)+(AA466*Settings!$B$6)+(W466*Settings!$B$8)+(AB466*Settings!$B$7)+(AC466*Settings!$B$14)+(AD466*Settings!$B$15)+(AE466*Settings!$B$16)+(AF466*Settings!$B$17)+(AG466*Settings!$B$18)+(Y466*Settings!$B$10)+(Z466*Settings!$B$11),VLOOKUP(B466,'Standard Deviations'!A1:C728,3,FALSE))</f>
        <v>156.89712808316361</v>
      </c>
      <c r="J466" s="38">
        <f>IF(D466="G",I466/AJ466,I466/Q466)</f>
        <v>2.1702777298557385</v>
      </c>
      <c r="K466" s="37">
        <f>IF(Settings!$E$18="C/LW/RW",VLOOKUP(B466,LW!A1:F130,6,FALSE),VLOOKUP(B466,F!A1:F430,6,FALSE))</f>
        <v>-207.14347677448686</v>
      </c>
      <c r="L466" s="37">
        <f>IFERROR(K466/H466,"N/A")</f>
        <v>-82.857390709794743</v>
      </c>
      <c r="M466" s="53" t="str">
        <f>IF(Settings!$E$9="YAHOO",VLOOKUP(B466,ADP!A1:E728,2,FALSE),IF(Settings!$E$9="ESPN",VLOOKUP(B466,ADP!A1:E728,3,FALSE),IF(Settings!$E$9="FANTRAX",VLOOKUP(B466,ADP!A1:E728,4,FALSE),VLOOKUP(B466,ADP!A1:E728,5,FALSE))))</f>
        <v>-</v>
      </c>
      <c r="N466" s="53" t="str">
        <f>IFERROR(M466-A466,"N/A")</f>
        <v>N/A</v>
      </c>
      <c r="O466" s="39"/>
      <c r="P466" s="40" t="str">
        <f>IF(Settings!$E$27="ON",VLOOKUP(B466,ADP!A1:H728,8,FALSE)," ")</f>
        <v xml:space="preserve"> </v>
      </c>
      <c r="Q466" s="41">
        <f>IF(Settings!$E$12="YES",VLOOKUP(B466,'Player Data'!A1:E734,5,FALSE),82)</f>
        <v>72.293571428571397</v>
      </c>
      <c r="R466" s="39">
        <f>VLOOKUP(B466,'Player Data'!$A1:$AE734,6,FALSE)</f>
        <v>12.344037980147499</v>
      </c>
      <c r="S466" s="41">
        <f>VLOOKUP(B466,'Player Data'!$A1:$AE734,7,FALSE)*$Q466*IFERROR((VLOOKUP(P466,Settings!$E$28:$F$33,2,FALSE)+1),1)</f>
        <v>12.258259402407941</v>
      </c>
      <c r="T466" s="41">
        <f>VLOOKUP(B466,'Player Data'!$A1:$AE734,8,FALSE)*$Q466*IFERROR((VLOOKUP(P466,Settings!$E$28:$F$33,2,FALSE)+1),1)</f>
        <v>13.51658942852009</v>
      </c>
      <c r="U466" s="41">
        <f>SUM(S466:T466)</f>
        <v>25.774848830928029</v>
      </c>
      <c r="V466" s="41">
        <f>VLOOKUP(B466,'Player Data'!$A1:$AE734,10,FALSE)*$Q466*IFERROR(((VLOOKUP(P466,Settings!$E$28:$F$33,2,FALSE)/2)+1),1)</f>
        <v>147.31413965260128</v>
      </c>
      <c r="W466" s="41">
        <f>VLOOKUP(B466,'Player Data'!$A1:$AE734,11,FALSE)*$Q466*IFERROR((VLOOKUP(P466,Settings!$E$28:$F$33,2,FALSE)+1),1)</f>
        <v>0.40800099241123178</v>
      </c>
      <c r="X466" s="41">
        <f>VLOOKUP(B466,'Player Data'!$A1:$AE734,12,FALSE)*$Q466*IFERROR((VLOOKUP(P466,Settings!$E$28:$F$33,2,FALSE)+1),1)</f>
        <v>0.66667129894932886</v>
      </c>
      <c r="Y466" s="41">
        <f>VLOOKUP(B466,'Player Data'!$A1:$AE734,13,FALSE)*$Q466</f>
        <v>1.217429789003128E-2</v>
      </c>
      <c r="Z466" s="41">
        <f>VLOOKUP(B466,'Player Data'!$A1:$AE734,14,FALSE)*$Q466</f>
        <v>2.2343046773036709E-2</v>
      </c>
      <c r="AA466" s="41">
        <f>VLOOKUP(B466,'Player Data'!$A1:$AE734,15,FALSE)*$Q466</f>
        <v>22.687415363170867</v>
      </c>
      <c r="AB466" s="41">
        <f>VLOOKUP(B466,'Player Data'!$A1:$AE734,16,FALSE)*$Q466</f>
        <v>98.670902489294363</v>
      </c>
      <c r="AC466" s="41">
        <f>VLOOKUP(B466,'Player Data'!$A1:$AE734,17,FALSE)*$Q466*IFERROR((VLOOKUP(P466,Settings!$E$28:$F$33,2,FALSE)+1),1)</f>
        <v>2.5655666498304992</v>
      </c>
      <c r="AD466" s="41">
        <f>VLOOKUP(B466,'Player Data'!$A1:$AE734,18,FALSE)*$Q466</f>
        <v>40.313548021098384</v>
      </c>
      <c r="AE466" s="41">
        <f>VLOOKUP(B466,'Player Data'!$A1:$AE734,19,FALSE)*$Q466*IFERROR((VLOOKUP(P466,Settings!$E$28:$F$33,2,FALSE)+1),1)</f>
        <v>1.9394413294667912</v>
      </c>
      <c r="AF466" s="41">
        <f>VLOOKUP(B466,'Player Data'!$A1:$AE734,20,FALSE)*$Q466</f>
        <v>1.8410621771095845</v>
      </c>
      <c r="AG466" s="41">
        <f>VLOOKUP(B466,'Player Data'!$A1:$AE734,21,FALSE)*$Q466</f>
        <v>6.3762528317547718</v>
      </c>
      <c r="AH466" s="42">
        <f>VLOOKUP(B466,'Player Data'!$A1:$AE734,22,FALSE)</f>
        <v>0.22404668375540601</v>
      </c>
      <c r="AI466" s="39"/>
      <c r="AJ466" s="43"/>
      <c r="AK466" s="41"/>
      <c r="AL466" s="41"/>
      <c r="AM466" s="41"/>
      <c r="AN466" s="41"/>
      <c r="AO466" s="41"/>
      <c r="AP466" s="41"/>
      <c r="AQ466" s="44"/>
      <c r="AR466" s="45"/>
      <c r="AS466" s="39"/>
    </row>
    <row r="467" spans="1:45" ht="21.25" customHeight="1" x14ac:dyDescent="0.15">
      <c r="A467" s="31">
        <f>RANK(K467,K$2:K$727)</f>
        <v>466</v>
      </c>
      <c r="B467" s="8" t="s">
        <v>571</v>
      </c>
      <c r="C467" s="32" t="s">
        <v>106</v>
      </c>
      <c r="D467" s="33" t="str">
        <f>VLOOKUP(B467,'Player Data'!A1:D734,4,FALSE)</f>
        <v>D</v>
      </c>
      <c r="E467" s="49">
        <f>VLOOKUP(B467,D!A1:C227,3,FALSE)</f>
        <v>171</v>
      </c>
      <c r="F467" s="35" t="str">
        <f>VLOOKUP(B467,'Player Data'!A1:B734,2,FALSE)</f>
        <v>CGY</v>
      </c>
      <c r="G467" s="9">
        <f>VLOOKUP(B467,'Player Data'!A1:D734,3,FALSE)</f>
        <v>26</v>
      </c>
      <c r="H467" s="36">
        <f>IFERROR(VLOOKUP(B467,ADP!A1:G728,7,FALSE)/1000000,VLOOKUP(B467,ADP!A1:G728,7,FALSE))</f>
        <v>2.5</v>
      </c>
      <c r="I467" s="37">
        <f>IF(Settings!$E$15="POINTS",((R467*Q467)*Settings!$B$12)+(S467*Settings!$B$2)+(T467*Settings!$B$3)+(U467*Settings!$B$4)+(V467*Settings!$B$5)+(X467*Settings!$B$9)+(AA467*Settings!$B$6)+(W467*Settings!$B$8)+(AB467*Settings!$B$7)+(AC467*Settings!$B$14)+(AD467*Settings!$B$15)+(AE467*Settings!$B$16)+(AF467*Settings!$B$17)+(AG467*Settings!$B$18)+(U467*Settings!$B$13)+(Y467*Settings!$B$10)+(Z467*Settings!$B$11),VLOOKUP(B467,'Standard Deviations'!A1:C728,3,FALSE))</f>
        <v>104.1696181058001</v>
      </c>
      <c r="J467" s="38">
        <f>IF(D467="G",I467/AJ467,I467/Q467)</f>
        <v>1.9879698111793913</v>
      </c>
      <c r="K467" s="37">
        <f>VLOOKUP(B467,D!A1:F227,6,FALSE)</f>
        <v>-207.39586352212734</v>
      </c>
      <c r="L467" s="37">
        <f>IFERROR(K467/H467,"N/A")</f>
        <v>-82.958345408850931</v>
      </c>
      <c r="M467" s="53" t="str">
        <f>IF(Settings!$E$9="YAHOO",VLOOKUP(B467,ADP!A1:E728,2,FALSE),IF(Settings!$E$9="ESPN",VLOOKUP(B467,ADP!A1:E728,3,FALSE),IF(Settings!$E$9="FANTRAX",VLOOKUP(B467,ADP!A1:E728,4,FALSE),VLOOKUP(B467,ADP!A1:E728,5,FALSE))))</f>
        <v>-</v>
      </c>
      <c r="N467" s="53" t="str">
        <f>IFERROR(M467-A467,"N/A")</f>
        <v>N/A</v>
      </c>
      <c r="O467" s="39"/>
      <c r="P467" s="40" t="str">
        <f>IF(Settings!$E$27="ON",VLOOKUP(B467,ADP!A1:H728,8,FALSE)," ")</f>
        <v xml:space="preserve"> </v>
      </c>
      <c r="Q467" s="41">
        <f>IF(Settings!$E$12="YES",VLOOKUP(B467,'Player Data'!A1:E734,5,FALSE),82)</f>
        <v>52.4</v>
      </c>
      <c r="R467" s="39">
        <f>VLOOKUP(B467,'Player Data'!$A1:$AE734,6,FALSE)</f>
        <v>15.760745007622001</v>
      </c>
      <c r="S467" s="41">
        <f>VLOOKUP(B467,'Player Data'!$A1:$AE734,7,FALSE)*$Q467*IFERROR((VLOOKUP(P467,Settings!$E$28:$F$33,2,FALSE)+1),1)</f>
        <v>4.4865084365154742</v>
      </c>
      <c r="T467" s="41">
        <f>VLOOKUP(B467,'Player Data'!$A1:$AE734,8,FALSE)*$Q467*IFERROR((VLOOKUP(P467,Settings!$E$28:$F$33,2,FALSE)+1),1)</f>
        <v>12.807378899705752</v>
      </c>
      <c r="U467" s="41">
        <f>SUM(S467:T467)</f>
        <v>17.293887336221225</v>
      </c>
      <c r="V467" s="41">
        <f>VLOOKUP(B467,'Player Data'!$A1:$AE734,10,FALSE)*$Q467*IFERROR(((VLOOKUP(P467,Settings!$E$28:$F$33,2,FALSE)/2)+1),1)</f>
        <v>76.447924104573929</v>
      </c>
      <c r="W467" s="41">
        <f>VLOOKUP(B467,'Player Data'!$A1:$AE734,11,FALSE)*$Q467*IFERROR((VLOOKUP(P467,Settings!$E$28:$F$33,2,FALSE)+1),1)</f>
        <v>0.41962261610485058</v>
      </c>
      <c r="X467" s="41">
        <f>VLOOKUP(B467,'Player Data'!$A1:$AE734,12,FALSE)*$Q467*IFERROR((VLOOKUP(P467,Settings!$E$28:$F$33,2,FALSE)+1),1)</f>
        <v>1.7527334049269676</v>
      </c>
      <c r="Y467" s="41">
        <f>VLOOKUP(B467,'Player Data'!$A1:$AE734,13,FALSE)*$Q467</f>
        <v>0</v>
      </c>
      <c r="Z467" s="41">
        <f>VLOOKUP(B467,'Player Data'!$A1:$AE734,14,FALSE)*$Q467</f>
        <v>0</v>
      </c>
      <c r="AA467" s="41">
        <f>VLOOKUP(B467,'Player Data'!$A1:$AE734,15,FALSE)*$Q467</f>
        <v>52.792636174977517</v>
      </c>
      <c r="AB467" s="41">
        <f>VLOOKUP(B467,'Player Data'!$A1:$AE734,16,FALSE)*$Q467</f>
        <v>44.968780617895611</v>
      </c>
      <c r="AC467" s="41">
        <f>VLOOKUP(B467,'Player Data'!$A1:$AE734,17,FALSE)*$Q467*IFERROR((VLOOKUP(P467,Settings!$E$28:$F$33,2,FALSE)+1),1)</f>
        <v>2.3490084059852134</v>
      </c>
      <c r="AD467" s="41">
        <f>VLOOKUP(B467,'Player Data'!$A1:$AE734,18,FALSE)*$Q467</f>
        <v>0</v>
      </c>
      <c r="AE467" s="41">
        <f>VLOOKUP(B467,'Player Data'!$A1:$AE734,19,FALSE)*$Q467*IFERROR((VLOOKUP(P467,Settings!$E$28:$F$33,2,FALSE)+1),1)</f>
        <v>0.7496877086239857</v>
      </c>
      <c r="AF467" s="41">
        <f>VLOOKUP(B467,'Player Data'!$A1:$AE734,20,FALSE)*$Q467</f>
        <v>0</v>
      </c>
      <c r="AG467" s="41">
        <f>VLOOKUP(B467,'Player Data'!$A1:$AE734,21,FALSE)*$Q467</f>
        <v>0</v>
      </c>
      <c r="AH467" s="42">
        <f>VLOOKUP(B467,'Player Data'!$A1:$AE734,22,FALSE)</f>
        <v>0</v>
      </c>
      <c r="AI467" s="39"/>
      <c r="AJ467" s="43"/>
      <c r="AK467" s="41"/>
      <c r="AL467" s="41"/>
      <c r="AM467" s="41"/>
      <c r="AN467" s="41"/>
      <c r="AO467" s="41"/>
      <c r="AP467" s="41"/>
      <c r="AQ467" s="44"/>
      <c r="AR467" s="45"/>
      <c r="AS467" s="39"/>
    </row>
    <row r="468" spans="1:45" ht="21.25" customHeight="1" x14ac:dyDescent="0.15">
      <c r="A468" s="31">
        <f>RANK(K468,K$2:K$727)</f>
        <v>467</v>
      </c>
      <c r="B468" s="8" t="s">
        <v>572</v>
      </c>
      <c r="C468" s="32" t="s">
        <v>106</v>
      </c>
      <c r="D468" s="33" t="str">
        <f>VLOOKUP(B468,'Player Data'!A1:D734,4,FALSE)</f>
        <v>C</v>
      </c>
      <c r="E468" s="34">
        <f>VLOOKUP(B468,'C'!A1:C211,3,FALSE)</f>
        <v>110</v>
      </c>
      <c r="F468" s="35" t="str">
        <f>VLOOKUP(B468,'Player Data'!A1:B734,2,FALSE)</f>
        <v>SJS</v>
      </c>
      <c r="G468" s="9">
        <f>VLOOKUP(B468,'Player Data'!A1:D734,3,FALSE)</f>
        <v>24</v>
      </c>
      <c r="H468" s="36">
        <f>IFERROR(VLOOKUP(B468,ADP!A1:G728,7,FALSE)/1000000,VLOOKUP(B468,ADP!A1:G728,7,FALSE))</f>
        <v>0.77500000000000002</v>
      </c>
      <c r="I468" s="37">
        <f>IF(Settings!$E$15="POINTS",((R468*Q468)*Settings!$B$12)+(S468*Settings!$B$2)+(T468*Settings!$B$3)+(U468*Settings!$B$4)+(V468*Settings!$B$5)+(X468*Settings!$B$9)+(AA468*Settings!$B$6)+(W468*Settings!$B$8)+(AB468*Settings!$B$7)+(AC468*Settings!$B$14)+(AD468*Settings!$B$15)+(AE468*Settings!$B$16)+(AF468*Settings!$B$17)+(AG468*Settings!$B$18)+(Y468*Settings!$B$10)+(Z468*Settings!$B$11),VLOOKUP(B468,'Standard Deviations'!A1:C728,3,FALSE))</f>
        <v>185.88981588048946</v>
      </c>
      <c r="J468" s="38">
        <f>IF(D468="G",I468/AJ468,I468/Q468)</f>
        <v>3.4233851911692352</v>
      </c>
      <c r="K468" s="37">
        <f>IF(Settings!$E$18="C/LW/RW",VLOOKUP(B468,'C'!A1:F211,6,FALSE),VLOOKUP(B468,F!A1:F430,6,FALSE))</f>
        <v>-207.43898988572019</v>
      </c>
      <c r="L468" s="37">
        <f>IFERROR(K468/H468,"N/A")</f>
        <v>-267.66321275576797</v>
      </c>
      <c r="M468" s="53" t="str">
        <f>IF(Settings!$E$9="YAHOO",VLOOKUP(B468,ADP!A1:E728,2,FALSE),IF(Settings!$E$9="ESPN",VLOOKUP(B468,ADP!A1:E728,3,FALSE),IF(Settings!$E$9="FANTRAX",VLOOKUP(B468,ADP!A1:E728,4,FALSE),VLOOKUP(B468,ADP!A1:E728,5,FALSE))))</f>
        <v>-</v>
      </c>
      <c r="N468" s="53" t="str">
        <f>IFERROR(M468-A468,"N/A")</f>
        <v>N/A</v>
      </c>
      <c r="O468" s="39"/>
      <c r="P468" s="40" t="str">
        <f>IF(Settings!$E$27="ON",VLOOKUP(B468,ADP!A1:H728,8,FALSE)," ")</f>
        <v xml:space="preserve"> </v>
      </c>
      <c r="Q468" s="41">
        <f>IF(Settings!$E$12="YES",VLOOKUP(B468,'Player Data'!A1:E734,5,FALSE),82)</f>
        <v>54.3</v>
      </c>
      <c r="R468" s="39">
        <f>VLOOKUP(B468,'Player Data'!$A1:$AE734,6,FALSE)</f>
        <v>17.439166666666701</v>
      </c>
      <c r="S468" s="41">
        <f>VLOOKUP(B468,'Player Data'!$A1:$AE734,7,FALSE)*$Q468*IFERROR((VLOOKUP(P468,Settings!$E$28:$F$33,2,FALSE)+1),1)</f>
        <v>16.411550971496744</v>
      </c>
      <c r="T468" s="41">
        <f>VLOOKUP(B468,'Player Data'!$A1:$AE734,8,FALSE)*$Q468*IFERROR((VLOOKUP(P468,Settings!$E$28:$F$33,2,FALSE)+1),1)</f>
        <v>17.705426921563678</v>
      </c>
      <c r="U468" s="41">
        <f>SUM(S468:T468)</f>
        <v>34.116977893060422</v>
      </c>
      <c r="V468" s="41">
        <f>VLOOKUP(B468,'Player Data'!$A1:$AE734,10,FALSE)*$Q468*IFERROR(((VLOOKUP(P468,Settings!$E$28:$F$33,2,FALSE)/2)+1),1)</f>
        <v>114.22423311317033</v>
      </c>
      <c r="W468" s="41">
        <f>VLOOKUP(B468,'Player Data'!$A1:$AE734,11,FALSE)*$Q468*IFERROR((VLOOKUP(P468,Settings!$E$28:$F$33,2,FALSE)+1),1)</f>
        <v>5.3145956823954617</v>
      </c>
      <c r="X468" s="41">
        <f>VLOOKUP(B468,'Player Data'!$A1:$AE734,12,FALSE)*$Q468*IFERROR((VLOOKUP(P468,Settings!$E$28:$F$33,2,FALSE)+1),1)</f>
        <v>10.256195076720694</v>
      </c>
      <c r="Y468" s="41">
        <f>VLOOKUP(B468,'Player Data'!$A1:$AE734,13,FALSE)*$Q468</f>
        <v>0.20757594144910838</v>
      </c>
      <c r="Z468" s="41">
        <f>VLOOKUP(B468,'Player Data'!$A1:$AE734,14,FALSE)*$Q468</f>
        <v>0.37992313683792478</v>
      </c>
      <c r="AA468" s="41">
        <f>VLOOKUP(B468,'Player Data'!$A1:$AE734,15,FALSE)*$Q468</f>
        <v>25.772646088028825</v>
      </c>
      <c r="AB468" s="41">
        <f>VLOOKUP(B468,'Player Data'!$A1:$AE734,16,FALSE)*$Q468</f>
        <v>42.698165534180667</v>
      </c>
      <c r="AC468" s="41">
        <f>VLOOKUP(B468,'Player Data'!$A1:$AE734,17,FALSE)*$Q468*IFERROR((VLOOKUP(P468,Settings!$E$28:$F$33,2,FALSE)+1),1)</f>
        <v>-0.53981364305175905</v>
      </c>
      <c r="AD468" s="41">
        <f>VLOOKUP(B468,'Player Data'!$A1:$AE734,18,FALSE)*$Q468</f>
        <v>19.687346080983104</v>
      </c>
      <c r="AE468" s="41">
        <f>VLOOKUP(B468,'Player Data'!$A1:$AE734,19,FALSE)*$Q468*IFERROR((VLOOKUP(P468,Settings!$E$28:$F$33,2,FALSE)+1),1)</f>
        <v>1.9927191341469062</v>
      </c>
      <c r="AF468" s="41">
        <f>VLOOKUP(B468,'Player Data'!$A1:$AE734,20,FALSE)*$Q468</f>
        <v>34.68388086046707</v>
      </c>
      <c r="AG468" s="41">
        <f>VLOOKUP(B468,'Player Data'!$A1:$AE734,21,FALSE)*$Q468</f>
        <v>33.369672643962097</v>
      </c>
      <c r="AH468" s="42">
        <f>VLOOKUP(B468,'Player Data'!$A1:$AE734,22,FALSE)</f>
        <v>0.50965569135503996</v>
      </c>
      <c r="AI468" s="39"/>
      <c r="AJ468" s="43"/>
      <c r="AK468" s="41"/>
      <c r="AL468" s="41"/>
      <c r="AM468" s="41"/>
      <c r="AN468" s="41"/>
      <c r="AO468" s="41"/>
      <c r="AP468" s="41"/>
      <c r="AQ468" s="44"/>
      <c r="AR468" s="45"/>
      <c r="AS468" s="39"/>
    </row>
    <row r="469" spans="1:45" ht="21.25" customHeight="1" x14ac:dyDescent="0.15">
      <c r="A469" s="31">
        <f>RANK(K469,K$2:K$727)</f>
        <v>468</v>
      </c>
      <c r="B469" s="8" t="s">
        <v>573</v>
      </c>
      <c r="C469" s="32" t="s">
        <v>106</v>
      </c>
      <c r="D469" s="33" t="str">
        <f>VLOOKUP(B469,'Player Data'!A1:D734,4,FALSE)</f>
        <v>LW</v>
      </c>
      <c r="E469" s="47">
        <f>VLOOKUP(B469,LW!A1:C130,3,FALSE)</f>
        <v>84</v>
      </c>
      <c r="F469" s="35" t="str">
        <f>VLOOKUP(B469,'Player Data'!A1:B734,2,FALSE)</f>
        <v>COL</v>
      </c>
      <c r="G469" s="9">
        <f>VLOOKUP(B469,'Player Data'!A1:D734,3,FALSE)</f>
        <v>28</v>
      </c>
      <c r="H469" s="36">
        <f>IFERROR(VLOOKUP(B469,ADP!A1:G728,7,FALSE)/1000000,VLOOKUP(B469,ADP!A1:G728,7,FALSE))</f>
        <v>0.82499999999999996</v>
      </c>
      <c r="I469" s="37">
        <f>IF(Settings!$E$15="POINTS",((R469*Q469)*Settings!$B$12)+(S469*Settings!$B$2)+(T469*Settings!$B$3)+(U469*Settings!$B$4)+(V469*Settings!$B$5)+(X469*Settings!$B$9)+(AA469*Settings!$B$6)+(W469*Settings!$B$8)+(AB469*Settings!$B$7)+(AC469*Settings!$B$14)+(AD469*Settings!$B$15)+(AE469*Settings!$B$16)+(AF469*Settings!$B$17)+(AG469*Settings!$B$18)+(Y469*Settings!$B$10)+(Z469*Settings!$B$11),VLOOKUP(B469,'Standard Deviations'!A1:C728,3,FALSE))</f>
        <v>155.97352016337015</v>
      </c>
      <c r="J469" s="38">
        <f>IF(D469="G",I469/AJ469,I469/Q469)</f>
        <v>2.2470407728983757</v>
      </c>
      <c r="K469" s="37">
        <f>IF(Settings!$E$18="C/LW/RW",VLOOKUP(B469,LW!A1:F130,6,FALSE),VLOOKUP(B469,F!A1:F430,6,FALSE))</f>
        <v>-208.06708469428031</v>
      </c>
      <c r="L469" s="37">
        <f>IFERROR(K469/H469,"N/A")</f>
        <v>-252.20252690215796</v>
      </c>
      <c r="M469" s="53" t="str">
        <f>IF(Settings!$E$9="YAHOO",VLOOKUP(B469,ADP!A1:E728,2,FALSE),IF(Settings!$E$9="ESPN",VLOOKUP(B469,ADP!A1:E728,3,FALSE),IF(Settings!$E$9="FANTRAX",VLOOKUP(B469,ADP!A1:E728,4,FALSE),VLOOKUP(B469,ADP!A1:E728,5,FALSE))))</f>
        <v>-</v>
      </c>
      <c r="N469" s="53" t="str">
        <f>IFERROR(M469-A469,"N/A")</f>
        <v>N/A</v>
      </c>
      <c r="O469" s="39"/>
      <c r="P469" s="40" t="str">
        <f>IF(Settings!$E$27="ON",VLOOKUP(B469,ADP!A1:H728,8,FALSE)," ")</f>
        <v xml:space="preserve"> </v>
      </c>
      <c r="Q469" s="41">
        <f>IF(Settings!$E$12="YES",VLOOKUP(B469,'Player Data'!A1:E734,5,FALSE),82)</f>
        <v>69.412857142857106</v>
      </c>
      <c r="R469" s="39">
        <f>VLOOKUP(B469,'Player Data'!$A1:$AE734,6,FALSE)</f>
        <v>14.166713070516201</v>
      </c>
      <c r="S469" s="41">
        <f>VLOOKUP(B469,'Player Data'!$A1:$AE734,7,FALSE)*$Q469*IFERROR((VLOOKUP(P469,Settings!$E$28:$F$33,2,FALSE)+1),1)</f>
        <v>6.1352093807377575</v>
      </c>
      <c r="T469" s="41">
        <f>VLOOKUP(B469,'Player Data'!$A1:$AE734,8,FALSE)*$Q469*IFERROR((VLOOKUP(P469,Settings!$E$28:$F$33,2,FALSE)+1),1)</f>
        <v>25.103694367736004</v>
      </c>
      <c r="U469" s="41">
        <f>SUM(S469:T469)</f>
        <v>31.23890374847376</v>
      </c>
      <c r="V469" s="41">
        <f>VLOOKUP(B469,'Player Data'!$A1:$AE734,10,FALSE)*$Q469*IFERROR(((VLOOKUP(P469,Settings!$E$28:$F$33,2,FALSE)/2)+1),1)</f>
        <v>91.413650291031004</v>
      </c>
      <c r="W469" s="41">
        <f>VLOOKUP(B469,'Player Data'!$A1:$AE734,11,FALSE)*$Q469*IFERROR((VLOOKUP(P469,Settings!$E$28:$F$33,2,FALSE)+1),1)</f>
        <v>0.46842912410620363</v>
      </c>
      <c r="X469" s="41">
        <f>VLOOKUP(B469,'Player Data'!$A1:$AE734,12,FALSE)*$Q469*IFERROR((VLOOKUP(P469,Settings!$E$28:$F$33,2,FALSE)+1),1)</f>
        <v>5.6858067114152231</v>
      </c>
      <c r="Y469" s="41">
        <f>VLOOKUP(B469,'Player Data'!$A1:$AE734,13,FALSE)*$Q469</f>
        <v>5.1891187658156118E-3</v>
      </c>
      <c r="Z469" s="41">
        <f>VLOOKUP(B469,'Player Data'!$A1:$AE734,14,FALSE)*$Q469</f>
        <v>9.8409020331725484E-3</v>
      </c>
      <c r="AA469" s="41">
        <f>VLOOKUP(B469,'Player Data'!$A1:$AE734,15,FALSE)*$Q469</f>
        <v>25.793442727682752</v>
      </c>
      <c r="AB469" s="41">
        <f>VLOOKUP(B469,'Player Data'!$A1:$AE734,16,FALSE)*$Q469</f>
        <v>45.645942283477339</v>
      </c>
      <c r="AC469" s="41">
        <f>VLOOKUP(B469,'Player Data'!$A1:$AE734,17,FALSE)*$Q469*IFERROR((VLOOKUP(P469,Settings!$E$28:$F$33,2,FALSE)+1),1)</f>
        <v>2.5717251287291871</v>
      </c>
      <c r="AD469" s="41">
        <f>VLOOKUP(B469,'Player Data'!$A1:$AE734,18,FALSE)*$Q469</f>
        <v>23.169671683075183</v>
      </c>
      <c r="AE469" s="41">
        <f>VLOOKUP(B469,'Player Data'!$A1:$AE734,19,FALSE)*$Q469*IFERROR((VLOOKUP(P469,Settings!$E$28:$F$33,2,FALSE)+1),1)</f>
        <v>0.97068256163659272</v>
      </c>
      <c r="AF469" s="41">
        <f>VLOOKUP(B469,'Player Data'!$A1:$AE734,20,FALSE)*$Q469</f>
        <v>159.90945086007454</v>
      </c>
      <c r="AG469" s="41">
        <f>VLOOKUP(B469,'Player Data'!$A1:$AE734,21,FALSE)*$Q469</f>
        <v>189.75980409539014</v>
      </c>
      <c r="AH469" s="42">
        <f>VLOOKUP(B469,'Player Data'!$A1:$AE734,22,FALSE)</f>
        <v>0.45731630274569401</v>
      </c>
      <c r="AI469" s="39"/>
      <c r="AJ469" s="43"/>
      <c r="AK469" s="41"/>
      <c r="AL469" s="41"/>
      <c r="AM469" s="41"/>
      <c r="AN469" s="41"/>
      <c r="AO469" s="41"/>
      <c r="AP469" s="41"/>
      <c r="AQ469" s="44"/>
      <c r="AR469" s="45"/>
      <c r="AS469" s="39"/>
    </row>
    <row r="470" spans="1:45" ht="21.25" customHeight="1" x14ac:dyDescent="0.15">
      <c r="A470" s="31">
        <f>RANK(K470,K$2:K$727)</f>
        <v>469</v>
      </c>
      <c r="B470" s="8" t="s">
        <v>574</v>
      </c>
      <c r="C470" s="32" t="s">
        <v>106</v>
      </c>
      <c r="D470" s="33" t="str">
        <f>VLOOKUP(B470,'Player Data'!A1:D734,4,FALSE)</f>
        <v>D</v>
      </c>
      <c r="E470" s="49">
        <f>VLOOKUP(B470,D!A1:C227,3,FALSE)</f>
        <v>172</v>
      </c>
      <c r="F470" s="35" t="str">
        <f>VLOOKUP(B470,'Player Data'!A1:B734,2,FALSE)</f>
        <v>FLA</v>
      </c>
      <c r="G470" s="9">
        <f>VLOOKUP(B470,'Player Data'!A1:D734,3,FALSE)</f>
        <v>25</v>
      </c>
      <c r="H470" s="36">
        <f>IFERROR(VLOOKUP(B470,ADP!A1:G728,7,FALSE)/1000000,VLOOKUP(B470,ADP!A1:G728,7,FALSE))</f>
        <v>0.92500000000000004</v>
      </c>
      <c r="I470" s="37">
        <f>IF(Settings!$E$15="POINTS",((R470*Q470)*Settings!$B$12)+(S470*Settings!$B$2)+(T470*Settings!$B$3)+(U470*Settings!$B$4)+(V470*Settings!$B$5)+(X470*Settings!$B$9)+(AA470*Settings!$B$6)+(W470*Settings!$B$8)+(AB470*Settings!$B$7)+(AC470*Settings!$B$14)+(AD470*Settings!$B$15)+(AE470*Settings!$B$16)+(AF470*Settings!$B$17)+(AG470*Settings!$B$18)+(U470*Settings!$B$13)+(Y470*Settings!$B$10)+(Z470*Settings!$B$11),VLOOKUP(B470,'Standard Deviations'!A1:C728,3,FALSE))</f>
        <v>103.01550054873837</v>
      </c>
      <c r="J470" s="38">
        <f>IF(D470="G",I470/AJ470,I470/Q470)</f>
        <v>1.4783326749308998</v>
      </c>
      <c r="K470" s="37">
        <f>VLOOKUP(B470,D!A1:F227,6,FALSE)</f>
        <v>-208.54998107918908</v>
      </c>
      <c r="L470" s="37">
        <f>IFERROR(K470/H470,"N/A")</f>
        <v>-225.45943900452872</v>
      </c>
      <c r="M470" s="53" t="str">
        <f>IF(Settings!$E$9="YAHOO",VLOOKUP(B470,ADP!A1:E728,2,FALSE),IF(Settings!$E$9="ESPN",VLOOKUP(B470,ADP!A1:E728,3,FALSE),IF(Settings!$E$9="FANTRAX",VLOOKUP(B470,ADP!A1:E728,4,FALSE),VLOOKUP(B470,ADP!A1:E728,5,FALSE))))</f>
        <v>-</v>
      </c>
      <c r="N470" s="53" t="str">
        <f>IFERROR(M470-A470,"N/A")</f>
        <v>N/A</v>
      </c>
      <c r="O470" s="39"/>
      <c r="P470" s="40" t="str">
        <f>IF(Settings!$E$27="ON",VLOOKUP(B470,ADP!A1:H728,8,FALSE)," ")</f>
        <v xml:space="preserve"> </v>
      </c>
      <c r="Q470" s="41">
        <f>IF(Settings!$E$12="YES",VLOOKUP(B470,'Player Data'!A1:E734,5,FALSE),82)</f>
        <v>69.683571428571398</v>
      </c>
      <c r="R470" s="39">
        <f>VLOOKUP(B470,'Player Data'!$A1:$AE734,6,FALSE)</f>
        <v>15.8757315118324</v>
      </c>
      <c r="S470" s="41">
        <f>VLOOKUP(B470,'Player Data'!$A1:$AE734,7,FALSE)*$Q470*IFERROR((VLOOKUP(P470,Settings!$E$28:$F$33,2,FALSE)+1),1)</f>
        <v>4.3803952035216565</v>
      </c>
      <c r="T470" s="41">
        <f>VLOOKUP(B470,'Player Data'!$A1:$AE734,8,FALSE)*$Q470*IFERROR((VLOOKUP(P470,Settings!$E$28:$F$33,2,FALSE)+1),1)</f>
        <v>12.073152690465157</v>
      </c>
      <c r="U470" s="41">
        <f>SUM(S470:T470)</f>
        <v>16.453547893986816</v>
      </c>
      <c r="V470" s="41">
        <f>VLOOKUP(B470,'Player Data'!$A1:$AE734,10,FALSE)*$Q470*IFERROR(((VLOOKUP(P470,Settings!$E$28:$F$33,2,FALSE)/2)+1),1)</f>
        <v>76.569478543241743</v>
      </c>
      <c r="W470" s="41">
        <f>VLOOKUP(B470,'Player Data'!$A1:$AE734,11,FALSE)*$Q470*IFERROR((VLOOKUP(P470,Settings!$E$28:$F$33,2,FALSE)+1),1)</f>
        <v>1.8994409763270392E-2</v>
      </c>
      <c r="X470" s="41">
        <f>VLOOKUP(B470,'Player Data'!$A1:$AE734,12,FALSE)*$Q470*IFERROR((VLOOKUP(P470,Settings!$E$28:$F$33,2,FALSE)+1),1)</f>
        <v>0.12961371723093773</v>
      </c>
      <c r="Y470" s="41">
        <f>VLOOKUP(B470,'Player Data'!$A1:$AE734,13,FALSE)*$Q470</f>
        <v>1.7046417039857407E-2</v>
      </c>
      <c r="Z470" s="41">
        <f>VLOOKUP(B470,'Player Data'!$A1:$AE734,14,FALSE)*$Q470</f>
        <v>6.3721492315739259E-2</v>
      </c>
      <c r="AA470" s="41">
        <f>VLOOKUP(B470,'Player Data'!$A1:$AE734,15,FALSE)*$Q470</f>
        <v>74.917235880318614</v>
      </c>
      <c r="AB470" s="41">
        <f>VLOOKUP(B470,'Player Data'!$A1:$AE734,16,FALSE)*$Q470</f>
        <v>97.965171236096182</v>
      </c>
      <c r="AC470" s="41">
        <f>VLOOKUP(B470,'Player Data'!$A1:$AE734,17,FALSE)*$Q470*IFERROR((VLOOKUP(P470,Settings!$E$28:$F$33,2,FALSE)+1),1)</f>
        <v>3.7395088379180761</v>
      </c>
      <c r="AD470" s="41">
        <f>VLOOKUP(B470,'Player Data'!$A1:$AE734,18,FALSE)*$Q470</f>
        <v>26.506078825179429</v>
      </c>
      <c r="AE470" s="41">
        <f>VLOOKUP(B470,'Player Data'!$A1:$AE734,19,FALSE)*$Q470*IFERROR((VLOOKUP(P470,Settings!$E$28:$F$33,2,FALSE)+1),1)</f>
        <v>0.62837768355112622</v>
      </c>
      <c r="AF470" s="41">
        <f>VLOOKUP(B470,'Player Data'!$A1:$AE734,20,FALSE)*$Q470</f>
        <v>0</v>
      </c>
      <c r="AG470" s="41">
        <f>VLOOKUP(B470,'Player Data'!$A1:$AE734,21,FALSE)*$Q470</f>
        <v>0</v>
      </c>
      <c r="AH470" s="42">
        <f>VLOOKUP(B470,'Player Data'!$A1:$AE734,22,FALSE)</f>
        <v>0</v>
      </c>
      <c r="AI470" s="39"/>
      <c r="AJ470" s="43"/>
      <c r="AK470" s="41"/>
      <c r="AL470" s="41"/>
      <c r="AM470" s="41"/>
      <c r="AN470" s="41"/>
      <c r="AO470" s="41"/>
      <c r="AP470" s="41"/>
      <c r="AQ470" s="44"/>
      <c r="AR470" s="45"/>
      <c r="AS470" s="39"/>
    </row>
    <row r="471" spans="1:45" ht="21.25" customHeight="1" x14ac:dyDescent="0.15">
      <c r="A471" s="31">
        <f>RANK(K471,K$2:K$727)</f>
        <v>470</v>
      </c>
      <c r="B471" s="8" t="s">
        <v>575</v>
      </c>
      <c r="C471" s="32" t="s">
        <v>106</v>
      </c>
      <c r="D471" s="33" t="str">
        <f>VLOOKUP(B471,'Player Data'!A1:D734,4,FALSE)</f>
        <v>C</v>
      </c>
      <c r="E471" s="34">
        <f>VLOOKUP(B471,'C'!A1:C211,3,FALSE)</f>
        <v>111</v>
      </c>
      <c r="F471" s="35" t="str">
        <f>VLOOKUP(B471,'Player Data'!A1:B734,2,FALSE)</f>
        <v>SEA</v>
      </c>
      <c r="G471" s="9">
        <f>VLOOKUP(B471,'Player Data'!A1:D734,3,FALSE)</f>
        <v>28</v>
      </c>
      <c r="H471" s="36">
        <f>IFERROR(VLOOKUP(B471,ADP!A1:G728,7,FALSE)/1000000,VLOOKUP(B471,ADP!A1:G728,7,FALSE))</f>
        <v>4.5</v>
      </c>
      <c r="I471" s="37">
        <f>IF(Settings!$E$15="POINTS",((R471*Q471)*Settings!$B$12)+(S471*Settings!$B$2)+(T471*Settings!$B$3)+(U471*Settings!$B$4)+(V471*Settings!$B$5)+(X471*Settings!$B$9)+(AA471*Settings!$B$6)+(W471*Settings!$B$8)+(AB471*Settings!$B$7)+(AC471*Settings!$B$14)+(AD471*Settings!$B$15)+(AE471*Settings!$B$16)+(AF471*Settings!$B$17)+(AG471*Settings!$B$18)+(Y471*Settings!$B$10)+(Z471*Settings!$B$11),VLOOKUP(B471,'Standard Deviations'!A1:C728,3,FALSE))</f>
        <v>184.66913421048673</v>
      </c>
      <c r="J471" s="38">
        <f>IF(D471="G",I471/AJ471,I471/Q471)</f>
        <v>2.2588115003423246</v>
      </c>
      <c r="K471" s="37">
        <f>IF(Settings!$E$18="C/LW/RW",VLOOKUP(B471,'C'!A1:F211,6,FALSE),VLOOKUP(B471,F!A1:F430,6,FALSE))</f>
        <v>-208.65967155572292</v>
      </c>
      <c r="L471" s="37">
        <f>IFERROR(K471/H471,"N/A")</f>
        <v>-46.368815901271759</v>
      </c>
      <c r="M471" s="53" t="str">
        <f>IF(Settings!$E$9="YAHOO",VLOOKUP(B471,ADP!A1:E728,2,FALSE),IF(Settings!$E$9="ESPN",VLOOKUP(B471,ADP!A1:E728,3,FALSE),IF(Settings!$E$9="FANTRAX",VLOOKUP(B471,ADP!A1:E728,4,FALSE),VLOOKUP(B471,ADP!A1:E728,5,FALSE))))</f>
        <v>-</v>
      </c>
      <c r="N471" s="53" t="str">
        <f>IFERROR(M471-A471,"N/A")</f>
        <v>N/A</v>
      </c>
      <c r="O471" s="39"/>
      <c r="P471" s="40" t="str">
        <f>IF(Settings!$E$27="ON",VLOOKUP(B471,ADP!A1:H728,8,FALSE)," ")</f>
        <v xml:space="preserve"> </v>
      </c>
      <c r="Q471" s="41">
        <f>IF(Settings!$E$12="YES",VLOOKUP(B471,'Player Data'!A1:E734,5,FALSE),82)</f>
        <v>81.754999999999995</v>
      </c>
      <c r="R471" s="39">
        <f>VLOOKUP(B471,'Player Data'!$A1:$AE734,6,FALSE)</f>
        <v>17.704137305832401</v>
      </c>
      <c r="S471" s="41">
        <f>VLOOKUP(B471,'Player Data'!$A1:$AE734,7,FALSE)*$Q471*IFERROR((VLOOKUP(P471,Settings!$E$28:$F$33,2,FALSE)+1),1)</f>
        <v>13.121153704083685</v>
      </c>
      <c r="T471" s="41">
        <f>VLOOKUP(B471,'Player Data'!$A1:$AE734,8,FALSE)*$Q471*IFERROR((VLOOKUP(P471,Settings!$E$28:$F$33,2,FALSE)+1),1)</f>
        <v>22.770908239149232</v>
      </c>
      <c r="U471" s="41">
        <f>SUM(S471:T471)</f>
        <v>35.892061943232918</v>
      </c>
      <c r="V471" s="41">
        <f>VLOOKUP(B471,'Player Data'!$A1:$AE734,10,FALSE)*$Q471*IFERROR(((VLOOKUP(P471,Settings!$E$28:$F$33,2,FALSE)/2)+1),1)</f>
        <v>100.33977651527718</v>
      </c>
      <c r="W471" s="41">
        <f>VLOOKUP(B471,'Player Data'!$A1:$AE734,11,FALSE)*$Q471*IFERROR((VLOOKUP(P471,Settings!$E$28:$F$33,2,FALSE)+1),1)</f>
        <v>2.7746828875418585</v>
      </c>
      <c r="X471" s="41">
        <f>VLOOKUP(B471,'Player Data'!$A1:$AE734,12,FALSE)*$Q471*IFERROR((VLOOKUP(P471,Settings!$E$28:$F$33,2,FALSE)+1),1)</f>
        <v>6.9104581528133258</v>
      </c>
      <c r="Y471" s="41">
        <f>VLOOKUP(B471,'Player Data'!$A1:$AE734,13,FALSE)*$Q471</f>
        <v>0.32497449437022108</v>
      </c>
      <c r="Z471" s="41">
        <f>VLOOKUP(B471,'Player Data'!$A1:$AE734,14,FALSE)*$Q471</f>
        <v>0.81846559969898591</v>
      </c>
      <c r="AA471" s="41">
        <f>VLOOKUP(B471,'Player Data'!$A1:$AE734,15,FALSE)*$Q471</f>
        <v>56.826063090623961</v>
      </c>
      <c r="AB471" s="41">
        <f>VLOOKUP(B471,'Player Data'!$A1:$AE734,16,FALSE)*$Q471</f>
        <v>47.180538196671066</v>
      </c>
      <c r="AC471" s="41">
        <f>VLOOKUP(B471,'Player Data'!$A1:$AE734,17,FALSE)*$Q471*IFERROR((VLOOKUP(P471,Settings!$E$28:$F$33,2,FALSE)+1),1)</f>
        <v>-1.2116336295734156</v>
      </c>
      <c r="AD471" s="41">
        <f>VLOOKUP(B471,'Player Data'!$A1:$AE734,18,FALSE)*$Q471</f>
        <v>22.968429669403367</v>
      </c>
      <c r="AE471" s="41">
        <f>VLOOKUP(B471,'Player Data'!$A1:$AE734,19,FALSE)*$Q471*IFERROR((VLOOKUP(P471,Settings!$E$28:$F$33,2,FALSE)+1),1)</f>
        <v>1.8443221730850949</v>
      </c>
      <c r="AF471" s="41">
        <f>VLOOKUP(B471,'Player Data'!$A1:$AE734,20,FALSE)*$Q471</f>
        <v>590.66023775102497</v>
      </c>
      <c r="AG471" s="41">
        <f>VLOOKUP(B471,'Player Data'!$A1:$AE734,21,FALSE)*$Q471</f>
        <v>676.09741239303696</v>
      </c>
      <c r="AH471" s="42">
        <f>VLOOKUP(B471,'Player Data'!$A1:$AE734,22,FALSE)</f>
        <v>0.46627722175891501</v>
      </c>
      <c r="AI471" s="39"/>
      <c r="AJ471" s="43"/>
      <c r="AK471" s="41"/>
      <c r="AL471" s="41"/>
      <c r="AM471" s="41"/>
      <c r="AN471" s="41"/>
      <c r="AO471" s="41"/>
      <c r="AP471" s="41"/>
      <c r="AQ471" s="44"/>
      <c r="AR471" s="45"/>
      <c r="AS471" s="39"/>
    </row>
    <row r="472" spans="1:45" ht="21.25" customHeight="1" x14ac:dyDescent="0.15">
      <c r="A472" s="31">
        <f>RANK(K472,K$2:K$727)</f>
        <v>471</v>
      </c>
      <c r="B472" s="8" t="s">
        <v>576</v>
      </c>
      <c r="C472" s="32" t="s">
        <v>106</v>
      </c>
      <c r="D472" s="33" t="str">
        <f>VLOOKUP(B472,'Player Data'!A1:D734,4,FALSE)</f>
        <v>RW</v>
      </c>
      <c r="E472" s="46">
        <f>VLOOKUP(B472,RW!A1:F97,3,FALSE)</f>
        <v>63</v>
      </c>
      <c r="F472" s="35" t="str">
        <f>VLOOKUP(B472,'Player Data'!A1:B734,2,FALSE)</f>
        <v>BUF</v>
      </c>
      <c r="G472" s="9">
        <f>VLOOKUP(B472,'Player Data'!A1:D734,3,FALSE)</f>
        <v>35</v>
      </c>
      <c r="H472" s="36">
        <f>IFERROR(VLOOKUP(B472,ADP!A1:G728,7,FALSE)/1000000,VLOOKUP(B472,ADP!A1:G728,7,FALSE))</f>
        <v>1.915</v>
      </c>
      <c r="I472" s="37">
        <f>IF(Settings!$E$15="POINTS",((R472*Q472)*Settings!$B$12)+(S472*Settings!$B$2)+(T472*Settings!$B$3)+(U472*Settings!$B$4)+(V472*Settings!$B$5)+(X472*Settings!$B$9)+(AA472*Settings!$B$6)+(W472*Settings!$B$8)+(AB472*Settings!$B$7)+(AC472*Settings!$B$14)+(AD472*Settings!$B$15)+(AE472*Settings!$B$16)+(AF472*Settings!$B$17)+(AG472*Settings!$B$18)+(Y472*Settings!$B$10)+(Z472*Settings!$B$11),VLOOKUP(B472,'Standard Deviations'!A1:C728,3,FALSE))</f>
        <v>141.32251679913375</v>
      </c>
      <c r="J472" s="38">
        <f>IF(D472="G",I472/AJ472,I472/Q472)</f>
        <v>1.8446404542226629</v>
      </c>
      <c r="K472" s="37">
        <f>IF(Settings!$E$18="C/LW/RW",VLOOKUP(B472,RW!A1:F97,6,FALSE),VLOOKUP(B472,F!A1:F430,6,FALSE))</f>
        <v>-208.94902374875582</v>
      </c>
      <c r="L472" s="37">
        <f>IFERROR(K472/H472,"N/A")</f>
        <v>-109.11176174869756</v>
      </c>
      <c r="M472" s="53" t="str">
        <f>IF(Settings!$E$9="YAHOO",VLOOKUP(B472,ADP!A1:E728,2,FALSE),IF(Settings!$E$9="ESPN",VLOOKUP(B472,ADP!A1:E728,3,FALSE),IF(Settings!$E$9="FANTRAX",VLOOKUP(B472,ADP!A1:E728,4,FALSE),VLOOKUP(B472,ADP!A1:E728,5,FALSE))))</f>
        <v>-</v>
      </c>
      <c r="N472" s="53" t="str">
        <f>IFERROR(M472-A472,"N/A")</f>
        <v>N/A</v>
      </c>
      <c r="O472" s="39"/>
      <c r="P472" s="40" t="str">
        <f>IF(Settings!$E$27="ON",VLOOKUP(B472,ADP!A1:H728,8,FALSE)," ")</f>
        <v xml:space="preserve"> </v>
      </c>
      <c r="Q472" s="41">
        <f>IF(Settings!$E$12="YES",VLOOKUP(B472,'Player Data'!A1:E734,5,FALSE),82)</f>
        <v>76.612499999999997</v>
      </c>
      <c r="R472" s="39">
        <f>VLOOKUP(B472,'Player Data'!$A1:$AE734,6,FALSE)</f>
        <v>12.672771507114</v>
      </c>
      <c r="S472" s="41">
        <f>VLOOKUP(B472,'Player Data'!$A1:$AE734,7,FALSE)*$Q472*IFERROR((VLOOKUP(P472,Settings!$E$28:$F$33,2,FALSE)+1),1)</f>
        <v>9.2081287040452491</v>
      </c>
      <c r="T472" s="41">
        <f>VLOOKUP(B472,'Player Data'!$A1:$AE734,8,FALSE)*$Q472*IFERROR((VLOOKUP(P472,Settings!$E$28:$F$33,2,FALSE)+1),1)</f>
        <v>13.581253477818025</v>
      </c>
      <c r="U472" s="41">
        <f>SUM(S472:T472)</f>
        <v>22.789382181863274</v>
      </c>
      <c r="V472" s="41">
        <f>VLOOKUP(B472,'Player Data'!$A1:$AE734,10,FALSE)*$Q472*IFERROR(((VLOOKUP(P472,Settings!$E$28:$F$33,2,FALSE)/2)+1),1)</f>
        <v>126.41007726796998</v>
      </c>
      <c r="W472" s="41">
        <f>VLOOKUP(B472,'Player Data'!$A1:$AE734,11,FALSE)*$Q472*IFERROR((VLOOKUP(P472,Settings!$E$28:$F$33,2,FALSE)+1),1)</f>
        <v>0.47248252911616578</v>
      </c>
      <c r="X472" s="41">
        <f>VLOOKUP(B472,'Player Data'!$A1:$AE734,12,FALSE)*$Q472*IFERROR((VLOOKUP(P472,Settings!$E$28:$F$33,2,FALSE)+1),1)</f>
        <v>1.1888324854581485</v>
      </c>
      <c r="Y472" s="41">
        <f>VLOOKUP(B472,'Player Data'!$A1:$AE734,13,FALSE)*$Q472</f>
        <v>1.1075679631353057</v>
      </c>
      <c r="Z472" s="41">
        <f>VLOOKUP(B472,'Player Data'!$A1:$AE734,14,FALSE)*$Q472</f>
        <v>1.3705644436349798</v>
      </c>
      <c r="AA472" s="41">
        <f>VLOOKUP(B472,'Player Data'!$A1:$AE734,15,FALSE)*$Q472</f>
        <v>23.152688806863441</v>
      </c>
      <c r="AB472" s="41">
        <f>VLOOKUP(B472,'Player Data'!$A1:$AE734,16,FALSE)*$Q472</f>
        <v>69.270019979663587</v>
      </c>
      <c r="AC472" s="41">
        <f>VLOOKUP(B472,'Player Data'!$A1:$AE734,17,FALSE)*$Q472*IFERROR((VLOOKUP(P472,Settings!$E$28:$F$33,2,FALSE)+1),1)</f>
        <v>-2.1867333273974685</v>
      </c>
      <c r="AD472" s="41">
        <f>VLOOKUP(B472,'Player Data'!$A1:$AE734,18,FALSE)*$Q472</f>
        <v>27.755349499941161</v>
      </c>
      <c r="AE472" s="41">
        <f>VLOOKUP(B472,'Player Data'!$A1:$AE734,19,FALSE)*$Q472*IFERROR((VLOOKUP(P472,Settings!$E$28:$F$33,2,FALSE)+1),1)</f>
        <v>1.1866361035141759</v>
      </c>
      <c r="AF472" s="41">
        <f>VLOOKUP(B472,'Player Data'!$A1:$AE734,20,FALSE)*$Q472</f>
        <v>129.9046394892157</v>
      </c>
      <c r="AG472" s="41">
        <f>VLOOKUP(B472,'Player Data'!$A1:$AE734,21,FALSE)*$Q472</f>
        <v>135.49570245697237</v>
      </c>
      <c r="AH472" s="42">
        <f>VLOOKUP(B472,'Player Data'!$A1:$AE734,22,FALSE)</f>
        <v>0.48946673744510399</v>
      </c>
      <c r="AI472" s="39"/>
      <c r="AJ472" s="43"/>
      <c r="AK472" s="41"/>
      <c r="AL472" s="41"/>
      <c r="AM472" s="41"/>
      <c r="AN472" s="41"/>
      <c r="AO472" s="41"/>
      <c r="AP472" s="41"/>
      <c r="AQ472" s="44"/>
      <c r="AR472" s="45"/>
      <c r="AS472" s="39"/>
    </row>
    <row r="473" spans="1:45" ht="21.25" customHeight="1" x14ac:dyDescent="0.15">
      <c r="A473" s="31">
        <f>RANK(K473,K$2:K$727)</f>
        <v>472</v>
      </c>
      <c r="B473" s="8" t="s">
        <v>577</v>
      </c>
      <c r="C473" s="32" t="s">
        <v>106</v>
      </c>
      <c r="D473" s="33" t="str">
        <f>VLOOKUP(B473,'Player Data'!A1:D734,4,FALSE)</f>
        <v>D</v>
      </c>
      <c r="E473" s="49">
        <f>VLOOKUP(B473,D!A1:C227,3,FALSE)</f>
        <v>173</v>
      </c>
      <c r="F473" s="35" t="str">
        <f>VLOOKUP(B473,'Player Data'!A1:B734,2,FALSE)</f>
        <v>BOS</v>
      </c>
      <c r="G473" s="9">
        <f>VLOOKUP(B473,'Player Data'!A1:D734,3,FALSE)</f>
        <v>31</v>
      </c>
      <c r="H473" s="36">
        <f>IFERROR(VLOOKUP(B473,ADP!A1:G728,7,FALSE)/1000000,VLOOKUP(B473,ADP!A1:G728,7,FALSE))</f>
        <v>3</v>
      </c>
      <c r="I473" s="37">
        <f>IF(Settings!$E$15="POINTS",((R473*Q473)*Settings!$B$12)+(S473*Settings!$B$2)+(T473*Settings!$B$3)+(U473*Settings!$B$4)+(V473*Settings!$B$5)+(X473*Settings!$B$9)+(AA473*Settings!$B$6)+(W473*Settings!$B$8)+(AB473*Settings!$B$7)+(AC473*Settings!$B$14)+(AD473*Settings!$B$15)+(AE473*Settings!$B$16)+(AF473*Settings!$B$17)+(AG473*Settings!$B$18)+(U473*Settings!$B$13)+(Y473*Settings!$B$10)+(Z473*Settings!$B$11),VLOOKUP(B473,'Standard Deviations'!A1:C728,3,FALSE))</f>
        <v>102.34477059419767</v>
      </c>
      <c r="J473" s="38">
        <f>IF(D473="G",I473/AJ473,I473/Q473)</f>
        <v>1.3424905961067446</v>
      </c>
      <c r="K473" s="37">
        <f>VLOOKUP(B473,D!A1:F227,6,FALSE)</f>
        <v>-209.2207110337298</v>
      </c>
      <c r="L473" s="37">
        <f>IFERROR(K473/H473,"N/A")</f>
        <v>-69.740237011243266</v>
      </c>
      <c r="M473" s="39">
        <f>IF(Settings!$E$9="YAHOO",VLOOKUP(B473,ADP!A1:E728,2,FALSE),IF(Settings!$E$9="ESPN",VLOOKUP(B473,ADP!A1:E728,3,FALSE),IF(Settings!$E$9="FANTRAX",VLOOKUP(B473,ADP!A1:E728,4,FALSE),VLOOKUP(B473,ADP!A1:E728,5,FALSE))))</f>
        <v>147.19999999999999</v>
      </c>
      <c r="N473" s="39">
        <f>IFERROR(M473-A473,"N/A")</f>
        <v>-324.8</v>
      </c>
      <c r="O473" s="39"/>
      <c r="P473" s="40" t="str">
        <f>IF(Settings!$E$27="ON",VLOOKUP(B473,ADP!A1:H728,8,FALSE)," ")</f>
        <v xml:space="preserve"> </v>
      </c>
      <c r="Q473" s="41">
        <f>IF(Settings!$E$12="YES",VLOOKUP(B473,'Player Data'!A1:E734,5,FALSE),82)</f>
        <v>76.234999999999999</v>
      </c>
      <c r="R473" s="39">
        <f>VLOOKUP(B473,'Player Data'!$A1:$AE734,6,FALSE)</f>
        <v>17.565507904034</v>
      </c>
      <c r="S473" s="41">
        <f>VLOOKUP(B473,'Player Data'!$A1:$AE734,7,FALSE)*$Q473*IFERROR((VLOOKUP(P473,Settings!$E$28:$F$33,2,FALSE)+1),1)</f>
        <v>4.365833088640402</v>
      </c>
      <c r="T473" s="41">
        <f>VLOOKUP(B473,'Player Data'!$A1:$AE734,8,FALSE)*$Q473*IFERROR((VLOOKUP(P473,Settings!$E$28:$F$33,2,FALSE)+1),1)</f>
        <v>10.374868509117226</v>
      </c>
      <c r="U473" s="41">
        <f>SUM(S473:T473)</f>
        <v>14.740701597757628</v>
      </c>
      <c r="V473" s="41">
        <f>VLOOKUP(B473,'Player Data'!$A1:$AE734,10,FALSE)*$Q473*IFERROR(((VLOOKUP(P473,Settings!$E$28:$F$33,2,FALSE)/2)+1),1)</f>
        <v>64.180120574271754</v>
      </c>
      <c r="W473" s="41">
        <f>VLOOKUP(B473,'Player Data'!$A1:$AE734,11,FALSE)*$Q473*IFERROR((VLOOKUP(P473,Settings!$E$28:$F$33,2,FALSE)+1),1)</f>
        <v>1.6792026086849036E-2</v>
      </c>
      <c r="X473" s="41">
        <f>VLOOKUP(B473,'Player Data'!$A1:$AE734,12,FALSE)*$Q473*IFERROR((VLOOKUP(P473,Settings!$E$28:$F$33,2,FALSE)+1),1)</f>
        <v>0.11518207834018349</v>
      </c>
      <c r="Y473" s="41">
        <f>VLOOKUP(B473,'Player Data'!$A1:$AE734,13,FALSE)*$Q473</f>
        <v>1.037312094060334</v>
      </c>
      <c r="Z473" s="41">
        <f>VLOOKUP(B473,'Player Data'!$A1:$AE734,14,FALSE)*$Q473</f>
        <v>1.4650761984473446</v>
      </c>
      <c r="AA473" s="41">
        <f>VLOOKUP(B473,'Player Data'!$A1:$AE734,15,FALSE)*$Q473</f>
        <v>114.36044480106932</v>
      </c>
      <c r="AB473" s="41">
        <f>VLOOKUP(B473,'Player Data'!$A1:$AE734,16,FALSE)*$Q473</f>
        <v>129.31462699280056</v>
      </c>
      <c r="AC473" s="41">
        <f>VLOOKUP(B473,'Player Data'!$A1:$AE734,17,FALSE)*$Q473*IFERROR((VLOOKUP(P473,Settings!$E$28:$F$33,2,FALSE)+1),1)</f>
        <v>1.7690138478723214</v>
      </c>
      <c r="AD473" s="41">
        <f>VLOOKUP(B473,'Player Data'!$A1:$AE734,18,FALSE)*$Q473</f>
        <v>33.860145946985476</v>
      </c>
      <c r="AE473" s="41">
        <f>VLOOKUP(B473,'Player Data'!$A1:$AE734,19,FALSE)*$Q473*IFERROR((VLOOKUP(P473,Settings!$E$28:$F$33,2,FALSE)+1),1)</f>
        <v>0.73293745869259552</v>
      </c>
      <c r="AF473" s="41">
        <f>VLOOKUP(B473,'Player Data'!$A1:$AE734,20,FALSE)*$Q473</f>
        <v>0</v>
      </c>
      <c r="AG473" s="41">
        <f>VLOOKUP(B473,'Player Data'!$A1:$AE734,21,FALSE)*$Q473</f>
        <v>0</v>
      </c>
      <c r="AH473" s="42">
        <f>VLOOKUP(B473,'Player Data'!$A1:$AE734,22,FALSE)</f>
        <v>0</v>
      </c>
      <c r="AI473" s="39"/>
      <c r="AJ473" s="43"/>
      <c r="AK473" s="41"/>
      <c r="AL473" s="41"/>
      <c r="AM473" s="41"/>
      <c r="AN473" s="41"/>
      <c r="AO473" s="41"/>
      <c r="AP473" s="41"/>
      <c r="AQ473" s="44"/>
      <c r="AR473" s="45"/>
      <c r="AS473" s="39"/>
    </row>
    <row r="474" spans="1:45" ht="21.25" customHeight="1" x14ac:dyDescent="0.15">
      <c r="A474" s="31">
        <f>RANK(K474,K$2:K$727)</f>
        <v>473</v>
      </c>
      <c r="B474" s="8" t="s">
        <v>578</v>
      </c>
      <c r="C474" s="32" t="s">
        <v>106</v>
      </c>
      <c r="D474" s="33" t="str">
        <f>VLOOKUP(B474,'Player Data'!A1:D734,4,FALSE)</f>
        <v>D</v>
      </c>
      <c r="E474" s="49">
        <f>VLOOKUP(B474,D!A1:C227,3,FALSE)</f>
        <v>174</v>
      </c>
      <c r="F474" s="35" t="str">
        <f>VLOOKUP(B474,'Player Data'!A1:B734,2,FALSE)</f>
        <v>SJS</v>
      </c>
      <c r="G474" s="9">
        <f>VLOOKUP(B474,'Player Data'!A1:D734,3,FALSE)</f>
        <v>28</v>
      </c>
      <c r="H474" s="36">
        <f>IFERROR(VLOOKUP(B474,ADP!A1:G728,7,FALSE)/1000000,VLOOKUP(B474,ADP!A1:G728,7,FALSE))</f>
        <v>1.1000000000000001</v>
      </c>
      <c r="I474" s="37">
        <f>IF(Settings!$E$15="POINTS",((R474*Q474)*Settings!$B$12)+(S474*Settings!$B$2)+(T474*Settings!$B$3)+(U474*Settings!$B$4)+(V474*Settings!$B$5)+(X474*Settings!$B$9)+(AA474*Settings!$B$6)+(W474*Settings!$B$8)+(AB474*Settings!$B$7)+(AC474*Settings!$B$14)+(AD474*Settings!$B$15)+(AE474*Settings!$B$16)+(AF474*Settings!$B$17)+(AG474*Settings!$B$18)+(U474*Settings!$B$13)+(Y474*Settings!$B$10)+(Z474*Settings!$B$11),VLOOKUP(B474,'Standard Deviations'!A1:C728,3,FALSE))</f>
        <v>102.18820549893111</v>
      </c>
      <c r="J474" s="38">
        <f>IF(D474="G",I474/AJ474,I474/Q474)</f>
        <v>1.6213364729312028</v>
      </c>
      <c r="K474" s="37">
        <f>VLOOKUP(B474,D!A1:F227,6,FALSE)</f>
        <v>-209.37727612899636</v>
      </c>
      <c r="L474" s="37">
        <f>IFERROR(K474/H474,"N/A")</f>
        <v>-190.34297829908758</v>
      </c>
      <c r="M474" s="53" t="str">
        <f>IF(Settings!$E$9="YAHOO",VLOOKUP(B474,ADP!A1:E728,2,FALSE),IF(Settings!$E$9="ESPN",VLOOKUP(B474,ADP!A1:E728,3,FALSE),IF(Settings!$E$9="FANTRAX",VLOOKUP(B474,ADP!A1:E728,4,FALSE),VLOOKUP(B474,ADP!A1:E728,5,FALSE))))</f>
        <v>-</v>
      </c>
      <c r="N474" s="53" t="str">
        <f>IFERROR(M474-A474,"N/A")</f>
        <v>N/A</v>
      </c>
      <c r="O474" s="39"/>
      <c r="P474" s="40" t="str">
        <f>IF(Settings!$E$27="ON",VLOOKUP(B474,ADP!A1:H728,8,FALSE)," ")</f>
        <v xml:space="preserve"> </v>
      </c>
      <c r="Q474" s="41">
        <f>IF(Settings!$E$12="YES",VLOOKUP(B474,'Player Data'!A1:E734,5,FALSE),82)</f>
        <v>63.027142857142898</v>
      </c>
      <c r="R474" s="39">
        <f>VLOOKUP(B474,'Player Data'!$A1:$AE734,6,FALSE)</f>
        <v>19.1182654321371</v>
      </c>
      <c r="S474" s="41">
        <f>VLOOKUP(B474,'Player Data'!$A1:$AE734,7,FALSE)*$Q474*IFERROR((VLOOKUP(P474,Settings!$E$28:$F$33,2,FALSE)+1),1)</f>
        <v>3.2503798969412681</v>
      </c>
      <c r="T474" s="41">
        <f>VLOOKUP(B474,'Player Data'!$A1:$AE734,8,FALSE)*$Q474*IFERROR((VLOOKUP(P474,Settings!$E$28:$F$33,2,FALSE)+1),1)</f>
        <v>9.918641263491935</v>
      </c>
      <c r="U474" s="41">
        <f>SUM(S474:T474)</f>
        <v>13.169021160433203</v>
      </c>
      <c r="V474" s="41">
        <f>VLOOKUP(B474,'Player Data'!$A1:$AE734,10,FALSE)*$Q474*IFERROR(((VLOOKUP(P474,Settings!$E$28:$F$33,2,FALSE)/2)+1),1)</f>
        <v>77.557329607756429</v>
      </c>
      <c r="W474" s="41">
        <f>VLOOKUP(B474,'Player Data'!$A1:$AE734,11,FALSE)*$Q474*IFERROR((VLOOKUP(P474,Settings!$E$28:$F$33,2,FALSE)+1),1)</f>
        <v>0.10304339637950286</v>
      </c>
      <c r="X474" s="41">
        <f>VLOOKUP(B474,'Player Data'!$A1:$AE734,12,FALSE)*$Q474*IFERROR((VLOOKUP(P474,Settings!$E$28:$F$33,2,FALSE)+1),1)</f>
        <v>0.7096992585688503</v>
      </c>
      <c r="Y474" s="41">
        <f>VLOOKUP(B474,'Player Data'!$A1:$AE734,13,FALSE)*$Q474</f>
        <v>3.684060567675216E-2</v>
      </c>
      <c r="Z474" s="41">
        <f>VLOOKUP(B474,'Player Data'!$A1:$AE734,14,FALSE)*$Q474</f>
        <v>0.13899801998058045</v>
      </c>
      <c r="AA474" s="41">
        <f>VLOOKUP(B474,'Player Data'!$A1:$AE734,15,FALSE)*$Q474</f>
        <v>111.02541328327212</v>
      </c>
      <c r="AB474" s="41">
        <f>VLOOKUP(B474,'Player Data'!$A1:$AE734,16,FALSE)*$Q474</f>
        <v>190.72238127402582</v>
      </c>
      <c r="AC474" s="41">
        <f>VLOOKUP(B474,'Player Data'!$A1:$AE734,17,FALSE)*$Q474*IFERROR((VLOOKUP(P474,Settings!$E$28:$F$33,2,FALSE)+1),1)</f>
        <v>-0.42447086959717151</v>
      </c>
      <c r="AD474" s="41">
        <f>VLOOKUP(B474,'Player Data'!$A1:$AE734,18,FALSE)*$Q474</f>
        <v>71.252332927706945</v>
      </c>
      <c r="AE474" s="41">
        <f>VLOOKUP(B474,'Player Data'!$A1:$AE734,19,FALSE)*$Q474*IFERROR((VLOOKUP(P474,Settings!$E$28:$F$33,2,FALSE)+1),1)</f>
        <v>0.39466679445048242</v>
      </c>
      <c r="AF474" s="41">
        <f>VLOOKUP(B474,'Player Data'!$A1:$AE734,20,FALSE)*$Q474</f>
        <v>0</v>
      </c>
      <c r="AG474" s="41">
        <f>VLOOKUP(B474,'Player Data'!$A1:$AE734,21,FALSE)*$Q474</f>
        <v>1.2609132137694279</v>
      </c>
      <c r="AH474" s="42">
        <f>VLOOKUP(B474,'Player Data'!$A1:$AE734,22,FALSE)</f>
        <v>0</v>
      </c>
      <c r="AI474" s="39"/>
      <c r="AJ474" s="43"/>
      <c r="AK474" s="41"/>
      <c r="AL474" s="41"/>
      <c r="AM474" s="41"/>
      <c r="AN474" s="41"/>
      <c r="AO474" s="41"/>
      <c r="AP474" s="41"/>
      <c r="AQ474" s="44"/>
      <c r="AR474" s="45"/>
      <c r="AS474" s="39"/>
    </row>
    <row r="475" spans="1:45" ht="21.25" customHeight="1" x14ac:dyDescent="0.15">
      <c r="A475" s="31">
        <f>RANK(K475,K$2:K$727)</f>
        <v>474</v>
      </c>
      <c r="B475" s="8" t="s">
        <v>579</v>
      </c>
      <c r="C475" s="32" t="s">
        <v>106</v>
      </c>
      <c r="D475" s="33" t="str">
        <f>VLOOKUP(B475,'Player Data'!A1:D734,4,FALSE)</f>
        <v>RW</v>
      </c>
      <c r="E475" s="46">
        <f>VLOOKUP(B475,RW!A1:F97,3,FALSE)</f>
        <v>64</v>
      </c>
      <c r="F475" s="35" t="str">
        <f>VLOOKUP(B475,'Player Data'!A1:B734,2,FALSE)</f>
        <v>CHI</v>
      </c>
      <c r="G475" s="9">
        <f>VLOOKUP(B475,'Player Data'!A1:D734,3,FALSE)</f>
        <v>38</v>
      </c>
      <c r="H475" s="36">
        <f>IFERROR(VLOOKUP(B475,ADP!A1:G728,7,FALSE)/1000000,VLOOKUP(B475,ADP!A1:G728,7,FALSE))</f>
        <v>4</v>
      </c>
      <c r="I475" s="37">
        <f>IF(Settings!$E$15="POINTS",((R475*Q475)*Settings!$B$12)+(S475*Settings!$B$2)+(T475*Settings!$B$3)+(U475*Settings!$B$4)+(V475*Settings!$B$5)+(X475*Settings!$B$9)+(AA475*Settings!$B$6)+(W475*Settings!$B$8)+(AB475*Settings!$B$7)+(AC475*Settings!$B$14)+(AD475*Settings!$B$15)+(AE475*Settings!$B$16)+(AF475*Settings!$B$17)+(AG475*Settings!$B$18)+(Y475*Settings!$B$10)+(Z475*Settings!$B$11),VLOOKUP(B475,'Standard Deviations'!A1:C728,3,FALSE))</f>
        <v>140.34585074759656</v>
      </c>
      <c r="J475" s="38">
        <f>IF(D475="G",I475/AJ475,I475/Q475)</f>
        <v>1.736362633356179</v>
      </c>
      <c r="K475" s="37">
        <f>IF(Settings!$E$18="C/LW/RW",VLOOKUP(B475,RW!A1:F97,6,FALSE),VLOOKUP(B475,F!A1:F430,6,FALSE))</f>
        <v>-209.92568980029301</v>
      </c>
      <c r="L475" s="37">
        <f>IFERROR(K475/H475,"N/A")</f>
        <v>-52.481422450073254</v>
      </c>
      <c r="M475" s="53" t="str">
        <f>IF(Settings!$E$9="YAHOO",VLOOKUP(B475,ADP!A1:E728,2,FALSE),IF(Settings!$E$9="ESPN",VLOOKUP(B475,ADP!A1:E728,3,FALSE),IF(Settings!$E$9="FANTRAX",VLOOKUP(B475,ADP!A1:E728,4,FALSE),VLOOKUP(B475,ADP!A1:E728,5,FALSE))))</f>
        <v>-</v>
      </c>
      <c r="N475" s="53" t="str">
        <f>IFERROR(M475-A475,"N/A")</f>
        <v>N/A</v>
      </c>
      <c r="O475" s="39"/>
      <c r="P475" s="40" t="str">
        <f>IF(Settings!$E$27="ON",VLOOKUP(B475,ADP!A1:H728,8,FALSE)," ")</f>
        <v xml:space="preserve"> </v>
      </c>
      <c r="Q475" s="41">
        <f>IF(Settings!$E$12="YES",VLOOKUP(B475,'Player Data'!A1:E734,5,FALSE),82)</f>
        <v>80.827500000000001</v>
      </c>
      <c r="R475" s="39">
        <f>VLOOKUP(B475,'Player Data'!$A1:$AE734,6,FALSE)</f>
        <v>11.9615654222525</v>
      </c>
      <c r="S475" s="41">
        <f>VLOOKUP(B475,'Player Data'!$A1:$AE734,7,FALSE)*$Q475*IFERROR((VLOOKUP(P475,Settings!$E$28:$F$33,2,FALSE)+1),1)</f>
        <v>10.251159591325086</v>
      </c>
      <c r="T475" s="41">
        <f>VLOOKUP(B475,'Player Data'!$A1:$AE734,8,FALSE)*$Q475*IFERROR((VLOOKUP(P475,Settings!$E$28:$F$33,2,FALSE)+1),1)</f>
        <v>12.66915752049421</v>
      </c>
      <c r="U475" s="41">
        <f>SUM(S475:T475)</f>
        <v>22.920317111819294</v>
      </c>
      <c r="V475" s="41">
        <f>VLOOKUP(B475,'Player Data'!$A1:$AE734,10,FALSE)*$Q475*IFERROR(((VLOOKUP(P475,Settings!$E$28:$F$33,2,FALSE)/2)+1),1)</f>
        <v>113.77138662588345</v>
      </c>
      <c r="W475" s="41">
        <f>VLOOKUP(B475,'Player Data'!$A1:$AE734,11,FALSE)*$Q475*IFERROR((VLOOKUP(P475,Settings!$E$28:$F$33,2,FALSE)+1),1)</f>
        <v>2.1719826308978498</v>
      </c>
      <c r="X475" s="41">
        <f>VLOOKUP(B475,'Player Data'!$A1:$AE734,12,FALSE)*$Q475*IFERROR((VLOOKUP(P475,Settings!$E$28:$F$33,2,FALSE)+1),1)</f>
        <v>4.5375347194870779</v>
      </c>
      <c r="Y475" s="41">
        <f>VLOOKUP(B475,'Player Data'!$A1:$AE734,13,FALSE)*$Q475</f>
        <v>1.371353422557246E-3</v>
      </c>
      <c r="Z475" s="41">
        <f>VLOOKUP(B475,'Player Data'!$A1:$AE734,14,FALSE)*$Q475</f>
        <v>2.5351315978491972E-3</v>
      </c>
      <c r="AA475" s="41">
        <f>VLOOKUP(B475,'Player Data'!$A1:$AE734,15,FALSE)*$Q475</f>
        <v>28.095331985135349</v>
      </c>
      <c r="AB475" s="41">
        <f>VLOOKUP(B475,'Player Data'!$A1:$AE734,16,FALSE)*$Q475</f>
        <v>69.789359755872482</v>
      </c>
      <c r="AC475" s="41">
        <f>VLOOKUP(B475,'Player Data'!$A1:$AE734,17,FALSE)*$Q475*IFERROR((VLOOKUP(P475,Settings!$E$28:$F$33,2,FALSE)+1),1)</f>
        <v>-5.6776023973657086</v>
      </c>
      <c r="AD475" s="41">
        <f>VLOOKUP(B475,'Player Data'!$A1:$AE734,18,FALSE)*$Q475</f>
        <v>52.698841536181085</v>
      </c>
      <c r="AE475" s="41">
        <f>VLOOKUP(B475,'Player Data'!$A1:$AE734,19,FALSE)*$Q475*IFERROR((VLOOKUP(P475,Settings!$E$28:$F$33,2,FALSE)+1),1)</f>
        <v>1.2012467902189896</v>
      </c>
      <c r="AF475" s="41">
        <f>VLOOKUP(B475,'Player Data'!$A1:$AE734,20,FALSE)*$Q475</f>
        <v>0.31171969546337397</v>
      </c>
      <c r="AG475" s="41">
        <f>VLOOKUP(B475,'Player Data'!$A1:$AE734,21,FALSE)*$Q475</f>
        <v>1.2156711344458428</v>
      </c>
      <c r="AH475" s="42">
        <f>VLOOKUP(B475,'Player Data'!$A1:$AE734,22,FALSE)</f>
        <v>0.204086399734311</v>
      </c>
      <c r="AI475" s="39"/>
      <c r="AJ475" s="43"/>
      <c r="AK475" s="41"/>
      <c r="AL475" s="41"/>
      <c r="AM475" s="41"/>
      <c r="AN475" s="41"/>
      <c r="AO475" s="41"/>
      <c r="AP475" s="41"/>
      <c r="AQ475" s="44"/>
      <c r="AR475" s="45"/>
      <c r="AS475" s="39"/>
    </row>
    <row r="476" spans="1:45" ht="21.25" customHeight="1" x14ac:dyDescent="0.15">
      <c r="A476" s="31">
        <f>RANK(K476,K$2:K$727)</f>
        <v>475</v>
      </c>
      <c r="B476" s="8" t="s">
        <v>580</v>
      </c>
      <c r="C476" s="32" t="s">
        <v>106</v>
      </c>
      <c r="D476" s="33" t="str">
        <f>VLOOKUP(B476,'Player Data'!A1:D734,4,FALSE)</f>
        <v>RW</v>
      </c>
      <c r="E476" s="46">
        <f>VLOOKUP(B476,RW!A1:F97,3,FALSE)</f>
        <v>65</v>
      </c>
      <c r="F476" s="35" t="str">
        <f>VLOOKUP(B476,'Player Data'!A1:B734,2,FALSE)</f>
        <v>UFA</v>
      </c>
      <c r="G476" s="9">
        <f>VLOOKUP(B476,'Player Data'!A1:D734,3,FALSE)</f>
        <v>23</v>
      </c>
      <c r="H476" s="36">
        <f>IFERROR(VLOOKUP(B476,ADP!A1:G728,7,FALSE)/1000000,VLOOKUP(B476,ADP!A1:G728,7,FALSE))</f>
        <v>1.1000000000000001</v>
      </c>
      <c r="I476" s="37">
        <f>IF(Settings!$E$15="POINTS",((R476*Q476)*Settings!$B$12)+(S476*Settings!$B$2)+(T476*Settings!$B$3)+(U476*Settings!$B$4)+(V476*Settings!$B$5)+(X476*Settings!$B$9)+(AA476*Settings!$B$6)+(W476*Settings!$B$8)+(AB476*Settings!$B$7)+(AC476*Settings!$B$14)+(AD476*Settings!$B$15)+(AE476*Settings!$B$16)+(AF476*Settings!$B$17)+(AG476*Settings!$B$18)+(Y476*Settings!$B$10)+(Z476*Settings!$B$11),VLOOKUP(B476,'Standard Deviations'!A1:C728,3,FALSE))</f>
        <v>140.31565012909809</v>
      </c>
      <c r="J476" s="38">
        <f>IF(D476="G",I476/AJ476,I476/Q476)</f>
        <v>1.9853646993858944</v>
      </c>
      <c r="K476" s="37">
        <f>IF(Settings!$E$18="C/LW/RW",VLOOKUP(B476,RW!A1:F97,6,FALSE),VLOOKUP(B476,F!A1:F430,6,FALSE))</f>
        <v>-209.95589041879148</v>
      </c>
      <c r="L476" s="37">
        <f>IFERROR(K476/H476,"N/A")</f>
        <v>-190.86899128981042</v>
      </c>
      <c r="M476" s="53" t="str">
        <f>IF(Settings!$E$9="YAHOO",VLOOKUP(B476,ADP!A1:E728,2,FALSE),IF(Settings!$E$9="ESPN",VLOOKUP(B476,ADP!A1:E728,3,FALSE),IF(Settings!$E$9="FANTRAX",VLOOKUP(B476,ADP!A1:E728,4,FALSE),VLOOKUP(B476,ADP!A1:E728,5,FALSE))))</f>
        <v>-</v>
      </c>
      <c r="N476" s="53" t="str">
        <f>IFERROR(M476-A476,"N/A")</f>
        <v>N/A</v>
      </c>
      <c r="O476" s="39"/>
      <c r="P476" s="40" t="str">
        <f>IF(Settings!$E$27="ON",VLOOKUP(B476,ADP!A1:H728,8,FALSE)," ")</f>
        <v xml:space="preserve"> </v>
      </c>
      <c r="Q476" s="41">
        <f>IF(Settings!$E$12="YES",VLOOKUP(B476,'Player Data'!A1:E734,5,FALSE),82)</f>
        <v>70.674999999999997</v>
      </c>
      <c r="R476" s="39">
        <f>VLOOKUP(B476,'Player Data'!$A1:$AE734,6,FALSE)</f>
        <v>13.413834057611099</v>
      </c>
      <c r="S476" s="41">
        <f>VLOOKUP(B476,'Player Data'!$A1:$AE734,7,FALSE)*$Q476*IFERROR((VLOOKUP(P476,Settings!$E$28:$F$33,2,FALSE)+1),1)</f>
        <v>8.9340784263356259</v>
      </c>
      <c r="T476" s="41">
        <f>VLOOKUP(B476,'Player Data'!$A1:$AE734,8,FALSE)*$Q476*IFERROR((VLOOKUP(P476,Settings!$E$28:$F$33,2,FALSE)+1),1)</f>
        <v>13.565434514909757</v>
      </c>
      <c r="U476" s="41">
        <f>SUM(S476:T476)</f>
        <v>22.499512941245385</v>
      </c>
      <c r="V476" s="41">
        <f>VLOOKUP(B476,'Player Data'!$A1:$AE734,10,FALSE)*$Q476*IFERROR(((VLOOKUP(P476,Settings!$E$28:$F$33,2,FALSE)/2)+1),1)</f>
        <v>121.32815828777768</v>
      </c>
      <c r="W476" s="41">
        <f>VLOOKUP(B476,'Player Data'!$A1:$AE734,11,FALSE)*$Q476*IFERROR((VLOOKUP(P476,Settings!$E$28:$F$33,2,FALSE)+1),1)</f>
        <v>1.2639007897062036</v>
      </c>
      <c r="X476" s="41">
        <f>VLOOKUP(B476,'Player Data'!$A1:$AE734,12,FALSE)*$Q476*IFERROR((VLOOKUP(P476,Settings!$E$28:$F$33,2,FALSE)+1),1)</f>
        <v>2.6738086025956886</v>
      </c>
      <c r="Y476" s="41">
        <f>VLOOKUP(B476,'Player Data'!$A1:$AE734,13,FALSE)*$Q476</f>
        <v>2.4535123465658445E-2</v>
      </c>
      <c r="Z476" s="41">
        <f>VLOOKUP(B476,'Player Data'!$A1:$AE734,14,FALSE)*$Q476</f>
        <v>4.4522260609173019E-2</v>
      </c>
      <c r="AA476" s="41">
        <f>VLOOKUP(B476,'Player Data'!$A1:$AE734,15,FALSE)*$Q476</f>
        <v>33.581852175316889</v>
      </c>
      <c r="AB476" s="41">
        <f>VLOOKUP(B476,'Player Data'!$A1:$AE734,16,FALSE)*$Q476</f>
        <v>57.096013826557538</v>
      </c>
      <c r="AC476" s="41">
        <f>VLOOKUP(B476,'Player Data'!$A1:$AE734,17,FALSE)*$Q476*IFERROR((VLOOKUP(P476,Settings!$E$28:$F$33,2,FALSE)+1),1)</f>
        <v>-0.20787988522291068</v>
      </c>
      <c r="AD476" s="41">
        <f>VLOOKUP(B476,'Player Data'!$A1:$AE734,18,FALSE)*$Q476</f>
        <v>13.554347101506538</v>
      </c>
      <c r="AE476" s="41">
        <f>VLOOKUP(B476,'Player Data'!$A1:$AE734,19,FALSE)*$Q476*IFERROR((VLOOKUP(P476,Settings!$E$28:$F$33,2,FALSE)+1),1)</f>
        <v>0</v>
      </c>
      <c r="AF476" s="41">
        <f>VLOOKUP(B476,'Player Data'!$A1:$AE734,20,FALSE)*$Q476</f>
        <v>5.6516556938814011</v>
      </c>
      <c r="AG476" s="41">
        <f>VLOOKUP(B476,'Player Data'!$A1:$AE734,21,FALSE)*$Q476</f>
        <v>7.9234985062664638</v>
      </c>
      <c r="AH476" s="42">
        <f>VLOOKUP(B476,'Player Data'!$A1:$AE734,22,FALSE)</f>
        <v>0.41632349883877201</v>
      </c>
      <c r="AI476" s="39"/>
      <c r="AJ476" s="43"/>
      <c r="AK476" s="41"/>
      <c r="AL476" s="41"/>
      <c r="AM476" s="41"/>
      <c r="AN476" s="41"/>
      <c r="AO476" s="41"/>
      <c r="AP476" s="41"/>
      <c r="AQ476" s="44"/>
      <c r="AR476" s="45"/>
      <c r="AS476" s="43"/>
    </row>
    <row r="477" spans="1:45" ht="21.25" customHeight="1" x14ac:dyDescent="0.15">
      <c r="A477" s="31">
        <f>RANK(K477,K$2:K$727)</f>
        <v>476</v>
      </c>
      <c r="B477" s="8" t="s">
        <v>581</v>
      </c>
      <c r="C477" s="32" t="s">
        <v>106</v>
      </c>
      <c r="D477" s="33" t="str">
        <f>VLOOKUP(B477,'Player Data'!A1:D734,4,FALSE)</f>
        <v>RW</v>
      </c>
      <c r="E477" s="46">
        <f>VLOOKUP(B477,RW!A1:F97,3,FALSE)</f>
        <v>66</v>
      </c>
      <c r="F477" s="35" t="str">
        <f>VLOOKUP(B477,'Player Data'!A1:B734,2,FALSE)</f>
        <v>COL</v>
      </c>
      <c r="G477" s="9">
        <f>VLOOKUP(B477,'Player Data'!A1:D734,3,FALSE)</f>
        <v>27</v>
      </c>
      <c r="H477" s="36">
        <f>IFERROR(VLOOKUP(B477,ADP!A1:G728,7,FALSE)/1000000,VLOOKUP(B477,ADP!A1:G728,7,FALSE))</f>
        <v>1.05</v>
      </c>
      <c r="I477" s="37">
        <f>IF(Settings!$E$15="POINTS",((R477*Q477)*Settings!$B$12)+(S477*Settings!$B$2)+(T477*Settings!$B$3)+(U477*Settings!$B$4)+(V477*Settings!$B$5)+(X477*Settings!$B$9)+(AA477*Settings!$B$6)+(W477*Settings!$B$8)+(AB477*Settings!$B$7)+(AC477*Settings!$B$14)+(AD477*Settings!$B$15)+(AE477*Settings!$B$16)+(AF477*Settings!$B$17)+(AG477*Settings!$B$18)+(Y477*Settings!$B$10)+(Z477*Settings!$B$11),VLOOKUP(B477,'Standard Deviations'!A1:C728,3,FALSE))</f>
        <v>139.80963540742007</v>
      </c>
      <c r="J477" s="38">
        <f>IF(D477="G",I477/AJ477,I477/Q477)</f>
        <v>1.8177414416893469</v>
      </c>
      <c r="K477" s="37">
        <f>IF(Settings!$E$18="C/LW/RW",VLOOKUP(B477,RW!A1:F97,6,FALSE),VLOOKUP(B477,F!A1:F430,6,FALSE))</f>
        <v>-210.4619051404695</v>
      </c>
      <c r="L477" s="37">
        <f>IFERROR(K477/H477,"N/A")</f>
        <v>-200.43990965758999</v>
      </c>
      <c r="M477" s="53" t="str">
        <f>IF(Settings!$E$9="YAHOO",VLOOKUP(B477,ADP!A1:E728,2,FALSE),IF(Settings!$E$9="ESPN",VLOOKUP(B477,ADP!A1:E728,3,FALSE),IF(Settings!$E$9="FANTRAX",VLOOKUP(B477,ADP!A1:E728,4,FALSE),VLOOKUP(B477,ADP!A1:E728,5,FALSE))))</f>
        <v>-</v>
      </c>
      <c r="N477" s="53" t="str">
        <f>IFERROR(M477-A477,"N/A")</f>
        <v>N/A</v>
      </c>
      <c r="O477" s="39"/>
      <c r="P477" s="40" t="str">
        <f>IF(Settings!$E$27="ON",VLOOKUP(B477,ADP!A1:H728,8,FALSE)," ")</f>
        <v xml:space="preserve"> </v>
      </c>
      <c r="Q477" s="41">
        <f>IF(Settings!$E$12="YES",VLOOKUP(B477,'Player Data'!A1:E734,5,FALSE),82)</f>
        <v>76.913928571428599</v>
      </c>
      <c r="R477" s="39">
        <f>VLOOKUP(B477,'Player Data'!$A1:$AE734,6,FALSE)</f>
        <v>13.8369740966699</v>
      </c>
      <c r="S477" s="41">
        <f>VLOOKUP(B477,'Player Data'!$A1:$AE734,7,FALSE)*$Q477*IFERROR((VLOOKUP(P477,Settings!$E$28:$F$33,2,FALSE)+1),1)</f>
        <v>8.7413940930842671</v>
      </c>
      <c r="T477" s="41">
        <f>VLOOKUP(B477,'Player Data'!$A1:$AE734,8,FALSE)*$Q477*IFERROR((VLOOKUP(P477,Settings!$E$28:$F$33,2,FALSE)+1),1)</f>
        <v>15.293674866015754</v>
      </c>
      <c r="U477" s="41">
        <f>SUM(S477:T477)</f>
        <v>24.035068959100023</v>
      </c>
      <c r="V477" s="41">
        <f>VLOOKUP(B477,'Player Data'!$A1:$AE734,10,FALSE)*$Q477*IFERROR(((VLOOKUP(P477,Settings!$E$28:$F$33,2,FALSE)/2)+1),1)</f>
        <v>104.61637389586328</v>
      </c>
      <c r="W477" s="41">
        <f>VLOOKUP(B477,'Player Data'!$A1:$AE734,11,FALSE)*$Q477*IFERROR((VLOOKUP(P477,Settings!$E$28:$F$33,2,FALSE)+1),1)</f>
        <v>5.9751242789789313E-2</v>
      </c>
      <c r="X477" s="41">
        <f>VLOOKUP(B477,'Player Data'!$A1:$AE734,12,FALSE)*$Q477*IFERROR((VLOOKUP(P477,Settings!$E$28:$F$33,2,FALSE)+1),1)</f>
        <v>0.15282109289083362</v>
      </c>
      <c r="Y477" s="41">
        <f>VLOOKUP(B477,'Player Data'!$A1:$AE734,13,FALSE)*$Q477</f>
        <v>1.3502958641185885</v>
      </c>
      <c r="Z477" s="41">
        <f>VLOOKUP(B477,'Player Data'!$A1:$AE734,14,FALSE)*$Q477</f>
        <v>2.7815246558262348</v>
      </c>
      <c r="AA477" s="41">
        <f>VLOOKUP(B477,'Player Data'!$A1:$AE734,15,FALSE)*$Q477</f>
        <v>47.637750423771166</v>
      </c>
      <c r="AB477" s="41">
        <f>VLOOKUP(B477,'Player Data'!$A1:$AE734,16,FALSE)*$Q477</f>
        <v>103.59887388888569</v>
      </c>
      <c r="AC477" s="41">
        <f>VLOOKUP(B477,'Player Data'!$A1:$AE734,17,FALSE)*$Q477*IFERROR((VLOOKUP(P477,Settings!$E$28:$F$33,2,FALSE)+1),1)</f>
        <v>4.1179735418733037</v>
      </c>
      <c r="AD477" s="41">
        <f>VLOOKUP(B477,'Player Data'!$A1:$AE734,18,FALSE)*$Q477</f>
        <v>32.644133909009589</v>
      </c>
      <c r="AE477" s="41">
        <f>VLOOKUP(B477,'Player Data'!$A1:$AE734,19,FALSE)*$Q477*IFERROR((VLOOKUP(P477,Settings!$E$28:$F$33,2,FALSE)+1),1)</f>
        <v>1.3830202498369586</v>
      </c>
      <c r="AF477" s="41">
        <f>VLOOKUP(B477,'Player Data'!$A1:$AE734,20,FALSE)*$Q477</f>
        <v>2.7209272311854567</v>
      </c>
      <c r="AG477" s="41">
        <f>VLOOKUP(B477,'Player Data'!$A1:$AE734,21,FALSE)*$Q477</f>
        <v>10.054196123687944</v>
      </c>
      <c r="AH477" s="42">
        <f>VLOOKUP(B477,'Player Data'!$A1:$AE734,22,FALSE)</f>
        <v>0.21298637638183601</v>
      </c>
      <c r="AI477" s="39"/>
      <c r="AJ477" s="43"/>
      <c r="AK477" s="41"/>
      <c r="AL477" s="41"/>
      <c r="AM477" s="41"/>
      <c r="AN477" s="41"/>
      <c r="AO477" s="41"/>
      <c r="AP477" s="41"/>
      <c r="AQ477" s="44"/>
      <c r="AR477" s="45"/>
      <c r="AS477" s="39"/>
    </row>
    <row r="478" spans="1:45" ht="21.25" customHeight="1" x14ac:dyDescent="0.15">
      <c r="A478" s="31">
        <f>RANK(K478,K$2:K$727)</f>
        <v>477</v>
      </c>
      <c r="B478" s="8" t="s">
        <v>582</v>
      </c>
      <c r="C478" s="32" t="s">
        <v>106</v>
      </c>
      <c r="D478" s="33" t="str">
        <f>VLOOKUP(B478,'Player Data'!A1:D734,4,FALSE)</f>
        <v>C</v>
      </c>
      <c r="E478" s="34">
        <f>VLOOKUP(B478,'C'!A1:C211,3,FALSE)</f>
        <v>112</v>
      </c>
      <c r="F478" s="35" t="str">
        <f>VLOOKUP(B478,'Player Data'!A1:B734,2,FALSE)</f>
        <v>CHI</v>
      </c>
      <c r="G478" s="9">
        <f>VLOOKUP(B478,'Player Data'!A1:D734,3,FALSE)</f>
        <v>27</v>
      </c>
      <c r="H478" s="36">
        <f>IFERROR(VLOOKUP(B478,ADP!A1:G728,7,FALSE)/1000000,VLOOKUP(B478,ADP!A1:G728,7,FALSE))</f>
        <v>2</v>
      </c>
      <c r="I478" s="37">
        <f>IF(Settings!$E$15="POINTS",((R478*Q478)*Settings!$B$12)+(S478*Settings!$B$2)+(T478*Settings!$B$3)+(U478*Settings!$B$4)+(V478*Settings!$B$5)+(X478*Settings!$B$9)+(AA478*Settings!$B$6)+(W478*Settings!$B$8)+(AB478*Settings!$B$7)+(AC478*Settings!$B$14)+(AD478*Settings!$B$15)+(AE478*Settings!$B$16)+(AF478*Settings!$B$17)+(AG478*Settings!$B$18)+(Y478*Settings!$B$10)+(Z478*Settings!$B$11),VLOOKUP(B478,'Standard Deviations'!A1:C728,3,FALSE))</f>
        <v>181.67709721424461</v>
      </c>
      <c r="J478" s="38">
        <f>IF(D478="G",I478/AJ478,I478/Q478)</f>
        <v>2.3262431449118322</v>
      </c>
      <c r="K478" s="37">
        <f>IF(Settings!$E$18="C/LW/RW",VLOOKUP(B478,'C'!A1:F211,6,FALSE),VLOOKUP(B478,F!A1:F430,6,FALSE))</f>
        <v>-211.65170855196504</v>
      </c>
      <c r="L478" s="37">
        <f>IFERROR(K478/H478,"N/A")</f>
        <v>-105.82585427598252</v>
      </c>
      <c r="M478" s="53" t="str">
        <f>IF(Settings!$E$9="YAHOO",VLOOKUP(B478,ADP!A1:E728,2,FALSE),IF(Settings!$E$9="ESPN",VLOOKUP(B478,ADP!A1:E728,3,FALSE),IF(Settings!$E$9="FANTRAX",VLOOKUP(B478,ADP!A1:E728,4,FALSE),VLOOKUP(B478,ADP!A1:E728,5,FALSE))))</f>
        <v>-</v>
      </c>
      <c r="N478" s="53" t="str">
        <f>IFERROR(M478-A478,"N/A")</f>
        <v>N/A</v>
      </c>
      <c r="O478" s="39"/>
      <c r="P478" s="40" t="str">
        <f>IF(Settings!$E$27="ON",VLOOKUP(B478,ADP!A1:H728,8,FALSE)," ")</f>
        <v xml:space="preserve"> </v>
      </c>
      <c r="Q478" s="41">
        <f>IF(Settings!$E$12="YES",VLOOKUP(B478,'Player Data'!A1:E734,5,FALSE),82)</f>
        <v>78.098928571428601</v>
      </c>
      <c r="R478" s="39">
        <f>VLOOKUP(B478,'Player Data'!$A1:$AE734,6,FALSE)</f>
        <v>13.1853251012783</v>
      </c>
      <c r="S478" s="41">
        <f>VLOOKUP(B478,'Player Data'!$A1:$AE734,7,FALSE)*$Q478*IFERROR((VLOOKUP(P478,Settings!$E$28:$F$33,2,FALSE)+1),1)</f>
        <v>15.104280578099409</v>
      </c>
      <c r="T478" s="41">
        <f>VLOOKUP(B478,'Player Data'!$A1:$AE734,8,FALSE)*$Q478*IFERROR((VLOOKUP(P478,Settings!$E$28:$F$33,2,FALSE)+1),1)</f>
        <v>16.58176305059018</v>
      </c>
      <c r="U478" s="41">
        <f>SUM(S478:T478)</f>
        <v>31.686043628689589</v>
      </c>
      <c r="V478" s="41">
        <f>VLOOKUP(B478,'Player Data'!$A1:$AE734,10,FALSE)*$Q478*IFERROR(((VLOOKUP(P478,Settings!$E$28:$F$33,2,FALSE)/2)+1),1)</f>
        <v>151.94257272968659</v>
      </c>
      <c r="W478" s="41">
        <f>VLOOKUP(B478,'Player Data'!$A1:$AE734,11,FALSE)*$Q478*IFERROR((VLOOKUP(P478,Settings!$E$28:$F$33,2,FALSE)+1),1)</f>
        <v>0.84242454692578916</v>
      </c>
      <c r="X478" s="41">
        <f>VLOOKUP(B478,'Player Data'!$A1:$AE734,12,FALSE)*$Q478*IFERROR((VLOOKUP(P478,Settings!$E$28:$F$33,2,FALSE)+1),1)</f>
        <v>2.8301359167683526</v>
      </c>
      <c r="Y478" s="41">
        <f>VLOOKUP(B478,'Player Data'!$A1:$AE734,13,FALSE)*$Q478</f>
        <v>0.23277820065950075</v>
      </c>
      <c r="Z478" s="41">
        <f>VLOOKUP(B478,'Player Data'!$A1:$AE734,14,FALSE)*$Q478</f>
        <v>0.42690755209950731</v>
      </c>
      <c r="AA478" s="41">
        <f>VLOOKUP(B478,'Player Data'!$A1:$AE734,15,FALSE)*$Q478</f>
        <v>20.667965127984139</v>
      </c>
      <c r="AB478" s="41">
        <f>VLOOKUP(B478,'Player Data'!$A1:$AE734,16,FALSE)*$Q478</f>
        <v>84.646191414526612</v>
      </c>
      <c r="AC478" s="41">
        <f>VLOOKUP(B478,'Player Data'!$A1:$AE734,17,FALSE)*$Q478*IFERROR((VLOOKUP(P478,Settings!$E$28:$F$33,2,FALSE)+1),1)</f>
        <v>-4.9648224963960219</v>
      </c>
      <c r="AD478" s="41">
        <f>VLOOKUP(B478,'Player Data'!$A1:$AE734,18,FALSE)*$Q478</f>
        <v>33.293769591388866</v>
      </c>
      <c r="AE478" s="41">
        <f>VLOOKUP(B478,'Player Data'!$A1:$AE734,19,FALSE)*$Q478*IFERROR((VLOOKUP(P478,Settings!$E$28:$F$33,2,FALSE)+1),1)</f>
        <v>1.7699430392599713</v>
      </c>
      <c r="AF478" s="41">
        <f>VLOOKUP(B478,'Player Data'!$A1:$AE734,20,FALSE)*$Q478</f>
        <v>62.444168554557571</v>
      </c>
      <c r="AG478" s="41">
        <f>VLOOKUP(B478,'Player Data'!$A1:$AE734,21,FALSE)*$Q478</f>
        <v>89.241315908630398</v>
      </c>
      <c r="AH478" s="42">
        <f>VLOOKUP(B478,'Player Data'!$A1:$AE734,22,FALSE)</f>
        <v>0.41166871553693002</v>
      </c>
      <c r="AI478" s="39"/>
      <c r="AJ478" s="43"/>
      <c r="AK478" s="41"/>
      <c r="AL478" s="41"/>
      <c r="AM478" s="41"/>
      <c r="AN478" s="41"/>
      <c r="AO478" s="41"/>
      <c r="AP478" s="41"/>
      <c r="AQ478" s="44"/>
      <c r="AR478" s="45"/>
      <c r="AS478" s="39"/>
    </row>
    <row r="479" spans="1:45" ht="21.25" customHeight="1" x14ac:dyDescent="0.15">
      <c r="A479" s="31">
        <f>RANK(K479,K$2:K$727)</f>
        <v>478</v>
      </c>
      <c r="B479" s="8" t="s">
        <v>583</v>
      </c>
      <c r="C479" s="32" t="s">
        <v>106</v>
      </c>
      <c r="D479" s="33" t="str">
        <f>VLOOKUP(B479,'Player Data'!A1:D734,4,FALSE)</f>
        <v>D</v>
      </c>
      <c r="E479" s="49">
        <f>VLOOKUP(B479,D!A1:C227,3,FALSE)</f>
        <v>175</v>
      </c>
      <c r="F479" s="35" t="str">
        <f>VLOOKUP(B479,'Player Data'!A1:B734,2,FALSE)</f>
        <v>ANA</v>
      </c>
      <c r="G479" s="9">
        <f>VLOOKUP(B479,'Player Data'!A1:D734,3,FALSE)</f>
        <v>28</v>
      </c>
      <c r="H479" s="36">
        <f>IFERROR(VLOOKUP(B479,ADP!A1:G728,7,FALSE)/1000000,VLOOKUP(B479,ADP!A1:G728,7,FALSE))</f>
        <v>0.77500000000000002</v>
      </c>
      <c r="I479" s="37">
        <f>IF(Settings!$E$15="POINTS",((R479*Q479)*Settings!$B$12)+(S479*Settings!$B$2)+(T479*Settings!$B$3)+(U479*Settings!$B$4)+(V479*Settings!$B$5)+(X479*Settings!$B$9)+(AA479*Settings!$B$6)+(W479*Settings!$B$8)+(AB479*Settings!$B$7)+(AC479*Settings!$B$14)+(AD479*Settings!$B$15)+(AE479*Settings!$B$16)+(AF479*Settings!$B$17)+(AG479*Settings!$B$18)+(U479*Settings!$B$13)+(Y479*Settings!$B$10)+(Z479*Settings!$B$11),VLOOKUP(B479,'Standard Deviations'!A1:C728,3,FALSE))</f>
        <v>99.199878896946004</v>
      </c>
      <c r="J479" s="38">
        <f>IF(D479="G",I479/AJ479,I479/Q479)</f>
        <v>1.4476752572704332</v>
      </c>
      <c r="K479" s="37">
        <f>VLOOKUP(B479,D!A1:F227,6,FALSE)</f>
        <v>-212.36560273098144</v>
      </c>
      <c r="L479" s="37">
        <f>IFERROR(K479/H479,"N/A")</f>
        <v>-274.02013255610507</v>
      </c>
      <c r="M479" s="53" t="str">
        <f>IF(Settings!$E$9="YAHOO",VLOOKUP(B479,ADP!A1:E728,2,FALSE),IF(Settings!$E$9="ESPN",VLOOKUP(B479,ADP!A1:E728,3,FALSE),IF(Settings!$E$9="FANTRAX",VLOOKUP(B479,ADP!A1:E728,4,FALSE),VLOOKUP(B479,ADP!A1:E728,5,FALSE))))</f>
        <v>-</v>
      </c>
      <c r="N479" s="53" t="str">
        <f>IFERROR(M479-A479,"N/A")</f>
        <v>N/A</v>
      </c>
      <c r="O479" s="39"/>
      <c r="P479" s="40" t="str">
        <f>IF(Settings!$E$27="ON",VLOOKUP(B479,ADP!A1:H728,8,FALSE)," ")</f>
        <v xml:space="preserve"> </v>
      </c>
      <c r="Q479" s="41">
        <f>IF(Settings!$E$12="YES",VLOOKUP(B479,'Player Data'!A1:E734,5,FALSE),82)</f>
        <v>68.523571428571401</v>
      </c>
      <c r="R479" s="39">
        <f>VLOOKUP(B479,'Player Data'!$A1:$AE734,6,FALSE)</f>
        <v>17.351981267632201</v>
      </c>
      <c r="S479" s="41">
        <f>VLOOKUP(B479,'Player Data'!$A1:$AE734,7,FALSE)*$Q479*IFERROR((VLOOKUP(P479,Settings!$E$28:$F$33,2,FALSE)+1),1)</f>
        <v>2.9939491470574611</v>
      </c>
      <c r="T479" s="41">
        <f>VLOOKUP(B479,'Player Data'!$A1:$AE734,8,FALSE)*$Q479*IFERROR((VLOOKUP(P479,Settings!$E$28:$F$33,2,FALSE)+1),1)</f>
        <v>10.642161610909103</v>
      </c>
      <c r="U479" s="41">
        <f>SUM(S479:T479)</f>
        <v>13.636110757966563</v>
      </c>
      <c r="V479" s="41">
        <f>VLOOKUP(B479,'Player Data'!$A1:$AE734,10,FALSE)*$Q479*IFERROR(((VLOOKUP(P479,Settings!$E$28:$F$33,2,FALSE)/2)+1),1)</f>
        <v>77.619810201579213</v>
      </c>
      <c r="W479" s="41">
        <f>VLOOKUP(B479,'Player Data'!$A1:$AE734,11,FALSE)*$Q479*IFERROR((VLOOKUP(P479,Settings!$E$28:$F$33,2,FALSE)+1),1)</f>
        <v>1.3245480918140297E-2</v>
      </c>
      <c r="X479" s="41">
        <f>VLOOKUP(B479,'Player Data'!$A1:$AE734,12,FALSE)*$Q479*IFERROR((VLOOKUP(P479,Settings!$E$28:$F$33,2,FALSE)+1),1)</f>
        <v>9.1352444117624318E-2</v>
      </c>
      <c r="Y479" s="41">
        <f>VLOOKUP(B479,'Player Data'!$A1:$AE734,13,FALSE)*$Q479</f>
        <v>2.0802056982188968E-2</v>
      </c>
      <c r="Z479" s="41">
        <f>VLOOKUP(B479,'Player Data'!$A1:$AE734,14,FALSE)*$Q479</f>
        <v>7.8593456140508625E-2</v>
      </c>
      <c r="AA479" s="41">
        <f>VLOOKUP(B479,'Player Data'!$A1:$AE734,15,FALSE)*$Q479</f>
        <v>95.708748608702194</v>
      </c>
      <c r="AB479" s="41">
        <f>VLOOKUP(B479,'Player Data'!$A1:$AE734,16,FALSE)*$Q479</f>
        <v>164.51741231600212</v>
      </c>
      <c r="AC479" s="41">
        <f>VLOOKUP(B479,'Player Data'!$A1:$AE734,17,FALSE)*$Q479*IFERROR((VLOOKUP(P479,Settings!$E$28:$F$33,2,FALSE)+1),1)</f>
        <v>-6.0782172830464916</v>
      </c>
      <c r="AD479" s="41">
        <f>VLOOKUP(B479,'Player Data'!$A1:$AE734,18,FALSE)*$Q479</f>
        <v>41.03534455336758</v>
      </c>
      <c r="AE479" s="41">
        <f>VLOOKUP(B479,'Player Data'!$A1:$AE734,19,FALSE)*$Q479*IFERROR((VLOOKUP(P479,Settings!$E$28:$F$33,2,FALSE)+1),1)</f>
        <v>0.32457233312403411</v>
      </c>
      <c r="AF479" s="41">
        <f>VLOOKUP(B479,'Player Data'!$A1:$AE734,20,FALSE)*$Q479</f>
        <v>0</v>
      </c>
      <c r="AG479" s="41">
        <f>VLOOKUP(B479,'Player Data'!$A1:$AE734,21,FALSE)*$Q479</f>
        <v>0</v>
      </c>
      <c r="AH479" s="42">
        <f>VLOOKUP(B479,'Player Data'!$A1:$AE734,22,FALSE)</f>
        <v>0</v>
      </c>
      <c r="AI479" s="39"/>
      <c r="AJ479" s="43"/>
      <c r="AK479" s="41"/>
      <c r="AL479" s="41"/>
      <c r="AM479" s="41"/>
      <c r="AN479" s="41"/>
      <c r="AO479" s="41"/>
      <c r="AP479" s="41"/>
      <c r="AQ479" s="44"/>
      <c r="AR479" s="45"/>
      <c r="AS479" s="39"/>
    </row>
    <row r="480" spans="1:45" ht="21.25" customHeight="1" x14ac:dyDescent="0.15">
      <c r="A480" s="31">
        <f>RANK(K480,K$2:K$727)</f>
        <v>479</v>
      </c>
      <c r="B480" s="8" t="s">
        <v>584</v>
      </c>
      <c r="C480" s="32" t="s">
        <v>106</v>
      </c>
      <c r="D480" s="33" t="str">
        <f>VLOOKUP(B480,'Player Data'!A1:D734,4,FALSE)</f>
        <v>C</v>
      </c>
      <c r="E480" s="34">
        <f>VLOOKUP(B480,'C'!A1:C211,3,FALSE)</f>
        <v>113</v>
      </c>
      <c r="F480" s="35" t="str">
        <f>VLOOKUP(B480,'Player Data'!A1:B734,2,FALSE)</f>
        <v>CHI</v>
      </c>
      <c r="G480" s="9">
        <f>VLOOKUP(B480,'Player Data'!A1:D734,3,FALSE)</f>
        <v>23</v>
      </c>
      <c r="H480" s="36">
        <f>IFERROR(VLOOKUP(B480,ADP!A1:G728,7,FALSE)/1000000,VLOOKUP(B480,ADP!A1:G728,7,FALSE))</f>
        <v>2.25</v>
      </c>
      <c r="I480" s="37">
        <f>IF(Settings!$E$15="POINTS",((R480*Q480)*Settings!$B$12)+(S480*Settings!$B$2)+(T480*Settings!$B$3)+(U480*Settings!$B$4)+(V480*Settings!$B$5)+(X480*Settings!$B$9)+(AA480*Settings!$B$6)+(W480*Settings!$B$8)+(AB480*Settings!$B$7)+(AC480*Settings!$B$14)+(AD480*Settings!$B$15)+(AE480*Settings!$B$16)+(AF480*Settings!$B$17)+(AG480*Settings!$B$18)+(Y480*Settings!$B$10)+(Z480*Settings!$B$11),VLOOKUP(B480,'Standard Deviations'!A1:C728,3,FALSE))</f>
        <v>180.79993661192304</v>
      </c>
      <c r="J480" s="38">
        <f>IF(D480="G",I480/AJ480,I480/Q480)</f>
        <v>2.3315593437576707</v>
      </c>
      <c r="K480" s="37">
        <f>IF(Settings!$E$18="C/LW/RW",VLOOKUP(B480,'C'!A1:F211,6,FALSE),VLOOKUP(B480,F!A1:F430,6,FALSE))</f>
        <v>-212.52886915428661</v>
      </c>
      <c r="L480" s="37">
        <f>IFERROR(K480/H480,"N/A")</f>
        <v>-94.457275179682938</v>
      </c>
      <c r="M480" s="53" t="str">
        <f>IF(Settings!$E$9="YAHOO",VLOOKUP(B480,ADP!A1:E728,2,FALSE),IF(Settings!$E$9="ESPN",VLOOKUP(B480,ADP!A1:E728,3,FALSE),IF(Settings!$E$9="FANTRAX",VLOOKUP(B480,ADP!A1:E728,4,FALSE),VLOOKUP(B480,ADP!A1:E728,5,FALSE))))</f>
        <v>-</v>
      </c>
      <c r="N480" s="53" t="str">
        <f>IFERROR(M480-A480,"N/A")</f>
        <v>N/A</v>
      </c>
      <c r="O480" s="39"/>
      <c r="P480" s="40" t="str">
        <f>IF(Settings!$E$27="ON",VLOOKUP(B480,ADP!A1:H728,8,FALSE)," ")</f>
        <v xml:space="preserve"> </v>
      </c>
      <c r="Q480" s="41">
        <f>IF(Settings!$E$12="YES",VLOOKUP(B480,'Player Data'!A1:E734,5,FALSE),82)</f>
        <v>77.544642857142904</v>
      </c>
      <c r="R480" s="39">
        <f>VLOOKUP(B480,'Player Data'!$A1:$AE734,6,FALSE)</f>
        <v>16.711378292876802</v>
      </c>
      <c r="S480" s="41">
        <f>VLOOKUP(B480,'Player Data'!$A1:$AE734,7,FALSE)*$Q480*IFERROR((VLOOKUP(P480,Settings!$E$28:$F$33,2,FALSE)+1),1)</f>
        <v>12.113993148996649</v>
      </c>
      <c r="T480" s="41">
        <f>VLOOKUP(B480,'Player Data'!$A1:$AE734,8,FALSE)*$Q480*IFERROR((VLOOKUP(P480,Settings!$E$28:$F$33,2,FALSE)+1),1)</f>
        <v>20.456572696266701</v>
      </c>
      <c r="U480" s="41">
        <f>SUM(S480:T480)</f>
        <v>32.570565845263346</v>
      </c>
      <c r="V480" s="41">
        <f>VLOOKUP(B480,'Player Data'!$A1:$AE734,10,FALSE)*$Q480*IFERROR(((VLOOKUP(P480,Settings!$E$28:$F$33,2,FALSE)/2)+1),1)</f>
        <v>125.06797563674137</v>
      </c>
      <c r="W480" s="41">
        <f>VLOOKUP(B480,'Player Data'!$A1:$AE734,11,FALSE)*$Q480*IFERROR((VLOOKUP(P480,Settings!$E$28:$F$33,2,FALSE)+1),1)</f>
        <v>1.6452445357244798</v>
      </c>
      <c r="X480" s="41">
        <f>VLOOKUP(B480,'Player Data'!$A1:$AE734,12,FALSE)*$Q480*IFERROR((VLOOKUP(P480,Settings!$E$28:$F$33,2,FALSE)+1),1)</f>
        <v>6.0776587631523133</v>
      </c>
      <c r="Y480" s="41">
        <f>VLOOKUP(B480,'Player Data'!$A1:$AE734,13,FALSE)*$Q480</f>
        <v>0.25260409424264135</v>
      </c>
      <c r="Z480" s="41">
        <f>VLOOKUP(B480,'Player Data'!$A1:$AE734,14,FALSE)*$Q480</f>
        <v>0.4560998445636878</v>
      </c>
      <c r="AA480" s="41">
        <f>VLOOKUP(B480,'Player Data'!$A1:$AE734,15,FALSE)*$Q480</f>
        <v>37.433670211651588</v>
      </c>
      <c r="AB480" s="41">
        <f>VLOOKUP(B480,'Player Data'!$A1:$AE734,16,FALSE)*$Q480</f>
        <v>46.138110035527852</v>
      </c>
      <c r="AC480" s="41">
        <f>VLOOKUP(B480,'Player Data'!$A1:$AE734,17,FALSE)*$Q480*IFERROR((VLOOKUP(P480,Settings!$E$28:$F$33,2,FALSE)+1),1)</f>
        <v>-9.1309197527455783</v>
      </c>
      <c r="AD480" s="41">
        <f>VLOOKUP(B480,'Player Data'!$A1:$AE734,18,FALSE)*$Q480</f>
        <v>20.16407589435337</v>
      </c>
      <c r="AE480" s="41">
        <f>VLOOKUP(B480,'Player Data'!$A1:$AE734,19,FALSE)*$Q480*IFERROR((VLOOKUP(P480,Settings!$E$28:$F$33,2,FALSE)+1),1)</f>
        <v>1.4195365175351833</v>
      </c>
      <c r="AF480" s="41">
        <f>VLOOKUP(B480,'Player Data'!$A1:$AE734,20,FALSE)*$Q480</f>
        <v>96.81379084397409</v>
      </c>
      <c r="AG480" s="41">
        <f>VLOOKUP(B480,'Player Data'!$A1:$AE734,21,FALSE)*$Q480</f>
        <v>126.7140063279068</v>
      </c>
      <c r="AH480" s="42">
        <f>VLOOKUP(B480,'Player Data'!$A1:$AE734,22,FALSE)</f>
        <v>0.43311745594454798</v>
      </c>
      <c r="AI480" s="39"/>
      <c r="AJ480" s="43"/>
      <c r="AK480" s="41"/>
      <c r="AL480" s="41"/>
      <c r="AM480" s="41"/>
      <c r="AN480" s="41"/>
      <c r="AO480" s="41"/>
      <c r="AP480" s="41"/>
      <c r="AQ480" s="44"/>
      <c r="AR480" s="45"/>
      <c r="AS480" s="39"/>
    </row>
    <row r="481" spans="1:45" ht="21.25" customHeight="1" x14ac:dyDescent="0.15">
      <c r="A481" s="31">
        <f>RANK(K481,K$2:K$727)</f>
        <v>480</v>
      </c>
      <c r="B481" s="8" t="s">
        <v>585</v>
      </c>
      <c r="C481" s="32" t="s">
        <v>106</v>
      </c>
      <c r="D481" s="33" t="str">
        <f>VLOOKUP(B481,'Player Data'!A1:D734,4,FALSE)</f>
        <v>D</v>
      </c>
      <c r="E481" s="49">
        <f>VLOOKUP(B481,D!A1:C227,3,FALSE)</f>
        <v>176</v>
      </c>
      <c r="F481" s="35" t="str">
        <f>VLOOKUP(B481,'Player Data'!A1:B734,2,FALSE)</f>
        <v>SEA</v>
      </c>
      <c r="G481" s="9">
        <f>VLOOKUP(B481,'Player Data'!A1:D734,3,FALSE)</f>
        <v>26</v>
      </c>
      <c r="H481" s="36">
        <f>IFERROR(VLOOKUP(B481,ADP!A1:G728,7,FALSE)/1000000,VLOOKUP(B481,ADP!A1:G728,7,FALSE))</f>
        <v>2.7</v>
      </c>
      <c r="I481" s="37">
        <f>IF(Settings!$E$15="POINTS",((R481*Q481)*Settings!$B$12)+(S481*Settings!$B$2)+(T481*Settings!$B$3)+(U481*Settings!$B$4)+(V481*Settings!$B$5)+(X481*Settings!$B$9)+(AA481*Settings!$B$6)+(W481*Settings!$B$8)+(AB481*Settings!$B$7)+(AC481*Settings!$B$14)+(AD481*Settings!$B$15)+(AE481*Settings!$B$16)+(AF481*Settings!$B$17)+(AG481*Settings!$B$18)+(U481*Settings!$B$13)+(Y481*Settings!$B$10)+(Z481*Settings!$B$11),VLOOKUP(B481,'Standard Deviations'!A1:C728,3,FALSE))</f>
        <v>98.961480659164053</v>
      </c>
      <c r="J481" s="38">
        <f>IF(D481="G",I481/AJ481,I481/Q481)</f>
        <v>1.4348630645404237</v>
      </c>
      <c r="K481" s="37">
        <f>VLOOKUP(B481,D!A1:F227,6,FALSE)</f>
        <v>-212.60400096876339</v>
      </c>
      <c r="L481" s="37">
        <f>IFERROR(K481/H481,"N/A")</f>
        <v>-78.742222581023469</v>
      </c>
      <c r="M481" s="53" t="str">
        <f>IF(Settings!$E$9="YAHOO",VLOOKUP(B481,ADP!A1:E728,2,FALSE),IF(Settings!$E$9="ESPN",VLOOKUP(B481,ADP!A1:E728,3,FALSE),IF(Settings!$E$9="FANTRAX",VLOOKUP(B481,ADP!A1:E728,4,FALSE),VLOOKUP(B481,ADP!A1:E728,5,FALSE))))</f>
        <v>-</v>
      </c>
      <c r="N481" s="53" t="str">
        <f>IFERROR(M481-A481,"N/A")</f>
        <v>N/A</v>
      </c>
      <c r="O481" s="39"/>
      <c r="P481" s="40" t="str">
        <f>IF(Settings!$E$27="ON",VLOOKUP(B481,ADP!A1:H728,8,FALSE)," ")</f>
        <v xml:space="preserve"> </v>
      </c>
      <c r="Q481" s="41">
        <f>IF(Settings!$E$12="YES",VLOOKUP(B481,'Player Data'!A1:E734,5,FALSE),82)</f>
        <v>68.969285714285704</v>
      </c>
      <c r="R481" s="39">
        <f>VLOOKUP(B481,'Player Data'!$A1:$AE734,6,FALSE)</f>
        <v>16.274512713414701</v>
      </c>
      <c r="S481" s="41">
        <f>VLOOKUP(B481,'Player Data'!$A1:$AE734,7,FALSE)*$Q481*IFERROR((VLOOKUP(P481,Settings!$E$28:$F$33,2,FALSE)+1),1)</f>
        <v>2.996679626478258</v>
      </c>
      <c r="T481" s="41">
        <f>VLOOKUP(B481,'Player Data'!$A1:$AE734,8,FALSE)*$Q481*IFERROR((VLOOKUP(P481,Settings!$E$28:$F$33,2,FALSE)+1),1)</f>
        <v>13.052357978993792</v>
      </c>
      <c r="U481" s="41">
        <f>SUM(S481:T481)</f>
        <v>16.049037605472051</v>
      </c>
      <c r="V481" s="41">
        <f>VLOOKUP(B481,'Player Data'!$A1:$AE734,10,FALSE)*$Q481*IFERROR(((VLOOKUP(P481,Settings!$E$28:$F$33,2,FALSE)/2)+1),1)</f>
        <v>69.563045731322916</v>
      </c>
      <c r="W481" s="41">
        <f>VLOOKUP(B481,'Player Data'!$A1:$AE734,11,FALSE)*$Q481*IFERROR((VLOOKUP(P481,Settings!$E$28:$F$33,2,FALSE)+1),1)</f>
        <v>2.1200689126569167E-2</v>
      </c>
      <c r="X481" s="41">
        <f>VLOOKUP(B481,'Player Data'!$A1:$AE734,12,FALSE)*$Q481*IFERROR((VLOOKUP(P481,Settings!$E$28:$F$33,2,FALSE)+1),1)</f>
        <v>0.14409276696247195</v>
      </c>
      <c r="Y481" s="41">
        <f>VLOOKUP(B481,'Player Data'!$A1:$AE734,13,FALSE)*$Q481</f>
        <v>3.2920099227306709E-2</v>
      </c>
      <c r="Z481" s="41">
        <f>VLOOKUP(B481,'Player Data'!$A1:$AE734,14,FALSE)*$Q481</f>
        <v>0.12651507972329848</v>
      </c>
      <c r="AA481" s="41">
        <f>VLOOKUP(B481,'Player Data'!$A1:$AE734,15,FALSE)*$Q481</f>
        <v>77.458146418574486</v>
      </c>
      <c r="AB481" s="41">
        <f>VLOOKUP(B481,'Player Data'!$A1:$AE734,16,FALSE)*$Q481</f>
        <v>149.26311389932468</v>
      </c>
      <c r="AC481" s="41">
        <f>VLOOKUP(B481,'Player Data'!$A1:$AE734,17,FALSE)*$Q481*IFERROR((VLOOKUP(P481,Settings!$E$28:$F$33,2,FALSE)+1),1)</f>
        <v>-0.18771048979204294</v>
      </c>
      <c r="AD481" s="41">
        <f>VLOOKUP(B481,'Player Data'!$A1:$AE734,18,FALSE)*$Q481</f>
        <v>39.269765981871672</v>
      </c>
      <c r="AE481" s="41">
        <f>VLOOKUP(B481,'Player Data'!$A1:$AE734,19,FALSE)*$Q481*IFERROR((VLOOKUP(P481,Settings!$E$28:$F$33,2,FALSE)+1),1)</f>
        <v>0.42121621355796529</v>
      </c>
      <c r="AF481" s="41">
        <f>VLOOKUP(B481,'Player Data'!$A1:$AE734,20,FALSE)*$Q481</f>
        <v>0</v>
      </c>
      <c r="AG481" s="41">
        <f>VLOOKUP(B481,'Player Data'!$A1:$AE734,21,FALSE)*$Q481</f>
        <v>0</v>
      </c>
      <c r="AH481" s="42">
        <f>VLOOKUP(B481,'Player Data'!$A1:$AE734,22,FALSE)</f>
        <v>0</v>
      </c>
      <c r="AI481" s="39"/>
      <c r="AJ481" s="43"/>
      <c r="AK481" s="41"/>
      <c r="AL481" s="41"/>
      <c r="AM481" s="41"/>
      <c r="AN481" s="41"/>
      <c r="AO481" s="41"/>
      <c r="AP481" s="41"/>
      <c r="AQ481" s="44"/>
      <c r="AR481" s="45"/>
      <c r="AS481" s="39"/>
    </row>
    <row r="482" spans="1:45" ht="21.25" customHeight="1" x14ac:dyDescent="0.15">
      <c r="A482" s="31">
        <f>RANK(K482,K$2:K$727)</f>
        <v>481</v>
      </c>
      <c r="B482" s="8" t="s">
        <v>586</v>
      </c>
      <c r="C482" s="32" t="s">
        <v>106</v>
      </c>
      <c r="D482" s="33" t="str">
        <f>VLOOKUP(B482,'Player Data'!A1:D734,4,FALSE)</f>
        <v>C</v>
      </c>
      <c r="E482" s="34">
        <f>VLOOKUP(B482,'C'!A1:C211,3,FALSE)</f>
        <v>114</v>
      </c>
      <c r="F482" s="35" t="str">
        <f>VLOOKUP(B482,'Player Data'!A1:B734,2,FALSE)</f>
        <v>ARI</v>
      </c>
      <c r="G482" s="9">
        <f>VLOOKUP(B482,'Player Data'!A1:D734,3,FALSE)</f>
        <v>29</v>
      </c>
      <c r="H482" s="36">
        <f>IFERROR(VLOOKUP(B482,ADP!A1:G728,7,FALSE)/1000000,VLOOKUP(B482,ADP!A1:G728,7,FALSE))</f>
        <v>3.5</v>
      </c>
      <c r="I482" s="37">
        <f>IF(Settings!$E$15="POINTS",((R482*Q482)*Settings!$B$12)+(S482*Settings!$B$2)+(T482*Settings!$B$3)+(U482*Settings!$B$4)+(V482*Settings!$B$5)+(X482*Settings!$B$9)+(AA482*Settings!$B$6)+(W482*Settings!$B$8)+(AB482*Settings!$B$7)+(AC482*Settings!$B$14)+(AD482*Settings!$B$15)+(AE482*Settings!$B$16)+(AF482*Settings!$B$17)+(AG482*Settings!$B$18)+(Y482*Settings!$B$10)+(Z482*Settings!$B$11),VLOOKUP(B482,'Standard Deviations'!A1:C728,3,FALSE))</f>
        <v>180.60006613269448</v>
      </c>
      <c r="J482" s="38">
        <f>IF(D482="G",I482/AJ482,I482/Q482)</f>
        <v>2.2024398308865178</v>
      </c>
      <c r="K482" s="37">
        <f>IF(Settings!$E$18="C/LW/RW",VLOOKUP(B482,'C'!A1:F211,6,FALSE),VLOOKUP(B482,F!A1:F430,6,FALSE))</f>
        <v>-212.72873963351518</v>
      </c>
      <c r="L482" s="37">
        <f>IFERROR(K482/H482,"N/A")</f>
        <v>-60.779639895290053</v>
      </c>
      <c r="M482" s="53" t="str">
        <f>IF(Settings!$E$9="YAHOO",VLOOKUP(B482,ADP!A1:E728,2,FALSE),IF(Settings!$E$9="ESPN",VLOOKUP(B482,ADP!A1:E728,3,FALSE),IF(Settings!$E$9="FANTRAX",VLOOKUP(B482,ADP!A1:E728,4,FALSE),VLOOKUP(B482,ADP!A1:E728,5,FALSE))))</f>
        <v>-</v>
      </c>
      <c r="N482" s="53" t="str">
        <f>IFERROR(M482-A482,"N/A")</f>
        <v>N/A</v>
      </c>
      <c r="O482" s="39"/>
      <c r="P482" s="40" t="str">
        <f>IF(Settings!$E$27="ON",VLOOKUP(B482,ADP!A1:H728,8,FALSE)," ")</f>
        <v xml:space="preserve"> </v>
      </c>
      <c r="Q482" s="41">
        <f>IF(Settings!$E$12="YES",VLOOKUP(B482,'Player Data'!A1:E734,5,FALSE),82)</f>
        <v>82</v>
      </c>
      <c r="R482" s="39">
        <f>VLOOKUP(B482,'Player Data'!$A1:$AE734,6,FALSE)</f>
        <v>14.1200300412202</v>
      </c>
      <c r="S482" s="41">
        <f>VLOOKUP(B482,'Player Data'!$A1:$AE734,7,FALSE)*$Q482*IFERROR((VLOOKUP(P482,Settings!$E$28:$F$33,2,FALSE)+1),1)</f>
        <v>10.189023989559805</v>
      </c>
      <c r="T482" s="41">
        <f>VLOOKUP(B482,'Player Data'!$A1:$AE734,8,FALSE)*$Q482*IFERROR((VLOOKUP(P482,Settings!$E$28:$F$33,2,FALSE)+1),1)</f>
        <v>24.188298437961588</v>
      </c>
      <c r="U482" s="41">
        <f>SUM(S482:T482)</f>
        <v>34.377322427521392</v>
      </c>
      <c r="V482" s="41">
        <f>VLOOKUP(B482,'Player Data'!$A1:$AE734,10,FALSE)*$Q482*IFERROR(((VLOOKUP(P482,Settings!$E$28:$F$33,2,FALSE)/2)+1),1)</f>
        <v>120.07310553345467</v>
      </c>
      <c r="W482" s="41">
        <f>VLOOKUP(B482,'Player Data'!$A1:$AE734,11,FALSE)*$Q482*IFERROR((VLOOKUP(P482,Settings!$E$28:$F$33,2,FALSE)+1),1)</f>
        <v>0.7021376803867152</v>
      </c>
      <c r="X482" s="41">
        <f>VLOOKUP(B482,'Player Data'!$A1:$AE734,12,FALSE)*$Q482*IFERROR((VLOOKUP(P482,Settings!$E$28:$F$33,2,FALSE)+1),1)</f>
        <v>1.5021457184847189</v>
      </c>
      <c r="Y482" s="41">
        <f>VLOOKUP(B482,'Player Data'!$A1:$AE734,13,FALSE)*$Q482</f>
        <v>0.79609418161315837</v>
      </c>
      <c r="Z482" s="41">
        <f>VLOOKUP(B482,'Player Data'!$A1:$AE734,14,FALSE)*$Q482</f>
        <v>2.3129549764190283</v>
      </c>
      <c r="AA482" s="41">
        <f>VLOOKUP(B482,'Player Data'!$A1:$AE734,15,FALSE)*$Q482</f>
        <v>49.006723467977437</v>
      </c>
      <c r="AB482" s="41">
        <f>VLOOKUP(B482,'Player Data'!$A1:$AE734,16,FALSE)*$Q482</f>
        <v>64.483882646020291</v>
      </c>
      <c r="AC482" s="41">
        <f>VLOOKUP(B482,'Player Data'!$A1:$AE734,17,FALSE)*$Q482*IFERROR((VLOOKUP(P482,Settings!$E$28:$F$33,2,FALSE)+1),1)</f>
        <v>-2.1552319723681213</v>
      </c>
      <c r="AD482" s="41">
        <f>VLOOKUP(B482,'Player Data'!$A1:$AE734,18,FALSE)*$Q482</f>
        <v>24.242467580074262</v>
      </c>
      <c r="AE482" s="41">
        <f>VLOOKUP(B482,'Player Data'!$A1:$AE734,19,FALSE)*$Q482*IFERROR((VLOOKUP(P482,Settings!$E$28:$F$33,2,FALSE)+1),1)</f>
        <v>1.2557971637481034</v>
      </c>
      <c r="AF482" s="41">
        <f>VLOOKUP(B482,'Player Data'!$A1:$AE734,20,FALSE)*$Q482</f>
        <v>75.49207543137905</v>
      </c>
      <c r="AG482" s="41">
        <f>VLOOKUP(B482,'Player Data'!$A1:$AE734,21,FALSE)*$Q482</f>
        <v>98.836268044983186</v>
      </c>
      <c r="AH482" s="42">
        <f>VLOOKUP(B482,'Player Data'!$A1:$AE734,22,FALSE)</f>
        <v>0.43304533230774001</v>
      </c>
      <c r="AI482" s="39"/>
      <c r="AJ482" s="41"/>
      <c r="AK482" s="41"/>
      <c r="AL482" s="41"/>
      <c r="AM482" s="41"/>
      <c r="AN482" s="41"/>
      <c r="AO482" s="41"/>
      <c r="AP482" s="41"/>
      <c r="AQ482" s="44"/>
      <c r="AR482" s="45"/>
      <c r="AS482" s="39"/>
    </row>
    <row r="483" spans="1:45" ht="21.25" customHeight="1" x14ac:dyDescent="0.15">
      <c r="A483" s="31">
        <f>RANK(K483,K$2:K$727)</f>
        <v>482</v>
      </c>
      <c r="B483" s="8" t="s">
        <v>587</v>
      </c>
      <c r="C483" s="32" t="s">
        <v>106</v>
      </c>
      <c r="D483" s="33" t="str">
        <f>VLOOKUP(B483,'Player Data'!A1:D734,4,FALSE)</f>
        <v>D</v>
      </c>
      <c r="E483" s="49">
        <f>VLOOKUP(B483,D!A1:C227,3,FALSE)</f>
        <v>177</v>
      </c>
      <c r="F483" s="35" t="str">
        <f>VLOOKUP(B483,'Player Data'!A1:B734,2,FALSE)</f>
        <v>CAR</v>
      </c>
      <c r="G483" s="9">
        <f>VLOOKUP(B483,'Player Data'!A1:D734,3,FALSE)</f>
        <v>25</v>
      </c>
      <c r="H483" s="36">
        <f>IFERROR(VLOOKUP(B483,ADP!A1:G728,7,FALSE)/1000000,VLOOKUP(B483,ADP!A1:G728,7,FALSE))</f>
        <v>0.85</v>
      </c>
      <c r="I483" s="37">
        <f>IF(Settings!$E$15="POINTS",((R483*Q483)*Settings!$B$12)+(S483*Settings!$B$2)+(T483*Settings!$B$3)+(U483*Settings!$B$4)+(V483*Settings!$B$5)+(X483*Settings!$B$9)+(AA483*Settings!$B$6)+(W483*Settings!$B$8)+(AB483*Settings!$B$7)+(AC483*Settings!$B$14)+(AD483*Settings!$B$15)+(AE483*Settings!$B$16)+(AF483*Settings!$B$17)+(AG483*Settings!$B$18)+(U483*Settings!$B$13)+(Y483*Settings!$B$10)+(Z483*Settings!$B$11),VLOOKUP(B483,'Standard Deviations'!A1:C728,3,FALSE))</f>
        <v>98.646333248000204</v>
      </c>
      <c r="J483" s="38">
        <f>IF(D483="G",I483/AJ483,I483/Q483)</f>
        <v>1.5565145507816136</v>
      </c>
      <c r="K483" s="37">
        <f>VLOOKUP(B483,D!A1:F227,6,FALSE)</f>
        <v>-212.91914837992726</v>
      </c>
      <c r="L483" s="37">
        <f>IFERROR(K483/H483,"N/A")</f>
        <v>-250.49311574109092</v>
      </c>
      <c r="M483" s="53" t="str">
        <f>IF(Settings!$E$9="YAHOO",VLOOKUP(B483,ADP!A1:E728,2,FALSE),IF(Settings!$E$9="ESPN",VLOOKUP(B483,ADP!A1:E728,3,FALSE),IF(Settings!$E$9="FANTRAX",VLOOKUP(B483,ADP!A1:E728,4,FALSE),VLOOKUP(B483,ADP!A1:E728,5,FALSE))))</f>
        <v>-</v>
      </c>
      <c r="N483" s="53" t="str">
        <f>IFERROR(M483-A483,"N/A")</f>
        <v>N/A</v>
      </c>
      <c r="O483" s="39"/>
      <c r="P483" s="40" t="str">
        <f>IF(Settings!$E$27="ON",VLOOKUP(B483,ADP!A1:H728,8,FALSE)," ")</f>
        <v xml:space="preserve"> </v>
      </c>
      <c r="Q483" s="41">
        <f>IF(Settings!$E$12="YES",VLOOKUP(B483,'Player Data'!A1:E734,5,FALSE),82)</f>
        <v>63.376428571428598</v>
      </c>
      <c r="R483" s="39">
        <f>VLOOKUP(B483,'Player Data'!$A1:$AE734,6,FALSE)</f>
        <v>12.7205882352941</v>
      </c>
      <c r="S483" s="41">
        <f>VLOOKUP(B483,'Player Data'!$A1:$AE734,7,FALSE)*$Q483*IFERROR((VLOOKUP(P483,Settings!$E$28:$F$33,2,FALSE)+1),1)</f>
        <v>2.8830971765876177</v>
      </c>
      <c r="T483" s="41">
        <f>VLOOKUP(B483,'Player Data'!$A1:$AE734,8,FALSE)*$Q483*IFERROR((VLOOKUP(P483,Settings!$E$28:$F$33,2,FALSE)+1),1)</f>
        <v>9.8716445790682616</v>
      </c>
      <c r="U483" s="41">
        <f>SUM(S483:T483)</f>
        <v>12.754741755655878</v>
      </c>
      <c r="V483" s="41">
        <f>VLOOKUP(B483,'Player Data'!$A1:$AE734,10,FALSE)*$Q483*IFERROR(((VLOOKUP(P483,Settings!$E$28:$F$33,2,FALSE)/2)+1),1)</f>
        <v>88.260920419747947</v>
      </c>
      <c r="W483" s="41">
        <f>VLOOKUP(B483,'Player Data'!$A1:$AE734,11,FALSE)*$Q483*IFERROR((VLOOKUP(P483,Settings!$E$28:$F$33,2,FALSE)+1),1)</f>
        <v>1.0376971621946702</v>
      </c>
      <c r="X483" s="41">
        <f>VLOOKUP(B483,'Player Data'!$A1:$AE734,12,FALSE)*$Q483*IFERROR((VLOOKUP(P483,Settings!$E$28:$F$33,2,FALSE)+1),1)</f>
        <v>2.9916715926785287</v>
      </c>
      <c r="Y483" s="41">
        <f>VLOOKUP(B483,'Player Data'!$A1:$AE734,13,FALSE)*$Q483</f>
        <v>3.9117233174932658E-3</v>
      </c>
      <c r="Z483" s="41">
        <f>VLOOKUP(B483,'Player Data'!$A1:$AE734,14,FALSE)*$Q483</f>
        <v>1.4554367813430518E-2</v>
      </c>
      <c r="AA483" s="41">
        <f>VLOOKUP(B483,'Player Data'!$A1:$AE734,15,FALSE)*$Q483</f>
        <v>51.195979250873307</v>
      </c>
      <c r="AB483" s="41">
        <f>VLOOKUP(B483,'Player Data'!$A1:$AE734,16,FALSE)*$Q483</f>
        <v>63.181440062477847</v>
      </c>
      <c r="AC483" s="41">
        <f>VLOOKUP(B483,'Player Data'!$A1:$AE734,17,FALSE)*$Q483*IFERROR((VLOOKUP(P483,Settings!$E$28:$F$33,2,FALSE)+1),1)</f>
        <v>-6.4564552843248121E-2</v>
      </c>
      <c r="AD483" s="41">
        <f>VLOOKUP(B483,'Player Data'!$A1:$AE734,18,FALSE)*$Q483</f>
        <v>15.169027741982688</v>
      </c>
      <c r="AE483" s="41">
        <f>VLOOKUP(B483,'Player Data'!$A1:$AE734,19,FALSE)*$Q483*IFERROR((VLOOKUP(P483,Settings!$E$28:$F$33,2,FALSE)+1),1)</f>
        <v>0.51729219090767597</v>
      </c>
      <c r="AF483" s="41">
        <f>VLOOKUP(B483,'Player Data'!$A1:$AE734,20,FALSE)*$Q483</f>
        <v>0</v>
      </c>
      <c r="AG483" s="41">
        <f>VLOOKUP(B483,'Player Data'!$A1:$AE734,21,FALSE)*$Q483</f>
        <v>0.35366663334208159</v>
      </c>
      <c r="AH483" s="42">
        <f>VLOOKUP(B483,'Player Data'!$A1:$AE734,22,FALSE)</f>
        <v>0</v>
      </c>
      <c r="AI483" s="39"/>
      <c r="AJ483" s="43"/>
      <c r="AK483" s="41"/>
      <c r="AL483" s="41"/>
      <c r="AM483" s="41"/>
      <c r="AN483" s="41"/>
      <c r="AO483" s="41"/>
      <c r="AP483" s="41"/>
      <c r="AQ483" s="44"/>
      <c r="AR483" s="45"/>
      <c r="AS483" s="43"/>
    </row>
    <row r="484" spans="1:45" ht="21.25" customHeight="1" x14ac:dyDescent="0.15">
      <c r="A484" s="31">
        <f>RANK(K484,K$2:K$727)</f>
        <v>483</v>
      </c>
      <c r="B484" s="8" t="s">
        <v>588</v>
      </c>
      <c r="C484" s="32" t="s">
        <v>106</v>
      </c>
      <c r="D484" s="33" t="str">
        <f>VLOOKUP(B484,'Player Data'!A1:D734,4,FALSE)</f>
        <v>RW</v>
      </c>
      <c r="E484" s="46">
        <f>VLOOKUP(B484,RW!A1:F97,3,FALSE)</f>
        <v>67</v>
      </c>
      <c r="F484" s="35" t="str">
        <f>VLOOKUP(B484,'Player Data'!A1:B734,2,FALSE)</f>
        <v>OTT</v>
      </c>
      <c r="G484" s="9">
        <f>VLOOKUP(B484,'Player Data'!A1:D734,3,FALSE)</f>
        <v>26</v>
      </c>
      <c r="H484" s="36">
        <f>IFERROR(VLOOKUP(B484,ADP!A1:G728,7,FALSE)/1000000,VLOOKUP(B484,ADP!A1:G728,7,FALSE))</f>
        <v>2.95</v>
      </c>
      <c r="I484" s="37">
        <f>IF(Settings!$E$15="POINTS",((R484*Q484)*Settings!$B$12)+(S484*Settings!$B$2)+(T484*Settings!$B$3)+(U484*Settings!$B$4)+(V484*Settings!$B$5)+(X484*Settings!$B$9)+(AA484*Settings!$B$6)+(W484*Settings!$B$8)+(AB484*Settings!$B$7)+(AC484*Settings!$B$14)+(AD484*Settings!$B$15)+(AE484*Settings!$B$16)+(AF484*Settings!$B$17)+(AG484*Settings!$B$18)+(Y484*Settings!$B$10)+(Z484*Settings!$B$11),VLOOKUP(B484,'Standard Deviations'!A1:C728,3,FALSE))</f>
        <v>136.41681137041439</v>
      </c>
      <c r="J484" s="38">
        <f>IF(D484="G",I484/AJ484,I484/Q484)</f>
        <v>1.8037990330291811</v>
      </c>
      <c r="K484" s="37">
        <f>IF(Settings!$E$18="C/LW/RW",VLOOKUP(B484,RW!A1:F97,6,FALSE),VLOOKUP(B484,F!A1:F430,6,FALSE))</f>
        <v>-213.85472917747518</v>
      </c>
      <c r="L484" s="37">
        <f>IFERROR(K484/H484,"N/A")</f>
        <v>-72.493128534737338</v>
      </c>
      <c r="M484" s="53" t="str">
        <f>IF(Settings!$E$9="YAHOO",VLOOKUP(B484,ADP!A1:E728,2,FALSE),IF(Settings!$E$9="ESPN",VLOOKUP(B484,ADP!A1:E728,3,FALSE),IF(Settings!$E$9="FANTRAX",VLOOKUP(B484,ADP!A1:E728,4,FALSE),VLOOKUP(B484,ADP!A1:E728,5,FALSE))))</f>
        <v>-</v>
      </c>
      <c r="N484" s="53" t="str">
        <f>IFERROR(M484-A484,"N/A")</f>
        <v>N/A</v>
      </c>
      <c r="O484" s="39"/>
      <c r="P484" s="40" t="str">
        <f>IF(Settings!$E$27="ON",VLOOKUP(B484,ADP!A1:H728,8,FALSE)," ")</f>
        <v xml:space="preserve"> </v>
      </c>
      <c r="Q484" s="41">
        <f>IF(Settings!$E$12="YES",VLOOKUP(B484,'Player Data'!A1:E734,5,FALSE),82)</f>
        <v>75.627499999999998</v>
      </c>
      <c r="R484" s="39">
        <f>VLOOKUP(B484,'Player Data'!$A1:$AE734,6,FALSE)</f>
        <v>13.527295133384101</v>
      </c>
      <c r="S484" s="41">
        <f>VLOOKUP(B484,'Player Data'!$A1:$AE734,7,FALSE)*$Q484*IFERROR((VLOOKUP(P484,Settings!$E$28:$F$33,2,FALSE)+1),1)</f>
        <v>9.1289463288835773</v>
      </c>
      <c r="T484" s="41">
        <f>VLOOKUP(B484,'Player Data'!$A1:$AE734,8,FALSE)*$Q484*IFERROR((VLOOKUP(P484,Settings!$E$28:$F$33,2,FALSE)+1),1)</f>
        <v>16.240202193574493</v>
      </c>
      <c r="U484" s="41">
        <f>SUM(S484:T484)</f>
        <v>25.369148522458069</v>
      </c>
      <c r="V484" s="41">
        <f>VLOOKUP(B484,'Player Data'!$A1:$AE734,10,FALSE)*$Q484*IFERROR(((VLOOKUP(P484,Settings!$E$28:$F$33,2,FALSE)/2)+1),1)</f>
        <v>90.431550496496769</v>
      </c>
      <c r="W484" s="41">
        <f>VLOOKUP(B484,'Player Data'!$A1:$AE734,11,FALSE)*$Q484*IFERROR((VLOOKUP(P484,Settings!$E$28:$F$33,2,FALSE)+1),1)</f>
        <v>0.19797900080950848</v>
      </c>
      <c r="X484" s="41">
        <f>VLOOKUP(B484,'Player Data'!$A1:$AE734,12,FALSE)*$Q484*IFERROR((VLOOKUP(P484,Settings!$E$28:$F$33,2,FALSE)+1),1)</f>
        <v>0.52929302239189835</v>
      </c>
      <c r="Y484" s="41">
        <f>VLOOKUP(B484,'Player Data'!$A1:$AE734,13,FALSE)*$Q484</f>
        <v>1.6757340946064121</v>
      </c>
      <c r="Z484" s="41">
        <f>VLOOKUP(B484,'Player Data'!$A1:$AE734,14,FALSE)*$Q484</f>
        <v>3.3916045980682279</v>
      </c>
      <c r="AA484" s="41">
        <f>VLOOKUP(B484,'Player Data'!$A1:$AE734,15,FALSE)*$Q484</f>
        <v>36.258976569357714</v>
      </c>
      <c r="AB484" s="41">
        <f>VLOOKUP(B484,'Player Data'!$A1:$AE734,16,FALSE)*$Q484</f>
        <v>111.64448662749258</v>
      </c>
      <c r="AC484" s="41">
        <f>VLOOKUP(B484,'Player Data'!$A1:$AE734,17,FALSE)*$Q484*IFERROR((VLOOKUP(P484,Settings!$E$28:$F$33,2,FALSE)+1),1)</f>
        <v>1.2117003876254966</v>
      </c>
      <c r="AD484" s="41">
        <f>VLOOKUP(B484,'Player Data'!$A1:$AE734,18,FALSE)*$Q484</f>
        <v>28.409026265231482</v>
      </c>
      <c r="AE484" s="41">
        <f>VLOOKUP(B484,'Player Data'!$A1:$AE734,19,FALSE)*$Q484*IFERROR((VLOOKUP(P484,Settings!$E$28:$F$33,2,FALSE)+1),1)</f>
        <v>1.2680192230462835</v>
      </c>
      <c r="AF484" s="41">
        <f>VLOOKUP(B484,'Player Data'!$A1:$AE734,20,FALSE)*$Q484</f>
        <v>14.540973177868976</v>
      </c>
      <c r="AG484" s="41">
        <f>VLOOKUP(B484,'Player Data'!$A1:$AE734,21,FALSE)*$Q484</f>
        <v>24.006640250313801</v>
      </c>
      <c r="AH484" s="42">
        <f>VLOOKUP(B484,'Player Data'!$A1:$AE734,22,FALSE)</f>
        <v>0.37722110098877898</v>
      </c>
      <c r="AI484" s="39"/>
      <c r="AJ484" s="41"/>
      <c r="AK484" s="41"/>
      <c r="AL484" s="41"/>
      <c r="AM484" s="41"/>
      <c r="AN484" s="41"/>
      <c r="AO484" s="41"/>
      <c r="AP484" s="41"/>
      <c r="AQ484" s="44"/>
      <c r="AR484" s="45"/>
      <c r="AS484" s="39"/>
    </row>
    <row r="485" spans="1:45" ht="21.25" customHeight="1" x14ac:dyDescent="0.15">
      <c r="A485" s="31">
        <f>RANK(K485,K$2:K$727)</f>
        <v>484</v>
      </c>
      <c r="B485" s="8" t="s">
        <v>589</v>
      </c>
      <c r="C485" s="32" t="s">
        <v>106</v>
      </c>
      <c r="D485" s="33" t="str">
        <f>VLOOKUP(B485,'Player Data'!A1:D734,4,FALSE)</f>
        <v>LW</v>
      </c>
      <c r="E485" s="47">
        <f>VLOOKUP(B485,LW!A1:C130,3,FALSE)</f>
        <v>85</v>
      </c>
      <c r="F485" s="35" t="str">
        <f>VLOOKUP(B485,'Player Data'!A1:B734,2,FALSE)</f>
        <v>DET</v>
      </c>
      <c r="G485" s="9">
        <f>VLOOKUP(B485,'Player Data'!A1:D734,3,FALSE)</f>
        <v>23</v>
      </c>
      <c r="H485" s="36">
        <f>IFERROR(VLOOKUP(B485,ADP!A1:G728,7,FALSE)/1000000,VLOOKUP(B485,ADP!A1:G728,7,FALSE))</f>
        <v>0.92500000000000004</v>
      </c>
      <c r="I485" s="37">
        <f>IF(Settings!$E$15="POINTS",((R485*Q485)*Settings!$B$12)+(S485*Settings!$B$2)+(T485*Settings!$B$3)+(U485*Settings!$B$4)+(V485*Settings!$B$5)+(X485*Settings!$B$9)+(AA485*Settings!$B$6)+(W485*Settings!$B$8)+(AB485*Settings!$B$7)+(AC485*Settings!$B$14)+(AD485*Settings!$B$15)+(AE485*Settings!$B$16)+(AF485*Settings!$B$17)+(AG485*Settings!$B$18)+(Y485*Settings!$B$10)+(Z485*Settings!$B$11),VLOOKUP(B485,'Standard Deviations'!A1:C728,3,FALSE))</f>
        <v>149.81195415406069</v>
      </c>
      <c r="J485" s="38">
        <f>IF(D485="G",I485/AJ485,I485/Q485)</f>
        <v>1.9762806431509883</v>
      </c>
      <c r="K485" s="37">
        <f>IF(Settings!$E$18="C/LW/RW",VLOOKUP(B485,LW!A1:F130,6,FALSE),VLOOKUP(B485,F!A1:F430,6,FALSE))</f>
        <v>-214.22865070358978</v>
      </c>
      <c r="L485" s="37">
        <f>IFERROR(K485/H485,"N/A")</f>
        <v>-231.59854130117813</v>
      </c>
      <c r="M485" s="53" t="str">
        <f>IF(Settings!$E$9="YAHOO",VLOOKUP(B485,ADP!A1:E728,2,FALSE),IF(Settings!$E$9="ESPN",VLOOKUP(B485,ADP!A1:E728,3,FALSE),IF(Settings!$E$9="FANTRAX",VLOOKUP(B485,ADP!A1:E728,4,FALSE),VLOOKUP(B485,ADP!A1:E728,5,FALSE))))</f>
        <v>-</v>
      </c>
      <c r="N485" s="53" t="str">
        <f>IFERROR(M485-A485,"N/A")</f>
        <v>N/A</v>
      </c>
      <c r="O485" s="39"/>
      <c r="P485" s="40" t="str">
        <f>IF(Settings!$E$27="ON",VLOOKUP(B485,ADP!A1:H728,8,FALSE)," ")</f>
        <v xml:space="preserve"> </v>
      </c>
      <c r="Q485" s="41">
        <f>IF(Settings!$E$12="YES",VLOOKUP(B485,'Player Data'!A1:E734,5,FALSE),82)</f>
        <v>75.805000000000007</v>
      </c>
      <c r="R485" s="39">
        <f>VLOOKUP(B485,'Player Data'!$A1:$AE734,6,FALSE)</f>
        <v>12.5984188545316</v>
      </c>
      <c r="S485" s="41">
        <f>VLOOKUP(B485,'Player Data'!$A1:$AE734,7,FALSE)*$Q485*IFERROR((VLOOKUP(P485,Settings!$E$28:$F$33,2,FALSE)+1),1)</f>
        <v>13.74565820606046</v>
      </c>
      <c r="T485" s="41">
        <f>VLOOKUP(B485,'Player Data'!$A1:$AE734,8,FALSE)*$Q485*IFERROR((VLOOKUP(P485,Settings!$E$28:$F$33,2,FALSE)+1),1)</f>
        <v>14.055776751821453</v>
      </c>
      <c r="U485" s="41">
        <f>SUM(S485:T485)</f>
        <v>27.801434957881913</v>
      </c>
      <c r="V485" s="41">
        <f>VLOOKUP(B485,'Player Data'!$A1:$AE734,10,FALSE)*$Q485*IFERROR(((VLOOKUP(P485,Settings!$E$28:$F$33,2,FALSE)/2)+1),1)</f>
        <v>103.39122331896523</v>
      </c>
      <c r="W485" s="41">
        <f>VLOOKUP(B485,'Player Data'!$A1:$AE734,11,FALSE)*$Q485*IFERROR((VLOOKUP(P485,Settings!$E$28:$F$33,2,FALSE)+1),1)</f>
        <v>2.2031349396939208</v>
      </c>
      <c r="X485" s="41">
        <f>VLOOKUP(B485,'Player Data'!$A1:$AE734,12,FALSE)*$Q485*IFERROR((VLOOKUP(P485,Settings!$E$28:$F$33,2,FALSE)+1),1)</f>
        <v>4.2731871995506365</v>
      </c>
      <c r="Y485" s="41">
        <f>VLOOKUP(B485,'Player Data'!$A1:$AE734,13,FALSE)*$Q485</f>
        <v>4.2298071078334457E-3</v>
      </c>
      <c r="Z485" s="41">
        <f>VLOOKUP(B485,'Player Data'!$A1:$AE734,14,FALSE)*$Q485</f>
        <v>7.7710336772755352E-3</v>
      </c>
      <c r="AA485" s="41">
        <f>VLOOKUP(B485,'Player Data'!$A1:$AE734,15,FALSE)*$Q485</f>
        <v>30.750605772382666</v>
      </c>
      <c r="AB485" s="41">
        <f>VLOOKUP(B485,'Player Data'!$A1:$AE734,16,FALSE)*$Q485</f>
        <v>39.674207110214716</v>
      </c>
      <c r="AC485" s="41">
        <f>VLOOKUP(B485,'Player Data'!$A1:$AE734,17,FALSE)*$Q485*IFERROR((VLOOKUP(P485,Settings!$E$28:$F$33,2,FALSE)+1),1)</f>
        <v>-2.5334417342217188</v>
      </c>
      <c r="AD485" s="41">
        <f>VLOOKUP(B485,'Player Data'!$A1:$AE734,18,FALSE)*$Q485</f>
        <v>19.680062601864641</v>
      </c>
      <c r="AE485" s="41">
        <f>VLOOKUP(B485,'Player Data'!$A1:$AE734,19,FALSE)*$Q485*IFERROR((VLOOKUP(P485,Settings!$E$28:$F$33,2,FALSE)+1),1)</f>
        <v>1.7747205727732036</v>
      </c>
      <c r="AF485" s="41">
        <f>VLOOKUP(B485,'Player Data'!$A1:$AE734,20,FALSE)*$Q485</f>
        <v>3.1769858994070952</v>
      </c>
      <c r="AG485" s="41">
        <f>VLOOKUP(B485,'Player Data'!$A1:$AE734,21,FALSE)*$Q485</f>
        <v>3.1769858994070952</v>
      </c>
      <c r="AH485" s="42">
        <f>VLOOKUP(B485,'Player Data'!$A1:$AE734,22,FALSE)</f>
        <v>0.5</v>
      </c>
      <c r="AI485" s="39"/>
      <c r="AJ485" s="43"/>
      <c r="AK485" s="41"/>
      <c r="AL485" s="41"/>
      <c r="AM485" s="41"/>
      <c r="AN485" s="41"/>
      <c r="AO485" s="41"/>
      <c r="AP485" s="41"/>
      <c r="AQ485" s="44"/>
      <c r="AR485" s="45"/>
      <c r="AS485" s="39"/>
    </row>
    <row r="486" spans="1:45" ht="21.25" customHeight="1" x14ac:dyDescent="0.15">
      <c r="A486" s="31">
        <f>RANK(K486,K$2:K$727)</f>
        <v>485</v>
      </c>
      <c r="B486" s="8" t="s">
        <v>590</v>
      </c>
      <c r="C486" s="32" t="s">
        <v>106</v>
      </c>
      <c r="D486" s="33" t="str">
        <f>VLOOKUP(B486,'Player Data'!A1:D734,4,FALSE)</f>
        <v>RW</v>
      </c>
      <c r="E486" s="46">
        <f>VLOOKUP(B486,RW!A1:F97,3,FALSE)</f>
        <v>68</v>
      </c>
      <c r="F486" s="35" t="str">
        <f>VLOOKUP(B486,'Player Data'!A1:B734,2,FALSE)</f>
        <v>CAR</v>
      </c>
      <c r="G486" s="9">
        <f>VLOOKUP(B486,'Player Data'!A1:D734,3,FALSE)</f>
        <v>31</v>
      </c>
      <c r="H486" s="36">
        <f>IFERROR(VLOOKUP(B486,ADP!A1:G728,7,FALSE)/1000000,VLOOKUP(B486,ADP!A1:G728,7,FALSE))</f>
        <v>2.4</v>
      </c>
      <c r="I486" s="37">
        <f>IF(Settings!$E$15="POINTS",((R486*Q486)*Settings!$B$12)+(S486*Settings!$B$2)+(T486*Settings!$B$3)+(U486*Settings!$B$4)+(V486*Settings!$B$5)+(X486*Settings!$B$9)+(AA486*Settings!$B$6)+(W486*Settings!$B$8)+(AB486*Settings!$B$7)+(AC486*Settings!$B$14)+(AD486*Settings!$B$15)+(AE486*Settings!$B$16)+(AF486*Settings!$B$17)+(AG486*Settings!$B$18)+(Y486*Settings!$B$10)+(Z486*Settings!$B$11),VLOOKUP(B486,'Standard Deviations'!A1:C728,3,FALSE))</f>
        <v>135.41496544273858</v>
      </c>
      <c r="J486" s="38">
        <f>IF(D486="G",I486/AJ486,I486/Q486)</f>
        <v>1.6882403635053562</v>
      </c>
      <c r="K486" s="37">
        <f>IF(Settings!$E$18="C/LW/RW",VLOOKUP(B486,RW!A1:F97,6,FALSE),VLOOKUP(B486,F!A1:F430,6,FALSE))</f>
        <v>-214.85657510515099</v>
      </c>
      <c r="L486" s="37">
        <f>IFERROR(K486/H486,"N/A")</f>
        <v>-89.523572960479584</v>
      </c>
      <c r="M486" s="53" t="str">
        <f>IF(Settings!$E$9="YAHOO",VLOOKUP(B486,ADP!A1:E728,2,FALSE),IF(Settings!$E$9="ESPN",VLOOKUP(B486,ADP!A1:E728,3,FALSE),IF(Settings!$E$9="FANTRAX",VLOOKUP(B486,ADP!A1:E728,4,FALSE),VLOOKUP(B486,ADP!A1:E728,5,FALSE))))</f>
        <v>-</v>
      </c>
      <c r="N486" s="53" t="str">
        <f>IFERROR(M486-A486,"N/A")</f>
        <v>N/A</v>
      </c>
      <c r="O486" s="39"/>
      <c r="P486" s="40" t="str">
        <f>IF(Settings!$E$27="ON",VLOOKUP(B486,ADP!A1:H728,8,FALSE)," ")</f>
        <v xml:space="preserve"> </v>
      </c>
      <c r="Q486" s="41">
        <f>IF(Settings!$E$12="YES",VLOOKUP(B486,'Player Data'!A1:E734,5,FALSE),82)</f>
        <v>80.210714285714303</v>
      </c>
      <c r="R486" s="39">
        <f>VLOOKUP(B486,'Player Data'!$A1:$AE734,6,FALSE)</f>
        <v>14.1055636656672</v>
      </c>
      <c r="S486" s="41">
        <f>VLOOKUP(B486,'Player Data'!$A1:$AE734,7,FALSE)*$Q486*IFERROR((VLOOKUP(P486,Settings!$E$28:$F$33,2,FALSE)+1),1)</f>
        <v>9.9984770574540871</v>
      </c>
      <c r="T486" s="41">
        <f>VLOOKUP(B486,'Player Data'!$A1:$AE734,8,FALSE)*$Q486*IFERROR((VLOOKUP(P486,Settings!$E$28:$F$33,2,FALSE)+1),1)</f>
        <v>17.682388920170968</v>
      </c>
      <c r="U486" s="41">
        <f>SUM(S486:T486)</f>
        <v>27.680865977625054</v>
      </c>
      <c r="V486" s="41">
        <f>VLOOKUP(B486,'Player Data'!$A1:$AE734,10,FALSE)*$Q486*IFERROR(((VLOOKUP(P486,Settings!$E$28:$F$33,2,FALSE)/2)+1),1)</f>
        <v>80.719757132002457</v>
      </c>
      <c r="W486" s="41">
        <f>VLOOKUP(B486,'Player Data'!$A1:$AE734,11,FALSE)*$Q486*IFERROR((VLOOKUP(P486,Settings!$E$28:$F$33,2,FALSE)+1),1)</f>
        <v>0.18743309818718945</v>
      </c>
      <c r="X486" s="41">
        <f>VLOOKUP(B486,'Player Data'!$A1:$AE734,12,FALSE)*$Q486*IFERROR((VLOOKUP(P486,Settings!$E$28:$F$33,2,FALSE)+1),1)</f>
        <v>0.51285438545183981</v>
      </c>
      <c r="Y486" s="41">
        <f>VLOOKUP(B486,'Player Data'!$A1:$AE734,13,FALSE)*$Q486</f>
        <v>8.8957642498398867E-2</v>
      </c>
      <c r="Z486" s="41">
        <f>VLOOKUP(B486,'Player Data'!$A1:$AE734,14,FALSE)*$Q486</f>
        <v>1.7246703660886085</v>
      </c>
      <c r="AA486" s="41">
        <f>VLOOKUP(B486,'Player Data'!$A1:$AE734,15,FALSE)*$Q486</f>
        <v>37.687197203906564</v>
      </c>
      <c r="AB486" s="41">
        <f>VLOOKUP(B486,'Player Data'!$A1:$AE734,16,FALSE)*$Q486</f>
        <v>100.66150933230769</v>
      </c>
      <c r="AC486" s="41">
        <f>VLOOKUP(B486,'Player Data'!$A1:$AE734,17,FALSE)*$Q486*IFERROR((VLOOKUP(P486,Settings!$E$28:$F$33,2,FALSE)+1),1)</f>
        <v>6.756877324734079</v>
      </c>
      <c r="AD486" s="41">
        <f>VLOOKUP(B486,'Player Data'!$A1:$AE734,18,FALSE)*$Q486</f>
        <v>15.387601090981015</v>
      </c>
      <c r="AE486" s="41">
        <f>VLOOKUP(B486,'Player Data'!$A1:$AE734,19,FALSE)*$Q486*IFERROR((VLOOKUP(P486,Settings!$E$28:$F$33,2,FALSE)+1),1)</f>
        <v>1.7939506669394298</v>
      </c>
      <c r="AF486" s="41">
        <f>VLOOKUP(B486,'Player Data'!$A1:$AE734,20,FALSE)*$Q486</f>
        <v>11.050348505168197</v>
      </c>
      <c r="AG486" s="41">
        <f>VLOOKUP(B486,'Player Data'!$A1:$AE734,21,FALSE)*$Q486</f>
        <v>16.845631755687169</v>
      </c>
      <c r="AH486" s="42">
        <f>VLOOKUP(B486,'Player Data'!$A1:$AE734,22,FALSE)</f>
        <v>0.396126911541962</v>
      </c>
      <c r="AI486" s="39"/>
      <c r="AJ486" s="43"/>
      <c r="AK486" s="41"/>
      <c r="AL486" s="41"/>
      <c r="AM486" s="41"/>
      <c r="AN486" s="41"/>
      <c r="AO486" s="41"/>
      <c r="AP486" s="41"/>
      <c r="AQ486" s="44"/>
      <c r="AR486" s="45"/>
      <c r="AS486" s="39"/>
    </row>
    <row r="487" spans="1:45" ht="21.25" customHeight="1" x14ac:dyDescent="0.15">
      <c r="A487" s="31">
        <f>RANK(K487,K$2:K$727)</f>
        <v>486</v>
      </c>
      <c r="B487" s="8" t="s">
        <v>591</v>
      </c>
      <c r="C487" s="32" t="s">
        <v>106</v>
      </c>
      <c r="D487" s="33" t="str">
        <f>VLOOKUP(B487,'Player Data'!A1:D734,4,FALSE)</f>
        <v>D</v>
      </c>
      <c r="E487" s="49">
        <f>VLOOKUP(B487,D!A1:C227,3,FALSE)</f>
        <v>178</v>
      </c>
      <c r="F487" s="35" t="str">
        <f>VLOOKUP(B487,'Player Data'!A1:B734,2,FALSE)</f>
        <v>NSH</v>
      </c>
      <c r="G487" s="9">
        <f>VLOOKUP(B487,'Player Data'!A1:D734,3,FALSE)</f>
        <v>26</v>
      </c>
      <c r="H487" s="36">
        <f>IFERROR(VLOOKUP(B487,ADP!A1:G728,7,FALSE)/1000000,VLOOKUP(B487,ADP!A1:G728,7,FALSE))</f>
        <v>2</v>
      </c>
      <c r="I487" s="37">
        <f>IF(Settings!$E$15="POINTS",((R487*Q487)*Settings!$B$12)+(S487*Settings!$B$2)+(T487*Settings!$B$3)+(U487*Settings!$B$4)+(V487*Settings!$B$5)+(X487*Settings!$B$9)+(AA487*Settings!$B$6)+(W487*Settings!$B$8)+(AB487*Settings!$B$7)+(AC487*Settings!$B$14)+(AD487*Settings!$B$15)+(AE487*Settings!$B$16)+(AF487*Settings!$B$17)+(AG487*Settings!$B$18)+(U487*Settings!$B$13)+(Y487*Settings!$B$10)+(Z487*Settings!$B$11),VLOOKUP(B487,'Standard Deviations'!A1:C728,3,FALSE))</f>
        <v>96.596283680660832</v>
      </c>
      <c r="J487" s="38">
        <f>IF(D487="G",I487/AJ487,I487/Q487)</f>
        <v>1.2884474216524011</v>
      </c>
      <c r="K487" s="37">
        <f>VLOOKUP(B487,D!A1:F227,6,FALSE)</f>
        <v>-214.96919794726662</v>
      </c>
      <c r="L487" s="37">
        <f>IFERROR(K487/H487,"N/A")</f>
        <v>-107.48459897363331</v>
      </c>
      <c r="M487" s="53" t="str">
        <f>IF(Settings!$E$9="YAHOO",VLOOKUP(B487,ADP!A1:E728,2,FALSE),IF(Settings!$E$9="ESPN",VLOOKUP(B487,ADP!A1:E728,3,FALSE),IF(Settings!$E$9="FANTRAX",VLOOKUP(B487,ADP!A1:E728,4,FALSE),VLOOKUP(B487,ADP!A1:E728,5,FALSE))))</f>
        <v>-</v>
      </c>
      <c r="N487" s="53" t="str">
        <f>IFERROR(M487-A487,"N/A")</f>
        <v>N/A</v>
      </c>
      <c r="O487" s="39"/>
      <c r="P487" s="40" t="str">
        <f>IF(Settings!$E$27="ON",VLOOKUP(B487,ADP!A1:H728,8,FALSE)," ")</f>
        <v xml:space="preserve"> </v>
      </c>
      <c r="Q487" s="41">
        <f>IF(Settings!$E$12="YES",VLOOKUP(B487,'Player Data'!A1:E734,5,FALSE),82)</f>
        <v>74.971071428571406</v>
      </c>
      <c r="R487" s="39">
        <f>VLOOKUP(B487,'Player Data'!$A1:$AE734,6,FALSE)</f>
        <v>16.180768574226501</v>
      </c>
      <c r="S487" s="41">
        <f>VLOOKUP(B487,'Player Data'!$A1:$AE734,7,FALSE)*$Q487*IFERROR((VLOOKUP(P487,Settings!$E$28:$F$33,2,FALSE)+1),1)</f>
        <v>2.8443119671147721</v>
      </c>
      <c r="T487" s="41">
        <f>VLOOKUP(B487,'Player Data'!$A1:$AE734,8,FALSE)*$Q487*IFERROR((VLOOKUP(P487,Settings!$E$28:$F$33,2,FALSE)+1),1)</f>
        <v>9.7386570896369076</v>
      </c>
      <c r="U487" s="41">
        <f>SUM(S487:T487)</f>
        <v>12.582969056751679</v>
      </c>
      <c r="V487" s="41">
        <f>VLOOKUP(B487,'Player Data'!$A1:$AE734,10,FALSE)*$Q487*IFERROR(((VLOOKUP(P487,Settings!$E$28:$F$33,2,FALSE)/2)+1),1)</f>
        <v>83.313885435947356</v>
      </c>
      <c r="W487" s="41">
        <f>VLOOKUP(B487,'Player Data'!$A1:$AE734,11,FALSE)*$Q487*IFERROR((VLOOKUP(P487,Settings!$E$28:$F$33,2,FALSE)+1),1)</f>
        <v>2.0605158107589481E-2</v>
      </c>
      <c r="X487" s="41">
        <f>VLOOKUP(B487,'Player Data'!$A1:$AE734,12,FALSE)*$Q487*IFERROR((VLOOKUP(P487,Settings!$E$28:$F$33,2,FALSE)+1),1)</f>
        <v>0.14121898911670264</v>
      </c>
      <c r="Y487" s="41">
        <f>VLOOKUP(B487,'Player Data'!$A1:$AE734,13,FALSE)*$Q487</f>
        <v>2.4381667982527715E-2</v>
      </c>
      <c r="Z487" s="41">
        <f>VLOOKUP(B487,'Player Data'!$A1:$AE734,14,FALSE)*$Q487</f>
        <v>0.59930580569094327</v>
      </c>
      <c r="AA487" s="41">
        <f>VLOOKUP(B487,'Player Data'!$A1:$AE734,15,FALSE)*$Q487</f>
        <v>78.546921014084091</v>
      </c>
      <c r="AB487" s="41">
        <f>VLOOKUP(B487,'Player Data'!$A1:$AE734,16,FALSE)*$Q487</f>
        <v>214.63767127830718</v>
      </c>
      <c r="AC487" s="41">
        <f>VLOOKUP(B487,'Player Data'!$A1:$AE734,17,FALSE)*$Q487*IFERROR((VLOOKUP(P487,Settings!$E$28:$F$33,2,FALSE)+1),1)</f>
        <v>-2.7549073765282759</v>
      </c>
      <c r="AD487" s="41">
        <f>VLOOKUP(B487,'Player Data'!$A1:$AE734,18,FALSE)*$Q487</f>
        <v>60.690104131763384</v>
      </c>
      <c r="AE487" s="41">
        <f>VLOOKUP(B487,'Player Data'!$A1:$AE734,19,FALSE)*$Q487*IFERROR((VLOOKUP(P487,Settings!$E$28:$F$33,2,FALSE)+1),1)</f>
        <v>0.41534393755384369</v>
      </c>
      <c r="AF487" s="41">
        <f>VLOOKUP(B487,'Player Data'!$A1:$AE734,20,FALSE)*$Q487</f>
        <v>0</v>
      </c>
      <c r="AG487" s="41">
        <f>VLOOKUP(B487,'Player Data'!$A1:$AE734,21,FALSE)*$Q487</f>
        <v>0</v>
      </c>
      <c r="AH487" s="42">
        <f>VLOOKUP(B487,'Player Data'!$A1:$AE734,22,FALSE)</f>
        <v>0</v>
      </c>
      <c r="AI487" s="39"/>
      <c r="AJ487" s="43"/>
      <c r="AK487" s="41"/>
      <c r="AL487" s="41"/>
      <c r="AM487" s="41"/>
      <c r="AN487" s="41"/>
      <c r="AO487" s="41"/>
      <c r="AP487" s="41"/>
      <c r="AQ487" s="44"/>
      <c r="AR487" s="45"/>
      <c r="AS487" s="39"/>
    </row>
    <row r="488" spans="1:45" ht="21.25" customHeight="1" x14ac:dyDescent="0.15">
      <c r="A488" s="31">
        <f>RANK(K488,K$2:K$727)</f>
        <v>487</v>
      </c>
      <c r="B488" s="8" t="s">
        <v>592</v>
      </c>
      <c r="C488" s="32" t="s">
        <v>106</v>
      </c>
      <c r="D488" s="33" t="str">
        <f>VLOOKUP(B488,'Player Data'!A1:D734,4,FALSE)</f>
        <v>D</v>
      </c>
      <c r="E488" s="49">
        <f>VLOOKUP(B488,D!A1:C227,3,FALSE)</f>
        <v>179</v>
      </c>
      <c r="F488" s="35" t="str">
        <f>VLOOKUP(B488,'Player Data'!A1:B734,2,FALSE)</f>
        <v>MTL</v>
      </c>
      <c r="G488" s="9">
        <f>VLOOKUP(B488,'Player Data'!A1:D734,3,FALSE)</f>
        <v>22</v>
      </c>
      <c r="H488" s="36">
        <f>IFERROR(VLOOKUP(B488,ADP!A1:G728,7,FALSE)/1000000,VLOOKUP(B488,ADP!A1:G728,7,FALSE))</f>
        <v>0.82833299999999999</v>
      </c>
      <c r="I488" s="37">
        <f>IF(Settings!$E$15="POINTS",((R488*Q488)*Settings!$B$12)+(S488*Settings!$B$2)+(T488*Settings!$B$3)+(U488*Settings!$B$4)+(V488*Settings!$B$5)+(X488*Settings!$B$9)+(AA488*Settings!$B$6)+(W488*Settings!$B$8)+(AB488*Settings!$B$7)+(AC488*Settings!$B$14)+(AD488*Settings!$B$15)+(AE488*Settings!$B$16)+(AF488*Settings!$B$17)+(AG488*Settings!$B$18)+(U488*Settings!$B$13)+(Y488*Settings!$B$10)+(Z488*Settings!$B$11),VLOOKUP(B488,'Standard Deviations'!A1:C728,3,FALSE))</f>
        <v>96.085583696635467</v>
      </c>
      <c r="J488" s="38">
        <f>IF(D488="G",I488/AJ488,I488/Q488)</f>
        <v>1.3892226371233349</v>
      </c>
      <c r="K488" s="37">
        <f>VLOOKUP(B488,D!A1:F227,6,FALSE)</f>
        <v>-215.47989793129199</v>
      </c>
      <c r="L488" s="37">
        <f>IFERROR(K488/H488,"N/A")</f>
        <v>-260.13680238659089</v>
      </c>
      <c r="M488" s="53" t="str">
        <f>IF(Settings!$E$9="YAHOO",VLOOKUP(B488,ADP!A1:E728,2,FALSE),IF(Settings!$E$9="ESPN",VLOOKUP(B488,ADP!A1:E728,3,FALSE),IF(Settings!$E$9="FANTRAX",VLOOKUP(B488,ADP!A1:E728,4,FALSE),VLOOKUP(B488,ADP!A1:E728,5,FALSE))))</f>
        <v>-</v>
      </c>
      <c r="N488" s="53" t="str">
        <f>IFERROR(M488-A488,"N/A")</f>
        <v>N/A</v>
      </c>
      <c r="O488" s="39"/>
      <c r="P488" s="40" t="str">
        <f>IF(Settings!$E$27="ON",VLOOKUP(B488,ADP!A1:H728,8,FALSE)," ")</f>
        <v xml:space="preserve"> </v>
      </c>
      <c r="Q488" s="41">
        <f>IF(Settings!$E$12="YES",VLOOKUP(B488,'Player Data'!A1:E734,5,FALSE),82)</f>
        <v>69.165000000000006</v>
      </c>
      <c r="R488" s="39">
        <f>VLOOKUP(B488,'Player Data'!$A1:$AE734,6,FALSE)</f>
        <v>14.5802203248371</v>
      </c>
      <c r="S488" s="41">
        <f>VLOOKUP(B488,'Player Data'!$A1:$AE734,7,FALSE)*$Q488*IFERROR((VLOOKUP(P488,Settings!$E$28:$F$33,2,FALSE)+1),1)</f>
        <v>3.8576360829142811</v>
      </c>
      <c r="T488" s="41">
        <f>VLOOKUP(B488,'Player Data'!$A1:$AE734,8,FALSE)*$Q488*IFERROR((VLOOKUP(P488,Settings!$E$28:$F$33,2,FALSE)+1),1)</f>
        <v>9.4122989484160371</v>
      </c>
      <c r="U488" s="41">
        <f>SUM(S488:T488)</f>
        <v>13.269935031330318</v>
      </c>
      <c r="V488" s="41">
        <f>VLOOKUP(B488,'Player Data'!$A1:$AE734,10,FALSE)*$Q488*IFERROR(((VLOOKUP(P488,Settings!$E$28:$F$33,2,FALSE)/2)+1),1)</f>
        <v>83.637959047043751</v>
      </c>
      <c r="W488" s="41">
        <f>VLOOKUP(B488,'Player Data'!$A1:$AE734,11,FALSE)*$Q488*IFERROR((VLOOKUP(P488,Settings!$E$28:$F$33,2,FALSE)+1),1)</f>
        <v>0.20515675571457867</v>
      </c>
      <c r="X488" s="41">
        <f>VLOOKUP(B488,'Player Data'!$A1:$AE734,12,FALSE)*$Q488*IFERROR((VLOOKUP(P488,Settings!$E$28:$F$33,2,FALSE)+1),1)</f>
        <v>0.45893847982916985</v>
      </c>
      <c r="Y488" s="41">
        <f>VLOOKUP(B488,'Player Data'!$A1:$AE734,13,FALSE)*$Q488</f>
        <v>1.5200379648382402E-2</v>
      </c>
      <c r="Z488" s="41">
        <f>VLOOKUP(B488,'Player Data'!$A1:$AE734,14,FALSE)*$Q488</f>
        <v>5.7207082605025508E-2</v>
      </c>
      <c r="AA488" s="41">
        <f>VLOOKUP(B488,'Player Data'!$A1:$AE734,15,FALSE)*$Q488</f>
        <v>67.122539771271278</v>
      </c>
      <c r="AB488" s="41">
        <f>VLOOKUP(B488,'Player Data'!$A1:$AE734,16,FALSE)*$Q488</f>
        <v>164.71864453378683</v>
      </c>
      <c r="AC488" s="41">
        <f>VLOOKUP(B488,'Player Data'!$A1:$AE734,17,FALSE)*$Q488*IFERROR((VLOOKUP(P488,Settings!$E$28:$F$33,2,FALSE)+1),1)</f>
        <v>-7.4233919840338887</v>
      </c>
      <c r="AD488" s="41">
        <f>VLOOKUP(B488,'Player Data'!$A1:$AE734,18,FALSE)*$Q488</f>
        <v>73.288027635610163</v>
      </c>
      <c r="AE488" s="41">
        <f>VLOOKUP(B488,'Player Data'!$A1:$AE734,19,FALSE)*$Q488*IFERROR((VLOOKUP(P488,Settings!$E$28:$F$33,2,FALSE)+1),1)</f>
        <v>0.41804854005838721</v>
      </c>
      <c r="AF488" s="41">
        <f>VLOOKUP(B488,'Player Data'!$A1:$AE734,20,FALSE)*$Q488</f>
        <v>0</v>
      </c>
      <c r="AG488" s="41">
        <f>VLOOKUP(B488,'Player Data'!$A1:$AE734,21,FALSE)*$Q488</f>
        <v>0</v>
      </c>
      <c r="AH488" s="42">
        <f>VLOOKUP(B488,'Player Data'!$A1:$AE734,22,FALSE)</f>
        <v>0</v>
      </c>
      <c r="AI488" s="39"/>
      <c r="AJ488" s="43"/>
      <c r="AK488" s="41"/>
      <c r="AL488" s="41"/>
      <c r="AM488" s="41"/>
      <c r="AN488" s="41"/>
      <c r="AO488" s="41"/>
      <c r="AP488" s="41"/>
      <c r="AQ488" s="44"/>
      <c r="AR488" s="45"/>
      <c r="AS488" s="43"/>
    </row>
    <row r="489" spans="1:45" ht="21.25" customHeight="1" x14ac:dyDescent="0.15">
      <c r="A489" s="31">
        <f>RANK(K489,K$2:K$727)</f>
        <v>488</v>
      </c>
      <c r="B489" s="8" t="s">
        <v>593</v>
      </c>
      <c r="C489" s="32" t="s">
        <v>106</v>
      </c>
      <c r="D489" s="33" t="str">
        <f>VLOOKUP(B489,'Player Data'!A1:D734,4,FALSE)</f>
        <v>C</v>
      </c>
      <c r="E489" s="34">
        <f>VLOOKUP(B489,'C'!A1:C211,3,FALSE)</f>
        <v>115</v>
      </c>
      <c r="F489" s="35" t="str">
        <f>VLOOKUP(B489,'Player Data'!A1:B734,2,FALSE)</f>
        <v>FLA</v>
      </c>
      <c r="G489" s="9">
        <f>VLOOKUP(B489,'Player Data'!A1:D734,3,FALSE)</f>
        <v>24</v>
      </c>
      <c r="H489" s="36">
        <f>IFERROR(VLOOKUP(B489,ADP!A1:G728,7,FALSE)/1000000,VLOOKUP(B489,ADP!A1:G728,7,FALSE))</f>
        <v>2.625</v>
      </c>
      <c r="I489" s="37">
        <f>IF(Settings!$E$15="POINTS",((R489*Q489)*Settings!$B$12)+(S489*Settings!$B$2)+(T489*Settings!$B$3)+(U489*Settings!$B$4)+(V489*Settings!$B$5)+(X489*Settings!$B$9)+(AA489*Settings!$B$6)+(W489*Settings!$B$8)+(AB489*Settings!$B$7)+(AC489*Settings!$B$14)+(AD489*Settings!$B$15)+(AE489*Settings!$B$16)+(AF489*Settings!$B$17)+(AG489*Settings!$B$18)+(Y489*Settings!$B$10)+(Z489*Settings!$B$11),VLOOKUP(B489,'Standard Deviations'!A1:C728,3,FALSE))</f>
        <v>176.98180235294106</v>
      </c>
      <c r="J489" s="38">
        <f>IF(D489="G",I489/AJ489,I489/Q489)</f>
        <v>2.2199631159204891</v>
      </c>
      <c r="K489" s="37">
        <f>IF(Settings!$E$18="C/LW/RW",VLOOKUP(B489,'C'!A1:F211,6,FALSE),VLOOKUP(B489,F!A1:F430,6,FALSE))</f>
        <v>-216.3470034132686</v>
      </c>
      <c r="L489" s="37">
        <f>IFERROR(K489/H489,"N/A")</f>
        <v>-82.417906062197559</v>
      </c>
      <c r="M489" s="53" t="str">
        <f>IF(Settings!$E$9="YAHOO",VLOOKUP(B489,ADP!A1:E728,2,FALSE),IF(Settings!$E$9="ESPN",VLOOKUP(B489,ADP!A1:E728,3,FALSE),IF(Settings!$E$9="FANTRAX",VLOOKUP(B489,ADP!A1:E728,4,FALSE),VLOOKUP(B489,ADP!A1:E728,5,FALSE))))</f>
        <v>-</v>
      </c>
      <c r="N489" s="53" t="str">
        <f>IFERROR(M489-A489,"N/A")</f>
        <v>N/A</v>
      </c>
      <c r="O489" s="39"/>
      <c r="P489" s="40" t="str">
        <f>IF(Settings!$E$27="ON",VLOOKUP(B489,ADP!A1:H728,8,FALSE)," ")</f>
        <v xml:space="preserve"> </v>
      </c>
      <c r="Q489" s="41">
        <f>IF(Settings!$E$12="YES",VLOOKUP(B489,'Player Data'!A1:E734,5,FALSE),82)</f>
        <v>79.722857142857094</v>
      </c>
      <c r="R489" s="39">
        <f>VLOOKUP(B489,'Player Data'!$A1:$AE734,6,FALSE)</f>
        <v>14.9668237148669</v>
      </c>
      <c r="S489" s="41">
        <f>VLOOKUP(B489,'Player Data'!$A1:$AE734,7,FALSE)*$Q489*IFERROR((VLOOKUP(P489,Settings!$E$28:$F$33,2,FALSE)+1),1)</f>
        <v>13.451695790927298</v>
      </c>
      <c r="T489" s="41">
        <f>VLOOKUP(B489,'Player Data'!$A1:$AE734,8,FALSE)*$Q489*IFERROR((VLOOKUP(P489,Settings!$E$28:$F$33,2,FALSE)+1),1)</f>
        <v>21.321383606009451</v>
      </c>
      <c r="U489" s="41">
        <f>SUM(S489:T489)</f>
        <v>34.773079396936751</v>
      </c>
      <c r="V489" s="41">
        <f>VLOOKUP(B489,'Player Data'!$A1:$AE734,10,FALSE)*$Q489*IFERROR(((VLOOKUP(P489,Settings!$E$28:$F$33,2,FALSE)/2)+1),1)</f>
        <v>112.86699447419339</v>
      </c>
      <c r="W489" s="41">
        <f>VLOOKUP(B489,'Player Data'!$A1:$AE734,11,FALSE)*$Q489*IFERROR((VLOOKUP(P489,Settings!$E$28:$F$33,2,FALSE)+1),1)</f>
        <v>0.79170573190291649</v>
      </c>
      <c r="X489" s="41">
        <f>VLOOKUP(B489,'Player Data'!$A1:$AE734,12,FALSE)*$Q489*IFERROR((VLOOKUP(P489,Settings!$E$28:$F$33,2,FALSE)+1),1)</f>
        <v>2.1377818438810094</v>
      </c>
      <c r="Y489" s="41">
        <f>VLOOKUP(B489,'Player Data'!$A1:$AE734,13,FALSE)*$Q489</f>
        <v>0.69916893277662373</v>
      </c>
      <c r="Z489" s="41">
        <f>VLOOKUP(B489,'Player Data'!$A1:$AE734,14,FALSE)*$Q489</f>
        <v>1.0945155575027916</v>
      </c>
      <c r="AA489" s="41">
        <f>VLOOKUP(B489,'Player Data'!$A1:$AE734,15,FALSE)*$Q489</f>
        <v>48.82236061133262</v>
      </c>
      <c r="AB489" s="41">
        <f>VLOOKUP(B489,'Player Data'!$A1:$AE734,16,FALSE)*$Q489</f>
        <v>76.390318059241167</v>
      </c>
      <c r="AC489" s="41">
        <f>VLOOKUP(B489,'Player Data'!$A1:$AE734,17,FALSE)*$Q489*IFERROR((VLOOKUP(P489,Settings!$E$28:$F$33,2,FALSE)+1),1)</f>
        <v>4.5692594882615083</v>
      </c>
      <c r="AD489" s="41">
        <f>VLOOKUP(B489,'Player Data'!$A1:$AE734,18,FALSE)*$Q489</f>
        <v>23.255539817890764</v>
      </c>
      <c r="AE489" s="41">
        <f>VLOOKUP(B489,'Player Data'!$A1:$AE734,19,FALSE)*$Q489*IFERROR((VLOOKUP(P489,Settings!$E$28:$F$33,2,FALSE)+1),1)</f>
        <v>1.9296764442947256</v>
      </c>
      <c r="AF489" s="41">
        <f>VLOOKUP(B489,'Player Data'!$A1:$AE734,20,FALSE)*$Q489</f>
        <v>202.81671898280297</v>
      </c>
      <c r="AG489" s="41">
        <f>VLOOKUP(B489,'Player Data'!$A1:$AE734,21,FALSE)*$Q489</f>
        <v>279.42369721059629</v>
      </c>
      <c r="AH489" s="42">
        <f>VLOOKUP(B489,'Player Data'!$A1:$AE734,22,FALSE)</f>
        <v>0.42057179815775603</v>
      </c>
      <c r="AI489" s="39"/>
      <c r="AJ489" s="43"/>
      <c r="AK489" s="41"/>
      <c r="AL489" s="41"/>
      <c r="AM489" s="41"/>
      <c r="AN489" s="41"/>
      <c r="AO489" s="41"/>
      <c r="AP489" s="41"/>
      <c r="AQ489" s="44"/>
      <c r="AR489" s="45"/>
      <c r="AS489" s="39"/>
    </row>
    <row r="490" spans="1:45" ht="21.25" customHeight="1" x14ac:dyDescent="0.15">
      <c r="A490" s="31">
        <f>RANK(K490,K$2:K$727)</f>
        <v>489</v>
      </c>
      <c r="B490" s="8" t="s">
        <v>594</v>
      </c>
      <c r="C490" s="32" t="s">
        <v>106</v>
      </c>
      <c r="D490" s="33" t="str">
        <f>VLOOKUP(B490,'Player Data'!A1:D734,4,FALSE)</f>
        <v>RW</v>
      </c>
      <c r="E490" s="46">
        <f>VLOOKUP(B490,RW!A1:F97,3,FALSE)</f>
        <v>69</v>
      </c>
      <c r="F490" s="35" t="str">
        <f>VLOOKUP(B490,'Player Data'!A1:B734,2,FALSE)</f>
        <v>BUF</v>
      </c>
      <c r="G490" s="9">
        <f>VLOOKUP(B490,'Player Data'!A1:D734,3,FALSE)</f>
        <v>21</v>
      </c>
      <c r="H490" s="36">
        <f>IFERROR(VLOOKUP(B490,ADP!A1:G728,7,FALSE)/1000000,VLOOKUP(B490,ADP!A1:G728,7,FALSE))</f>
        <v>0.86333300000000002</v>
      </c>
      <c r="I490" s="37">
        <f>IF(Settings!$E$15="POINTS",((R490*Q490)*Settings!$B$12)+(S490*Settings!$B$2)+(T490*Settings!$B$3)+(U490*Settings!$B$4)+(V490*Settings!$B$5)+(X490*Settings!$B$9)+(AA490*Settings!$B$6)+(W490*Settings!$B$8)+(AB490*Settings!$B$7)+(AC490*Settings!$B$14)+(AD490*Settings!$B$15)+(AE490*Settings!$B$16)+(AF490*Settings!$B$17)+(AG490*Settings!$B$18)+(Y490*Settings!$B$10)+(Z490*Settings!$B$11),VLOOKUP(B490,'Standard Deviations'!A1:C728,3,FALSE))</f>
        <v>133.6315666100929</v>
      </c>
      <c r="J490" s="38">
        <f>IF(D490="G",I490/AJ490,I490/Q490)</f>
        <v>2.672631332201858</v>
      </c>
      <c r="K490" s="37">
        <f>IF(Settings!$E$18="C/LW/RW",VLOOKUP(B490,RW!A1:F97,6,FALSE),VLOOKUP(B490,F!A1:F430,6,FALSE))</f>
        <v>-216.63997393779667</v>
      </c>
      <c r="L490" s="37">
        <f>IFERROR(K490/H490,"N/A")</f>
        <v>-250.93442963236279</v>
      </c>
      <c r="M490" s="53" t="str">
        <f>IF(Settings!$E$9="YAHOO",VLOOKUP(B490,ADP!A1:E728,2,FALSE),IF(Settings!$E$9="ESPN",VLOOKUP(B490,ADP!A1:E728,3,FALSE),IF(Settings!$E$9="FANTRAX",VLOOKUP(B490,ADP!A1:E728,4,FALSE),VLOOKUP(B490,ADP!A1:E728,5,FALSE))))</f>
        <v>-</v>
      </c>
      <c r="N490" s="53" t="str">
        <f>IFERROR(M490-A490,"N/A")</f>
        <v>N/A</v>
      </c>
      <c r="O490" s="39"/>
      <c r="P490" s="40" t="str">
        <f>IF(Settings!$E$27="ON",VLOOKUP(B490,ADP!A1:H728,8,FALSE)," ")</f>
        <v xml:space="preserve"> </v>
      </c>
      <c r="Q490" s="41">
        <f>IF(Settings!$E$12="YES",VLOOKUP(B490,'Player Data'!A1:E734,5,FALSE),82)</f>
        <v>50</v>
      </c>
      <c r="R490" s="39">
        <f>VLOOKUP(B490,'Player Data'!$A1:$AE734,6,FALSE)</f>
        <v>14.0614844163012</v>
      </c>
      <c r="S490" s="41">
        <f>VLOOKUP(B490,'Player Data'!$A1:$AE734,7,FALSE)*$Q490*IFERROR((VLOOKUP(P490,Settings!$E$28:$F$33,2,FALSE)+1),1)</f>
        <v>10.4667061886231</v>
      </c>
      <c r="T490" s="41">
        <f>VLOOKUP(B490,'Player Data'!$A1:$AE734,8,FALSE)*$Q490*IFERROR((VLOOKUP(P490,Settings!$E$28:$F$33,2,FALSE)+1),1)</f>
        <v>15.7499380741876</v>
      </c>
      <c r="U490" s="41">
        <f>SUM(S490:T490)</f>
        <v>26.2166442628107</v>
      </c>
      <c r="V490" s="41">
        <f>VLOOKUP(B490,'Player Data'!$A1:$AE734,10,FALSE)*$Q490*IFERROR(((VLOOKUP(P490,Settings!$E$28:$F$33,2,FALSE)/2)+1),1)</f>
        <v>85.565538945176002</v>
      </c>
      <c r="W490" s="41">
        <f>VLOOKUP(B490,'Player Data'!$A1:$AE734,11,FALSE)*$Q490*IFERROR((VLOOKUP(P490,Settings!$E$28:$F$33,2,FALSE)+1),1)</f>
        <v>1.44444355275405</v>
      </c>
      <c r="X490" s="41">
        <f>VLOOKUP(B490,'Player Data'!$A1:$AE734,12,FALSE)*$Q490*IFERROR((VLOOKUP(P490,Settings!$E$28:$F$33,2,FALSE)+1),1)</f>
        <v>4.3680589434955852</v>
      </c>
      <c r="Y490" s="41">
        <f>VLOOKUP(B490,'Player Data'!$A1:$AE734,13,FALSE)*$Q490</f>
        <v>3.7535540934818049E-2</v>
      </c>
      <c r="Z490" s="41">
        <f>VLOOKUP(B490,'Player Data'!$A1:$AE734,14,FALSE)*$Q490</f>
        <v>0.24410631435785651</v>
      </c>
      <c r="AA490" s="41">
        <f>VLOOKUP(B490,'Player Data'!$A1:$AE734,15,FALSE)*$Q490</f>
        <v>14.872669166829699</v>
      </c>
      <c r="AB490" s="41">
        <f>VLOOKUP(B490,'Player Data'!$A1:$AE734,16,FALSE)*$Q490</f>
        <v>37.501550539554003</v>
      </c>
      <c r="AC490" s="41">
        <f>VLOOKUP(B490,'Player Data'!$A1:$AE734,17,FALSE)*$Q490*IFERROR((VLOOKUP(P490,Settings!$E$28:$F$33,2,FALSE)+1),1)</f>
        <v>-0.52481326963761499</v>
      </c>
      <c r="AD490" s="41">
        <f>VLOOKUP(B490,'Player Data'!$A1:$AE734,18,FALSE)*$Q490</f>
        <v>12.635597841579148</v>
      </c>
      <c r="AE490" s="41">
        <f>VLOOKUP(B490,'Player Data'!$A1:$AE734,19,FALSE)*$Q490*IFERROR((VLOOKUP(P490,Settings!$E$28:$F$33,2,FALSE)+1),1)</f>
        <v>1.3488268732428901</v>
      </c>
      <c r="AF490" s="41">
        <f>VLOOKUP(B490,'Player Data'!$A1:$AE734,20,FALSE)*$Q490</f>
        <v>7.2313955815441009</v>
      </c>
      <c r="AG490" s="41">
        <f>VLOOKUP(B490,'Player Data'!$A1:$AE734,21,FALSE)*$Q490</f>
        <v>14.978252710699399</v>
      </c>
      <c r="AH490" s="42">
        <f>VLOOKUP(B490,'Player Data'!$A1:$AE734,22,FALSE)</f>
        <v>0.32559703271256102</v>
      </c>
      <c r="AI490" s="39"/>
      <c r="AJ490" s="43"/>
      <c r="AK490" s="41"/>
      <c r="AL490" s="41"/>
      <c r="AM490" s="41"/>
      <c r="AN490" s="41"/>
      <c r="AO490" s="41"/>
      <c r="AP490" s="41"/>
      <c r="AQ490" s="44"/>
      <c r="AR490" s="45"/>
      <c r="AS490" s="39"/>
    </row>
    <row r="491" spans="1:45" ht="21.25" customHeight="1" x14ac:dyDescent="0.15">
      <c r="A491" s="31">
        <f>RANK(K491,K$2:K$727)</f>
        <v>490</v>
      </c>
      <c r="B491" s="8" t="s">
        <v>595</v>
      </c>
      <c r="C491" s="32" t="s">
        <v>106</v>
      </c>
      <c r="D491" s="33" t="str">
        <f>VLOOKUP(B491,'Player Data'!A1:D734,4,FALSE)</f>
        <v>LW</v>
      </c>
      <c r="E491" s="47">
        <f>VLOOKUP(B491,LW!A1:C130,3,FALSE)</f>
        <v>86</v>
      </c>
      <c r="F491" s="35" t="str">
        <f>VLOOKUP(B491,'Player Data'!A1:B734,2,FALSE)</f>
        <v>SEA</v>
      </c>
      <c r="G491" s="9">
        <f>VLOOKUP(B491,'Player Data'!A1:D734,3,FALSE)</f>
        <v>31</v>
      </c>
      <c r="H491" s="36">
        <f>IFERROR(VLOOKUP(B491,ADP!A1:G728,7,FALSE)/1000000,VLOOKUP(B491,ADP!A1:G728,7,FALSE))</f>
        <v>3.5</v>
      </c>
      <c r="I491" s="37">
        <f>IF(Settings!$E$15="POINTS",((R491*Q491)*Settings!$B$12)+(S491*Settings!$B$2)+(T491*Settings!$B$3)+(U491*Settings!$B$4)+(V491*Settings!$B$5)+(X491*Settings!$B$9)+(AA491*Settings!$B$6)+(W491*Settings!$B$8)+(AB491*Settings!$B$7)+(AC491*Settings!$B$14)+(AD491*Settings!$B$15)+(AE491*Settings!$B$16)+(AF491*Settings!$B$17)+(AG491*Settings!$B$18)+(Y491*Settings!$B$10)+(Z491*Settings!$B$11),VLOOKUP(B491,'Standard Deviations'!A1:C728,3,FALSE))</f>
        <v>147.30347641061476</v>
      </c>
      <c r="J491" s="38">
        <f>IF(D491="G",I491/AJ491,I491/Q491)</f>
        <v>2.0688690507108816</v>
      </c>
      <c r="K491" s="37">
        <f>IF(Settings!$E$18="C/LW/RW",VLOOKUP(B491,LW!A1:F130,6,FALSE),VLOOKUP(B491,F!A1:F430,6,FALSE))</f>
        <v>-216.7371284470357</v>
      </c>
      <c r="L491" s="37">
        <f>IFERROR(K491/H491,"N/A")</f>
        <v>-61.924893842010199</v>
      </c>
      <c r="M491" s="39">
        <f>IF(Settings!$E$9="YAHOO",VLOOKUP(B491,ADP!A1:E728,2,FALSE),IF(Settings!$E$9="ESPN",VLOOKUP(B491,ADP!A1:E728,3,FALSE),IF(Settings!$E$9="FANTRAX",VLOOKUP(B491,ADP!A1:E728,4,FALSE),VLOOKUP(B491,ADP!A1:E728,5,FALSE))))</f>
        <v>161.6</v>
      </c>
      <c r="N491" s="39">
        <f>IFERROR(M491-A491,"N/A")</f>
        <v>-328.4</v>
      </c>
      <c r="O491" s="39"/>
      <c r="P491" s="40" t="str">
        <f>IF(Settings!$E$27="ON",VLOOKUP(B491,ADP!A1:H728,8,FALSE)," ")</f>
        <v xml:space="preserve"> </v>
      </c>
      <c r="Q491" s="41">
        <f>IF(Settings!$E$12="YES",VLOOKUP(B491,'Player Data'!A1:E734,5,FALSE),82)</f>
        <v>71.2</v>
      </c>
      <c r="R491" s="39">
        <f>VLOOKUP(B491,'Player Data'!$A1:$AE734,6,FALSE)</f>
        <v>14.182909283536601</v>
      </c>
      <c r="S491" s="41">
        <f>VLOOKUP(B491,'Player Data'!$A1:$AE734,7,FALSE)*$Q491*IFERROR((VLOOKUP(P491,Settings!$E$28:$F$33,2,FALSE)+1),1)</f>
        <v>12.630854491824845</v>
      </c>
      <c r="T491" s="41">
        <f>VLOOKUP(B491,'Player Data'!$A1:$AE734,8,FALSE)*$Q491*IFERROR((VLOOKUP(P491,Settings!$E$28:$F$33,2,FALSE)+1),1)</f>
        <v>14.84358034520236</v>
      </c>
      <c r="U491" s="41">
        <f>SUM(S491:T491)</f>
        <v>27.474434837027204</v>
      </c>
      <c r="V491" s="41">
        <f>VLOOKUP(B491,'Player Data'!$A1:$AE734,10,FALSE)*$Q491*IFERROR(((VLOOKUP(P491,Settings!$E$28:$F$33,2,FALSE)/2)+1),1)</f>
        <v>100.38615834413079</v>
      </c>
      <c r="W491" s="41">
        <f>VLOOKUP(B491,'Player Data'!$A1:$AE734,11,FALSE)*$Q491*IFERROR((VLOOKUP(P491,Settings!$E$28:$F$33,2,FALSE)+1),1)</f>
        <v>9.9010348218589783E-2</v>
      </c>
      <c r="X491" s="41">
        <f>VLOOKUP(B491,'Player Data'!$A1:$AE734,12,FALSE)*$Q491*IFERROR((VLOOKUP(P491,Settings!$E$28:$F$33,2,FALSE)+1),1)</f>
        <v>0.17061220981584532</v>
      </c>
      <c r="Y491" s="41">
        <f>VLOOKUP(B491,'Player Data'!$A1:$AE734,13,FALSE)*$Q491</f>
        <v>1.2023317131251732</v>
      </c>
      <c r="Z491" s="41">
        <f>VLOOKUP(B491,'Player Data'!$A1:$AE734,14,FALSE)*$Q491</f>
        <v>1.5193773007421092</v>
      </c>
      <c r="AA491" s="41">
        <f>VLOOKUP(B491,'Player Data'!$A1:$AE734,15,FALSE)*$Q491</f>
        <v>56.53556853175931</v>
      </c>
      <c r="AB491" s="41">
        <f>VLOOKUP(B491,'Player Data'!$A1:$AE734,16,FALSE)*$Q491</f>
        <v>164.91104307420301</v>
      </c>
      <c r="AC491" s="41">
        <f>VLOOKUP(B491,'Player Data'!$A1:$AE734,17,FALSE)*$Q491*IFERROR((VLOOKUP(P491,Settings!$E$28:$F$33,2,FALSE)+1),1)</f>
        <v>0.80924572572844555</v>
      </c>
      <c r="AD491" s="41">
        <f>VLOOKUP(B491,'Player Data'!$A1:$AE734,18,FALSE)*$Q491</f>
        <v>28.196076522197711</v>
      </c>
      <c r="AE491" s="41">
        <f>VLOOKUP(B491,'Player Data'!$A1:$AE734,19,FALSE)*$Q491*IFERROR((VLOOKUP(P491,Settings!$E$28:$F$33,2,FALSE)+1),1)</f>
        <v>1.7754052371960101</v>
      </c>
      <c r="AF491" s="41">
        <f>VLOOKUP(B491,'Player Data'!$A1:$AE734,20,FALSE)*$Q491</f>
        <v>4.5410301592670832</v>
      </c>
      <c r="AG491" s="41">
        <f>VLOOKUP(B491,'Player Data'!$A1:$AE734,21,FALSE)*$Q491</f>
        <v>16.141172485827202</v>
      </c>
      <c r="AH491" s="42">
        <f>VLOOKUP(B491,'Player Data'!$A1:$AE734,22,FALSE)</f>
        <v>0.219562211878056</v>
      </c>
      <c r="AI491" s="39"/>
      <c r="AJ491" s="43"/>
      <c r="AK491" s="41"/>
      <c r="AL491" s="41"/>
      <c r="AM491" s="41"/>
      <c r="AN491" s="41"/>
      <c r="AO491" s="41"/>
      <c r="AP491" s="41"/>
      <c r="AQ491" s="44"/>
      <c r="AR491" s="45"/>
      <c r="AS491" s="39"/>
    </row>
    <row r="492" spans="1:45" ht="21.25" customHeight="1" x14ac:dyDescent="0.15">
      <c r="A492" s="31">
        <f>RANK(K492,K$2:K$727)</f>
        <v>491</v>
      </c>
      <c r="B492" s="8" t="s">
        <v>596</v>
      </c>
      <c r="C492" s="32" t="s">
        <v>106</v>
      </c>
      <c r="D492" s="33" t="str">
        <f>VLOOKUP(B492,'Player Data'!A1:D734,4,FALSE)</f>
        <v>D</v>
      </c>
      <c r="E492" s="49">
        <f>VLOOKUP(B492,D!A1:C227,3,FALSE)</f>
        <v>180</v>
      </c>
      <c r="F492" s="35" t="str">
        <f>VLOOKUP(B492,'Player Data'!A1:B734,2,FALSE)</f>
        <v>DET</v>
      </c>
      <c r="G492" s="9">
        <f>VLOOKUP(B492,'Player Data'!A1:D734,3,FALSE)</f>
        <v>28</v>
      </c>
      <c r="H492" s="36">
        <f>IFERROR(VLOOKUP(B492,ADP!A1:G728,7,FALSE)/1000000,VLOOKUP(B492,ADP!A1:G728,7,FALSE))</f>
        <v>3</v>
      </c>
      <c r="I492" s="37">
        <f>IF(Settings!$E$15="POINTS",((R492*Q492)*Settings!$B$12)+(S492*Settings!$B$2)+(T492*Settings!$B$3)+(U492*Settings!$B$4)+(V492*Settings!$B$5)+(X492*Settings!$B$9)+(AA492*Settings!$B$6)+(W492*Settings!$B$8)+(AB492*Settings!$B$7)+(AC492*Settings!$B$14)+(AD492*Settings!$B$15)+(AE492*Settings!$B$16)+(AF492*Settings!$B$17)+(AG492*Settings!$B$18)+(U492*Settings!$B$13)+(Y492*Settings!$B$10)+(Z492*Settings!$B$11),VLOOKUP(B492,'Standard Deviations'!A1:C728,3,FALSE))</f>
        <v>94.692688610248425</v>
      </c>
      <c r="J492" s="38">
        <f>IF(D492="G",I492/AJ492,I492/Q492)</f>
        <v>1.2309970383808402</v>
      </c>
      <c r="K492" s="37">
        <f>VLOOKUP(B492,D!A1:F227,6,FALSE)</f>
        <v>-216.87279301767904</v>
      </c>
      <c r="L492" s="37">
        <f>IFERROR(K492/H492,"N/A")</f>
        <v>-72.290931005893015</v>
      </c>
      <c r="M492" s="53" t="str">
        <f>IF(Settings!$E$9="YAHOO",VLOOKUP(B492,ADP!A1:E728,2,FALSE),IF(Settings!$E$9="ESPN",VLOOKUP(B492,ADP!A1:E728,3,FALSE),IF(Settings!$E$9="FANTRAX",VLOOKUP(B492,ADP!A1:E728,4,FALSE),VLOOKUP(B492,ADP!A1:E728,5,FALSE))))</f>
        <v>-</v>
      </c>
      <c r="N492" s="53" t="str">
        <f>IFERROR(M492-A492,"N/A")</f>
        <v>N/A</v>
      </c>
      <c r="O492" s="39"/>
      <c r="P492" s="40" t="str">
        <f>IF(Settings!$E$27="ON",VLOOKUP(B492,ADP!A1:H728,8,FALSE)," ")</f>
        <v xml:space="preserve"> </v>
      </c>
      <c r="Q492" s="41">
        <f>IF(Settings!$E$12="YES",VLOOKUP(B492,'Player Data'!A1:E734,5,FALSE),82)</f>
        <v>76.923571428571407</v>
      </c>
      <c r="R492" s="39">
        <f>VLOOKUP(B492,'Player Data'!$A1:$AE734,6,FALSE)</f>
        <v>15.7099611391567</v>
      </c>
      <c r="S492" s="41">
        <f>VLOOKUP(B492,'Player Data'!$A1:$AE734,7,FALSE)*$Q492*IFERROR((VLOOKUP(P492,Settings!$E$28:$F$33,2,FALSE)+1),1)</f>
        <v>3.0423015311275341</v>
      </c>
      <c r="T492" s="41">
        <f>VLOOKUP(B492,'Player Data'!$A1:$AE734,8,FALSE)*$Q492*IFERROR((VLOOKUP(P492,Settings!$E$28:$F$33,2,FALSE)+1),1)</f>
        <v>11.745304162371982</v>
      </c>
      <c r="U492" s="41">
        <f>SUM(S492:T492)</f>
        <v>14.787605693499515</v>
      </c>
      <c r="V492" s="41">
        <f>VLOOKUP(B492,'Player Data'!$A1:$AE734,10,FALSE)*$Q492*IFERROR(((VLOOKUP(P492,Settings!$E$28:$F$33,2,FALSE)/2)+1),1)</f>
        <v>62.304396084627029</v>
      </c>
      <c r="W492" s="41">
        <f>VLOOKUP(B492,'Player Data'!$A1:$AE734,11,FALSE)*$Q492*IFERROR((VLOOKUP(P492,Settings!$E$28:$F$33,2,FALSE)+1),1)</f>
        <v>2.196001024664776E-2</v>
      </c>
      <c r="X492" s="41">
        <f>VLOOKUP(B492,'Player Data'!$A1:$AE734,12,FALSE)*$Q492*IFERROR((VLOOKUP(P492,Settings!$E$28:$F$33,2,FALSE)+1),1)</f>
        <v>0.15142964231107933</v>
      </c>
      <c r="Y492" s="41">
        <f>VLOOKUP(B492,'Player Data'!$A1:$AE734,13,FALSE)*$Q492</f>
        <v>8.921076248898669E-3</v>
      </c>
      <c r="Z492" s="41">
        <f>VLOOKUP(B492,'Player Data'!$A1:$AE734,14,FALSE)*$Q492</f>
        <v>3.3699485854932626E-2</v>
      </c>
      <c r="AA492" s="41">
        <f>VLOOKUP(B492,'Player Data'!$A1:$AE734,15,FALSE)*$Q492</f>
        <v>94.037076155521689</v>
      </c>
      <c r="AB492" s="41">
        <f>VLOOKUP(B492,'Player Data'!$A1:$AE734,16,FALSE)*$Q492</f>
        <v>71.083287305146271</v>
      </c>
      <c r="AC492" s="41">
        <f>VLOOKUP(B492,'Player Data'!$A1:$AE734,17,FALSE)*$Q492*IFERROR((VLOOKUP(P492,Settings!$E$28:$F$33,2,FALSE)+1),1)</f>
        <v>-3.3436743540866138</v>
      </c>
      <c r="AD492" s="41">
        <f>VLOOKUP(B492,'Player Data'!$A1:$AE734,18,FALSE)*$Q492</f>
        <v>14.285136588402723</v>
      </c>
      <c r="AE492" s="41">
        <f>VLOOKUP(B492,'Player Data'!$A1:$AE734,19,FALSE)*$Q492*IFERROR((VLOOKUP(P492,Settings!$E$28:$F$33,2,FALSE)+1),1)</f>
        <v>0.39279567663707193</v>
      </c>
      <c r="AF492" s="41">
        <f>VLOOKUP(B492,'Player Data'!$A1:$AE734,20,FALSE)*$Q492</f>
        <v>0</v>
      </c>
      <c r="AG492" s="41">
        <f>VLOOKUP(B492,'Player Data'!$A1:$AE734,21,FALSE)*$Q492</f>
        <v>0</v>
      </c>
      <c r="AH492" s="42">
        <f>VLOOKUP(B492,'Player Data'!$A1:$AE734,22,FALSE)</f>
        <v>0</v>
      </c>
      <c r="AI492" s="39"/>
      <c r="AJ492" s="43"/>
      <c r="AK492" s="41"/>
      <c r="AL492" s="41"/>
      <c r="AM492" s="41"/>
      <c r="AN492" s="41"/>
      <c r="AO492" s="41"/>
      <c r="AP492" s="41"/>
      <c r="AQ492" s="44"/>
      <c r="AR492" s="45"/>
      <c r="AS492" s="39"/>
    </row>
    <row r="493" spans="1:45" ht="21.25" customHeight="1" x14ac:dyDescent="0.15">
      <c r="A493" s="31">
        <f>RANK(K493,K$2:K$727)</f>
        <v>492</v>
      </c>
      <c r="B493" s="8" t="s">
        <v>597</v>
      </c>
      <c r="C493" s="32" t="s">
        <v>106</v>
      </c>
      <c r="D493" s="33" t="str">
        <f>VLOOKUP(B493,'Player Data'!A1:D734,4,FALSE)</f>
        <v>D</v>
      </c>
      <c r="E493" s="49">
        <f>VLOOKUP(B493,D!A1:C227,3,FALSE)</f>
        <v>181</v>
      </c>
      <c r="F493" s="35" t="str">
        <f>VLOOKUP(B493,'Player Data'!A1:B734,2,FALSE)</f>
        <v>BUF</v>
      </c>
      <c r="G493" s="9">
        <f>VLOOKUP(B493,'Player Data'!A1:D734,3,FALSE)</f>
        <v>24</v>
      </c>
      <c r="H493" s="36">
        <f>IFERROR(VLOOKUP(B493,ADP!A1:G728,7,FALSE)/1000000,VLOOKUP(B493,ADP!A1:G728,7,FALSE))</f>
        <v>2.5</v>
      </c>
      <c r="I493" s="37">
        <f>IF(Settings!$E$15="POINTS",((R493*Q493)*Settings!$B$12)+(S493*Settings!$B$2)+(T493*Settings!$B$3)+(U493*Settings!$B$4)+(V493*Settings!$B$5)+(X493*Settings!$B$9)+(AA493*Settings!$B$6)+(W493*Settings!$B$8)+(AB493*Settings!$B$7)+(AC493*Settings!$B$14)+(AD493*Settings!$B$15)+(AE493*Settings!$B$16)+(AF493*Settings!$B$17)+(AG493*Settings!$B$18)+(U493*Settings!$B$13)+(Y493*Settings!$B$10)+(Z493*Settings!$B$11),VLOOKUP(B493,'Standard Deviations'!A1:C728,3,FALSE))</f>
        <v>92.782017803586598</v>
      </c>
      <c r="J493" s="38">
        <f>IF(D493="G",I493/AJ493,I493/Q493)</f>
        <v>1.3216811652932563</v>
      </c>
      <c r="K493" s="37">
        <f>VLOOKUP(B493,D!A1:F227,6,FALSE)</f>
        <v>-218.78346382434086</v>
      </c>
      <c r="L493" s="37">
        <f>IFERROR(K493/H493,"N/A")</f>
        <v>-87.51338552973634</v>
      </c>
      <c r="M493" s="53" t="str">
        <f>IF(Settings!$E$9="YAHOO",VLOOKUP(B493,ADP!A1:E728,2,FALSE),IF(Settings!$E$9="ESPN",VLOOKUP(B493,ADP!A1:E728,3,FALSE),IF(Settings!$E$9="FANTRAX",VLOOKUP(B493,ADP!A1:E728,4,FALSE),VLOOKUP(B493,ADP!A1:E728,5,FALSE))))</f>
        <v>-</v>
      </c>
      <c r="N493" s="53" t="str">
        <f>IFERROR(M493-A493,"N/A")</f>
        <v>N/A</v>
      </c>
      <c r="O493" s="39"/>
      <c r="P493" s="40" t="str">
        <f>IF(Settings!$E$27="ON",VLOOKUP(B493,ADP!A1:H728,8,FALSE)," ")</f>
        <v xml:space="preserve"> </v>
      </c>
      <c r="Q493" s="41">
        <f>IF(Settings!$E$12="YES",VLOOKUP(B493,'Player Data'!A1:E734,5,FALSE),82)</f>
        <v>70.2</v>
      </c>
      <c r="R493" s="39">
        <f>VLOOKUP(B493,'Player Data'!$A1:$AE734,6,FALSE)</f>
        <v>17.0340037185215</v>
      </c>
      <c r="S493" s="41">
        <f>VLOOKUP(B493,'Player Data'!$A1:$AE734,7,FALSE)*$Q493*IFERROR((VLOOKUP(P493,Settings!$E$28:$F$33,2,FALSE)+1),1)</f>
        <v>3.2660232508367897</v>
      </c>
      <c r="T493" s="41">
        <f>VLOOKUP(B493,'Player Data'!$A1:$AE734,8,FALSE)*$Q493*IFERROR((VLOOKUP(P493,Settings!$E$28:$F$33,2,FALSE)+1),1)</f>
        <v>10.901212628173592</v>
      </c>
      <c r="U493" s="41">
        <f>SUM(S493:T493)</f>
        <v>14.167235879010383</v>
      </c>
      <c r="V493" s="41">
        <f>VLOOKUP(B493,'Player Data'!$A1:$AE734,10,FALSE)*$Q493*IFERROR(((VLOOKUP(P493,Settings!$E$28:$F$33,2,FALSE)/2)+1),1)</f>
        <v>72.68753273685931</v>
      </c>
      <c r="W493" s="41">
        <f>VLOOKUP(B493,'Player Data'!$A1:$AE734,11,FALSE)*$Q493*IFERROR((VLOOKUP(P493,Settings!$E$28:$F$33,2,FALSE)+1),1)</f>
        <v>1.1029855066434641E-2</v>
      </c>
      <c r="X493" s="41">
        <f>VLOOKUP(B493,'Player Data'!$A1:$AE734,12,FALSE)*$Q493*IFERROR((VLOOKUP(P493,Settings!$E$28:$F$33,2,FALSE)+1),1)</f>
        <v>0.17642193444630333</v>
      </c>
      <c r="Y493" s="41">
        <f>VLOOKUP(B493,'Player Data'!$A1:$AE734,13,FALSE)*$Q493</f>
        <v>3.5387374711433287E-2</v>
      </c>
      <c r="Z493" s="41">
        <f>VLOOKUP(B493,'Player Data'!$A1:$AE734,14,FALSE)*$Q493</f>
        <v>0.1362188705664239</v>
      </c>
      <c r="AA493" s="41">
        <f>VLOOKUP(B493,'Player Data'!$A1:$AE734,15,FALSE)*$Q493</f>
        <v>66.556310940501689</v>
      </c>
      <c r="AB493" s="41">
        <f>VLOOKUP(B493,'Player Data'!$A1:$AE734,16,FALSE)*$Q493</f>
        <v>69.067874286697645</v>
      </c>
      <c r="AC493" s="41">
        <f>VLOOKUP(B493,'Player Data'!$A1:$AE734,17,FALSE)*$Q493*IFERROR((VLOOKUP(P493,Settings!$E$28:$F$33,2,FALSE)+1),1)</f>
        <v>-3.0288248221925422</v>
      </c>
      <c r="AD493" s="41">
        <f>VLOOKUP(B493,'Player Data'!$A1:$AE734,18,FALSE)*$Q493</f>
        <v>22.303860735475752</v>
      </c>
      <c r="AE493" s="41">
        <f>VLOOKUP(B493,'Player Data'!$A1:$AE734,19,FALSE)*$Q493*IFERROR((VLOOKUP(P493,Settings!$E$28:$F$33,2,FALSE)+1),1)</f>
        <v>0.42088693902128871</v>
      </c>
      <c r="AF493" s="41">
        <f>VLOOKUP(B493,'Player Data'!$A1:$AE734,20,FALSE)*$Q493</f>
        <v>0</v>
      </c>
      <c r="AG493" s="41">
        <f>VLOOKUP(B493,'Player Data'!$A1:$AE734,21,FALSE)*$Q493</f>
        <v>0</v>
      </c>
      <c r="AH493" s="42">
        <f>VLOOKUP(B493,'Player Data'!$A1:$AE734,22,FALSE)</f>
        <v>0</v>
      </c>
      <c r="AI493" s="39"/>
      <c r="AJ493" s="43"/>
      <c r="AK493" s="41"/>
      <c r="AL493" s="41"/>
      <c r="AM493" s="41"/>
      <c r="AN493" s="41"/>
      <c r="AO493" s="41"/>
      <c r="AP493" s="41"/>
      <c r="AQ493" s="44"/>
      <c r="AR493" s="45"/>
      <c r="AS493" s="39"/>
    </row>
    <row r="494" spans="1:45" ht="21.25" customHeight="1" x14ac:dyDescent="0.15">
      <c r="A494" s="31">
        <f>RANK(K494,K$2:K$727)</f>
        <v>493</v>
      </c>
      <c r="B494" s="8" t="s">
        <v>598</v>
      </c>
      <c r="C494" s="32" t="s">
        <v>106</v>
      </c>
      <c r="D494" s="33" t="str">
        <f>VLOOKUP(B494,'Player Data'!A1:D734,4,FALSE)</f>
        <v>D</v>
      </c>
      <c r="E494" s="49">
        <f>VLOOKUP(B494,D!A1:C227,3,FALSE)</f>
        <v>182</v>
      </c>
      <c r="F494" s="35" t="str">
        <f>VLOOKUP(B494,'Player Data'!A1:B734,2,FALSE)</f>
        <v>UFA</v>
      </c>
      <c r="G494" s="9">
        <f>VLOOKUP(B494,'Player Data'!A1:D734,3,FALSE)</f>
        <v>26</v>
      </c>
      <c r="H494" s="36">
        <f>IFERROR(VLOOKUP(B494,ADP!A1:G728,7,FALSE)/1000000,VLOOKUP(B494,ADP!A1:G728,7,FALSE))</f>
        <v>2.7</v>
      </c>
      <c r="I494" s="37">
        <f>IF(Settings!$E$15="POINTS",((R494*Q494)*Settings!$B$12)+(S494*Settings!$B$2)+(T494*Settings!$B$3)+(U494*Settings!$B$4)+(V494*Settings!$B$5)+(X494*Settings!$B$9)+(AA494*Settings!$B$6)+(W494*Settings!$B$8)+(AB494*Settings!$B$7)+(AC494*Settings!$B$14)+(AD494*Settings!$B$15)+(AE494*Settings!$B$16)+(AF494*Settings!$B$17)+(AG494*Settings!$B$18)+(U494*Settings!$B$13)+(Y494*Settings!$B$10)+(Z494*Settings!$B$11),VLOOKUP(B494,'Standard Deviations'!A1:C728,3,FALSE))</f>
        <v>92.562363932770495</v>
      </c>
      <c r="J494" s="38">
        <f>IF(D494="G",I494/AJ494,I494/Q494)</f>
        <v>1.5427060655461748</v>
      </c>
      <c r="K494" s="37">
        <f>VLOOKUP(B494,D!A1:F227,6,FALSE)</f>
        <v>-219.00311769515696</v>
      </c>
      <c r="L494" s="37">
        <f>IFERROR(K494/H494,"N/A")</f>
        <v>-81.112265813021097</v>
      </c>
      <c r="M494" s="53" t="str">
        <f>IF(Settings!$E$9="YAHOO",VLOOKUP(B494,ADP!A1:E728,2,FALSE),IF(Settings!$E$9="ESPN",VLOOKUP(B494,ADP!A1:E728,3,FALSE),IF(Settings!$E$9="FANTRAX",VLOOKUP(B494,ADP!A1:E728,4,FALSE),VLOOKUP(B494,ADP!A1:E728,5,FALSE))))</f>
        <v>-</v>
      </c>
      <c r="N494" s="53" t="str">
        <f>IFERROR(M494-A494,"N/A")</f>
        <v>N/A</v>
      </c>
      <c r="O494" s="39"/>
      <c r="P494" s="40" t="str">
        <f>IF(Settings!$E$27="ON",VLOOKUP(B494,ADP!A1:H728,8,FALSE)," ")</f>
        <v xml:space="preserve"> </v>
      </c>
      <c r="Q494" s="41">
        <f>IF(Settings!$E$12="YES",VLOOKUP(B494,'Player Data'!A1:E734,5,FALSE),82)</f>
        <v>60</v>
      </c>
      <c r="R494" s="39">
        <f>VLOOKUP(B494,'Player Data'!$A1:$AE734,6,FALSE)</f>
        <v>15.832389442261601</v>
      </c>
      <c r="S494" s="41">
        <f>VLOOKUP(B494,'Player Data'!$A1:$AE734,7,FALSE)*$Q494*IFERROR((VLOOKUP(P494,Settings!$E$28:$F$33,2,FALSE)+1),1)</f>
        <v>3.6770880554576104</v>
      </c>
      <c r="T494" s="41">
        <f>VLOOKUP(B494,'Player Data'!$A1:$AE734,8,FALSE)*$Q494*IFERROR((VLOOKUP(P494,Settings!$E$28:$F$33,2,FALSE)+1),1)</f>
        <v>10.779056035716961</v>
      </c>
      <c r="U494" s="41">
        <f>SUM(S494:T494)</f>
        <v>14.456144091174572</v>
      </c>
      <c r="V494" s="41">
        <f>VLOOKUP(B494,'Player Data'!$A1:$AE734,10,FALSE)*$Q494*IFERROR(((VLOOKUP(P494,Settings!$E$28:$F$33,2,FALSE)/2)+1),1)</f>
        <v>74.254685923642199</v>
      </c>
      <c r="W494" s="41">
        <f>VLOOKUP(B494,'Player Data'!$A1:$AE734,11,FALSE)*$Q494*IFERROR((VLOOKUP(P494,Settings!$E$28:$F$33,2,FALSE)+1),1)</f>
        <v>1.0921233146743559E-2</v>
      </c>
      <c r="X494" s="41">
        <f>VLOOKUP(B494,'Player Data'!$A1:$AE734,12,FALSE)*$Q494*IFERROR((VLOOKUP(P494,Settings!$E$28:$F$33,2,FALSE)+1),1)</f>
        <v>9.96126500053056E-2</v>
      </c>
      <c r="Y494" s="41">
        <f>VLOOKUP(B494,'Player Data'!$A1:$AE734,13,FALSE)*$Q494</f>
        <v>0</v>
      </c>
      <c r="Z494" s="41">
        <f>VLOOKUP(B494,'Player Data'!$A1:$AE734,14,FALSE)*$Q494</f>
        <v>0</v>
      </c>
      <c r="AA494" s="41">
        <f>VLOOKUP(B494,'Player Data'!$A1:$AE734,15,FALSE)*$Q494</f>
        <v>59.336816987075338</v>
      </c>
      <c r="AB494" s="41">
        <f>VLOOKUP(B494,'Player Data'!$A1:$AE734,16,FALSE)*$Q494</f>
        <v>50.132820566438099</v>
      </c>
      <c r="AC494" s="41">
        <f>VLOOKUP(B494,'Player Data'!$A1:$AE734,17,FALSE)*$Q494*IFERROR((VLOOKUP(P494,Settings!$E$28:$F$33,2,FALSE)+1),1)</f>
        <v>0.34055839448483638</v>
      </c>
      <c r="AD494" s="41">
        <f>VLOOKUP(B494,'Player Data'!$A1:$AE734,18,FALSE)*$Q494</f>
        <v>21.515109410472061</v>
      </c>
      <c r="AE494" s="41">
        <f>VLOOKUP(B494,'Player Data'!$A1:$AE734,19,FALSE)*$Q494*IFERROR((VLOOKUP(P494,Settings!$E$28:$F$33,2,FALSE)+1),1)</f>
        <v>0</v>
      </c>
      <c r="AF494" s="41">
        <f>VLOOKUP(B494,'Player Data'!$A1:$AE734,20,FALSE)*$Q494</f>
        <v>0</v>
      </c>
      <c r="AG494" s="41">
        <f>VLOOKUP(B494,'Player Data'!$A1:$AE734,21,FALSE)*$Q494</f>
        <v>0</v>
      </c>
      <c r="AH494" s="42">
        <f>VLOOKUP(B494,'Player Data'!$A1:$AE734,22,FALSE)</f>
        <v>0</v>
      </c>
      <c r="AI494" s="39"/>
      <c r="AJ494" s="43"/>
      <c r="AK494" s="41"/>
      <c r="AL494" s="41"/>
      <c r="AM494" s="41"/>
      <c r="AN494" s="41"/>
      <c r="AO494" s="41"/>
      <c r="AP494" s="41"/>
      <c r="AQ494" s="44"/>
      <c r="AR494" s="45"/>
      <c r="AS494" s="39"/>
    </row>
    <row r="495" spans="1:45" ht="21.25" customHeight="1" x14ac:dyDescent="0.15">
      <c r="A495" s="31">
        <f>RANK(K495,K$2:K$727)</f>
        <v>494</v>
      </c>
      <c r="B495" s="8" t="s">
        <v>599</v>
      </c>
      <c r="C495" s="32" t="s">
        <v>106</v>
      </c>
      <c r="D495" s="33" t="str">
        <f>VLOOKUP(B495,'Player Data'!A1:D734,4,FALSE)</f>
        <v>C</v>
      </c>
      <c r="E495" s="34">
        <f>VLOOKUP(B495,'C'!A1:C211,3,FALSE)</f>
        <v>116</v>
      </c>
      <c r="F495" s="35" t="str">
        <f>VLOOKUP(B495,'Player Data'!A1:B734,2,FALSE)</f>
        <v>CHI</v>
      </c>
      <c r="G495" s="9">
        <f>VLOOKUP(B495,'Player Data'!A1:D734,3,FALSE)</f>
        <v>24</v>
      </c>
      <c r="H495" s="36">
        <f>IFERROR(VLOOKUP(B495,ADP!A1:G728,7,FALSE)/1000000,VLOOKUP(B495,ADP!A1:G728,7,FALSE))</f>
        <v>0.95</v>
      </c>
      <c r="I495" s="37">
        <f>IF(Settings!$E$15="POINTS",((R495*Q495)*Settings!$B$12)+(S495*Settings!$B$2)+(T495*Settings!$B$3)+(U495*Settings!$B$4)+(V495*Settings!$B$5)+(X495*Settings!$B$9)+(AA495*Settings!$B$6)+(W495*Settings!$B$8)+(AB495*Settings!$B$7)+(AC495*Settings!$B$14)+(AD495*Settings!$B$15)+(AE495*Settings!$B$16)+(AF495*Settings!$B$17)+(AG495*Settings!$B$18)+(Y495*Settings!$B$10)+(Z495*Settings!$B$11),VLOOKUP(B495,'Standard Deviations'!A1:C728,3,FALSE))</f>
        <v>173.88244758561291</v>
      </c>
      <c r="J495" s="38">
        <f>IF(D495="G",I495/AJ495,I495/Q495)</f>
        <v>2.3697778205875695</v>
      </c>
      <c r="K495" s="37">
        <f>IF(Settings!$E$18="C/LW/RW",VLOOKUP(B495,'C'!A1:F211,6,FALSE),VLOOKUP(B495,F!A1:F430,6,FALSE))</f>
        <v>-219.44635818059675</v>
      </c>
      <c r="L495" s="37">
        <f>IFERROR(K495/H495,"N/A")</f>
        <v>-230.99616650589132</v>
      </c>
      <c r="M495" s="53" t="str">
        <f>IF(Settings!$E$9="YAHOO",VLOOKUP(B495,ADP!A1:E728,2,FALSE),IF(Settings!$E$9="ESPN",VLOOKUP(B495,ADP!A1:E728,3,FALSE),IF(Settings!$E$9="FANTRAX",VLOOKUP(B495,ADP!A1:E728,4,FALSE),VLOOKUP(B495,ADP!A1:E728,5,FALSE))))</f>
        <v>-</v>
      </c>
      <c r="N495" s="53" t="str">
        <f>IFERROR(M495-A495,"N/A")</f>
        <v>N/A</v>
      </c>
      <c r="O495" s="39"/>
      <c r="P495" s="40" t="str">
        <f>IF(Settings!$E$27="ON",VLOOKUP(B495,ADP!A1:H728,8,FALSE)," ")</f>
        <v xml:space="preserve"> </v>
      </c>
      <c r="Q495" s="41">
        <f>IF(Settings!$E$12="YES",VLOOKUP(B495,'Player Data'!A1:E734,5,FALSE),82)</f>
        <v>73.375</v>
      </c>
      <c r="R495" s="39">
        <f>VLOOKUP(B495,'Player Data'!$A1:$AE734,6,FALSE)</f>
        <v>14.2358377558798</v>
      </c>
      <c r="S495" s="41">
        <f>VLOOKUP(B495,'Player Data'!$A1:$AE734,7,FALSE)*$Q495*IFERROR((VLOOKUP(P495,Settings!$E$28:$F$33,2,FALSE)+1),1)</f>
        <v>16.641010339540021</v>
      </c>
      <c r="T495" s="41">
        <f>VLOOKUP(B495,'Player Data'!$A1:$AE734,8,FALSE)*$Q495*IFERROR((VLOOKUP(P495,Settings!$E$28:$F$33,2,FALSE)+1),1)</f>
        <v>16.252589298048317</v>
      </c>
      <c r="U495" s="41">
        <f>SUM(S495:T495)</f>
        <v>32.893599637588338</v>
      </c>
      <c r="V495" s="41">
        <f>VLOOKUP(B495,'Player Data'!$A1:$AE734,10,FALSE)*$Q495*IFERROR(((VLOOKUP(P495,Settings!$E$28:$F$33,2,FALSE)/2)+1),1)</f>
        <v>127.87527718933416</v>
      </c>
      <c r="W495" s="41">
        <f>VLOOKUP(B495,'Player Data'!$A1:$AE734,11,FALSE)*$Q495*IFERROR((VLOOKUP(P495,Settings!$E$28:$F$33,2,FALSE)+1),1)</f>
        <v>0.48329937047021077</v>
      </c>
      <c r="X495" s="41">
        <f>VLOOKUP(B495,'Player Data'!$A1:$AE734,12,FALSE)*$Q495*IFERROR((VLOOKUP(P495,Settings!$E$28:$F$33,2,FALSE)+1),1)</f>
        <v>1.2272859179566089</v>
      </c>
      <c r="Y495" s="41">
        <f>VLOOKUP(B495,'Player Data'!$A1:$AE734,13,FALSE)*$Q495</f>
        <v>0.25999906092586827</v>
      </c>
      <c r="Z495" s="41">
        <f>VLOOKUP(B495,'Player Data'!$A1:$AE734,14,FALSE)*$Q495</f>
        <v>0.47725758442518484</v>
      </c>
      <c r="AA495" s="41">
        <f>VLOOKUP(B495,'Player Data'!$A1:$AE734,15,FALSE)*$Q495</f>
        <v>39.274615367086241</v>
      </c>
      <c r="AB495" s="41">
        <f>VLOOKUP(B495,'Player Data'!$A1:$AE734,16,FALSE)*$Q495</f>
        <v>54.514575702816032</v>
      </c>
      <c r="AC495" s="41">
        <f>VLOOKUP(B495,'Player Data'!$A1:$AE734,17,FALSE)*$Q495*IFERROR((VLOOKUP(P495,Settings!$E$28:$F$33,2,FALSE)+1),1)</f>
        <v>-4.8712441902163519</v>
      </c>
      <c r="AD495" s="41">
        <f>VLOOKUP(B495,'Player Data'!$A1:$AE734,18,FALSE)*$Q495</f>
        <v>22.051059090826634</v>
      </c>
      <c r="AE495" s="41">
        <f>VLOOKUP(B495,'Player Data'!$A1:$AE734,19,FALSE)*$Q495*IFERROR((VLOOKUP(P495,Settings!$E$28:$F$33,2,FALSE)+1),1)</f>
        <v>1.9500194176363965</v>
      </c>
      <c r="AF495" s="41">
        <f>VLOOKUP(B495,'Player Data'!$A1:$AE734,20,FALSE)*$Q495</f>
        <v>450.92373995445672</v>
      </c>
      <c r="AG495" s="41">
        <f>VLOOKUP(B495,'Player Data'!$A1:$AE734,21,FALSE)*$Q495</f>
        <v>415.05480609444226</v>
      </c>
      <c r="AH495" s="42">
        <f>VLOOKUP(B495,'Player Data'!$A1:$AE734,22,FALSE)</f>
        <v>0.52071005917159796</v>
      </c>
      <c r="AI495" s="39"/>
      <c r="AJ495" s="43"/>
      <c r="AK495" s="41"/>
      <c r="AL495" s="41"/>
      <c r="AM495" s="41"/>
      <c r="AN495" s="41"/>
      <c r="AO495" s="41"/>
      <c r="AP495" s="41"/>
      <c r="AQ495" s="44"/>
      <c r="AR495" s="45"/>
      <c r="AS495" s="39"/>
    </row>
    <row r="496" spans="1:45" ht="21.25" customHeight="1" x14ac:dyDescent="0.15">
      <c r="A496" s="31">
        <f>RANK(K496,K$2:K$727)</f>
        <v>495</v>
      </c>
      <c r="B496" s="8" t="s">
        <v>600</v>
      </c>
      <c r="C496" s="32" t="s">
        <v>106</v>
      </c>
      <c r="D496" s="33" t="str">
        <f>VLOOKUP(B496,'Player Data'!A1:D734,4,FALSE)</f>
        <v>LW</v>
      </c>
      <c r="E496" s="47">
        <f>VLOOKUP(B496,LW!A1:C130,3,FALSE)</f>
        <v>87</v>
      </c>
      <c r="F496" s="35" t="str">
        <f>VLOOKUP(B496,'Player Data'!A1:B734,2,FALSE)</f>
        <v>MIN</v>
      </c>
      <c r="G496" s="9">
        <f>VLOOKUP(B496,'Player Data'!A1:D734,3,FALSE)</f>
        <v>32</v>
      </c>
      <c r="H496" s="36">
        <f>IFERROR(VLOOKUP(B496,ADP!A1:G728,7,FALSE)/1000000,VLOOKUP(B496,ADP!A1:G728,7,FALSE))</f>
        <v>3.1</v>
      </c>
      <c r="I496" s="37">
        <f>IF(Settings!$E$15="POINTS",((R496*Q496)*Settings!$B$12)+(S496*Settings!$B$2)+(T496*Settings!$B$3)+(U496*Settings!$B$4)+(V496*Settings!$B$5)+(X496*Settings!$B$9)+(AA496*Settings!$B$6)+(W496*Settings!$B$8)+(AB496*Settings!$B$7)+(AC496*Settings!$B$14)+(AD496*Settings!$B$15)+(AE496*Settings!$B$16)+(AF496*Settings!$B$17)+(AG496*Settings!$B$18)+(Y496*Settings!$B$10)+(Z496*Settings!$B$11),VLOOKUP(B496,'Standard Deviations'!A1:C728,3,FALSE))</f>
        <v>144.21917738729238</v>
      </c>
      <c r="J496" s="38">
        <f>IF(D496="G",I496/AJ496,I496/Q496)</f>
        <v>1.9121324747705499</v>
      </c>
      <c r="K496" s="37">
        <f>IF(Settings!$E$18="C/LW/RW",VLOOKUP(B496,LW!A1:F130,6,FALSE),VLOOKUP(B496,F!A1:F430,6,FALSE))</f>
        <v>-219.82142747035809</v>
      </c>
      <c r="L496" s="37">
        <f>IFERROR(K496/H496,"N/A")</f>
        <v>-70.910137893663901</v>
      </c>
      <c r="M496" s="53" t="str">
        <f>IF(Settings!$E$9="YAHOO",VLOOKUP(B496,ADP!A1:E728,2,FALSE),IF(Settings!$E$9="ESPN",VLOOKUP(B496,ADP!A1:E728,3,FALSE),IF(Settings!$E$9="FANTRAX",VLOOKUP(B496,ADP!A1:E728,4,FALSE),VLOOKUP(B496,ADP!A1:E728,5,FALSE))))</f>
        <v>-</v>
      </c>
      <c r="N496" s="53" t="str">
        <f>IFERROR(M496-A496,"N/A")</f>
        <v>N/A</v>
      </c>
      <c r="O496" s="39"/>
      <c r="P496" s="40" t="str">
        <f>IF(Settings!$E$27="ON",VLOOKUP(B496,ADP!A1:H728,8,FALSE)," ")</f>
        <v xml:space="preserve"> </v>
      </c>
      <c r="Q496" s="41">
        <f>IF(Settings!$E$12="YES",VLOOKUP(B496,'Player Data'!A1:E734,5,FALSE),82)</f>
        <v>75.423214285714295</v>
      </c>
      <c r="R496" s="39">
        <f>VLOOKUP(B496,'Player Data'!$A1:$AE734,6,FALSE)</f>
        <v>14.1025034171213</v>
      </c>
      <c r="S496" s="41">
        <f>VLOOKUP(B496,'Player Data'!$A1:$AE734,7,FALSE)*$Q496*IFERROR((VLOOKUP(P496,Settings!$E$28:$F$33,2,FALSE)+1),1)</f>
        <v>12.384674251414978</v>
      </c>
      <c r="T496" s="41">
        <f>VLOOKUP(B496,'Player Data'!$A1:$AE734,8,FALSE)*$Q496*IFERROR((VLOOKUP(P496,Settings!$E$28:$F$33,2,FALSE)+1),1)</f>
        <v>15.889666315130009</v>
      </c>
      <c r="U496" s="41">
        <f>SUM(S496:T496)</f>
        <v>28.274340566544986</v>
      </c>
      <c r="V496" s="41">
        <f>VLOOKUP(B496,'Player Data'!$A1:$AE734,10,FALSE)*$Q496*IFERROR(((VLOOKUP(P496,Settings!$E$28:$F$33,2,FALSE)/2)+1),1)</f>
        <v>91.462336068082905</v>
      </c>
      <c r="W496" s="41">
        <f>VLOOKUP(B496,'Player Data'!$A1:$AE734,11,FALSE)*$Q496*IFERROR((VLOOKUP(P496,Settings!$E$28:$F$33,2,FALSE)+1),1)</f>
        <v>1.0159780787439974</v>
      </c>
      <c r="X496" s="41">
        <f>VLOOKUP(B496,'Player Data'!$A1:$AE734,12,FALSE)*$Q496*IFERROR((VLOOKUP(P496,Settings!$E$28:$F$33,2,FALSE)+1),1)</f>
        <v>2.4330115232862535</v>
      </c>
      <c r="Y496" s="41">
        <f>VLOOKUP(B496,'Player Data'!$A1:$AE734,13,FALSE)*$Q496</f>
        <v>0.20102600989568412</v>
      </c>
      <c r="Z496" s="41">
        <f>VLOOKUP(B496,'Player Data'!$A1:$AE734,14,FALSE)*$Q496</f>
        <v>0.26894836151915663</v>
      </c>
      <c r="AA496" s="41">
        <f>VLOOKUP(B496,'Player Data'!$A1:$AE734,15,FALSE)*$Q496</f>
        <v>41.30533942002571</v>
      </c>
      <c r="AB496" s="41">
        <f>VLOOKUP(B496,'Player Data'!$A1:$AE734,16,FALSE)*$Q496</f>
        <v>225.71207324925038</v>
      </c>
      <c r="AC496" s="41">
        <f>VLOOKUP(B496,'Player Data'!$A1:$AE734,17,FALSE)*$Q496*IFERROR((VLOOKUP(P496,Settings!$E$28:$F$33,2,FALSE)+1),1)</f>
        <v>2.4875074432591049</v>
      </c>
      <c r="AD496" s="41">
        <f>VLOOKUP(B496,'Player Data'!$A1:$AE734,18,FALSE)*$Q496</f>
        <v>68.146304699636673</v>
      </c>
      <c r="AE496" s="41">
        <f>VLOOKUP(B496,'Player Data'!$A1:$AE734,19,FALSE)*$Q496*IFERROR((VLOOKUP(P496,Settings!$E$28:$F$33,2,FALSE)+1),1)</f>
        <v>1.9886865988563702</v>
      </c>
      <c r="AF496" s="41">
        <f>VLOOKUP(B496,'Player Data'!$A1:$AE734,20,FALSE)*$Q496</f>
        <v>8.0033233837498408</v>
      </c>
      <c r="AG496" s="41">
        <f>VLOOKUP(B496,'Player Data'!$A1:$AE734,21,FALSE)*$Q496</f>
        <v>8.1213469358430714</v>
      </c>
      <c r="AH496" s="42">
        <f>VLOOKUP(B496,'Player Data'!$A1:$AE734,22,FALSE)</f>
        <v>0.49634028014979698</v>
      </c>
      <c r="AI496" s="39"/>
      <c r="AJ496" s="41"/>
      <c r="AK496" s="41"/>
      <c r="AL496" s="41"/>
      <c r="AM496" s="41"/>
      <c r="AN496" s="41"/>
      <c r="AO496" s="41"/>
      <c r="AP496" s="41"/>
      <c r="AQ496" s="44"/>
      <c r="AR496" s="45"/>
      <c r="AS496" s="39"/>
    </row>
    <row r="497" spans="1:45" ht="21.25" customHeight="1" x14ac:dyDescent="0.15">
      <c r="A497" s="31">
        <f>RANK(K497,K$2:K$727)</f>
        <v>496</v>
      </c>
      <c r="B497" s="8" t="s">
        <v>601</v>
      </c>
      <c r="C497" s="32" t="s">
        <v>106</v>
      </c>
      <c r="D497" s="33" t="str">
        <f>VLOOKUP(B497,'Player Data'!A1:D734,4,FALSE)</f>
        <v>LW</v>
      </c>
      <c r="E497" s="47">
        <f>VLOOKUP(B497,LW!A1:C130,3,FALSE)</f>
        <v>88</v>
      </c>
      <c r="F497" s="35" t="str">
        <f>VLOOKUP(B497,'Player Data'!A1:B734,2,FALSE)</f>
        <v>CBJ</v>
      </c>
      <c r="G497" s="9">
        <f>VLOOKUP(B497,'Player Data'!A1:D734,3,FALSE)</f>
        <v>28</v>
      </c>
      <c r="H497" s="36">
        <f>IFERROR(VLOOKUP(B497,ADP!A1:G728,7,FALSE)/1000000,VLOOKUP(B497,ADP!A1:G728,7,FALSE))</f>
        <v>1.6</v>
      </c>
      <c r="I497" s="37">
        <f>IF(Settings!$E$15="POINTS",((R497*Q497)*Settings!$B$12)+(S497*Settings!$B$2)+(T497*Settings!$B$3)+(U497*Settings!$B$4)+(V497*Settings!$B$5)+(X497*Settings!$B$9)+(AA497*Settings!$B$6)+(W497*Settings!$B$8)+(AB497*Settings!$B$7)+(AC497*Settings!$B$14)+(AD497*Settings!$B$15)+(AE497*Settings!$B$16)+(AF497*Settings!$B$17)+(AG497*Settings!$B$18)+(Y497*Settings!$B$10)+(Z497*Settings!$B$11),VLOOKUP(B497,'Standard Deviations'!A1:C728,3,FALSE))</f>
        <v>142.26408174351019</v>
      </c>
      <c r="J497" s="38">
        <f>IF(D497="G",I497/AJ497,I497/Q497)</f>
        <v>1.8194082775651144</v>
      </c>
      <c r="K497" s="37">
        <f>IF(Settings!$E$18="C/LW/RW",VLOOKUP(B497,LW!A1:F130,6,FALSE),VLOOKUP(B497,F!A1:F430,6,FALSE))</f>
        <v>-221.77652311414028</v>
      </c>
      <c r="L497" s="37">
        <f>IFERROR(K497/H497,"N/A")</f>
        <v>-138.61032694633766</v>
      </c>
      <c r="M497" s="53" t="str">
        <f>IF(Settings!$E$9="YAHOO",VLOOKUP(B497,ADP!A1:E728,2,FALSE),IF(Settings!$E$9="ESPN",VLOOKUP(B497,ADP!A1:E728,3,FALSE),IF(Settings!$E$9="FANTRAX",VLOOKUP(B497,ADP!A1:E728,4,FALSE),VLOOKUP(B497,ADP!A1:E728,5,FALSE))))</f>
        <v>-</v>
      </c>
      <c r="N497" s="53" t="str">
        <f>IFERROR(M497-A497,"N/A")</f>
        <v>N/A</v>
      </c>
      <c r="O497" s="39"/>
      <c r="P497" s="40" t="str">
        <f>IF(Settings!$E$27="ON",VLOOKUP(B497,ADP!A1:H728,8,FALSE)," ")</f>
        <v xml:space="preserve"> </v>
      </c>
      <c r="Q497" s="41">
        <f>IF(Settings!$E$12="YES",VLOOKUP(B497,'Player Data'!A1:E734,5,FALSE),82)</f>
        <v>78.192499999999995</v>
      </c>
      <c r="R497" s="39">
        <f>VLOOKUP(B497,'Player Data'!$A1:$AE734,6,FALSE)</f>
        <v>13.371833133198599</v>
      </c>
      <c r="S497" s="41">
        <f>VLOOKUP(B497,'Player Data'!$A1:$AE734,7,FALSE)*$Q497*IFERROR((VLOOKUP(P497,Settings!$E$28:$F$33,2,FALSE)+1),1)</f>
        <v>11.335683563306073</v>
      </c>
      <c r="T497" s="41">
        <f>VLOOKUP(B497,'Player Data'!$A1:$AE734,8,FALSE)*$Q497*IFERROR((VLOOKUP(P497,Settings!$E$28:$F$33,2,FALSE)+1),1)</f>
        <v>14.740932161265897</v>
      </c>
      <c r="U497" s="41">
        <f>SUM(S497:T497)</f>
        <v>26.076615724571973</v>
      </c>
      <c r="V497" s="41">
        <f>VLOOKUP(B497,'Player Data'!$A1:$AE734,10,FALSE)*$Q497*IFERROR(((VLOOKUP(P497,Settings!$E$28:$F$33,2,FALSE)/2)+1),1)</f>
        <v>106.58158542651415</v>
      </c>
      <c r="W497" s="41">
        <f>VLOOKUP(B497,'Player Data'!$A1:$AE734,11,FALSE)*$Q497*IFERROR((VLOOKUP(P497,Settings!$E$28:$F$33,2,FALSE)+1),1)</f>
        <v>1.6345484663958715E-2</v>
      </c>
      <c r="X497" s="41">
        <f>VLOOKUP(B497,'Player Data'!$A1:$AE734,12,FALSE)*$Q497*IFERROR((VLOOKUP(P497,Settings!$E$28:$F$33,2,FALSE)+1),1)</f>
        <v>4.1714088130337688E-2</v>
      </c>
      <c r="Y497" s="41">
        <f>VLOOKUP(B497,'Player Data'!$A1:$AE734,13,FALSE)*$Q497</f>
        <v>0.91943261140287291</v>
      </c>
      <c r="Z497" s="41">
        <f>VLOOKUP(B497,'Player Data'!$A1:$AE734,14,FALSE)*$Q497</f>
        <v>2.1629811072628833</v>
      </c>
      <c r="AA497" s="41">
        <f>VLOOKUP(B497,'Player Data'!$A1:$AE734,15,FALSE)*$Q497</f>
        <v>31.670257328753877</v>
      </c>
      <c r="AB497" s="41">
        <f>VLOOKUP(B497,'Player Data'!$A1:$AE734,16,FALSE)*$Q497</f>
        <v>120.09667906536255</v>
      </c>
      <c r="AC497" s="41">
        <f>VLOOKUP(B497,'Player Data'!$A1:$AE734,17,FALSE)*$Q497*IFERROR((VLOOKUP(P497,Settings!$E$28:$F$33,2,FALSE)+1),1)</f>
        <v>-6.0773545441635406</v>
      </c>
      <c r="AD497" s="41">
        <f>VLOOKUP(B497,'Player Data'!$A1:$AE734,18,FALSE)*$Q497</f>
        <v>14.026039878675485</v>
      </c>
      <c r="AE497" s="41">
        <f>VLOOKUP(B497,'Player Data'!$A1:$AE734,19,FALSE)*$Q497*IFERROR((VLOOKUP(P497,Settings!$E$28:$F$33,2,FALSE)+1),1)</f>
        <v>1.2146965421123728</v>
      </c>
      <c r="AF497" s="41">
        <f>VLOOKUP(B497,'Player Data'!$A1:$AE734,20,FALSE)*$Q497</f>
        <v>4.8238546756961727</v>
      </c>
      <c r="AG497" s="41">
        <f>VLOOKUP(B497,'Player Data'!$A1:$AE734,21,FALSE)*$Q497</f>
        <v>8.4985287273310171</v>
      </c>
      <c r="AH497" s="42">
        <f>VLOOKUP(B497,'Player Data'!$A1:$AE734,22,FALSE)</f>
        <v>0.36208646229173003</v>
      </c>
      <c r="AI497" s="39"/>
      <c r="AJ497" s="43"/>
      <c r="AK497" s="41"/>
      <c r="AL497" s="41"/>
      <c r="AM497" s="41"/>
      <c r="AN497" s="41"/>
      <c r="AO497" s="41"/>
      <c r="AP497" s="41"/>
      <c r="AQ497" s="44"/>
      <c r="AR497" s="45"/>
      <c r="AS497" s="39"/>
    </row>
    <row r="498" spans="1:45" ht="21.25" customHeight="1" x14ac:dyDescent="0.15">
      <c r="A498" s="31">
        <f>RANK(K498,K$2:K$727)</f>
        <v>497</v>
      </c>
      <c r="B498" s="8" t="s">
        <v>602</v>
      </c>
      <c r="C498" s="32" t="s">
        <v>106</v>
      </c>
      <c r="D498" s="33" t="str">
        <f>VLOOKUP(B498,'Player Data'!A1:D734,4,FALSE)</f>
        <v>RW</v>
      </c>
      <c r="E498" s="46">
        <f>VLOOKUP(B498,RW!A1:F97,3,FALSE)</f>
        <v>71</v>
      </c>
      <c r="F498" s="35" t="str">
        <f>VLOOKUP(B498,'Player Data'!A1:B734,2,FALSE)</f>
        <v>NJD</v>
      </c>
      <c r="G498" s="9">
        <f>VLOOKUP(B498,'Player Data'!A1:D734,3,FALSE)</f>
        <v>21</v>
      </c>
      <c r="H498" s="36">
        <f>IFERROR(VLOOKUP(B498,ADP!A1:G728,7,FALSE)/1000000,VLOOKUP(B498,ADP!A1:G728,7,FALSE))</f>
        <v>0</v>
      </c>
      <c r="I498" s="37">
        <f>IF(Settings!$E$15="POINTS",((R498*Q498)*Settings!$B$12)+(S498*Settings!$B$2)+(T498*Settings!$B$3)+(U498*Settings!$B$4)+(V498*Settings!$B$5)+(X498*Settings!$B$9)+(AA498*Settings!$B$6)+(W498*Settings!$B$8)+(AB498*Settings!$B$7)+(AC498*Settings!$B$14)+(AD498*Settings!$B$15)+(AE498*Settings!$B$16)+(AF498*Settings!$B$17)+(AG498*Settings!$B$18)+(Y498*Settings!$B$10)+(Z498*Settings!$B$11),VLOOKUP(B498,'Standard Deviations'!A1:C728,3,FALSE))</f>
        <v>128.30625794486511</v>
      </c>
      <c r="J498" s="38">
        <f>IF(D498="G",I498/AJ498,I498/Q498)</f>
        <v>2.1033812777846741</v>
      </c>
      <c r="K498" s="37">
        <f>IF(Settings!$E$18="C/LW/RW",VLOOKUP(B498,RW!A1:F97,6,FALSE),VLOOKUP(B498,F!A1:F430,6,FALSE))</f>
        <v>-221.96528260302446</v>
      </c>
      <c r="L498" s="52" t="str">
        <f>IFERROR(K498/H498,"N/A")</f>
        <v>N/A</v>
      </c>
      <c r="M498" s="53" t="str">
        <f>IF(Settings!$E$9="YAHOO",VLOOKUP(B498,ADP!A1:E728,2,FALSE),IF(Settings!$E$9="ESPN",VLOOKUP(B498,ADP!A1:E728,3,FALSE),IF(Settings!$E$9="FANTRAX",VLOOKUP(B498,ADP!A1:E728,4,FALSE),VLOOKUP(B498,ADP!A1:E728,5,FALSE))))</f>
        <v>-</v>
      </c>
      <c r="N498" s="53" t="str">
        <f>IFERROR(M498-A498,"N/A")</f>
        <v>N/A</v>
      </c>
      <c r="O498" s="39"/>
      <c r="P498" s="40" t="str">
        <f>IF(Settings!$E$27="ON",VLOOKUP(B498,ADP!A1:H728,8,FALSE)," ")</f>
        <v xml:space="preserve"> </v>
      </c>
      <c r="Q498" s="41">
        <f>IF(Settings!$E$12="YES",VLOOKUP(B498,'Player Data'!A1:E734,5,FALSE),82)</f>
        <v>61</v>
      </c>
      <c r="R498" s="39">
        <f>VLOOKUP(B498,'Player Data'!$A1:$AE734,6,FALSE)</f>
        <v>13.626346150504</v>
      </c>
      <c r="S498" s="41">
        <f>VLOOKUP(B498,'Player Data'!$A1:$AE734,7,FALSE)*$Q498*IFERROR((VLOOKUP(P498,Settings!$E$28:$F$33,2,FALSE)+1),1)</f>
        <v>10.163975171745404</v>
      </c>
      <c r="T498" s="41">
        <f>VLOOKUP(B498,'Player Data'!$A1:$AE734,8,FALSE)*$Q498*IFERROR((VLOOKUP(P498,Settings!$E$28:$F$33,2,FALSE)+1),1)</f>
        <v>12.392441511398424</v>
      </c>
      <c r="U498" s="41">
        <f>SUM(S498:T498)</f>
        <v>22.55641668314383</v>
      </c>
      <c r="V498" s="41">
        <f>VLOOKUP(B498,'Player Data'!$A1:$AE734,10,FALSE)*$Q498*IFERROR(((VLOOKUP(P498,Settings!$E$28:$F$33,2,FALSE)/2)+1),1)</f>
        <v>89.194447130009422</v>
      </c>
      <c r="W498" s="41">
        <f>VLOOKUP(B498,'Player Data'!$A1:$AE734,11,FALSE)*$Q498*IFERROR((VLOOKUP(P498,Settings!$E$28:$F$33,2,FALSE)+1),1)</f>
        <v>3.2288689342313557</v>
      </c>
      <c r="X498" s="41">
        <f>VLOOKUP(B498,'Player Data'!$A1:$AE734,12,FALSE)*$Q498*IFERROR((VLOOKUP(P498,Settings!$E$28:$F$33,2,FALSE)+1),1)</f>
        <v>5.7825821623544762</v>
      </c>
      <c r="Y498" s="41">
        <f>VLOOKUP(B498,'Player Data'!$A1:$AE734,13,FALSE)*$Q498</f>
        <v>0</v>
      </c>
      <c r="Z498" s="41">
        <f>VLOOKUP(B498,'Player Data'!$A1:$AE734,14,FALSE)*$Q498</f>
        <v>0</v>
      </c>
      <c r="AA498" s="41">
        <f>VLOOKUP(B498,'Player Data'!$A1:$AE734,15,FALSE)*$Q498</f>
        <v>22.37310002859985</v>
      </c>
      <c r="AB498" s="41">
        <f>VLOOKUP(B498,'Player Data'!$A1:$AE734,16,FALSE)*$Q498</f>
        <v>58.593116994747639</v>
      </c>
      <c r="AC498" s="41">
        <f>VLOOKUP(B498,'Player Data'!$A1:$AE734,17,FALSE)*$Q498*IFERROR((VLOOKUP(P498,Settings!$E$28:$F$33,2,FALSE)+1),1)</f>
        <v>-0.88952641194557514</v>
      </c>
      <c r="AD498" s="41">
        <f>VLOOKUP(B498,'Player Data'!$A1:$AE734,18,FALSE)*$Q498</f>
        <v>23.48896755286464</v>
      </c>
      <c r="AE498" s="41">
        <f>VLOOKUP(B498,'Player Data'!$A1:$AE734,19,FALSE)*$Q498*IFERROR((VLOOKUP(P498,Settings!$E$28:$F$33,2,FALSE)+1),1)</f>
        <v>1.4960416483802443</v>
      </c>
      <c r="AF498" s="41">
        <f>VLOOKUP(B498,'Player Data'!$A1:$AE734,20,FALSE)*$Q498</f>
        <v>0</v>
      </c>
      <c r="AG498" s="41">
        <f>VLOOKUP(B498,'Player Data'!$A1:$AE734,21,FALSE)*$Q498</f>
        <v>0</v>
      </c>
      <c r="AH498" s="42">
        <f>VLOOKUP(B498,'Player Data'!$A1:$AE734,22,FALSE)</f>
        <v>0</v>
      </c>
      <c r="AI498" s="39"/>
      <c r="AJ498" s="43"/>
      <c r="AK498" s="41"/>
      <c r="AL498" s="41"/>
      <c r="AM498" s="41"/>
      <c r="AN498" s="41"/>
      <c r="AO498" s="41"/>
      <c r="AP498" s="41"/>
      <c r="AQ498" s="44"/>
      <c r="AR498" s="45"/>
      <c r="AS498" s="39"/>
    </row>
    <row r="499" spans="1:45" ht="21.25" customHeight="1" x14ac:dyDescent="0.15">
      <c r="A499" s="31">
        <f>RANK(K499,K$2:K$727)</f>
        <v>498</v>
      </c>
      <c r="B499" s="8" t="s">
        <v>603</v>
      </c>
      <c r="C499" s="32" t="s">
        <v>106</v>
      </c>
      <c r="D499" s="33" t="str">
        <f>VLOOKUP(B499,'Player Data'!A1:D734,4,FALSE)</f>
        <v>C</v>
      </c>
      <c r="E499" s="34">
        <f>VLOOKUP(B499,'C'!A1:C211,3,FALSE)</f>
        <v>117</v>
      </c>
      <c r="F499" s="35" t="str">
        <f>VLOOKUP(B499,'Player Data'!A1:B734,2,FALSE)</f>
        <v>MTL</v>
      </c>
      <c r="G499" s="9">
        <f>VLOOKUP(B499,'Player Data'!A1:D734,3,FALSE)</f>
        <v>27</v>
      </c>
      <c r="H499" s="36">
        <f>IFERROR(VLOOKUP(B499,ADP!A1:G728,7,FALSE)/1000000,VLOOKUP(B499,ADP!A1:G728,7,FALSE))</f>
        <v>4.45</v>
      </c>
      <c r="I499" s="37">
        <f>IF(Settings!$E$15="POINTS",((R499*Q499)*Settings!$B$12)+(S499*Settings!$B$2)+(T499*Settings!$B$3)+(U499*Settings!$B$4)+(V499*Settings!$B$5)+(X499*Settings!$B$9)+(AA499*Settings!$B$6)+(W499*Settings!$B$8)+(AB499*Settings!$B$7)+(AC499*Settings!$B$14)+(AD499*Settings!$B$15)+(AE499*Settings!$B$16)+(AF499*Settings!$B$17)+(AG499*Settings!$B$18)+(Y499*Settings!$B$10)+(Z499*Settings!$B$11),VLOOKUP(B499,'Standard Deviations'!A1:C728,3,FALSE))</f>
        <v>170.82031238749354</v>
      </c>
      <c r="J499" s="38">
        <f>IF(D499="G",I499/AJ499,I499/Q499)</f>
        <v>2.2697357479071689</v>
      </c>
      <c r="K499" s="37">
        <f>IF(Settings!$E$18="C/LW/RW",VLOOKUP(B499,'C'!A1:F211,6,FALSE),VLOOKUP(B499,F!A1:F430,6,FALSE))</f>
        <v>-222.50849337871611</v>
      </c>
      <c r="L499" s="37">
        <f>IFERROR(K499/H499,"N/A")</f>
        <v>-50.001908624430584</v>
      </c>
      <c r="M499" s="53" t="str">
        <f>IF(Settings!$E$9="YAHOO",VLOOKUP(B499,ADP!A1:E728,2,FALSE),IF(Settings!$E$9="ESPN",VLOOKUP(B499,ADP!A1:E728,3,FALSE),IF(Settings!$E$9="FANTRAX",VLOOKUP(B499,ADP!A1:E728,4,FALSE),VLOOKUP(B499,ADP!A1:E728,5,FALSE))))</f>
        <v>-</v>
      </c>
      <c r="N499" s="53" t="str">
        <f>IFERROR(M499-A499,"N/A")</f>
        <v>N/A</v>
      </c>
      <c r="O499" s="39"/>
      <c r="P499" s="40" t="str">
        <f>IF(Settings!$E$27="ON",VLOOKUP(B499,ADP!A1:H728,8,FALSE)," ")</f>
        <v xml:space="preserve"> </v>
      </c>
      <c r="Q499" s="41">
        <f>IF(Settings!$E$12="YES",VLOOKUP(B499,'Player Data'!A1:E734,5,FALSE),82)</f>
        <v>75.260000000000005</v>
      </c>
      <c r="R499" s="39">
        <f>VLOOKUP(B499,'Player Data'!$A1:$AE734,6,FALSE)</f>
        <v>15.5573909713075</v>
      </c>
      <c r="S499" s="41">
        <f>VLOOKUP(B499,'Player Data'!$A1:$AE734,7,FALSE)*$Q499*IFERROR((VLOOKUP(P499,Settings!$E$28:$F$33,2,FALSE)+1),1)</f>
        <v>12.887599691730326</v>
      </c>
      <c r="T499" s="41">
        <f>VLOOKUP(B499,'Player Data'!$A1:$AE734,8,FALSE)*$Q499*IFERROR((VLOOKUP(P499,Settings!$E$28:$F$33,2,FALSE)+1),1)</f>
        <v>20.201790802690805</v>
      </c>
      <c r="U499" s="41">
        <f>SUM(S499:T499)</f>
        <v>33.089390494421131</v>
      </c>
      <c r="V499" s="41">
        <f>VLOOKUP(B499,'Player Data'!$A1:$AE734,10,FALSE)*$Q499*IFERROR(((VLOOKUP(P499,Settings!$E$28:$F$33,2,FALSE)/2)+1),1)</f>
        <v>99.447565074906578</v>
      </c>
      <c r="W499" s="41">
        <f>VLOOKUP(B499,'Player Data'!$A1:$AE734,11,FALSE)*$Q499*IFERROR((VLOOKUP(P499,Settings!$E$28:$F$33,2,FALSE)+1),1)</f>
        <v>1.253378786800742</v>
      </c>
      <c r="X499" s="41">
        <f>VLOOKUP(B499,'Player Data'!$A1:$AE734,12,FALSE)*$Q499*IFERROR((VLOOKUP(P499,Settings!$E$28:$F$33,2,FALSE)+1),1)</f>
        <v>3.4623626502181537</v>
      </c>
      <c r="Y499" s="41">
        <f>VLOOKUP(B499,'Player Data'!$A1:$AE734,13,FALSE)*$Q499</f>
        <v>0.6669786633570447</v>
      </c>
      <c r="Z499" s="41">
        <f>VLOOKUP(B499,'Player Data'!$A1:$AE734,14,FALSE)*$Q499</f>
        <v>0.76839666569749887</v>
      </c>
      <c r="AA499" s="41">
        <f>VLOOKUP(B499,'Player Data'!$A1:$AE734,15,FALSE)*$Q499</f>
        <v>66.834198674727915</v>
      </c>
      <c r="AB499" s="41">
        <f>VLOOKUP(B499,'Player Data'!$A1:$AE734,16,FALSE)*$Q499</f>
        <v>31.943504826969612</v>
      </c>
      <c r="AC499" s="41">
        <f>VLOOKUP(B499,'Player Data'!$A1:$AE734,17,FALSE)*$Q499*IFERROR((VLOOKUP(P499,Settings!$E$28:$F$33,2,FALSE)+1),1)</f>
        <v>-8.1559162746108047</v>
      </c>
      <c r="AD499" s="41">
        <f>VLOOKUP(B499,'Player Data'!$A1:$AE734,18,FALSE)*$Q499</f>
        <v>14.80296734222433</v>
      </c>
      <c r="AE499" s="41">
        <f>VLOOKUP(B499,'Player Data'!$A1:$AE734,19,FALSE)*$Q499*IFERROR((VLOOKUP(P499,Settings!$E$28:$F$33,2,FALSE)+1),1)</f>
        <v>1.3966175450937413</v>
      </c>
      <c r="AF499" s="41">
        <f>VLOOKUP(B499,'Player Data'!$A1:$AE734,20,FALSE)*$Q499</f>
        <v>560.91830483177887</v>
      </c>
      <c r="AG499" s="41">
        <f>VLOOKUP(B499,'Player Data'!$A1:$AE734,21,FALSE)*$Q499</f>
        <v>486.80269323906447</v>
      </c>
      <c r="AH499" s="42">
        <f>VLOOKUP(B499,'Player Data'!$A1:$AE734,22,FALSE)</f>
        <v>0.535369918007362</v>
      </c>
      <c r="AI499" s="39"/>
      <c r="AJ499" s="43"/>
      <c r="AK499" s="41"/>
      <c r="AL499" s="41"/>
      <c r="AM499" s="41"/>
      <c r="AN499" s="41"/>
      <c r="AO499" s="41"/>
      <c r="AP499" s="41"/>
      <c r="AQ499" s="44"/>
      <c r="AR499" s="45"/>
      <c r="AS499" s="39"/>
    </row>
    <row r="500" spans="1:45" ht="21.25" customHeight="1" x14ac:dyDescent="0.15">
      <c r="A500" s="31">
        <f>RANK(K500,K$2:K$727)</f>
        <v>499</v>
      </c>
      <c r="B500" s="8" t="s">
        <v>604</v>
      </c>
      <c r="C500" s="32" t="s">
        <v>106</v>
      </c>
      <c r="D500" s="33" t="str">
        <f>VLOOKUP(B500,'Player Data'!A1:D734,4,FALSE)</f>
        <v>D</v>
      </c>
      <c r="E500" s="49">
        <f>VLOOKUP(B500,D!A1:C227,3,FALSE)</f>
        <v>183</v>
      </c>
      <c r="F500" s="35" t="str">
        <f>VLOOKUP(B500,'Player Data'!A1:B734,2,FALSE)</f>
        <v>STL</v>
      </c>
      <c r="G500" s="9">
        <f>VLOOKUP(B500,'Player Data'!A1:D734,3,FALSE)</f>
        <v>33</v>
      </c>
      <c r="H500" s="36">
        <f>IFERROR(VLOOKUP(B500,ADP!A1:G728,7,FALSE)/1000000,VLOOKUP(B500,ADP!A1:G728,7,FALSE))</f>
        <v>3.2749999999999999</v>
      </c>
      <c r="I500" s="37">
        <f>IF(Settings!$E$15="POINTS",((R500*Q500)*Settings!$B$12)+(S500*Settings!$B$2)+(T500*Settings!$B$3)+(U500*Settings!$B$4)+(V500*Settings!$B$5)+(X500*Settings!$B$9)+(AA500*Settings!$B$6)+(W500*Settings!$B$8)+(AB500*Settings!$B$7)+(AC500*Settings!$B$14)+(AD500*Settings!$B$15)+(AE500*Settings!$B$16)+(AF500*Settings!$B$17)+(AG500*Settings!$B$18)+(U500*Settings!$B$13)+(Y500*Settings!$B$10)+(Z500*Settings!$B$11),VLOOKUP(B500,'Standard Deviations'!A1:C728,3,FALSE))</f>
        <v>88.951219202419423</v>
      </c>
      <c r="J500" s="38">
        <f>IF(D500="G",I500/AJ500,I500/Q500)</f>
        <v>1.3014077425372266</v>
      </c>
      <c r="K500" s="37">
        <f>VLOOKUP(B500,D!A1:F227,6,FALSE)</f>
        <v>-222.61426242550803</v>
      </c>
      <c r="L500" s="37">
        <f>IFERROR(K500/H500,"N/A")</f>
        <v>-67.97382058794139</v>
      </c>
      <c r="M500" s="53" t="str">
        <f>IF(Settings!$E$9="YAHOO",VLOOKUP(B500,ADP!A1:E728,2,FALSE),IF(Settings!$E$9="ESPN",VLOOKUP(B500,ADP!A1:E728,3,FALSE),IF(Settings!$E$9="FANTRAX",VLOOKUP(B500,ADP!A1:E728,4,FALSE),VLOOKUP(B500,ADP!A1:E728,5,FALSE))))</f>
        <v>-</v>
      </c>
      <c r="N500" s="53" t="str">
        <f>IFERROR(M500-A500,"N/A")</f>
        <v>N/A</v>
      </c>
      <c r="O500" s="39"/>
      <c r="P500" s="40" t="str">
        <f>IF(Settings!$E$27="ON",VLOOKUP(B500,ADP!A1:H728,8,FALSE)," ")</f>
        <v xml:space="preserve"> </v>
      </c>
      <c r="Q500" s="41">
        <f>IF(Settings!$E$12="YES",VLOOKUP(B500,'Player Data'!A1:E734,5,FALSE),82)</f>
        <v>68.349999999999994</v>
      </c>
      <c r="R500" s="39">
        <f>VLOOKUP(B500,'Player Data'!$A1:$AE734,6,FALSE)</f>
        <v>17.720280807926802</v>
      </c>
      <c r="S500" s="41">
        <f>VLOOKUP(B500,'Player Data'!$A1:$AE734,7,FALSE)*$Q500*IFERROR((VLOOKUP(P500,Settings!$E$28:$F$33,2,FALSE)+1),1)</f>
        <v>2.8140754322618671</v>
      </c>
      <c r="T500" s="41">
        <f>VLOOKUP(B500,'Player Data'!$A1:$AE734,8,FALSE)*$Q500*IFERROR((VLOOKUP(P500,Settings!$E$28:$F$33,2,FALSE)+1),1)</f>
        <v>8.7828106685364613</v>
      </c>
      <c r="U500" s="41">
        <f>SUM(S500:T500)</f>
        <v>11.596886100798329</v>
      </c>
      <c r="V500" s="41">
        <f>VLOOKUP(B500,'Player Data'!$A1:$AE734,10,FALSE)*$Q500*IFERROR(((VLOOKUP(P500,Settings!$E$28:$F$33,2,FALSE)/2)+1),1)</f>
        <v>69.704419067701238</v>
      </c>
      <c r="W500" s="41">
        <f>VLOOKUP(B500,'Player Data'!$A1:$AE734,11,FALSE)*$Q500*IFERROR((VLOOKUP(P500,Settings!$E$28:$F$33,2,FALSE)+1),1)</f>
        <v>1.9406265560712687E-2</v>
      </c>
      <c r="X500" s="41">
        <f>VLOOKUP(B500,'Player Data'!$A1:$AE734,12,FALSE)*$Q500*IFERROR((VLOOKUP(P500,Settings!$E$28:$F$33,2,FALSE)+1),1)</f>
        <v>0.13718969888830548</v>
      </c>
      <c r="Y500" s="41">
        <f>VLOOKUP(B500,'Player Data'!$A1:$AE734,13,FALSE)*$Q500</f>
        <v>2.9304991009215312E-2</v>
      </c>
      <c r="Z500" s="41">
        <f>VLOOKUP(B500,'Player Data'!$A1:$AE734,14,FALSE)*$Q500</f>
        <v>1.0655293822297558</v>
      </c>
      <c r="AA500" s="41">
        <f>VLOOKUP(B500,'Player Data'!$A1:$AE734,15,FALSE)*$Q500</f>
        <v>84.514566019688402</v>
      </c>
      <c r="AB500" s="41">
        <f>VLOOKUP(B500,'Player Data'!$A1:$AE734,16,FALSE)*$Q500</f>
        <v>94.546384507398116</v>
      </c>
      <c r="AC500" s="41">
        <f>VLOOKUP(B500,'Player Data'!$A1:$AE734,17,FALSE)*$Q500*IFERROR((VLOOKUP(P500,Settings!$E$28:$F$33,2,FALSE)+1),1)</f>
        <v>-3.1661901997116457</v>
      </c>
      <c r="AD500" s="41">
        <f>VLOOKUP(B500,'Player Data'!$A1:$AE734,18,FALSE)*$Q500</f>
        <v>23.742524947079342</v>
      </c>
      <c r="AE500" s="41">
        <f>VLOOKUP(B500,'Player Data'!$A1:$AE734,19,FALSE)*$Q500*IFERROR((VLOOKUP(P500,Settings!$E$28:$F$33,2,FALSE)+1),1)</f>
        <v>0.32382334709910454</v>
      </c>
      <c r="AF500" s="41">
        <f>VLOOKUP(B500,'Player Data'!$A1:$AE734,20,FALSE)*$Q500</f>
        <v>0</v>
      </c>
      <c r="AG500" s="41">
        <f>VLOOKUP(B500,'Player Data'!$A1:$AE734,21,FALSE)*$Q500</f>
        <v>0</v>
      </c>
      <c r="AH500" s="42">
        <f>VLOOKUP(B500,'Player Data'!$A1:$AE734,22,FALSE)</f>
        <v>0</v>
      </c>
      <c r="AI500" s="39"/>
      <c r="AJ500" s="43"/>
      <c r="AK500" s="41"/>
      <c r="AL500" s="41"/>
      <c r="AM500" s="41"/>
      <c r="AN500" s="41"/>
      <c r="AO500" s="41"/>
      <c r="AP500" s="41"/>
      <c r="AQ500" s="44"/>
      <c r="AR500" s="45"/>
      <c r="AS500" s="39"/>
    </row>
    <row r="501" spans="1:45" ht="21.25" customHeight="1" x14ac:dyDescent="0.15">
      <c r="A501" s="31">
        <f>RANK(K501,K$2:K$727)</f>
        <v>500</v>
      </c>
      <c r="B501" s="8" t="s">
        <v>605</v>
      </c>
      <c r="C501" s="32" t="s">
        <v>106</v>
      </c>
      <c r="D501" s="33" t="str">
        <f>VLOOKUP(B501,'Player Data'!A1:D734,4,FALSE)</f>
        <v>D</v>
      </c>
      <c r="E501" s="49">
        <f>VLOOKUP(B501,D!A1:C227,3,FALSE)</f>
        <v>184</v>
      </c>
      <c r="F501" s="35" t="str">
        <f>VLOOKUP(B501,'Player Data'!A1:B734,2,FALSE)</f>
        <v>NYI</v>
      </c>
      <c r="G501" s="9">
        <f>VLOOKUP(B501,'Player Data'!A1:D734,3,FALSE)</f>
        <v>22</v>
      </c>
      <c r="H501" s="36">
        <f>IFERROR(VLOOKUP(B501,ADP!A1:G728,7,FALSE)/1000000,VLOOKUP(B501,ADP!A1:G728,7,FALSE))</f>
        <v>0.8</v>
      </c>
      <c r="I501" s="37">
        <f>IF(Settings!$E$15="POINTS",((R501*Q501)*Settings!$B$12)+(S501*Settings!$B$2)+(T501*Settings!$B$3)+(U501*Settings!$B$4)+(V501*Settings!$B$5)+(X501*Settings!$B$9)+(AA501*Settings!$B$6)+(W501*Settings!$B$8)+(AB501*Settings!$B$7)+(AC501*Settings!$B$14)+(AD501*Settings!$B$15)+(AE501*Settings!$B$16)+(AF501*Settings!$B$17)+(AG501*Settings!$B$18)+(U501*Settings!$B$13)+(Y501*Settings!$B$10)+(Z501*Settings!$B$11),VLOOKUP(B501,'Standard Deviations'!A1:C728,3,FALSE))</f>
        <v>88.760391687593966</v>
      </c>
      <c r="J501" s="38">
        <f>IF(D501="G",I501/AJ501,I501/Q501)</f>
        <v>1.612213090320479</v>
      </c>
      <c r="K501" s="37">
        <f>VLOOKUP(B501,D!A1:F227,6,FALSE)</f>
        <v>-222.80508994033349</v>
      </c>
      <c r="L501" s="37">
        <f>IFERROR(K501/H501,"N/A")</f>
        <v>-278.50636242541685</v>
      </c>
      <c r="M501" s="53" t="str">
        <f>IF(Settings!$E$9="YAHOO",VLOOKUP(B501,ADP!A1:E728,2,FALSE),IF(Settings!$E$9="ESPN",VLOOKUP(B501,ADP!A1:E728,3,FALSE),IF(Settings!$E$9="FANTRAX",VLOOKUP(B501,ADP!A1:E728,4,FALSE),VLOOKUP(B501,ADP!A1:E728,5,FALSE))))</f>
        <v>-</v>
      </c>
      <c r="N501" s="53" t="str">
        <f>IFERROR(M501-A501,"N/A")</f>
        <v>N/A</v>
      </c>
      <c r="O501" s="39"/>
      <c r="P501" s="40" t="str">
        <f>IF(Settings!$E$27="ON",VLOOKUP(B501,ADP!A1:H728,8,FALSE)," ")</f>
        <v xml:space="preserve"> </v>
      </c>
      <c r="Q501" s="41">
        <f>IF(Settings!$E$12="YES",VLOOKUP(B501,'Player Data'!A1:E734,5,FALSE),82)</f>
        <v>55.055</v>
      </c>
      <c r="R501" s="39">
        <f>VLOOKUP(B501,'Player Data'!$A1:$AE734,6,FALSE)</f>
        <v>14.4955031132376</v>
      </c>
      <c r="S501" s="41">
        <f>VLOOKUP(B501,'Player Data'!$A1:$AE734,7,FALSE)*$Q501*IFERROR((VLOOKUP(P501,Settings!$E$28:$F$33,2,FALSE)+1),1)</f>
        <v>4.1243443052782292</v>
      </c>
      <c r="T501" s="41">
        <f>VLOOKUP(B501,'Player Data'!$A1:$AE734,8,FALSE)*$Q501*IFERROR((VLOOKUP(P501,Settings!$E$28:$F$33,2,FALSE)+1),1)</f>
        <v>8.9824627215407329</v>
      </c>
      <c r="U501" s="41">
        <f>SUM(S501:T501)</f>
        <v>13.106807026818963</v>
      </c>
      <c r="V501" s="41">
        <f>VLOOKUP(B501,'Player Data'!$A1:$AE734,10,FALSE)*$Q501*IFERROR(((VLOOKUP(P501,Settings!$E$28:$F$33,2,FALSE)/2)+1),1)</f>
        <v>62.14759647625354</v>
      </c>
      <c r="W501" s="41">
        <f>VLOOKUP(B501,'Player Data'!$A1:$AE734,11,FALSE)*$Q501*IFERROR((VLOOKUP(P501,Settings!$E$28:$F$33,2,FALSE)+1),1)</f>
        <v>0.69698783558339983</v>
      </c>
      <c r="X501" s="41">
        <f>VLOOKUP(B501,'Player Data'!$A1:$AE734,12,FALSE)*$Q501*IFERROR((VLOOKUP(P501,Settings!$E$28:$F$33,2,FALSE)+1),1)</f>
        <v>3.8333589918118474</v>
      </c>
      <c r="Y501" s="41">
        <f>VLOOKUP(B501,'Player Data'!$A1:$AE734,13,FALSE)*$Q501</f>
        <v>1.6783310214364105E-3</v>
      </c>
      <c r="Z501" s="41">
        <f>VLOOKUP(B501,'Player Data'!$A1:$AE734,14,FALSE)*$Q501</f>
        <v>6.3057720270419072E-3</v>
      </c>
      <c r="AA501" s="41">
        <f>VLOOKUP(B501,'Player Data'!$A1:$AE734,15,FALSE)*$Q501</f>
        <v>53.434214206662688</v>
      </c>
      <c r="AB501" s="41">
        <f>VLOOKUP(B501,'Player Data'!$A1:$AE734,16,FALSE)*$Q501</f>
        <v>75.176269057249058</v>
      </c>
      <c r="AC501" s="41">
        <f>VLOOKUP(B501,'Player Data'!$A1:$AE734,17,FALSE)*$Q501*IFERROR((VLOOKUP(P501,Settings!$E$28:$F$33,2,FALSE)+1),1)</f>
        <v>0.51776806859354862</v>
      </c>
      <c r="AD501" s="41">
        <f>VLOOKUP(B501,'Player Data'!$A1:$AE734,18,FALSE)*$Q501</f>
        <v>15.986044800234259</v>
      </c>
      <c r="AE501" s="41">
        <f>VLOOKUP(B501,'Player Data'!$A1:$AE734,19,FALSE)*$Q501*IFERROR((VLOOKUP(P501,Settings!$E$28:$F$33,2,FALSE)+1),1)</f>
        <v>0.63730134237192071</v>
      </c>
      <c r="AF501" s="41">
        <f>VLOOKUP(B501,'Player Data'!$A1:$AE734,20,FALSE)*$Q501</f>
        <v>0</v>
      </c>
      <c r="AG501" s="41">
        <f>VLOOKUP(B501,'Player Data'!$A1:$AE734,21,FALSE)*$Q501</f>
        <v>0</v>
      </c>
      <c r="AH501" s="42">
        <f>VLOOKUP(B501,'Player Data'!$A1:$AE734,22,FALSE)</f>
        <v>0</v>
      </c>
      <c r="AI501" s="39"/>
      <c r="AJ501" s="43"/>
      <c r="AK501" s="41"/>
      <c r="AL501" s="41"/>
      <c r="AM501" s="41"/>
      <c r="AN501" s="41"/>
      <c r="AO501" s="41"/>
      <c r="AP501" s="41"/>
      <c r="AQ501" s="44"/>
      <c r="AR501" s="45"/>
      <c r="AS501" s="39"/>
    </row>
    <row r="502" spans="1:45" ht="21.25" customHeight="1" x14ac:dyDescent="0.15">
      <c r="A502" s="31">
        <f>RANK(K502,K$2:K$727)</f>
        <v>501</v>
      </c>
      <c r="B502" s="8" t="s">
        <v>606</v>
      </c>
      <c r="C502" s="32" t="s">
        <v>106</v>
      </c>
      <c r="D502" s="33" t="str">
        <f>VLOOKUP(B502,'Player Data'!A1:D734,4,FALSE)</f>
        <v>D</v>
      </c>
      <c r="E502" s="49">
        <f>VLOOKUP(B502,D!A1:C227,3,FALSE)</f>
        <v>185</v>
      </c>
      <c r="F502" s="35" t="str">
        <f>VLOOKUP(B502,'Player Data'!A1:B734,2,FALSE)</f>
        <v>TOR</v>
      </c>
      <c r="G502" s="9">
        <f>VLOOKUP(B502,'Player Data'!A1:D734,3,FALSE)</f>
        <v>24</v>
      </c>
      <c r="H502" s="36">
        <f>IFERROR(VLOOKUP(B502,ADP!A1:G728,7,FALSE)/1000000,VLOOKUP(B502,ADP!A1:G728,7,FALSE))</f>
        <v>1.1000000000000001</v>
      </c>
      <c r="I502" s="37">
        <f>IF(Settings!$E$15="POINTS",((R502*Q502)*Settings!$B$12)+(S502*Settings!$B$2)+(T502*Settings!$B$3)+(U502*Settings!$B$4)+(V502*Settings!$B$5)+(X502*Settings!$B$9)+(AA502*Settings!$B$6)+(W502*Settings!$B$8)+(AB502*Settings!$B$7)+(AC502*Settings!$B$14)+(AD502*Settings!$B$15)+(AE502*Settings!$B$16)+(AF502*Settings!$B$17)+(AG502*Settings!$B$18)+(U502*Settings!$B$13)+(Y502*Settings!$B$10)+(Z502*Settings!$B$11),VLOOKUP(B502,'Standard Deviations'!A1:C728,3,FALSE))</f>
        <v>88.601396241788336</v>
      </c>
      <c r="J502" s="38">
        <f>IF(D502="G",I502/AJ502,I502/Q502)</f>
        <v>1.7720279248357667</v>
      </c>
      <c r="K502" s="37">
        <f>VLOOKUP(B502,D!A1:F227,6,FALSE)</f>
        <v>-222.96408538613912</v>
      </c>
      <c r="L502" s="37">
        <f>IFERROR(K502/H502,"N/A")</f>
        <v>-202.69462307830827</v>
      </c>
      <c r="M502" s="53" t="str">
        <f>IF(Settings!$E$9="YAHOO",VLOOKUP(B502,ADP!A1:E728,2,FALSE),IF(Settings!$E$9="ESPN",VLOOKUP(B502,ADP!A1:E728,3,FALSE),IF(Settings!$E$9="FANTRAX",VLOOKUP(B502,ADP!A1:E728,4,FALSE),VLOOKUP(B502,ADP!A1:E728,5,FALSE))))</f>
        <v>-</v>
      </c>
      <c r="N502" s="53" t="str">
        <f>IFERROR(M502-A502,"N/A")</f>
        <v>N/A</v>
      </c>
      <c r="O502" s="39"/>
      <c r="P502" s="40" t="str">
        <f>IF(Settings!$E$27="ON",VLOOKUP(B502,ADP!A1:H728,8,FALSE)," ")</f>
        <v xml:space="preserve"> </v>
      </c>
      <c r="Q502" s="41">
        <f>IF(Settings!$E$12="YES",VLOOKUP(B502,'Player Data'!A1:E734,5,FALSE),82)</f>
        <v>50</v>
      </c>
      <c r="R502" s="39">
        <f>VLOOKUP(B502,'Player Data'!$A1:$AE734,6,FALSE)</f>
        <v>16.4168791263522</v>
      </c>
      <c r="S502" s="41">
        <f>VLOOKUP(B502,'Player Data'!$A1:$AE734,7,FALSE)*$Q502*IFERROR((VLOOKUP(P502,Settings!$E$28:$F$33,2,FALSE)+1),1)</f>
        <v>2.7484427540424901</v>
      </c>
      <c r="T502" s="41">
        <f>VLOOKUP(B502,'Player Data'!$A1:$AE734,8,FALSE)*$Q502*IFERROR((VLOOKUP(P502,Settings!$E$28:$F$33,2,FALSE)+1),1)</f>
        <v>14.18424827183995</v>
      </c>
      <c r="U502" s="41">
        <f>SUM(S502:T502)</f>
        <v>16.932691025882441</v>
      </c>
      <c r="V502" s="41">
        <f>VLOOKUP(B502,'Player Data'!$A1:$AE734,10,FALSE)*$Q502*IFERROR(((VLOOKUP(P502,Settings!$E$28:$F$33,2,FALSE)/2)+1),1)</f>
        <v>47.780398271497695</v>
      </c>
      <c r="W502" s="41">
        <f>VLOOKUP(B502,'Player Data'!$A1:$AE734,11,FALSE)*$Q502*IFERROR((VLOOKUP(P502,Settings!$E$28:$F$33,2,FALSE)+1),1)</f>
        <v>9.8660727845781504E-2</v>
      </c>
      <c r="X502" s="41">
        <f>VLOOKUP(B502,'Player Data'!$A1:$AE734,12,FALSE)*$Q502*IFERROR((VLOOKUP(P502,Settings!$E$28:$F$33,2,FALSE)+1),1)</f>
        <v>1.9542465688391848</v>
      </c>
      <c r="Y502" s="41">
        <f>VLOOKUP(B502,'Player Data'!$A1:$AE734,13,FALSE)*$Q502</f>
        <v>3.9841130617396699E-3</v>
      </c>
      <c r="Z502" s="41">
        <f>VLOOKUP(B502,'Player Data'!$A1:$AE734,14,FALSE)*$Q502</f>
        <v>1.46099266212823E-2</v>
      </c>
      <c r="AA502" s="41">
        <f>VLOOKUP(B502,'Player Data'!$A1:$AE734,15,FALSE)*$Q502</f>
        <v>49.877055187356149</v>
      </c>
      <c r="AB502" s="41">
        <f>VLOOKUP(B502,'Player Data'!$A1:$AE734,16,FALSE)*$Q502</f>
        <v>57.106659848580001</v>
      </c>
      <c r="AC502" s="41">
        <f>VLOOKUP(B502,'Player Data'!$A1:$AE734,17,FALSE)*$Q502*IFERROR((VLOOKUP(P502,Settings!$E$28:$F$33,2,FALSE)+1),1)</f>
        <v>2.6386913763735103</v>
      </c>
      <c r="AD502" s="41">
        <f>VLOOKUP(B502,'Player Data'!$A1:$AE734,18,FALSE)*$Q502</f>
        <v>17.055014176658101</v>
      </c>
      <c r="AE502" s="41">
        <f>VLOOKUP(B502,'Player Data'!$A1:$AE734,19,FALSE)*$Q502*IFERROR((VLOOKUP(P502,Settings!$E$28:$F$33,2,FALSE)+1),1)</f>
        <v>0.44153659791191502</v>
      </c>
      <c r="AF502" s="41">
        <f>VLOOKUP(B502,'Player Data'!$A1:$AE734,20,FALSE)*$Q502</f>
        <v>0</v>
      </c>
      <c r="AG502" s="41">
        <f>VLOOKUP(B502,'Player Data'!$A1:$AE734,21,FALSE)*$Q502</f>
        <v>0</v>
      </c>
      <c r="AH502" s="42">
        <f>VLOOKUP(B502,'Player Data'!$A1:$AE734,22,FALSE)</f>
        <v>0</v>
      </c>
      <c r="AI502" s="39"/>
      <c r="AJ502" s="43"/>
      <c r="AK502" s="41"/>
      <c r="AL502" s="41"/>
      <c r="AM502" s="41"/>
      <c r="AN502" s="41"/>
      <c r="AO502" s="41"/>
      <c r="AP502" s="41"/>
      <c r="AQ502" s="44"/>
      <c r="AR502" s="45"/>
      <c r="AS502" s="39"/>
    </row>
    <row r="503" spans="1:45" ht="21.25" customHeight="1" x14ac:dyDescent="0.15">
      <c r="A503" s="31">
        <f>RANK(K503,K$2:K$727)</f>
        <v>502</v>
      </c>
      <c r="B503" s="8" t="s">
        <v>607</v>
      </c>
      <c r="C503" s="32" t="s">
        <v>106</v>
      </c>
      <c r="D503" s="33" t="str">
        <f>VLOOKUP(B503,'Player Data'!A1:D734,4,FALSE)</f>
        <v>D</v>
      </c>
      <c r="E503" s="49">
        <f>VLOOKUP(B503,D!A1:C227,3,FALSE)</f>
        <v>186</v>
      </c>
      <c r="F503" s="35" t="str">
        <f>VLOOKUP(B503,'Player Data'!A1:B734,2,FALSE)</f>
        <v>PHI</v>
      </c>
      <c r="G503" s="9">
        <f>VLOOKUP(B503,'Player Data'!A1:D734,3,FALSE)</f>
        <v>36</v>
      </c>
      <c r="H503" s="36">
        <f>IFERROR(VLOOKUP(B503,ADP!A1:G728,7,FALSE)/1000000,VLOOKUP(B503,ADP!A1:G728,7,FALSE))</f>
        <v>1.1000000000000001</v>
      </c>
      <c r="I503" s="37">
        <f>IF(Settings!$E$15="POINTS",((R503*Q503)*Settings!$B$12)+(S503*Settings!$B$2)+(T503*Settings!$B$3)+(U503*Settings!$B$4)+(V503*Settings!$B$5)+(X503*Settings!$B$9)+(AA503*Settings!$B$6)+(W503*Settings!$B$8)+(AB503*Settings!$B$7)+(AC503*Settings!$B$14)+(AD503*Settings!$B$15)+(AE503*Settings!$B$16)+(AF503*Settings!$B$17)+(AG503*Settings!$B$18)+(U503*Settings!$B$13)+(Y503*Settings!$B$10)+(Z503*Settings!$B$11),VLOOKUP(B503,'Standard Deviations'!A1:C728,3,FALSE))</f>
        <v>88.201140703155914</v>
      </c>
      <c r="J503" s="38">
        <f>IF(D503="G",I503/AJ503,I503/Q503)</f>
        <v>1.1454693597812455</v>
      </c>
      <c r="K503" s="37">
        <f>VLOOKUP(B503,D!A1:F227,6,FALSE)</f>
        <v>-223.36434092477154</v>
      </c>
      <c r="L503" s="37">
        <f>IFERROR(K503/H503,"N/A")</f>
        <v>-203.0584917497923</v>
      </c>
      <c r="M503" s="53" t="str">
        <f>IF(Settings!$E$9="YAHOO",VLOOKUP(B503,ADP!A1:E728,2,FALSE),IF(Settings!$E$9="ESPN",VLOOKUP(B503,ADP!A1:E728,3,FALSE),IF(Settings!$E$9="FANTRAX",VLOOKUP(B503,ADP!A1:E728,4,FALSE),VLOOKUP(B503,ADP!A1:E728,5,FALSE))))</f>
        <v>-</v>
      </c>
      <c r="N503" s="53" t="str">
        <f>IFERROR(M503-A503,"N/A")</f>
        <v>N/A</v>
      </c>
      <c r="O503" s="39"/>
      <c r="P503" s="40" t="str">
        <f>IF(Settings!$E$27="ON",VLOOKUP(B503,ADP!A1:H728,8,FALSE)," ")</f>
        <v xml:space="preserve"> </v>
      </c>
      <c r="Q503" s="41">
        <f>IF(Settings!$E$12="YES",VLOOKUP(B503,'Player Data'!A1:E734,5,FALSE),82)</f>
        <v>77</v>
      </c>
      <c r="R503" s="39">
        <f>VLOOKUP(B503,'Player Data'!$A1:$AE734,6,FALSE)</f>
        <v>16.3655242850154</v>
      </c>
      <c r="S503" s="41">
        <f>VLOOKUP(B503,'Player Data'!$A1:$AE734,7,FALSE)*$Q503*IFERROR((VLOOKUP(P503,Settings!$E$28:$F$33,2,FALSE)+1),1)</f>
        <v>2.4696354830625711</v>
      </c>
      <c r="T503" s="41">
        <f>VLOOKUP(B503,'Player Data'!$A1:$AE734,8,FALSE)*$Q503*IFERROR((VLOOKUP(P503,Settings!$E$28:$F$33,2,FALSE)+1),1)</f>
        <v>10.505120406424105</v>
      </c>
      <c r="U503" s="41">
        <f>SUM(S503:T503)</f>
        <v>12.974755889486676</v>
      </c>
      <c r="V503" s="41">
        <f>VLOOKUP(B503,'Player Data'!$A1:$AE734,10,FALSE)*$Q503*IFERROR(((VLOOKUP(P503,Settings!$E$28:$F$33,2,FALSE)/2)+1),1)</f>
        <v>60.093150191039662</v>
      </c>
      <c r="W503" s="41">
        <f>VLOOKUP(B503,'Player Data'!$A1:$AE734,11,FALSE)*$Q503*IFERROR((VLOOKUP(P503,Settings!$E$28:$F$33,2,FALSE)+1),1)</f>
        <v>1.7215737639512951E-2</v>
      </c>
      <c r="X503" s="41">
        <f>VLOOKUP(B503,'Player Data'!$A1:$AE734,12,FALSE)*$Q503*IFERROR((VLOOKUP(P503,Settings!$E$28:$F$33,2,FALSE)+1),1)</f>
        <v>0.12977929563046295</v>
      </c>
      <c r="Y503" s="41">
        <f>VLOOKUP(B503,'Player Data'!$A1:$AE734,13,FALSE)*$Q503</f>
        <v>1.6746745691280297E-2</v>
      </c>
      <c r="Z503" s="41">
        <f>VLOOKUP(B503,'Player Data'!$A1:$AE734,14,FALSE)*$Q503</f>
        <v>7.138371683873615E-2</v>
      </c>
      <c r="AA503" s="41">
        <f>VLOOKUP(B503,'Player Data'!$A1:$AE734,15,FALSE)*$Q503</f>
        <v>94.139859571188211</v>
      </c>
      <c r="AB503" s="41">
        <f>VLOOKUP(B503,'Player Data'!$A1:$AE734,16,FALSE)*$Q503</f>
        <v>114.48557816924074</v>
      </c>
      <c r="AC503" s="41">
        <f>VLOOKUP(B503,'Player Data'!$A1:$AE734,17,FALSE)*$Q503*IFERROR((VLOOKUP(P503,Settings!$E$28:$F$33,2,FALSE)+1),1)</f>
        <v>-5.0623410736144008</v>
      </c>
      <c r="AD503" s="41">
        <f>VLOOKUP(B503,'Player Data'!$A1:$AE734,18,FALSE)*$Q503</f>
        <v>28.490927388058058</v>
      </c>
      <c r="AE503" s="41">
        <f>VLOOKUP(B503,'Player Data'!$A1:$AE734,19,FALSE)*$Q503*IFERROR((VLOOKUP(P503,Settings!$E$28:$F$33,2,FALSE)+1),1)</f>
        <v>0.2902948893572258</v>
      </c>
      <c r="AF503" s="41">
        <f>VLOOKUP(B503,'Player Data'!$A1:$AE734,20,FALSE)*$Q503</f>
        <v>0</v>
      </c>
      <c r="AG503" s="41">
        <f>VLOOKUP(B503,'Player Data'!$A1:$AE734,21,FALSE)*$Q503</f>
        <v>0</v>
      </c>
      <c r="AH503" s="42">
        <f>VLOOKUP(B503,'Player Data'!$A1:$AE734,22,FALSE)</f>
        <v>0</v>
      </c>
      <c r="AI503" s="39"/>
      <c r="AJ503" s="41"/>
      <c r="AK503" s="41"/>
      <c r="AL503" s="41"/>
      <c r="AM503" s="41"/>
      <c r="AN503" s="41"/>
      <c r="AO503" s="41"/>
      <c r="AP503" s="41"/>
      <c r="AQ503" s="44"/>
      <c r="AR503" s="45"/>
      <c r="AS503" s="39"/>
    </row>
    <row r="504" spans="1:45" ht="21.25" customHeight="1" x14ac:dyDescent="0.15">
      <c r="A504" s="31">
        <f>RANK(K504,K$2:K$727)</f>
        <v>503</v>
      </c>
      <c r="B504" s="8" t="s">
        <v>608</v>
      </c>
      <c r="C504" s="32" t="s">
        <v>106</v>
      </c>
      <c r="D504" s="33" t="str">
        <f>VLOOKUP(B504,'Player Data'!A1:D734,4,FALSE)</f>
        <v>C</v>
      </c>
      <c r="E504" s="34">
        <f>VLOOKUP(B504,'C'!A1:C211,3,FALSE)</f>
        <v>118</v>
      </c>
      <c r="F504" s="35" t="str">
        <f>VLOOKUP(B504,'Player Data'!A1:B734,2,FALSE)</f>
        <v>TOR</v>
      </c>
      <c r="G504" s="9">
        <f>VLOOKUP(B504,'Player Data'!A1:D734,3,FALSE)</f>
        <v>31</v>
      </c>
      <c r="H504" s="36">
        <f>IFERROR(VLOOKUP(B504,ADP!A1:G728,7,FALSE)/1000000,VLOOKUP(B504,ADP!A1:G728,7,FALSE))</f>
        <v>2.1</v>
      </c>
      <c r="I504" s="37">
        <f>IF(Settings!$E$15="POINTS",((R504*Q504)*Settings!$B$12)+(S504*Settings!$B$2)+(T504*Settings!$B$3)+(U504*Settings!$B$4)+(V504*Settings!$B$5)+(X504*Settings!$B$9)+(AA504*Settings!$B$6)+(W504*Settings!$B$8)+(AB504*Settings!$B$7)+(AC504*Settings!$B$14)+(AD504*Settings!$B$15)+(AE504*Settings!$B$16)+(AF504*Settings!$B$17)+(AG504*Settings!$B$18)+(Y504*Settings!$B$10)+(Z504*Settings!$B$11),VLOOKUP(B504,'Standard Deviations'!A1:C728,3,FALSE))</f>
        <v>169.48578396480016</v>
      </c>
      <c r="J504" s="38">
        <f>IF(D504="G",I504/AJ504,I504/Q504)</f>
        <v>2.1951984452909388</v>
      </c>
      <c r="K504" s="37">
        <f>IF(Settings!$E$18="C/LW/RW",VLOOKUP(B504,'C'!A1:F211,6,FALSE),VLOOKUP(B504,F!A1:F430,6,FALSE))</f>
        <v>-223.84302180140949</v>
      </c>
      <c r="L504" s="37">
        <f>IFERROR(K504/H504,"N/A")</f>
        <v>-106.59191514352833</v>
      </c>
      <c r="M504" s="53" t="str">
        <f>IF(Settings!$E$9="YAHOO",VLOOKUP(B504,ADP!A1:E728,2,FALSE),IF(Settings!$E$9="ESPN",VLOOKUP(B504,ADP!A1:E728,3,FALSE),IF(Settings!$E$9="FANTRAX",VLOOKUP(B504,ADP!A1:E728,4,FALSE),VLOOKUP(B504,ADP!A1:E728,5,FALSE))))</f>
        <v>-</v>
      </c>
      <c r="N504" s="53" t="str">
        <f>IFERROR(M504-A504,"N/A")</f>
        <v>N/A</v>
      </c>
      <c r="O504" s="39"/>
      <c r="P504" s="40" t="str">
        <f>IF(Settings!$E$27="ON",VLOOKUP(B504,ADP!A1:H728,8,FALSE)," ")</f>
        <v xml:space="preserve"> </v>
      </c>
      <c r="Q504" s="41">
        <f>IF(Settings!$E$12="YES",VLOOKUP(B504,'Player Data'!A1:E734,5,FALSE),82)</f>
        <v>77.207499999999996</v>
      </c>
      <c r="R504" s="39">
        <f>VLOOKUP(B504,'Player Data'!$A1:$AE734,6,FALSE)</f>
        <v>14.326361312907199</v>
      </c>
      <c r="S504" s="41">
        <f>VLOOKUP(B504,'Player Data'!$A1:$AE734,7,FALSE)*$Q504*IFERROR((VLOOKUP(P504,Settings!$E$28:$F$33,2,FALSE)+1),1)</f>
        <v>15.179635726703109</v>
      </c>
      <c r="T504" s="41">
        <f>VLOOKUP(B504,'Player Data'!$A1:$AE734,8,FALSE)*$Q504*IFERROR((VLOOKUP(P504,Settings!$E$28:$F$33,2,FALSE)+1),1)</f>
        <v>17.53480863042774</v>
      </c>
      <c r="U504" s="41">
        <f>SUM(S504:T504)</f>
        <v>32.714444357130851</v>
      </c>
      <c r="V504" s="41">
        <f>VLOOKUP(B504,'Player Data'!$A1:$AE734,10,FALSE)*$Q504*IFERROR(((VLOOKUP(P504,Settings!$E$28:$F$33,2,FALSE)/2)+1),1)</f>
        <v>109.88385340022434</v>
      </c>
      <c r="W504" s="41">
        <f>VLOOKUP(B504,'Player Data'!$A1:$AE734,11,FALSE)*$Q504*IFERROR((VLOOKUP(P504,Settings!$E$28:$F$33,2,FALSE)+1),1)</f>
        <v>1.5527331973428091</v>
      </c>
      <c r="X504" s="41">
        <f>VLOOKUP(B504,'Player Data'!$A1:$AE734,12,FALSE)*$Q504*IFERROR((VLOOKUP(P504,Settings!$E$28:$F$33,2,FALSE)+1),1)</f>
        <v>3.700150446594149</v>
      </c>
      <c r="Y504" s="41">
        <f>VLOOKUP(B504,'Player Data'!$A1:$AE734,13,FALSE)*$Q504</f>
        <v>0.93330363933539306</v>
      </c>
      <c r="Z504" s="41">
        <f>VLOOKUP(B504,'Player Data'!$A1:$AE734,14,FALSE)*$Q504</f>
        <v>2.2321587451823666</v>
      </c>
      <c r="AA504" s="41">
        <f>VLOOKUP(B504,'Player Data'!$A1:$AE734,15,FALSE)*$Q504</f>
        <v>22.679529048712119</v>
      </c>
      <c r="AB504" s="41">
        <f>VLOOKUP(B504,'Player Data'!$A1:$AE734,16,FALSE)*$Q504</f>
        <v>57.572757473822278</v>
      </c>
      <c r="AC504" s="41">
        <f>VLOOKUP(B504,'Player Data'!$A1:$AE734,17,FALSE)*$Q504*IFERROR((VLOOKUP(P504,Settings!$E$28:$F$33,2,FALSE)+1),1)</f>
        <v>4.2964830606729292</v>
      </c>
      <c r="AD504" s="41">
        <f>VLOOKUP(B504,'Player Data'!$A1:$AE734,18,FALSE)*$Q504</f>
        <v>13.469983431813951</v>
      </c>
      <c r="AE504" s="41">
        <f>VLOOKUP(B504,'Player Data'!$A1:$AE734,19,FALSE)*$Q504*IFERROR((VLOOKUP(P504,Settings!$E$28:$F$33,2,FALSE)+1),1)</f>
        <v>2.4386044448088291</v>
      </c>
      <c r="AF504" s="41">
        <f>VLOOKUP(B504,'Player Data'!$A1:$AE734,20,FALSE)*$Q504</f>
        <v>75.434777439365831</v>
      </c>
      <c r="AG504" s="41">
        <f>VLOOKUP(B504,'Player Data'!$A1:$AE734,21,FALSE)*$Q504</f>
        <v>85.957973033787525</v>
      </c>
      <c r="AH504" s="42">
        <f>VLOOKUP(B504,'Player Data'!$A1:$AE734,22,FALSE)</f>
        <v>0.46739879714680299</v>
      </c>
      <c r="AI504" s="39"/>
      <c r="AJ504" s="43"/>
      <c r="AK504" s="41"/>
      <c r="AL504" s="41"/>
      <c r="AM504" s="41"/>
      <c r="AN504" s="41"/>
      <c r="AO504" s="41"/>
      <c r="AP504" s="41"/>
      <c r="AQ504" s="44"/>
      <c r="AR504" s="45"/>
      <c r="AS504" s="39"/>
    </row>
    <row r="505" spans="1:45" ht="21.25" customHeight="1" x14ac:dyDescent="0.15">
      <c r="A505" s="31">
        <f>RANK(K505,K$2:K$727)</f>
        <v>504</v>
      </c>
      <c r="B505" s="8" t="s">
        <v>609</v>
      </c>
      <c r="C505" s="32" t="s">
        <v>106</v>
      </c>
      <c r="D505" s="33" t="str">
        <f>VLOOKUP(B505,'Player Data'!A1:D734,4,FALSE)</f>
        <v>D</v>
      </c>
      <c r="E505" s="49">
        <f>VLOOKUP(B505,D!A1:C227,3,FALSE)</f>
        <v>187</v>
      </c>
      <c r="F505" s="35" t="str">
        <f>VLOOKUP(B505,'Player Data'!A1:B734,2,FALSE)</f>
        <v>MIN</v>
      </c>
      <c r="G505" s="9">
        <f>VLOOKUP(B505,'Player Data'!A1:D734,3,FALSE)</f>
        <v>31</v>
      </c>
      <c r="H505" s="36">
        <f>IFERROR(VLOOKUP(B505,ADP!A1:G728,7,FALSE)/1000000,VLOOKUP(B505,ADP!A1:G728,7,FALSE))</f>
        <v>1.2</v>
      </c>
      <c r="I505" s="37">
        <f>IF(Settings!$E$15="POINTS",((R505*Q505)*Settings!$B$12)+(S505*Settings!$B$2)+(T505*Settings!$B$3)+(U505*Settings!$B$4)+(V505*Settings!$B$5)+(X505*Settings!$B$9)+(AA505*Settings!$B$6)+(W505*Settings!$B$8)+(AB505*Settings!$B$7)+(AC505*Settings!$B$14)+(AD505*Settings!$B$15)+(AE505*Settings!$B$16)+(AF505*Settings!$B$17)+(AG505*Settings!$B$18)+(U505*Settings!$B$13)+(Y505*Settings!$B$10)+(Z505*Settings!$B$11),VLOOKUP(B505,'Standard Deviations'!A1:C728,3,FALSE))</f>
        <v>87.644356579731081</v>
      </c>
      <c r="J505" s="38">
        <f>IF(D505="G",I505/AJ505,I505/Q505)</f>
        <v>1.1590102695018656</v>
      </c>
      <c r="K505" s="37">
        <f>VLOOKUP(B505,D!A1:F227,6,FALSE)</f>
        <v>-223.92112504819636</v>
      </c>
      <c r="L505" s="37">
        <f>IFERROR(K505/H505,"N/A")</f>
        <v>-186.60093754016364</v>
      </c>
      <c r="M505" s="53" t="str">
        <f>IF(Settings!$E$9="YAHOO",VLOOKUP(B505,ADP!A1:E728,2,FALSE),IF(Settings!$E$9="ESPN",VLOOKUP(B505,ADP!A1:E728,3,FALSE),IF(Settings!$E$9="FANTRAX",VLOOKUP(B505,ADP!A1:E728,4,FALSE),VLOOKUP(B505,ADP!A1:E728,5,FALSE))))</f>
        <v>-</v>
      </c>
      <c r="N505" s="53" t="str">
        <f>IFERROR(M505-A505,"N/A")</f>
        <v>N/A</v>
      </c>
      <c r="O505" s="39"/>
      <c r="P505" s="40" t="str">
        <f>IF(Settings!$E$27="ON",VLOOKUP(B505,ADP!A1:H728,8,FALSE)," ")</f>
        <v xml:space="preserve"> </v>
      </c>
      <c r="Q505" s="41">
        <f>IF(Settings!$E$12="YES",VLOOKUP(B505,'Player Data'!A1:E734,5,FALSE),82)</f>
        <v>75.62</v>
      </c>
      <c r="R505" s="39">
        <f>VLOOKUP(B505,'Player Data'!$A1:$AE734,6,FALSE)</f>
        <v>15.115095029586801</v>
      </c>
      <c r="S505" s="41">
        <f>VLOOKUP(B505,'Player Data'!$A1:$AE734,7,FALSE)*$Q505*IFERROR((VLOOKUP(P505,Settings!$E$28:$F$33,2,FALSE)+1),1)</f>
        <v>2.241060553533091</v>
      </c>
      <c r="T505" s="41">
        <f>VLOOKUP(B505,'Player Data'!$A1:$AE734,8,FALSE)*$Q505*IFERROR((VLOOKUP(P505,Settings!$E$28:$F$33,2,FALSE)+1),1)</f>
        <v>11.148818890197697</v>
      </c>
      <c r="U505" s="41">
        <f>SUM(S505:T505)</f>
        <v>13.389879443730788</v>
      </c>
      <c r="V505" s="41">
        <f>VLOOKUP(B505,'Player Data'!$A1:$AE734,10,FALSE)*$Q505*IFERROR(((VLOOKUP(P505,Settings!$E$28:$F$33,2,FALSE)/2)+1),1)</f>
        <v>53.209496784236585</v>
      </c>
      <c r="W505" s="41">
        <f>VLOOKUP(B505,'Player Data'!$A1:$AE734,11,FALSE)*$Q505*IFERROR((VLOOKUP(P505,Settings!$E$28:$F$33,2,FALSE)+1),1)</f>
        <v>1.5570404696083954E-2</v>
      </c>
      <c r="X505" s="41">
        <f>VLOOKUP(B505,'Player Data'!$A1:$AE734,12,FALSE)*$Q505*IFERROR((VLOOKUP(P505,Settings!$E$28:$F$33,2,FALSE)+1),1)</f>
        <v>0.11200517858831237</v>
      </c>
      <c r="Y505" s="41">
        <f>VLOOKUP(B505,'Player Data'!$A1:$AE734,13,FALSE)*$Q505</f>
        <v>1.9054004964614176E-2</v>
      </c>
      <c r="Z505" s="41">
        <f>VLOOKUP(B505,'Player Data'!$A1:$AE734,14,FALSE)*$Q505</f>
        <v>7.5084819633021715E-2</v>
      </c>
      <c r="AA505" s="41">
        <f>VLOOKUP(B505,'Player Data'!$A1:$AE734,15,FALSE)*$Q505</f>
        <v>102.4789492998888</v>
      </c>
      <c r="AB505" s="41">
        <f>VLOOKUP(B505,'Player Data'!$A1:$AE734,16,FALSE)*$Q505</f>
        <v>63.440686802217051</v>
      </c>
      <c r="AC505" s="41">
        <f>VLOOKUP(B505,'Player Data'!$A1:$AE734,17,FALSE)*$Q505*IFERROR((VLOOKUP(P505,Settings!$E$28:$F$33,2,FALSE)+1),1)</f>
        <v>1.1444410430080203</v>
      </c>
      <c r="AD505" s="41">
        <f>VLOOKUP(B505,'Player Data'!$A1:$AE734,18,FALSE)*$Q505</f>
        <v>29.837996839689083</v>
      </c>
      <c r="AE505" s="41">
        <f>VLOOKUP(B505,'Player Data'!$A1:$AE734,19,FALSE)*$Q505*IFERROR((VLOOKUP(P505,Settings!$E$28:$F$33,2,FALSE)+1),1)</f>
        <v>0.35986147068241997</v>
      </c>
      <c r="AF505" s="41">
        <f>VLOOKUP(B505,'Player Data'!$A1:$AE734,20,FALSE)*$Q505</f>
        <v>0</v>
      </c>
      <c r="AG505" s="41">
        <f>VLOOKUP(B505,'Player Data'!$A1:$AE734,21,FALSE)*$Q505</f>
        <v>0</v>
      </c>
      <c r="AH505" s="42">
        <f>VLOOKUP(B505,'Player Data'!$A1:$AE734,22,FALSE)</f>
        <v>0</v>
      </c>
      <c r="AI505" s="39"/>
      <c r="AJ505" s="41"/>
      <c r="AK505" s="41"/>
      <c r="AL505" s="41"/>
      <c r="AM505" s="41"/>
      <c r="AN505" s="41"/>
      <c r="AO505" s="41"/>
      <c r="AP505" s="41"/>
      <c r="AQ505" s="44"/>
      <c r="AR505" s="45"/>
      <c r="AS505" s="39"/>
    </row>
    <row r="506" spans="1:45" ht="21.25" customHeight="1" x14ac:dyDescent="0.15">
      <c r="A506" s="31">
        <f>RANK(K506,K$2:K$727)</f>
        <v>505</v>
      </c>
      <c r="B506" s="8" t="s">
        <v>610</v>
      </c>
      <c r="C506" s="32" t="s">
        <v>106</v>
      </c>
      <c r="D506" s="33" t="str">
        <f>VLOOKUP(B506,'Player Data'!A1:D734,4,FALSE)</f>
        <v>LW</v>
      </c>
      <c r="E506" s="47">
        <f>VLOOKUP(B506,LW!A1:C130,3,FALSE)</f>
        <v>89</v>
      </c>
      <c r="F506" s="35" t="str">
        <f>VLOOKUP(B506,'Player Data'!A1:B734,2,FALSE)</f>
        <v>SJS</v>
      </c>
      <c r="G506" s="9">
        <f>VLOOKUP(B506,'Player Data'!A1:D734,3,FALSE)</f>
        <v>23</v>
      </c>
      <c r="H506" s="36">
        <f>IFERROR(VLOOKUP(B506,ADP!A1:G728,7,FALSE)/1000000,VLOOKUP(B506,ADP!A1:G728,7,FALSE))</f>
        <v>1.45</v>
      </c>
      <c r="I506" s="37">
        <f>IF(Settings!$E$15="POINTS",((R506*Q506)*Settings!$B$12)+(S506*Settings!$B$2)+(T506*Settings!$B$3)+(U506*Settings!$B$4)+(V506*Settings!$B$5)+(X506*Settings!$B$9)+(AA506*Settings!$B$6)+(W506*Settings!$B$8)+(AB506*Settings!$B$7)+(AC506*Settings!$B$14)+(AD506*Settings!$B$15)+(AE506*Settings!$B$16)+(AF506*Settings!$B$17)+(AG506*Settings!$B$18)+(Y506*Settings!$B$10)+(Z506*Settings!$B$11),VLOOKUP(B506,'Standard Deviations'!A1:C728,3,FALSE))</f>
        <v>140.03848309812332</v>
      </c>
      <c r="J506" s="38">
        <f>IF(D506="G",I506/AJ506,I506/Q506)</f>
        <v>2.1244507619088</v>
      </c>
      <c r="K506" s="37">
        <f>IF(Settings!$E$18="C/LW/RW",VLOOKUP(B506,LW!A1:F130,6,FALSE),VLOOKUP(B506,F!A1:F430,6,FALSE))</f>
        <v>-224.00212175952714</v>
      </c>
      <c r="L506" s="37">
        <f>IFERROR(K506/H506,"N/A")</f>
        <v>-154.48422190312218</v>
      </c>
      <c r="M506" s="53" t="str">
        <f>IF(Settings!$E$9="YAHOO",VLOOKUP(B506,ADP!A1:E728,2,FALSE),IF(Settings!$E$9="ESPN",VLOOKUP(B506,ADP!A1:E728,3,FALSE),IF(Settings!$E$9="FANTRAX",VLOOKUP(B506,ADP!A1:E728,4,FALSE),VLOOKUP(B506,ADP!A1:E728,5,FALSE))))</f>
        <v>-</v>
      </c>
      <c r="N506" s="53" t="str">
        <f>IFERROR(M506-A506,"N/A")</f>
        <v>N/A</v>
      </c>
      <c r="O506" s="39"/>
      <c r="P506" s="40" t="str">
        <f>IF(Settings!$E$27="ON",VLOOKUP(B506,ADP!A1:H728,8,FALSE)," ")</f>
        <v xml:space="preserve"> </v>
      </c>
      <c r="Q506" s="41">
        <f>IF(Settings!$E$12="YES",VLOOKUP(B506,'Player Data'!A1:E734,5,FALSE),82)</f>
        <v>65.917500000000004</v>
      </c>
      <c r="R506" s="39">
        <f>VLOOKUP(B506,'Player Data'!$A1:$AE734,6,FALSE)</f>
        <v>12.9291446136325</v>
      </c>
      <c r="S506" s="41">
        <f>VLOOKUP(B506,'Player Data'!$A1:$AE734,7,FALSE)*$Q506*IFERROR((VLOOKUP(P506,Settings!$E$28:$F$33,2,FALSE)+1),1)</f>
        <v>8.3770609149098743</v>
      </c>
      <c r="T506" s="41">
        <f>VLOOKUP(B506,'Player Data'!$A1:$AE734,8,FALSE)*$Q506*IFERROR((VLOOKUP(P506,Settings!$E$28:$F$33,2,FALSE)+1),1)</f>
        <v>17.323504140183584</v>
      </c>
      <c r="U506" s="41">
        <f>SUM(S506:T506)</f>
        <v>25.700565055093456</v>
      </c>
      <c r="V506" s="41">
        <f>VLOOKUP(B506,'Player Data'!$A1:$AE734,10,FALSE)*$Q506*IFERROR(((VLOOKUP(P506,Settings!$E$28:$F$33,2,FALSE)/2)+1),1)</f>
        <v>110.83903102896613</v>
      </c>
      <c r="W506" s="41">
        <f>VLOOKUP(B506,'Player Data'!$A1:$AE734,11,FALSE)*$Q506*IFERROR((VLOOKUP(P506,Settings!$E$28:$F$33,2,FALSE)+1),1)</f>
        <v>0.56014468466037015</v>
      </c>
      <c r="X506" s="41">
        <f>VLOOKUP(B506,'Player Data'!$A1:$AE734,12,FALSE)*$Q506*IFERROR((VLOOKUP(P506,Settings!$E$28:$F$33,2,FALSE)+1),1)</f>
        <v>1.5244931248302127</v>
      </c>
      <c r="Y506" s="41">
        <f>VLOOKUP(B506,'Player Data'!$A1:$AE734,13,FALSE)*$Q506</f>
        <v>5.6422731589701614E-3</v>
      </c>
      <c r="Z506" s="41">
        <f>VLOOKUP(B506,'Player Data'!$A1:$AE734,14,FALSE)*$Q506</f>
        <v>1.0103160193768009E-2</v>
      </c>
      <c r="AA506" s="41">
        <f>VLOOKUP(B506,'Player Data'!$A1:$AE734,15,FALSE)*$Q506</f>
        <v>22.240399241559576</v>
      </c>
      <c r="AB506" s="41">
        <f>VLOOKUP(B506,'Player Data'!$A1:$AE734,16,FALSE)*$Q506</f>
        <v>57.050286040212065</v>
      </c>
      <c r="AC506" s="41">
        <f>VLOOKUP(B506,'Player Data'!$A1:$AE734,17,FALSE)*$Q506*IFERROR((VLOOKUP(P506,Settings!$E$28:$F$33,2,FALSE)+1),1)</f>
        <v>-0.23466030067476754</v>
      </c>
      <c r="AD506" s="41">
        <f>VLOOKUP(B506,'Player Data'!$A1:$AE734,18,FALSE)*$Q506</f>
        <v>15.134839572064818</v>
      </c>
      <c r="AE506" s="41">
        <f>VLOOKUP(B506,'Player Data'!$A1:$AE734,19,FALSE)*$Q506*IFERROR((VLOOKUP(P506,Settings!$E$28:$F$33,2,FALSE)+1),1)</f>
        <v>1.0171573425355949</v>
      </c>
      <c r="AF506" s="41">
        <f>VLOOKUP(B506,'Player Data'!$A1:$AE734,20,FALSE)*$Q506</f>
        <v>7.2851595880995577</v>
      </c>
      <c r="AG506" s="41">
        <f>VLOOKUP(B506,'Player Data'!$A1:$AE734,21,FALSE)*$Q506</f>
        <v>8.9175850743177616</v>
      </c>
      <c r="AH506" s="42">
        <f>VLOOKUP(B506,'Player Data'!$A1:$AE734,22,FALSE)</f>
        <v>0.44962503204766602</v>
      </c>
      <c r="AI506" s="39"/>
      <c r="AJ506" s="43"/>
      <c r="AK506" s="41"/>
      <c r="AL506" s="41"/>
      <c r="AM506" s="41"/>
      <c r="AN506" s="41"/>
      <c r="AO506" s="41"/>
      <c r="AP506" s="41"/>
      <c r="AQ506" s="44"/>
      <c r="AR506" s="45"/>
      <c r="AS506" s="39"/>
    </row>
    <row r="507" spans="1:45" ht="21.25" customHeight="1" x14ac:dyDescent="0.15">
      <c r="A507" s="31">
        <f>RANK(K507,K$2:K$727)</f>
        <v>506</v>
      </c>
      <c r="B507" s="8" t="s">
        <v>611</v>
      </c>
      <c r="C507" s="32" t="s">
        <v>106</v>
      </c>
      <c r="D507" s="33" t="str">
        <f>VLOOKUP(B507,'Player Data'!A1:D734,4,FALSE)</f>
        <v>C</v>
      </c>
      <c r="E507" s="34">
        <f>VLOOKUP(B507,'C'!A1:C211,3,FALSE)</f>
        <v>119</v>
      </c>
      <c r="F507" s="35" t="str">
        <f>VLOOKUP(B507,'Player Data'!A1:B734,2,FALSE)</f>
        <v>PIT</v>
      </c>
      <c r="G507" s="9">
        <f>VLOOKUP(B507,'Player Data'!A1:D734,3,FALSE)</f>
        <v>38</v>
      </c>
      <c r="H507" s="36">
        <f>IFERROR(VLOOKUP(B507,ADP!A1:G728,7,FALSE)/1000000,VLOOKUP(B507,ADP!A1:G728,7,FALSE))</f>
        <v>3.125</v>
      </c>
      <c r="I507" s="37">
        <f>IF(Settings!$E$15="POINTS",((R507*Q507)*Settings!$B$12)+(S507*Settings!$B$2)+(T507*Settings!$B$3)+(U507*Settings!$B$4)+(V507*Settings!$B$5)+(X507*Settings!$B$9)+(AA507*Settings!$B$6)+(W507*Settings!$B$8)+(AB507*Settings!$B$7)+(AC507*Settings!$B$14)+(AD507*Settings!$B$15)+(AE507*Settings!$B$16)+(AF507*Settings!$B$17)+(AG507*Settings!$B$18)+(Y507*Settings!$B$10)+(Z507*Settings!$B$11),VLOOKUP(B507,'Standard Deviations'!A1:C728,3,FALSE))</f>
        <v>169.26202783088996</v>
      </c>
      <c r="J507" s="38">
        <f>IF(D507="G",I507/AJ507,I507/Q507)</f>
        <v>2.1057822828563189</v>
      </c>
      <c r="K507" s="37">
        <f>IF(Settings!$E$18="C/LW/RW",VLOOKUP(B507,'C'!A1:F211,6,FALSE),VLOOKUP(B507,F!A1:F430,6,FALSE))</f>
        <v>-224.06677793531969</v>
      </c>
      <c r="L507" s="37">
        <f>IFERROR(K507/H507,"N/A")</f>
        <v>-71.701368939302299</v>
      </c>
      <c r="M507" s="53" t="str">
        <f>IF(Settings!$E$9="YAHOO",VLOOKUP(B507,ADP!A1:E728,2,FALSE),IF(Settings!$E$9="ESPN",VLOOKUP(B507,ADP!A1:E728,3,FALSE),IF(Settings!$E$9="FANTRAX",VLOOKUP(B507,ADP!A1:E728,4,FALSE),VLOOKUP(B507,ADP!A1:E728,5,FALSE))))</f>
        <v>-</v>
      </c>
      <c r="N507" s="53" t="str">
        <f>IFERROR(M507-A507,"N/A")</f>
        <v>N/A</v>
      </c>
      <c r="O507" s="39"/>
      <c r="P507" s="40" t="str">
        <f>IF(Settings!$E$27="ON",VLOOKUP(B507,ADP!A1:H728,8,FALSE)," ")</f>
        <v xml:space="preserve"> </v>
      </c>
      <c r="Q507" s="41">
        <f>IF(Settings!$E$12="YES",VLOOKUP(B507,'Player Data'!A1:E734,5,FALSE),82)</f>
        <v>80.379642857142898</v>
      </c>
      <c r="R507" s="39">
        <f>VLOOKUP(B507,'Player Data'!$A1:$AE734,6,FALSE)</f>
        <v>13.1988288162821</v>
      </c>
      <c r="S507" s="41">
        <f>VLOOKUP(B507,'Player Data'!$A1:$AE734,7,FALSE)*$Q507*IFERROR((VLOOKUP(P507,Settings!$E$28:$F$33,2,FALSE)+1),1)</f>
        <v>11.530999787631851</v>
      </c>
      <c r="T507" s="41">
        <f>VLOOKUP(B507,'Player Data'!$A1:$AE734,8,FALSE)*$Q507*IFERROR((VLOOKUP(P507,Settings!$E$28:$F$33,2,FALSE)+1),1)</f>
        <v>15.046428681158833</v>
      </c>
      <c r="U507" s="41">
        <f>SUM(S507:T507)</f>
        <v>26.577428468790686</v>
      </c>
      <c r="V507" s="41">
        <f>VLOOKUP(B507,'Player Data'!$A1:$AE734,10,FALSE)*$Q507*IFERROR(((VLOOKUP(P507,Settings!$E$28:$F$33,2,FALSE)/2)+1),1)</f>
        <v>140.62770847454732</v>
      </c>
      <c r="W507" s="41">
        <f>VLOOKUP(B507,'Player Data'!$A1:$AE734,11,FALSE)*$Q507*IFERROR((VLOOKUP(P507,Settings!$E$28:$F$33,2,FALSE)+1),1)</f>
        <v>1.7654167290158822</v>
      </c>
      <c r="X507" s="41">
        <f>VLOOKUP(B507,'Player Data'!$A1:$AE734,12,FALSE)*$Q507*IFERROR((VLOOKUP(P507,Settings!$E$28:$F$33,2,FALSE)+1),1)</f>
        <v>4.0602799575845774</v>
      </c>
      <c r="Y507" s="41">
        <f>VLOOKUP(B507,'Player Data'!$A1:$AE734,13,FALSE)*$Q507</f>
        <v>0.29892035583470117</v>
      </c>
      <c r="Z507" s="41">
        <f>VLOOKUP(B507,'Player Data'!$A1:$AE734,14,FALSE)*$Q507</f>
        <v>0.76288123604953084</v>
      </c>
      <c r="AA507" s="41">
        <f>VLOOKUP(B507,'Player Data'!$A1:$AE734,15,FALSE)*$Q507</f>
        <v>47.847828999880008</v>
      </c>
      <c r="AB507" s="41">
        <f>VLOOKUP(B507,'Player Data'!$A1:$AE734,16,FALSE)*$Q507</f>
        <v>82.526715538316765</v>
      </c>
      <c r="AC507" s="41">
        <f>VLOOKUP(B507,'Player Data'!$A1:$AE734,17,FALSE)*$Q507*IFERROR((VLOOKUP(P507,Settings!$E$28:$F$33,2,FALSE)+1),1)</f>
        <v>7.1830678517991797E-2</v>
      </c>
      <c r="AD507" s="41">
        <f>VLOOKUP(B507,'Player Data'!$A1:$AE734,18,FALSE)*$Q507</f>
        <v>28.573682582413586</v>
      </c>
      <c r="AE507" s="41">
        <f>VLOOKUP(B507,'Player Data'!$A1:$AE734,19,FALSE)*$Q507*IFERROR((VLOOKUP(P507,Settings!$E$28:$F$33,2,FALSE)+1),1)</f>
        <v>1.8351512699122543</v>
      </c>
      <c r="AF507" s="41">
        <f>VLOOKUP(B507,'Player Data'!$A1:$AE734,20,FALSE)*$Q507</f>
        <v>479.70200020921129</v>
      </c>
      <c r="AG507" s="41">
        <f>VLOOKUP(B507,'Player Data'!$A1:$AE734,21,FALSE)*$Q507</f>
        <v>370.38483683050163</v>
      </c>
      <c r="AH507" s="42">
        <f>VLOOKUP(B507,'Player Data'!$A1:$AE734,22,FALSE)</f>
        <v>0.56429764502611801</v>
      </c>
      <c r="AI507" s="39"/>
      <c r="AJ507" s="43"/>
      <c r="AK507" s="41"/>
      <c r="AL507" s="41"/>
      <c r="AM507" s="41"/>
      <c r="AN507" s="41"/>
      <c r="AO507" s="41"/>
      <c r="AP507" s="41"/>
      <c r="AQ507" s="44"/>
      <c r="AR507" s="45"/>
      <c r="AS507" s="39"/>
    </row>
    <row r="508" spans="1:45" ht="21.25" customHeight="1" x14ac:dyDescent="0.15">
      <c r="A508" s="31">
        <f>RANK(K508,K$2:K$727)</f>
        <v>507</v>
      </c>
      <c r="B508" s="8" t="s">
        <v>612</v>
      </c>
      <c r="C508" s="32" t="s">
        <v>106</v>
      </c>
      <c r="D508" s="33" t="str">
        <f>VLOOKUP(B508,'Player Data'!A1:D734,4,FALSE)</f>
        <v>RW</v>
      </c>
      <c r="E508" s="46">
        <f>VLOOKUP(B508,RW!A1:F97,3,FALSE)</f>
        <v>72</v>
      </c>
      <c r="F508" s="35" t="str">
        <f>VLOOKUP(B508,'Player Data'!A1:B734,2,FALSE)</f>
        <v>PHI</v>
      </c>
      <c r="G508" s="9">
        <f>VLOOKUP(B508,'Player Data'!A1:D734,3,FALSE)</f>
        <v>25</v>
      </c>
      <c r="H508" s="36">
        <f>IFERROR(VLOOKUP(B508,ADP!A1:G728,7,FALSE)/1000000,VLOOKUP(B508,ADP!A1:G728,7,FALSE))</f>
        <v>0.78500000000000003</v>
      </c>
      <c r="I508" s="37">
        <f>IF(Settings!$E$15="POINTS",((R508*Q508)*Settings!$B$12)+(S508*Settings!$B$2)+(T508*Settings!$B$3)+(U508*Settings!$B$4)+(V508*Settings!$B$5)+(X508*Settings!$B$9)+(AA508*Settings!$B$6)+(W508*Settings!$B$8)+(AB508*Settings!$B$7)+(AC508*Settings!$B$14)+(AD508*Settings!$B$15)+(AE508*Settings!$B$16)+(AF508*Settings!$B$17)+(AG508*Settings!$B$18)+(Y508*Settings!$B$10)+(Z508*Settings!$B$11),VLOOKUP(B508,'Standard Deviations'!A1:C728,3,FALSE))</f>
        <v>125.93776718180779</v>
      </c>
      <c r="J508" s="38">
        <f>IF(D508="G",I508/AJ508,I508/Q508)</f>
        <v>1.9023831900575194</v>
      </c>
      <c r="K508" s="37">
        <f>IF(Settings!$E$18="C/LW/RW",VLOOKUP(B508,RW!A1:F97,6,FALSE),VLOOKUP(B508,F!A1:F430,6,FALSE))</f>
        <v>-224.3337733660818</v>
      </c>
      <c r="L508" s="37">
        <f>IFERROR(K508/H508,"N/A")</f>
        <v>-285.77550747271567</v>
      </c>
      <c r="M508" s="53" t="str">
        <f>IF(Settings!$E$9="YAHOO",VLOOKUP(B508,ADP!A1:E728,2,FALSE),IF(Settings!$E$9="ESPN",VLOOKUP(B508,ADP!A1:E728,3,FALSE),IF(Settings!$E$9="FANTRAX",VLOOKUP(B508,ADP!A1:E728,4,FALSE),VLOOKUP(B508,ADP!A1:E728,5,FALSE))))</f>
        <v>-</v>
      </c>
      <c r="N508" s="53" t="str">
        <f>IFERROR(M508-A508,"N/A")</f>
        <v>N/A</v>
      </c>
      <c r="O508" s="39"/>
      <c r="P508" s="40" t="str">
        <f>IF(Settings!$E$27="ON",VLOOKUP(B508,ADP!A1:H728,8,FALSE)," ")</f>
        <v xml:space="preserve"> </v>
      </c>
      <c r="Q508" s="41">
        <f>IF(Settings!$E$12="YES",VLOOKUP(B508,'Player Data'!A1:E734,5,FALSE),82)</f>
        <v>66.2</v>
      </c>
      <c r="R508" s="39">
        <f>VLOOKUP(B508,'Player Data'!$A1:$AE734,6,FALSE)</f>
        <v>12.9229472122967</v>
      </c>
      <c r="S508" s="41">
        <f>VLOOKUP(B508,'Player Data'!$A1:$AE734,7,FALSE)*$Q508*IFERROR((VLOOKUP(P508,Settings!$E$28:$F$33,2,FALSE)+1),1)</f>
        <v>10.847548419563294</v>
      </c>
      <c r="T508" s="41">
        <f>VLOOKUP(B508,'Player Data'!$A1:$AE734,8,FALSE)*$Q508*IFERROR((VLOOKUP(P508,Settings!$E$28:$F$33,2,FALSE)+1),1)</f>
        <v>10.058001599949112</v>
      </c>
      <c r="U508" s="41">
        <f>SUM(S508:T508)</f>
        <v>20.905550019512404</v>
      </c>
      <c r="V508" s="41">
        <f>VLOOKUP(B508,'Player Data'!$A1:$AE734,10,FALSE)*$Q508*IFERROR(((VLOOKUP(P508,Settings!$E$28:$F$33,2,FALSE)/2)+1),1)</f>
        <v>99.92961013830778</v>
      </c>
      <c r="W508" s="41">
        <f>VLOOKUP(B508,'Player Data'!$A1:$AE734,11,FALSE)*$Q508*IFERROR((VLOOKUP(P508,Settings!$E$28:$F$33,2,FALSE)+1),1)</f>
        <v>0.31450802283815638</v>
      </c>
      <c r="X508" s="41">
        <f>VLOOKUP(B508,'Player Data'!$A1:$AE734,12,FALSE)*$Q508*IFERROR((VLOOKUP(P508,Settings!$E$28:$F$33,2,FALSE)+1),1)</f>
        <v>0.67459152267392719</v>
      </c>
      <c r="Y508" s="41">
        <f>VLOOKUP(B508,'Player Data'!$A1:$AE734,13,FALSE)*$Q508</f>
        <v>5.6065219474426041E-3</v>
      </c>
      <c r="Z508" s="41">
        <f>VLOOKUP(B508,'Player Data'!$A1:$AE734,14,FALSE)*$Q508</f>
        <v>1.0322672030351362E-2</v>
      </c>
      <c r="AA508" s="41">
        <f>VLOOKUP(B508,'Player Data'!$A1:$AE734,15,FALSE)*$Q508</f>
        <v>59.432418323540723</v>
      </c>
      <c r="AB508" s="41">
        <f>VLOOKUP(B508,'Player Data'!$A1:$AE734,16,FALSE)*$Q508</f>
        <v>176.77240007085615</v>
      </c>
      <c r="AC508" s="41">
        <f>VLOOKUP(B508,'Player Data'!$A1:$AE734,17,FALSE)*$Q508*IFERROR((VLOOKUP(P508,Settings!$E$28:$F$33,2,FALSE)+1),1)</f>
        <v>-4.4754236877535662</v>
      </c>
      <c r="AD508" s="41">
        <f>VLOOKUP(B508,'Player Data'!$A1:$AE734,18,FALSE)*$Q508</f>
        <v>25.142114942754009</v>
      </c>
      <c r="AE508" s="41">
        <f>VLOOKUP(B508,'Player Data'!$A1:$AE734,19,FALSE)*$Q508*IFERROR((VLOOKUP(P508,Settings!$E$28:$F$33,2,FALSE)+1),1)</f>
        <v>1.2750820474725504</v>
      </c>
      <c r="AF508" s="41">
        <f>VLOOKUP(B508,'Player Data'!$A1:$AE734,20,FALSE)*$Q508</f>
        <v>0.94929685502181427</v>
      </c>
      <c r="AG508" s="41">
        <f>VLOOKUP(B508,'Player Data'!$A1:$AE734,21,FALSE)*$Q508</f>
        <v>5.5806087885705686</v>
      </c>
      <c r="AH508" s="42">
        <f>VLOOKUP(B508,'Player Data'!$A1:$AE734,22,FALSE)</f>
        <v>0.14537681045258799</v>
      </c>
      <c r="AI508" s="39"/>
      <c r="AJ508" s="43"/>
      <c r="AK508" s="41"/>
      <c r="AL508" s="41"/>
      <c r="AM508" s="41"/>
      <c r="AN508" s="41"/>
      <c r="AO508" s="41"/>
      <c r="AP508" s="41"/>
      <c r="AQ508" s="44"/>
      <c r="AR508" s="45"/>
      <c r="AS508" s="39"/>
    </row>
    <row r="509" spans="1:45" ht="21.25" customHeight="1" x14ac:dyDescent="0.15">
      <c r="A509" s="31">
        <f>RANK(K509,K$2:K$727)</f>
        <v>508</v>
      </c>
      <c r="B509" s="8" t="s">
        <v>613</v>
      </c>
      <c r="C509" s="32" t="s">
        <v>106</v>
      </c>
      <c r="D509" s="33" t="str">
        <f>VLOOKUP(B509,'Player Data'!A1:D734,4,FALSE)</f>
        <v>D</v>
      </c>
      <c r="E509" s="49">
        <f>VLOOKUP(B509,D!A1:C227,3,FALSE)</f>
        <v>188</v>
      </c>
      <c r="F509" s="35" t="str">
        <f>VLOOKUP(B509,'Player Data'!A1:B734,2,FALSE)</f>
        <v>ARI</v>
      </c>
      <c r="G509" s="9">
        <f>VLOOKUP(B509,'Player Data'!A1:D734,3,FALSE)</f>
        <v>22</v>
      </c>
      <c r="H509" s="36">
        <f>IFERROR(VLOOKUP(B509,ADP!A1:G728,7,FALSE)/1000000,VLOOKUP(B509,ADP!A1:G728,7,FALSE))</f>
        <v>0</v>
      </c>
      <c r="I509" s="37">
        <f>IF(Settings!$E$15="POINTS",((R509*Q509)*Settings!$B$12)+(S509*Settings!$B$2)+(T509*Settings!$B$3)+(U509*Settings!$B$4)+(V509*Settings!$B$5)+(X509*Settings!$B$9)+(AA509*Settings!$B$6)+(W509*Settings!$B$8)+(AB509*Settings!$B$7)+(AC509*Settings!$B$14)+(AD509*Settings!$B$15)+(AE509*Settings!$B$16)+(AF509*Settings!$B$17)+(AG509*Settings!$B$18)+(U509*Settings!$B$13)+(Y509*Settings!$B$10)+(Z509*Settings!$B$11),VLOOKUP(B509,'Standard Deviations'!A1:C728,3,FALSE))</f>
        <v>87.154666770216778</v>
      </c>
      <c r="J509" s="38">
        <f>IF(D509="G",I509/AJ509,I509/Q509)</f>
        <v>1.5532624718770729</v>
      </c>
      <c r="K509" s="37">
        <f>VLOOKUP(B509,D!A1:F227,6,FALSE)</f>
        <v>-224.41081485771068</v>
      </c>
      <c r="L509" s="52" t="str">
        <f>IFERROR(K509/H509,"N/A")</f>
        <v>N/A</v>
      </c>
      <c r="M509" s="53" t="str">
        <f>IF(Settings!$E$9="YAHOO",VLOOKUP(B509,ADP!A1:E728,2,FALSE),IF(Settings!$E$9="ESPN",VLOOKUP(B509,ADP!A1:E728,3,FALSE),IF(Settings!$E$9="FANTRAX",VLOOKUP(B509,ADP!A1:E728,4,FALSE),VLOOKUP(B509,ADP!A1:E728,5,FALSE))))</f>
        <v>-</v>
      </c>
      <c r="N509" s="53" t="str">
        <f>IFERROR(M509-A509,"N/A")</f>
        <v>N/A</v>
      </c>
      <c r="O509" s="39"/>
      <c r="P509" s="40" t="str">
        <f>IF(Settings!$E$27="ON",VLOOKUP(B509,ADP!A1:H728,8,FALSE)," ")</f>
        <v xml:space="preserve"> </v>
      </c>
      <c r="Q509" s="41">
        <f>IF(Settings!$E$12="YES",VLOOKUP(B509,'Player Data'!A1:E734,5,FALSE),82)</f>
        <v>56.110714285714302</v>
      </c>
      <c r="R509" s="39">
        <f>VLOOKUP(B509,'Player Data'!$A1:$AE734,6,FALSE)</f>
        <v>16.5161842348652</v>
      </c>
      <c r="S509" s="41">
        <f>VLOOKUP(B509,'Player Data'!$A1:$AE734,7,FALSE)*$Q509*IFERROR((VLOOKUP(P509,Settings!$E$28:$F$33,2,FALSE)+1),1)</f>
        <v>1.8701334336794868</v>
      </c>
      <c r="T509" s="41">
        <f>VLOOKUP(B509,'Player Data'!$A1:$AE734,8,FALSE)*$Q509*IFERROR((VLOOKUP(P509,Settings!$E$28:$F$33,2,FALSE)+1),1)</f>
        <v>11.44483166841874</v>
      </c>
      <c r="U509" s="41">
        <f>SUM(S509:T509)</f>
        <v>13.314965102098226</v>
      </c>
      <c r="V509" s="41">
        <f>VLOOKUP(B509,'Player Data'!$A1:$AE734,10,FALSE)*$Q509*IFERROR(((VLOOKUP(P509,Settings!$E$28:$F$33,2,FALSE)/2)+1),1)</f>
        <v>60.067061504503641</v>
      </c>
      <c r="W509" s="41">
        <f>VLOOKUP(B509,'Player Data'!$A1:$AE734,11,FALSE)*$Q509*IFERROR((VLOOKUP(P509,Settings!$E$28:$F$33,2,FALSE)+1),1)</f>
        <v>8.8233332250573351E-2</v>
      </c>
      <c r="X509" s="41">
        <f>VLOOKUP(B509,'Player Data'!$A1:$AE734,12,FALSE)*$Q509*IFERROR((VLOOKUP(P509,Settings!$E$28:$F$33,2,FALSE)+1),1)</f>
        <v>1.4245750727883804</v>
      </c>
      <c r="Y509" s="41">
        <f>VLOOKUP(B509,'Player Data'!$A1:$AE734,13,FALSE)*$Q509</f>
        <v>1.3342912656712343E-2</v>
      </c>
      <c r="Z509" s="41">
        <f>VLOOKUP(B509,'Player Data'!$A1:$AE734,14,FALSE)*$Q509</f>
        <v>4.7793042727604471E-2</v>
      </c>
      <c r="AA509" s="41">
        <f>VLOOKUP(B509,'Player Data'!$A1:$AE734,15,FALSE)*$Q509</f>
        <v>71.157522403191635</v>
      </c>
      <c r="AB509" s="41">
        <f>VLOOKUP(B509,'Player Data'!$A1:$AE734,16,FALSE)*$Q509</f>
        <v>54.953035261072003</v>
      </c>
      <c r="AC509" s="41">
        <f>VLOOKUP(B509,'Player Data'!$A1:$AE734,17,FALSE)*$Q509*IFERROR((VLOOKUP(P509,Settings!$E$28:$F$33,2,FALSE)+1),1)</f>
        <v>-2.5228789535911602</v>
      </c>
      <c r="AD509" s="41">
        <f>VLOOKUP(B509,'Player Data'!$A1:$AE734,18,FALSE)*$Q509</f>
        <v>30.968659628924204</v>
      </c>
      <c r="AE509" s="41">
        <f>VLOOKUP(B509,'Player Data'!$A1:$AE734,19,FALSE)*$Q509*IFERROR((VLOOKUP(P509,Settings!$E$28:$F$33,2,FALSE)+1),1)</f>
        <v>0.23049393781500527</v>
      </c>
      <c r="AF509" s="41">
        <f>VLOOKUP(B509,'Player Data'!$A1:$AE734,20,FALSE)*$Q509</f>
        <v>0</v>
      </c>
      <c r="AG509" s="41">
        <f>VLOOKUP(B509,'Player Data'!$A1:$AE734,21,FALSE)*$Q509</f>
        <v>0</v>
      </c>
      <c r="AH509" s="42">
        <f>VLOOKUP(B509,'Player Data'!$A1:$AE734,22,FALSE)</f>
        <v>0</v>
      </c>
      <c r="AI509" s="39"/>
      <c r="AJ509" s="43"/>
      <c r="AK509" s="41"/>
      <c r="AL509" s="41"/>
      <c r="AM509" s="41"/>
      <c r="AN509" s="41"/>
      <c r="AO509" s="41"/>
      <c r="AP509" s="41"/>
      <c r="AQ509" s="44"/>
      <c r="AR509" s="45"/>
      <c r="AS509" s="39"/>
    </row>
    <row r="510" spans="1:45" ht="21.25" customHeight="1" x14ac:dyDescent="0.15">
      <c r="A510" s="31">
        <f>RANK(K510,K$2:K$727)</f>
        <v>509</v>
      </c>
      <c r="B510" s="8" t="s">
        <v>614</v>
      </c>
      <c r="C510" s="32" t="s">
        <v>106</v>
      </c>
      <c r="D510" s="33" t="str">
        <f>VLOOKUP(B510,'Player Data'!A1:D734,4,FALSE)</f>
        <v>C</v>
      </c>
      <c r="E510" s="34">
        <f>VLOOKUP(B510,'C'!A1:C211,3,FALSE)</f>
        <v>120</v>
      </c>
      <c r="F510" s="35" t="str">
        <f>VLOOKUP(B510,'Player Data'!A1:B734,2,FALSE)</f>
        <v>DET</v>
      </c>
      <c r="G510" s="9">
        <f>VLOOKUP(B510,'Player Data'!A1:D734,3,FALSE)</f>
        <v>24</v>
      </c>
      <c r="H510" s="36">
        <f>IFERROR(VLOOKUP(B510,ADP!A1:G728,7,FALSE)/1000000,VLOOKUP(B510,ADP!A1:G728,7,FALSE))</f>
        <v>1.46</v>
      </c>
      <c r="I510" s="37">
        <f>IF(Settings!$E$15="POINTS",((R510*Q510)*Settings!$B$12)+(S510*Settings!$B$2)+(T510*Settings!$B$3)+(U510*Settings!$B$4)+(V510*Settings!$B$5)+(X510*Settings!$B$9)+(AA510*Settings!$B$6)+(W510*Settings!$B$8)+(AB510*Settings!$B$7)+(AC510*Settings!$B$14)+(AD510*Settings!$B$15)+(AE510*Settings!$B$16)+(AF510*Settings!$B$17)+(AG510*Settings!$B$18)+(Y510*Settings!$B$10)+(Z510*Settings!$B$11),VLOOKUP(B510,'Standard Deviations'!A1:C728,3,FALSE))</f>
        <v>168.79105245814475</v>
      </c>
      <c r="J510" s="38">
        <f>IF(D510="G",I510/AJ510,I510/Q510)</f>
        <v>2.2566510699549496</v>
      </c>
      <c r="K510" s="37">
        <f>IF(Settings!$E$18="C/LW/RW",VLOOKUP(B510,'C'!A1:F211,6,FALSE),VLOOKUP(B510,F!A1:F430,6,FALSE))</f>
        <v>-224.53775330806491</v>
      </c>
      <c r="L510" s="37">
        <f>IFERROR(K510/H510,"N/A")</f>
        <v>-153.79298171785268</v>
      </c>
      <c r="M510" s="53" t="str">
        <f>IF(Settings!$E$9="YAHOO",VLOOKUP(B510,ADP!A1:E728,2,FALSE),IF(Settings!$E$9="ESPN",VLOOKUP(B510,ADP!A1:E728,3,FALSE),IF(Settings!$E$9="FANTRAX",VLOOKUP(B510,ADP!A1:E728,4,FALSE),VLOOKUP(B510,ADP!A1:E728,5,FALSE))))</f>
        <v>-</v>
      </c>
      <c r="N510" s="53" t="str">
        <f>IFERROR(M510-A510,"N/A")</f>
        <v>N/A</v>
      </c>
      <c r="O510" s="39"/>
      <c r="P510" s="40" t="str">
        <f>IF(Settings!$E$27="ON",VLOOKUP(B510,ADP!A1:H728,8,FALSE)," ")</f>
        <v xml:space="preserve"> </v>
      </c>
      <c r="Q510" s="41">
        <f>IF(Settings!$E$12="YES",VLOOKUP(B510,'Player Data'!A1:E734,5,FALSE),82)</f>
        <v>74.797142857142902</v>
      </c>
      <c r="R510" s="39">
        <f>VLOOKUP(B510,'Player Data'!$A1:$AE734,6,FALSE)</f>
        <v>14.8967493167466</v>
      </c>
      <c r="S510" s="41">
        <f>VLOOKUP(B510,'Player Data'!$A1:$AE734,7,FALSE)*$Q510*IFERROR((VLOOKUP(P510,Settings!$E$28:$F$33,2,FALSE)+1),1)</f>
        <v>14.002462722308698</v>
      </c>
      <c r="T510" s="41">
        <f>VLOOKUP(B510,'Player Data'!$A1:$AE734,8,FALSE)*$Q510*IFERROR((VLOOKUP(P510,Settings!$E$28:$F$33,2,FALSE)+1),1)</f>
        <v>18.213880600856555</v>
      </c>
      <c r="U510" s="41">
        <f>SUM(S510:T510)</f>
        <v>32.216343323165255</v>
      </c>
      <c r="V510" s="41">
        <f>VLOOKUP(B510,'Player Data'!$A1:$AE734,10,FALSE)*$Q510*IFERROR(((VLOOKUP(P510,Settings!$E$28:$F$33,2,FALSE)/2)+1),1)</f>
        <v>115.83292195407662</v>
      </c>
      <c r="W510" s="41">
        <f>VLOOKUP(B510,'Player Data'!$A1:$AE734,11,FALSE)*$Q510*IFERROR((VLOOKUP(P510,Settings!$E$28:$F$33,2,FALSE)+1),1)</f>
        <v>0.12464609347129604</v>
      </c>
      <c r="X510" s="41">
        <f>VLOOKUP(B510,'Player Data'!$A1:$AE734,12,FALSE)*$Q510*IFERROR((VLOOKUP(P510,Settings!$E$28:$F$33,2,FALSE)+1),1)</f>
        <v>0.68014446801652784</v>
      </c>
      <c r="Y510" s="41">
        <f>VLOOKUP(B510,'Player Data'!$A1:$AE734,13,FALSE)*$Q510</f>
        <v>0.1809781255391282</v>
      </c>
      <c r="Z510" s="41">
        <f>VLOOKUP(B510,'Player Data'!$A1:$AE734,14,FALSE)*$Q510</f>
        <v>0.30683531207576858</v>
      </c>
      <c r="AA510" s="41">
        <f>VLOOKUP(B510,'Player Data'!$A1:$AE734,15,FALSE)*$Q510</f>
        <v>61.258009757130658</v>
      </c>
      <c r="AB510" s="41">
        <f>VLOOKUP(B510,'Player Data'!$A1:$AE734,16,FALSE)*$Q510</f>
        <v>140.49993467116479</v>
      </c>
      <c r="AC510" s="41">
        <f>VLOOKUP(B510,'Player Data'!$A1:$AE734,17,FALSE)*$Q510*IFERROR((VLOOKUP(P510,Settings!$E$28:$F$33,2,FALSE)+1),1)</f>
        <v>-2.6975552206191176</v>
      </c>
      <c r="AD510" s="41">
        <f>VLOOKUP(B510,'Player Data'!$A1:$AE734,18,FALSE)*$Q510</f>
        <v>48.548912451084504</v>
      </c>
      <c r="AE510" s="41">
        <f>VLOOKUP(B510,'Player Data'!$A1:$AE734,19,FALSE)*$Q510*IFERROR((VLOOKUP(P510,Settings!$E$28:$F$33,2,FALSE)+1),1)</f>
        <v>1.8078769521429405</v>
      </c>
      <c r="AF510" s="41">
        <f>VLOOKUP(B510,'Player Data'!$A1:$AE734,20,FALSE)*$Q510</f>
        <v>287.65296724733213</v>
      </c>
      <c r="AG510" s="41">
        <f>VLOOKUP(B510,'Player Data'!$A1:$AE734,21,FALSE)*$Q510</f>
        <v>293.3215787214325</v>
      </c>
      <c r="AH510" s="42">
        <f>VLOOKUP(B510,'Player Data'!$A1:$AE734,22,FALSE)</f>
        <v>0.49512146314031003</v>
      </c>
      <c r="AI510" s="39"/>
      <c r="AJ510" s="43"/>
      <c r="AK510" s="41"/>
      <c r="AL510" s="41"/>
      <c r="AM510" s="41"/>
      <c r="AN510" s="41"/>
      <c r="AO510" s="41"/>
      <c r="AP510" s="41"/>
      <c r="AQ510" s="44"/>
      <c r="AR510" s="45"/>
      <c r="AS510" s="39"/>
    </row>
    <row r="511" spans="1:45" ht="21.25" customHeight="1" x14ac:dyDescent="0.15">
      <c r="A511" s="31">
        <f>RANK(K511,K$2:K$727)</f>
        <v>510</v>
      </c>
      <c r="B511" s="8" t="s">
        <v>615</v>
      </c>
      <c r="C511" s="32" t="s">
        <v>106</v>
      </c>
      <c r="D511" s="33" t="str">
        <f>VLOOKUP(B511,'Player Data'!A1:D734,4,FALSE)</f>
        <v>D</v>
      </c>
      <c r="E511" s="49">
        <f>VLOOKUP(B511,D!A1:C227,3,FALSE)</f>
        <v>189</v>
      </c>
      <c r="F511" s="35" t="str">
        <f>VLOOKUP(B511,'Player Data'!A1:B734,2,FALSE)</f>
        <v>CHI</v>
      </c>
      <c r="G511" s="9">
        <f>VLOOKUP(B511,'Player Data'!A1:D734,3,FALSE)</f>
        <v>31</v>
      </c>
      <c r="H511" s="36">
        <f>IFERROR(VLOOKUP(B511,ADP!A1:G728,7,FALSE)/1000000,VLOOKUP(B511,ADP!A1:G728,7,FALSE))</f>
        <v>4.5</v>
      </c>
      <c r="I511" s="37">
        <f>IF(Settings!$E$15="POINTS",((R511*Q511)*Settings!$B$12)+(S511*Settings!$B$2)+(T511*Settings!$B$3)+(U511*Settings!$B$4)+(V511*Settings!$B$5)+(X511*Settings!$B$9)+(AA511*Settings!$B$6)+(W511*Settings!$B$8)+(AB511*Settings!$B$7)+(AC511*Settings!$B$14)+(AD511*Settings!$B$15)+(AE511*Settings!$B$16)+(AF511*Settings!$B$17)+(AG511*Settings!$B$18)+(U511*Settings!$B$13)+(Y511*Settings!$B$10)+(Z511*Settings!$B$11),VLOOKUP(B511,'Standard Deviations'!A1:C728,3,FALSE))</f>
        <v>86.944058401058044</v>
      </c>
      <c r="J511" s="38">
        <f>IF(D511="G",I511/AJ511,I511/Q511)</f>
        <v>1.1952129472558333</v>
      </c>
      <c r="K511" s="37">
        <f>VLOOKUP(B511,D!A1:F227,6,FALSE)</f>
        <v>-224.62142322686941</v>
      </c>
      <c r="L511" s="37">
        <f>IFERROR(K511/H511,"N/A")</f>
        <v>-49.915871828193204</v>
      </c>
      <c r="M511" s="53" t="str">
        <f>IF(Settings!$E$9="YAHOO",VLOOKUP(B511,ADP!A1:E728,2,FALSE),IF(Settings!$E$9="ESPN",VLOOKUP(B511,ADP!A1:E728,3,FALSE),IF(Settings!$E$9="FANTRAX",VLOOKUP(B511,ADP!A1:E728,4,FALSE),VLOOKUP(B511,ADP!A1:E728,5,FALSE))))</f>
        <v>-</v>
      </c>
      <c r="N511" s="53" t="str">
        <f>IFERROR(M511-A511,"N/A")</f>
        <v>N/A</v>
      </c>
      <c r="O511" s="39"/>
      <c r="P511" s="40" t="str">
        <f>IF(Settings!$E$27="ON",VLOOKUP(B511,ADP!A1:H728,8,FALSE)," ")</f>
        <v xml:space="preserve"> </v>
      </c>
      <c r="Q511" s="41">
        <f>IF(Settings!$E$12="YES",VLOOKUP(B511,'Player Data'!A1:E734,5,FALSE),82)</f>
        <v>72.7435714285714</v>
      </c>
      <c r="R511" s="39">
        <f>VLOOKUP(B511,'Player Data'!$A1:$AE734,6,FALSE)</f>
        <v>16.421431372040701</v>
      </c>
      <c r="S511" s="41">
        <f>VLOOKUP(B511,'Player Data'!$A1:$AE734,7,FALSE)*$Q511*IFERROR((VLOOKUP(P511,Settings!$E$28:$F$33,2,FALSE)+1),1)</f>
        <v>2.2893803107813233</v>
      </c>
      <c r="T511" s="41">
        <f>VLOOKUP(B511,'Player Data'!$A1:$AE734,8,FALSE)*$Q511*IFERROR((VLOOKUP(P511,Settings!$E$28:$F$33,2,FALSE)+1),1)</f>
        <v>10.161419790211562</v>
      </c>
      <c r="U511" s="41">
        <f>SUM(S511:T511)</f>
        <v>12.450800100992886</v>
      </c>
      <c r="V511" s="41">
        <f>VLOOKUP(B511,'Player Data'!$A1:$AE734,10,FALSE)*$Q511*IFERROR(((VLOOKUP(P511,Settings!$E$28:$F$33,2,FALSE)/2)+1),1)</f>
        <v>54.153494966837158</v>
      </c>
      <c r="W511" s="41">
        <f>VLOOKUP(B511,'Player Data'!$A1:$AE734,11,FALSE)*$Q511*IFERROR((VLOOKUP(P511,Settings!$E$28:$F$33,2,FALSE)+1),1)</f>
        <v>1.3352832781748248E-2</v>
      </c>
      <c r="X511" s="41">
        <f>VLOOKUP(B511,'Player Data'!$A1:$AE734,12,FALSE)*$Q511*IFERROR((VLOOKUP(P511,Settings!$E$28:$F$33,2,FALSE)+1),1)</f>
        <v>9.5740365223130744E-2</v>
      </c>
      <c r="Y511" s="41">
        <f>VLOOKUP(B511,'Player Data'!$A1:$AE734,13,FALSE)*$Q511</f>
        <v>2.2303679045935623E-2</v>
      </c>
      <c r="Z511" s="41">
        <f>VLOOKUP(B511,'Player Data'!$A1:$AE734,14,FALSE)*$Q511</f>
        <v>0.55493838531436945</v>
      </c>
      <c r="AA511" s="41">
        <f>VLOOKUP(B511,'Player Data'!$A1:$AE734,15,FALSE)*$Q511</f>
        <v>106.06776556792899</v>
      </c>
      <c r="AB511" s="41">
        <f>VLOOKUP(B511,'Player Data'!$A1:$AE734,16,FALSE)*$Q511</f>
        <v>130.50488584476156</v>
      </c>
      <c r="AC511" s="41">
        <f>VLOOKUP(B511,'Player Data'!$A1:$AE734,17,FALSE)*$Q511*IFERROR((VLOOKUP(P511,Settings!$E$28:$F$33,2,FALSE)+1),1)</f>
        <v>-7.0477450147922545</v>
      </c>
      <c r="AD511" s="41">
        <f>VLOOKUP(B511,'Player Data'!$A1:$AE734,18,FALSE)*$Q511</f>
        <v>28.669131268492023</v>
      </c>
      <c r="AE511" s="41">
        <f>VLOOKUP(B511,'Player Data'!$A1:$AE734,19,FALSE)*$Q511*IFERROR((VLOOKUP(P511,Settings!$E$28:$F$33,2,FALSE)+1),1)</f>
        <v>0.2682731378256818</v>
      </c>
      <c r="AF511" s="41">
        <f>VLOOKUP(B511,'Player Data'!$A1:$AE734,20,FALSE)*$Q511</f>
        <v>0</v>
      </c>
      <c r="AG511" s="41">
        <f>VLOOKUP(B511,'Player Data'!$A1:$AE734,21,FALSE)*$Q511</f>
        <v>0</v>
      </c>
      <c r="AH511" s="42">
        <f>VLOOKUP(B511,'Player Data'!$A1:$AE734,22,FALSE)</f>
        <v>0</v>
      </c>
      <c r="AI511" s="39"/>
      <c r="AJ511" s="43"/>
      <c r="AK511" s="41"/>
      <c r="AL511" s="41"/>
      <c r="AM511" s="41"/>
      <c r="AN511" s="41"/>
      <c r="AO511" s="41"/>
      <c r="AP511" s="41"/>
      <c r="AQ511" s="44"/>
      <c r="AR511" s="45"/>
      <c r="AS511" s="39"/>
    </row>
    <row r="512" spans="1:45" ht="21.25" customHeight="1" x14ac:dyDescent="0.15">
      <c r="A512" s="31">
        <f>RANK(K512,K$2:K$727)</f>
        <v>511</v>
      </c>
      <c r="B512" s="8" t="s">
        <v>616</v>
      </c>
      <c r="C512" s="32" t="s">
        <v>106</v>
      </c>
      <c r="D512" s="33" t="str">
        <f>VLOOKUP(B512,'Player Data'!A1:D734,4,FALSE)</f>
        <v>LW</v>
      </c>
      <c r="E512" s="47">
        <f>VLOOKUP(B512,LW!A1:C130,3,FALSE)</f>
        <v>90</v>
      </c>
      <c r="F512" s="35" t="str">
        <f>VLOOKUP(B512,'Player Data'!A1:B734,2,FALSE)</f>
        <v>WSH</v>
      </c>
      <c r="G512" s="9">
        <f>VLOOKUP(B512,'Player Data'!A1:D734,3,FALSE)</f>
        <v>27</v>
      </c>
      <c r="H512" s="36">
        <f>IFERROR(VLOOKUP(B512,ADP!A1:G728,7,FALSE)/1000000,VLOOKUP(B512,ADP!A1:G728,7,FALSE))</f>
        <v>1.9</v>
      </c>
      <c r="I512" s="37">
        <f>IF(Settings!$E$15="POINTS",((R512*Q512)*Settings!$B$12)+(S512*Settings!$B$2)+(T512*Settings!$B$3)+(U512*Settings!$B$4)+(V512*Settings!$B$5)+(X512*Settings!$B$9)+(AA512*Settings!$B$6)+(W512*Settings!$B$8)+(AB512*Settings!$B$7)+(AC512*Settings!$B$14)+(AD512*Settings!$B$15)+(AE512*Settings!$B$16)+(AF512*Settings!$B$17)+(AG512*Settings!$B$18)+(Y512*Settings!$B$10)+(Z512*Settings!$B$11),VLOOKUP(B512,'Standard Deviations'!A1:C728,3,FALSE))</f>
        <v>139.35492765107492</v>
      </c>
      <c r="J512" s="38">
        <f>IF(D512="G",I512/AJ512,I512/Q512)</f>
        <v>1.8621624594250674</v>
      </c>
      <c r="K512" s="37">
        <f>IF(Settings!$E$18="C/LW/RW",VLOOKUP(B512,LW!A1:F130,6,FALSE),VLOOKUP(B512,F!A1:F430,6,FALSE))</f>
        <v>-224.68567720657555</v>
      </c>
      <c r="L512" s="37">
        <f>IFERROR(K512/H512,"N/A")</f>
        <v>-118.25561958240819</v>
      </c>
      <c r="M512" s="53" t="str">
        <f>IF(Settings!$E$9="YAHOO",VLOOKUP(B512,ADP!A1:E728,2,FALSE),IF(Settings!$E$9="ESPN",VLOOKUP(B512,ADP!A1:E728,3,FALSE),IF(Settings!$E$9="FANTRAX",VLOOKUP(B512,ADP!A1:E728,4,FALSE),VLOOKUP(B512,ADP!A1:E728,5,FALSE))))</f>
        <v>-</v>
      </c>
      <c r="N512" s="53" t="str">
        <f>IFERROR(M512-A512,"N/A")</f>
        <v>N/A</v>
      </c>
      <c r="O512" s="39"/>
      <c r="P512" s="40" t="str">
        <f>IF(Settings!$E$27="ON",VLOOKUP(B512,ADP!A1:H728,8,FALSE)," ")</f>
        <v xml:space="preserve"> </v>
      </c>
      <c r="Q512" s="41">
        <f>IF(Settings!$E$12="YES",VLOOKUP(B512,'Player Data'!A1:E734,5,FALSE),82)</f>
        <v>74.834999999999994</v>
      </c>
      <c r="R512" s="39">
        <f>VLOOKUP(B512,'Player Data'!$A1:$AE734,6,FALSE)</f>
        <v>12.3635814012576</v>
      </c>
      <c r="S512" s="41">
        <f>VLOOKUP(B512,'Player Data'!$A1:$AE734,7,FALSE)*$Q512*IFERROR((VLOOKUP(P512,Settings!$E$28:$F$33,2,FALSE)+1),1)</f>
        <v>10.790437626827954</v>
      </c>
      <c r="T512" s="41">
        <f>VLOOKUP(B512,'Player Data'!$A1:$AE734,8,FALSE)*$Q512*IFERROR((VLOOKUP(P512,Settings!$E$28:$F$33,2,FALSE)+1),1)</f>
        <v>18.351304086984751</v>
      </c>
      <c r="U512" s="41">
        <f>SUM(S512:T512)</f>
        <v>29.141741713812706</v>
      </c>
      <c r="V512" s="41">
        <f>VLOOKUP(B512,'Player Data'!$A1:$AE734,10,FALSE)*$Q512*IFERROR(((VLOOKUP(P512,Settings!$E$28:$F$33,2,FALSE)/2)+1),1)</f>
        <v>91.053413448775416</v>
      </c>
      <c r="W512" s="41">
        <f>VLOOKUP(B512,'Player Data'!$A1:$AE734,11,FALSE)*$Q512*IFERROR((VLOOKUP(P512,Settings!$E$28:$F$33,2,FALSE)+1),1)</f>
        <v>0.46080360383549734</v>
      </c>
      <c r="X512" s="41">
        <f>VLOOKUP(B512,'Player Data'!$A1:$AE734,12,FALSE)*$Q512*IFERROR((VLOOKUP(P512,Settings!$E$28:$F$33,2,FALSE)+1),1)</f>
        <v>1.2717164021175775</v>
      </c>
      <c r="Y512" s="41">
        <f>VLOOKUP(B512,'Player Data'!$A1:$AE734,13,FALSE)*$Q512</f>
        <v>7.7238222866834593E-4</v>
      </c>
      <c r="Z512" s="41">
        <f>VLOOKUP(B512,'Player Data'!$A1:$AE734,14,FALSE)*$Q512</f>
        <v>1.4202216487526386E-3</v>
      </c>
      <c r="AA512" s="41">
        <f>VLOOKUP(B512,'Player Data'!$A1:$AE734,15,FALSE)*$Q512</f>
        <v>19.283612688582171</v>
      </c>
      <c r="AB512" s="41">
        <f>VLOOKUP(B512,'Player Data'!$A1:$AE734,16,FALSE)*$Q512</f>
        <v>49.491314479845542</v>
      </c>
      <c r="AC512" s="41">
        <f>VLOOKUP(B512,'Player Data'!$A1:$AE734,17,FALSE)*$Q512*IFERROR((VLOOKUP(P512,Settings!$E$28:$F$33,2,FALSE)+1),1)</f>
        <v>-2.4786608841195621</v>
      </c>
      <c r="AD512" s="41">
        <f>VLOOKUP(B512,'Player Data'!$A1:$AE734,18,FALSE)*$Q512</f>
        <v>16.804491162052265</v>
      </c>
      <c r="AE512" s="41">
        <f>VLOOKUP(B512,'Player Data'!$A1:$AE734,19,FALSE)*$Q512*IFERROR((VLOOKUP(P512,Settings!$E$28:$F$33,2,FALSE)+1),1)</f>
        <v>1.3272873480871268</v>
      </c>
      <c r="AF512" s="41">
        <f>VLOOKUP(B512,'Player Data'!$A1:$AE734,20,FALSE)*$Q512</f>
        <v>0</v>
      </c>
      <c r="AG512" s="41">
        <f>VLOOKUP(B512,'Player Data'!$A1:$AE734,21,FALSE)*$Q512</f>
        <v>0.36225838078985845</v>
      </c>
      <c r="AH512" s="42">
        <f>VLOOKUP(B512,'Player Data'!$A1:$AE734,22,FALSE)</f>
        <v>0</v>
      </c>
      <c r="AI512" s="39"/>
      <c r="AJ512" s="43"/>
      <c r="AK512" s="41"/>
      <c r="AL512" s="41"/>
      <c r="AM512" s="41"/>
      <c r="AN512" s="41"/>
      <c r="AO512" s="41"/>
      <c r="AP512" s="41"/>
      <c r="AQ512" s="44"/>
      <c r="AR512" s="45"/>
      <c r="AS512" s="39"/>
    </row>
    <row r="513" spans="1:45" ht="21.25" customHeight="1" x14ac:dyDescent="0.15">
      <c r="A513" s="31">
        <f>RANK(K513,K$2:K$727)</f>
        <v>512</v>
      </c>
      <c r="B513" s="8" t="s">
        <v>617</v>
      </c>
      <c r="C513" s="32" t="s">
        <v>106</v>
      </c>
      <c r="D513" s="33" t="str">
        <f>VLOOKUP(B513,'Player Data'!A1:D734,4,FALSE)</f>
        <v>LW</v>
      </c>
      <c r="E513" s="47">
        <f>VLOOKUP(B513,LW!A1:C130,3,FALSE)</f>
        <v>91</v>
      </c>
      <c r="F513" s="35" t="str">
        <f>VLOOKUP(B513,'Player Data'!A1:B734,2,FALSE)</f>
        <v>UFA</v>
      </c>
      <c r="G513" s="9">
        <f>VLOOKUP(B513,'Player Data'!A1:D734,3,FALSE)</f>
        <v>27</v>
      </c>
      <c r="H513" s="36">
        <f>IFERROR(VLOOKUP(B513,ADP!A1:G728,7,FALSE)/1000000,VLOOKUP(B513,ADP!A1:G728,7,FALSE))</f>
        <v>2.4060000000000001</v>
      </c>
      <c r="I513" s="37">
        <f>IF(Settings!$E$15="POINTS",((R513*Q513)*Settings!$B$12)+(S513*Settings!$B$2)+(T513*Settings!$B$3)+(U513*Settings!$B$4)+(V513*Settings!$B$5)+(X513*Settings!$B$9)+(AA513*Settings!$B$6)+(W513*Settings!$B$8)+(AB513*Settings!$B$7)+(AC513*Settings!$B$14)+(AD513*Settings!$B$15)+(AE513*Settings!$B$16)+(AF513*Settings!$B$17)+(AG513*Settings!$B$18)+(Y513*Settings!$B$10)+(Z513*Settings!$B$11),VLOOKUP(B513,'Standard Deviations'!A1:C728,3,FALSE))</f>
        <v>139.05803126872794</v>
      </c>
      <c r="J513" s="38">
        <f>IF(D513="G",I513/AJ513,I513/Q513)</f>
        <v>1.8019117077809834</v>
      </c>
      <c r="K513" s="37">
        <f>IF(Settings!$E$18="C/LW/RW",VLOOKUP(B513,LW!A1:F130,6,FALSE),VLOOKUP(B513,F!A1:F430,6,FALSE))</f>
        <v>-224.98257358892252</v>
      </c>
      <c r="L513" s="37">
        <f>IFERROR(K513/H513,"N/A")</f>
        <v>-93.508966578937034</v>
      </c>
      <c r="M513" s="53" t="str">
        <f>IF(Settings!$E$9="YAHOO",VLOOKUP(B513,ADP!A1:E728,2,FALSE),IF(Settings!$E$9="ESPN",VLOOKUP(B513,ADP!A1:E728,3,FALSE),IF(Settings!$E$9="FANTRAX",VLOOKUP(B513,ADP!A1:E728,4,FALSE),VLOOKUP(B513,ADP!A1:E728,5,FALSE))))</f>
        <v>-</v>
      </c>
      <c r="N513" s="53" t="str">
        <f>IFERROR(M513-A513,"N/A")</f>
        <v>N/A</v>
      </c>
      <c r="O513" s="39"/>
      <c r="P513" s="40" t="str">
        <f>IF(Settings!$E$27="ON",VLOOKUP(B513,ADP!A1:H728,8,FALSE)," ")</f>
        <v xml:space="preserve"> </v>
      </c>
      <c r="Q513" s="41">
        <f>IF(Settings!$E$12="YES",VLOOKUP(B513,'Player Data'!A1:E734,5,FALSE),82)</f>
        <v>77.172499999999999</v>
      </c>
      <c r="R513" s="39">
        <f>VLOOKUP(B513,'Player Data'!$A1:$AE734,6,FALSE)</f>
        <v>12.0108789345748</v>
      </c>
      <c r="S513" s="41">
        <f>VLOOKUP(B513,'Player Data'!$A1:$AE734,7,FALSE)*$Q513*IFERROR((VLOOKUP(P513,Settings!$E$28:$F$33,2,FALSE)+1),1)</f>
        <v>12.276403797881708</v>
      </c>
      <c r="T513" s="41">
        <f>VLOOKUP(B513,'Player Data'!$A1:$AE734,8,FALSE)*$Q513*IFERROR((VLOOKUP(P513,Settings!$E$28:$F$33,2,FALSE)+1),1)</f>
        <v>11.477978259013799</v>
      </c>
      <c r="U513" s="41">
        <f>SUM(S513:T513)</f>
        <v>23.754382056895508</v>
      </c>
      <c r="V513" s="41">
        <f>VLOOKUP(B513,'Player Data'!$A1:$AE734,10,FALSE)*$Q513*IFERROR(((VLOOKUP(P513,Settings!$E$28:$F$33,2,FALSE)/2)+1),1)</f>
        <v>110.50787700347644</v>
      </c>
      <c r="W513" s="41">
        <f>VLOOKUP(B513,'Player Data'!$A1:$AE734,11,FALSE)*$Q513*IFERROR((VLOOKUP(P513,Settings!$E$28:$F$33,2,FALSE)+1),1)</f>
        <v>1.2761297113055563</v>
      </c>
      <c r="X513" s="41">
        <f>VLOOKUP(B513,'Player Data'!$A1:$AE734,12,FALSE)*$Q513*IFERROR((VLOOKUP(P513,Settings!$E$28:$F$33,2,FALSE)+1),1)</f>
        <v>3.1046593604374988</v>
      </c>
      <c r="Y513" s="41">
        <f>VLOOKUP(B513,'Player Data'!$A1:$AE734,13,FALSE)*$Q513</f>
        <v>0</v>
      </c>
      <c r="Z513" s="41">
        <f>VLOOKUP(B513,'Player Data'!$A1:$AE734,14,FALSE)*$Q513</f>
        <v>0</v>
      </c>
      <c r="AA513" s="41">
        <f>VLOOKUP(B513,'Player Data'!$A1:$AE734,15,FALSE)*$Q513</f>
        <v>31.658139377141019</v>
      </c>
      <c r="AB513" s="41">
        <f>VLOOKUP(B513,'Player Data'!$A1:$AE734,16,FALSE)*$Q513</f>
        <v>194.14722880225614</v>
      </c>
      <c r="AC513" s="41">
        <f>VLOOKUP(B513,'Player Data'!$A1:$AE734,17,FALSE)*$Q513*IFERROR((VLOOKUP(P513,Settings!$E$28:$F$33,2,FALSE)+1),1)</f>
        <v>-1.1760787391341345</v>
      </c>
      <c r="AD513" s="41">
        <f>VLOOKUP(B513,'Player Data'!$A1:$AE734,18,FALSE)*$Q513</f>
        <v>42.939304400131746</v>
      </c>
      <c r="AE513" s="41">
        <f>VLOOKUP(B513,'Player Data'!$A1:$AE734,19,FALSE)*$Q513*IFERROR((VLOOKUP(P513,Settings!$E$28:$F$33,2,FALSE)+1),1)</f>
        <v>0</v>
      </c>
      <c r="AF513" s="41">
        <f>VLOOKUP(B513,'Player Data'!$A1:$AE734,20,FALSE)*$Q513</f>
        <v>0.75431182029171617</v>
      </c>
      <c r="AG513" s="41">
        <f>VLOOKUP(B513,'Player Data'!$A1:$AE734,21,FALSE)*$Q513</f>
        <v>8.7660048143916125</v>
      </c>
      <c r="AH513" s="42">
        <f>VLOOKUP(B513,'Player Data'!$A1:$AE734,22,FALSE)</f>
        <v>7.9231799659235505E-2</v>
      </c>
      <c r="AI513" s="39"/>
      <c r="AJ513" s="43"/>
      <c r="AK513" s="41"/>
      <c r="AL513" s="41"/>
      <c r="AM513" s="41"/>
      <c r="AN513" s="41"/>
      <c r="AO513" s="41"/>
      <c r="AP513" s="41"/>
      <c r="AQ513" s="44"/>
      <c r="AR513" s="45"/>
      <c r="AS513" s="39"/>
    </row>
    <row r="514" spans="1:45" ht="21.25" customHeight="1" x14ac:dyDescent="0.15">
      <c r="A514" s="31">
        <f>RANK(K514,K$2:K$727)</f>
        <v>513</v>
      </c>
      <c r="B514" s="8" t="s">
        <v>618</v>
      </c>
      <c r="C514" s="32" t="s">
        <v>106</v>
      </c>
      <c r="D514" s="33" t="str">
        <f>VLOOKUP(B514,'Player Data'!A1:D734,4,FALSE)</f>
        <v>D</v>
      </c>
      <c r="E514" s="49">
        <f>VLOOKUP(B514,D!A1:C227,3,FALSE)</f>
        <v>190</v>
      </c>
      <c r="F514" s="35" t="str">
        <f>VLOOKUP(B514,'Player Data'!A1:B734,2,FALSE)</f>
        <v>CGY</v>
      </c>
      <c r="G514" s="9">
        <f>VLOOKUP(B514,'Player Data'!A1:D734,3,FALSE)</f>
        <v>31</v>
      </c>
      <c r="H514" s="36">
        <f>IFERROR(VLOOKUP(B514,ADP!A1:G728,7,FALSE)/1000000,VLOOKUP(B514,ADP!A1:G728,7,FALSE))</f>
        <v>1.1080000000000001</v>
      </c>
      <c r="I514" s="37">
        <f>IF(Settings!$E$15="POINTS",((R514*Q514)*Settings!$B$12)+(S514*Settings!$B$2)+(T514*Settings!$B$3)+(U514*Settings!$B$4)+(V514*Settings!$B$5)+(X514*Settings!$B$9)+(AA514*Settings!$B$6)+(W514*Settings!$B$8)+(AB514*Settings!$B$7)+(AC514*Settings!$B$14)+(AD514*Settings!$B$15)+(AE514*Settings!$B$16)+(AF514*Settings!$B$17)+(AG514*Settings!$B$18)+(U514*Settings!$B$13)+(Y514*Settings!$B$10)+(Z514*Settings!$B$11),VLOOKUP(B514,'Standard Deviations'!A1:C728,3,FALSE))</f>
        <v>85.774181089790957</v>
      </c>
      <c r="J514" s="38">
        <f>IF(D514="G",I514/AJ514,I514/Q514)</f>
        <v>1.2303736548415443</v>
      </c>
      <c r="K514" s="37">
        <f>VLOOKUP(B514,D!A1:F227,6,FALSE)</f>
        <v>-225.79130053813651</v>
      </c>
      <c r="L514" s="37">
        <f>IFERROR(K514/H514,"N/A")</f>
        <v>-203.78276221853474</v>
      </c>
      <c r="M514" s="53" t="str">
        <f>IF(Settings!$E$9="YAHOO",VLOOKUP(B514,ADP!A1:E728,2,FALSE),IF(Settings!$E$9="ESPN",VLOOKUP(B514,ADP!A1:E728,3,FALSE),IF(Settings!$E$9="FANTRAX",VLOOKUP(B514,ADP!A1:E728,4,FALSE),VLOOKUP(B514,ADP!A1:E728,5,FALSE))))</f>
        <v>-</v>
      </c>
      <c r="N514" s="53" t="str">
        <f>IFERROR(M514-A514,"N/A")</f>
        <v>N/A</v>
      </c>
      <c r="O514" s="39"/>
      <c r="P514" s="40" t="str">
        <f>IF(Settings!$E$27="ON",VLOOKUP(B514,ADP!A1:H728,8,FALSE)," ")</f>
        <v xml:space="preserve"> </v>
      </c>
      <c r="Q514" s="41">
        <f>IF(Settings!$E$12="YES",VLOOKUP(B514,'Player Data'!A1:E734,5,FALSE),82)</f>
        <v>69.713928571428596</v>
      </c>
      <c r="R514" s="39">
        <f>VLOOKUP(B514,'Player Data'!$A1:$AE734,6,FALSE)</f>
        <v>14.7104584833884</v>
      </c>
      <c r="S514" s="41">
        <f>VLOOKUP(B514,'Player Data'!$A1:$AE734,7,FALSE)*$Q514*IFERROR((VLOOKUP(P514,Settings!$E$28:$F$33,2,FALSE)+1),1)</f>
        <v>2.187003457901036</v>
      </c>
      <c r="T514" s="41">
        <f>VLOOKUP(B514,'Player Data'!$A1:$AE734,8,FALSE)*$Q514*IFERROR((VLOOKUP(P514,Settings!$E$28:$F$33,2,FALSE)+1),1)</f>
        <v>9.5096651894267321</v>
      </c>
      <c r="U514" s="41">
        <f>SUM(S514:T514)</f>
        <v>11.696668647327769</v>
      </c>
      <c r="V514" s="41">
        <f>VLOOKUP(B514,'Player Data'!$A1:$AE734,10,FALSE)*$Q514*IFERROR(((VLOOKUP(P514,Settings!$E$28:$F$33,2,FALSE)/2)+1),1)</f>
        <v>69.977296769259681</v>
      </c>
      <c r="W514" s="41">
        <f>VLOOKUP(B514,'Player Data'!$A1:$AE734,11,FALSE)*$Q514*IFERROR((VLOOKUP(P514,Settings!$E$28:$F$33,2,FALSE)+1),1)</f>
        <v>8.5971060721018837E-3</v>
      </c>
      <c r="X514" s="41">
        <f>VLOOKUP(B514,'Player Data'!$A1:$AE734,12,FALSE)*$Q514*IFERROR((VLOOKUP(P514,Settings!$E$28:$F$33,2,FALSE)+1),1)</f>
        <v>0.10719396856816532</v>
      </c>
      <c r="Y514" s="41">
        <f>VLOOKUP(B514,'Player Data'!$A1:$AE734,13,FALSE)*$Q514</f>
        <v>9.0237910382712696E-3</v>
      </c>
      <c r="Z514" s="41">
        <f>VLOOKUP(B514,'Player Data'!$A1:$AE734,14,FALSE)*$Q514</f>
        <v>3.5201417219633713E-2</v>
      </c>
      <c r="AA514" s="41">
        <f>VLOOKUP(B514,'Player Data'!$A1:$AE734,15,FALSE)*$Q514</f>
        <v>77.053679958011116</v>
      </c>
      <c r="AB514" s="41">
        <f>VLOOKUP(B514,'Player Data'!$A1:$AE734,16,FALSE)*$Q514</f>
        <v>64.316407043978131</v>
      </c>
      <c r="AC514" s="41">
        <f>VLOOKUP(B514,'Player Data'!$A1:$AE734,17,FALSE)*$Q514*IFERROR((VLOOKUP(P514,Settings!$E$28:$F$33,2,FALSE)+1),1)</f>
        <v>0.3054794654373546</v>
      </c>
      <c r="AD514" s="41">
        <f>VLOOKUP(B514,'Player Data'!$A1:$AE734,18,FALSE)*$Q514</f>
        <v>17.746886436525035</v>
      </c>
      <c r="AE514" s="41">
        <f>VLOOKUP(B514,'Player Data'!$A1:$AE734,19,FALSE)*$Q514*IFERROR((VLOOKUP(P514,Settings!$E$28:$F$33,2,FALSE)+1),1)</f>
        <v>0.36544445069181036</v>
      </c>
      <c r="AF514" s="41">
        <f>VLOOKUP(B514,'Player Data'!$A1:$AE734,20,FALSE)*$Q514</f>
        <v>4.2939706758917791E-2</v>
      </c>
      <c r="AG514" s="41">
        <f>VLOOKUP(B514,'Player Data'!$A1:$AE734,21,FALSE)*$Q514</f>
        <v>0.14193451817021538</v>
      </c>
      <c r="AH514" s="42">
        <f>VLOOKUP(B514,'Player Data'!$A1:$AE734,22,FALSE)</f>
        <v>0.232264431536509</v>
      </c>
      <c r="AI514" s="39"/>
      <c r="AJ514" s="43"/>
      <c r="AK514" s="41"/>
      <c r="AL514" s="41"/>
      <c r="AM514" s="41"/>
      <c r="AN514" s="41"/>
      <c r="AO514" s="41"/>
      <c r="AP514" s="41"/>
      <c r="AQ514" s="44"/>
      <c r="AR514" s="45"/>
      <c r="AS514" s="39"/>
    </row>
    <row r="515" spans="1:45" ht="21.25" customHeight="1" x14ac:dyDescent="0.15">
      <c r="A515" s="31">
        <f>RANK(K515,K$2:K$727)</f>
        <v>514</v>
      </c>
      <c r="B515" s="8" t="s">
        <v>619</v>
      </c>
      <c r="C515" s="32" t="s">
        <v>106</v>
      </c>
      <c r="D515" s="33" t="str">
        <f>VLOOKUP(B515,'Player Data'!A1:D734,4,FALSE)</f>
        <v>D</v>
      </c>
      <c r="E515" s="49">
        <f>VLOOKUP(B515,D!A1:C227,3,FALSE)</f>
        <v>191</v>
      </c>
      <c r="F515" s="35" t="str">
        <f>VLOOKUP(B515,'Player Data'!A1:B734,2,FALSE)</f>
        <v>NJD</v>
      </c>
      <c r="G515" s="9">
        <f>VLOOKUP(B515,'Player Data'!A1:D734,3,FALSE)</f>
        <v>23</v>
      </c>
      <c r="H515" s="36">
        <f>IFERROR(VLOOKUP(B515,ADP!A1:G728,7,FALSE)/1000000,VLOOKUP(B515,ADP!A1:G728,7,FALSE))</f>
        <v>0</v>
      </c>
      <c r="I515" s="37">
        <f>IF(Settings!$E$15="POINTS",((R515*Q515)*Settings!$B$12)+(S515*Settings!$B$2)+(T515*Settings!$B$3)+(U515*Settings!$B$4)+(V515*Settings!$B$5)+(X515*Settings!$B$9)+(AA515*Settings!$B$6)+(W515*Settings!$B$8)+(AB515*Settings!$B$7)+(AC515*Settings!$B$14)+(AD515*Settings!$B$15)+(AE515*Settings!$B$16)+(AF515*Settings!$B$17)+(AG515*Settings!$B$18)+(U515*Settings!$B$13)+(Y515*Settings!$B$10)+(Z515*Settings!$B$11),VLOOKUP(B515,'Standard Deviations'!A1:C728,3,FALSE))</f>
        <v>85.596223848039145</v>
      </c>
      <c r="J515" s="38">
        <f>IF(D515="G",I515/AJ515,I515/Q515)</f>
        <v>1.1888364423338771</v>
      </c>
      <c r="K515" s="37">
        <f>VLOOKUP(B515,D!A1:F227,6,FALSE)</f>
        <v>-225.96925777988832</v>
      </c>
      <c r="L515" s="52" t="str">
        <f>IFERROR(K515/H515,"N/A")</f>
        <v>N/A</v>
      </c>
      <c r="M515" s="53" t="str">
        <f>IF(Settings!$E$9="YAHOO",VLOOKUP(B515,ADP!A1:E728,2,FALSE),IF(Settings!$E$9="ESPN",VLOOKUP(B515,ADP!A1:E728,3,FALSE),IF(Settings!$E$9="FANTRAX",VLOOKUP(B515,ADP!A1:E728,4,FALSE),VLOOKUP(B515,ADP!A1:E728,5,FALSE))))</f>
        <v>-</v>
      </c>
      <c r="N515" s="53" t="str">
        <f>IFERROR(M515-A515,"N/A")</f>
        <v>N/A</v>
      </c>
      <c r="O515" s="39"/>
      <c r="P515" s="40" t="str">
        <f>IF(Settings!$E$27="ON",VLOOKUP(B515,ADP!A1:H728,8,FALSE)," ")</f>
        <v xml:space="preserve"> </v>
      </c>
      <c r="Q515" s="41">
        <f>IF(Settings!$E$12="YES",VLOOKUP(B515,'Player Data'!A1:E734,5,FALSE),82)</f>
        <v>72</v>
      </c>
      <c r="R515" s="39">
        <f>VLOOKUP(B515,'Player Data'!$A1:$AE734,6,FALSE)</f>
        <v>14.6392454892567</v>
      </c>
      <c r="S515" s="41">
        <f>VLOOKUP(B515,'Player Data'!$A1:$AE734,7,FALSE)*$Q515*IFERROR((VLOOKUP(P515,Settings!$E$28:$F$33,2,FALSE)+1),1)</f>
        <v>3.2169378829779358</v>
      </c>
      <c r="T515" s="41">
        <f>VLOOKUP(B515,'Player Data'!$A1:$AE734,8,FALSE)*$Q515*IFERROR((VLOOKUP(P515,Settings!$E$28:$F$33,2,FALSE)+1),1)</f>
        <v>10.982697712530047</v>
      </c>
      <c r="U515" s="41">
        <f>SUM(S515:T515)</f>
        <v>14.199635595507983</v>
      </c>
      <c r="V515" s="41">
        <f>VLOOKUP(B515,'Player Data'!$A1:$AE734,10,FALSE)*$Q515*IFERROR(((VLOOKUP(P515,Settings!$E$28:$F$33,2,FALSE)/2)+1),1)</f>
        <v>54.413793981925565</v>
      </c>
      <c r="W515" s="41">
        <f>VLOOKUP(B515,'Player Data'!$A1:$AE734,11,FALSE)*$Q515*IFERROR((VLOOKUP(P515,Settings!$E$28:$F$33,2,FALSE)+1),1)</f>
        <v>2.4634582349972903E-2</v>
      </c>
      <c r="X515" s="41">
        <f>VLOOKUP(B515,'Player Data'!$A1:$AE734,12,FALSE)*$Q515*IFERROR((VLOOKUP(P515,Settings!$E$28:$F$33,2,FALSE)+1),1)</f>
        <v>0.16707255860005921</v>
      </c>
      <c r="Y515" s="41">
        <f>VLOOKUP(B515,'Player Data'!$A1:$AE734,13,FALSE)*$Q515</f>
        <v>6.6120765684669139E-2</v>
      </c>
      <c r="Z515" s="41">
        <f>VLOOKUP(B515,'Player Data'!$A1:$AE734,14,FALSE)*$Q515</f>
        <v>0.24565491597434688</v>
      </c>
      <c r="AA515" s="41">
        <f>VLOOKUP(B515,'Player Data'!$A1:$AE734,15,FALSE)*$Q515</f>
        <v>74.824825607017928</v>
      </c>
      <c r="AB515" s="41">
        <f>VLOOKUP(B515,'Player Data'!$A1:$AE734,16,FALSE)*$Q515</f>
        <v>106.78793664471119</v>
      </c>
      <c r="AC515" s="41">
        <f>VLOOKUP(B515,'Player Data'!$A1:$AE734,17,FALSE)*$Q515*IFERROR((VLOOKUP(P515,Settings!$E$28:$F$33,2,FALSE)+1),1)</f>
        <v>1.334917192072428E-2</v>
      </c>
      <c r="AD515" s="41">
        <f>VLOOKUP(B515,'Player Data'!$A1:$AE734,18,FALSE)*$Q515</f>
        <v>34.645028374761047</v>
      </c>
      <c r="AE515" s="41">
        <f>VLOOKUP(B515,'Player Data'!$A1:$AE734,19,FALSE)*$Q515*IFERROR((VLOOKUP(P515,Settings!$E$28:$F$33,2,FALSE)+1),1)</f>
        <v>0.47350303123189535</v>
      </c>
      <c r="AF515" s="41">
        <f>VLOOKUP(B515,'Player Data'!$A1:$AE734,20,FALSE)*$Q515</f>
        <v>0</v>
      </c>
      <c r="AG515" s="41">
        <f>VLOOKUP(B515,'Player Data'!$A1:$AE734,21,FALSE)*$Q515</f>
        <v>0</v>
      </c>
      <c r="AH515" s="42">
        <f>VLOOKUP(B515,'Player Data'!$A1:$AE734,22,FALSE)</f>
        <v>0</v>
      </c>
      <c r="AI515" s="39"/>
      <c r="AJ515" s="43"/>
      <c r="AK515" s="41"/>
      <c r="AL515" s="41"/>
      <c r="AM515" s="41"/>
      <c r="AN515" s="41"/>
      <c r="AO515" s="41"/>
      <c r="AP515" s="41"/>
      <c r="AQ515" s="44"/>
      <c r="AR515" s="45"/>
      <c r="AS515" s="39"/>
    </row>
    <row r="516" spans="1:45" ht="21.25" customHeight="1" x14ac:dyDescent="0.15">
      <c r="A516" s="31">
        <f>RANK(K516,K$2:K$727)</f>
        <v>515</v>
      </c>
      <c r="B516" s="8" t="s">
        <v>620</v>
      </c>
      <c r="C516" s="32" t="s">
        <v>106</v>
      </c>
      <c r="D516" s="33" t="str">
        <f>VLOOKUP(B516,'Player Data'!A1:D734,4,FALSE)</f>
        <v>RW</v>
      </c>
      <c r="E516" s="46">
        <f>VLOOKUP(B516,RW!A1:F97,3,FALSE)</f>
        <v>73</v>
      </c>
      <c r="F516" s="35" t="str">
        <f>VLOOKUP(B516,'Player Data'!A1:B734,2,FALSE)</f>
        <v>PHI</v>
      </c>
      <c r="G516" s="9">
        <f>VLOOKUP(B516,'Player Data'!A1:D734,3,FALSE)</f>
        <v>31</v>
      </c>
      <c r="H516" s="36">
        <f>IFERROR(VLOOKUP(B516,ADP!A1:G728,7,FALSE)/1000000,VLOOKUP(B516,ADP!A1:G728,7,FALSE))</f>
        <v>2.0019999999999998</v>
      </c>
      <c r="I516" s="37">
        <f>IF(Settings!$E$15="POINTS",((R516*Q516)*Settings!$B$12)+(S516*Settings!$B$2)+(T516*Settings!$B$3)+(U516*Settings!$B$4)+(V516*Settings!$B$5)+(X516*Settings!$B$9)+(AA516*Settings!$B$6)+(W516*Settings!$B$8)+(AB516*Settings!$B$7)+(AC516*Settings!$B$14)+(AD516*Settings!$B$15)+(AE516*Settings!$B$16)+(AF516*Settings!$B$17)+(AG516*Settings!$B$18)+(Y516*Settings!$B$10)+(Z516*Settings!$B$11),VLOOKUP(B516,'Standard Deviations'!A1:C728,3,FALSE))</f>
        <v>124.29024494307586</v>
      </c>
      <c r="J516" s="38">
        <f>IF(D516="G",I516/AJ516,I516/Q516)</f>
        <v>1.5239117820386936</v>
      </c>
      <c r="K516" s="37">
        <f>IF(Settings!$E$18="C/LW/RW",VLOOKUP(B516,RW!A1:F97,6,FALSE),VLOOKUP(B516,F!A1:F430,6,FALSE))</f>
        <v>-225.98129560481371</v>
      </c>
      <c r="L516" s="37">
        <f>IFERROR(K516/H516,"N/A")</f>
        <v>-112.8777700323745</v>
      </c>
      <c r="M516" s="39">
        <f>IF(Settings!$E$9="YAHOO",VLOOKUP(B516,ADP!A1:E728,2,FALSE),IF(Settings!$E$9="ESPN",VLOOKUP(B516,ADP!A1:E728,3,FALSE),IF(Settings!$E$9="FANTRAX",VLOOKUP(B516,ADP!A1:E728,4,FALSE),VLOOKUP(B516,ADP!A1:E728,5,FALSE))))</f>
        <v>169.5</v>
      </c>
      <c r="N516" s="39">
        <f>IFERROR(M516-A516,"N/A")</f>
        <v>-345.5</v>
      </c>
      <c r="O516" s="39"/>
      <c r="P516" s="40" t="str">
        <f>IF(Settings!$E$27="ON",VLOOKUP(B516,ADP!A1:H728,8,FALSE)," ")</f>
        <v xml:space="preserve"> </v>
      </c>
      <c r="Q516" s="41">
        <f>IF(Settings!$E$12="YES",VLOOKUP(B516,'Player Data'!A1:E734,5,FALSE),82)</f>
        <v>81.56</v>
      </c>
      <c r="R516" s="39">
        <f>VLOOKUP(B516,'Player Data'!$A1:$AE734,6,FALSE)</f>
        <v>11.7869071393692</v>
      </c>
      <c r="S516" s="41">
        <f>VLOOKUP(B516,'Player Data'!$A1:$AE734,7,FALSE)*$Q516*IFERROR((VLOOKUP(P516,Settings!$E$28:$F$33,2,FALSE)+1),1)</f>
        <v>10.547798930372716</v>
      </c>
      <c r="T516" s="41">
        <f>VLOOKUP(B516,'Player Data'!$A1:$AE734,8,FALSE)*$Q516*IFERROR((VLOOKUP(P516,Settings!$E$28:$F$33,2,FALSE)+1),1)</f>
        <v>10.105629047015173</v>
      </c>
      <c r="U516" s="41">
        <f>SUM(S516:T516)</f>
        <v>20.653427977387889</v>
      </c>
      <c r="V516" s="41">
        <f>VLOOKUP(B516,'Player Data'!$A1:$AE734,10,FALSE)*$Q516*IFERROR(((VLOOKUP(P516,Settings!$E$28:$F$33,2,FALSE)/2)+1),1)</f>
        <v>92.465278497990553</v>
      </c>
      <c r="W516" s="41">
        <f>VLOOKUP(B516,'Player Data'!$A1:$AE734,11,FALSE)*$Q516*IFERROR((VLOOKUP(P516,Settings!$E$28:$F$33,2,FALSE)+1),1)</f>
        <v>9.0976758139836179E-3</v>
      </c>
      <c r="X516" s="41">
        <f>VLOOKUP(B516,'Player Data'!$A1:$AE734,12,FALSE)*$Q516*IFERROR((VLOOKUP(P516,Settings!$E$28:$F$33,2,FALSE)+1),1)</f>
        <v>2.3093260796482842E-2</v>
      </c>
      <c r="Y516" s="41">
        <f>VLOOKUP(B516,'Player Data'!$A1:$AE734,13,FALSE)*$Q516</f>
        <v>0.10163522869088289</v>
      </c>
      <c r="Z516" s="41">
        <f>VLOOKUP(B516,'Player Data'!$A1:$AE734,14,FALSE)*$Q516</f>
        <v>1.1146670801557166</v>
      </c>
      <c r="AA516" s="41">
        <f>VLOOKUP(B516,'Player Data'!$A1:$AE734,15,FALSE)*$Q516</f>
        <v>69.109005400062514</v>
      </c>
      <c r="AB516" s="41">
        <f>VLOOKUP(B516,'Player Data'!$A1:$AE734,16,FALSE)*$Q516</f>
        <v>233.34961400250918</v>
      </c>
      <c r="AC516" s="41">
        <f>VLOOKUP(B516,'Player Data'!$A1:$AE734,17,FALSE)*$Q516*IFERROR((VLOOKUP(P516,Settings!$E$28:$F$33,2,FALSE)+1),1)</f>
        <v>-4.5690088349191038</v>
      </c>
      <c r="AD516" s="41">
        <f>VLOOKUP(B516,'Player Data'!$A1:$AE734,18,FALSE)*$Q516</f>
        <v>50.506514105533704</v>
      </c>
      <c r="AE516" s="41">
        <f>VLOOKUP(B516,'Player Data'!$A1:$AE734,19,FALSE)*$Q516*IFERROR((VLOOKUP(P516,Settings!$E$28:$F$33,2,FALSE)+1),1)</f>
        <v>1.2398478012057528</v>
      </c>
      <c r="AF516" s="41">
        <f>VLOOKUP(B516,'Player Data'!$A1:$AE734,20,FALSE)*$Q516</f>
        <v>5.2977543293467644</v>
      </c>
      <c r="AG516" s="41">
        <f>VLOOKUP(B516,'Player Data'!$A1:$AE734,21,FALSE)*$Q516</f>
        <v>11.679916616725562</v>
      </c>
      <c r="AH516" s="42">
        <f>VLOOKUP(B516,'Player Data'!$A1:$AE734,22,FALSE)</f>
        <v>0.31204246720144901</v>
      </c>
      <c r="AI516" s="39"/>
      <c r="AJ516" s="43"/>
      <c r="AK516" s="41"/>
      <c r="AL516" s="41"/>
      <c r="AM516" s="41"/>
      <c r="AN516" s="41"/>
      <c r="AO516" s="41"/>
      <c r="AP516" s="41"/>
      <c r="AQ516" s="44"/>
      <c r="AR516" s="45"/>
      <c r="AS516" s="39"/>
    </row>
    <row r="517" spans="1:45" ht="21.25" customHeight="1" x14ac:dyDescent="0.15">
      <c r="A517" s="31">
        <f>RANK(K517,K$2:K$727)</f>
        <v>516</v>
      </c>
      <c r="B517" s="8" t="s">
        <v>621</v>
      </c>
      <c r="C517" s="32" t="s">
        <v>106</v>
      </c>
      <c r="D517" s="33" t="str">
        <f>VLOOKUP(B517,'Player Data'!A1:D734,4,FALSE)</f>
        <v>LW</v>
      </c>
      <c r="E517" s="47">
        <f>VLOOKUP(B517,LW!A1:C130,3,FALSE)</f>
        <v>92</v>
      </c>
      <c r="F517" s="35" t="str">
        <f>VLOOKUP(B517,'Player Data'!A1:B734,2,FALSE)</f>
        <v>VAN</v>
      </c>
      <c r="G517" s="9">
        <f>VLOOKUP(B517,'Player Data'!A1:D734,3,FALSE)</f>
        <v>29</v>
      </c>
      <c r="H517" s="36">
        <f>IFERROR(VLOOKUP(B517,ADP!A1:G728,7,FALSE)/1000000,VLOOKUP(B517,ADP!A1:G728,7,FALSE))</f>
        <v>0.77500000000000002</v>
      </c>
      <c r="I517" s="37">
        <f>IF(Settings!$E$15="POINTS",((R517*Q517)*Settings!$B$12)+(S517*Settings!$B$2)+(T517*Settings!$B$3)+(U517*Settings!$B$4)+(V517*Settings!$B$5)+(X517*Settings!$B$9)+(AA517*Settings!$B$6)+(W517*Settings!$B$8)+(AB517*Settings!$B$7)+(AC517*Settings!$B$14)+(AD517*Settings!$B$15)+(AE517*Settings!$B$16)+(AF517*Settings!$B$17)+(AG517*Settings!$B$18)+(Y517*Settings!$B$10)+(Z517*Settings!$B$11),VLOOKUP(B517,'Standard Deviations'!A1:C728,3,FALSE))</f>
        <v>137.52988872161711</v>
      </c>
      <c r="J517" s="38">
        <f>IF(D517="G",I517/AJ517,I517/Q517)</f>
        <v>2.3767663771171956</v>
      </c>
      <c r="K517" s="37">
        <f>IF(Settings!$E$18="C/LW/RW",VLOOKUP(B517,LW!A1:F130,6,FALSE),VLOOKUP(B517,F!A1:F430,6,FALSE))</f>
        <v>-226.51071613603335</v>
      </c>
      <c r="L517" s="37">
        <f>IFERROR(K517/H517,"N/A")</f>
        <v>-292.27189178843014</v>
      </c>
      <c r="M517" s="53" t="str">
        <f>IF(Settings!$E$9="YAHOO",VLOOKUP(B517,ADP!A1:E728,2,FALSE),IF(Settings!$E$9="ESPN",VLOOKUP(B517,ADP!A1:E728,3,FALSE),IF(Settings!$E$9="FANTRAX",VLOOKUP(B517,ADP!A1:E728,4,FALSE),VLOOKUP(B517,ADP!A1:E728,5,FALSE))))</f>
        <v>-</v>
      </c>
      <c r="N517" s="53" t="str">
        <f>IFERROR(M517-A517,"N/A")</f>
        <v>N/A</v>
      </c>
      <c r="O517" s="39"/>
      <c r="P517" s="40" t="str">
        <f>IF(Settings!$E$27="ON",VLOOKUP(B517,ADP!A1:H728,8,FALSE)," ")</f>
        <v xml:space="preserve"> </v>
      </c>
      <c r="Q517" s="41">
        <f>IF(Settings!$E$12="YES",VLOOKUP(B517,'Player Data'!A1:E734,5,FALSE),82)</f>
        <v>57.8642857142857</v>
      </c>
      <c r="R517" s="39">
        <f>VLOOKUP(B517,'Player Data'!$A1:$AE734,6,FALSE)</f>
        <v>14.582448275862101</v>
      </c>
      <c r="S517" s="41">
        <f>VLOOKUP(B517,'Player Data'!$A1:$AE734,7,FALSE)*$Q517*IFERROR((VLOOKUP(P517,Settings!$E$28:$F$33,2,FALSE)+1),1)</f>
        <v>9.4677646959124928</v>
      </c>
      <c r="T517" s="41">
        <f>VLOOKUP(B517,'Player Data'!$A1:$AE734,8,FALSE)*$Q517*IFERROR((VLOOKUP(P517,Settings!$E$28:$F$33,2,FALSE)+1),1)</f>
        <v>12.660321411872308</v>
      </c>
      <c r="U517" s="41">
        <f>SUM(S517:T517)</f>
        <v>22.128086107784803</v>
      </c>
      <c r="V517" s="41">
        <f>VLOOKUP(B517,'Player Data'!$A1:$AE734,10,FALSE)*$Q517*IFERROR(((VLOOKUP(P517,Settings!$E$28:$F$33,2,FALSE)/2)+1),1)</f>
        <v>124.17238999905044</v>
      </c>
      <c r="W517" s="41">
        <f>VLOOKUP(B517,'Player Data'!$A1:$AE734,11,FALSE)*$Q517*IFERROR((VLOOKUP(P517,Settings!$E$28:$F$33,2,FALSE)+1),1)</f>
        <v>0.25560063557429513</v>
      </c>
      <c r="X517" s="41">
        <f>VLOOKUP(B517,'Player Data'!$A1:$AE734,12,FALSE)*$Q517*IFERROR((VLOOKUP(P517,Settings!$E$28:$F$33,2,FALSE)+1),1)</f>
        <v>0.92062791574421077</v>
      </c>
      <c r="Y517" s="41">
        <f>VLOOKUP(B517,'Player Data'!$A1:$AE734,13,FALSE)*$Q517</f>
        <v>0.18453024052250222</v>
      </c>
      <c r="Z517" s="41">
        <f>VLOOKUP(B517,'Player Data'!$A1:$AE734,14,FALSE)*$Q517</f>
        <v>1.2260986617743905</v>
      </c>
      <c r="AA517" s="41">
        <f>VLOOKUP(B517,'Player Data'!$A1:$AE734,15,FALSE)*$Q517</f>
        <v>23.829911218501476</v>
      </c>
      <c r="AB517" s="41">
        <f>VLOOKUP(B517,'Player Data'!$A1:$AE734,16,FALSE)*$Q517</f>
        <v>92.476693571869177</v>
      </c>
      <c r="AC517" s="41">
        <f>VLOOKUP(B517,'Player Data'!$A1:$AE734,17,FALSE)*$Q517*IFERROR((VLOOKUP(P517,Settings!$E$28:$F$33,2,FALSE)+1),1)</f>
        <v>0.18596898911401422</v>
      </c>
      <c r="AD517" s="41">
        <f>VLOOKUP(B517,'Player Data'!$A1:$AE734,18,FALSE)*$Q517</f>
        <v>25.176856466267612</v>
      </c>
      <c r="AE517" s="41">
        <f>VLOOKUP(B517,'Player Data'!$A1:$AE734,19,FALSE)*$Q517*IFERROR((VLOOKUP(P517,Settings!$E$28:$F$33,2,FALSE)+1),1)</f>
        <v>1.340253446732357</v>
      </c>
      <c r="AF517" s="41">
        <f>VLOOKUP(B517,'Player Data'!$A1:$AE734,20,FALSE)*$Q517</f>
        <v>2.7703261704480413</v>
      </c>
      <c r="AG517" s="41">
        <f>VLOOKUP(B517,'Player Data'!$A1:$AE734,21,FALSE)*$Q517</f>
        <v>6.2685386982876548</v>
      </c>
      <c r="AH517" s="42">
        <f>VLOOKUP(B517,'Player Data'!$A1:$AE734,22,FALSE)</f>
        <v>0.306490495286664</v>
      </c>
      <c r="AI517" s="39"/>
      <c r="AJ517" s="43"/>
      <c r="AK517" s="41"/>
      <c r="AL517" s="41"/>
      <c r="AM517" s="41"/>
      <c r="AN517" s="41"/>
      <c r="AO517" s="41"/>
      <c r="AP517" s="41"/>
      <c r="AQ517" s="44"/>
      <c r="AR517" s="45"/>
      <c r="AS517" s="39"/>
    </row>
    <row r="518" spans="1:45" ht="21.25" customHeight="1" x14ac:dyDescent="0.15">
      <c r="A518" s="31">
        <f>RANK(K518,K$2:K$727)</f>
        <v>517</v>
      </c>
      <c r="B518" s="8" t="s">
        <v>622</v>
      </c>
      <c r="C518" s="32" t="s">
        <v>106</v>
      </c>
      <c r="D518" s="33" t="str">
        <f>VLOOKUP(B518,'Player Data'!A1:D734,4,FALSE)</f>
        <v>D</v>
      </c>
      <c r="E518" s="49">
        <f>VLOOKUP(B518,D!A1:C227,3,FALSE)</f>
        <v>192</v>
      </c>
      <c r="F518" s="35" t="str">
        <f>VLOOKUP(B518,'Player Data'!A1:B734,2,FALSE)</f>
        <v>SJS</v>
      </c>
      <c r="G518" s="9">
        <f>VLOOKUP(B518,'Player Data'!A1:D734,3,FALSE)</f>
        <v>30</v>
      </c>
      <c r="H518" s="36">
        <f>IFERROR(VLOOKUP(B518,ADP!A1:G728,7,FALSE)/1000000,VLOOKUP(B518,ADP!A1:G728,7,FALSE))</f>
        <v>2.25</v>
      </c>
      <c r="I518" s="37">
        <f>IF(Settings!$E$15="POINTS",((R518*Q518)*Settings!$B$12)+(S518*Settings!$B$2)+(T518*Settings!$B$3)+(U518*Settings!$B$4)+(V518*Settings!$B$5)+(X518*Settings!$B$9)+(AA518*Settings!$B$6)+(W518*Settings!$B$8)+(AB518*Settings!$B$7)+(AC518*Settings!$B$14)+(AD518*Settings!$B$15)+(AE518*Settings!$B$16)+(AF518*Settings!$B$17)+(AG518*Settings!$B$18)+(U518*Settings!$B$13)+(Y518*Settings!$B$10)+(Z518*Settings!$B$11),VLOOKUP(B518,'Standard Deviations'!A1:C728,3,FALSE))</f>
        <v>84.894042588396687</v>
      </c>
      <c r="J518" s="38">
        <f>IF(D518="G",I518/AJ518,I518/Q518)</f>
        <v>1.2743573042519654</v>
      </c>
      <c r="K518" s="37">
        <f>VLOOKUP(B518,D!A1:F227,6,FALSE)</f>
        <v>-226.67143903953075</v>
      </c>
      <c r="L518" s="37">
        <f>IFERROR(K518/H518,"N/A")</f>
        <v>-100.742861795347</v>
      </c>
      <c r="M518" s="53" t="str">
        <f>IF(Settings!$E$9="YAHOO",VLOOKUP(B518,ADP!A1:E728,2,FALSE),IF(Settings!$E$9="ESPN",VLOOKUP(B518,ADP!A1:E728,3,FALSE),IF(Settings!$E$9="FANTRAX",VLOOKUP(B518,ADP!A1:E728,4,FALSE),VLOOKUP(B518,ADP!A1:E728,5,FALSE))))</f>
        <v>-</v>
      </c>
      <c r="N518" s="53" t="str">
        <f>IFERROR(M518-A518,"N/A")</f>
        <v>N/A</v>
      </c>
      <c r="O518" s="39"/>
      <c r="P518" s="40" t="str">
        <f>IF(Settings!$E$27="ON",VLOOKUP(B518,ADP!A1:H728,8,FALSE)," ")</f>
        <v xml:space="preserve"> </v>
      </c>
      <c r="Q518" s="41">
        <f>IF(Settings!$E$12="YES",VLOOKUP(B518,'Player Data'!A1:E734,5,FALSE),82)</f>
        <v>66.617142857142895</v>
      </c>
      <c r="R518" s="39">
        <f>VLOOKUP(B518,'Player Data'!$A1:$AE734,6,FALSE)</f>
        <v>16.6649331566183</v>
      </c>
      <c r="S518" s="41">
        <f>VLOOKUP(B518,'Player Data'!$A1:$AE734,7,FALSE)*$Q518*IFERROR((VLOOKUP(P518,Settings!$E$28:$F$33,2,FALSE)+1),1)</f>
        <v>2.6698951400056599</v>
      </c>
      <c r="T518" s="41">
        <f>VLOOKUP(B518,'Player Data'!$A1:$AE734,8,FALSE)*$Q518*IFERROR((VLOOKUP(P518,Settings!$E$28:$F$33,2,FALSE)+1),1)</f>
        <v>7.031586674684756</v>
      </c>
      <c r="U518" s="41">
        <f>SUM(S518:T518)</f>
        <v>9.7014818146904158</v>
      </c>
      <c r="V518" s="41">
        <f>VLOOKUP(B518,'Player Data'!$A1:$AE734,10,FALSE)*$Q518*IFERROR(((VLOOKUP(P518,Settings!$E$28:$F$33,2,FALSE)/2)+1),1)</f>
        <v>67.036593432960927</v>
      </c>
      <c r="W518" s="41">
        <f>VLOOKUP(B518,'Player Data'!$A1:$AE734,11,FALSE)*$Q518*IFERROR((VLOOKUP(P518,Settings!$E$28:$F$33,2,FALSE)+1),1)</f>
        <v>9.5980661847278451E-2</v>
      </c>
      <c r="X518" s="41">
        <f>VLOOKUP(B518,'Player Data'!$A1:$AE734,12,FALSE)*$Q518*IFERROR((VLOOKUP(P518,Settings!$E$28:$F$33,2,FALSE)+1),1)</f>
        <v>0.66468321346827464</v>
      </c>
      <c r="Y518" s="41">
        <f>VLOOKUP(B518,'Player Data'!$A1:$AE734,13,FALSE)*$Q518</f>
        <v>2.9542312397863948E-2</v>
      </c>
      <c r="Z518" s="41">
        <f>VLOOKUP(B518,'Player Data'!$A1:$AE734,14,FALSE)*$Q518</f>
        <v>0.11207354837095991</v>
      </c>
      <c r="AA518" s="41">
        <f>VLOOKUP(B518,'Player Data'!$A1:$AE734,15,FALSE)*$Q518</f>
        <v>103.58893452083254</v>
      </c>
      <c r="AB518" s="41">
        <f>VLOOKUP(B518,'Player Data'!$A1:$AE734,16,FALSE)*$Q518</f>
        <v>136.21420600788858</v>
      </c>
      <c r="AC518" s="41">
        <f>VLOOKUP(B518,'Player Data'!$A1:$AE734,17,FALSE)*$Q518*IFERROR((VLOOKUP(P518,Settings!$E$28:$F$33,2,FALSE)+1),1)</f>
        <v>-0.67861463892094875</v>
      </c>
      <c r="AD518" s="41">
        <f>VLOOKUP(B518,'Player Data'!$A1:$AE734,18,FALSE)*$Q518</f>
        <v>34.064983449036781</v>
      </c>
      <c r="AE518" s="41">
        <f>VLOOKUP(B518,'Player Data'!$A1:$AE734,19,FALSE)*$Q518*IFERROR((VLOOKUP(P518,Settings!$E$28:$F$33,2,FALSE)+1),1)</f>
        <v>0.32418332312987369</v>
      </c>
      <c r="AF518" s="41">
        <f>VLOOKUP(B518,'Player Data'!$A1:$AE734,20,FALSE)*$Q518</f>
        <v>0</v>
      </c>
      <c r="AG518" s="41">
        <f>VLOOKUP(B518,'Player Data'!$A1:$AE734,21,FALSE)*$Q518</f>
        <v>0</v>
      </c>
      <c r="AH518" s="42">
        <f>VLOOKUP(B518,'Player Data'!$A1:$AE734,22,FALSE)</f>
        <v>0</v>
      </c>
      <c r="AI518" s="39"/>
      <c r="AJ518" s="43"/>
      <c r="AK518" s="41"/>
      <c r="AL518" s="41"/>
      <c r="AM518" s="41"/>
      <c r="AN518" s="41"/>
      <c r="AO518" s="41"/>
      <c r="AP518" s="41"/>
      <c r="AQ518" s="44"/>
      <c r="AR518" s="45"/>
      <c r="AS518" s="39"/>
    </row>
    <row r="519" spans="1:45" ht="21.25" customHeight="1" x14ac:dyDescent="0.15">
      <c r="A519" s="31">
        <f>RANK(K519,K$2:K$727)</f>
        <v>518</v>
      </c>
      <c r="B519" s="8" t="s">
        <v>623</v>
      </c>
      <c r="C519" s="32" t="s">
        <v>106</v>
      </c>
      <c r="D519" s="33" t="str">
        <f>VLOOKUP(B519,'Player Data'!A1:D734,4,FALSE)</f>
        <v>RW</v>
      </c>
      <c r="E519" s="46">
        <f>VLOOKUP(B519,RW!A1:F97,3,FALSE)</f>
        <v>74</v>
      </c>
      <c r="F519" s="35" t="str">
        <f>VLOOKUP(B519,'Player Data'!A1:B734,2,FALSE)</f>
        <v>NSH</v>
      </c>
      <c r="G519" s="9">
        <f>VLOOKUP(B519,'Player Data'!A1:D734,3,FALSE)</f>
        <v>28</v>
      </c>
      <c r="H519" s="36">
        <f>IFERROR(VLOOKUP(B519,ADP!A1:G728,7,FALSE)/1000000,VLOOKUP(B519,ADP!A1:G728,7,FALSE))</f>
        <v>0.77500000000000002</v>
      </c>
      <c r="I519" s="37">
        <f>IF(Settings!$E$15="POINTS",((R519*Q519)*Settings!$B$12)+(S519*Settings!$B$2)+(T519*Settings!$B$3)+(U519*Settings!$B$4)+(V519*Settings!$B$5)+(X519*Settings!$B$9)+(AA519*Settings!$B$6)+(W519*Settings!$B$8)+(AB519*Settings!$B$7)+(AC519*Settings!$B$14)+(AD519*Settings!$B$15)+(AE519*Settings!$B$16)+(AF519*Settings!$B$17)+(AG519*Settings!$B$18)+(Y519*Settings!$B$10)+(Z519*Settings!$B$11),VLOOKUP(B519,'Standard Deviations'!A1:C728,3,FALSE))</f>
        <v>121.91977834262656</v>
      </c>
      <c r="J519" s="38">
        <f>IF(D519="G",I519/AJ519,I519/Q519)</f>
        <v>2.1190409584128678</v>
      </c>
      <c r="K519" s="37">
        <f>IF(Settings!$E$18="C/LW/RW",VLOOKUP(B519,RW!A1:F97,6,FALSE),VLOOKUP(B519,F!A1:F430,6,FALSE))</f>
        <v>-228.35176220526301</v>
      </c>
      <c r="L519" s="37">
        <f>IFERROR(K519/H519,"N/A")</f>
        <v>-294.64743510356516</v>
      </c>
      <c r="M519" s="53" t="str">
        <f>IF(Settings!$E$9="YAHOO",VLOOKUP(B519,ADP!A1:E728,2,FALSE),IF(Settings!$E$9="ESPN",VLOOKUP(B519,ADP!A1:E728,3,FALSE),IF(Settings!$E$9="FANTRAX",VLOOKUP(B519,ADP!A1:E728,4,FALSE),VLOOKUP(B519,ADP!A1:E728,5,FALSE))))</f>
        <v>-</v>
      </c>
      <c r="N519" s="53" t="str">
        <f>IFERROR(M519-A519,"N/A")</f>
        <v>N/A</v>
      </c>
      <c r="O519" s="39"/>
      <c r="P519" s="40" t="str">
        <f>IF(Settings!$E$27="ON",VLOOKUP(B519,ADP!A1:H728,8,FALSE)," ")</f>
        <v xml:space="preserve"> </v>
      </c>
      <c r="Q519" s="41">
        <f>IF(Settings!$E$12="YES",VLOOKUP(B519,'Player Data'!A1:E734,5,FALSE),82)</f>
        <v>57.535357142857102</v>
      </c>
      <c r="R519" s="39">
        <f>VLOOKUP(B519,'Player Data'!$A1:$AE734,6,FALSE)</f>
        <v>13.202479897980201</v>
      </c>
      <c r="S519" s="41">
        <f>VLOOKUP(B519,'Player Data'!$A1:$AE734,7,FALSE)*$Q519*IFERROR((VLOOKUP(P519,Settings!$E$28:$F$33,2,FALSE)+1),1)</f>
        <v>9.8441306161871225</v>
      </c>
      <c r="T519" s="41">
        <f>VLOOKUP(B519,'Player Data'!$A1:$AE734,8,FALSE)*$Q519*IFERROR((VLOOKUP(P519,Settings!$E$28:$F$33,2,FALSE)+1),1)</f>
        <v>11.730914475562438</v>
      </c>
      <c r="U519" s="41">
        <f>SUM(S519:T519)</f>
        <v>21.575045091749558</v>
      </c>
      <c r="V519" s="41">
        <f>VLOOKUP(B519,'Player Data'!$A1:$AE734,10,FALSE)*$Q519*IFERROR(((VLOOKUP(P519,Settings!$E$28:$F$33,2,FALSE)/2)+1),1)</f>
        <v>95.84403182992213</v>
      </c>
      <c r="W519" s="41">
        <f>VLOOKUP(B519,'Player Data'!$A1:$AE734,11,FALSE)*$Q519*IFERROR((VLOOKUP(P519,Settings!$E$28:$F$33,2,FALSE)+1),1)</f>
        <v>0.84838150366737286</v>
      </c>
      <c r="X519" s="41">
        <f>VLOOKUP(B519,'Player Data'!$A1:$AE734,12,FALSE)*$Q519*IFERROR((VLOOKUP(P519,Settings!$E$28:$F$33,2,FALSE)+1),1)</f>
        <v>1.9356926600831215</v>
      </c>
      <c r="Y519" s="41">
        <f>VLOOKUP(B519,'Player Data'!$A1:$AE734,13,FALSE)*$Q519</f>
        <v>1.5994851882538574E-2</v>
      </c>
      <c r="Z519" s="41">
        <f>VLOOKUP(B519,'Player Data'!$A1:$AE734,14,FALSE)*$Q519</f>
        <v>2.9408580181564298E-2</v>
      </c>
      <c r="AA519" s="41">
        <f>VLOOKUP(B519,'Player Data'!$A1:$AE734,15,FALSE)*$Q519</f>
        <v>26.712123359437204</v>
      </c>
      <c r="AB519" s="41">
        <f>VLOOKUP(B519,'Player Data'!$A1:$AE734,16,FALSE)*$Q519</f>
        <v>140.66930955889029</v>
      </c>
      <c r="AC519" s="41">
        <f>VLOOKUP(B519,'Player Data'!$A1:$AE734,17,FALSE)*$Q519*IFERROR((VLOOKUP(P519,Settings!$E$28:$F$33,2,FALSE)+1),1)</f>
        <v>-0.32557541062506601</v>
      </c>
      <c r="AD519" s="41">
        <f>VLOOKUP(B519,'Player Data'!$A1:$AE734,18,FALSE)*$Q519</f>
        <v>29.309593431719286</v>
      </c>
      <c r="AE519" s="41">
        <f>VLOOKUP(B519,'Player Data'!$A1:$AE734,19,FALSE)*$Q519*IFERROR((VLOOKUP(P519,Settings!$E$28:$F$33,2,FALSE)+1),1)</f>
        <v>1.4375005341165208</v>
      </c>
      <c r="AF519" s="41">
        <f>VLOOKUP(B519,'Player Data'!$A1:$AE734,20,FALSE)*$Q519</f>
        <v>10.656185043076645</v>
      </c>
      <c r="AG519" s="41">
        <f>VLOOKUP(B519,'Player Data'!$A1:$AE734,21,FALSE)*$Q519</f>
        <v>6.0313613714361614</v>
      </c>
      <c r="AH519" s="42">
        <f>VLOOKUP(B519,'Player Data'!$A1:$AE734,22,FALSE)</f>
        <v>0.63857111035863301</v>
      </c>
      <c r="AI519" s="39"/>
      <c r="AJ519" s="41"/>
      <c r="AK519" s="41"/>
      <c r="AL519" s="41"/>
      <c r="AM519" s="41"/>
      <c r="AN519" s="41"/>
      <c r="AO519" s="41"/>
      <c r="AP519" s="41"/>
      <c r="AQ519" s="44"/>
      <c r="AR519" s="45"/>
      <c r="AS519" s="39"/>
    </row>
    <row r="520" spans="1:45" ht="21.25" customHeight="1" x14ac:dyDescent="0.15">
      <c r="A520" s="31">
        <f>RANK(K520,K$2:K$727)</f>
        <v>519</v>
      </c>
      <c r="B520" s="8" t="s">
        <v>624</v>
      </c>
      <c r="C520" s="32" t="s">
        <v>106</v>
      </c>
      <c r="D520" s="33" t="str">
        <f>VLOOKUP(B520,'Player Data'!A1:D734,4,FALSE)</f>
        <v>D</v>
      </c>
      <c r="E520" s="49">
        <f>VLOOKUP(B520,D!A1:C227,3,FALSE)</f>
        <v>193</v>
      </c>
      <c r="F520" s="35" t="str">
        <f>VLOOKUP(B520,'Player Data'!A1:B734,2,FALSE)</f>
        <v>VAN</v>
      </c>
      <c r="G520" s="9">
        <f>VLOOKUP(B520,'Player Data'!A1:D734,3,FALSE)</f>
        <v>28</v>
      </c>
      <c r="H520" s="36">
        <f>IFERROR(VLOOKUP(B520,ADP!A1:G728,7,FALSE)/1000000,VLOOKUP(B520,ADP!A1:G728,7,FALSE))</f>
        <v>0</v>
      </c>
      <c r="I520" s="37">
        <f>IF(Settings!$E$15="POINTS",((R520*Q520)*Settings!$B$12)+(S520*Settings!$B$2)+(T520*Settings!$B$3)+(U520*Settings!$B$4)+(V520*Settings!$B$5)+(X520*Settings!$B$9)+(AA520*Settings!$B$6)+(W520*Settings!$B$8)+(AB520*Settings!$B$7)+(AC520*Settings!$B$14)+(AD520*Settings!$B$15)+(AE520*Settings!$B$16)+(AF520*Settings!$B$17)+(AG520*Settings!$B$18)+(U520*Settings!$B$13)+(Y520*Settings!$B$10)+(Z520*Settings!$B$11),VLOOKUP(B520,'Standard Deviations'!A1:C728,3,FALSE))</f>
        <v>83.213625480281962</v>
      </c>
      <c r="J520" s="38">
        <f>IF(D520="G",I520/AJ520,I520/Q520)</f>
        <v>1.4118789734091357</v>
      </c>
      <c r="K520" s="37">
        <f>VLOOKUP(B520,D!A1:F227,6,FALSE)</f>
        <v>-228.35185614764549</v>
      </c>
      <c r="L520" s="52" t="str">
        <f>IFERROR(K520/H520,"N/A")</f>
        <v>N/A</v>
      </c>
      <c r="M520" s="53" t="str">
        <f>IF(Settings!$E$9="YAHOO",VLOOKUP(B520,ADP!A1:E728,2,FALSE),IF(Settings!$E$9="ESPN",VLOOKUP(B520,ADP!A1:E728,3,FALSE),IF(Settings!$E$9="FANTRAX",VLOOKUP(B520,ADP!A1:E728,4,FALSE),VLOOKUP(B520,ADP!A1:E728,5,FALSE))))</f>
        <v>-</v>
      </c>
      <c r="N520" s="53" t="str">
        <f>IFERROR(M520-A520,"N/A")</f>
        <v>N/A</v>
      </c>
      <c r="O520" s="39"/>
      <c r="P520" s="40" t="str">
        <f>IF(Settings!$E$27="ON",VLOOKUP(B520,ADP!A1:H728,8,FALSE)," ")</f>
        <v xml:space="preserve"> </v>
      </c>
      <c r="Q520" s="41">
        <f>IF(Settings!$E$12="YES",VLOOKUP(B520,'Player Data'!A1:E734,5,FALSE),82)</f>
        <v>58.938214285714302</v>
      </c>
      <c r="R520" s="39">
        <f>VLOOKUP(B520,'Player Data'!$A1:$AE734,6,FALSE)</f>
        <v>15.3284470019055</v>
      </c>
      <c r="S520" s="41">
        <f>VLOOKUP(B520,'Player Data'!$A1:$AE734,7,FALSE)*$Q520*IFERROR((VLOOKUP(P520,Settings!$E$28:$F$33,2,FALSE)+1),1)</f>
        <v>2.3796857128817051</v>
      </c>
      <c r="T520" s="41">
        <f>VLOOKUP(B520,'Player Data'!$A1:$AE734,8,FALSE)*$Q520*IFERROR((VLOOKUP(P520,Settings!$E$28:$F$33,2,FALSE)+1),1)</f>
        <v>10.575578671517587</v>
      </c>
      <c r="U520" s="41">
        <f>SUM(S520:T520)</f>
        <v>12.955264384399293</v>
      </c>
      <c r="V520" s="41">
        <f>VLOOKUP(B520,'Player Data'!$A1:$AE734,10,FALSE)*$Q520*IFERROR(((VLOOKUP(P520,Settings!$E$28:$F$33,2,FALSE)/2)+1),1)</f>
        <v>60.838626786890771</v>
      </c>
      <c r="W520" s="41">
        <f>VLOOKUP(B520,'Player Data'!$A1:$AE734,11,FALSE)*$Q520*IFERROR((VLOOKUP(P520,Settings!$E$28:$F$33,2,FALSE)+1),1)</f>
        <v>0.12307094670529165</v>
      </c>
      <c r="X520" s="41">
        <f>VLOOKUP(B520,'Player Data'!$A1:$AE734,12,FALSE)*$Q520*IFERROR((VLOOKUP(P520,Settings!$E$28:$F$33,2,FALSE)+1),1)</f>
        <v>1.2625360978521794</v>
      </c>
      <c r="Y520" s="41">
        <f>VLOOKUP(B520,'Player Data'!$A1:$AE734,13,FALSE)*$Q520</f>
        <v>6.4536174755034292E-3</v>
      </c>
      <c r="Z520" s="41">
        <f>VLOOKUP(B520,'Player Data'!$A1:$AE734,14,FALSE)*$Q520</f>
        <v>2.4344736445994161E-2</v>
      </c>
      <c r="AA520" s="41">
        <f>VLOOKUP(B520,'Player Data'!$A1:$AE734,15,FALSE)*$Q520</f>
        <v>56.773786325211759</v>
      </c>
      <c r="AB520" s="41">
        <f>VLOOKUP(B520,'Player Data'!$A1:$AE734,16,FALSE)*$Q520</f>
        <v>50.894017401573286</v>
      </c>
      <c r="AC520" s="41">
        <f>VLOOKUP(B520,'Player Data'!$A1:$AE734,17,FALSE)*$Q520*IFERROR((VLOOKUP(P520,Settings!$E$28:$F$33,2,FALSE)+1),1)</f>
        <v>0.32819087666070035</v>
      </c>
      <c r="AD520" s="41">
        <f>VLOOKUP(B520,'Player Data'!$A1:$AE734,18,FALSE)*$Q520</f>
        <v>20.919693729915075</v>
      </c>
      <c r="AE520" s="41">
        <f>VLOOKUP(B520,'Player Data'!$A1:$AE734,19,FALSE)*$Q520*IFERROR((VLOOKUP(P520,Settings!$E$28:$F$33,2,FALSE)+1),1)</f>
        <v>0.33686747413636131</v>
      </c>
      <c r="AF520" s="41">
        <f>VLOOKUP(B520,'Player Data'!$A1:$AE734,20,FALSE)*$Q520</f>
        <v>0</v>
      </c>
      <c r="AG520" s="41">
        <f>VLOOKUP(B520,'Player Data'!$A1:$AE734,21,FALSE)*$Q520</f>
        <v>0</v>
      </c>
      <c r="AH520" s="42">
        <f>VLOOKUP(B520,'Player Data'!$A1:$AE734,22,FALSE)</f>
        <v>0</v>
      </c>
      <c r="AI520" s="39"/>
      <c r="AJ520" s="43"/>
      <c r="AK520" s="41"/>
      <c r="AL520" s="41"/>
      <c r="AM520" s="41"/>
      <c r="AN520" s="41"/>
      <c r="AO520" s="41"/>
      <c r="AP520" s="41"/>
      <c r="AQ520" s="44"/>
      <c r="AR520" s="45"/>
      <c r="AS520" s="39"/>
    </row>
    <row r="521" spans="1:45" ht="21.25" customHeight="1" x14ac:dyDescent="0.15">
      <c r="A521" s="31">
        <f>RANK(K521,K$2:K$727)</f>
        <v>520</v>
      </c>
      <c r="B521" s="8" t="s">
        <v>625</v>
      </c>
      <c r="C521" s="32" t="s">
        <v>106</v>
      </c>
      <c r="D521" s="33" t="str">
        <f>VLOOKUP(B521,'Player Data'!A1:D734,4,FALSE)</f>
        <v>D</v>
      </c>
      <c r="E521" s="49">
        <f>VLOOKUP(B521,D!A1:C227,3,FALSE)</f>
        <v>194</v>
      </c>
      <c r="F521" s="35" t="str">
        <f>VLOOKUP(B521,'Player Data'!A1:B734,2,FALSE)</f>
        <v>VGK</v>
      </c>
      <c r="G521" s="9">
        <f>VLOOKUP(B521,'Player Data'!A1:D734,3,FALSE)</f>
        <v>30</v>
      </c>
      <c r="H521" s="36">
        <f>IFERROR(VLOOKUP(B521,ADP!A1:G728,7,FALSE)/1000000,VLOOKUP(B521,ADP!A1:G728,7,FALSE))</f>
        <v>0.85</v>
      </c>
      <c r="I521" s="37">
        <f>IF(Settings!$E$15="POINTS",((R521*Q521)*Settings!$B$12)+(S521*Settings!$B$2)+(T521*Settings!$B$3)+(U521*Settings!$B$4)+(V521*Settings!$B$5)+(X521*Settings!$B$9)+(AA521*Settings!$B$6)+(W521*Settings!$B$8)+(AB521*Settings!$B$7)+(AC521*Settings!$B$14)+(AD521*Settings!$B$15)+(AE521*Settings!$B$16)+(AF521*Settings!$B$17)+(AG521*Settings!$B$18)+(U521*Settings!$B$13)+(Y521*Settings!$B$10)+(Z521*Settings!$B$11),VLOOKUP(B521,'Standard Deviations'!A1:C728,3,FALSE))</f>
        <v>83.208101038568714</v>
      </c>
      <c r="J521" s="38">
        <f>IF(D521="G",I521/AJ521,I521/Q521)</f>
        <v>1.2411378985813351</v>
      </c>
      <c r="K521" s="37">
        <f>VLOOKUP(B521,D!A1:F227,6,FALSE)</f>
        <v>-228.35738058935874</v>
      </c>
      <c r="L521" s="37">
        <f>IFERROR(K521/H521,"N/A")</f>
        <v>-268.65574186983383</v>
      </c>
      <c r="M521" s="53" t="str">
        <f>IF(Settings!$E$9="YAHOO",VLOOKUP(B521,ADP!A1:E728,2,FALSE),IF(Settings!$E$9="ESPN",VLOOKUP(B521,ADP!A1:E728,3,FALSE),IF(Settings!$E$9="FANTRAX",VLOOKUP(B521,ADP!A1:E728,4,FALSE),VLOOKUP(B521,ADP!A1:E728,5,FALSE))))</f>
        <v>-</v>
      </c>
      <c r="N521" s="53" t="str">
        <f>IFERROR(M521-A521,"N/A")</f>
        <v>N/A</v>
      </c>
      <c r="O521" s="39"/>
      <c r="P521" s="40" t="str">
        <f>IF(Settings!$E$27="ON",VLOOKUP(B521,ADP!A1:H728,8,FALSE)," ")</f>
        <v xml:space="preserve"> </v>
      </c>
      <c r="Q521" s="41">
        <f>IF(Settings!$E$12="YES",VLOOKUP(B521,'Player Data'!A1:E734,5,FALSE),82)</f>
        <v>67.041785714285695</v>
      </c>
      <c r="R521" s="39">
        <f>VLOOKUP(B521,'Player Data'!$A1:$AE734,6,FALSE)</f>
        <v>12.422328199314</v>
      </c>
      <c r="S521" s="41">
        <f>VLOOKUP(B521,'Player Data'!$A1:$AE734,7,FALSE)*$Q521*IFERROR((VLOOKUP(P521,Settings!$E$28:$F$33,2,FALSE)+1),1)</f>
        <v>2.763300869874787</v>
      </c>
      <c r="T521" s="41">
        <f>VLOOKUP(B521,'Player Data'!$A1:$AE734,8,FALSE)*$Q521*IFERROR((VLOOKUP(P521,Settings!$E$28:$F$33,2,FALSE)+1),1)</f>
        <v>8.0650351010929118</v>
      </c>
      <c r="U521" s="41">
        <f>SUM(S521:T521)</f>
        <v>10.828335970967698</v>
      </c>
      <c r="V521" s="41">
        <f>VLOOKUP(B521,'Player Data'!$A1:$AE734,10,FALSE)*$Q521*IFERROR(((VLOOKUP(P521,Settings!$E$28:$F$33,2,FALSE)/2)+1),1)</f>
        <v>74.928175568083333</v>
      </c>
      <c r="W521" s="41">
        <f>VLOOKUP(B521,'Player Data'!$A1:$AE734,11,FALSE)*$Q521*IFERROR((VLOOKUP(P521,Settings!$E$28:$F$33,2,FALSE)+1),1)</f>
        <v>6.5342881140349751E-2</v>
      </c>
      <c r="X521" s="41">
        <f>VLOOKUP(B521,'Player Data'!$A1:$AE734,12,FALSE)*$Q521*IFERROR((VLOOKUP(P521,Settings!$E$28:$F$33,2,FALSE)+1),1)</f>
        <v>0.67026831209944437</v>
      </c>
      <c r="Y521" s="41">
        <f>VLOOKUP(B521,'Player Data'!$A1:$AE734,13,FALSE)*$Q521</f>
        <v>6.5600260180636747E-3</v>
      </c>
      <c r="Z521" s="41">
        <f>VLOOKUP(B521,'Player Data'!$A1:$AE734,14,FALSE)*$Q521</f>
        <v>2.4743980495011603E-2</v>
      </c>
      <c r="AA521" s="41">
        <f>VLOOKUP(B521,'Player Data'!$A1:$AE734,15,FALSE)*$Q521</f>
        <v>59.344903782175152</v>
      </c>
      <c r="AB521" s="41">
        <f>VLOOKUP(B521,'Player Data'!$A1:$AE734,16,FALSE)*$Q521</f>
        <v>54.427855003905023</v>
      </c>
      <c r="AC521" s="41">
        <f>VLOOKUP(B521,'Player Data'!$A1:$AE734,17,FALSE)*$Q521*IFERROR((VLOOKUP(P521,Settings!$E$28:$F$33,2,FALSE)+1),1)</f>
        <v>3.503648003293129</v>
      </c>
      <c r="AD521" s="41">
        <f>VLOOKUP(B521,'Player Data'!$A1:$AE734,18,FALSE)*$Q521</f>
        <v>19.575056588322184</v>
      </c>
      <c r="AE521" s="41">
        <f>VLOOKUP(B521,'Player Data'!$A1:$AE734,19,FALSE)*$Q521*IFERROR((VLOOKUP(P521,Settings!$E$28:$F$33,2,FALSE)+1),1)</f>
        <v>0.45159875813282196</v>
      </c>
      <c r="AF521" s="41">
        <f>VLOOKUP(B521,'Player Data'!$A1:$AE734,20,FALSE)*$Q521</f>
        <v>0</v>
      </c>
      <c r="AG521" s="41">
        <f>VLOOKUP(B521,'Player Data'!$A1:$AE734,21,FALSE)*$Q521</f>
        <v>0</v>
      </c>
      <c r="AH521" s="42">
        <f>VLOOKUP(B521,'Player Data'!$A1:$AE734,22,FALSE)</f>
        <v>0</v>
      </c>
      <c r="AI521" s="39"/>
      <c r="AJ521" s="43"/>
      <c r="AK521" s="41"/>
      <c r="AL521" s="41"/>
      <c r="AM521" s="41"/>
      <c r="AN521" s="41"/>
      <c r="AO521" s="41"/>
      <c r="AP521" s="41"/>
      <c r="AQ521" s="44"/>
      <c r="AR521" s="45"/>
      <c r="AS521" s="39"/>
    </row>
    <row r="522" spans="1:45" ht="21.25" customHeight="1" x14ac:dyDescent="0.15">
      <c r="A522" s="31">
        <f>RANK(K522,K$2:K$727)</f>
        <v>521</v>
      </c>
      <c r="B522" s="8" t="s">
        <v>626</v>
      </c>
      <c r="C522" s="32" t="s">
        <v>106</v>
      </c>
      <c r="D522" s="33" t="str">
        <f>VLOOKUP(B522,'Player Data'!A1:D734,4,FALSE)</f>
        <v>D</v>
      </c>
      <c r="E522" s="49">
        <f>VLOOKUP(B522,D!A1:C227,3,FALSE)</f>
        <v>195</v>
      </c>
      <c r="F522" s="35" t="str">
        <f>VLOOKUP(B522,'Player Data'!A1:B734,2,FALSE)</f>
        <v>SJS</v>
      </c>
      <c r="G522" s="9">
        <f>VLOOKUP(B522,'Player Data'!A1:D734,3,FALSE)</f>
        <v>30</v>
      </c>
      <c r="H522" s="36">
        <f>IFERROR(VLOOKUP(B522,ADP!A1:G728,7,FALSE)/1000000,VLOOKUP(B522,ADP!A1:G728,7,FALSE))</f>
        <v>0.76249999999999996</v>
      </c>
      <c r="I522" s="37">
        <f>IF(Settings!$E$15="POINTS",((R522*Q522)*Settings!$B$12)+(S522*Settings!$B$2)+(T522*Settings!$B$3)+(U522*Settings!$B$4)+(V522*Settings!$B$5)+(X522*Settings!$B$9)+(AA522*Settings!$B$6)+(W522*Settings!$B$8)+(AB522*Settings!$B$7)+(AC522*Settings!$B$14)+(AD522*Settings!$B$15)+(AE522*Settings!$B$16)+(AF522*Settings!$B$17)+(AG522*Settings!$B$18)+(U522*Settings!$B$13)+(Y522*Settings!$B$10)+(Z522*Settings!$B$11),VLOOKUP(B522,'Standard Deviations'!A1:C728,3,FALSE))</f>
        <v>83.166795683996597</v>
      </c>
      <c r="J522" s="38">
        <f>IF(D522="G",I522/AJ522,I522/Q522)</f>
        <v>1.4931202097665457</v>
      </c>
      <c r="K522" s="37">
        <f>VLOOKUP(B522,D!A1:F227,6,FALSE)</f>
        <v>-228.39868594393084</v>
      </c>
      <c r="L522" s="37">
        <f>IFERROR(K522/H522,"N/A")</f>
        <v>-299.53926025433555</v>
      </c>
      <c r="M522" s="53" t="str">
        <f>IF(Settings!$E$9="YAHOO",VLOOKUP(B522,ADP!A1:E728,2,FALSE),IF(Settings!$E$9="ESPN",VLOOKUP(B522,ADP!A1:E728,3,FALSE),IF(Settings!$E$9="FANTRAX",VLOOKUP(B522,ADP!A1:E728,4,FALSE),VLOOKUP(B522,ADP!A1:E728,5,FALSE))))</f>
        <v>-</v>
      </c>
      <c r="N522" s="53" t="str">
        <f>IFERROR(M522-A522,"N/A")</f>
        <v>N/A</v>
      </c>
      <c r="O522" s="39"/>
      <c r="P522" s="40" t="str">
        <f>IF(Settings!$E$27="ON",VLOOKUP(B522,ADP!A1:H728,8,FALSE)," ")</f>
        <v xml:space="preserve"> </v>
      </c>
      <c r="Q522" s="41">
        <f>IF(Settings!$E$12="YES",VLOOKUP(B522,'Player Data'!A1:E734,5,FALSE),82)</f>
        <v>55.7</v>
      </c>
      <c r="R522" s="39">
        <f>VLOOKUP(B522,'Player Data'!$A1:$AE734,6,FALSE)</f>
        <v>14.064141216473899</v>
      </c>
      <c r="S522" s="41">
        <f>VLOOKUP(B522,'Player Data'!$A1:$AE734,7,FALSE)*$Q522*IFERROR((VLOOKUP(P522,Settings!$E$28:$F$33,2,FALSE)+1),1)</f>
        <v>1.4905474818075473</v>
      </c>
      <c r="T522" s="41">
        <f>VLOOKUP(B522,'Player Data'!$A1:$AE734,8,FALSE)*$Q522*IFERROR((VLOOKUP(P522,Settings!$E$28:$F$33,2,FALSE)+1),1)</f>
        <v>8.7494855558154274</v>
      </c>
      <c r="U522" s="41">
        <f>SUM(S522:T522)</f>
        <v>10.240033037622975</v>
      </c>
      <c r="V522" s="41">
        <f>VLOOKUP(B522,'Player Data'!$A1:$AE734,10,FALSE)*$Q522*IFERROR(((VLOOKUP(P522,Settings!$E$28:$F$33,2,FALSE)/2)+1),1)</f>
        <v>78.858317907536161</v>
      </c>
      <c r="W522" s="41">
        <f>VLOOKUP(B522,'Player Data'!$A1:$AE734,11,FALSE)*$Q522*IFERROR((VLOOKUP(P522,Settings!$E$28:$F$33,2,FALSE)+1),1)</f>
        <v>0.13485066951748409</v>
      </c>
      <c r="X522" s="41">
        <f>VLOOKUP(B522,'Player Data'!$A1:$AE734,12,FALSE)*$Q522*IFERROR((VLOOKUP(P522,Settings!$E$28:$F$33,2,FALSE)+1),1)</f>
        <v>1.4356367923803619</v>
      </c>
      <c r="Y522" s="41">
        <f>VLOOKUP(B522,'Player Data'!$A1:$AE734,13,FALSE)*$Q522</f>
        <v>2.4655093571996928E-3</v>
      </c>
      <c r="Z522" s="41">
        <f>VLOOKUP(B522,'Player Data'!$A1:$AE734,14,FALSE)*$Q522</f>
        <v>9.6518757501147835E-3</v>
      </c>
      <c r="AA522" s="41">
        <f>VLOOKUP(B522,'Player Data'!$A1:$AE734,15,FALSE)*$Q522</f>
        <v>50.634801405493164</v>
      </c>
      <c r="AB522" s="41">
        <f>VLOOKUP(B522,'Player Data'!$A1:$AE734,16,FALSE)*$Q522</f>
        <v>74.740807216598071</v>
      </c>
      <c r="AC522" s="41">
        <f>VLOOKUP(B522,'Player Data'!$A1:$AE734,17,FALSE)*$Q522*IFERROR((VLOOKUP(P522,Settings!$E$28:$F$33,2,FALSE)+1),1)</f>
        <v>-8.2555185647419357E-2</v>
      </c>
      <c r="AD522" s="41">
        <f>VLOOKUP(B522,'Player Data'!$A1:$AE734,18,FALSE)*$Q522</f>
        <v>22.099085964437254</v>
      </c>
      <c r="AE522" s="41">
        <f>VLOOKUP(B522,'Player Data'!$A1:$AE734,19,FALSE)*$Q522*IFERROR((VLOOKUP(P522,Settings!$E$28:$F$33,2,FALSE)+1),1)</f>
        <v>0.18098487416034248</v>
      </c>
      <c r="AF522" s="41">
        <f>VLOOKUP(B522,'Player Data'!$A1:$AE734,20,FALSE)*$Q522</f>
        <v>0</v>
      </c>
      <c r="AG522" s="41">
        <f>VLOOKUP(B522,'Player Data'!$A1:$AE734,21,FALSE)*$Q522</f>
        <v>0</v>
      </c>
      <c r="AH522" s="42">
        <f>VLOOKUP(B522,'Player Data'!$A1:$AE734,22,FALSE)</f>
        <v>0</v>
      </c>
      <c r="AI522" s="39"/>
      <c r="AJ522" s="41"/>
      <c r="AK522" s="41"/>
      <c r="AL522" s="41"/>
      <c r="AM522" s="41"/>
      <c r="AN522" s="41"/>
      <c r="AO522" s="41"/>
      <c r="AP522" s="41"/>
      <c r="AQ522" s="44"/>
      <c r="AR522" s="45"/>
      <c r="AS522" s="39"/>
    </row>
    <row r="523" spans="1:45" ht="21.25" customHeight="1" x14ac:dyDescent="0.15">
      <c r="A523" s="31">
        <f>RANK(K523,K$2:K$727)</f>
        <v>522</v>
      </c>
      <c r="B523" s="8" t="s">
        <v>627</v>
      </c>
      <c r="C523" s="32" t="s">
        <v>106</v>
      </c>
      <c r="D523" s="33" t="str">
        <f>VLOOKUP(B523,'Player Data'!A1:D734,4,FALSE)</f>
        <v>RW</v>
      </c>
      <c r="E523" s="46">
        <f>VLOOKUP(B523,RW!A1:F97,3,FALSE)</f>
        <v>75</v>
      </c>
      <c r="F523" s="35" t="str">
        <f>VLOOKUP(B523,'Player Data'!A1:B734,2,FALSE)</f>
        <v>NYI</v>
      </c>
      <c r="G523" s="9">
        <f>VLOOKUP(B523,'Player Data'!A1:D734,3,FALSE)</f>
        <v>28</v>
      </c>
      <c r="H523" s="36">
        <f>IFERROR(VLOOKUP(B523,ADP!A1:G728,7,FALSE)/1000000,VLOOKUP(B523,ADP!A1:G728,7,FALSE))</f>
        <v>0.77500000000000002</v>
      </c>
      <c r="I523" s="37">
        <f>IF(Settings!$E$15="POINTS",((R523*Q523)*Settings!$B$12)+(S523*Settings!$B$2)+(T523*Settings!$B$3)+(U523*Settings!$B$4)+(V523*Settings!$B$5)+(X523*Settings!$B$9)+(AA523*Settings!$B$6)+(W523*Settings!$B$8)+(AB523*Settings!$B$7)+(AC523*Settings!$B$14)+(AD523*Settings!$B$15)+(AE523*Settings!$B$16)+(AF523*Settings!$B$17)+(AG523*Settings!$B$18)+(Y523*Settings!$B$10)+(Z523*Settings!$B$11),VLOOKUP(B523,'Standard Deviations'!A1:C728,3,FALSE))</f>
        <v>121.81506296001123</v>
      </c>
      <c r="J523" s="38">
        <f>IF(D523="G",I523/AJ523,I523/Q523)</f>
        <v>1.7858827585399684</v>
      </c>
      <c r="K523" s="37">
        <f>IF(Settings!$E$18="C/LW/RW",VLOOKUP(B523,RW!A1:F97,6,FALSE),VLOOKUP(B523,F!A1:F430,6,FALSE))</f>
        <v>-228.45647758787834</v>
      </c>
      <c r="L523" s="37">
        <f>IFERROR(K523/H523,"N/A")</f>
        <v>-294.78255172629463</v>
      </c>
      <c r="M523" s="53" t="str">
        <f>IF(Settings!$E$9="YAHOO",VLOOKUP(B523,ADP!A1:E728,2,FALSE),IF(Settings!$E$9="ESPN",VLOOKUP(B523,ADP!A1:E728,3,FALSE),IF(Settings!$E$9="FANTRAX",VLOOKUP(B523,ADP!A1:E728,4,FALSE),VLOOKUP(B523,ADP!A1:E728,5,FALSE))))</f>
        <v>-</v>
      </c>
      <c r="N523" s="53" t="str">
        <f>IFERROR(M523-A523,"N/A")</f>
        <v>N/A</v>
      </c>
      <c r="O523" s="39"/>
      <c r="P523" s="40" t="str">
        <f>IF(Settings!$E$27="ON",VLOOKUP(B523,ADP!A1:H728,8,FALSE)," ")</f>
        <v xml:space="preserve"> </v>
      </c>
      <c r="Q523" s="41">
        <f>IF(Settings!$E$12="YES",VLOOKUP(B523,'Player Data'!A1:E734,5,FALSE),82)</f>
        <v>68.209999999999994</v>
      </c>
      <c r="R523" s="39">
        <f>VLOOKUP(B523,'Player Data'!$A1:$AE734,6,FALSE)</f>
        <v>12.514266451203101</v>
      </c>
      <c r="S523" s="41">
        <f>VLOOKUP(B523,'Player Data'!$A1:$AE734,7,FALSE)*$Q523*IFERROR((VLOOKUP(P523,Settings!$E$28:$F$33,2,FALSE)+1),1)</f>
        <v>11.574220611725167</v>
      </c>
      <c r="T523" s="41">
        <f>VLOOKUP(B523,'Player Data'!$A1:$AE734,8,FALSE)*$Q523*IFERROR((VLOOKUP(P523,Settings!$E$28:$F$33,2,FALSE)+1),1)</f>
        <v>11.853242288501066</v>
      </c>
      <c r="U523" s="41">
        <f>SUM(S523:T523)</f>
        <v>23.427462900226232</v>
      </c>
      <c r="V523" s="41">
        <f>VLOOKUP(B523,'Player Data'!$A1:$AE734,10,FALSE)*$Q523*IFERROR(((VLOOKUP(P523,Settings!$E$28:$F$33,2,FALSE)/2)+1),1)</f>
        <v>87.375269704061466</v>
      </c>
      <c r="W523" s="41">
        <f>VLOOKUP(B523,'Player Data'!$A1:$AE734,11,FALSE)*$Q523*IFERROR((VLOOKUP(P523,Settings!$E$28:$F$33,2,FALSE)+1),1)</f>
        <v>0.23214559712733526</v>
      </c>
      <c r="X523" s="41">
        <f>VLOOKUP(B523,'Player Data'!$A1:$AE734,12,FALSE)*$Q523*IFERROR((VLOOKUP(P523,Settings!$E$28:$F$33,2,FALSE)+1),1)</f>
        <v>0.83022490034563745</v>
      </c>
      <c r="Y523" s="41">
        <f>VLOOKUP(B523,'Player Data'!$A1:$AE734,13,FALSE)*$Q523</f>
        <v>2.1814446797813295E-4</v>
      </c>
      <c r="Z523" s="41">
        <f>VLOOKUP(B523,'Player Data'!$A1:$AE734,14,FALSE)*$Q523</f>
        <v>4.0038678103168163E-4</v>
      </c>
      <c r="AA523" s="41">
        <f>VLOOKUP(B523,'Player Data'!$A1:$AE734,15,FALSE)*$Q523</f>
        <v>30.918944165242337</v>
      </c>
      <c r="AB523" s="41">
        <f>VLOOKUP(B523,'Player Data'!$A1:$AE734,16,FALSE)*$Q523</f>
        <v>67.950494148707364</v>
      </c>
      <c r="AC523" s="41">
        <f>VLOOKUP(B523,'Player Data'!$A1:$AE734,17,FALSE)*$Q523*IFERROR((VLOOKUP(P523,Settings!$E$28:$F$33,2,FALSE)+1),1)</f>
        <v>1.0976219981087592</v>
      </c>
      <c r="AD523" s="41">
        <f>VLOOKUP(B523,'Player Data'!$A1:$AE734,18,FALSE)*$Q523</f>
        <v>16.112569552057192</v>
      </c>
      <c r="AE523" s="41">
        <f>VLOOKUP(B523,'Player Data'!$A1:$AE734,19,FALSE)*$Q523*IFERROR((VLOOKUP(P523,Settings!$E$28:$F$33,2,FALSE)+1),1)</f>
        <v>1.7884700662166439</v>
      </c>
      <c r="AF523" s="41">
        <f>VLOOKUP(B523,'Player Data'!$A1:$AE734,20,FALSE)*$Q523</f>
        <v>3.941738038968789</v>
      </c>
      <c r="AG523" s="41">
        <f>VLOOKUP(B523,'Player Data'!$A1:$AE734,21,FALSE)*$Q523</f>
        <v>9.5921293003289509</v>
      </c>
      <c r="AH523" s="42">
        <f>VLOOKUP(B523,'Player Data'!$A1:$AE734,22,FALSE)</f>
        <v>0.29124993914513497</v>
      </c>
      <c r="AI523" s="39"/>
      <c r="AJ523" s="43"/>
      <c r="AK523" s="41"/>
      <c r="AL523" s="41"/>
      <c r="AM523" s="41"/>
      <c r="AN523" s="41"/>
      <c r="AO523" s="41"/>
      <c r="AP523" s="41"/>
      <c r="AQ523" s="44"/>
      <c r="AR523" s="45"/>
      <c r="AS523" s="43"/>
    </row>
    <row r="524" spans="1:45" ht="21.25" customHeight="1" x14ac:dyDescent="0.15">
      <c r="A524" s="31">
        <f>RANK(K524,K$2:K$727)</f>
        <v>523</v>
      </c>
      <c r="B524" s="8" t="s">
        <v>628</v>
      </c>
      <c r="C524" s="32" t="s">
        <v>106</v>
      </c>
      <c r="D524" s="33" t="str">
        <f>VLOOKUP(B524,'Player Data'!A1:D734,4,FALSE)</f>
        <v>D</v>
      </c>
      <c r="E524" s="49">
        <f>VLOOKUP(B524,D!A1:C227,3,FALSE)</f>
        <v>196</v>
      </c>
      <c r="F524" s="35" t="str">
        <f>VLOOKUP(B524,'Player Data'!A1:B734,2,FALSE)</f>
        <v>CAR</v>
      </c>
      <c r="G524" s="9">
        <f>VLOOKUP(B524,'Player Data'!A1:D734,3,FALSE)</f>
        <v>27</v>
      </c>
      <c r="H524" s="36">
        <f>IFERROR(VLOOKUP(B524,ADP!A1:G728,7,FALSE)/1000000,VLOOKUP(B524,ADP!A1:G728,7,FALSE))</f>
        <v>0.76200000000000001</v>
      </c>
      <c r="I524" s="37">
        <f>IF(Settings!$E$15="POINTS",((R524*Q524)*Settings!$B$12)+(S524*Settings!$B$2)+(T524*Settings!$B$3)+(U524*Settings!$B$4)+(V524*Settings!$B$5)+(X524*Settings!$B$9)+(AA524*Settings!$B$6)+(W524*Settings!$B$8)+(AB524*Settings!$B$7)+(AC524*Settings!$B$14)+(AD524*Settings!$B$15)+(AE524*Settings!$B$16)+(AF524*Settings!$B$17)+(AG524*Settings!$B$18)+(U524*Settings!$B$13)+(Y524*Settings!$B$10)+(Z524*Settings!$B$11),VLOOKUP(B524,'Standard Deviations'!A1:C728,3,FALSE))</f>
        <v>82.623491056423916</v>
      </c>
      <c r="J524" s="38">
        <f>IF(D524="G",I524/AJ524,I524/Q524)</f>
        <v>1.2150513390650577</v>
      </c>
      <c r="K524" s="37">
        <f>VLOOKUP(B524,D!A1:F227,6,FALSE)</f>
        <v>-228.94199057150354</v>
      </c>
      <c r="L524" s="37">
        <f>IFERROR(K524/H524,"N/A")</f>
        <v>-300.44880652428287</v>
      </c>
      <c r="M524" s="53" t="str">
        <f>IF(Settings!$E$9="YAHOO",VLOOKUP(B524,ADP!A1:E728,2,FALSE),IF(Settings!$E$9="ESPN",VLOOKUP(B524,ADP!A1:E728,3,FALSE),IF(Settings!$E$9="FANTRAX",VLOOKUP(B524,ADP!A1:E728,4,FALSE),VLOOKUP(B524,ADP!A1:E728,5,FALSE))))</f>
        <v>-</v>
      </c>
      <c r="N524" s="53" t="str">
        <f>IFERROR(M524-A524,"N/A")</f>
        <v>N/A</v>
      </c>
      <c r="O524" s="39"/>
      <c r="P524" s="40" t="str">
        <f>IF(Settings!$E$27="ON",VLOOKUP(B524,ADP!A1:H728,8,FALSE)," ")</f>
        <v xml:space="preserve"> </v>
      </c>
      <c r="Q524" s="41">
        <f>IF(Settings!$E$12="YES",VLOOKUP(B524,'Player Data'!A1:E734,5,FALSE),82)</f>
        <v>68</v>
      </c>
      <c r="R524" s="39">
        <f>VLOOKUP(B524,'Player Data'!$A1:$AE734,6,FALSE)</f>
        <v>13.629156639835401</v>
      </c>
      <c r="S524" s="41">
        <f>VLOOKUP(B524,'Player Data'!$A1:$AE734,7,FALSE)*$Q524*IFERROR((VLOOKUP(P524,Settings!$E$28:$F$33,2,FALSE)+1),1)</f>
        <v>3.152848212708578</v>
      </c>
      <c r="T524" s="41">
        <f>VLOOKUP(B524,'Player Data'!$A1:$AE734,8,FALSE)*$Q524*IFERROR((VLOOKUP(P524,Settings!$E$28:$F$33,2,FALSE)+1),1)</f>
        <v>7.6496836508327517</v>
      </c>
      <c r="U524" s="41">
        <f>SUM(S524:T524)</f>
        <v>10.802531863541329</v>
      </c>
      <c r="V524" s="41">
        <f>VLOOKUP(B524,'Player Data'!$A1:$AE734,10,FALSE)*$Q524*IFERROR(((VLOOKUP(P524,Settings!$E$28:$F$33,2,FALSE)/2)+1),1)</f>
        <v>75.839693118048928</v>
      </c>
      <c r="W524" s="41">
        <f>VLOOKUP(B524,'Player Data'!$A1:$AE734,11,FALSE)*$Q524*IFERROR((VLOOKUP(P524,Settings!$E$28:$F$33,2,FALSE)+1),1)</f>
        <v>9.3443189440727912E-3</v>
      </c>
      <c r="X524" s="41">
        <f>VLOOKUP(B524,'Player Data'!$A1:$AE734,12,FALSE)*$Q524*IFERROR((VLOOKUP(P524,Settings!$E$28:$F$33,2,FALSE)+1),1)</f>
        <v>6.4095297591171968E-2</v>
      </c>
      <c r="Y524" s="41">
        <f>VLOOKUP(B524,'Player Data'!$A1:$AE734,13,FALSE)*$Q524</f>
        <v>0.20901271512967304</v>
      </c>
      <c r="Z524" s="41">
        <f>VLOOKUP(B524,'Player Data'!$A1:$AE734,14,FALSE)*$Q524</f>
        <v>0.44881224174360296</v>
      </c>
      <c r="AA524" s="41">
        <f>VLOOKUP(B524,'Player Data'!$A1:$AE734,15,FALSE)*$Q524</f>
        <v>56.351169140529557</v>
      </c>
      <c r="AB524" s="41">
        <f>VLOOKUP(B524,'Player Data'!$A1:$AE734,16,FALSE)*$Q524</f>
        <v>76.00333526599924</v>
      </c>
      <c r="AC524" s="41">
        <f>VLOOKUP(B524,'Player Data'!$A1:$AE734,17,FALSE)*$Q524*IFERROR((VLOOKUP(P524,Settings!$E$28:$F$33,2,FALSE)+1),1)</f>
        <v>6.0707680087619087</v>
      </c>
      <c r="AD524" s="41">
        <f>VLOOKUP(B524,'Player Data'!$A1:$AE734,18,FALSE)*$Q524</f>
        <v>29.083410073312365</v>
      </c>
      <c r="AE524" s="41">
        <f>VLOOKUP(B524,'Player Data'!$A1:$AE734,19,FALSE)*$Q524*IFERROR((VLOOKUP(P524,Settings!$E$28:$F$33,2,FALSE)+1),1)</f>
        <v>0.56569156697025536</v>
      </c>
      <c r="AF524" s="41">
        <f>VLOOKUP(B524,'Player Data'!$A1:$AE734,20,FALSE)*$Q524</f>
        <v>0</v>
      </c>
      <c r="AG524" s="41">
        <f>VLOOKUP(B524,'Player Data'!$A1:$AE734,21,FALSE)*$Q524</f>
        <v>0</v>
      </c>
      <c r="AH524" s="42">
        <f>VLOOKUP(B524,'Player Data'!$A1:$AE734,22,FALSE)</f>
        <v>0</v>
      </c>
      <c r="AI524" s="39"/>
      <c r="AJ524" s="43"/>
      <c r="AK524" s="41"/>
      <c r="AL524" s="41"/>
      <c r="AM524" s="41"/>
      <c r="AN524" s="41"/>
      <c r="AO524" s="41"/>
      <c r="AP524" s="41"/>
      <c r="AQ524" s="44"/>
      <c r="AR524" s="45"/>
      <c r="AS524" s="39"/>
    </row>
    <row r="525" spans="1:45" ht="21.25" customHeight="1" x14ac:dyDescent="0.15">
      <c r="A525" s="31">
        <f>RANK(K525,K$2:K$727)</f>
        <v>524</v>
      </c>
      <c r="B525" s="8" t="s">
        <v>629</v>
      </c>
      <c r="C525" s="32" t="s">
        <v>106</v>
      </c>
      <c r="D525" s="33" t="str">
        <f>VLOOKUP(B525,'Player Data'!A1:D734,4,FALSE)</f>
        <v>D</v>
      </c>
      <c r="E525" s="49">
        <f>VLOOKUP(B525,D!A1:C227,3,FALSE)</f>
        <v>197</v>
      </c>
      <c r="F525" s="35" t="str">
        <f>VLOOKUP(B525,'Player Data'!A1:B734,2,FALSE)</f>
        <v>ANA</v>
      </c>
      <c r="G525" s="9">
        <f>VLOOKUP(B525,'Player Data'!A1:D734,3,FALSE)</f>
        <v>29</v>
      </c>
      <c r="H525" s="36">
        <f>IFERROR(VLOOKUP(B525,ADP!A1:G728,7,FALSE)/1000000,VLOOKUP(B525,ADP!A1:G728,7,FALSE))</f>
        <v>2.75</v>
      </c>
      <c r="I525" s="37">
        <f>IF(Settings!$E$15="POINTS",((R525*Q525)*Settings!$B$12)+(S525*Settings!$B$2)+(T525*Settings!$B$3)+(U525*Settings!$B$4)+(V525*Settings!$B$5)+(X525*Settings!$B$9)+(AA525*Settings!$B$6)+(W525*Settings!$B$8)+(AB525*Settings!$B$7)+(AC525*Settings!$B$14)+(AD525*Settings!$B$15)+(AE525*Settings!$B$16)+(AF525*Settings!$B$17)+(AG525*Settings!$B$18)+(U525*Settings!$B$13)+(Y525*Settings!$B$10)+(Z525*Settings!$B$11),VLOOKUP(B525,'Standard Deviations'!A1:C728,3,FALSE))</f>
        <v>82.460204340795087</v>
      </c>
      <c r="J525" s="38">
        <f>IF(D525="G",I525/AJ525,I525/Q525)</f>
        <v>1.0307525542599385</v>
      </c>
      <c r="K525" s="37">
        <f>VLOOKUP(B525,D!A1:F227,6,FALSE)</f>
        <v>-229.10527728713237</v>
      </c>
      <c r="L525" s="37">
        <f>IFERROR(K525/H525,"N/A")</f>
        <v>-83.311009922593584</v>
      </c>
      <c r="M525" s="53" t="str">
        <f>IF(Settings!$E$9="YAHOO",VLOOKUP(B525,ADP!A1:E728,2,FALSE),IF(Settings!$E$9="ESPN",VLOOKUP(B525,ADP!A1:E728,3,FALSE),IF(Settings!$E$9="FANTRAX",VLOOKUP(B525,ADP!A1:E728,4,FALSE),VLOOKUP(B525,ADP!A1:E728,5,FALSE))))</f>
        <v>-</v>
      </c>
      <c r="N525" s="53" t="str">
        <f>IFERROR(M525-A525,"N/A")</f>
        <v>N/A</v>
      </c>
      <c r="O525" s="39"/>
      <c r="P525" s="40" t="str">
        <f>IF(Settings!$E$27="ON",VLOOKUP(B525,ADP!A1:H728,8,FALSE)," ")</f>
        <v xml:space="preserve"> </v>
      </c>
      <c r="Q525" s="41">
        <f>IF(Settings!$E$12="YES",VLOOKUP(B525,'Player Data'!A1:E734,5,FALSE),82)</f>
        <v>80</v>
      </c>
      <c r="R525" s="39">
        <f>VLOOKUP(B525,'Player Data'!$A1:$AE734,6,FALSE)</f>
        <v>13.9163198204672</v>
      </c>
      <c r="S525" s="41">
        <f>VLOOKUP(B525,'Player Data'!$A1:$AE734,7,FALSE)*$Q525*IFERROR((VLOOKUP(P525,Settings!$E$28:$F$33,2,FALSE)+1),1)</f>
        <v>1.924019633864704</v>
      </c>
      <c r="T525" s="41">
        <f>VLOOKUP(B525,'Player Data'!$A1:$AE734,8,FALSE)*$Q525*IFERROR((VLOOKUP(P525,Settings!$E$28:$F$33,2,FALSE)+1),1)</f>
        <v>10.1291632529992</v>
      </c>
      <c r="U525" s="41">
        <f>SUM(S525:T525)</f>
        <v>12.053182886863905</v>
      </c>
      <c r="V525" s="41">
        <f>VLOOKUP(B525,'Player Data'!$A1:$AE734,10,FALSE)*$Q525*IFERROR(((VLOOKUP(P525,Settings!$E$28:$F$33,2,FALSE)/2)+1),1)</f>
        <v>51.584517707811997</v>
      </c>
      <c r="W525" s="41">
        <f>VLOOKUP(B525,'Player Data'!$A1:$AE734,11,FALSE)*$Q525*IFERROR((VLOOKUP(P525,Settings!$E$28:$F$33,2,FALSE)+1),1)</f>
        <v>1.297385584330632E-2</v>
      </c>
      <c r="X525" s="41">
        <f>VLOOKUP(B525,'Player Data'!$A1:$AE734,12,FALSE)*$Q525*IFERROR((VLOOKUP(P525,Settings!$E$28:$F$33,2,FALSE)+1),1)</f>
        <v>9.1675145019099194E-2</v>
      </c>
      <c r="Y525" s="41">
        <f>VLOOKUP(B525,'Player Data'!$A1:$AE734,13,FALSE)*$Q525</f>
        <v>0.26361642324638562</v>
      </c>
      <c r="Z525" s="41">
        <f>VLOOKUP(B525,'Player Data'!$A1:$AE734,14,FALSE)*$Q525</f>
        <v>0.73170499716150805</v>
      </c>
      <c r="AA525" s="41">
        <f>VLOOKUP(B525,'Player Data'!$A1:$AE734,15,FALSE)*$Q525</f>
        <v>94.308182709680807</v>
      </c>
      <c r="AB525" s="41">
        <f>VLOOKUP(B525,'Player Data'!$A1:$AE734,16,FALSE)*$Q525</f>
        <v>120.8225944205424</v>
      </c>
      <c r="AC525" s="41">
        <f>VLOOKUP(B525,'Player Data'!$A1:$AE734,17,FALSE)*$Q525*IFERROR((VLOOKUP(P525,Settings!$E$28:$F$33,2,FALSE)+1),1)</f>
        <v>-2.63703362480048</v>
      </c>
      <c r="AD525" s="41">
        <f>VLOOKUP(B525,'Player Data'!$A1:$AE734,18,FALSE)*$Q525</f>
        <v>35.959864705409039</v>
      </c>
      <c r="AE525" s="41">
        <f>VLOOKUP(B525,'Player Data'!$A1:$AE734,19,FALSE)*$Q525*IFERROR((VLOOKUP(P525,Settings!$E$28:$F$33,2,FALSE)+1),1)</f>
        <v>0.2085818799406392</v>
      </c>
      <c r="AF525" s="41">
        <f>VLOOKUP(B525,'Player Data'!$A1:$AE734,20,FALSE)*$Q525</f>
        <v>0</v>
      </c>
      <c r="AG525" s="41">
        <f>VLOOKUP(B525,'Player Data'!$A1:$AE734,21,FALSE)*$Q525</f>
        <v>0</v>
      </c>
      <c r="AH525" s="42">
        <f>VLOOKUP(B525,'Player Data'!$A1:$AE734,22,FALSE)</f>
        <v>0</v>
      </c>
      <c r="AI525" s="39"/>
      <c r="AJ525" s="43"/>
      <c r="AK525" s="41"/>
      <c r="AL525" s="41"/>
      <c r="AM525" s="41"/>
      <c r="AN525" s="41"/>
      <c r="AO525" s="41"/>
      <c r="AP525" s="41"/>
      <c r="AQ525" s="44"/>
      <c r="AR525" s="45"/>
      <c r="AS525" s="39"/>
    </row>
    <row r="526" spans="1:45" ht="21.25" customHeight="1" x14ac:dyDescent="0.15">
      <c r="A526" s="31">
        <f>RANK(K526,K$2:K$727)</f>
        <v>525</v>
      </c>
      <c r="B526" s="8" t="s">
        <v>630</v>
      </c>
      <c r="C526" s="32" t="s">
        <v>106</v>
      </c>
      <c r="D526" s="33" t="str">
        <f>VLOOKUP(B526,'Player Data'!A1:D734,4,FALSE)</f>
        <v>D</v>
      </c>
      <c r="E526" s="49">
        <f>VLOOKUP(B526,D!A1:C227,3,FALSE)</f>
        <v>198</v>
      </c>
      <c r="F526" s="35" t="str">
        <f>VLOOKUP(B526,'Player Data'!A1:B734,2,FALSE)</f>
        <v>SEA</v>
      </c>
      <c r="G526" s="9">
        <f>VLOOKUP(B526,'Player Data'!A1:D734,3,FALSE)</f>
        <v>30</v>
      </c>
      <c r="H526" s="36">
        <f>IFERROR(VLOOKUP(B526,ADP!A1:G728,7,FALSE)/1000000,VLOOKUP(B526,ADP!A1:G728,7,FALSE))</f>
        <v>0.76249999999999996</v>
      </c>
      <c r="I526" s="37">
        <f>IF(Settings!$E$15="POINTS",((R526*Q526)*Settings!$B$12)+(S526*Settings!$B$2)+(T526*Settings!$B$3)+(U526*Settings!$B$4)+(V526*Settings!$B$5)+(X526*Settings!$B$9)+(AA526*Settings!$B$6)+(W526*Settings!$B$8)+(AB526*Settings!$B$7)+(AC526*Settings!$B$14)+(AD526*Settings!$B$15)+(AE526*Settings!$B$16)+(AF526*Settings!$B$17)+(AG526*Settings!$B$18)+(U526*Settings!$B$13)+(Y526*Settings!$B$10)+(Z526*Settings!$B$11),VLOOKUP(B526,'Standard Deviations'!A1:C728,3,FALSE))</f>
        <v>82.26769336169238</v>
      </c>
      <c r="J526" s="38">
        <f>IF(D526="G",I526/AJ526,I526/Q526)</f>
        <v>1.2928057415210557</v>
      </c>
      <c r="K526" s="37">
        <f>VLOOKUP(B526,D!A1:F227,6,FALSE)</f>
        <v>-229.29778826623507</v>
      </c>
      <c r="L526" s="37">
        <f>IFERROR(K526/H526,"N/A")</f>
        <v>-300.71841084096405</v>
      </c>
      <c r="M526" s="53" t="str">
        <f>IF(Settings!$E$9="YAHOO",VLOOKUP(B526,ADP!A1:E728,2,FALSE),IF(Settings!$E$9="ESPN",VLOOKUP(B526,ADP!A1:E728,3,FALSE),IF(Settings!$E$9="FANTRAX",VLOOKUP(B526,ADP!A1:E728,4,FALSE),VLOOKUP(B526,ADP!A1:E728,5,FALSE))))</f>
        <v>-</v>
      </c>
      <c r="N526" s="53" t="str">
        <f>IFERROR(M526-A526,"N/A")</f>
        <v>N/A</v>
      </c>
      <c r="O526" s="39"/>
      <c r="P526" s="40" t="str">
        <f>IF(Settings!$E$27="ON",VLOOKUP(B526,ADP!A1:H728,8,FALSE)," ")</f>
        <v xml:space="preserve"> </v>
      </c>
      <c r="Q526" s="41">
        <f>IF(Settings!$E$12="YES",VLOOKUP(B526,'Player Data'!A1:E734,5,FALSE),82)</f>
        <v>63.634999999999998</v>
      </c>
      <c r="R526" s="39">
        <f>VLOOKUP(B526,'Player Data'!$A1:$AE734,6,FALSE)</f>
        <v>16.288789119687198</v>
      </c>
      <c r="S526" s="41">
        <f>VLOOKUP(B526,'Player Data'!$A1:$AE734,7,FALSE)*$Q526*IFERROR((VLOOKUP(P526,Settings!$E$28:$F$33,2,FALSE)+1),1)</f>
        <v>1.9642401119641644</v>
      </c>
      <c r="T526" s="41">
        <f>VLOOKUP(B526,'Player Data'!$A1:$AE734,8,FALSE)*$Q526*IFERROR((VLOOKUP(P526,Settings!$E$28:$F$33,2,FALSE)+1),1)</f>
        <v>10.039204173705503</v>
      </c>
      <c r="U526" s="41">
        <f>SUM(S526:T526)</f>
        <v>12.003444285669667</v>
      </c>
      <c r="V526" s="41">
        <f>VLOOKUP(B526,'Player Data'!$A1:$AE734,10,FALSE)*$Q526*IFERROR(((VLOOKUP(P526,Settings!$E$28:$F$33,2,FALSE)/2)+1),1)</f>
        <v>59.47646578942004</v>
      </c>
      <c r="W526" s="41">
        <f>VLOOKUP(B526,'Player Data'!$A1:$AE734,11,FALSE)*$Q526*IFERROR((VLOOKUP(P526,Settings!$E$28:$F$33,2,FALSE)+1),1)</f>
        <v>1.8494865604584999E-2</v>
      </c>
      <c r="X526" s="41">
        <f>VLOOKUP(B526,'Player Data'!$A1:$AE734,12,FALSE)*$Q526*IFERROR((VLOOKUP(P526,Settings!$E$28:$F$33,2,FALSE)+1),1)</f>
        <v>0.13175056791422632</v>
      </c>
      <c r="Y526" s="41">
        <f>VLOOKUP(B526,'Player Data'!$A1:$AE734,13,FALSE)*$Q526</f>
        <v>1.9096413731044513E-2</v>
      </c>
      <c r="Z526" s="41">
        <f>VLOOKUP(B526,'Player Data'!$A1:$AE734,14,FALSE)*$Q526</f>
        <v>0.3814056669976621</v>
      </c>
      <c r="AA526" s="41">
        <f>VLOOKUP(B526,'Player Data'!$A1:$AE734,15,FALSE)*$Q526</f>
        <v>77.464075700747884</v>
      </c>
      <c r="AB526" s="41">
        <f>VLOOKUP(B526,'Player Data'!$A1:$AE734,16,FALSE)*$Q526</f>
        <v>86.150362808718725</v>
      </c>
      <c r="AC526" s="41">
        <f>VLOOKUP(B526,'Player Data'!$A1:$AE734,17,FALSE)*$Q526*IFERROR((VLOOKUP(P526,Settings!$E$28:$F$33,2,FALSE)+1),1)</f>
        <v>0.25670970385375297</v>
      </c>
      <c r="AD526" s="41">
        <f>VLOOKUP(B526,'Player Data'!$A1:$AE734,18,FALSE)*$Q526</f>
        <v>22.131042527784071</v>
      </c>
      <c r="AE526" s="41">
        <f>VLOOKUP(B526,'Player Data'!$A1:$AE734,19,FALSE)*$Q526*IFERROR((VLOOKUP(P526,Settings!$E$28:$F$33,2,FALSE)+1),1)</f>
        <v>0.2760955075643356</v>
      </c>
      <c r="AF526" s="41">
        <f>VLOOKUP(B526,'Player Data'!$A1:$AE734,20,FALSE)*$Q526</f>
        <v>0</v>
      </c>
      <c r="AG526" s="41">
        <f>VLOOKUP(B526,'Player Data'!$A1:$AE734,21,FALSE)*$Q526</f>
        <v>0</v>
      </c>
      <c r="AH526" s="42">
        <f>VLOOKUP(B526,'Player Data'!$A1:$AE734,22,FALSE)</f>
        <v>0</v>
      </c>
      <c r="AI526" s="39"/>
      <c r="AJ526" s="43"/>
      <c r="AK526" s="41"/>
      <c r="AL526" s="41"/>
      <c r="AM526" s="41"/>
      <c r="AN526" s="41"/>
      <c r="AO526" s="41"/>
      <c r="AP526" s="41"/>
      <c r="AQ526" s="44"/>
      <c r="AR526" s="45"/>
      <c r="AS526" s="39"/>
    </row>
    <row r="527" spans="1:45" ht="21.25" customHeight="1" x14ac:dyDescent="0.15">
      <c r="A527" s="31">
        <f>RANK(K527,K$2:K$727)</f>
        <v>526</v>
      </c>
      <c r="B527" s="8" t="s">
        <v>631</v>
      </c>
      <c r="C527" s="32" t="s">
        <v>106</v>
      </c>
      <c r="D527" s="33" t="str">
        <f>VLOOKUP(B527,'Player Data'!A1:D734,4,FALSE)</f>
        <v>RW</v>
      </c>
      <c r="E527" s="46">
        <f>VLOOKUP(B527,RW!A1:F97,3,FALSE)</f>
        <v>76</v>
      </c>
      <c r="F527" s="35" t="str">
        <f>VLOOKUP(B527,'Player Data'!A1:B734,2,FALSE)</f>
        <v>CBJ</v>
      </c>
      <c r="G527" s="9">
        <f>VLOOKUP(B527,'Player Data'!A1:D734,3,FALSE)</f>
        <v>24</v>
      </c>
      <c r="H527" s="36">
        <f>IFERROR(VLOOKUP(B527,ADP!A1:G728,7,FALSE)/1000000,VLOOKUP(B527,ADP!A1:G728,7,FALSE))</f>
        <v>0.9</v>
      </c>
      <c r="I527" s="37">
        <f>IF(Settings!$E$15="POINTS",((R527*Q527)*Settings!$B$12)+(S527*Settings!$B$2)+(T527*Settings!$B$3)+(U527*Settings!$B$4)+(V527*Settings!$B$5)+(X527*Settings!$B$9)+(AA527*Settings!$B$6)+(W527*Settings!$B$8)+(AB527*Settings!$B$7)+(AC527*Settings!$B$14)+(AD527*Settings!$B$15)+(AE527*Settings!$B$16)+(AF527*Settings!$B$17)+(AG527*Settings!$B$18)+(Y527*Settings!$B$10)+(Z527*Settings!$B$11),VLOOKUP(B527,'Standard Deviations'!A1:C728,3,FALSE))</f>
        <v>120.85512870656531</v>
      </c>
      <c r="J527" s="38">
        <f>IF(D527="G",I527/AJ527,I527/Q527)</f>
        <v>1.7692157620636115</v>
      </c>
      <c r="K527" s="37">
        <f>IF(Settings!$E$18="C/LW/RW",VLOOKUP(B527,RW!A1:F97,6,FALSE),VLOOKUP(B527,F!A1:F430,6,FALSE))</f>
        <v>-229.41641184132425</v>
      </c>
      <c r="L527" s="37">
        <f>IFERROR(K527/H527,"N/A")</f>
        <v>-254.90712426813803</v>
      </c>
      <c r="M527" s="53" t="str">
        <f>IF(Settings!$E$9="YAHOO",VLOOKUP(B527,ADP!A1:E728,2,FALSE),IF(Settings!$E$9="ESPN",VLOOKUP(B527,ADP!A1:E728,3,FALSE),IF(Settings!$E$9="FANTRAX",VLOOKUP(B527,ADP!A1:E728,4,FALSE),VLOOKUP(B527,ADP!A1:E728,5,FALSE))))</f>
        <v>-</v>
      </c>
      <c r="N527" s="53" t="str">
        <f>IFERROR(M527-A527,"N/A")</f>
        <v>N/A</v>
      </c>
      <c r="O527" s="39"/>
      <c r="P527" s="40" t="str">
        <f>IF(Settings!$E$27="ON",VLOOKUP(B527,ADP!A1:H728,8,FALSE)," ")</f>
        <v xml:space="preserve"> </v>
      </c>
      <c r="Q527" s="41">
        <f>IF(Settings!$E$12="YES",VLOOKUP(B527,'Player Data'!A1:E734,5,FALSE),82)</f>
        <v>68.31</v>
      </c>
      <c r="R527" s="39">
        <f>VLOOKUP(B527,'Player Data'!$A1:$AE734,6,FALSE)</f>
        <v>11.274184679877999</v>
      </c>
      <c r="S527" s="41">
        <f>VLOOKUP(B527,'Player Data'!$A1:$AE734,7,FALSE)*$Q527*IFERROR((VLOOKUP(P527,Settings!$E$28:$F$33,2,FALSE)+1),1)</f>
        <v>8.2495397704220181</v>
      </c>
      <c r="T527" s="41">
        <f>VLOOKUP(B527,'Player Data'!$A1:$AE734,8,FALSE)*$Q527*IFERROR((VLOOKUP(P527,Settings!$E$28:$F$33,2,FALSE)+1),1)</f>
        <v>13.215490511791462</v>
      </c>
      <c r="U527" s="41">
        <f>SUM(S527:T527)</f>
        <v>21.46503028221348</v>
      </c>
      <c r="V527" s="41">
        <f>VLOOKUP(B527,'Player Data'!$A1:$AE734,10,FALSE)*$Q527*IFERROR(((VLOOKUP(P527,Settings!$E$28:$F$33,2,FALSE)/2)+1),1)</f>
        <v>95.942074169580593</v>
      </c>
      <c r="W527" s="41">
        <f>VLOOKUP(B527,'Player Data'!$A1:$AE734,11,FALSE)*$Q527*IFERROR((VLOOKUP(P527,Settings!$E$28:$F$33,2,FALSE)+1),1)</f>
        <v>0.91548573855843773</v>
      </c>
      <c r="X527" s="41">
        <f>VLOOKUP(B527,'Player Data'!$A1:$AE734,12,FALSE)*$Q527*IFERROR((VLOOKUP(P527,Settings!$E$28:$F$33,2,FALSE)+1),1)</f>
        <v>1.865748545256573</v>
      </c>
      <c r="Y527" s="41">
        <f>VLOOKUP(B527,'Player Data'!$A1:$AE734,13,FALSE)*$Q527</f>
        <v>0</v>
      </c>
      <c r="Z527" s="41">
        <f>VLOOKUP(B527,'Player Data'!$A1:$AE734,14,FALSE)*$Q527</f>
        <v>0</v>
      </c>
      <c r="AA527" s="41">
        <f>VLOOKUP(B527,'Player Data'!$A1:$AE734,15,FALSE)*$Q527</f>
        <v>23.787518423107151</v>
      </c>
      <c r="AB527" s="41">
        <f>VLOOKUP(B527,'Player Data'!$A1:$AE734,16,FALSE)*$Q527</f>
        <v>47.965441368522349</v>
      </c>
      <c r="AC527" s="41">
        <f>VLOOKUP(B527,'Player Data'!$A1:$AE734,17,FALSE)*$Q527*IFERROR((VLOOKUP(P527,Settings!$E$28:$F$33,2,FALSE)+1),1)</f>
        <v>-4.2115772667274802</v>
      </c>
      <c r="AD527" s="41">
        <f>VLOOKUP(B527,'Player Data'!$A1:$AE734,18,FALSE)*$Q527</f>
        <v>10.491884040627806</v>
      </c>
      <c r="AE527" s="41">
        <f>VLOOKUP(B527,'Player Data'!$A1:$AE734,19,FALSE)*$Q527*IFERROR((VLOOKUP(P527,Settings!$E$28:$F$33,2,FALSE)+1),1)</f>
        <v>0.88399498602689575</v>
      </c>
      <c r="AF527" s="41">
        <f>VLOOKUP(B527,'Player Data'!$A1:$AE734,20,FALSE)*$Q527</f>
        <v>6.5534389273137847</v>
      </c>
      <c r="AG527" s="41">
        <f>VLOOKUP(B527,'Player Data'!$A1:$AE734,21,FALSE)*$Q527</f>
        <v>10.440720543613971</v>
      </c>
      <c r="AH527" s="42">
        <f>VLOOKUP(B527,'Player Data'!$A1:$AE734,22,FALSE)</f>
        <v>0.38562889435778602</v>
      </c>
      <c r="AI527" s="39"/>
      <c r="AJ527" s="41"/>
      <c r="AK527" s="41"/>
      <c r="AL527" s="41"/>
      <c r="AM527" s="41"/>
      <c r="AN527" s="41"/>
      <c r="AO527" s="41"/>
      <c r="AP527" s="41"/>
      <c r="AQ527" s="44"/>
      <c r="AR527" s="45"/>
      <c r="AS527" s="39"/>
    </row>
    <row r="528" spans="1:45" ht="21.25" customHeight="1" x14ac:dyDescent="0.15">
      <c r="A528" s="31">
        <f>RANK(K528,K$2:K$727)</f>
        <v>527</v>
      </c>
      <c r="B528" s="8" t="s">
        <v>632</v>
      </c>
      <c r="C528" s="32" t="s">
        <v>106</v>
      </c>
      <c r="D528" s="33" t="str">
        <f>VLOOKUP(B528,'Player Data'!A1:D734,4,FALSE)</f>
        <v>D</v>
      </c>
      <c r="E528" s="49">
        <f>VLOOKUP(B528,D!A1:C227,3,FALSE)</f>
        <v>199</v>
      </c>
      <c r="F528" s="35" t="str">
        <f>VLOOKUP(B528,'Player Data'!A1:B734,2,FALSE)</f>
        <v>FLA</v>
      </c>
      <c r="G528" s="9">
        <f>VLOOKUP(B528,'Player Data'!A1:D734,3,FALSE)</f>
        <v>27</v>
      </c>
      <c r="H528" s="36">
        <f>IFERROR(VLOOKUP(B528,ADP!A1:G728,7,FALSE)/1000000,VLOOKUP(B528,ADP!A1:G728,7,FALSE))</f>
        <v>2.5</v>
      </c>
      <c r="I528" s="37">
        <f>IF(Settings!$E$15="POINTS",((R528*Q528)*Settings!$B$12)+(S528*Settings!$B$2)+(T528*Settings!$B$3)+(U528*Settings!$B$4)+(V528*Settings!$B$5)+(X528*Settings!$B$9)+(AA528*Settings!$B$6)+(W528*Settings!$B$8)+(AB528*Settings!$B$7)+(AC528*Settings!$B$14)+(AD528*Settings!$B$15)+(AE528*Settings!$B$16)+(AF528*Settings!$B$17)+(AG528*Settings!$B$18)+(U528*Settings!$B$13)+(Y528*Settings!$B$10)+(Z528*Settings!$B$11),VLOOKUP(B528,'Standard Deviations'!A1:C728,3,FALSE))</f>
        <v>81.976921072567592</v>
      </c>
      <c r="J528" s="38">
        <f>IF(D528="G",I528/AJ528,I528/Q528)</f>
        <v>1.2235361354114567</v>
      </c>
      <c r="K528" s="37">
        <f>VLOOKUP(B528,D!A1:F227,6,FALSE)</f>
        <v>-229.58856055535986</v>
      </c>
      <c r="L528" s="37">
        <f>IFERROR(K528/H528,"N/A")</f>
        <v>-91.835424222143942</v>
      </c>
      <c r="M528" s="53" t="str">
        <f>IF(Settings!$E$9="YAHOO",VLOOKUP(B528,ADP!A1:E728,2,FALSE),IF(Settings!$E$9="ESPN",VLOOKUP(B528,ADP!A1:E728,3,FALSE),IF(Settings!$E$9="FANTRAX",VLOOKUP(B528,ADP!A1:E728,4,FALSE),VLOOKUP(B528,ADP!A1:E728,5,FALSE))))</f>
        <v>-</v>
      </c>
      <c r="N528" s="53" t="str">
        <f>IFERROR(M528-A528,"N/A")</f>
        <v>N/A</v>
      </c>
      <c r="O528" s="39"/>
      <c r="P528" s="40" t="str">
        <f>IF(Settings!$E$27="ON",VLOOKUP(B528,ADP!A1:H728,8,FALSE)," ")</f>
        <v xml:space="preserve"> </v>
      </c>
      <c r="Q528" s="41">
        <f>IF(Settings!$E$12="YES",VLOOKUP(B528,'Player Data'!A1:E734,5,FALSE),82)</f>
        <v>67</v>
      </c>
      <c r="R528" s="39">
        <f>VLOOKUP(B528,'Player Data'!$A1:$AE734,6,FALSE)</f>
        <v>17.4989933523267</v>
      </c>
      <c r="S528" s="41">
        <f>VLOOKUP(B528,'Player Data'!$A1:$AE734,7,FALSE)*$Q528*IFERROR((VLOOKUP(P528,Settings!$E$28:$F$33,2,FALSE)+1),1)</f>
        <v>2.2950861899347399</v>
      </c>
      <c r="T528" s="41">
        <f>VLOOKUP(B528,'Player Data'!$A1:$AE734,8,FALSE)*$Q528*IFERROR((VLOOKUP(P528,Settings!$E$28:$F$33,2,FALSE)+1),1)</f>
        <v>8.6073107275947525</v>
      </c>
      <c r="U528" s="41">
        <f>SUM(S528:T528)</f>
        <v>10.902396917529492</v>
      </c>
      <c r="V528" s="41">
        <f>VLOOKUP(B528,'Player Data'!$A1:$AE734,10,FALSE)*$Q528*IFERROR(((VLOOKUP(P528,Settings!$E$28:$F$33,2,FALSE)/2)+1),1)</f>
        <v>59.965495720887269</v>
      </c>
      <c r="W528" s="41">
        <f>VLOOKUP(B528,'Player Data'!$A1:$AE734,11,FALSE)*$Q528*IFERROR((VLOOKUP(P528,Settings!$E$28:$F$33,2,FALSE)+1),1)</f>
        <v>1.4623945903228103E-2</v>
      </c>
      <c r="X528" s="41">
        <f>VLOOKUP(B528,'Player Data'!$A1:$AE734,12,FALSE)*$Q528*IFERROR((VLOOKUP(P528,Settings!$E$28:$F$33,2,FALSE)+1),1)</f>
        <v>0.10090711382425506</v>
      </c>
      <c r="Y528" s="41">
        <f>VLOOKUP(B528,'Player Data'!$A1:$AE734,13,FALSE)*$Q528</f>
        <v>0.28867830961997776</v>
      </c>
      <c r="Z528" s="41">
        <f>VLOOKUP(B528,'Player Data'!$A1:$AE734,14,FALSE)*$Q528</f>
        <v>0.3826900526033965</v>
      </c>
      <c r="AA528" s="41">
        <f>VLOOKUP(B528,'Player Data'!$A1:$AE734,15,FALSE)*$Q528</f>
        <v>91.5989406334009</v>
      </c>
      <c r="AB528" s="41">
        <f>VLOOKUP(B528,'Player Data'!$A1:$AE734,16,FALSE)*$Q528</f>
        <v>119.58285993374308</v>
      </c>
      <c r="AC528" s="41">
        <f>VLOOKUP(B528,'Player Data'!$A1:$AE734,17,FALSE)*$Q528*IFERROR((VLOOKUP(P528,Settings!$E$28:$F$33,2,FALSE)+1),1)</f>
        <v>-0.65785451858369592</v>
      </c>
      <c r="AD528" s="41">
        <f>VLOOKUP(B528,'Player Data'!$A1:$AE734,18,FALSE)*$Q528</f>
        <v>48.03610815701078</v>
      </c>
      <c r="AE528" s="41">
        <f>VLOOKUP(B528,'Player Data'!$A1:$AE734,19,FALSE)*$Q528*IFERROR((VLOOKUP(P528,Settings!$E$28:$F$33,2,FALSE)+1),1)</f>
        <v>0.32923534899817219</v>
      </c>
      <c r="AF528" s="41">
        <f>VLOOKUP(B528,'Player Data'!$A1:$AE734,20,FALSE)*$Q528</f>
        <v>0</v>
      </c>
      <c r="AG528" s="41">
        <f>VLOOKUP(B528,'Player Data'!$A1:$AE734,21,FALSE)*$Q528</f>
        <v>0</v>
      </c>
      <c r="AH528" s="42">
        <f>VLOOKUP(B528,'Player Data'!$A1:$AE734,22,FALSE)</f>
        <v>0</v>
      </c>
      <c r="AI528" s="39"/>
      <c r="AJ528" s="43"/>
      <c r="AK528" s="41"/>
      <c r="AL528" s="41"/>
      <c r="AM528" s="41"/>
      <c r="AN528" s="41"/>
      <c r="AO528" s="41"/>
      <c r="AP528" s="41"/>
      <c r="AQ528" s="44"/>
      <c r="AR528" s="45"/>
      <c r="AS528" s="39"/>
    </row>
    <row r="529" spans="1:45" ht="21.25" customHeight="1" x14ac:dyDescent="0.15">
      <c r="A529" s="31">
        <f>RANK(K529,K$2:K$727)</f>
        <v>528</v>
      </c>
      <c r="B529" s="8" t="s">
        <v>633</v>
      </c>
      <c r="C529" s="32" t="s">
        <v>106</v>
      </c>
      <c r="D529" s="33" t="str">
        <f>VLOOKUP(B529,'Player Data'!A1:D734,4,FALSE)</f>
        <v>D</v>
      </c>
      <c r="E529" s="49">
        <f>VLOOKUP(B529,D!A1:C227,3,FALSE)</f>
        <v>200</v>
      </c>
      <c r="F529" s="35" t="str">
        <f>VLOOKUP(B529,'Player Data'!A1:B734,2,FALSE)</f>
        <v>WPG</v>
      </c>
      <c r="G529" s="9">
        <f>VLOOKUP(B529,'Player Data'!A1:D734,3,FALSE)</f>
        <v>25</v>
      </c>
      <c r="H529" s="36">
        <f>IFERROR(VLOOKUP(B529,ADP!A1:G728,7,FALSE)/1000000,VLOOKUP(B529,ADP!A1:G728,7,FALSE))</f>
        <v>0</v>
      </c>
      <c r="I529" s="37">
        <f>IF(Settings!$E$15="POINTS",((R529*Q529)*Settings!$B$12)+(S529*Settings!$B$2)+(T529*Settings!$B$3)+(U529*Settings!$B$4)+(V529*Settings!$B$5)+(X529*Settings!$B$9)+(AA529*Settings!$B$6)+(W529*Settings!$B$8)+(AB529*Settings!$B$7)+(AC529*Settings!$B$14)+(AD529*Settings!$B$15)+(AE529*Settings!$B$16)+(AF529*Settings!$B$17)+(AG529*Settings!$B$18)+(U529*Settings!$B$13)+(Y529*Settings!$B$10)+(Z529*Settings!$B$11),VLOOKUP(B529,'Standard Deviations'!A1:C728,3,FALSE))</f>
        <v>81.693173743776399</v>
      </c>
      <c r="J529" s="38">
        <f>IF(D529="G",I529/AJ529,I529/Q529)</f>
        <v>1.2613714699909788</v>
      </c>
      <c r="K529" s="37">
        <f>VLOOKUP(B529,D!A1:F227,6,FALSE)</f>
        <v>-229.87230788415104</v>
      </c>
      <c r="L529" s="52" t="str">
        <f>IFERROR(K529/H529,"N/A")</f>
        <v>N/A</v>
      </c>
      <c r="M529" s="53" t="str">
        <f>IF(Settings!$E$9="YAHOO",VLOOKUP(B529,ADP!A1:E728,2,FALSE),IF(Settings!$E$9="ESPN",VLOOKUP(B529,ADP!A1:E728,3,FALSE),IF(Settings!$E$9="FANTRAX",VLOOKUP(B529,ADP!A1:E728,4,FALSE),VLOOKUP(B529,ADP!A1:E728,5,FALSE))))</f>
        <v>-</v>
      </c>
      <c r="N529" s="53" t="str">
        <f>IFERROR(M529-A529,"N/A")</f>
        <v>N/A</v>
      </c>
      <c r="O529" s="39"/>
      <c r="P529" s="40" t="str">
        <f>IF(Settings!$E$27="ON",VLOOKUP(B529,ADP!A1:H728,8,FALSE)," ")</f>
        <v xml:space="preserve"> </v>
      </c>
      <c r="Q529" s="41">
        <f>IF(Settings!$E$12="YES",VLOOKUP(B529,'Player Data'!A1:E734,5,FALSE),82)</f>
        <v>64.765357142857098</v>
      </c>
      <c r="R529" s="39">
        <f>VLOOKUP(B529,'Player Data'!$A1:$AE734,6,FALSE)</f>
        <v>13.583729425746199</v>
      </c>
      <c r="S529" s="41">
        <f>VLOOKUP(B529,'Player Data'!$A1:$AE734,7,FALSE)*$Q529*IFERROR((VLOOKUP(P529,Settings!$E$28:$F$33,2,FALSE)+1),1)</f>
        <v>1.9856919891969222</v>
      </c>
      <c r="T529" s="41">
        <f>VLOOKUP(B529,'Player Data'!$A1:$AE734,8,FALSE)*$Q529*IFERROR((VLOOKUP(P529,Settings!$E$28:$F$33,2,FALSE)+1),1)</f>
        <v>9.0688169708023469</v>
      </c>
      <c r="U529" s="41">
        <f>SUM(S529:T529)</f>
        <v>11.05450895999927</v>
      </c>
      <c r="V529" s="41">
        <f>VLOOKUP(B529,'Player Data'!$A1:$AE734,10,FALSE)*$Q529*IFERROR(((VLOOKUP(P529,Settings!$E$28:$F$33,2,FALSE)/2)+1),1)</f>
        <v>65.402762880352412</v>
      </c>
      <c r="W529" s="41">
        <f>VLOOKUP(B529,'Player Data'!$A1:$AE734,11,FALSE)*$Q529*IFERROR((VLOOKUP(P529,Settings!$E$28:$F$33,2,FALSE)+1),1)</f>
        <v>0</v>
      </c>
      <c r="X529" s="41">
        <f>VLOOKUP(B529,'Player Data'!$A1:$AE734,12,FALSE)*$Q529*IFERROR((VLOOKUP(P529,Settings!$E$28:$F$33,2,FALSE)+1),1)</f>
        <v>0</v>
      </c>
      <c r="Y529" s="41">
        <f>VLOOKUP(B529,'Player Data'!$A1:$AE734,13,FALSE)*$Q529</f>
        <v>3.1816283036875198E-2</v>
      </c>
      <c r="Z529" s="41">
        <f>VLOOKUP(B529,'Player Data'!$A1:$AE734,14,FALSE)*$Q529</f>
        <v>0.39483616396775073</v>
      </c>
      <c r="AA529" s="41">
        <f>VLOOKUP(B529,'Player Data'!$A1:$AE734,15,FALSE)*$Q529</f>
        <v>75.192965478334415</v>
      </c>
      <c r="AB529" s="41">
        <f>VLOOKUP(B529,'Player Data'!$A1:$AE734,16,FALSE)*$Q529</f>
        <v>109.51458064507891</v>
      </c>
      <c r="AC529" s="41">
        <f>VLOOKUP(B529,'Player Data'!$A1:$AE734,17,FALSE)*$Q529*IFERROR((VLOOKUP(P529,Settings!$E$28:$F$33,2,FALSE)+1),1)</f>
        <v>0.53037013314647752</v>
      </c>
      <c r="AD529" s="41">
        <f>VLOOKUP(B529,'Player Data'!$A1:$AE734,18,FALSE)*$Q529</f>
        <v>41.035257932603756</v>
      </c>
      <c r="AE529" s="41">
        <f>VLOOKUP(B529,'Player Data'!$A1:$AE734,19,FALSE)*$Q529*IFERROR((VLOOKUP(P529,Settings!$E$28:$F$33,2,FALSE)+1),1)</f>
        <v>0.30977459678724084</v>
      </c>
      <c r="AF529" s="41">
        <f>VLOOKUP(B529,'Player Data'!$A1:$AE734,20,FALSE)*$Q529</f>
        <v>0</v>
      </c>
      <c r="AG529" s="41">
        <f>VLOOKUP(B529,'Player Data'!$A1:$AE734,21,FALSE)*$Q529</f>
        <v>0</v>
      </c>
      <c r="AH529" s="42">
        <f>VLOOKUP(B529,'Player Data'!$A1:$AE734,22,FALSE)</f>
        <v>0</v>
      </c>
      <c r="AI529" s="39"/>
      <c r="AJ529" s="43"/>
      <c r="AK529" s="41"/>
      <c r="AL529" s="41"/>
      <c r="AM529" s="41"/>
      <c r="AN529" s="41"/>
      <c r="AO529" s="41"/>
      <c r="AP529" s="41"/>
      <c r="AQ529" s="44"/>
      <c r="AR529" s="45"/>
      <c r="AS529" s="39"/>
    </row>
    <row r="530" spans="1:45" ht="21.25" customHeight="1" x14ac:dyDescent="0.15">
      <c r="A530" s="31">
        <f>RANK(K530,K$2:K$727)</f>
        <v>529</v>
      </c>
      <c r="B530" s="8" t="s">
        <v>634</v>
      </c>
      <c r="C530" s="32" t="s">
        <v>106</v>
      </c>
      <c r="D530" s="33" t="str">
        <f>VLOOKUP(B530,'Player Data'!A1:D734,4,FALSE)</f>
        <v>RW</v>
      </c>
      <c r="E530" s="46">
        <f>VLOOKUP(B530,RW!A1:F97,3,FALSE)</f>
        <v>77</v>
      </c>
      <c r="F530" s="35" t="str">
        <f>VLOOKUP(B530,'Player Data'!A1:B734,2,FALSE)</f>
        <v>CGY</v>
      </c>
      <c r="G530" s="9">
        <f>VLOOKUP(B530,'Player Data'!A1:D734,3,FALSE)</f>
        <v>25</v>
      </c>
      <c r="H530" s="36">
        <f>IFERROR(VLOOKUP(B530,ADP!A1:G728,7,FALSE)/1000000,VLOOKUP(B530,ADP!A1:G728,7,FALSE))</f>
        <v>0</v>
      </c>
      <c r="I530" s="37">
        <f>IF(Settings!$E$15="POINTS",((R530*Q530)*Settings!$B$12)+(S530*Settings!$B$2)+(T530*Settings!$B$3)+(U530*Settings!$B$4)+(V530*Settings!$B$5)+(X530*Settings!$B$9)+(AA530*Settings!$B$6)+(W530*Settings!$B$8)+(AB530*Settings!$B$7)+(AC530*Settings!$B$14)+(AD530*Settings!$B$15)+(AE530*Settings!$B$16)+(AF530*Settings!$B$17)+(AG530*Settings!$B$18)+(Y530*Settings!$B$10)+(Z530*Settings!$B$11),VLOOKUP(B530,'Standard Deviations'!A1:C728,3,FALSE))</f>
        <v>120.14758334311534</v>
      </c>
      <c r="J530" s="38">
        <f>IF(D530="G",I530/AJ530,I530/Q530)</f>
        <v>2.0293485912189064</v>
      </c>
      <c r="K530" s="37">
        <f>IF(Settings!$E$18="C/LW/RW",VLOOKUP(B530,RW!A1:F97,6,FALSE),VLOOKUP(B530,F!A1:F430,6,FALSE))</f>
        <v>-230.12395720477423</v>
      </c>
      <c r="L530" s="52" t="str">
        <f>IFERROR(K530/H530,"N/A")</f>
        <v>N/A</v>
      </c>
      <c r="M530" s="53" t="str">
        <f>IF(Settings!$E$9="YAHOO",VLOOKUP(B530,ADP!A1:E728,2,FALSE),IF(Settings!$E$9="ESPN",VLOOKUP(B530,ADP!A1:E728,3,FALSE),IF(Settings!$E$9="FANTRAX",VLOOKUP(B530,ADP!A1:E728,4,FALSE),VLOOKUP(B530,ADP!A1:E728,5,FALSE))))</f>
        <v>-</v>
      </c>
      <c r="N530" s="53" t="str">
        <f>IFERROR(M530-A530,"N/A")</f>
        <v>N/A</v>
      </c>
      <c r="O530" s="39"/>
      <c r="P530" s="40" t="str">
        <f>IF(Settings!$E$27="ON",VLOOKUP(B530,ADP!A1:H728,8,FALSE)," ")</f>
        <v xml:space="preserve"> </v>
      </c>
      <c r="Q530" s="41">
        <f>IF(Settings!$E$12="YES",VLOOKUP(B530,'Player Data'!A1:E734,5,FALSE),82)</f>
        <v>59.204999999999998</v>
      </c>
      <c r="R530" s="39">
        <f>VLOOKUP(B530,'Player Data'!$A1:$AE734,6,FALSE)</f>
        <v>11.295290191850301</v>
      </c>
      <c r="S530" s="41">
        <f>VLOOKUP(B530,'Player Data'!$A1:$AE734,7,FALSE)*$Q530*IFERROR((VLOOKUP(P530,Settings!$E$28:$F$33,2,FALSE)+1),1)</f>
        <v>12.020878577065329</v>
      </c>
      <c r="T530" s="41">
        <f>VLOOKUP(B530,'Player Data'!$A1:$AE734,8,FALSE)*$Q530*IFERROR((VLOOKUP(P530,Settings!$E$28:$F$33,2,FALSE)+1),1)</f>
        <v>10.346620767812253</v>
      </c>
      <c r="U530" s="41">
        <f>SUM(S530:T530)</f>
        <v>22.367499344877579</v>
      </c>
      <c r="V530" s="41">
        <f>VLOOKUP(B530,'Player Data'!$A1:$AE734,10,FALSE)*$Q530*IFERROR(((VLOOKUP(P530,Settings!$E$28:$F$33,2,FALSE)/2)+1),1)</f>
        <v>98.372975789796897</v>
      </c>
      <c r="W530" s="41">
        <f>VLOOKUP(B530,'Player Data'!$A1:$AE734,11,FALSE)*$Q530*IFERROR((VLOOKUP(P530,Settings!$E$28:$F$33,2,FALSE)+1),1)</f>
        <v>0.14198008823864236</v>
      </c>
      <c r="X530" s="41">
        <f>VLOOKUP(B530,'Player Data'!$A1:$AE734,12,FALSE)*$Q530*IFERROR((VLOOKUP(P530,Settings!$E$28:$F$33,2,FALSE)+1),1)</f>
        <v>0.36041076280079437</v>
      </c>
      <c r="Y530" s="41">
        <f>VLOOKUP(B530,'Player Data'!$A1:$AE734,13,FALSE)*$Q530</f>
        <v>0</v>
      </c>
      <c r="Z530" s="41">
        <f>VLOOKUP(B530,'Player Data'!$A1:$AE734,14,FALSE)*$Q530</f>
        <v>0</v>
      </c>
      <c r="AA530" s="41">
        <f>VLOOKUP(B530,'Player Data'!$A1:$AE734,15,FALSE)*$Q530</f>
        <v>15.688879439912876</v>
      </c>
      <c r="AB530" s="41">
        <f>VLOOKUP(B530,'Player Data'!$A1:$AE734,16,FALSE)*$Q530</f>
        <v>107.40724063743632</v>
      </c>
      <c r="AC530" s="41">
        <f>VLOOKUP(B530,'Player Data'!$A1:$AE734,17,FALSE)*$Q530*IFERROR((VLOOKUP(P530,Settings!$E$28:$F$33,2,FALSE)+1),1)</f>
        <v>1.3938296671173207</v>
      </c>
      <c r="AD530" s="41">
        <f>VLOOKUP(B530,'Player Data'!$A1:$AE734,18,FALSE)*$Q530</f>
        <v>14.402795502139128</v>
      </c>
      <c r="AE530" s="41">
        <f>VLOOKUP(B530,'Player Data'!$A1:$AE734,19,FALSE)*$Q530*IFERROR((VLOOKUP(P530,Settings!$E$28:$F$33,2,FALSE)+1),1)</f>
        <v>2.008667774418929</v>
      </c>
      <c r="AF530" s="41">
        <f>VLOOKUP(B530,'Player Data'!$A1:$AE734,20,FALSE)*$Q530</f>
        <v>2.3510812332717483</v>
      </c>
      <c r="AG530" s="41">
        <f>VLOOKUP(B530,'Player Data'!$A1:$AE734,21,FALSE)*$Q530</f>
        <v>14.541837806757115</v>
      </c>
      <c r="AH530" s="42">
        <f>VLOOKUP(B530,'Player Data'!$A1:$AE734,22,FALSE)</f>
        <v>0.139175546138634</v>
      </c>
      <c r="AI530" s="39"/>
      <c r="AJ530" s="43"/>
      <c r="AK530" s="41"/>
      <c r="AL530" s="41"/>
      <c r="AM530" s="41"/>
      <c r="AN530" s="41"/>
      <c r="AO530" s="41"/>
      <c r="AP530" s="41"/>
      <c r="AQ530" s="44"/>
      <c r="AR530" s="45"/>
      <c r="AS530" s="43"/>
    </row>
    <row r="531" spans="1:45" ht="21.25" customHeight="1" x14ac:dyDescent="0.15">
      <c r="A531" s="31">
        <f>RANK(K531,K$2:K$727)</f>
        <v>530</v>
      </c>
      <c r="B531" s="8" t="s">
        <v>635</v>
      </c>
      <c r="C531" s="32" t="s">
        <v>106</v>
      </c>
      <c r="D531" s="33" t="str">
        <f>VLOOKUP(B531,'Player Data'!A1:D734,4,FALSE)</f>
        <v>G</v>
      </c>
      <c r="E531" s="50">
        <f>VLOOKUP(B531,G!A1:D75,3,FALSE)</f>
        <v>44</v>
      </c>
      <c r="F531" s="35" t="str">
        <f>VLOOKUP(B531,'Player Data'!A1:B734,2,FALSE)</f>
        <v>TOR</v>
      </c>
      <c r="G531" s="9">
        <f>VLOOKUP(B531,'Player Data'!A1:D734,3,FALSE)</f>
        <v>25</v>
      </c>
      <c r="H531" s="36">
        <f>IFERROR(VLOOKUP(B531,ADP!A1:G728,7,FALSE)/1000000,VLOOKUP(B531,ADP!A1:G728,7,FALSE))</f>
        <v>0</v>
      </c>
      <c r="I531" s="37">
        <f>IF(Settings!$E$15="POINTS",(AJ531*Settings!$B$29)+(AK531*Settings!$B$21)+(AL531*Settings!$B$22)+(AN531*Settings!$B$24)+(AO531*Settings!$B$25)+(AP531*Settings!$B$27)+(AM531*Settings!$B$23),VLOOKUP(B531,'Standard Deviations'!A1:C728,3,FALSE))</f>
        <v>168.47675928105539</v>
      </c>
      <c r="J531" s="38">
        <f>IF(D531="G",I531/AJ531,I531/Q531)</f>
        <v>7.019864970043975</v>
      </c>
      <c r="K531" s="37">
        <f>VLOOKUP(B531,G!A1:F75,6,FALSE)</f>
        <v>-230.29890280826081</v>
      </c>
      <c r="L531" s="52" t="str">
        <f>IFERROR(K531/H531,"N/A")</f>
        <v>N/A</v>
      </c>
      <c r="M531" s="39">
        <f>IF(Settings!$E$9="YAHOO",VLOOKUP(B531,ADP!A1:E728,2,FALSE),IF(Settings!$E$9="ESPN",VLOOKUP(B531,ADP!A1:E728,3,FALSE),IF(Settings!$E$9="FANTRAX",VLOOKUP(B531,ADP!A1:E728,4,FALSE),VLOOKUP(B531,ADP!A1:E728,5,FALSE))))</f>
        <v>169.9</v>
      </c>
      <c r="N531" s="39">
        <f>IFERROR(M531-A531,"N/A")</f>
        <v>-360.1</v>
      </c>
      <c r="O531" s="39"/>
      <c r="P531" s="40" t="str">
        <f>IF(Settings!$E$27="ON",VLOOKUP(B531,ADP!A1:H728,8,FALSE)," ")</f>
        <v xml:space="preserve"> </v>
      </c>
      <c r="Q531" s="41"/>
      <c r="R531" s="5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2"/>
      <c r="AI531" s="39"/>
      <c r="AJ531" s="43">
        <f>VLOOKUP(B531,'Player Data'!$A1:$AE734,24,FALSE)</f>
        <v>24</v>
      </c>
      <c r="AK531" s="41">
        <f>VLOOKUP(B531,'Player Data'!$A1:$AE734,25,FALSE)*$AJ531*IFERROR((VLOOKUP(P531,Settings!$E$28:$F$33,2,FALSE)+1),1)</f>
        <v>13.853045156945159</v>
      </c>
      <c r="AL531" s="41">
        <f>AJ531-AK531-AM531</f>
        <v>7.1469548430548411</v>
      </c>
      <c r="AM531" s="41">
        <f>VLOOKUP(B531,'Player Data'!$A1:$AE734,27,FALSE)*$AJ531</f>
        <v>3</v>
      </c>
      <c r="AN531" s="41">
        <f>VLOOKUP(B531,'Player Data'!$A1:$AE734,28,FALSE)*AJ531</f>
        <v>1.0253831471667649</v>
      </c>
      <c r="AO531" s="41">
        <f>VLOOKUP(B531,'Player Data'!$A1:$AE734,29,FALSE)*$AJ531*IFERROR((VLOOKUP(P531,Settings!$E$28:$F$33,2,FALSE)/4)+1,1)</f>
        <v>679.61461970454002</v>
      </c>
      <c r="AP531" s="41">
        <f>VLOOKUP(B531,'Player Data'!$A1:$AE734,31,FALSE)*$AJ531*(IFERROR(1-(VLOOKUP(P531,Settings!$E$28:$F$33,2,FALSE)/4),1))</f>
        <v>71.64681744546121</v>
      </c>
      <c r="AQ531" s="44">
        <f>1-(AP531/(AO531+AP531))</f>
        <v>0.9046313122136791</v>
      </c>
      <c r="AR531" s="45">
        <f>AP531/AJ531</f>
        <v>2.9852840602275506</v>
      </c>
      <c r="AS531" s="39"/>
    </row>
    <row r="532" spans="1:45" ht="21.25" customHeight="1" x14ac:dyDescent="0.15">
      <c r="A532" s="31">
        <f>RANK(K532,K$2:K$727)</f>
        <v>531</v>
      </c>
      <c r="B532" s="8" t="s">
        <v>636</v>
      </c>
      <c r="C532" s="32" t="s">
        <v>106</v>
      </c>
      <c r="D532" s="33" t="str">
        <f>VLOOKUP(B532,'Player Data'!A1:D734,4,FALSE)</f>
        <v>D</v>
      </c>
      <c r="E532" s="49">
        <f>VLOOKUP(B532,D!A1:C227,3,FALSE)</f>
        <v>201</v>
      </c>
      <c r="F532" s="35" t="str">
        <f>VLOOKUP(B532,'Player Data'!A1:B734,2,FALSE)</f>
        <v>CHI</v>
      </c>
      <c r="G532" s="9">
        <f>VLOOKUP(B532,'Player Data'!A1:D734,3,FALSE)</f>
        <v>24</v>
      </c>
      <c r="H532" s="36">
        <f>IFERROR(VLOOKUP(B532,ADP!A1:G728,7,FALSE)/1000000,VLOOKUP(B532,ADP!A1:G728,7,FALSE))</f>
        <v>0</v>
      </c>
      <c r="I532" s="37">
        <f>IF(Settings!$E$15="POINTS",((R532*Q532)*Settings!$B$12)+(S532*Settings!$B$2)+(T532*Settings!$B$3)+(U532*Settings!$B$4)+(V532*Settings!$B$5)+(X532*Settings!$B$9)+(AA532*Settings!$B$6)+(W532*Settings!$B$8)+(AB532*Settings!$B$7)+(AC532*Settings!$B$14)+(AD532*Settings!$B$15)+(AE532*Settings!$B$16)+(AF532*Settings!$B$17)+(AG532*Settings!$B$18)+(U532*Settings!$B$13)+(Y532*Settings!$B$10)+(Z532*Settings!$B$11),VLOOKUP(B532,'Standard Deviations'!A1:C728,3,FALSE))</f>
        <v>81.138939919712698</v>
      </c>
      <c r="J532" s="38">
        <f>IF(D532="G",I532/AJ532,I532/Q532)</f>
        <v>1.5904138760173019</v>
      </c>
      <c r="K532" s="37">
        <f>VLOOKUP(B532,D!A1:F227,6,FALSE)</f>
        <v>-230.42654170821476</v>
      </c>
      <c r="L532" s="52" t="str">
        <f>IFERROR(K532/H532,"N/A")</f>
        <v>N/A</v>
      </c>
      <c r="M532" s="53" t="str">
        <f>IF(Settings!$E$9="YAHOO",VLOOKUP(B532,ADP!A1:E728,2,FALSE),IF(Settings!$E$9="ESPN",VLOOKUP(B532,ADP!A1:E728,3,FALSE),IF(Settings!$E$9="FANTRAX",VLOOKUP(B532,ADP!A1:E728,4,FALSE),VLOOKUP(B532,ADP!A1:E728,5,FALSE))))</f>
        <v>-</v>
      </c>
      <c r="N532" s="53" t="str">
        <f>IFERROR(M532-A532,"N/A")</f>
        <v>N/A</v>
      </c>
      <c r="O532" s="39"/>
      <c r="P532" s="40" t="str">
        <f>IF(Settings!$E$27="ON",VLOOKUP(B532,ADP!A1:H728,8,FALSE)," ")</f>
        <v xml:space="preserve"> </v>
      </c>
      <c r="Q532" s="41">
        <f>IF(Settings!$E$12="YES",VLOOKUP(B532,'Player Data'!A1:E734,5,FALSE),82)</f>
        <v>51.017499999999998</v>
      </c>
      <c r="R532" s="39">
        <f>VLOOKUP(B532,'Player Data'!$A1:$AE734,6,FALSE)</f>
        <v>16.195173332137699</v>
      </c>
      <c r="S532" s="41">
        <f>VLOOKUP(B532,'Player Data'!$A1:$AE734,7,FALSE)*$Q532*IFERROR((VLOOKUP(P532,Settings!$E$28:$F$33,2,FALSE)+1),1)</f>
        <v>2.9707923663957874</v>
      </c>
      <c r="T532" s="41">
        <f>VLOOKUP(B532,'Player Data'!$A1:$AE734,8,FALSE)*$Q532*IFERROR((VLOOKUP(P532,Settings!$E$28:$F$33,2,FALSE)+1),1)</f>
        <v>9.409808393888051</v>
      </c>
      <c r="U532" s="41">
        <f>SUM(S532:T532)</f>
        <v>12.380600760283839</v>
      </c>
      <c r="V532" s="41">
        <f>VLOOKUP(B532,'Player Data'!$A1:$AE734,10,FALSE)*$Q532*IFERROR(((VLOOKUP(P532,Settings!$E$28:$F$33,2,FALSE)/2)+1),1)</f>
        <v>58.507857519744022</v>
      </c>
      <c r="W532" s="41">
        <f>VLOOKUP(B532,'Player Data'!$A1:$AE734,11,FALSE)*$Q532*IFERROR((VLOOKUP(P532,Settings!$E$28:$F$33,2,FALSE)+1),1)</f>
        <v>0.20709344624110482</v>
      </c>
      <c r="X532" s="41">
        <f>VLOOKUP(B532,'Player Data'!$A1:$AE734,12,FALSE)*$Q532*IFERROR((VLOOKUP(P532,Settings!$E$28:$F$33,2,FALSE)+1),1)</f>
        <v>1.4079393695405713</v>
      </c>
      <c r="Y532" s="41">
        <f>VLOOKUP(B532,'Player Data'!$A1:$AE734,13,FALSE)*$Q532</f>
        <v>2.4190956705908904E-2</v>
      </c>
      <c r="Z532" s="41">
        <f>VLOOKUP(B532,'Player Data'!$A1:$AE734,14,FALSE)*$Q532</f>
        <v>9.0094505850134843E-2</v>
      </c>
      <c r="AA532" s="41">
        <f>VLOOKUP(B532,'Player Data'!$A1:$AE734,15,FALSE)*$Q532</f>
        <v>58.735705641038841</v>
      </c>
      <c r="AB532" s="41">
        <f>VLOOKUP(B532,'Player Data'!$A1:$AE734,16,FALSE)*$Q532</f>
        <v>57.030623583943985</v>
      </c>
      <c r="AC532" s="41">
        <f>VLOOKUP(B532,'Player Data'!$A1:$AE734,17,FALSE)*$Q532*IFERROR((VLOOKUP(P532,Settings!$E$28:$F$33,2,FALSE)+1),1)</f>
        <v>-3.6992951131999496</v>
      </c>
      <c r="AD532" s="41">
        <f>VLOOKUP(B532,'Player Data'!$A1:$AE734,18,FALSE)*$Q532</f>
        <v>17.920414711207467</v>
      </c>
      <c r="AE532" s="41">
        <f>VLOOKUP(B532,'Player Data'!$A1:$AE734,19,FALSE)*$Q532*IFERROR((VLOOKUP(P532,Settings!$E$28:$F$33,2,FALSE)+1),1)</f>
        <v>0.34812206002137996</v>
      </c>
      <c r="AF532" s="41">
        <f>VLOOKUP(B532,'Player Data'!$A1:$AE734,20,FALSE)*$Q532</f>
        <v>0</v>
      </c>
      <c r="AG532" s="41">
        <f>VLOOKUP(B532,'Player Data'!$A1:$AE734,21,FALSE)*$Q532</f>
        <v>0</v>
      </c>
      <c r="AH532" s="42">
        <f>VLOOKUP(B532,'Player Data'!$A1:$AE734,22,FALSE)</f>
        <v>0</v>
      </c>
      <c r="AI532" s="39"/>
      <c r="AJ532" s="43"/>
      <c r="AK532" s="41"/>
      <c r="AL532" s="41"/>
      <c r="AM532" s="41"/>
      <c r="AN532" s="41"/>
      <c r="AO532" s="41"/>
      <c r="AP532" s="41"/>
      <c r="AQ532" s="44"/>
      <c r="AR532" s="45"/>
      <c r="AS532" s="39"/>
    </row>
    <row r="533" spans="1:45" ht="21.25" customHeight="1" x14ac:dyDescent="0.15">
      <c r="A533" s="31">
        <f>RANK(K533,K$2:K$727)</f>
        <v>532</v>
      </c>
      <c r="B533" s="8" t="s">
        <v>637</v>
      </c>
      <c r="C533" s="32" t="s">
        <v>106</v>
      </c>
      <c r="D533" s="33" t="str">
        <f>VLOOKUP(B533,'Player Data'!A1:D734,4,FALSE)</f>
        <v>LW,RW</v>
      </c>
      <c r="E533" s="48">
        <f>VLOOKUP(B533,LW!A1:C130,3,FALSE)</f>
        <v>93</v>
      </c>
      <c r="F533" s="35" t="str">
        <f>VLOOKUP(B533,'Player Data'!A1:B734,2,FALSE)</f>
        <v>CBJ</v>
      </c>
      <c r="G533" s="9">
        <f>VLOOKUP(B533,'Player Data'!A1:D734,3,FALSE)</f>
        <v>23</v>
      </c>
      <c r="H533" s="36">
        <f>IFERROR(VLOOKUP(B533,ADP!A1:G728,7,FALSE)/1000000,VLOOKUP(B533,ADP!A1:G728,7,FALSE))</f>
        <v>1.5249999999999999</v>
      </c>
      <c r="I533" s="37">
        <f>IF(Settings!$E$15="POINTS",((R533*Q533)*Settings!$B$12)+(S533*Settings!$B$2)+(T533*Settings!$B$3)+(U533*Settings!$B$4)+(V533*Settings!$B$5)+(X533*Settings!$B$9)+(AA533*Settings!$B$6)+(W533*Settings!$B$8)+(AB533*Settings!$B$7)+(AC533*Settings!$B$14)+(AD533*Settings!$B$15)+(AE533*Settings!$B$16)+(AF533*Settings!$B$17)+(AG533*Settings!$B$18)+(Y533*Settings!$B$10)+(Z533*Settings!$B$11),VLOOKUP(B533,'Standard Deviations'!A1:C728,3,FALSE))</f>
        <v>132.86795269313922</v>
      </c>
      <c r="J533" s="38">
        <f>IF(D533="G",I533/AJ533,I533/Q533)</f>
        <v>1.8423177023452468</v>
      </c>
      <c r="K533" s="37">
        <f>IF(Settings!$E$18="C/LW/RW",VLOOKUP(B533,LW!A1:F130,6,FALSE),VLOOKUP(B533,F!A1:F430,6,FALSE))</f>
        <v>-231.17265216451125</v>
      </c>
      <c r="L533" s="37">
        <f>IFERROR(K533/H533,"N/A")</f>
        <v>-151.58862437017132</v>
      </c>
      <c r="M533" s="53" t="str">
        <f>IF(Settings!$E$9="YAHOO",VLOOKUP(B533,ADP!A1:E728,2,FALSE),IF(Settings!$E$9="ESPN",VLOOKUP(B533,ADP!A1:E728,3,FALSE),IF(Settings!$E$9="FANTRAX",VLOOKUP(B533,ADP!A1:E728,4,FALSE),VLOOKUP(B533,ADP!A1:E728,5,FALSE))))</f>
        <v>-</v>
      </c>
      <c r="N533" s="53" t="str">
        <f>IFERROR(M533-A533,"N/A")</f>
        <v>N/A</v>
      </c>
      <c r="O533" s="39"/>
      <c r="P533" s="40" t="str">
        <f>IF(Settings!$E$27="ON",VLOOKUP(B533,ADP!A1:H728,8,FALSE)," ")</f>
        <v xml:space="preserve"> </v>
      </c>
      <c r="Q533" s="41">
        <f>IF(Settings!$E$12="YES",VLOOKUP(B533,'Player Data'!A1:E734,5,FALSE),82)</f>
        <v>72.12</v>
      </c>
      <c r="R533" s="39">
        <f>VLOOKUP(B533,'Player Data'!$A1:$AE734,6,FALSE)</f>
        <v>11.6997632043796</v>
      </c>
      <c r="S533" s="41">
        <f>VLOOKUP(B533,'Player Data'!$A1:$AE734,7,FALSE)*$Q533*IFERROR((VLOOKUP(P533,Settings!$E$28:$F$33,2,FALSE)+1),1)</f>
        <v>12.673355515016892</v>
      </c>
      <c r="T533" s="41">
        <f>VLOOKUP(B533,'Player Data'!$A1:$AE734,8,FALSE)*$Q533*IFERROR((VLOOKUP(P533,Settings!$E$28:$F$33,2,FALSE)+1),1)</f>
        <v>14.617544964946489</v>
      </c>
      <c r="U533" s="41">
        <f>SUM(S533:T533)</f>
        <v>27.290900479963383</v>
      </c>
      <c r="V533" s="41">
        <f>VLOOKUP(B533,'Player Data'!$A1:$AE734,10,FALSE)*$Q533*IFERROR(((VLOOKUP(P533,Settings!$E$28:$F$33,2,FALSE)/2)+1),1)</f>
        <v>90.103964957402795</v>
      </c>
      <c r="W533" s="41">
        <f>VLOOKUP(B533,'Player Data'!$A1:$AE734,11,FALSE)*$Q533*IFERROR((VLOOKUP(P533,Settings!$E$28:$F$33,2,FALSE)+1),1)</f>
        <v>0.23427348500679482</v>
      </c>
      <c r="X533" s="41">
        <f>VLOOKUP(B533,'Player Data'!$A1:$AE734,12,FALSE)*$Q533*IFERROR((VLOOKUP(P533,Settings!$E$28:$F$33,2,FALSE)+1),1)</f>
        <v>0.59293929102969123</v>
      </c>
      <c r="Y533" s="41">
        <f>VLOOKUP(B533,'Player Data'!$A1:$AE734,13,FALSE)*$Q533</f>
        <v>0</v>
      </c>
      <c r="Z533" s="41">
        <f>VLOOKUP(B533,'Player Data'!$A1:$AE734,14,FALSE)*$Q533</f>
        <v>0</v>
      </c>
      <c r="AA533" s="41">
        <f>VLOOKUP(B533,'Player Data'!$A1:$AE734,15,FALSE)*$Q533</f>
        <v>23.786950962441431</v>
      </c>
      <c r="AB533" s="41">
        <f>VLOOKUP(B533,'Player Data'!$A1:$AE734,16,FALSE)*$Q533</f>
        <v>60.308783927399617</v>
      </c>
      <c r="AC533" s="41">
        <f>VLOOKUP(B533,'Player Data'!$A1:$AE734,17,FALSE)*$Q533*IFERROR((VLOOKUP(P533,Settings!$E$28:$F$33,2,FALSE)+1),1)</f>
        <v>-4.212338012951836</v>
      </c>
      <c r="AD533" s="41">
        <f>VLOOKUP(B533,'Player Data'!$A1:$AE734,18,FALSE)*$Q533</f>
        <v>0</v>
      </c>
      <c r="AE533" s="41">
        <f>VLOOKUP(B533,'Player Data'!$A1:$AE734,19,FALSE)*$Q533*IFERROR((VLOOKUP(P533,Settings!$E$28:$F$33,2,FALSE)+1),1)</f>
        <v>1.3580373018600798</v>
      </c>
      <c r="AF533" s="41">
        <f>VLOOKUP(B533,'Player Data'!$A1:$AE734,20,FALSE)*$Q533</f>
        <v>95.095070134909449</v>
      </c>
      <c r="AG533" s="41">
        <f>VLOOKUP(B533,'Player Data'!$A1:$AE734,21,FALSE)*$Q533</f>
        <v>172.54252282967482</v>
      </c>
      <c r="AH533" s="42">
        <f>VLOOKUP(B533,'Player Data'!$A1:$AE734,22,FALSE)</f>
        <v>0.35531282837196099</v>
      </c>
      <c r="AI533" s="39"/>
      <c r="AJ533" s="43"/>
      <c r="AK533" s="41"/>
      <c r="AL533" s="41"/>
      <c r="AM533" s="41"/>
      <c r="AN533" s="41"/>
      <c r="AO533" s="41"/>
      <c r="AP533" s="41"/>
      <c r="AQ533" s="44"/>
      <c r="AR533" s="45"/>
      <c r="AS533" s="39"/>
    </row>
    <row r="534" spans="1:45" ht="21.25" customHeight="1" x14ac:dyDescent="0.15">
      <c r="A534" s="31">
        <f>RANK(K534,K$2:K$727)</f>
        <v>533</v>
      </c>
      <c r="B534" s="8" t="s">
        <v>638</v>
      </c>
      <c r="C534" s="32" t="s">
        <v>106</v>
      </c>
      <c r="D534" s="33" t="str">
        <f>VLOOKUP(B534,'Player Data'!A1:D734,4,FALSE)</f>
        <v>D</v>
      </c>
      <c r="E534" s="49">
        <f>VLOOKUP(B534,D!A1:C227,3,FALSE)</f>
        <v>202</v>
      </c>
      <c r="F534" s="35" t="str">
        <f>VLOOKUP(B534,'Player Data'!A1:B734,2,FALSE)</f>
        <v>ARI</v>
      </c>
      <c r="G534" s="9">
        <f>VLOOKUP(B534,'Player Data'!A1:D734,3,FALSE)</f>
        <v>29</v>
      </c>
      <c r="H534" s="36">
        <f>IFERROR(VLOOKUP(B534,ADP!A1:G728,7,FALSE)/1000000,VLOOKUP(B534,ADP!A1:G728,7,FALSE))</f>
        <v>1.2749999999999999</v>
      </c>
      <c r="I534" s="37">
        <f>IF(Settings!$E$15="POINTS",((R534*Q534)*Settings!$B$12)+(S534*Settings!$B$2)+(T534*Settings!$B$3)+(U534*Settings!$B$4)+(V534*Settings!$B$5)+(X534*Settings!$B$9)+(AA534*Settings!$B$6)+(W534*Settings!$B$8)+(AB534*Settings!$B$7)+(AC534*Settings!$B$14)+(AD534*Settings!$B$15)+(AE534*Settings!$B$16)+(AF534*Settings!$B$17)+(AG534*Settings!$B$18)+(U534*Settings!$B$13)+(Y534*Settings!$B$10)+(Z534*Settings!$B$11),VLOOKUP(B534,'Standard Deviations'!A1:C728,3,FALSE))</f>
        <v>80.057212015708302</v>
      </c>
      <c r="J534" s="38">
        <f>IF(D534="G",I534/AJ534,I534/Q534)</f>
        <v>1.127135469558836</v>
      </c>
      <c r="K534" s="37">
        <f>VLOOKUP(B534,D!A1:F227,6,FALSE)</f>
        <v>-231.50826961221915</v>
      </c>
      <c r="L534" s="37">
        <f>IFERROR(K534/H534,"N/A")</f>
        <v>-181.57511342134836</v>
      </c>
      <c r="M534" s="53" t="str">
        <f>IF(Settings!$E$9="YAHOO",VLOOKUP(B534,ADP!A1:E728,2,FALSE),IF(Settings!$E$9="ESPN",VLOOKUP(B534,ADP!A1:E728,3,FALSE),IF(Settings!$E$9="FANTRAX",VLOOKUP(B534,ADP!A1:E728,4,FALSE),VLOOKUP(B534,ADP!A1:E728,5,FALSE))))</f>
        <v>-</v>
      </c>
      <c r="N534" s="53" t="str">
        <f>IFERROR(M534-A534,"N/A")</f>
        <v>N/A</v>
      </c>
      <c r="O534" s="39"/>
      <c r="P534" s="40" t="str">
        <f>IF(Settings!$E$27="ON",VLOOKUP(B534,ADP!A1:H728,8,FALSE)," ")</f>
        <v xml:space="preserve"> </v>
      </c>
      <c r="Q534" s="41">
        <f>IF(Settings!$E$12="YES",VLOOKUP(B534,'Player Data'!A1:E734,5,FALSE),82)</f>
        <v>71.027142857142906</v>
      </c>
      <c r="R534" s="39">
        <f>VLOOKUP(B534,'Player Data'!$A1:$AE734,6,FALSE)</f>
        <v>15.4397341795776</v>
      </c>
      <c r="S534" s="41">
        <f>VLOOKUP(B534,'Player Data'!$A1:$AE734,7,FALSE)*$Q534*IFERROR((VLOOKUP(P534,Settings!$E$28:$F$33,2,FALSE)+1),1)</f>
        <v>2.1458645791365472</v>
      </c>
      <c r="T534" s="41">
        <f>VLOOKUP(B534,'Player Data'!$A1:$AE734,8,FALSE)*$Q534*IFERROR((VLOOKUP(P534,Settings!$E$28:$F$33,2,FALSE)+1),1)</f>
        <v>6.0739051545865221</v>
      </c>
      <c r="U534" s="41">
        <f>SUM(S534:T534)</f>
        <v>8.2197697337230693</v>
      </c>
      <c r="V534" s="41">
        <f>VLOOKUP(B534,'Player Data'!$A1:$AE734,10,FALSE)*$Q534*IFERROR(((VLOOKUP(P534,Settings!$E$28:$F$33,2,FALSE)/2)+1),1)</f>
        <v>66.531087030429632</v>
      </c>
      <c r="W534" s="41">
        <f>VLOOKUP(B534,'Player Data'!$A1:$AE734,11,FALSE)*$Q534*IFERROR((VLOOKUP(P534,Settings!$E$28:$F$33,2,FALSE)+1),1)</f>
        <v>1.1085800388112009E-2</v>
      </c>
      <c r="X534" s="41">
        <f>VLOOKUP(B534,'Player Data'!$A1:$AE734,12,FALSE)*$Q534*IFERROR((VLOOKUP(P534,Settings!$E$28:$F$33,2,FALSE)+1),1)</f>
        <v>7.7244149677404506E-2</v>
      </c>
      <c r="Y534" s="41">
        <f>VLOOKUP(B534,'Player Data'!$A1:$AE734,13,FALSE)*$Q534</f>
        <v>2.5811449772871645E-2</v>
      </c>
      <c r="Z534" s="41">
        <f>VLOOKUP(B534,'Player Data'!$A1:$AE734,14,FALSE)*$Q534</f>
        <v>0.14047694497740576</v>
      </c>
      <c r="AA534" s="41">
        <f>VLOOKUP(B534,'Player Data'!$A1:$AE734,15,FALSE)*$Q534</f>
        <v>108.48458555007328</v>
      </c>
      <c r="AB534" s="41">
        <f>VLOOKUP(B534,'Player Data'!$A1:$AE734,16,FALSE)*$Q534</f>
        <v>142.43666466669168</v>
      </c>
      <c r="AC534" s="41">
        <f>VLOOKUP(B534,'Player Data'!$A1:$AE734,17,FALSE)*$Q534*IFERROR((VLOOKUP(P534,Settings!$E$28:$F$33,2,FALSE)+1),1)</f>
        <v>-4.7773262327787718</v>
      </c>
      <c r="AD534" s="41">
        <f>VLOOKUP(B534,'Player Data'!$A1:$AE734,18,FALSE)*$Q534</f>
        <v>57.798579310806687</v>
      </c>
      <c r="AE534" s="41">
        <f>VLOOKUP(B534,'Player Data'!$A1:$AE734,19,FALSE)*$Q534*IFERROR((VLOOKUP(P534,Settings!$E$28:$F$33,2,FALSE)+1),1)</f>
        <v>0.26447780032988288</v>
      </c>
      <c r="AF534" s="41">
        <f>VLOOKUP(B534,'Player Data'!$A1:$AE734,20,FALSE)*$Q534</f>
        <v>0</v>
      </c>
      <c r="AG534" s="41">
        <f>VLOOKUP(B534,'Player Data'!$A1:$AE734,21,FALSE)*$Q534</f>
        <v>0</v>
      </c>
      <c r="AH534" s="42">
        <f>VLOOKUP(B534,'Player Data'!$A1:$AE734,22,FALSE)</f>
        <v>0</v>
      </c>
      <c r="AI534" s="39"/>
      <c r="AJ534" s="43"/>
      <c r="AK534" s="41"/>
      <c r="AL534" s="41"/>
      <c r="AM534" s="41"/>
      <c r="AN534" s="41"/>
      <c r="AO534" s="41"/>
      <c r="AP534" s="41"/>
      <c r="AQ534" s="44"/>
      <c r="AR534" s="45"/>
      <c r="AS534" s="39"/>
    </row>
    <row r="535" spans="1:45" ht="21.25" customHeight="1" x14ac:dyDescent="0.15">
      <c r="A535" s="31">
        <f>RANK(K535,K$2:K$727)</f>
        <v>534</v>
      </c>
      <c r="B535" s="8" t="s">
        <v>639</v>
      </c>
      <c r="C535" s="32" t="s">
        <v>106</v>
      </c>
      <c r="D535" s="33" t="str">
        <f>VLOOKUP(B535,'Player Data'!A1:D734,4,FALSE)</f>
        <v>RW</v>
      </c>
      <c r="E535" s="46">
        <f>VLOOKUP(B535,RW!A1:F97,3,FALSE)</f>
        <v>78</v>
      </c>
      <c r="F535" s="35" t="str">
        <f>VLOOKUP(B535,'Player Data'!A1:B734,2,FALSE)</f>
        <v>NJD</v>
      </c>
      <c r="G535" s="9">
        <f>VLOOKUP(B535,'Player Data'!A1:D734,3,FALSE)</f>
        <v>25</v>
      </c>
      <c r="H535" s="36">
        <f>IFERROR(VLOOKUP(B535,ADP!A1:G728,7,FALSE)/1000000,VLOOKUP(B535,ADP!A1:G728,7,FALSE))</f>
        <v>1.35</v>
      </c>
      <c r="I535" s="37">
        <f>IF(Settings!$E$15="POINTS",((R535*Q535)*Settings!$B$12)+(S535*Settings!$B$2)+(T535*Settings!$B$3)+(U535*Settings!$B$4)+(V535*Settings!$B$5)+(X535*Settings!$B$9)+(AA535*Settings!$B$6)+(W535*Settings!$B$8)+(AB535*Settings!$B$7)+(AC535*Settings!$B$14)+(AD535*Settings!$B$15)+(AE535*Settings!$B$16)+(AF535*Settings!$B$17)+(AG535*Settings!$B$18)+(Y535*Settings!$B$10)+(Z535*Settings!$B$11),VLOOKUP(B535,'Standard Deviations'!A1:C728,3,FALSE))</f>
        <v>118.70700731937896</v>
      </c>
      <c r="J535" s="38">
        <f>IF(D535="G",I535/AJ535,I535/Q535)</f>
        <v>1.6487084349913745</v>
      </c>
      <c r="K535" s="37">
        <f>IF(Settings!$E$18="C/LW/RW",VLOOKUP(B535,RW!A1:F97,6,FALSE),VLOOKUP(B535,F!A1:F430,6,FALSE))</f>
        <v>-231.56453322851061</v>
      </c>
      <c r="L535" s="37">
        <f>IFERROR(K535/H535,"N/A")</f>
        <v>-171.52928387297081</v>
      </c>
      <c r="M535" s="53" t="str">
        <f>IF(Settings!$E$9="YAHOO",VLOOKUP(B535,ADP!A1:E728,2,FALSE),IF(Settings!$E$9="ESPN",VLOOKUP(B535,ADP!A1:E728,3,FALSE),IF(Settings!$E$9="FANTRAX",VLOOKUP(B535,ADP!A1:E728,4,FALSE),VLOOKUP(B535,ADP!A1:E728,5,FALSE))))</f>
        <v>-</v>
      </c>
      <c r="N535" s="53" t="str">
        <f>IFERROR(M535-A535,"N/A")</f>
        <v>N/A</v>
      </c>
      <c r="O535" s="39"/>
      <c r="P535" s="40" t="str">
        <f>IF(Settings!$E$27="ON",VLOOKUP(B535,ADP!A1:H728,8,FALSE)," ")</f>
        <v xml:space="preserve"> </v>
      </c>
      <c r="Q535" s="41">
        <f>IF(Settings!$E$12="YES",VLOOKUP(B535,'Player Data'!A1:E734,5,FALSE),82)</f>
        <v>72</v>
      </c>
      <c r="R535" s="39">
        <f>VLOOKUP(B535,'Player Data'!$A1:$AE734,6,FALSE)</f>
        <v>11.973523432279</v>
      </c>
      <c r="S535" s="41">
        <f>VLOOKUP(B535,'Player Data'!$A1:$AE734,7,FALSE)*$Q535*IFERROR((VLOOKUP(P535,Settings!$E$28:$F$33,2,FALSE)+1),1)</f>
        <v>9.4365885609226794</v>
      </c>
      <c r="T535" s="41">
        <f>VLOOKUP(B535,'Player Data'!$A1:$AE734,8,FALSE)*$Q535*IFERROR((VLOOKUP(P535,Settings!$E$28:$F$33,2,FALSE)+1),1)</f>
        <v>10.577709602271719</v>
      </c>
      <c r="U535" s="41">
        <f>SUM(S535:T535)</f>
        <v>20.014298163194397</v>
      </c>
      <c r="V535" s="41">
        <f>VLOOKUP(B535,'Player Data'!$A1:$AE734,10,FALSE)*$Q535*IFERROR(((VLOOKUP(P535,Settings!$E$28:$F$33,2,FALSE)/2)+1),1)</f>
        <v>91.493845380123119</v>
      </c>
      <c r="W535" s="41">
        <f>VLOOKUP(B535,'Player Data'!$A1:$AE734,11,FALSE)*$Q535*IFERROR((VLOOKUP(P535,Settings!$E$28:$F$33,2,FALSE)+1),1)</f>
        <v>0.45293616453720092</v>
      </c>
      <c r="X535" s="41">
        <f>VLOOKUP(B535,'Player Data'!$A1:$AE734,12,FALSE)*$Q535*IFERROR((VLOOKUP(P535,Settings!$E$28:$F$33,2,FALSE)+1),1)</f>
        <v>0.80751796478504634</v>
      </c>
      <c r="Y535" s="41">
        <f>VLOOKUP(B535,'Player Data'!$A1:$AE734,13,FALSE)*$Q535</f>
        <v>0.19183570412197537</v>
      </c>
      <c r="Z535" s="41">
        <f>VLOOKUP(B535,'Player Data'!$A1:$AE734,14,FALSE)*$Q535</f>
        <v>0.35263175334102859</v>
      </c>
      <c r="AA535" s="41">
        <f>VLOOKUP(B535,'Player Data'!$A1:$AE734,15,FALSE)*$Q535</f>
        <v>52.984453517410245</v>
      </c>
      <c r="AB535" s="41">
        <f>VLOOKUP(B535,'Player Data'!$A1:$AE734,16,FALSE)*$Q535</f>
        <v>170.38509348627576</v>
      </c>
      <c r="AC535" s="41">
        <f>VLOOKUP(B535,'Player Data'!$A1:$AE734,17,FALSE)*$Q535*IFERROR((VLOOKUP(P535,Settings!$E$28:$F$33,2,FALSE)+1),1)</f>
        <v>0.54518624749052425</v>
      </c>
      <c r="AD535" s="41">
        <f>VLOOKUP(B535,'Player Data'!$A1:$AE734,18,FALSE)*$Q535</f>
        <v>38.472608552761869</v>
      </c>
      <c r="AE535" s="41">
        <f>VLOOKUP(B535,'Player Data'!$A1:$AE734,19,FALSE)*$Q535*IFERROR((VLOOKUP(P535,Settings!$E$28:$F$33,2,FALSE)+1),1)</f>
        <v>1.3889771735190697</v>
      </c>
      <c r="AF535" s="41">
        <f>VLOOKUP(B535,'Player Data'!$A1:$AE734,20,FALSE)*$Q535</f>
        <v>22.279622852516326</v>
      </c>
      <c r="AG535" s="41">
        <f>VLOOKUP(B535,'Player Data'!$A1:$AE734,21,FALSE)*$Q535</f>
        <v>34.30521505499285</v>
      </c>
      <c r="AH535" s="42">
        <f>VLOOKUP(B535,'Player Data'!$A1:$AE734,22,FALSE)</f>
        <v>0.39373838781571702</v>
      </c>
      <c r="AI535" s="39"/>
      <c r="AJ535" s="41"/>
      <c r="AK535" s="41"/>
      <c r="AL535" s="41"/>
      <c r="AM535" s="41"/>
      <c r="AN535" s="41"/>
      <c r="AO535" s="41"/>
      <c r="AP535" s="41"/>
      <c r="AQ535" s="44"/>
      <c r="AR535" s="45"/>
      <c r="AS535" s="39"/>
    </row>
    <row r="536" spans="1:45" ht="21.25" customHeight="1" x14ac:dyDescent="0.15">
      <c r="A536" s="31">
        <f>RANK(K536,K$2:K$727)</f>
        <v>535</v>
      </c>
      <c r="B536" s="8" t="s">
        <v>640</v>
      </c>
      <c r="C536" s="32" t="s">
        <v>106</v>
      </c>
      <c r="D536" s="33" t="str">
        <f>VLOOKUP(B536,'Player Data'!A1:D734,4,FALSE)</f>
        <v>C</v>
      </c>
      <c r="E536" s="34">
        <f>VLOOKUP(B536,'C'!A1:C211,3,FALSE)</f>
        <v>121</v>
      </c>
      <c r="F536" s="35" t="str">
        <f>VLOOKUP(B536,'Player Data'!A1:B734,2,FALSE)</f>
        <v>WPG</v>
      </c>
      <c r="G536" s="9">
        <f>VLOOKUP(B536,'Player Data'!A1:D734,3,FALSE)</f>
        <v>30</v>
      </c>
      <c r="H536" s="36">
        <f>IFERROR(VLOOKUP(B536,ADP!A1:G728,7,FALSE)/1000000,VLOOKUP(B536,ADP!A1:G728,7,FALSE))</f>
        <v>3.25</v>
      </c>
      <c r="I536" s="37">
        <f>IF(Settings!$E$15="POINTS",((R536*Q536)*Settings!$B$12)+(S536*Settings!$B$2)+(T536*Settings!$B$3)+(U536*Settings!$B$4)+(V536*Settings!$B$5)+(X536*Settings!$B$9)+(AA536*Settings!$B$6)+(W536*Settings!$B$8)+(AB536*Settings!$B$7)+(AC536*Settings!$B$14)+(AD536*Settings!$B$15)+(AE536*Settings!$B$16)+(AF536*Settings!$B$17)+(AG536*Settings!$B$18)+(Y536*Settings!$B$10)+(Z536*Settings!$B$11),VLOOKUP(B536,'Standard Deviations'!A1:C728,3,FALSE))</f>
        <v>161.64994015045767</v>
      </c>
      <c r="J536" s="38">
        <f>IF(D536="G",I536/AJ536,I536/Q536)</f>
        <v>1.9948954441214934</v>
      </c>
      <c r="K536" s="37">
        <f>IF(Settings!$E$18="C/LW/RW",VLOOKUP(B536,'C'!A1:F211,6,FALSE),VLOOKUP(B536,F!A1:F430,6,FALSE))</f>
        <v>-231.67886561575199</v>
      </c>
      <c r="L536" s="37">
        <f>IFERROR(K536/H536,"N/A")</f>
        <v>-71.285804804846762</v>
      </c>
      <c r="M536" s="53" t="str">
        <f>IF(Settings!$E$9="YAHOO",VLOOKUP(B536,ADP!A1:E728,2,FALSE),IF(Settings!$E$9="ESPN",VLOOKUP(B536,ADP!A1:E728,3,FALSE),IF(Settings!$E$9="FANTRAX",VLOOKUP(B536,ADP!A1:E728,4,FALSE),VLOOKUP(B536,ADP!A1:E728,5,FALSE))))</f>
        <v>-</v>
      </c>
      <c r="N536" s="53" t="str">
        <f>IFERROR(M536-A536,"N/A")</f>
        <v>N/A</v>
      </c>
      <c r="O536" s="39"/>
      <c r="P536" s="40" t="str">
        <f>IF(Settings!$E$27="ON",VLOOKUP(B536,ADP!A1:H728,8,FALSE)," ")</f>
        <v xml:space="preserve"> </v>
      </c>
      <c r="Q536" s="41">
        <f>IF(Settings!$E$12="YES",VLOOKUP(B536,'Player Data'!A1:E734,5,FALSE),82)</f>
        <v>81.031785714285704</v>
      </c>
      <c r="R536" s="39">
        <f>VLOOKUP(B536,'Player Data'!$A1:$AE734,6,FALSE)</f>
        <v>14.8754127210366</v>
      </c>
      <c r="S536" s="41">
        <f>VLOOKUP(B536,'Player Data'!$A1:$AE734,7,FALSE)*$Q536*IFERROR((VLOOKUP(P536,Settings!$E$28:$F$33,2,FALSE)+1),1)</f>
        <v>12.354427885498319</v>
      </c>
      <c r="T536" s="41">
        <f>VLOOKUP(B536,'Player Data'!$A1:$AE734,8,FALSE)*$Q536*IFERROR((VLOOKUP(P536,Settings!$E$28:$F$33,2,FALSE)+1),1)</f>
        <v>15.921874847429457</v>
      </c>
      <c r="U536" s="41">
        <f>SUM(S536:T536)</f>
        <v>28.276302732927775</v>
      </c>
      <c r="V536" s="41">
        <f>VLOOKUP(B536,'Player Data'!$A1:$AE734,10,FALSE)*$Q536*IFERROR(((VLOOKUP(P536,Settings!$E$28:$F$33,2,FALSE)/2)+1),1)</f>
        <v>117.11568574131671</v>
      </c>
      <c r="W536" s="41">
        <f>VLOOKUP(B536,'Player Data'!$A1:$AE734,11,FALSE)*$Q536*IFERROR((VLOOKUP(P536,Settings!$E$28:$F$33,2,FALSE)+1),1)</f>
        <v>0.22254683681151932</v>
      </c>
      <c r="X536" s="41">
        <f>VLOOKUP(B536,'Player Data'!$A1:$AE734,12,FALSE)*$Q536*IFERROR((VLOOKUP(P536,Settings!$E$28:$F$33,2,FALSE)+1),1)</f>
        <v>1.2321156097427264</v>
      </c>
      <c r="Y536" s="41">
        <f>VLOOKUP(B536,'Player Data'!$A1:$AE734,13,FALSE)*$Q536</f>
        <v>2.3432423503375563</v>
      </c>
      <c r="Z536" s="41">
        <f>VLOOKUP(B536,'Player Data'!$A1:$AE734,14,FALSE)*$Q536</f>
        <v>3.4496807343208702</v>
      </c>
      <c r="AA536" s="41">
        <f>VLOOKUP(B536,'Player Data'!$A1:$AE734,15,FALSE)*$Q536</f>
        <v>44.497981964444094</v>
      </c>
      <c r="AB536" s="41">
        <f>VLOOKUP(B536,'Player Data'!$A1:$AE734,16,FALSE)*$Q536</f>
        <v>172.25170152415987</v>
      </c>
      <c r="AC536" s="41">
        <f>VLOOKUP(B536,'Player Data'!$A1:$AE734,17,FALSE)*$Q536*IFERROR((VLOOKUP(P536,Settings!$E$28:$F$33,2,FALSE)+1),1)</f>
        <v>1.1966180871462371</v>
      </c>
      <c r="AD536" s="41">
        <f>VLOOKUP(B536,'Player Data'!$A1:$AE734,18,FALSE)*$Q536</f>
        <v>39.627845400858092</v>
      </c>
      <c r="AE536" s="41">
        <f>VLOOKUP(B536,'Player Data'!$A1:$AE734,19,FALSE)*$Q536*IFERROR((VLOOKUP(P536,Settings!$E$28:$F$33,2,FALSE)+1),1)</f>
        <v>1.9273321026566175</v>
      </c>
      <c r="AF536" s="41">
        <f>VLOOKUP(B536,'Player Data'!$A1:$AE734,20,FALSE)*$Q536</f>
        <v>562.72152921459576</v>
      </c>
      <c r="AG536" s="41">
        <f>VLOOKUP(B536,'Player Data'!$A1:$AE734,21,FALSE)*$Q536</f>
        <v>532.49104768964344</v>
      </c>
      <c r="AH536" s="42">
        <f>VLOOKUP(B536,'Player Data'!$A1:$AE734,22,FALSE)</f>
        <v>0.51380119355933696</v>
      </c>
      <c r="AI536" s="39"/>
      <c r="AJ536" s="43"/>
      <c r="AK536" s="41"/>
      <c r="AL536" s="41"/>
      <c r="AM536" s="41"/>
      <c r="AN536" s="41"/>
      <c r="AO536" s="41"/>
      <c r="AP536" s="41"/>
      <c r="AQ536" s="44"/>
      <c r="AR536" s="45"/>
      <c r="AS536" s="39"/>
    </row>
    <row r="537" spans="1:45" ht="21.25" customHeight="1" x14ac:dyDescent="0.15">
      <c r="A537" s="31">
        <f>RANK(K537,K$2:K$727)</f>
        <v>536</v>
      </c>
      <c r="B537" s="8" t="s">
        <v>641</v>
      </c>
      <c r="C537" s="32" t="s">
        <v>106</v>
      </c>
      <c r="D537" s="33" t="str">
        <f>VLOOKUP(B537,'Player Data'!A1:D734,4,FALSE)</f>
        <v>LW</v>
      </c>
      <c r="E537" s="47">
        <f>VLOOKUP(B537,LW!A1:C130,3,FALSE)</f>
        <v>94</v>
      </c>
      <c r="F537" s="35" t="str">
        <f>VLOOKUP(B537,'Player Data'!A1:B734,2,FALSE)</f>
        <v>MTL</v>
      </c>
      <c r="G537" s="9">
        <f>VLOOKUP(B537,'Player Data'!A1:D734,3,FALSE)</f>
        <v>19</v>
      </c>
      <c r="H537" s="36">
        <f>IFERROR(VLOOKUP(B537,ADP!A1:G728,7,FALSE)/1000000,VLOOKUP(B537,ADP!A1:G728,7,FALSE))</f>
        <v>0.95</v>
      </c>
      <c r="I537" s="37">
        <f>IF(Settings!$E$15="POINTS",((R537*Q537)*Settings!$B$12)+(S537*Settings!$B$2)+(T537*Settings!$B$3)+(U537*Settings!$B$4)+(V537*Settings!$B$5)+(X537*Settings!$B$9)+(AA537*Settings!$B$6)+(W537*Settings!$B$8)+(AB537*Settings!$B$7)+(AC537*Settings!$B$14)+(AD537*Settings!$B$15)+(AE537*Settings!$B$16)+(AF537*Settings!$B$17)+(AG537*Settings!$B$18)+(Y537*Settings!$B$10)+(Z537*Settings!$B$11),VLOOKUP(B537,'Standard Deviations'!A1:C728,3,FALSE))</f>
        <v>132.16627364361415</v>
      </c>
      <c r="J537" s="38">
        <f>IF(D537="G",I537/AJ537,I537/Q537)</f>
        <v>2.0591458073321514</v>
      </c>
      <c r="K537" s="37">
        <f>IF(Settings!$E$18="C/LW/RW",VLOOKUP(B537,LW!A1:F130,6,FALSE),VLOOKUP(B537,F!A1:F430,6,FALSE))</f>
        <v>-231.87433121403632</v>
      </c>
      <c r="L537" s="37">
        <f>IFERROR(K537/H537,"N/A")</f>
        <v>-244.07824338319614</v>
      </c>
      <c r="M537" s="39">
        <f>IF(Settings!$E$9="YAHOO",VLOOKUP(B537,ADP!A1:E728,2,FALSE),IF(Settings!$E$9="ESPN",VLOOKUP(B537,ADP!A1:E728,3,FALSE),IF(Settings!$E$9="FANTRAX",VLOOKUP(B537,ADP!A1:E728,4,FALSE),VLOOKUP(B537,ADP!A1:E728,5,FALSE))))</f>
        <v>169</v>
      </c>
      <c r="N537" s="39">
        <f>IFERROR(M537-A537,"N/A")</f>
        <v>-367</v>
      </c>
      <c r="O537" s="39"/>
      <c r="P537" s="40" t="str">
        <f>IF(Settings!$E$27="ON",VLOOKUP(B537,ADP!A1:H728,8,FALSE)," ")</f>
        <v xml:space="preserve"> </v>
      </c>
      <c r="Q537" s="41">
        <f>IF(Settings!$E$12="YES",VLOOKUP(B537,'Player Data'!A1:E734,5,FALSE),82)</f>
        <v>64.185000000000002</v>
      </c>
      <c r="R537" s="39">
        <f>VLOOKUP(B537,'Player Data'!$A1:$AE734,6,FALSE)</f>
        <v>13.636793699976399</v>
      </c>
      <c r="S537" s="41">
        <f>VLOOKUP(B537,'Player Data'!$A1:$AE734,7,FALSE)*$Q537*IFERROR((VLOOKUP(P537,Settings!$E$28:$F$33,2,FALSE)+1),1)</f>
        <v>10.170141776028254</v>
      </c>
      <c r="T537" s="41">
        <f>VLOOKUP(B537,'Player Data'!$A1:$AE734,8,FALSE)*$Q537*IFERROR((VLOOKUP(P537,Settings!$E$28:$F$33,2,FALSE)+1),1)</f>
        <v>14.665966138164434</v>
      </c>
      <c r="U537" s="41">
        <f>SUM(S537:T537)</f>
        <v>24.836107914192688</v>
      </c>
      <c r="V537" s="41">
        <f>VLOOKUP(B537,'Player Data'!$A1:$AE734,10,FALSE)*$Q537*IFERROR(((VLOOKUP(P537,Settings!$E$28:$F$33,2,FALSE)/2)+1),1)</f>
        <v>84.878255011895675</v>
      </c>
      <c r="W537" s="41">
        <f>VLOOKUP(B537,'Player Data'!$A1:$AE734,11,FALSE)*$Q537*IFERROR((VLOOKUP(P537,Settings!$E$28:$F$33,2,FALSE)+1),1)</f>
        <v>1.6481128314680917</v>
      </c>
      <c r="X537" s="41">
        <f>VLOOKUP(B537,'Player Data'!$A1:$AE734,12,FALSE)*$Q537*IFERROR((VLOOKUP(P537,Settings!$E$28:$F$33,2,FALSE)+1),1)</f>
        <v>3.7035974879786231</v>
      </c>
      <c r="Y537" s="41">
        <f>VLOOKUP(B537,'Player Data'!$A1:$AE734,13,FALSE)*$Q537</f>
        <v>1.0894520312156866E-3</v>
      </c>
      <c r="Z537" s="41">
        <f>VLOOKUP(B537,'Player Data'!$A1:$AE734,14,FALSE)*$Q537</f>
        <v>1.9728477749612369E-3</v>
      </c>
      <c r="AA537" s="41">
        <f>VLOOKUP(B537,'Player Data'!$A1:$AE734,15,FALSE)*$Q537</f>
        <v>39.03840861790539</v>
      </c>
      <c r="AB537" s="41">
        <f>VLOOKUP(B537,'Player Data'!$A1:$AE734,16,FALSE)*$Q537</f>
        <v>87.913869776205004</v>
      </c>
      <c r="AC537" s="41">
        <f>VLOOKUP(B537,'Player Data'!$A1:$AE734,17,FALSE)*$Q537*IFERROR((VLOOKUP(P537,Settings!$E$28:$F$33,2,FALSE)+1),1)</f>
        <v>-6.5546463869963043</v>
      </c>
      <c r="AD537" s="41">
        <f>VLOOKUP(B537,'Player Data'!$A1:$AE734,18,FALSE)*$Q537</f>
        <v>31.395077130740333</v>
      </c>
      <c r="AE537" s="41">
        <f>VLOOKUP(B537,'Player Data'!$A1:$AE734,19,FALSE)*$Q537*IFERROR((VLOOKUP(P537,Settings!$E$28:$F$33,2,FALSE)+1),1)</f>
        <v>1.1021290837894386</v>
      </c>
      <c r="AF537" s="41">
        <f>VLOOKUP(B537,'Player Data'!$A1:$AE734,20,FALSE)*$Q537</f>
        <v>9.1863728340992949</v>
      </c>
      <c r="AG537" s="41">
        <f>VLOOKUP(B537,'Player Data'!$A1:$AE734,21,FALSE)*$Q537</f>
        <v>9.1863728340992949</v>
      </c>
      <c r="AH537" s="42">
        <f>VLOOKUP(B537,'Player Data'!$A1:$AE734,22,FALSE)</f>
        <v>0.5</v>
      </c>
      <c r="AI537" s="39"/>
      <c r="AJ537" s="43"/>
      <c r="AK537" s="41"/>
      <c r="AL537" s="41"/>
      <c r="AM537" s="41"/>
      <c r="AN537" s="41"/>
      <c r="AO537" s="41"/>
      <c r="AP537" s="41"/>
      <c r="AQ537" s="44"/>
      <c r="AR537" s="45"/>
      <c r="AS537" s="39"/>
    </row>
    <row r="538" spans="1:45" ht="21.25" customHeight="1" x14ac:dyDescent="0.15">
      <c r="A538" s="31">
        <f>RANK(K538,K$2:K$727)</f>
        <v>537</v>
      </c>
      <c r="B538" s="8" t="s">
        <v>642</v>
      </c>
      <c r="C538" s="32" t="s">
        <v>106</v>
      </c>
      <c r="D538" s="33" t="str">
        <f>VLOOKUP(B538,'Player Data'!A1:D734,4,FALSE)</f>
        <v>C</v>
      </c>
      <c r="E538" s="34">
        <f>VLOOKUP(B538,'C'!A1:C211,3,FALSE)</f>
        <v>122</v>
      </c>
      <c r="F538" s="35" t="str">
        <f>VLOOKUP(B538,'Player Data'!A1:B734,2,FALSE)</f>
        <v>SJS</v>
      </c>
      <c r="G538" s="9">
        <f>VLOOKUP(B538,'Player Data'!A1:D734,3,FALSE)</f>
        <v>25</v>
      </c>
      <c r="H538" s="36">
        <f>IFERROR(VLOOKUP(B538,ADP!A1:G728,7,FALSE)/1000000,VLOOKUP(B538,ADP!A1:G728,7,FALSE))</f>
        <v>2.75</v>
      </c>
      <c r="I538" s="37">
        <f>IF(Settings!$E$15="POINTS",((R538*Q538)*Settings!$B$12)+(S538*Settings!$B$2)+(T538*Settings!$B$3)+(U538*Settings!$B$4)+(V538*Settings!$B$5)+(X538*Settings!$B$9)+(AA538*Settings!$B$6)+(W538*Settings!$B$8)+(AB538*Settings!$B$7)+(AC538*Settings!$B$14)+(AD538*Settings!$B$15)+(AE538*Settings!$B$16)+(AF538*Settings!$B$17)+(AG538*Settings!$B$18)+(Y538*Settings!$B$10)+(Z538*Settings!$B$11),VLOOKUP(B538,'Standard Deviations'!A1:C728,3,FALSE))</f>
        <v>161.39698489049658</v>
      </c>
      <c r="J538" s="38">
        <f>IF(D538="G",I538/AJ538,I538/Q538)</f>
        <v>2.2944681209268545</v>
      </c>
      <c r="K538" s="37">
        <f>IF(Settings!$E$18="C/LW/RW",VLOOKUP(B538,'C'!A1:F211,6,FALSE),VLOOKUP(B538,F!A1:F430,6,FALSE))</f>
        <v>-231.93182087571307</v>
      </c>
      <c r="L538" s="37">
        <f>IFERROR(K538/H538,"N/A")</f>
        <v>-84.338843954804759</v>
      </c>
      <c r="M538" s="53" t="str">
        <f>IF(Settings!$E$9="YAHOO",VLOOKUP(B538,ADP!A1:E728,2,FALSE),IF(Settings!$E$9="ESPN",VLOOKUP(B538,ADP!A1:E728,3,FALSE),IF(Settings!$E$9="FANTRAX",VLOOKUP(B538,ADP!A1:E728,4,FALSE),VLOOKUP(B538,ADP!A1:E728,5,FALSE))))</f>
        <v>-</v>
      </c>
      <c r="N538" s="53" t="str">
        <f>IFERROR(M538-A538,"N/A")</f>
        <v>N/A</v>
      </c>
      <c r="O538" s="39"/>
      <c r="P538" s="40" t="str">
        <f>IF(Settings!$E$27="ON",VLOOKUP(B538,ADP!A1:H728,8,FALSE)," ")</f>
        <v xml:space="preserve"> </v>
      </c>
      <c r="Q538" s="41">
        <f>IF(Settings!$E$12="YES",VLOOKUP(B538,'Player Data'!A1:E734,5,FALSE),82)</f>
        <v>70.341785714285706</v>
      </c>
      <c r="R538" s="39">
        <f>VLOOKUP(B538,'Player Data'!$A1:$AE734,6,FALSE)</f>
        <v>15.359567736059001</v>
      </c>
      <c r="S538" s="41">
        <f>VLOOKUP(B538,'Player Data'!$A1:$AE734,7,FALSE)*$Q538*IFERROR((VLOOKUP(P538,Settings!$E$28:$F$33,2,FALSE)+1),1)</f>
        <v>12.888066577103782</v>
      </c>
      <c r="T538" s="41">
        <f>VLOOKUP(B538,'Player Data'!$A1:$AE734,8,FALSE)*$Q538*IFERROR((VLOOKUP(P538,Settings!$E$28:$F$33,2,FALSE)+1),1)</f>
        <v>13.823228908496768</v>
      </c>
      <c r="U538" s="41">
        <f>SUM(S538:T538)</f>
        <v>26.711295485600552</v>
      </c>
      <c r="V538" s="41">
        <f>VLOOKUP(B538,'Player Data'!$A1:$AE734,10,FALSE)*$Q538*IFERROR(((VLOOKUP(P538,Settings!$E$28:$F$33,2,FALSE)/2)+1),1)</f>
        <v>125.29464161500812</v>
      </c>
      <c r="W538" s="41">
        <f>VLOOKUP(B538,'Player Data'!$A1:$AE734,11,FALSE)*$Q538*IFERROR((VLOOKUP(P538,Settings!$E$28:$F$33,2,FALSE)+1),1)</f>
        <v>1.4139846502437585</v>
      </c>
      <c r="X538" s="41">
        <f>VLOOKUP(B538,'Player Data'!$A1:$AE734,12,FALSE)*$Q538*IFERROR((VLOOKUP(P538,Settings!$E$28:$F$33,2,FALSE)+1),1)</f>
        <v>3.6533636035757913</v>
      </c>
      <c r="Y538" s="41">
        <f>VLOOKUP(B538,'Player Data'!$A1:$AE734,13,FALSE)*$Q538</f>
        <v>0.25284661415826676</v>
      </c>
      <c r="Z538" s="41">
        <f>VLOOKUP(B538,'Player Data'!$A1:$AE734,14,FALSE)*$Q538</f>
        <v>0.43117515789744576</v>
      </c>
      <c r="AA538" s="41">
        <f>VLOOKUP(B538,'Player Data'!$A1:$AE734,15,FALSE)*$Q538</f>
        <v>52.233500516222058</v>
      </c>
      <c r="AB538" s="41">
        <f>VLOOKUP(B538,'Player Data'!$A1:$AE734,16,FALSE)*$Q538</f>
        <v>153.11453872934516</v>
      </c>
      <c r="AC538" s="41">
        <f>VLOOKUP(B538,'Player Data'!$A1:$AE734,17,FALSE)*$Q538*IFERROR((VLOOKUP(P538,Settings!$E$28:$F$33,2,FALSE)+1),1)</f>
        <v>-0.89683048121576869</v>
      </c>
      <c r="AD538" s="41">
        <f>VLOOKUP(B538,'Player Data'!$A1:$AE734,18,FALSE)*$Q538</f>
        <v>55.254961478242038</v>
      </c>
      <c r="AE538" s="41">
        <f>VLOOKUP(B538,'Player Data'!$A1:$AE734,19,FALSE)*$Q538*IFERROR((VLOOKUP(P538,Settings!$E$28:$F$33,2,FALSE)+1),1)</f>
        <v>1.5648915154307155</v>
      </c>
      <c r="AF538" s="41">
        <f>VLOOKUP(B538,'Player Data'!$A1:$AE734,20,FALSE)*$Q538</f>
        <v>23.825395247183156</v>
      </c>
      <c r="AG538" s="41">
        <f>VLOOKUP(B538,'Player Data'!$A1:$AE734,21,FALSE)*$Q538</f>
        <v>33.655805086661729</v>
      </c>
      <c r="AH538" s="42">
        <f>VLOOKUP(B538,'Player Data'!$A1:$AE734,22,FALSE)</f>
        <v>0.41449021782439599</v>
      </c>
      <c r="AI538" s="39"/>
      <c r="AJ538" s="43"/>
      <c r="AK538" s="41"/>
      <c r="AL538" s="41"/>
      <c r="AM538" s="41"/>
      <c r="AN538" s="41"/>
      <c r="AO538" s="41"/>
      <c r="AP538" s="41"/>
      <c r="AQ538" s="44"/>
      <c r="AR538" s="45"/>
      <c r="AS538" s="39"/>
    </row>
    <row r="539" spans="1:45" ht="21.25" customHeight="1" x14ac:dyDescent="0.15">
      <c r="A539" s="31">
        <f>RANK(K539,K$2:K$727)</f>
        <v>538</v>
      </c>
      <c r="B539" s="8" t="s">
        <v>643</v>
      </c>
      <c r="C539" s="32" t="s">
        <v>106</v>
      </c>
      <c r="D539" s="33" t="str">
        <f>VLOOKUP(B539,'Player Data'!A1:D734,4,FALSE)</f>
        <v>RW</v>
      </c>
      <c r="E539" s="46">
        <f>VLOOKUP(B539,RW!A1:F97,3,FALSE)</f>
        <v>79</v>
      </c>
      <c r="F539" s="35" t="str">
        <f>VLOOKUP(B539,'Player Data'!A1:B734,2,FALSE)</f>
        <v>LAK</v>
      </c>
      <c r="G539" s="9">
        <f>VLOOKUP(B539,'Player Data'!A1:D734,3,FALSE)</f>
        <v>25</v>
      </c>
      <c r="H539" s="36">
        <f>IFERROR(VLOOKUP(B539,ADP!A1:G728,7,FALSE)/1000000,VLOOKUP(B539,ADP!A1:G728,7,FALSE))</f>
        <v>1.3</v>
      </c>
      <c r="I539" s="37">
        <f>IF(Settings!$E$15="POINTS",((R539*Q539)*Settings!$B$12)+(S539*Settings!$B$2)+(T539*Settings!$B$3)+(U539*Settings!$B$4)+(V539*Settings!$B$5)+(X539*Settings!$B$9)+(AA539*Settings!$B$6)+(W539*Settings!$B$8)+(AB539*Settings!$B$7)+(AC539*Settings!$B$14)+(AD539*Settings!$B$15)+(AE539*Settings!$B$16)+(AF539*Settings!$B$17)+(AG539*Settings!$B$18)+(Y539*Settings!$B$10)+(Z539*Settings!$B$11),VLOOKUP(B539,'Standard Deviations'!A1:C728,3,FALSE))</f>
        <v>117.63192964471591</v>
      </c>
      <c r="J539" s="38">
        <f>IF(D539="G",I539/AJ539,I539/Q539)</f>
        <v>1.6241975797760448</v>
      </c>
      <c r="K539" s="37">
        <f>IF(Settings!$E$18="C/LW/RW",VLOOKUP(B539,RW!A1:F97,6,FALSE),VLOOKUP(B539,F!A1:F430,6,FALSE))</f>
        <v>-232.63961090317366</v>
      </c>
      <c r="L539" s="37">
        <f>IFERROR(K539/H539,"N/A")</f>
        <v>-178.95354684859512</v>
      </c>
      <c r="M539" s="53" t="str">
        <f>IF(Settings!$E$9="YAHOO",VLOOKUP(B539,ADP!A1:E728,2,FALSE),IF(Settings!$E$9="ESPN",VLOOKUP(B539,ADP!A1:E728,3,FALSE),IF(Settings!$E$9="FANTRAX",VLOOKUP(B539,ADP!A1:E728,4,FALSE),VLOOKUP(B539,ADP!A1:E728,5,FALSE))))</f>
        <v>-</v>
      </c>
      <c r="N539" s="53" t="str">
        <f>IFERROR(M539-A539,"N/A")</f>
        <v>N/A</v>
      </c>
      <c r="O539" s="39"/>
      <c r="P539" s="40" t="str">
        <f>IF(Settings!$E$27="ON",VLOOKUP(B539,ADP!A1:H728,8,FALSE)," ")</f>
        <v xml:space="preserve"> </v>
      </c>
      <c r="Q539" s="41">
        <f>IF(Settings!$E$12="YES",VLOOKUP(B539,'Player Data'!A1:E734,5,FALSE),82)</f>
        <v>72.424642857142899</v>
      </c>
      <c r="R539" s="39">
        <f>VLOOKUP(B539,'Player Data'!$A1:$AE734,6,FALSE)</f>
        <v>10.693561218536001</v>
      </c>
      <c r="S539" s="41">
        <f>VLOOKUP(B539,'Player Data'!$A1:$AE734,7,FALSE)*$Q539*IFERROR((VLOOKUP(P539,Settings!$E$28:$F$33,2,FALSE)+1),1)</f>
        <v>11.534241042786043</v>
      </c>
      <c r="T539" s="41">
        <f>VLOOKUP(B539,'Player Data'!$A1:$AE734,8,FALSE)*$Q539*IFERROR((VLOOKUP(P539,Settings!$E$28:$F$33,2,FALSE)+1),1)</f>
        <v>8.6994248801942415</v>
      </c>
      <c r="U539" s="41">
        <f>SUM(S539:T539)</f>
        <v>20.233665922980286</v>
      </c>
      <c r="V539" s="41">
        <f>VLOOKUP(B539,'Player Data'!$A1:$AE734,10,FALSE)*$Q539*IFERROR(((VLOOKUP(P539,Settings!$E$28:$F$33,2,FALSE)/2)+1),1)</f>
        <v>102.0926157329568</v>
      </c>
      <c r="W539" s="41">
        <f>VLOOKUP(B539,'Player Data'!$A1:$AE734,11,FALSE)*$Q539*IFERROR((VLOOKUP(P539,Settings!$E$28:$F$33,2,FALSE)+1),1)</f>
        <v>8.368944617754534E-2</v>
      </c>
      <c r="X539" s="41">
        <f>VLOOKUP(B539,'Player Data'!$A1:$AE734,12,FALSE)*$Q539*IFERROR((VLOOKUP(P539,Settings!$E$28:$F$33,2,FALSE)+1),1)</f>
        <v>0.17822308538616416</v>
      </c>
      <c r="Y539" s="41">
        <f>VLOOKUP(B539,'Player Data'!$A1:$AE734,13,FALSE)*$Q539</f>
        <v>0.14216610164273949</v>
      </c>
      <c r="Z539" s="41">
        <f>VLOOKUP(B539,'Player Data'!$A1:$AE734,14,FALSE)*$Q539</f>
        <v>0.2620021259394249</v>
      </c>
      <c r="AA539" s="41">
        <f>VLOOKUP(B539,'Player Data'!$A1:$AE734,15,FALSE)*$Q539</f>
        <v>25.020867933227393</v>
      </c>
      <c r="AB539" s="41">
        <f>VLOOKUP(B539,'Player Data'!$A1:$AE734,16,FALSE)*$Q539</f>
        <v>164.22409763501329</v>
      </c>
      <c r="AC539" s="41">
        <f>VLOOKUP(B539,'Player Data'!$A1:$AE734,17,FALSE)*$Q539*IFERROR((VLOOKUP(P539,Settings!$E$28:$F$33,2,FALSE)+1),1)</f>
        <v>7.6999711527293291E-2</v>
      </c>
      <c r="AD539" s="41">
        <f>VLOOKUP(B539,'Player Data'!$A1:$AE734,18,FALSE)*$Q539</f>
        <v>23.264253503959981</v>
      </c>
      <c r="AE539" s="41">
        <f>VLOOKUP(B539,'Player Data'!$A1:$AE734,19,FALSE)*$Q539*IFERROR((VLOOKUP(P539,Settings!$E$28:$F$33,2,FALSE)+1),1)</f>
        <v>1.7124176126866493</v>
      </c>
      <c r="AF539" s="41">
        <f>VLOOKUP(B539,'Player Data'!$A1:$AE734,20,FALSE)*$Q539</f>
        <v>5.1663036905315458</v>
      </c>
      <c r="AG539" s="41">
        <f>VLOOKUP(B539,'Player Data'!$A1:$AE734,21,FALSE)*$Q539</f>
        <v>7.8388824411173443</v>
      </c>
      <c r="AH539" s="42">
        <f>VLOOKUP(B539,'Player Data'!$A1:$AE734,22,FALSE)</f>
        <v>0.39724950017893601</v>
      </c>
      <c r="AI539" s="39"/>
      <c r="AJ539" s="43"/>
      <c r="AK539" s="41"/>
      <c r="AL539" s="41"/>
      <c r="AM539" s="41"/>
      <c r="AN539" s="41"/>
      <c r="AO539" s="41"/>
      <c r="AP539" s="41"/>
      <c r="AQ539" s="44"/>
      <c r="AR539" s="45"/>
      <c r="AS539" s="39"/>
    </row>
    <row r="540" spans="1:45" ht="21.25" customHeight="1" x14ac:dyDescent="0.15">
      <c r="A540" s="31">
        <f>RANK(K540,K$2:K$727)</f>
        <v>539</v>
      </c>
      <c r="B540" s="8" t="s">
        <v>644</v>
      </c>
      <c r="C540" s="32" t="s">
        <v>106</v>
      </c>
      <c r="D540" s="33" t="str">
        <f>VLOOKUP(B540,'Player Data'!A1:D734,4,FALSE)</f>
        <v>RW</v>
      </c>
      <c r="E540" s="46">
        <f>VLOOKUP(B540,RW!A1:F97,3,FALSE)</f>
        <v>80</v>
      </c>
      <c r="F540" s="35" t="str">
        <f>VLOOKUP(B540,'Player Data'!A1:B734,2,FALSE)</f>
        <v>WSH</v>
      </c>
      <c r="G540" s="9">
        <f>VLOOKUP(B540,'Player Data'!A1:D734,3,FALSE)</f>
        <v>27</v>
      </c>
      <c r="H540" s="36">
        <f>IFERROR(VLOOKUP(B540,ADP!A1:G728,7,FALSE)/1000000,VLOOKUP(B540,ADP!A1:G728,7,FALSE))</f>
        <v>1.25</v>
      </c>
      <c r="I540" s="37">
        <f>IF(Settings!$E$15="POINTS",((R540*Q540)*Settings!$B$12)+(S540*Settings!$B$2)+(T540*Settings!$B$3)+(U540*Settings!$B$4)+(V540*Settings!$B$5)+(X540*Settings!$B$9)+(AA540*Settings!$B$6)+(W540*Settings!$B$8)+(AB540*Settings!$B$7)+(AC540*Settings!$B$14)+(AD540*Settings!$B$15)+(AE540*Settings!$B$16)+(AF540*Settings!$B$17)+(AG540*Settings!$B$18)+(Y540*Settings!$B$10)+(Z540*Settings!$B$11),VLOOKUP(B540,'Standard Deviations'!A1:C728,3,FALSE))</f>
        <v>116.99397225589891</v>
      </c>
      <c r="J540" s="38">
        <f>IF(D540="G",I540/AJ540,I540/Q540)</f>
        <v>1.5619203757027662</v>
      </c>
      <c r="K540" s="37">
        <f>IF(Settings!$E$18="C/LW/RW",VLOOKUP(B540,RW!A1:F97,6,FALSE),VLOOKUP(B540,F!A1:F430,6,FALSE))</f>
        <v>-233.27756829199066</v>
      </c>
      <c r="L540" s="37">
        <f>IFERROR(K540/H540,"N/A")</f>
        <v>-186.62205463359254</v>
      </c>
      <c r="M540" s="53" t="str">
        <f>IF(Settings!$E$9="YAHOO",VLOOKUP(B540,ADP!A1:E728,2,FALSE),IF(Settings!$E$9="ESPN",VLOOKUP(B540,ADP!A1:E728,3,FALSE),IF(Settings!$E$9="FANTRAX",VLOOKUP(B540,ADP!A1:E728,4,FALSE),VLOOKUP(B540,ADP!A1:E728,5,FALSE))))</f>
        <v>-</v>
      </c>
      <c r="N540" s="53" t="str">
        <f>IFERROR(M540-A540,"N/A")</f>
        <v>N/A</v>
      </c>
      <c r="O540" s="39"/>
      <c r="P540" s="40" t="str">
        <f>IF(Settings!$E$27="ON",VLOOKUP(B540,ADP!A1:H728,8,FALSE)," ")</f>
        <v xml:space="preserve"> </v>
      </c>
      <c r="Q540" s="41">
        <f>IF(Settings!$E$12="YES",VLOOKUP(B540,'Player Data'!A1:E734,5,FALSE),82)</f>
        <v>74.903928571428594</v>
      </c>
      <c r="R540" s="39">
        <f>VLOOKUP(B540,'Player Data'!$A1:$AE734,6,FALSE)</f>
        <v>11.6591043865379</v>
      </c>
      <c r="S540" s="41">
        <f>VLOOKUP(B540,'Player Data'!$A1:$AE734,7,FALSE)*$Q540*IFERROR((VLOOKUP(P540,Settings!$E$28:$F$33,2,FALSE)+1),1)</f>
        <v>8.4600856982018779</v>
      </c>
      <c r="T540" s="41">
        <f>VLOOKUP(B540,'Player Data'!$A1:$AE734,8,FALSE)*$Q540*IFERROR((VLOOKUP(P540,Settings!$E$28:$F$33,2,FALSE)+1),1)</f>
        <v>12.952764238268317</v>
      </c>
      <c r="U540" s="41">
        <f>SUM(S540:T540)</f>
        <v>21.412849936470195</v>
      </c>
      <c r="V540" s="41">
        <f>VLOOKUP(B540,'Player Data'!$A1:$AE734,10,FALSE)*$Q540*IFERROR(((VLOOKUP(P540,Settings!$E$28:$F$33,2,FALSE)/2)+1),1)</f>
        <v>95.986596930838857</v>
      </c>
      <c r="W540" s="41">
        <f>VLOOKUP(B540,'Player Data'!$A1:$AE734,11,FALSE)*$Q540*IFERROR((VLOOKUP(P540,Settings!$E$28:$F$33,2,FALSE)+1),1)</f>
        <v>2.3327913123947889E-2</v>
      </c>
      <c r="X540" s="41">
        <f>VLOOKUP(B540,'Player Data'!$A1:$AE734,12,FALSE)*$Q540*IFERROR((VLOOKUP(P540,Settings!$E$28:$F$33,2,FALSE)+1),1)</f>
        <v>5.9498869735608209E-2</v>
      </c>
      <c r="Y540" s="41">
        <f>VLOOKUP(B540,'Player Data'!$A1:$AE734,13,FALSE)*$Q540</f>
        <v>0.18578818602043332</v>
      </c>
      <c r="Z540" s="41">
        <f>VLOOKUP(B540,'Player Data'!$A1:$AE734,14,FALSE)*$Q540</f>
        <v>0.34253303190437367</v>
      </c>
      <c r="AA540" s="41">
        <f>VLOOKUP(B540,'Player Data'!$A1:$AE734,15,FALSE)*$Q540</f>
        <v>19.790300888944653</v>
      </c>
      <c r="AB540" s="41">
        <f>VLOOKUP(B540,'Player Data'!$A1:$AE734,16,FALSE)*$Q540</f>
        <v>153.18450866579721</v>
      </c>
      <c r="AC540" s="41">
        <f>VLOOKUP(B540,'Player Data'!$A1:$AE734,17,FALSE)*$Q540*IFERROR((VLOOKUP(P540,Settings!$E$28:$F$33,2,FALSE)+1),1)</f>
        <v>-2.2011234801905672</v>
      </c>
      <c r="AD540" s="41">
        <f>VLOOKUP(B540,'Player Data'!$A1:$AE734,18,FALSE)*$Q540</f>
        <v>49.414700866499793</v>
      </c>
      <c r="AE540" s="41">
        <f>VLOOKUP(B540,'Player Data'!$A1:$AE734,19,FALSE)*$Q540*IFERROR((VLOOKUP(P540,Settings!$E$28:$F$33,2,FALSE)+1),1)</f>
        <v>1.0406403428011084</v>
      </c>
      <c r="AF540" s="41">
        <f>VLOOKUP(B540,'Player Data'!$A1:$AE734,20,FALSE)*$Q540</f>
        <v>6.5155435698094628</v>
      </c>
      <c r="AG540" s="41">
        <f>VLOOKUP(B540,'Player Data'!$A1:$AE734,21,FALSE)*$Q540</f>
        <v>10.9200041373175</v>
      </c>
      <c r="AH540" s="42">
        <f>VLOOKUP(B540,'Player Data'!$A1:$AE734,22,FALSE)</f>
        <v>0.37369308261799999</v>
      </c>
      <c r="AI540" s="39"/>
      <c r="AJ540" s="43"/>
      <c r="AK540" s="41"/>
      <c r="AL540" s="41"/>
      <c r="AM540" s="41"/>
      <c r="AN540" s="41"/>
      <c r="AO540" s="41"/>
      <c r="AP540" s="41"/>
      <c r="AQ540" s="44"/>
      <c r="AR540" s="45"/>
      <c r="AS540" s="39"/>
    </row>
    <row r="541" spans="1:45" ht="21.25" customHeight="1" x14ac:dyDescent="0.15">
      <c r="A541" s="31">
        <f>RANK(K541,K$2:K$727)</f>
        <v>540</v>
      </c>
      <c r="B541" s="8" t="s">
        <v>645</v>
      </c>
      <c r="C541" s="32" t="s">
        <v>106</v>
      </c>
      <c r="D541" s="33" t="str">
        <f>VLOOKUP(B541,'Player Data'!A1:D734,4,FALSE)</f>
        <v>D</v>
      </c>
      <c r="E541" s="49">
        <f>VLOOKUP(B541,D!A1:C227,3,FALSE)</f>
        <v>203</v>
      </c>
      <c r="F541" s="35" t="str">
        <f>VLOOKUP(B541,'Player Data'!A1:B734,2,FALSE)</f>
        <v>TBL</v>
      </c>
      <c r="G541" s="9">
        <f>VLOOKUP(B541,'Player Data'!A1:D734,3,FALSE)</f>
        <v>33</v>
      </c>
      <c r="H541" s="36">
        <f>IFERROR(VLOOKUP(B541,ADP!A1:G728,7,FALSE)/1000000,VLOOKUP(B541,ADP!A1:G728,7,FALSE))</f>
        <v>0.85</v>
      </c>
      <c r="I541" s="37">
        <f>IF(Settings!$E$15="POINTS",((R541*Q541)*Settings!$B$12)+(S541*Settings!$B$2)+(T541*Settings!$B$3)+(U541*Settings!$B$4)+(V541*Settings!$B$5)+(X541*Settings!$B$9)+(AA541*Settings!$B$6)+(W541*Settings!$B$8)+(AB541*Settings!$B$7)+(AC541*Settings!$B$14)+(AD541*Settings!$B$15)+(AE541*Settings!$B$16)+(AF541*Settings!$B$17)+(AG541*Settings!$B$18)+(U541*Settings!$B$13)+(Y541*Settings!$B$10)+(Z541*Settings!$B$11),VLOOKUP(B541,'Standard Deviations'!A1:C728,3,FALSE))</f>
        <v>78.089453164812042</v>
      </c>
      <c r="J541" s="38">
        <f>IF(D541="G",I541/AJ541,I541/Q541)</f>
        <v>1.1259499302827809</v>
      </c>
      <c r="K541" s="37">
        <f>VLOOKUP(B541,D!A1:F227,6,FALSE)</f>
        <v>-233.47602846311543</v>
      </c>
      <c r="L541" s="37">
        <f>IFERROR(K541/H541,"N/A")</f>
        <v>-274.67768054484168</v>
      </c>
      <c r="M541" s="53" t="str">
        <f>IF(Settings!$E$9="YAHOO",VLOOKUP(B541,ADP!A1:E728,2,FALSE),IF(Settings!$E$9="ESPN",VLOOKUP(B541,ADP!A1:E728,3,FALSE),IF(Settings!$E$9="FANTRAX",VLOOKUP(B541,ADP!A1:E728,4,FALSE),VLOOKUP(B541,ADP!A1:E728,5,FALSE))))</f>
        <v>-</v>
      </c>
      <c r="N541" s="53" t="str">
        <f>IFERROR(M541-A541,"N/A")</f>
        <v>N/A</v>
      </c>
      <c r="O541" s="39"/>
      <c r="P541" s="40" t="str">
        <f>IF(Settings!$E$27="ON",VLOOKUP(B541,ADP!A1:H728,8,FALSE)," ")</f>
        <v xml:space="preserve"> </v>
      </c>
      <c r="Q541" s="41">
        <f>IF(Settings!$E$12="YES",VLOOKUP(B541,'Player Data'!A1:E734,5,FALSE),82)</f>
        <v>69.354285714285695</v>
      </c>
      <c r="R541" s="39">
        <f>VLOOKUP(B541,'Player Data'!$A1:$AE734,6,FALSE)</f>
        <v>14.8542998791191</v>
      </c>
      <c r="S541" s="41">
        <f>VLOOKUP(B541,'Player Data'!$A1:$AE734,7,FALSE)*$Q541*IFERROR((VLOOKUP(P541,Settings!$E$28:$F$33,2,FALSE)+1),1)</f>
        <v>1.998353107642834</v>
      </c>
      <c r="T541" s="41">
        <f>VLOOKUP(B541,'Player Data'!$A1:$AE734,8,FALSE)*$Q541*IFERROR((VLOOKUP(P541,Settings!$E$28:$F$33,2,FALSE)+1),1)</f>
        <v>6.6814832430610771</v>
      </c>
      <c r="U541" s="41">
        <f>SUM(S541:T541)</f>
        <v>8.679836350703912</v>
      </c>
      <c r="V541" s="41">
        <f>VLOOKUP(B541,'Player Data'!$A1:$AE734,10,FALSE)*$Q541*IFERROR(((VLOOKUP(P541,Settings!$E$28:$F$33,2,FALSE)/2)+1),1)</f>
        <v>76.338820099240934</v>
      </c>
      <c r="W541" s="41">
        <f>VLOOKUP(B541,'Player Data'!$A1:$AE734,11,FALSE)*$Q541*IFERROR((VLOOKUP(P541,Settings!$E$28:$F$33,2,FALSE)+1),1)</f>
        <v>4.7047580606894186E-3</v>
      </c>
      <c r="X541" s="41">
        <f>VLOOKUP(B541,'Player Data'!$A1:$AE734,12,FALSE)*$Q541*IFERROR((VLOOKUP(P541,Settings!$E$28:$F$33,2,FALSE)+1),1)</f>
        <v>3.373784977376286E-2</v>
      </c>
      <c r="Y541" s="41">
        <f>VLOOKUP(B541,'Player Data'!$A1:$AE734,13,FALSE)*$Q541</f>
        <v>1.5493940528369452E-2</v>
      </c>
      <c r="Z541" s="41">
        <f>VLOOKUP(B541,'Player Data'!$A1:$AE734,14,FALSE)*$Q541</f>
        <v>6.086528435279101E-2</v>
      </c>
      <c r="AA541" s="41">
        <f>VLOOKUP(B541,'Player Data'!$A1:$AE734,15,FALSE)*$Q541</f>
        <v>68.456638974133639</v>
      </c>
      <c r="AB541" s="41">
        <f>VLOOKUP(B541,'Player Data'!$A1:$AE734,16,FALSE)*$Q541</f>
        <v>141.55618577350137</v>
      </c>
      <c r="AC541" s="41">
        <f>VLOOKUP(B541,'Player Data'!$A1:$AE734,17,FALSE)*$Q541*IFERROR((VLOOKUP(P541,Settings!$E$28:$F$33,2,FALSE)+1),1)</f>
        <v>-0.54994665316125435</v>
      </c>
      <c r="AD541" s="41">
        <f>VLOOKUP(B541,'Player Data'!$A1:$AE734,18,FALSE)*$Q541</f>
        <v>40.084863322829023</v>
      </c>
      <c r="AE541" s="41">
        <f>VLOOKUP(B541,'Player Data'!$A1:$AE734,19,FALSE)*$Q541*IFERROR((VLOOKUP(P541,Settings!$E$28:$F$33,2,FALSE)+1),1)</f>
        <v>0.31274298724911881</v>
      </c>
      <c r="AF541" s="41">
        <f>VLOOKUP(B541,'Player Data'!$A1:$AE734,20,FALSE)*$Q541</f>
        <v>0.43172916288063251</v>
      </c>
      <c r="AG541" s="41">
        <f>VLOOKUP(B541,'Player Data'!$A1:$AE734,21,FALSE)*$Q541</f>
        <v>0.62462253518494182</v>
      </c>
      <c r="AH541" s="42">
        <f>VLOOKUP(B541,'Player Data'!$A1:$AE734,22,FALSE)</f>
        <v>0.40869831862932499</v>
      </c>
      <c r="AI541" s="39"/>
      <c r="AJ541" s="43"/>
      <c r="AK541" s="41"/>
      <c r="AL541" s="41"/>
      <c r="AM541" s="41"/>
      <c r="AN541" s="41"/>
      <c r="AO541" s="41"/>
      <c r="AP541" s="41"/>
      <c r="AQ541" s="44"/>
      <c r="AR541" s="45"/>
      <c r="AS541" s="39"/>
    </row>
    <row r="542" spans="1:45" ht="21.25" customHeight="1" x14ac:dyDescent="0.15">
      <c r="A542" s="31">
        <f>RANK(K542,K$2:K$727)</f>
        <v>541</v>
      </c>
      <c r="B542" s="8" t="s">
        <v>646</v>
      </c>
      <c r="C542" s="32" t="s">
        <v>106</v>
      </c>
      <c r="D542" s="33" t="str">
        <f>VLOOKUP(B542,'Player Data'!A1:D734,4,FALSE)</f>
        <v>C</v>
      </c>
      <c r="E542" s="34">
        <f>VLOOKUP(B542,'C'!A1:C211,3,FALSE)</f>
        <v>123</v>
      </c>
      <c r="F542" s="35" t="str">
        <f>VLOOKUP(B542,'Player Data'!A1:B734,2,FALSE)</f>
        <v>UFA</v>
      </c>
      <c r="G542" s="9">
        <f>VLOOKUP(B542,'Player Data'!A1:D734,3,FALSE)</f>
        <v>27</v>
      </c>
      <c r="H542" s="36">
        <f>IFERROR(VLOOKUP(B542,ADP!A1:G728,7,FALSE)/1000000,VLOOKUP(B542,ADP!A1:G728,7,FALSE))</f>
        <v>1.6</v>
      </c>
      <c r="I542" s="37">
        <f>IF(Settings!$E$15="POINTS",((R542*Q542)*Settings!$B$12)+(S542*Settings!$B$2)+(T542*Settings!$B$3)+(U542*Settings!$B$4)+(V542*Settings!$B$5)+(X542*Settings!$B$9)+(AA542*Settings!$B$6)+(W542*Settings!$B$8)+(AB542*Settings!$B$7)+(AC542*Settings!$B$14)+(AD542*Settings!$B$15)+(AE542*Settings!$B$16)+(AF542*Settings!$B$17)+(AG542*Settings!$B$18)+(Y542*Settings!$B$10)+(Z542*Settings!$B$11),VLOOKUP(B542,'Standard Deviations'!A1:C728,3,FALSE))</f>
        <v>159.78714799506324</v>
      </c>
      <c r="J542" s="38">
        <f>IF(D542="G",I542/AJ542,I542/Q542)</f>
        <v>1.964167713947824</v>
      </c>
      <c r="K542" s="37">
        <f>IF(Settings!$E$18="C/LW/RW",VLOOKUP(B542,'C'!A1:F211,6,FALSE),VLOOKUP(B542,F!A1:F430,6,FALSE))</f>
        <v>-233.54165777114642</v>
      </c>
      <c r="L542" s="37">
        <f>IFERROR(K542/H542,"N/A")</f>
        <v>-145.9635361069665</v>
      </c>
      <c r="M542" s="53" t="str">
        <f>IF(Settings!$E$9="YAHOO",VLOOKUP(B542,ADP!A1:E728,2,FALSE),IF(Settings!$E$9="ESPN",VLOOKUP(B542,ADP!A1:E728,3,FALSE),IF(Settings!$E$9="FANTRAX",VLOOKUP(B542,ADP!A1:E728,4,FALSE),VLOOKUP(B542,ADP!A1:E728,5,FALSE))))</f>
        <v>-</v>
      </c>
      <c r="N542" s="53" t="str">
        <f>IFERROR(M542-A542,"N/A")</f>
        <v>N/A</v>
      </c>
      <c r="O542" s="39"/>
      <c r="P542" s="40" t="str">
        <f>IF(Settings!$E$27="ON",VLOOKUP(B542,ADP!A1:H728,8,FALSE)," ")</f>
        <v xml:space="preserve"> </v>
      </c>
      <c r="Q542" s="41">
        <f>IF(Settings!$E$12="YES",VLOOKUP(B542,'Player Data'!A1:E734,5,FALSE),82)</f>
        <v>81.351071428571402</v>
      </c>
      <c r="R542" s="39">
        <f>VLOOKUP(B542,'Player Data'!$A1:$AE734,6,FALSE)</f>
        <v>14.3398719128334</v>
      </c>
      <c r="S542" s="41">
        <f>VLOOKUP(B542,'Player Data'!$A1:$AE734,7,FALSE)*$Q542*IFERROR((VLOOKUP(P542,Settings!$E$28:$F$33,2,FALSE)+1),1)</f>
        <v>14.652019939434346</v>
      </c>
      <c r="T542" s="41">
        <f>VLOOKUP(B542,'Player Data'!$A1:$AE734,8,FALSE)*$Q542*IFERROR((VLOOKUP(P542,Settings!$E$28:$F$33,2,FALSE)+1),1)</f>
        <v>14.24935382555355</v>
      </c>
      <c r="U542" s="41">
        <f>SUM(S542:T542)</f>
        <v>28.901373764987895</v>
      </c>
      <c r="V542" s="41">
        <f>VLOOKUP(B542,'Player Data'!$A1:$AE734,10,FALSE)*$Q542*IFERROR(((VLOOKUP(P542,Settings!$E$28:$F$33,2,FALSE)/2)+1),1)</f>
        <v>122.62429890558876</v>
      </c>
      <c r="W542" s="41">
        <f>VLOOKUP(B542,'Player Data'!$A1:$AE734,11,FALSE)*$Q542*IFERROR((VLOOKUP(P542,Settings!$E$28:$F$33,2,FALSE)+1),1)</f>
        <v>3.5952425344175136E-2</v>
      </c>
      <c r="X542" s="41">
        <f>VLOOKUP(B542,'Player Data'!$A1:$AE734,12,FALSE)*$Q542*IFERROR((VLOOKUP(P542,Settings!$E$28:$F$33,2,FALSE)+1),1)</f>
        <v>0.14324618196832251</v>
      </c>
      <c r="Y542" s="41">
        <f>VLOOKUP(B542,'Player Data'!$A1:$AE734,13,FALSE)*$Q542</f>
        <v>1.7778584580689225</v>
      </c>
      <c r="Z542" s="41">
        <f>VLOOKUP(B542,'Player Data'!$A1:$AE734,14,FALSE)*$Q542</f>
        <v>1.8919977520528612</v>
      </c>
      <c r="AA542" s="41">
        <f>VLOOKUP(B542,'Player Data'!$A1:$AE734,15,FALSE)*$Q542</f>
        <v>38.501946896313903</v>
      </c>
      <c r="AB542" s="41">
        <f>VLOOKUP(B542,'Player Data'!$A1:$AE734,16,FALSE)*$Q542</f>
        <v>41.847745884856494</v>
      </c>
      <c r="AC542" s="41">
        <f>VLOOKUP(B542,'Player Data'!$A1:$AE734,17,FALSE)*$Q542*IFERROR((VLOOKUP(P542,Settings!$E$28:$F$33,2,FALSE)+1),1)</f>
        <v>0.60269283023822984</v>
      </c>
      <c r="AD542" s="41">
        <f>VLOOKUP(B542,'Player Data'!$A1:$AE734,18,FALSE)*$Q542</f>
        <v>16.114466338733703</v>
      </c>
      <c r="AE542" s="41">
        <f>VLOOKUP(B542,'Player Data'!$A1:$AE734,19,FALSE)*$Q542*IFERROR((VLOOKUP(P542,Settings!$E$28:$F$33,2,FALSE)+1),1)</f>
        <v>0</v>
      </c>
      <c r="AF542" s="41">
        <f>VLOOKUP(B542,'Player Data'!$A1:$AE734,20,FALSE)*$Q542</f>
        <v>274.98208342552192</v>
      </c>
      <c r="AG542" s="41">
        <f>VLOOKUP(B542,'Player Data'!$A1:$AE734,21,FALSE)*$Q542</f>
        <v>309.57325405358182</v>
      </c>
      <c r="AH542" s="42">
        <f>VLOOKUP(B542,'Player Data'!$A1:$AE734,22,FALSE)</f>
        <v>0.47041240716641602</v>
      </c>
      <c r="AI542" s="39"/>
      <c r="AJ542" s="43"/>
      <c r="AK542" s="41"/>
      <c r="AL542" s="41"/>
      <c r="AM542" s="41"/>
      <c r="AN542" s="41"/>
      <c r="AO542" s="41"/>
      <c r="AP542" s="41"/>
      <c r="AQ542" s="44"/>
      <c r="AR542" s="45"/>
      <c r="AS542" s="39"/>
    </row>
    <row r="543" spans="1:45" ht="21.25" customHeight="1" x14ac:dyDescent="0.15">
      <c r="A543" s="31">
        <f>RANK(K543,K$2:K$727)</f>
        <v>542</v>
      </c>
      <c r="B543" s="8" t="s">
        <v>647</v>
      </c>
      <c r="C543" s="32" t="s">
        <v>106</v>
      </c>
      <c r="D543" s="33" t="str">
        <f>VLOOKUP(B543,'Player Data'!A1:D734,4,FALSE)</f>
        <v>G</v>
      </c>
      <c r="E543" s="50">
        <f>VLOOKUP(B543,G!A1:D75,3,FALSE)</f>
        <v>45</v>
      </c>
      <c r="F543" s="35" t="str">
        <f>VLOOKUP(B543,'Player Data'!A1:B734,2,FALSE)</f>
        <v>CBJ</v>
      </c>
      <c r="G543" s="9">
        <f>VLOOKUP(B543,'Player Data'!A1:D734,3,FALSE)</f>
        <v>24</v>
      </c>
      <c r="H543" s="36">
        <f>IFERROR(VLOOKUP(B543,ADP!A1:G728,7,FALSE)/1000000,VLOOKUP(B543,ADP!A1:G728,7,FALSE))</f>
        <v>0</v>
      </c>
      <c r="I543" s="37">
        <f>IF(Settings!$E$15="POINTS",(AJ543*Settings!$B$29)+(AK543*Settings!$B$21)+(AL543*Settings!$B$22)+(AN543*Settings!$B$24)+(AO543*Settings!$B$25)+(AP543*Settings!$B$27)+(AM543*Settings!$B$23),VLOOKUP(B543,'Standard Deviations'!A1:C728,3,FALSE))</f>
        <v>164.93542267746744</v>
      </c>
      <c r="J543" s="38">
        <f>IF(D543="G",I543/AJ543,I543/Q543)</f>
        <v>6.5974169070986974</v>
      </c>
      <c r="K543" s="37">
        <f>VLOOKUP(B543,G!A1:F75,6,FALSE)</f>
        <v>-233.84023941184876</v>
      </c>
      <c r="L543" s="52" t="str">
        <f>IFERROR(K543/H543,"N/A")</f>
        <v>N/A</v>
      </c>
      <c r="M543" s="53" t="str">
        <f>IF(Settings!$E$9="YAHOO",VLOOKUP(B543,ADP!A1:E728,2,FALSE),IF(Settings!$E$9="ESPN",VLOOKUP(B543,ADP!A1:E728,3,FALSE),IF(Settings!$E$9="FANTRAX",VLOOKUP(B543,ADP!A1:E728,4,FALSE),VLOOKUP(B543,ADP!A1:E728,5,FALSE))))</f>
        <v>-</v>
      </c>
      <c r="N543" s="53" t="str">
        <f>IFERROR(M543-A543,"N/A")</f>
        <v>N/A</v>
      </c>
      <c r="O543" s="39"/>
      <c r="P543" s="40" t="str">
        <f>IF(Settings!$E$27="ON",VLOOKUP(B543,ADP!A1:H728,8,FALSE)," ")</f>
        <v xml:space="preserve"> </v>
      </c>
      <c r="Q543" s="41"/>
      <c r="R543" s="5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2"/>
      <c r="AI543" s="39"/>
      <c r="AJ543" s="43">
        <f>VLOOKUP(B543,'Player Data'!$A1:$AE734,24,FALSE)</f>
        <v>25</v>
      </c>
      <c r="AK543" s="41">
        <f>VLOOKUP(B543,'Player Data'!$A1:$AE734,25,FALSE)*$AJ543*IFERROR((VLOOKUP(P543,Settings!$E$28:$F$33,2,FALSE)+1),1)</f>
        <v>9.9890942746245006</v>
      </c>
      <c r="AL543" s="41">
        <f>AJ543-AK543-AM543</f>
        <v>11.885905725375499</v>
      </c>
      <c r="AM543" s="41">
        <f>VLOOKUP(B543,'Player Data'!$A1:$AE734,27,FALSE)*$AJ543</f>
        <v>3.125</v>
      </c>
      <c r="AN543" s="41">
        <f>VLOOKUP(B543,'Player Data'!$A1:$AE734,28,FALSE)*AJ543</f>
        <v>0.60048585365222251</v>
      </c>
      <c r="AO543" s="41">
        <f>VLOOKUP(B543,'Player Data'!$A1:$AE734,29,FALSE)*$AJ543*IFERROR((VLOOKUP(P543,Settings!$E$28:$F$33,2,FALSE)/4)+1,1)</f>
        <v>752.05115406858249</v>
      </c>
      <c r="AP543" s="41">
        <f>VLOOKUP(B543,'Player Data'!$A1:$AE734,31,FALSE)*$AJ543*(IFERROR(1-(VLOOKUP(P543,Settings!$E$28:$F$33,2,FALSE)/4),1))</f>
        <v>80.752802962667246</v>
      </c>
      <c r="AQ543" s="44">
        <f>1-(AP543/(AO543+AP543))</f>
        <v>0.90303503930200812</v>
      </c>
      <c r="AR543" s="45">
        <f>AP543/AJ543</f>
        <v>3.2301121185066899</v>
      </c>
      <c r="AS543" s="39"/>
    </row>
    <row r="544" spans="1:45" ht="21.25" customHeight="1" x14ac:dyDescent="0.15">
      <c r="A544" s="31">
        <f>RANK(K544,K$2:K$727)</f>
        <v>543</v>
      </c>
      <c r="B544" s="8" t="s">
        <v>648</v>
      </c>
      <c r="C544" s="32" t="s">
        <v>106</v>
      </c>
      <c r="D544" s="33" t="str">
        <f>VLOOKUP(B544,'Player Data'!A1:D734,4,FALSE)</f>
        <v>C</v>
      </c>
      <c r="E544" s="34">
        <f>VLOOKUP(B544,'C'!A1:C211,3,FALSE)</f>
        <v>124</v>
      </c>
      <c r="F544" s="35" t="str">
        <f>VLOOKUP(B544,'Player Data'!A1:B734,2,FALSE)</f>
        <v>SEA</v>
      </c>
      <c r="G544" s="9">
        <f>VLOOKUP(B544,'Player Data'!A1:D734,3,FALSE)</f>
        <v>19</v>
      </c>
      <c r="H544" s="36">
        <f>IFERROR(VLOOKUP(B544,ADP!A1:G728,7,FALSE)/1000000,VLOOKUP(B544,ADP!A1:G728,7,FALSE))</f>
        <v>0</v>
      </c>
      <c r="I544" s="37">
        <f>IF(Settings!$E$15="POINTS",((R544*Q544)*Settings!$B$12)+(S544*Settings!$B$2)+(T544*Settings!$B$3)+(U544*Settings!$B$4)+(V544*Settings!$B$5)+(X544*Settings!$B$9)+(AA544*Settings!$B$6)+(W544*Settings!$B$8)+(AB544*Settings!$B$7)+(AC544*Settings!$B$14)+(AD544*Settings!$B$15)+(AE544*Settings!$B$16)+(AF544*Settings!$B$17)+(AG544*Settings!$B$18)+(Y544*Settings!$B$10)+(Z544*Settings!$B$11),VLOOKUP(B544,'Standard Deviations'!A1:C728,3,FALSE))</f>
        <v>159.48378687977697</v>
      </c>
      <c r="J544" s="38">
        <f>IF(D544="G",I544/AJ544,I544/Q544)</f>
        <v>2.6580631146629496</v>
      </c>
      <c r="K544" s="37">
        <f>IF(Settings!$E$18="C/LW/RW",VLOOKUP(B544,'C'!A1:F211,6,FALSE),VLOOKUP(B544,F!A1:F430,6,FALSE))</f>
        <v>-233.84501888643268</v>
      </c>
      <c r="L544" s="52" t="str">
        <f>IFERROR(K544/H544,"N/A")</f>
        <v>N/A</v>
      </c>
      <c r="M544" s="53" t="str">
        <f>IF(Settings!$E$9="YAHOO",VLOOKUP(B544,ADP!A1:E728,2,FALSE),IF(Settings!$E$9="ESPN",VLOOKUP(B544,ADP!A1:E728,3,FALSE),IF(Settings!$E$9="FANTRAX",VLOOKUP(B544,ADP!A1:E728,4,FALSE),VLOOKUP(B544,ADP!A1:E728,5,FALSE))))</f>
        <v>-</v>
      </c>
      <c r="N544" s="53" t="str">
        <f>IFERROR(M544-A544,"N/A")</f>
        <v>N/A</v>
      </c>
      <c r="O544" s="39"/>
      <c r="P544" s="40" t="str">
        <f>IF(Settings!$E$27="ON",VLOOKUP(B544,ADP!A1:H728,8,FALSE)," ")</f>
        <v xml:space="preserve"> </v>
      </c>
      <c r="Q544" s="41">
        <f>IF(Settings!$E$12="YES",VLOOKUP(B544,'Player Data'!A1:E734,5,FALSE),82)</f>
        <v>60</v>
      </c>
      <c r="R544" s="39">
        <f>VLOOKUP(B544,'Player Data'!$A1:$AE734,6,FALSE)</f>
        <v>13.5</v>
      </c>
      <c r="S544" s="41">
        <f>VLOOKUP(B544,'Player Data'!$A1:$AE734,7,FALSE)*$Q544*IFERROR((VLOOKUP(P544,Settings!$E$28:$F$33,2,FALSE)+1),1)</f>
        <v>13.203434510080921</v>
      </c>
      <c r="T544" s="41">
        <f>VLOOKUP(B544,'Player Data'!$A1:$AE734,8,FALSE)*$Q544*IFERROR((VLOOKUP(P544,Settings!$E$28:$F$33,2,FALSE)+1),1)</f>
        <v>15.917774392515781</v>
      </c>
      <c r="U544" s="41">
        <f>SUM(S544:T544)</f>
        <v>29.121208902596702</v>
      </c>
      <c r="V544" s="41">
        <f>VLOOKUP(B544,'Player Data'!$A1:$AE734,10,FALSE)*$Q544*IFERROR(((VLOOKUP(P544,Settings!$E$28:$F$33,2,FALSE)/2)+1),1)</f>
        <v>108.15370317298981</v>
      </c>
      <c r="W544" s="41">
        <f>VLOOKUP(B544,'Player Data'!$A1:$AE734,11,FALSE)*$Q544*IFERROR((VLOOKUP(P544,Settings!$E$28:$F$33,2,FALSE)+1),1)</f>
        <v>2.9591025097033681</v>
      </c>
      <c r="X544" s="41">
        <f>VLOOKUP(B544,'Player Data'!$A1:$AE734,12,FALSE)*$Q544*IFERROR((VLOOKUP(P544,Settings!$E$28:$F$33,2,FALSE)+1),1)</f>
        <v>6.52653234152646</v>
      </c>
      <c r="Y544" s="41">
        <f>VLOOKUP(B544,'Player Data'!$A1:$AE734,13,FALSE)*$Q544</f>
        <v>0</v>
      </c>
      <c r="Z544" s="41">
        <f>VLOOKUP(B544,'Player Data'!$A1:$AE734,14,FALSE)*$Q544</f>
        <v>0</v>
      </c>
      <c r="AA544" s="41">
        <f>VLOOKUP(B544,'Player Data'!$A1:$AE734,15,FALSE)*$Q544</f>
        <v>24.951219512195102</v>
      </c>
      <c r="AB544" s="41">
        <f>VLOOKUP(B544,'Player Data'!$A1:$AE734,16,FALSE)*$Q544</f>
        <v>36.585365853658566</v>
      </c>
      <c r="AC544" s="41">
        <f>VLOOKUP(B544,'Player Data'!$A1:$AE734,17,FALSE)*$Q544*IFERROR((VLOOKUP(P544,Settings!$E$28:$F$33,2,FALSE)+1),1)</f>
        <v>-0.16829268292682939</v>
      </c>
      <c r="AD544" s="41">
        <f>VLOOKUP(B544,'Player Data'!$A1:$AE734,18,FALSE)*$Q544</f>
        <v>20.82251468299572</v>
      </c>
      <c r="AE544" s="41">
        <f>VLOOKUP(B544,'Player Data'!$A1:$AE734,19,FALSE)*$Q544*IFERROR((VLOOKUP(P544,Settings!$E$28:$F$33,2,FALSE)+1),1)</f>
        <v>1.855887643495878</v>
      </c>
      <c r="AF544" s="41">
        <f>VLOOKUP(B544,'Player Data'!$A1:$AE734,20,FALSE)*$Q544</f>
        <v>39.037741638539281</v>
      </c>
      <c r="AG544" s="41">
        <f>VLOOKUP(B544,'Player Data'!$A1:$AE734,21,FALSE)*$Q544</f>
        <v>63.693157410248396</v>
      </c>
      <c r="AH544" s="42">
        <f>VLOOKUP(B544,'Player Data'!$A1:$AE734,22,FALSE)</f>
        <v>0.38</v>
      </c>
      <c r="AI544" s="39"/>
      <c r="AJ544" s="43"/>
      <c r="AK544" s="41"/>
      <c r="AL544" s="41"/>
      <c r="AM544" s="41"/>
      <c r="AN544" s="41"/>
      <c r="AO544" s="41"/>
      <c r="AP544" s="41"/>
      <c r="AQ544" s="44"/>
      <c r="AR544" s="45"/>
      <c r="AS544" s="43"/>
    </row>
    <row r="545" spans="1:45" ht="21.25" customHeight="1" x14ac:dyDescent="0.15">
      <c r="A545" s="31">
        <f>RANK(K545,K$2:K$727)</f>
        <v>544</v>
      </c>
      <c r="B545" s="8" t="s">
        <v>649</v>
      </c>
      <c r="C545" s="32" t="s">
        <v>106</v>
      </c>
      <c r="D545" s="33" t="str">
        <f>VLOOKUP(B545,'Player Data'!A1:D734,4,FALSE)</f>
        <v>C</v>
      </c>
      <c r="E545" s="34">
        <f>VLOOKUP(B545,'C'!A1:C211,3,FALSE)</f>
        <v>125</v>
      </c>
      <c r="F545" s="35" t="str">
        <f>VLOOKUP(B545,'Player Data'!A1:B734,2,FALSE)</f>
        <v>OTT</v>
      </c>
      <c r="G545" s="9">
        <f>VLOOKUP(B545,'Player Data'!A1:D734,3,FALSE)</f>
        <v>22</v>
      </c>
      <c r="H545" s="36">
        <f>IFERROR(VLOOKUP(B545,ADP!A1:G728,7,FALSE)/1000000,VLOOKUP(B545,ADP!A1:G728,7,FALSE))</f>
        <v>0</v>
      </c>
      <c r="I545" s="37">
        <f>IF(Settings!$E$15="POINTS",((R545*Q545)*Settings!$B$12)+(S545*Settings!$B$2)+(T545*Settings!$B$3)+(U545*Settings!$B$4)+(V545*Settings!$B$5)+(X545*Settings!$B$9)+(AA545*Settings!$B$6)+(W545*Settings!$B$8)+(AB545*Settings!$B$7)+(AC545*Settings!$B$14)+(AD545*Settings!$B$15)+(AE545*Settings!$B$16)+(AF545*Settings!$B$17)+(AG545*Settings!$B$18)+(Y545*Settings!$B$10)+(Z545*Settings!$B$11),VLOOKUP(B545,'Standard Deviations'!A1:C728,3,FALSE))</f>
        <v>159.46887243296703</v>
      </c>
      <c r="J545" s="38">
        <f>IF(D545="G",I545/AJ545,I545/Q545)</f>
        <v>2.2502398480681132</v>
      </c>
      <c r="K545" s="37">
        <f>IF(Settings!$E$18="C/LW/RW",VLOOKUP(B545,'C'!A1:F211,6,FALSE),VLOOKUP(B545,F!A1:F430,6,FALSE))</f>
        <v>-233.85993333324262</v>
      </c>
      <c r="L545" s="52" t="str">
        <f>IFERROR(K545/H545,"N/A")</f>
        <v>N/A</v>
      </c>
      <c r="M545" s="53" t="str">
        <f>IF(Settings!$E$9="YAHOO",VLOOKUP(B545,ADP!A1:E728,2,FALSE),IF(Settings!$E$9="ESPN",VLOOKUP(B545,ADP!A1:E728,3,FALSE),IF(Settings!$E$9="FANTRAX",VLOOKUP(B545,ADP!A1:E728,4,FALSE),VLOOKUP(B545,ADP!A1:E728,5,FALSE))))</f>
        <v>-</v>
      </c>
      <c r="N545" s="53" t="str">
        <f>IFERROR(M545-A545,"N/A")</f>
        <v>N/A</v>
      </c>
      <c r="O545" s="39"/>
      <c r="P545" s="40" t="str">
        <f>IF(Settings!$E$27="ON",VLOOKUP(B545,ADP!A1:H728,8,FALSE)," ")</f>
        <v xml:space="preserve"> </v>
      </c>
      <c r="Q545" s="41">
        <f>IF(Settings!$E$12="YES",VLOOKUP(B545,'Player Data'!A1:E734,5,FALSE),82)</f>
        <v>70.867500000000007</v>
      </c>
      <c r="R545" s="39">
        <f>VLOOKUP(B545,'Player Data'!$A1:$AE734,6,FALSE)</f>
        <v>14.4655959686337</v>
      </c>
      <c r="S545" s="41">
        <f>VLOOKUP(B545,'Player Data'!$A1:$AE734,7,FALSE)*$Q545*IFERROR((VLOOKUP(P545,Settings!$E$28:$F$33,2,FALSE)+1),1)</f>
        <v>14.549871431678593</v>
      </c>
      <c r="T545" s="41">
        <f>VLOOKUP(B545,'Player Data'!$A1:$AE734,8,FALSE)*$Q545*IFERROR((VLOOKUP(P545,Settings!$E$28:$F$33,2,FALSE)+1),1)</f>
        <v>14.22788299398022</v>
      </c>
      <c r="U545" s="41">
        <f>SUM(S545:T545)</f>
        <v>28.777754425658813</v>
      </c>
      <c r="V545" s="41">
        <f>VLOOKUP(B545,'Player Data'!$A1:$AE734,10,FALSE)*$Q545*IFERROR(((VLOOKUP(P545,Settings!$E$28:$F$33,2,FALSE)/2)+1),1)</f>
        <v>114.55385867320921</v>
      </c>
      <c r="W545" s="41">
        <f>VLOOKUP(B545,'Player Data'!$A1:$AE734,11,FALSE)*$Q545*IFERROR((VLOOKUP(P545,Settings!$E$28:$F$33,2,FALSE)+1),1)</f>
        <v>1.8241452344525193</v>
      </c>
      <c r="X545" s="41">
        <f>VLOOKUP(B545,'Player Data'!$A1:$AE734,12,FALSE)*$Q545*IFERROR((VLOOKUP(P545,Settings!$E$28:$F$33,2,FALSE)+1),1)</f>
        <v>3.7259009329540329</v>
      </c>
      <c r="Y545" s="41">
        <f>VLOOKUP(B545,'Player Data'!$A1:$AE734,13,FALSE)*$Q545</f>
        <v>0.12181160456528742</v>
      </c>
      <c r="Z545" s="41">
        <f>VLOOKUP(B545,'Player Data'!$A1:$AE734,14,FALSE)*$Q545</f>
        <v>0.22446773433655784</v>
      </c>
      <c r="AA545" s="41">
        <f>VLOOKUP(B545,'Player Data'!$A1:$AE734,15,FALSE)*$Q545</f>
        <v>39.789712424024067</v>
      </c>
      <c r="AB545" s="41">
        <f>VLOOKUP(B545,'Player Data'!$A1:$AE734,16,FALSE)*$Q545</f>
        <v>61.650559854429517</v>
      </c>
      <c r="AC545" s="41">
        <f>VLOOKUP(B545,'Player Data'!$A1:$AE734,17,FALSE)*$Q545*IFERROR((VLOOKUP(P545,Settings!$E$28:$F$33,2,FALSE)+1),1)</f>
        <v>-0.52949411249591127</v>
      </c>
      <c r="AD545" s="41">
        <f>VLOOKUP(B545,'Player Data'!$A1:$AE734,18,FALSE)*$Q545</f>
        <v>20.147049575431609</v>
      </c>
      <c r="AE545" s="41">
        <f>VLOOKUP(B545,'Player Data'!$A1:$AE734,19,FALSE)*$Q545*IFERROR((VLOOKUP(P545,Settings!$E$28:$F$33,2,FALSE)+1),1)</f>
        <v>2.0209908135670585</v>
      </c>
      <c r="AF545" s="41">
        <f>VLOOKUP(B545,'Player Data'!$A1:$AE734,20,FALSE)*$Q545</f>
        <v>343.48869847339483</v>
      </c>
      <c r="AG545" s="41">
        <f>VLOOKUP(B545,'Player Data'!$A1:$AE734,21,FALSE)*$Q545</f>
        <v>334.13166267918774</v>
      </c>
      <c r="AH545" s="42">
        <f>VLOOKUP(B545,'Player Data'!$A1:$AE734,22,FALSE)</f>
        <v>0.50690433488324604</v>
      </c>
      <c r="AI545" s="39"/>
      <c r="AJ545" s="43"/>
      <c r="AK545" s="41"/>
      <c r="AL545" s="41"/>
      <c r="AM545" s="41"/>
      <c r="AN545" s="41"/>
      <c r="AO545" s="41"/>
      <c r="AP545" s="41"/>
      <c r="AQ545" s="44"/>
      <c r="AR545" s="45"/>
      <c r="AS545" s="39"/>
    </row>
    <row r="546" spans="1:45" ht="21.25" customHeight="1" x14ac:dyDescent="0.15">
      <c r="A546" s="31">
        <f>RANK(K546,K$2:K$727)</f>
        <v>545</v>
      </c>
      <c r="B546" s="8" t="s">
        <v>650</v>
      </c>
      <c r="C546" s="32" t="s">
        <v>106</v>
      </c>
      <c r="D546" s="33" t="str">
        <f>VLOOKUP(B546,'Player Data'!A1:D734,4,FALSE)</f>
        <v>RW</v>
      </c>
      <c r="E546" s="46">
        <f>VLOOKUP(B546,RW!A1:F97,3,FALSE)</f>
        <v>81</v>
      </c>
      <c r="F546" s="35" t="str">
        <f>VLOOKUP(B546,'Player Data'!A1:B734,2,FALSE)</f>
        <v>MTL</v>
      </c>
      <c r="G546" s="9">
        <f>VLOOKUP(B546,'Player Data'!A1:D734,3,FALSE)</f>
        <v>30</v>
      </c>
      <c r="H546" s="36">
        <f>IFERROR(VLOOKUP(B546,ADP!A1:G728,7,FALSE)/1000000,VLOOKUP(B546,ADP!A1:G728,7,FALSE))</f>
        <v>3.4</v>
      </c>
      <c r="I546" s="37">
        <f>IF(Settings!$E$15="POINTS",((R546*Q546)*Settings!$B$12)+(S546*Settings!$B$2)+(T546*Settings!$B$3)+(U546*Settings!$B$4)+(V546*Settings!$B$5)+(X546*Settings!$B$9)+(AA546*Settings!$B$6)+(W546*Settings!$B$8)+(AB546*Settings!$B$7)+(AC546*Settings!$B$14)+(AD546*Settings!$B$15)+(AE546*Settings!$B$16)+(AF546*Settings!$B$17)+(AG546*Settings!$B$18)+(Y546*Settings!$B$10)+(Z546*Settings!$B$11),VLOOKUP(B546,'Standard Deviations'!A1:C728,3,FALSE))</f>
        <v>116.13167421831723</v>
      </c>
      <c r="J546" s="38">
        <f>IF(D546="G",I546/AJ546,I546/Q546)</f>
        <v>1.661728465263814</v>
      </c>
      <c r="K546" s="37">
        <f>IF(Settings!$E$18="C/LW/RW",VLOOKUP(B546,RW!A1:F97,6,FALSE),VLOOKUP(B546,F!A1:F430,6,FALSE))</f>
        <v>-234.13986632957233</v>
      </c>
      <c r="L546" s="37">
        <f>IFERROR(K546/H546,"N/A")</f>
        <v>-68.864666567521269</v>
      </c>
      <c r="M546" s="53" t="str">
        <f>IF(Settings!$E$9="YAHOO",VLOOKUP(B546,ADP!A1:E728,2,FALSE),IF(Settings!$E$9="ESPN",VLOOKUP(B546,ADP!A1:E728,3,FALSE),IF(Settings!$E$9="FANTRAX",VLOOKUP(B546,ADP!A1:E728,4,FALSE),VLOOKUP(B546,ADP!A1:E728,5,FALSE))))</f>
        <v>-</v>
      </c>
      <c r="N546" s="53" t="str">
        <f>IFERROR(M546-A546,"N/A")</f>
        <v>N/A</v>
      </c>
      <c r="O546" s="39"/>
      <c r="P546" s="40" t="str">
        <f>IF(Settings!$E$27="ON",VLOOKUP(B546,ADP!A1:H728,8,FALSE)," ")</f>
        <v xml:space="preserve"> </v>
      </c>
      <c r="Q546" s="41">
        <f>IF(Settings!$E$12="YES",VLOOKUP(B546,'Player Data'!A1:E734,5,FALSE),82)</f>
        <v>69.886071428571398</v>
      </c>
      <c r="R546" s="39">
        <f>VLOOKUP(B546,'Player Data'!$A1:$AE734,6,FALSE)</f>
        <v>13.191452451224499</v>
      </c>
      <c r="S546" s="41">
        <f>VLOOKUP(B546,'Player Data'!$A1:$AE734,7,FALSE)*$Q546*IFERROR((VLOOKUP(P546,Settings!$E$28:$F$33,2,FALSE)+1),1)</f>
        <v>8.4444096291141939</v>
      </c>
      <c r="T546" s="41">
        <f>VLOOKUP(B546,'Player Data'!$A1:$AE734,8,FALSE)*$Q546*IFERROR((VLOOKUP(P546,Settings!$E$28:$F$33,2,FALSE)+1),1)</f>
        <v>9.5280244629855471</v>
      </c>
      <c r="U546" s="41">
        <f>SUM(S546:T546)</f>
        <v>17.972434092099739</v>
      </c>
      <c r="V546" s="41">
        <f>VLOOKUP(B546,'Player Data'!$A1:$AE734,10,FALSE)*$Q546*IFERROR(((VLOOKUP(P546,Settings!$E$28:$F$33,2,FALSE)/2)+1),1)</f>
        <v>102.15159960386038</v>
      </c>
      <c r="W546" s="41">
        <f>VLOOKUP(B546,'Player Data'!$A1:$AE734,11,FALSE)*$Q546*IFERROR((VLOOKUP(P546,Settings!$E$28:$F$33,2,FALSE)+1),1)</f>
        <v>0.22069596912448219</v>
      </c>
      <c r="X546" s="41">
        <f>VLOOKUP(B546,'Player Data'!$A1:$AE734,12,FALSE)*$Q546*IFERROR((VLOOKUP(P546,Settings!$E$28:$F$33,2,FALSE)+1),1)</f>
        <v>0.6546592352915912</v>
      </c>
      <c r="Y546" s="41">
        <f>VLOOKUP(B546,'Player Data'!$A1:$AE734,13,FALSE)*$Q546</f>
        <v>1.1569918356639535</v>
      </c>
      <c r="Z546" s="41">
        <f>VLOOKUP(B546,'Player Data'!$A1:$AE734,14,FALSE)*$Q546</f>
        <v>1.4623510624403069</v>
      </c>
      <c r="AA546" s="41">
        <f>VLOOKUP(B546,'Player Data'!$A1:$AE734,15,FALSE)*$Q546</f>
        <v>34.522757723120158</v>
      </c>
      <c r="AB546" s="41">
        <f>VLOOKUP(B546,'Player Data'!$A1:$AE734,16,FALSE)*$Q546</f>
        <v>83.605627899256618</v>
      </c>
      <c r="AC546" s="41">
        <f>VLOOKUP(B546,'Player Data'!$A1:$AE734,17,FALSE)*$Q546*IFERROR((VLOOKUP(P546,Settings!$E$28:$F$33,2,FALSE)+1),1)</f>
        <v>-6.9173820541251274</v>
      </c>
      <c r="AD546" s="41">
        <f>VLOOKUP(B546,'Player Data'!$A1:$AE734,18,FALSE)*$Q546</f>
        <v>22.341628827188725</v>
      </c>
      <c r="AE546" s="41">
        <f>VLOOKUP(B546,'Player Data'!$A1:$AE734,19,FALSE)*$Q546*IFERROR((VLOOKUP(P546,Settings!$E$28:$F$33,2,FALSE)+1),1)</f>
        <v>0.9151130488284106</v>
      </c>
      <c r="AF546" s="41">
        <f>VLOOKUP(B546,'Player Data'!$A1:$AE734,20,FALSE)*$Q546</f>
        <v>4.305607767333921</v>
      </c>
      <c r="AG546" s="41">
        <f>VLOOKUP(B546,'Player Data'!$A1:$AE734,21,FALSE)*$Q546</f>
        <v>12.461536336999924</v>
      </c>
      <c r="AH546" s="42">
        <f>VLOOKUP(B546,'Player Data'!$A1:$AE734,22,FALSE)</f>
        <v>0.25678837973492802</v>
      </c>
      <c r="AI546" s="39"/>
      <c r="AJ546" s="43"/>
      <c r="AK546" s="41"/>
      <c r="AL546" s="41"/>
      <c r="AM546" s="41"/>
      <c r="AN546" s="41"/>
      <c r="AO546" s="41"/>
      <c r="AP546" s="41"/>
      <c r="AQ546" s="44"/>
      <c r="AR546" s="45"/>
      <c r="AS546" s="39"/>
    </row>
    <row r="547" spans="1:45" ht="21.25" customHeight="1" x14ac:dyDescent="0.15">
      <c r="A547" s="31">
        <f>RANK(K547,K$2:K$727)</f>
        <v>546</v>
      </c>
      <c r="B547" s="8" t="s">
        <v>651</v>
      </c>
      <c r="C547" s="32" t="s">
        <v>106</v>
      </c>
      <c r="D547" s="33" t="str">
        <f>VLOOKUP(B547,'Player Data'!A1:D734,4,FALSE)</f>
        <v>C</v>
      </c>
      <c r="E547" s="34">
        <f>VLOOKUP(B547,'C'!A1:C211,3,FALSE)</f>
        <v>126</v>
      </c>
      <c r="F547" s="35" t="str">
        <f>VLOOKUP(B547,'Player Data'!A1:B734,2,FALSE)</f>
        <v>CAR</v>
      </c>
      <c r="G547" s="9">
        <f>VLOOKUP(B547,'Player Data'!A1:D734,3,FALSE)</f>
        <v>34</v>
      </c>
      <c r="H547" s="36">
        <f>IFERROR(VLOOKUP(B547,ADP!A1:G728,7,FALSE)/1000000,VLOOKUP(B547,ADP!A1:G728,7,FALSE))</f>
        <v>2.9</v>
      </c>
      <c r="I547" s="37">
        <f>IF(Settings!$E$15="POINTS",((R547*Q547)*Settings!$B$12)+(S547*Settings!$B$2)+(T547*Settings!$B$3)+(U547*Settings!$B$4)+(V547*Settings!$B$5)+(X547*Settings!$B$9)+(AA547*Settings!$B$6)+(W547*Settings!$B$8)+(AB547*Settings!$B$7)+(AC547*Settings!$B$14)+(AD547*Settings!$B$15)+(AE547*Settings!$B$16)+(AF547*Settings!$B$17)+(AG547*Settings!$B$18)+(Y547*Settings!$B$10)+(Z547*Settings!$B$11),VLOOKUP(B547,'Standard Deviations'!A1:C728,3,FALSE))</f>
        <v>159.16209032517074</v>
      </c>
      <c r="J547" s="38">
        <f>IF(D547="G",I547/AJ547,I547/Q547)</f>
        <v>1.9682879505976933</v>
      </c>
      <c r="K547" s="37">
        <f>IF(Settings!$E$18="C/LW/RW",VLOOKUP(B547,'C'!A1:F211,6,FALSE),VLOOKUP(B547,F!A1:F430,6,FALSE))</f>
        <v>-234.16671544103892</v>
      </c>
      <c r="L547" s="37">
        <f>IFERROR(K547/H547,"N/A")</f>
        <v>-80.747143255530659</v>
      </c>
      <c r="M547" s="53" t="str">
        <f>IF(Settings!$E$9="YAHOO",VLOOKUP(B547,ADP!A1:E728,2,FALSE),IF(Settings!$E$9="ESPN",VLOOKUP(B547,ADP!A1:E728,3,FALSE),IF(Settings!$E$9="FANTRAX",VLOOKUP(B547,ADP!A1:E728,4,FALSE),VLOOKUP(B547,ADP!A1:E728,5,FALSE))))</f>
        <v>-</v>
      </c>
      <c r="N547" s="53" t="str">
        <f>IFERROR(M547-A547,"N/A")</f>
        <v>N/A</v>
      </c>
      <c r="O547" s="39"/>
      <c r="P547" s="40" t="str">
        <f>IF(Settings!$E$27="ON",VLOOKUP(B547,ADP!A1:H728,8,FALSE)," ")</f>
        <v xml:space="preserve"> </v>
      </c>
      <c r="Q547" s="41">
        <f>IF(Settings!$E$12="YES",VLOOKUP(B547,'Player Data'!A1:E734,5,FALSE),82)</f>
        <v>80.863214285714307</v>
      </c>
      <c r="R547" s="39">
        <f>VLOOKUP(B547,'Player Data'!$A1:$AE734,6,FALSE)</f>
        <v>15.255839681364201</v>
      </c>
      <c r="S547" s="41">
        <f>VLOOKUP(B547,'Player Data'!$A1:$AE734,7,FALSE)*$Q547*IFERROR((VLOOKUP(P547,Settings!$E$28:$F$33,2,FALSE)+1),1)</f>
        <v>13.675315064970007</v>
      </c>
      <c r="T547" s="41">
        <f>VLOOKUP(B547,'Player Data'!$A1:$AE734,8,FALSE)*$Q547*IFERROR((VLOOKUP(P547,Settings!$E$28:$F$33,2,FALSE)+1),1)</f>
        <v>16.034774878731628</v>
      </c>
      <c r="U547" s="41">
        <f>SUM(S547:T547)</f>
        <v>29.710089943701636</v>
      </c>
      <c r="V547" s="41">
        <f>VLOOKUP(B547,'Player Data'!$A1:$AE734,10,FALSE)*$Q547*IFERROR(((VLOOKUP(P547,Settings!$E$28:$F$33,2,FALSE)/2)+1),1)</f>
        <v>122.24471303516697</v>
      </c>
      <c r="W547" s="41">
        <f>VLOOKUP(B547,'Player Data'!$A1:$AE734,11,FALSE)*$Q547*IFERROR((VLOOKUP(P547,Settings!$E$28:$F$33,2,FALSE)+1),1)</f>
        <v>0.27300868867569827</v>
      </c>
      <c r="X547" s="41">
        <f>VLOOKUP(B547,'Player Data'!$A1:$AE734,12,FALSE)*$Q547*IFERROR((VLOOKUP(P547,Settings!$E$28:$F$33,2,FALSE)+1),1)</f>
        <v>0.56701807018992534</v>
      </c>
      <c r="Y547" s="41">
        <f>VLOOKUP(B547,'Player Data'!$A1:$AE734,13,FALSE)*$Q547</f>
        <v>6.9860769242894014E-2</v>
      </c>
      <c r="Z547" s="41">
        <f>VLOOKUP(B547,'Player Data'!$A1:$AE734,14,FALSE)*$Q547</f>
        <v>0.30852060018164007</v>
      </c>
      <c r="AA547" s="41">
        <f>VLOOKUP(B547,'Player Data'!$A1:$AE734,15,FALSE)*$Q547</f>
        <v>35.791933178695899</v>
      </c>
      <c r="AB547" s="41">
        <f>VLOOKUP(B547,'Player Data'!$A1:$AE734,16,FALSE)*$Q547</f>
        <v>154.26605440982311</v>
      </c>
      <c r="AC547" s="41">
        <f>VLOOKUP(B547,'Player Data'!$A1:$AE734,17,FALSE)*$Q547*IFERROR((VLOOKUP(P547,Settings!$E$28:$F$33,2,FALSE)+1),1)</f>
        <v>6.8601690988856792</v>
      </c>
      <c r="AD547" s="41">
        <f>VLOOKUP(B547,'Player Data'!$A1:$AE734,18,FALSE)*$Q547</f>
        <v>27.917586065680034</v>
      </c>
      <c r="AE547" s="41">
        <f>VLOOKUP(B547,'Player Data'!$A1:$AE734,19,FALSE)*$Q547*IFERROR((VLOOKUP(P547,Settings!$E$28:$F$33,2,FALSE)+1),1)</f>
        <v>2.4536577361169294</v>
      </c>
      <c r="AF547" s="41">
        <f>VLOOKUP(B547,'Player Data'!$A1:$AE734,20,FALSE)*$Q547</f>
        <v>768.17970940718362</v>
      </c>
      <c r="AG547" s="41">
        <f>VLOOKUP(B547,'Player Data'!$A1:$AE734,21,FALSE)*$Q547</f>
        <v>586.29279944400946</v>
      </c>
      <c r="AH547" s="42">
        <f>VLOOKUP(B547,'Player Data'!$A1:$AE734,22,FALSE)</f>
        <v>0.56714307923364304</v>
      </c>
      <c r="AI547" s="39"/>
      <c r="AJ547" s="43"/>
      <c r="AK547" s="41"/>
      <c r="AL547" s="41"/>
      <c r="AM547" s="41"/>
      <c r="AN547" s="41"/>
      <c r="AO547" s="41"/>
      <c r="AP547" s="41"/>
      <c r="AQ547" s="44"/>
      <c r="AR547" s="45"/>
      <c r="AS547" s="39"/>
    </row>
    <row r="548" spans="1:45" ht="21.25" customHeight="1" x14ac:dyDescent="0.15">
      <c r="A548" s="31">
        <f>RANK(K548,K$2:K$727)</f>
        <v>547</v>
      </c>
      <c r="B548" s="8" t="s">
        <v>652</v>
      </c>
      <c r="C548" s="32" t="s">
        <v>106</v>
      </c>
      <c r="D548" s="33" t="str">
        <f>VLOOKUP(B548,'Player Data'!A1:D734,4,FALSE)</f>
        <v>C</v>
      </c>
      <c r="E548" s="34">
        <f>VLOOKUP(B548,'C'!A1:C211,3,FALSE)</f>
        <v>127</v>
      </c>
      <c r="F548" s="35" t="str">
        <f>VLOOKUP(B548,'Player Data'!A1:B734,2,FALSE)</f>
        <v>CBJ</v>
      </c>
      <c r="G548" s="9">
        <f>VLOOKUP(B548,'Player Data'!A1:D734,3,FALSE)</f>
        <v>20</v>
      </c>
      <c r="H548" s="36">
        <f>IFERROR(VLOOKUP(B548,ADP!A1:G728,7,FALSE)/1000000,VLOOKUP(B548,ADP!A1:G728,7,FALSE))</f>
        <v>0.92500000000000004</v>
      </c>
      <c r="I548" s="37">
        <f>IF(Settings!$E$15="POINTS",((R548*Q548)*Settings!$B$12)+(S548*Settings!$B$2)+(T548*Settings!$B$3)+(U548*Settings!$B$4)+(V548*Settings!$B$5)+(X548*Settings!$B$9)+(AA548*Settings!$B$6)+(W548*Settings!$B$8)+(AB548*Settings!$B$7)+(AC548*Settings!$B$14)+(AD548*Settings!$B$15)+(AE548*Settings!$B$16)+(AF548*Settings!$B$17)+(AG548*Settings!$B$18)+(Y548*Settings!$B$10)+(Z548*Settings!$B$11),VLOOKUP(B548,'Standard Deviations'!A1:C728,3,FALSE))</f>
        <v>158.82461443652309</v>
      </c>
      <c r="J548" s="38">
        <f>IF(D548="G",I548/AJ548,I548/Q548)</f>
        <v>2.0514012649620343</v>
      </c>
      <c r="K548" s="37">
        <f>IF(Settings!$E$18="C/LW/RW",VLOOKUP(B548,'C'!A1:F211,6,FALSE),VLOOKUP(B548,F!A1:F430,6,FALSE))</f>
        <v>-234.50419132968656</v>
      </c>
      <c r="L548" s="37">
        <f>IFERROR(K548/H548,"N/A")</f>
        <v>-253.51804468074221</v>
      </c>
      <c r="M548" s="53" t="str">
        <f>IF(Settings!$E$9="YAHOO",VLOOKUP(B548,ADP!A1:E728,2,FALSE),IF(Settings!$E$9="ESPN",VLOOKUP(B548,ADP!A1:E728,3,FALSE),IF(Settings!$E$9="FANTRAX",VLOOKUP(B548,ADP!A1:E728,4,FALSE),VLOOKUP(B548,ADP!A1:E728,5,FALSE))))</f>
        <v>-</v>
      </c>
      <c r="N548" s="53" t="str">
        <f>IFERROR(M548-A548,"N/A")</f>
        <v>N/A</v>
      </c>
      <c r="O548" s="39"/>
      <c r="P548" s="40" t="str">
        <f>IF(Settings!$E$27="ON",VLOOKUP(B548,ADP!A1:H728,8,FALSE)," ")</f>
        <v xml:space="preserve"> </v>
      </c>
      <c r="Q548" s="41">
        <f>IF(Settings!$E$12="YES",VLOOKUP(B548,'Player Data'!A1:E734,5,FALSE),82)</f>
        <v>77.422499999999999</v>
      </c>
      <c r="R548" s="39">
        <f>VLOOKUP(B548,'Player Data'!$A1:$AE734,6,FALSE)</f>
        <v>14.0638927704063</v>
      </c>
      <c r="S548" s="41">
        <f>VLOOKUP(B548,'Player Data'!$A1:$AE734,7,FALSE)*$Q548*IFERROR((VLOOKUP(P548,Settings!$E$28:$F$33,2,FALSE)+1),1)</f>
        <v>11.700653246569102</v>
      </c>
      <c r="T548" s="41">
        <f>VLOOKUP(B548,'Player Data'!$A1:$AE734,8,FALSE)*$Q548*IFERROR((VLOOKUP(P548,Settings!$E$28:$F$33,2,FALSE)+1),1)</f>
        <v>15.287993477052687</v>
      </c>
      <c r="U548" s="41">
        <f>SUM(S548:T548)</f>
        <v>26.988646723621791</v>
      </c>
      <c r="V548" s="41">
        <f>VLOOKUP(B548,'Player Data'!$A1:$AE734,10,FALSE)*$Q548*IFERROR(((VLOOKUP(P548,Settings!$E$28:$F$33,2,FALSE)/2)+1),1)</f>
        <v>126.06454143117803</v>
      </c>
      <c r="W548" s="41">
        <f>VLOOKUP(B548,'Player Data'!$A1:$AE734,11,FALSE)*$Q548*IFERROR((VLOOKUP(P548,Settings!$E$28:$F$33,2,FALSE)+1),1)</f>
        <v>1.2239888106431243</v>
      </c>
      <c r="X548" s="41">
        <f>VLOOKUP(B548,'Player Data'!$A1:$AE734,12,FALSE)*$Q548*IFERROR((VLOOKUP(P548,Settings!$E$28:$F$33,2,FALSE)+1),1)</f>
        <v>2.7240001636745146</v>
      </c>
      <c r="Y548" s="41">
        <f>VLOOKUP(B548,'Player Data'!$A1:$AE734,13,FALSE)*$Q548</f>
        <v>0.14066388884638964</v>
      </c>
      <c r="Z548" s="41">
        <f>VLOOKUP(B548,'Player Data'!$A1:$AE734,14,FALSE)*$Q548</f>
        <v>0.25644854111517984</v>
      </c>
      <c r="AA548" s="41">
        <f>VLOOKUP(B548,'Player Data'!$A1:$AE734,15,FALSE)*$Q548</f>
        <v>44.327530702446602</v>
      </c>
      <c r="AB548" s="41">
        <f>VLOOKUP(B548,'Player Data'!$A1:$AE734,16,FALSE)*$Q548</f>
        <v>116.85806014719986</v>
      </c>
      <c r="AC548" s="41">
        <f>VLOOKUP(B548,'Player Data'!$A1:$AE734,17,FALSE)*$Q548*IFERROR((VLOOKUP(P548,Settings!$E$28:$F$33,2,FALSE)+1),1)</f>
        <v>-7.4383072610717864</v>
      </c>
      <c r="AD548" s="41">
        <f>VLOOKUP(B548,'Player Data'!$A1:$AE734,18,FALSE)*$Q548</f>
        <v>31.210516191479254</v>
      </c>
      <c r="AE548" s="41">
        <f>VLOOKUP(B548,'Player Data'!$A1:$AE734,19,FALSE)*$Q548*IFERROR((VLOOKUP(P548,Settings!$E$28:$F$33,2,FALSE)+1),1)</f>
        <v>1.2538055565586186</v>
      </c>
      <c r="AF548" s="41">
        <f>VLOOKUP(B548,'Player Data'!$A1:$AE734,20,FALSE)*$Q548</f>
        <v>394.05845875096617</v>
      </c>
      <c r="AG548" s="41">
        <f>VLOOKUP(B548,'Player Data'!$A1:$AE734,21,FALSE)*$Q548</f>
        <v>474.68545822956759</v>
      </c>
      <c r="AH548" s="42">
        <f>VLOOKUP(B548,'Player Data'!$A1:$AE734,22,FALSE)</f>
        <v>0.45359564659811702</v>
      </c>
      <c r="AI548" s="39"/>
      <c r="AJ548" s="41"/>
      <c r="AK548" s="41"/>
      <c r="AL548" s="41"/>
      <c r="AM548" s="41"/>
      <c r="AN548" s="41"/>
      <c r="AO548" s="41"/>
      <c r="AP548" s="41"/>
      <c r="AQ548" s="44"/>
      <c r="AR548" s="45"/>
      <c r="AS548" s="39"/>
    </row>
    <row r="549" spans="1:45" ht="21.25" customHeight="1" x14ac:dyDescent="0.15">
      <c r="A549" s="31">
        <f>RANK(K549,K$2:K$727)</f>
        <v>548</v>
      </c>
      <c r="B549" s="8" t="s">
        <v>653</v>
      </c>
      <c r="C549" s="32" t="s">
        <v>106</v>
      </c>
      <c r="D549" s="33" t="str">
        <f>VLOOKUP(B549,'Player Data'!A1:D734,4,FALSE)</f>
        <v>D</v>
      </c>
      <c r="E549" s="49">
        <f>VLOOKUP(B549,D!A1:C227,3,FALSE)</f>
        <v>204</v>
      </c>
      <c r="F549" s="35" t="str">
        <f>VLOOKUP(B549,'Player Data'!A1:B734,2,FALSE)</f>
        <v>ANA</v>
      </c>
      <c r="G549" s="9">
        <f>VLOOKUP(B549,'Player Data'!A1:D734,3,FALSE)</f>
        <v>24</v>
      </c>
      <c r="H549" s="36">
        <f>IFERROR(VLOOKUP(B549,ADP!A1:G728,7,FALSE)/1000000,VLOOKUP(B549,ADP!A1:G728,7,FALSE))</f>
        <v>0.85</v>
      </c>
      <c r="I549" s="37">
        <f>IF(Settings!$E$15="POINTS",((R549*Q549)*Settings!$B$12)+(S549*Settings!$B$2)+(T549*Settings!$B$3)+(U549*Settings!$B$4)+(V549*Settings!$B$5)+(X549*Settings!$B$9)+(AA549*Settings!$B$6)+(W549*Settings!$B$8)+(AB549*Settings!$B$7)+(AC549*Settings!$B$14)+(AD549*Settings!$B$15)+(AE549*Settings!$B$16)+(AF549*Settings!$B$17)+(AG549*Settings!$B$18)+(U549*Settings!$B$13)+(Y549*Settings!$B$10)+(Z549*Settings!$B$11),VLOOKUP(B549,'Standard Deviations'!A1:C728,3,FALSE))</f>
        <v>76.573299314535646</v>
      </c>
      <c r="J549" s="38">
        <f>IF(D549="G",I549/AJ549,I549/Q549)</f>
        <v>1.3343118758367247</v>
      </c>
      <c r="K549" s="37">
        <f>VLOOKUP(B549,D!A1:F227,6,FALSE)</f>
        <v>-234.99218231339182</v>
      </c>
      <c r="L549" s="37">
        <f>IFERROR(K549/H549,"N/A")</f>
        <v>-276.46139095693155</v>
      </c>
      <c r="M549" s="53" t="str">
        <f>IF(Settings!$E$9="YAHOO",VLOOKUP(B549,ADP!A1:E728,2,FALSE),IF(Settings!$E$9="ESPN",VLOOKUP(B549,ADP!A1:E728,3,FALSE),IF(Settings!$E$9="FANTRAX",VLOOKUP(B549,ADP!A1:E728,4,FALSE),VLOOKUP(B549,ADP!A1:E728,5,FALSE))))</f>
        <v>-</v>
      </c>
      <c r="N549" s="53" t="str">
        <f>IFERROR(M549-A549,"N/A")</f>
        <v>N/A</v>
      </c>
      <c r="O549" s="39"/>
      <c r="P549" s="40" t="str">
        <f>IF(Settings!$E$27="ON",VLOOKUP(B549,ADP!A1:H728,8,FALSE)," ")</f>
        <v xml:space="preserve"> </v>
      </c>
      <c r="Q549" s="41">
        <f>IF(Settings!$E$12="YES",VLOOKUP(B549,'Player Data'!A1:E734,5,FALSE),82)</f>
        <v>57.387857142857101</v>
      </c>
      <c r="R549" s="39">
        <f>VLOOKUP(B549,'Player Data'!$A1:$AE734,6,FALSE)</f>
        <v>16.499399728061999</v>
      </c>
      <c r="S549" s="41">
        <f>VLOOKUP(B549,'Player Data'!$A1:$AE734,7,FALSE)*$Q549*IFERROR((VLOOKUP(P549,Settings!$E$28:$F$33,2,FALSE)+1),1)</f>
        <v>1.2972631669501224</v>
      </c>
      <c r="T549" s="41">
        <f>VLOOKUP(B549,'Player Data'!$A1:$AE734,8,FALSE)*$Q549*IFERROR((VLOOKUP(P549,Settings!$E$28:$F$33,2,FALSE)+1),1)</f>
        <v>9.2539596871224834</v>
      </c>
      <c r="U549" s="41">
        <f>SUM(S549:T549)</f>
        <v>10.551222854072606</v>
      </c>
      <c r="V549" s="41">
        <f>VLOOKUP(B549,'Player Data'!$A1:$AE734,10,FALSE)*$Q549*IFERROR(((VLOOKUP(P549,Settings!$E$28:$F$33,2,FALSE)/2)+1),1)</f>
        <v>63.2324978839927</v>
      </c>
      <c r="W549" s="41">
        <f>VLOOKUP(B549,'Player Data'!$A1:$AE734,11,FALSE)*$Q549*IFERROR((VLOOKUP(P549,Settings!$E$28:$F$33,2,FALSE)+1),1)</f>
        <v>1.8503800152114541E-2</v>
      </c>
      <c r="X549" s="41">
        <f>VLOOKUP(B549,'Player Data'!$A1:$AE734,12,FALSE)*$Q549*IFERROR((VLOOKUP(P549,Settings!$E$28:$F$33,2,FALSE)+1),1)</f>
        <v>0.16118972374090532</v>
      </c>
      <c r="Y549" s="41">
        <f>VLOOKUP(B549,'Player Data'!$A1:$AE734,13,FALSE)*$Q549</f>
        <v>1.8108770241986816E-2</v>
      </c>
      <c r="Z549" s="41">
        <f>VLOOKUP(B549,'Player Data'!$A1:$AE734,14,FALSE)*$Q549</f>
        <v>6.4615486367742656E-2</v>
      </c>
      <c r="AA549" s="41">
        <f>VLOOKUP(B549,'Player Data'!$A1:$AE734,15,FALSE)*$Q549</f>
        <v>64.258856950520894</v>
      </c>
      <c r="AB549" s="41">
        <f>VLOOKUP(B549,'Player Data'!$A1:$AE734,16,FALSE)*$Q549</f>
        <v>59.304575690458215</v>
      </c>
      <c r="AC549" s="41">
        <f>VLOOKUP(B549,'Player Data'!$A1:$AE734,17,FALSE)*$Q549*IFERROR((VLOOKUP(P549,Settings!$E$28:$F$33,2,FALSE)+1),1)</f>
        <v>-7.6284221981853619</v>
      </c>
      <c r="AD549" s="41">
        <f>VLOOKUP(B549,'Player Data'!$A1:$AE734,18,FALSE)*$Q549</f>
        <v>14.766774223904584</v>
      </c>
      <c r="AE549" s="41">
        <f>VLOOKUP(B549,'Player Data'!$A1:$AE734,19,FALSE)*$Q549*IFERROR((VLOOKUP(P549,Settings!$E$28:$F$33,2,FALSE)+1),1)</f>
        <v>0.14063556596701074</v>
      </c>
      <c r="AF549" s="41">
        <f>VLOOKUP(B549,'Player Data'!$A1:$AE734,20,FALSE)*$Q549</f>
        <v>0</v>
      </c>
      <c r="AG549" s="41">
        <f>VLOOKUP(B549,'Player Data'!$A1:$AE734,21,FALSE)*$Q549</f>
        <v>0</v>
      </c>
      <c r="AH549" s="42">
        <f>VLOOKUP(B549,'Player Data'!$A1:$AE734,22,FALSE)</f>
        <v>0</v>
      </c>
      <c r="AI549" s="39"/>
      <c r="AJ549" s="43"/>
      <c r="AK549" s="41"/>
      <c r="AL549" s="41"/>
      <c r="AM549" s="41"/>
      <c r="AN549" s="41"/>
      <c r="AO549" s="41"/>
      <c r="AP549" s="41"/>
      <c r="AQ549" s="44"/>
      <c r="AR549" s="45"/>
      <c r="AS549" s="39"/>
    </row>
    <row r="550" spans="1:45" ht="21.25" customHeight="1" x14ac:dyDescent="0.15">
      <c r="A550" s="31">
        <f>RANK(K550,K$2:K$727)</f>
        <v>549</v>
      </c>
      <c r="B550" s="8" t="s">
        <v>654</v>
      </c>
      <c r="C550" s="32" t="s">
        <v>106</v>
      </c>
      <c r="D550" s="33" t="str">
        <f>VLOOKUP(B550,'Player Data'!A1:D734,4,FALSE)</f>
        <v>D</v>
      </c>
      <c r="E550" s="49">
        <f>VLOOKUP(B550,D!A1:C227,3,FALSE)</f>
        <v>205</v>
      </c>
      <c r="F550" s="35" t="str">
        <f>VLOOKUP(B550,'Player Data'!A1:B734,2,FALSE)</f>
        <v>TBL</v>
      </c>
      <c r="G550" s="9">
        <f>VLOOKUP(B550,'Player Data'!A1:D734,3,FALSE)</f>
        <v>27</v>
      </c>
      <c r="H550" s="36">
        <f>IFERROR(VLOOKUP(B550,ADP!A1:G728,7,FALSE)/1000000,VLOOKUP(B550,ADP!A1:G728,7,FALSE))</f>
        <v>0.76249999999999996</v>
      </c>
      <c r="I550" s="37">
        <f>IF(Settings!$E$15="POINTS",((R550*Q550)*Settings!$B$12)+(S550*Settings!$B$2)+(T550*Settings!$B$3)+(U550*Settings!$B$4)+(V550*Settings!$B$5)+(X550*Settings!$B$9)+(AA550*Settings!$B$6)+(W550*Settings!$B$8)+(AB550*Settings!$B$7)+(AC550*Settings!$B$14)+(AD550*Settings!$B$15)+(AE550*Settings!$B$16)+(AF550*Settings!$B$17)+(AG550*Settings!$B$18)+(U550*Settings!$B$13)+(Y550*Settings!$B$10)+(Z550*Settings!$B$11),VLOOKUP(B550,'Standard Deviations'!A1:C728,3,FALSE))</f>
        <v>76.195971919664316</v>
      </c>
      <c r="J550" s="38">
        <f>IF(D550="G",I550/AJ550,I550/Q550)</f>
        <v>1.1726129687597759</v>
      </c>
      <c r="K550" s="37">
        <f>VLOOKUP(B550,D!A1:F227,6,FALSE)</f>
        <v>-235.36950970826314</v>
      </c>
      <c r="L550" s="37">
        <f>IFERROR(K550/H550,"N/A")</f>
        <v>-308.68132420755825</v>
      </c>
      <c r="M550" s="53" t="str">
        <f>IF(Settings!$E$9="YAHOO",VLOOKUP(B550,ADP!A1:E728,2,FALSE),IF(Settings!$E$9="ESPN",VLOOKUP(B550,ADP!A1:E728,3,FALSE),IF(Settings!$E$9="FANTRAX",VLOOKUP(B550,ADP!A1:E728,4,FALSE),VLOOKUP(B550,ADP!A1:E728,5,FALSE))))</f>
        <v>-</v>
      </c>
      <c r="N550" s="53" t="str">
        <f>IFERROR(M550-A550,"N/A")</f>
        <v>N/A</v>
      </c>
      <c r="O550" s="39"/>
      <c r="P550" s="40" t="str">
        <f>IF(Settings!$E$27="ON",VLOOKUP(B550,ADP!A1:H728,8,FALSE)," ")</f>
        <v xml:space="preserve"> </v>
      </c>
      <c r="Q550" s="41">
        <f>IF(Settings!$E$12="YES",VLOOKUP(B550,'Player Data'!A1:E734,5,FALSE),82)</f>
        <v>64.979642857142906</v>
      </c>
      <c r="R550" s="39">
        <f>VLOOKUP(B550,'Player Data'!$A1:$AE734,6,FALSE)</f>
        <v>14.360922533766599</v>
      </c>
      <c r="S550" s="41">
        <f>VLOOKUP(B550,'Player Data'!$A1:$AE734,7,FALSE)*$Q550*IFERROR((VLOOKUP(P550,Settings!$E$28:$F$33,2,FALSE)+1),1)</f>
        <v>2.609911533204432</v>
      </c>
      <c r="T550" s="41">
        <f>VLOOKUP(B550,'Player Data'!$A1:$AE734,8,FALSE)*$Q550*IFERROR((VLOOKUP(P550,Settings!$E$28:$F$33,2,FALSE)+1),1)</f>
        <v>4.6205313896953886</v>
      </c>
      <c r="U550" s="41">
        <f>SUM(S550:T550)</f>
        <v>7.2304429228998206</v>
      </c>
      <c r="V550" s="41">
        <f>VLOOKUP(B550,'Player Data'!$A1:$AE734,10,FALSE)*$Q550*IFERROR(((VLOOKUP(P550,Settings!$E$28:$F$33,2,FALSE)/2)+1),1)</f>
        <v>78.210363326244888</v>
      </c>
      <c r="W550" s="41">
        <f>VLOOKUP(B550,'Player Data'!$A1:$AE734,11,FALSE)*$Q550*IFERROR((VLOOKUP(P550,Settings!$E$28:$F$33,2,FALSE)+1),1)</f>
        <v>9.8348719510490852E-3</v>
      </c>
      <c r="X550" s="41">
        <f>VLOOKUP(B550,'Player Data'!$A1:$AE734,12,FALSE)*$Q550*IFERROR((VLOOKUP(P550,Settings!$E$28:$F$33,2,FALSE)+1),1)</f>
        <v>6.8135502219972457E-2</v>
      </c>
      <c r="Y550" s="41">
        <f>VLOOKUP(B550,'Player Data'!$A1:$AE734,13,FALSE)*$Q550</f>
        <v>1.654806462893002E-2</v>
      </c>
      <c r="Z550" s="41">
        <f>VLOOKUP(B550,'Player Data'!$A1:$AE734,14,FALSE)*$Q550</f>
        <v>6.2802889481956711E-2</v>
      </c>
      <c r="AA550" s="41">
        <f>VLOOKUP(B550,'Player Data'!$A1:$AE734,15,FALSE)*$Q550</f>
        <v>75.687923522192762</v>
      </c>
      <c r="AB550" s="41">
        <f>VLOOKUP(B550,'Player Data'!$A1:$AE734,16,FALSE)*$Q550</f>
        <v>85.703324212934234</v>
      </c>
      <c r="AC550" s="41">
        <f>VLOOKUP(B550,'Player Data'!$A1:$AE734,17,FALSE)*$Q550*IFERROR((VLOOKUP(P550,Settings!$E$28:$F$33,2,FALSE)+1),1)</f>
        <v>-0.65032922035377239</v>
      </c>
      <c r="AD550" s="41">
        <f>VLOOKUP(B550,'Player Data'!$A1:$AE734,18,FALSE)*$Q550</f>
        <v>16.899098471400677</v>
      </c>
      <c r="AE550" s="41">
        <f>VLOOKUP(B550,'Player Data'!$A1:$AE734,19,FALSE)*$Q550*IFERROR((VLOOKUP(P550,Settings!$E$28:$F$33,2,FALSE)+1),1)</f>
        <v>0.40845210299848872</v>
      </c>
      <c r="AF550" s="41">
        <f>VLOOKUP(B550,'Player Data'!$A1:$AE734,20,FALSE)*$Q550</f>
        <v>0</v>
      </c>
      <c r="AG550" s="41">
        <f>VLOOKUP(B550,'Player Data'!$A1:$AE734,21,FALSE)*$Q550</f>
        <v>0</v>
      </c>
      <c r="AH550" s="42">
        <f>VLOOKUP(B550,'Player Data'!$A1:$AE734,22,FALSE)</f>
        <v>0</v>
      </c>
      <c r="AI550" s="39"/>
      <c r="AJ550" s="43"/>
      <c r="AK550" s="41"/>
      <c r="AL550" s="41"/>
      <c r="AM550" s="41"/>
      <c r="AN550" s="41"/>
      <c r="AO550" s="41"/>
      <c r="AP550" s="41"/>
      <c r="AQ550" s="44"/>
      <c r="AR550" s="45"/>
      <c r="AS550" s="39"/>
    </row>
    <row r="551" spans="1:45" ht="21.25" customHeight="1" x14ac:dyDescent="0.15">
      <c r="A551" s="31">
        <f>RANK(K551,K$2:K$727)</f>
        <v>550</v>
      </c>
      <c r="B551" s="8" t="s">
        <v>655</v>
      </c>
      <c r="C551" s="32" t="s">
        <v>106</v>
      </c>
      <c r="D551" s="33" t="str">
        <f>VLOOKUP(B551,'Player Data'!A1:D734,4,FALSE)</f>
        <v>D</v>
      </c>
      <c r="E551" s="49">
        <f>VLOOKUP(B551,D!A1:C227,3,FALSE)</f>
        <v>206</v>
      </c>
      <c r="F551" s="35" t="str">
        <f>VLOOKUP(B551,'Player Data'!A1:B734,2,FALSE)</f>
        <v>MTL</v>
      </c>
      <c r="G551" s="9">
        <f>VLOOKUP(B551,'Player Data'!A1:D734,3,FALSE)</f>
        <v>33</v>
      </c>
      <c r="H551" s="36">
        <f>IFERROR(VLOOKUP(B551,ADP!A1:G728,7,FALSE)/1000000,VLOOKUP(B551,ADP!A1:G728,7,FALSE))</f>
        <v>0.76200000000000001</v>
      </c>
      <c r="I551" s="37">
        <f>IF(Settings!$E$15="POINTS",((R551*Q551)*Settings!$B$12)+(S551*Settings!$B$2)+(T551*Settings!$B$3)+(U551*Settings!$B$4)+(V551*Settings!$B$5)+(X551*Settings!$B$9)+(AA551*Settings!$B$6)+(W551*Settings!$B$8)+(AB551*Settings!$B$7)+(AC551*Settings!$B$14)+(AD551*Settings!$B$15)+(AE551*Settings!$B$16)+(AF551*Settings!$B$17)+(AG551*Settings!$B$18)+(U551*Settings!$B$13)+(Y551*Settings!$B$10)+(Z551*Settings!$B$11),VLOOKUP(B551,'Standard Deviations'!A1:C728,3,FALSE))</f>
        <v>76.129499780232919</v>
      </c>
      <c r="J551" s="38">
        <f>IF(D551="G",I551/AJ551,I551/Q551)</f>
        <v>1.1718540718884463</v>
      </c>
      <c r="K551" s="37">
        <f>VLOOKUP(B551,D!A1:F227,6,FALSE)</f>
        <v>-235.43598184769453</v>
      </c>
      <c r="L551" s="37">
        <f>IFERROR(K551/H551,"N/A")</f>
        <v>-308.97110478700068</v>
      </c>
      <c r="M551" s="53" t="str">
        <f>IF(Settings!$E$9="YAHOO",VLOOKUP(B551,ADP!A1:E728,2,FALSE),IF(Settings!$E$9="ESPN",VLOOKUP(B551,ADP!A1:E728,3,FALSE),IF(Settings!$E$9="FANTRAX",VLOOKUP(B551,ADP!A1:E728,4,FALSE),VLOOKUP(B551,ADP!A1:E728,5,FALSE))))</f>
        <v>-</v>
      </c>
      <c r="N551" s="53" t="str">
        <f>IFERROR(M551-A551,"N/A")</f>
        <v>N/A</v>
      </c>
      <c r="O551" s="39"/>
      <c r="P551" s="40" t="str">
        <f>IF(Settings!$E$27="ON",VLOOKUP(B551,ADP!A1:H728,8,FALSE)," ")</f>
        <v xml:space="preserve"> </v>
      </c>
      <c r="Q551" s="41">
        <f>IF(Settings!$E$12="YES",VLOOKUP(B551,'Player Data'!A1:E734,5,FALSE),82)</f>
        <v>64.965000000000003</v>
      </c>
      <c r="R551" s="39">
        <f>VLOOKUP(B551,'Player Data'!$A1:$AE734,6,FALSE)</f>
        <v>12.762144040071499</v>
      </c>
      <c r="S551" s="41">
        <f>VLOOKUP(B551,'Player Data'!$A1:$AE734,7,FALSE)*$Q551*IFERROR((VLOOKUP(P551,Settings!$E$28:$F$33,2,FALSE)+1),1)</f>
        <v>1.9809079614354121</v>
      </c>
      <c r="T551" s="41">
        <f>VLOOKUP(B551,'Player Data'!$A1:$AE734,8,FALSE)*$Q551*IFERROR((VLOOKUP(P551,Settings!$E$28:$F$33,2,FALSE)+1),1)</f>
        <v>9.5792174384746041</v>
      </c>
      <c r="U551" s="41">
        <f>SUM(S551:T551)</f>
        <v>11.560125399910016</v>
      </c>
      <c r="V551" s="41">
        <f>VLOOKUP(B551,'Player Data'!$A1:$AE734,10,FALSE)*$Q551*IFERROR(((VLOOKUP(P551,Settings!$E$28:$F$33,2,FALSE)/2)+1),1)</f>
        <v>51.346296952582996</v>
      </c>
      <c r="W551" s="41">
        <f>VLOOKUP(B551,'Player Data'!$A1:$AE734,11,FALSE)*$Q551*IFERROR((VLOOKUP(P551,Settings!$E$28:$F$33,2,FALSE)+1),1)</f>
        <v>4.0896287567958753E-2</v>
      </c>
      <c r="X551" s="41">
        <f>VLOOKUP(B551,'Player Data'!$A1:$AE734,12,FALSE)*$Q551*IFERROR((VLOOKUP(P551,Settings!$E$28:$F$33,2,FALSE)+1),1)</f>
        <v>1.7885137123273041</v>
      </c>
      <c r="Y551" s="41">
        <f>VLOOKUP(B551,'Player Data'!$A1:$AE734,13,FALSE)*$Q551</f>
        <v>3.8217062029877683E-3</v>
      </c>
      <c r="Z551" s="41">
        <f>VLOOKUP(B551,'Player Data'!$A1:$AE734,14,FALSE)*$Q551</f>
        <v>1.5188370397252562E-2</v>
      </c>
      <c r="AA551" s="41">
        <f>VLOOKUP(B551,'Player Data'!$A1:$AE734,15,FALSE)*$Q551</f>
        <v>60.842854693811262</v>
      </c>
      <c r="AB551" s="41">
        <f>VLOOKUP(B551,'Player Data'!$A1:$AE734,16,FALSE)*$Q551</f>
        <v>52.944479512530918</v>
      </c>
      <c r="AC551" s="41">
        <f>VLOOKUP(B551,'Player Data'!$A1:$AE734,17,FALSE)*$Q551*IFERROR((VLOOKUP(P551,Settings!$E$28:$F$33,2,FALSE)+1),1)</f>
        <v>-6.6972049518992431</v>
      </c>
      <c r="AD551" s="41">
        <f>VLOOKUP(B551,'Player Data'!$A1:$AE734,18,FALSE)*$Q551</f>
        <v>39.542392472841904</v>
      </c>
      <c r="AE551" s="41">
        <f>VLOOKUP(B551,'Player Data'!$A1:$AE734,19,FALSE)*$Q551*IFERROR((VLOOKUP(P551,Settings!$E$28:$F$33,2,FALSE)+1),1)</f>
        <v>0.21466920763622235</v>
      </c>
      <c r="AF551" s="41">
        <f>VLOOKUP(B551,'Player Data'!$A1:$AE734,20,FALSE)*$Q551</f>
        <v>0</v>
      </c>
      <c r="AG551" s="41">
        <f>VLOOKUP(B551,'Player Data'!$A1:$AE734,21,FALSE)*$Q551</f>
        <v>0</v>
      </c>
      <c r="AH551" s="42">
        <f>VLOOKUP(B551,'Player Data'!$A1:$AE734,22,FALSE)</f>
        <v>0</v>
      </c>
      <c r="AI551" s="39"/>
      <c r="AJ551" s="43"/>
      <c r="AK551" s="41"/>
      <c r="AL551" s="41"/>
      <c r="AM551" s="41"/>
      <c r="AN551" s="41"/>
      <c r="AO551" s="41"/>
      <c r="AP551" s="41"/>
      <c r="AQ551" s="44"/>
      <c r="AR551" s="45"/>
      <c r="AS551" s="39"/>
    </row>
    <row r="552" spans="1:45" ht="21.25" customHeight="1" x14ac:dyDescent="0.15">
      <c r="A552" s="31">
        <f>RANK(K552,K$2:K$727)</f>
        <v>551</v>
      </c>
      <c r="B552" s="8" t="s">
        <v>656</v>
      </c>
      <c r="C552" s="32" t="s">
        <v>106</v>
      </c>
      <c r="D552" s="33" t="str">
        <f>VLOOKUP(B552,'Player Data'!A1:D734,4,FALSE)</f>
        <v>D</v>
      </c>
      <c r="E552" s="49">
        <f>VLOOKUP(B552,D!A1:C227,3,FALSE)</f>
        <v>207</v>
      </c>
      <c r="F552" s="35" t="str">
        <f>VLOOKUP(B552,'Player Data'!A1:B734,2,FALSE)</f>
        <v>CHI</v>
      </c>
      <c r="G552" s="9">
        <f>VLOOKUP(B552,'Player Data'!A1:D734,3,FALSE)</f>
        <v>31</v>
      </c>
      <c r="H552" s="36">
        <f>IFERROR(VLOOKUP(B552,ADP!A1:G728,7,FALSE)/1000000,VLOOKUP(B552,ADP!A1:G728,7,FALSE))</f>
        <v>1.25</v>
      </c>
      <c r="I552" s="37">
        <f>IF(Settings!$E$15="POINTS",((R552*Q552)*Settings!$B$12)+(S552*Settings!$B$2)+(T552*Settings!$B$3)+(U552*Settings!$B$4)+(V552*Settings!$B$5)+(X552*Settings!$B$9)+(AA552*Settings!$B$6)+(W552*Settings!$B$8)+(AB552*Settings!$B$7)+(AC552*Settings!$B$14)+(AD552*Settings!$B$15)+(AE552*Settings!$B$16)+(AF552*Settings!$B$17)+(AG552*Settings!$B$18)+(U552*Settings!$B$13)+(Y552*Settings!$B$10)+(Z552*Settings!$B$11),VLOOKUP(B552,'Standard Deviations'!A1:C728,3,FALSE))</f>
        <v>76.073801388320732</v>
      </c>
      <c r="J552" s="38">
        <f>IF(D552="G",I552/AJ552,I552/Q552)</f>
        <v>1.2711274721303436</v>
      </c>
      <c r="K552" s="37">
        <f>VLOOKUP(B552,D!A1:F227,6,FALSE)</f>
        <v>-235.49168023960672</v>
      </c>
      <c r="L552" s="37">
        <f>IFERROR(K552/H552,"N/A")</f>
        <v>-188.39334419168537</v>
      </c>
      <c r="M552" s="53" t="str">
        <f>IF(Settings!$E$9="YAHOO",VLOOKUP(B552,ADP!A1:E728,2,FALSE),IF(Settings!$E$9="ESPN",VLOOKUP(B552,ADP!A1:E728,3,FALSE),IF(Settings!$E$9="FANTRAX",VLOOKUP(B552,ADP!A1:E728,4,FALSE),VLOOKUP(B552,ADP!A1:E728,5,FALSE))))</f>
        <v>-</v>
      </c>
      <c r="N552" s="53" t="str">
        <f>IFERROR(M552-A552,"N/A")</f>
        <v>N/A</v>
      </c>
      <c r="O552" s="39"/>
      <c r="P552" s="40" t="str">
        <f>IF(Settings!$E$27="ON",VLOOKUP(B552,ADP!A1:H728,8,FALSE)," ")</f>
        <v xml:space="preserve"> </v>
      </c>
      <c r="Q552" s="41">
        <f>IF(Settings!$E$12="YES",VLOOKUP(B552,'Player Data'!A1:E734,5,FALSE),82)</f>
        <v>59.847499999999997</v>
      </c>
      <c r="R552" s="39">
        <f>VLOOKUP(B552,'Player Data'!$A1:$AE734,6,FALSE)</f>
        <v>16.7671081221037</v>
      </c>
      <c r="S552" s="41">
        <f>VLOOKUP(B552,'Player Data'!$A1:$AE734,7,FALSE)*$Q552*IFERROR((VLOOKUP(P552,Settings!$E$28:$F$33,2,FALSE)+1),1)</f>
        <v>2.6304087453598211</v>
      </c>
      <c r="T552" s="41">
        <f>VLOOKUP(B552,'Player Data'!$A1:$AE734,8,FALSE)*$Q552*IFERROR((VLOOKUP(P552,Settings!$E$28:$F$33,2,FALSE)+1),1)</f>
        <v>7.689247060787288</v>
      </c>
      <c r="U552" s="41">
        <f>SUM(S552:T552)</f>
        <v>10.319655806147109</v>
      </c>
      <c r="V552" s="41">
        <f>VLOOKUP(B552,'Player Data'!$A1:$AE734,10,FALSE)*$Q552*IFERROR(((VLOOKUP(P552,Settings!$E$28:$F$33,2,FALSE)/2)+1),1)</f>
        <v>53.711686634506862</v>
      </c>
      <c r="W552" s="41">
        <f>VLOOKUP(B552,'Player Data'!$A1:$AE734,11,FALSE)*$Q552*IFERROR((VLOOKUP(P552,Settings!$E$28:$F$33,2,FALSE)+1),1)</f>
        <v>1.3659653569684826E-2</v>
      </c>
      <c r="X552" s="41">
        <f>VLOOKUP(B552,'Player Data'!$A1:$AE734,12,FALSE)*$Q552*IFERROR((VLOOKUP(P552,Settings!$E$28:$F$33,2,FALSE)+1),1)</f>
        <v>9.4934830898004877E-2</v>
      </c>
      <c r="Y552" s="41">
        <f>VLOOKUP(B552,'Player Data'!$A1:$AE734,13,FALSE)*$Q552</f>
        <v>4.581621224961311E-2</v>
      </c>
      <c r="Z552" s="41">
        <f>VLOOKUP(B552,'Player Data'!$A1:$AE734,14,FALSE)*$Q552</f>
        <v>0.1800503760724072</v>
      </c>
      <c r="AA552" s="41">
        <f>VLOOKUP(B552,'Player Data'!$A1:$AE734,15,FALSE)*$Q552</f>
        <v>88.545101193425737</v>
      </c>
      <c r="AB552" s="41">
        <f>VLOOKUP(B552,'Player Data'!$A1:$AE734,16,FALSE)*$Q552</f>
        <v>142.89886204222876</v>
      </c>
      <c r="AC552" s="41">
        <f>VLOOKUP(B552,'Player Data'!$A1:$AE734,17,FALSE)*$Q552*IFERROR((VLOOKUP(P552,Settings!$E$28:$F$33,2,FALSE)+1),1)</f>
        <v>-6.1620052869410165</v>
      </c>
      <c r="AD552" s="41">
        <f>VLOOKUP(B552,'Player Data'!$A1:$AE734,18,FALSE)*$Q552</f>
        <v>43.570756758663379</v>
      </c>
      <c r="AE552" s="41">
        <f>VLOOKUP(B552,'Player Data'!$A1:$AE734,19,FALSE)*$Q552*IFERROR((VLOOKUP(P552,Settings!$E$28:$F$33,2,FALSE)+1),1)</f>
        <v>0.30823537904934772</v>
      </c>
      <c r="AF552" s="41">
        <f>VLOOKUP(B552,'Player Data'!$A1:$AE734,20,FALSE)*$Q552</f>
        <v>0</v>
      </c>
      <c r="AG552" s="41">
        <f>VLOOKUP(B552,'Player Data'!$A1:$AE734,21,FALSE)*$Q552</f>
        <v>0</v>
      </c>
      <c r="AH552" s="42">
        <f>VLOOKUP(B552,'Player Data'!$A1:$AE734,22,FALSE)</f>
        <v>0</v>
      </c>
      <c r="AI552" s="39"/>
      <c r="AJ552" s="43"/>
      <c r="AK552" s="41"/>
      <c r="AL552" s="41"/>
      <c r="AM552" s="41"/>
      <c r="AN552" s="41"/>
      <c r="AO552" s="41"/>
      <c r="AP552" s="41"/>
      <c r="AQ552" s="44"/>
      <c r="AR552" s="45"/>
      <c r="AS552" s="39"/>
    </row>
    <row r="553" spans="1:45" ht="21.25" customHeight="1" x14ac:dyDescent="0.15">
      <c r="A553" s="31">
        <f>RANK(K553,K$2:K$727)</f>
        <v>552</v>
      </c>
      <c r="B553" s="8" t="s">
        <v>657</v>
      </c>
      <c r="C553" s="32" t="s">
        <v>106</v>
      </c>
      <c r="D553" s="33" t="str">
        <f>VLOOKUP(B553,'Player Data'!A1:D734,4,FALSE)</f>
        <v>C</v>
      </c>
      <c r="E553" s="34">
        <f>VLOOKUP(B553,'C'!A1:C211,3,FALSE)</f>
        <v>128</v>
      </c>
      <c r="F553" s="35" t="str">
        <f>VLOOKUP(B553,'Player Data'!A1:B734,2,FALSE)</f>
        <v>NSH</v>
      </c>
      <c r="G553" s="9">
        <f>VLOOKUP(B553,'Player Data'!A1:D734,3,FALSE)</f>
        <v>26</v>
      </c>
      <c r="H553" s="36">
        <f>IFERROR(VLOOKUP(B553,ADP!A1:G728,7,FALSE)/1000000,VLOOKUP(B553,ADP!A1:G728,7,FALSE))</f>
        <v>1.7</v>
      </c>
      <c r="I553" s="37">
        <f>IF(Settings!$E$15="POINTS",((R553*Q553)*Settings!$B$12)+(S553*Settings!$B$2)+(T553*Settings!$B$3)+(U553*Settings!$B$4)+(V553*Settings!$B$5)+(X553*Settings!$B$9)+(AA553*Settings!$B$6)+(W553*Settings!$B$8)+(AB553*Settings!$B$7)+(AC553*Settings!$B$14)+(AD553*Settings!$B$15)+(AE553*Settings!$B$16)+(AF553*Settings!$B$17)+(AG553*Settings!$B$18)+(Y553*Settings!$B$10)+(Z553*Settings!$B$11),VLOOKUP(B553,'Standard Deviations'!A1:C728,3,FALSE))</f>
        <v>157.00202407955777</v>
      </c>
      <c r="J553" s="38">
        <f>IF(D553="G",I553/AJ553,I553/Q553)</f>
        <v>1.9809284803138165</v>
      </c>
      <c r="K553" s="37">
        <f>IF(Settings!$E$18="C/LW/RW",VLOOKUP(B553,'C'!A1:F211,6,FALSE),VLOOKUP(B553,F!A1:F430,6,FALSE))</f>
        <v>-236.32678168665188</v>
      </c>
      <c r="L553" s="37">
        <f>IFERROR(K553/H553,"N/A")</f>
        <v>-139.01575393332465</v>
      </c>
      <c r="M553" s="53" t="str">
        <f>IF(Settings!$E$9="YAHOO",VLOOKUP(B553,ADP!A1:E728,2,FALSE),IF(Settings!$E$9="ESPN",VLOOKUP(B553,ADP!A1:E728,3,FALSE),IF(Settings!$E$9="FANTRAX",VLOOKUP(B553,ADP!A1:E728,4,FALSE),VLOOKUP(B553,ADP!A1:E728,5,FALSE))))</f>
        <v>-</v>
      </c>
      <c r="N553" s="53" t="str">
        <f>IFERROR(M553-A553,"N/A")</f>
        <v>N/A</v>
      </c>
      <c r="O553" s="39"/>
      <c r="P553" s="40" t="str">
        <f>IF(Settings!$E$27="ON",VLOOKUP(B553,ADP!A1:H728,8,FALSE)," ")</f>
        <v xml:space="preserve"> </v>
      </c>
      <c r="Q553" s="41">
        <f>IF(Settings!$E$12="YES",VLOOKUP(B553,'Player Data'!A1:E734,5,FALSE),82)</f>
        <v>79.256785714285698</v>
      </c>
      <c r="R553" s="39">
        <f>VLOOKUP(B553,'Player Data'!$A1:$AE734,6,FALSE)</f>
        <v>14.772821523994301</v>
      </c>
      <c r="S553" s="41">
        <f>VLOOKUP(B553,'Player Data'!$A1:$AE734,7,FALSE)*$Q553*IFERROR((VLOOKUP(P553,Settings!$E$28:$F$33,2,FALSE)+1),1)</f>
        <v>14.049210185771683</v>
      </c>
      <c r="T553" s="41">
        <f>VLOOKUP(B553,'Player Data'!$A1:$AE734,8,FALSE)*$Q553*IFERROR((VLOOKUP(P553,Settings!$E$28:$F$33,2,FALSE)+1),1)</f>
        <v>11.658661713224411</v>
      </c>
      <c r="U553" s="41">
        <f>SUM(S553:T553)</f>
        <v>25.707871898996096</v>
      </c>
      <c r="V553" s="41">
        <f>VLOOKUP(B553,'Player Data'!$A1:$AE734,10,FALSE)*$Q553*IFERROR(((VLOOKUP(P553,Settings!$E$28:$F$33,2,FALSE)/2)+1),1)</f>
        <v>137.29821637326745</v>
      </c>
      <c r="W553" s="41">
        <f>VLOOKUP(B553,'Player Data'!$A1:$AE734,11,FALSE)*$Q553*IFERROR((VLOOKUP(P553,Settings!$E$28:$F$33,2,FALSE)+1),1)</f>
        <v>0.18821687321967626</v>
      </c>
      <c r="X553" s="41">
        <f>VLOOKUP(B553,'Player Data'!$A1:$AE734,12,FALSE)*$Q553*IFERROR((VLOOKUP(P553,Settings!$E$28:$F$33,2,FALSE)+1),1)</f>
        <v>0.87158581843827987</v>
      </c>
      <c r="Y553" s="41">
        <f>VLOOKUP(B553,'Player Data'!$A1:$AE734,13,FALSE)*$Q553</f>
        <v>1.3090157388213266</v>
      </c>
      <c r="Z553" s="41">
        <f>VLOOKUP(B553,'Player Data'!$A1:$AE734,14,FALSE)*$Q553</f>
        <v>1.4314090733415088</v>
      </c>
      <c r="AA553" s="41">
        <f>VLOOKUP(B553,'Player Data'!$A1:$AE734,15,FALSE)*$Q553</f>
        <v>33.116552061880867</v>
      </c>
      <c r="AB553" s="41">
        <f>VLOOKUP(B553,'Player Data'!$A1:$AE734,16,FALSE)*$Q553</f>
        <v>164.27068642162624</v>
      </c>
      <c r="AC553" s="41">
        <f>VLOOKUP(B553,'Player Data'!$A1:$AE734,17,FALSE)*$Q553*IFERROR((VLOOKUP(P553,Settings!$E$28:$F$33,2,FALSE)+1),1)</f>
        <v>-2.0744303413654879</v>
      </c>
      <c r="AD553" s="41">
        <f>VLOOKUP(B553,'Player Data'!$A1:$AE734,18,FALSE)*$Q553</f>
        <v>39.567269229564289</v>
      </c>
      <c r="AE553" s="41">
        <f>VLOOKUP(B553,'Player Data'!$A1:$AE734,19,FALSE)*$Q553*IFERROR((VLOOKUP(P553,Settings!$E$28:$F$33,2,FALSE)+1),1)</f>
        <v>2.0515521312520306</v>
      </c>
      <c r="AF553" s="41">
        <f>VLOOKUP(B553,'Player Data'!$A1:$AE734,20,FALSE)*$Q553</f>
        <v>12.836776939148088</v>
      </c>
      <c r="AG553" s="41">
        <f>VLOOKUP(B553,'Player Data'!$A1:$AE734,21,FALSE)*$Q553</f>
        <v>22.465777253170295</v>
      </c>
      <c r="AH553" s="42">
        <f>VLOOKUP(B553,'Player Data'!$A1:$AE734,22,FALSE)</f>
        <v>0.36362176145150799</v>
      </c>
      <c r="AI553" s="39"/>
      <c r="AJ553" s="41"/>
      <c r="AK553" s="41"/>
      <c r="AL553" s="41"/>
      <c r="AM553" s="41"/>
      <c r="AN553" s="41"/>
      <c r="AO553" s="41"/>
      <c r="AP553" s="41"/>
      <c r="AQ553" s="44"/>
      <c r="AR553" s="45"/>
      <c r="AS553" s="39"/>
    </row>
    <row r="554" spans="1:45" ht="21.25" customHeight="1" x14ac:dyDescent="0.15">
      <c r="A554" s="31">
        <f>RANK(K554,K$2:K$727)</f>
        <v>553</v>
      </c>
      <c r="B554" s="8" t="s">
        <v>658</v>
      </c>
      <c r="C554" s="32" t="s">
        <v>106</v>
      </c>
      <c r="D554" s="33" t="str">
        <f>VLOOKUP(B554,'Player Data'!A1:D734,4,FALSE)</f>
        <v>D</v>
      </c>
      <c r="E554" s="49">
        <f>VLOOKUP(B554,D!A1:C227,3,FALSE)</f>
        <v>208</v>
      </c>
      <c r="F554" s="35" t="str">
        <f>VLOOKUP(B554,'Player Data'!A1:B734,2,FALSE)</f>
        <v>WSH</v>
      </c>
      <c r="G554" s="9">
        <f>VLOOKUP(B554,'Player Data'!A1:D734,3,FALSE)</f>
        <v>23</v>
      </c>
      <c r="H554" s="36">
        <f>IFERROR(VLOOKUP(B554,ADP!A1:G728,7,FALSE)/1000000,VLOOKUP(B554,ADP!A1:G728,7,FALSE))</f>
        <v>0</v>
      </c>
      <c r="I554" s="37">
        <f>IF(Settings!$E$15="POINTS",((R554*Q554)*Settings!$B$12)+(S554*Settings!$B$2)+(T554*Settings!$B$3)+(U554*Settings!$B$4)+(V554*Settings!$B$5)+(X554*Settings!$B$9)+(AA554*Settings!$B$6)+(W554*Settings!$B$8)+(AB554*Settings!$B$7)+(AC554*Settings!$B$14)+(AD554*Settings!$B$15)+(AE554*Settings!$B$16)+(AF554*Settings!$B$17)+(AG554*Settings!$B$18)+(U554*Settings!$B$13)+(Y554*Settings!$B$10)+(Z554*Settings!$B$11),VLOOKUP(B554,'Standard Deviations'!A1:C728,3,FALSE))</f>
        <v>74.529023427539315</v>
      </c>
      <c r="J554" s="38">
        <f>IF(D554="G",I554/AJ554,I554/Q554)</f>
        <v>1.3848473717199667</v>
      </c>
      <c r="K554" s="37">
        <f>VLOOKUP(B554,D!A1:F227,6,FALSE)</f>
        <v>-237.03645820038815</v>
      </c>
      <c r="L554" s="52" t="str">
        <f>IFERROR(K554/H554,"N/A")</f>
        <v>N/A</v>
      </c>
      <c r="M554" s="53" t="str">
        <f>IF(Settings!$E$9="YAHOO",VLOOKUP(B554,ADP!A1:E728,2,FALSE),IF(Settings!$E$9="ESPN",VLOOKUP(B554,ADP!A1:E728,3,FALSE),IF(Settings!$E$9="FANTRAX",VLOOKUP(B554,ADP!A1:E728,4,FALSE),VLOOKUP(B554,ADP!A1:E728,5,FALSE))))</f>
        <v>-</v>
      </c>
      <c r="N554" s="53" t="str">
        <f>IFERROR(M554-A554,"N/A")</f>
        <v>N/A</v>
      </c>
      <c r="O554" s="39"/>
      <c r="P554" s="40" t="str">
        <f>IF(Settings!$E$27="ON",VLOOKUP(B554,ADP!A1:H728,8,FALSE)," ")</f>
        <v xml:space="preserve"> </v>
      </c>
      <c r="Q554" s="41">
        <f>IF(Settings!$E$12="YES",VLOOKUP(B554,'Player Data'!A1:E734,5,FALSE),82)</f>
        <v>53.817500000000003</v>
      </c>
      <c r="R554" s="39">
        <f>VLOOKUP(B554,'Player Data'!$A1:$AE734,6,FALSE)</f>
        <v>16.532377158536601</v>
      </c>
      <c r="S554" s="41">
        <f>VLOOKUP(B554,'Player Data'!$A1:$AE734,7,FALSE)*$Q554*IFERROR((VLOOKUP(P554,Settings!$E$28:$F$33,2,FALSE)+1),1)</f>
        <v>1.5126656634830145</v>
      </c>
      <c r="T554" s="41">
        <f>VLOOKUP(B554,'Player Data'!$A1:$AE734,8,FALSE)*$Q554*IFERROR((VLOOKUP(P554,Settings!$E$28:$F$33,2,FALSE)+1),1)</f>
        <v>9.5581094235966901</v>
      </c>
      <c r="U554" s="41">
        <f>SUM(S554:T554)</f>
        <v>11.070775087079705</v>
      </c>
      <c r="V554" s="41">
        <f>VLOOKUP(B554,'Player Data'!$A1:$AE734,10,FALSE)*$Q554*IFERROR(((VLOOKUP(P554,Settings!$E$28:$F$33,2,FALSE)/2)+1),1)</f>
        <v>52.333066845720339</v>
      </c>
      <c r="W554" s="41">
        <f>VLOOKUP(B554,'Player Data'!$A1:$AE734,11,FALSE)*$Q554*IFERROR((VLOOKUP(P554,Settings!$E$28:$F$33,2,FALSE)+1),1)</f>
        <v>1.4390292513622316E-2</v>
      </c>
      <c r="X554" s="41">
        <f>VLOOKUP(B554,'Player Data'!$A1:$AE734,12,FALSE)*$Q554*IFERROR((VLOOKUP(P554,Settings!$E$28:$F$33,2,FALSE)+1),1)</f>
        <v>9.400047859595792E-2</v>
      </c>
      <c r="Y554" s="41">
        <f>VLOOKUP(B554,'Player Data'!$A1:$AE734,13,FALSE)*$Q554</f>
        <v>4.7190631082782077E-2</v>
      </c>
      <c r="Z554" s="41">
        <f>VLOOKUP(B554,'Player Data'!$A1:$AE734,14,FALSE)*$Q554</f>
        <v>0.16886665222450323</v>
      </c>
      <c r="AA554" s="41">
        <f>VLOOKUP(B554,'Player Data'!$A1:$AE734,15,FALSE)*$Q554</f>
        <v>73.122152408995561</v>
      </c>
      <c r="AB554" s="41">
        <f>VLOOKUP(B554,'Player Data'!$A1:$AE734,16,FALSE)*$Q554</f>
        <v>63.532654883914141</v>
      </c>
      <c r="AC554" s="41">
        <f>VLOOKUP(B554,'Player Data'!$A1:$AE734,17,FALSE)*$Q554*IFERROR((VLOOKUP(P554,Settings!$E$28:$F$33,2,FALSE)+1),1)</f>
        <v>-2.399417431356297</v>
      </c>
      <c r="AD554" s="41">
        <f>VLOOKUP(B554,'Player Data'!$A1:$AE734,18,FALSE)*$Q554</f>
        <v>15.904161957568165</v>
      </c>
      <c r="AE554" s="41">
        <f>VLOOKUP(B554,'Player Data'!$A1:$AE734,19,FALSE)*$Q554*IFERROR((VLOOKUP(P554,Settings!$E$28:$F$33,2,FALSE)+1),1)</f>
        <v>0.18606678120589298</v>
      </c>
      <c r="AF554" s="41">
        <f>VLOOKUP(B554,'Player Data'!$A1:$AE734,20,FALSE)*$Q554</f>
        <v>0</v>
      </c>
      <c r="AG554" s="41">
        <f>VLOOKUP(B554,'Player Data'!$A1:$AE734,21,FALSE)*$Q554</f>
        <v>0</v>
      </c>
      <c r="AH554" s="42">
        <f>VLOOKUP(B554,'Player Data'!$A1:$AE734,22,FALSE)</f>
        <v>0</v>
      </c>
      <c r="AI554" s="39"/>
      <c r="AJ554" s="43"/>
      <c r="AK554" s="41"/>
      <c r="AL554" s="41"/>
      <c r="AM554" s="41"/>
      <c r="AN554" s="41"/>
      <c r="AO554" s="41"/>
      <c r="AP554" s="41"/>
      <c r="AQ554" s="44"/>
      <c r="AR554" s="45"/>
      <c r="AS554" s="39"/>
    </row>
    <row r="555" spans="1:45" ht="21.25" customHeight="1" x14ac:dyDescent="0.15">
      <c r="A555" s="31">
        <f>RANK(K555,K$2:K$727)</f>
        <v>554</v>
      </c>
      <c r="B555" s="8" t="s">
        <v>659</v>
      </c>
      <c r="C555" s="32" t="s">
        <v>106</v>
      </c>
      <c r="D555" s="33" t="str">
        <f>VLOOKUP(B555,'Player Data'!A1:D734,4,FALSE)</f>
        <v>D</v>
      </c>
      <c r="E555" s="49">
        <f>VLOOKUP(B555,D!A1:C227,3,FALSE)</f>
        <v>209</v>
      </c>
      <c r="F555" s="35" t="str">
        <f>VLOOKUP(B555,'Player Data'!A1:B734,2,FALSE)</f>
        <v>ANA</v>
      </c>
      <c r="G555" s="9">
        <f>VLOOKUP(B555,'Player Data'!A1:D734,3,FALSE)</f>
        <v>26</v>
      </c>
      <c r="H555" s="36">
        <f>IFERROR(VLOOKUP(B555,ADP!A1:G728,7,FALSE)/1000000,VLOOKUP(B555,ADP!A1:G728,7,FALSE))</f>
        <v>0</v>
      </c>
      <c r="I555" s="37">
        <f>IF(Settings!$E$15="POINTS",((R555*Q555)*Settings!$B$12)+(S555*Settings!$B$2)+(T555*Settings!$B$3)+(U555*Settings!$B$4)+(V555*Settings!$B$5)+(X555*Settings!$B$9)+(AA555*Settings!$B$6)+(W555*Settings!$B$8)+(AB555*Settings!$B$7)+(AC555*Settings!$B$14)+(AD555*Settings!$B$15)+(AE555*Settings!$B$16)+(AF555*Settings!$B$17)+(AG555*Settings!$B$18)+(U555*Settings!$B$13)+(Y555*Settings!$B$10)+(Z555*Settings!$B$11),VLOOKUP(B555,'Standard Deviations'!A1:C728,3,FALSE))</f>
        <v>73.982776741268651</v>
      </c>
      <c r="J555" s="38">
        <f>IF(D555="G",I555/AJ555,I555/Q555)</f>
        <v>1.2295552204487994</v>
      </c>
      <c r="K555" s="37">
        <f>VLOOKUP(B555,D!A1:F227,6,FALSE)</f>
        <v>-237.5827048866588</v>
      </c>
      <c r="L555" s="52" t="str">
        <f>IFERROR(K555/H555,"N/A")</f>
        <v>N/A</v>
      </c>
      <c r="M555" s="53" t="str">
        <f>IF(Settings!$E$9="YAHOO",VLOOKUP(B555,ADP!A1:E728,2,FALSE),IF(Settings!$E$9="ESPN",VLOOKUP(B555,ADP!A1:E728,3,FALSE),IF(Settings!$E$9="FANTRAX",VLOOKUP(B555,ADP!A1:E728,4,FALSE),VLOOKUP(B555,ADP!A1:E728,5,FALSE))))</f>
        <v>-</v>
      </c>
      <c r="N555" s="53" t="str">
        <f>IFERROR(M555-A555,"N/A")</f>
        <v>N/A</v>
      </c>
      <c r="O555" s="39"/>
      <c r="P555" s="40" t="str">
        <f>IF(Settings!$E$27="ON",VLOOKUP(B555,ADP!A1:H728,8,FALSE)," ")</f>
        <v xml:space="preserve"> </v>
      </c>
      <c r="Q555" s="41">
        <f>IF(Settings!$E$12="YES",VLOOKUP(B555,'Player Data'!A1:E734,5,FALSE),82)</f>
        <v>60.1703571428571</v>
      </c>
      <c r="R555" s="39">
        <f>VLOOKUP(B555,'Player Data'!$A1:$AE734,6,FALSE)</f>
        <v>16.5139484230831</v>
      </c>
      <c r="S555" s="41">
        <f>VLOOKUP(B555,'Player Data'!$A1:$AE734,7,FALSE)*$Q555*IFERROR((VLOOKUP(P555,Settings!$E$28:$F$33,2,FALSE)+1),1)</f>
        <v>1.2921055732916591</v>
      </c>
      <c r="T555" s="41">
        <f>VLOOKUP(B555,'Player Data'!$A1:$AE734,8,FALSE)*$Q555*IFERROR((VLOOKUP(P555,Settings!$E$28:$F$33,2,FALSE)+1),1)</f>
        <v>10.443405455664458</v>
      </c>
      <c r="U555" s="41">
        <f>SUM(S555:T555)</f>
        <v>11.735511028956116</v>
      </c>
      <c r="V555" s="41">
        <f>VLOOKUP(B555,'Player Data'!$A1:$AE734,10,FALSE)*$Q555*IFERROR(((VLOOKUP(P555,Settings!$E$28:$F$33,2,FALSE)/2)+1),1)</f>
        <v>52.763035532349086</v>
      </c>
      <c r="W555" s="41">
        <f>VLOOKUP(B555,'Player Data'!$A1:$AE734,11,FALSE)*$Q555*IFERROR((VLOOKUP(P555,Settings!$E$28:$F$33,2,FALSE)+1),1)</f>
        <v>2.0127205839123502E-2</v>
      </c>
      <c r="X555" s="41">
        <f>VLOOKUP(B555,'Player Data'!$A1:$AE734,12,FALSE)*$Q555*IFERROR((VLOOKUP(P555,Settings!$E$28:$F$33,2,FALSE)+1),1)</f>
        <v>0.13520576620155009</v>
      </c>
      <c r="Y555" s="41">
        <f>VLOOKUP(B555,'Player Data'!$A1:$AE734,13,FALSE)*$Q555</f>
        <v>3.212414716928106E-2</v>
      </c>
      <c r="Z555" s="41">
        <f>VLOOKUP(B555,'Player Data'!$A1:$AE734,14,FALSE)*$Q555</f>
        <v>0.11821456758030048</v>
      </c>
      <c r="AA555" s="41">
        <f>VLOOKUP(B555,'Player Data'!$A1:$AE734,15,FALSE)*$Q555</f>
        <v>59.439426103310289</v>
      </c>
      <c r="AB555" s="41">
        <f>VLOOKUP(B555,'Player Data'!$A1:$AE734,16,FALSE)*$Q555</f>
        <v>64.188728664067085</v>
      </c>
      <c r="AC555" s="41">
        <f>VLOOKUP(B555,'Player Data'!$A1:$AE734,17,FALSE)*$Q555*IFERROR((VLOOKUP(P555,Settings!$E$28:$F$33,2,FALSE)+1),1)</f>
        <v>-6.6410727403415448</v>
      </c>
      <c r="AD555" s="41">
        <f>VLOOKUP(B555,'Player Data'!$A1:$AE734,18,FALSE)*$Q555</f>
        <v>18.435797168889071</v>
      </c>
      <c r="AE555" s="41">
        <f>VLOOKUP(B555,'Player Data'!$A1:$AE734,19,FALSE)*$Q555*IFERROR((VLOOKUP(P555,Settings!$E$28:$F$33,2,FALSE)+1),1)</f>
        <v>0.14007643415654639</v>
      </c>
      <c r="AF555" s="41">
        <f>VLOOKUP(B555,'Player Data'!$A1:$AE734,20,FALSE)*$Q555</f>
        <v>0</v>
      </c>
      <c r="AG555" s="41">
        <f>VLOOKUP(B555,'Player Data'!$A1:$AE734,21,FALSE)*$Q555</f>
        <v>0</v>
      </c>
      <c r="AH555" s="42">
        <f>VLOOKUP(B555,'Player Data'!$A1:$AE734,22,FALSE)</f>
        <v>0</v>
      </c>
      <c r="AI555" s="39"/>
      <c r="AJ555" s="41"/>
      <c r="AK555" s="41"/>
      <c r="AL555" s="41"/>
      <c r="AM555" s="41"/>
      <c r="AN555" s="41"/>
      <c r="AO555" s="41"/>
      <c r="AP555" s="41"/>
      <c r="AQ555" s="44"/>
      <c r="AR555" s="45"/>
      <c r="AS555" s="39"/>
    </row>
    <row r="556" spans="1:45" ht="21.25" customHeight="1" x14ac:dyDescent="0.15">
      <c r="A556" s="31">
        <f>RANK(K556,K$2:K$727)</f>
        <v>555</v>
      </c>
      <c r="B556" s="8" t="s">
        <v>660</v>
      </c>
      <c r="C556" s="32" t="s">
        <v>106</v>
      </c>
      <c r="D556" s="33" t="str">
        <f>VLOOKUP(B556,'Player Data'!A1:D734,4,FALSE)</f>
        <v>RW</v>
      </c>
      <c r="E556" s="46">
        <f>VLOOKUP(B556,RW!A1:F97,3,FALSE)</f>
        <v>82</v>
      </c>
      <c r="F556" s="35" t="str">
        <f>VLOOKUP(B556,'Player Data'!A1:B734,2,FALSE)</f>
        <v>VAN</v>
      </c>
      <c r="G556" s="9">
        <f>VLOOKUP(B556,'Player Data'!A1:D734,3,FALSE)</f>
        <v>22</v>
      </c>
      <c r="H556" s="36">
        <f>IFERROR(VLOOKUP(B556,ADP!A1:G728,7,FALSE)/1000000,VLOOKUP(B556,ADP!A1:G728,7,FALSE))</f>
        <v>0.92500000000000004</v>
      </c>
      <c r="I556" s="37">
        <f>IF(Settings!$E$15="POINTS",((R556*Q556)*Settings!$B$12)+(S556*Settings!$B$2)+(T556*Settings!$B$3)+(U556*Settings!$B$4)+(V556*Settings!$B$5)+(X556*Settings!$B$9)+(AA556*Settings!$B$6)+(W556*Settings!$B$8)+(AB556*Settings!$B$7)+(AC556*Settings!$B$14)+(AD556*Settings!$B$15)+(AE556*Settings!$B$16)+(AF556*Settings!$B$17)+(AG556*Settings!$B$18)+(Y556*Settings!$B$10)+(Z556*Settings!$B$11),VLOOKUP(B556,'Standard Deviations'!A1:C728,3,FALSE))</f>
        <v>112.65309655729749</v>
      </c>
      <c r="J556" s="38">
        <f>IF(D556="G",I556/AJ556,I556/Q556)</f>
        <v>1.7124435138298624</v>
      </c>
      <c r="K556" s="37">
        <f>IF(Settings!$E$18="C/LW/RW",VLOOKUP(B556,RW!A1:F97,6,FALSE),VLOOKUP(B556,F!A1:F430,6,FALSE))</f>
        <v>-237.61844399059208</v>
      </c>
      <c r="L556" s="37">
        <f>IFERROR(K556/H556,"N/A")</f>
        <v>-256.8848043141536</v>
      </c>
      <c r="M556" s="53" t="str">
        <f>IF(Settings!$E$9="YAHOO",VLOOKUP(B556,ADP!A1:E728,2,FALSE),IF(Settings!$E$9="ESPN",VLOOKUP(B556,ADP!A1:E728,3,FALSE),IF(Settings!$E$9="FANTRAX",VLOOKUP(B556,ADP!A1:E728,4,FALSE),VLOOKUP(B556,ADP!A1:E728,5,FALSE))))</f>
        <v>-</v>
      </c>
      <c r="N556" s="53" t="str">
        <f>IFERROR(M556-A556,"N/A")</f>
        <v>N/A</v>
      </c>
      <c r="O556" s="39"/>
      <c r="P556" s="40" t="str">
        <f>IF(Settings!$E$27="ON",VLOOKUP(B556,ADP!A1:H728,8,FALSE)," ")</f>
        <v xml:space="preserve"> </v>
      </c>
      <c r="Q556" s="41">
        <f>IF(Settings!$E$12="YES",VLOOKUP(B556,'Player Data'!A1:E734,5,FALSE),82)</f>
        <v>65.784999999999997</v>
      </c>
      <c r="R556" s="39">
        <f>VLOOKUP(B556,'Player Data'!$A1:$AE734,6,FALSE)</f>
        <v>12.542656149552499</v>
      </c>
      <c r="S556" s="41">
        <f>VLOOKUP(B556,'Player Data'!$A1:$AE734,7,FALSE)*$Q556*IFERROR((VLOOKUP(P556,Settings!$E$28:$F$33,2,FALSE)+1),1)</f>
        <v>10.305996785500744</v>
      </c>
      <c r="T556" s="41">
        <f>VLOOKUP(B556,'Player Data'!$A1:$AE734,8,FALSE)*$Q556*IFERROR((VLOOKUP(P556,Settings!$E$28:$F$33,2,FALSE)+1),1)</f>
        <v>10.301997034311137</v>
      </c>
      <c r="U556" s="41">
        <f>SUM(S556:T556)</f>
        <v>20.607993819811881</v>
      </c>
      <c r="V556" s="41">
        <f>VLOOKUP(B556,'Player Data'!$A1:$AE734,10,FALSE)*$Q556*IFERROR(((VLOOKUP(P556,Settings!$E$28:$F$33,2,FALSE)/2)+1),1)</f>
        <v>84.693147645495898</v>
      </c>
      <c r="W556" s="41">
        <f>VLOOKUP(B556,'Player Data'!$A1:$AE734,11,FALSE)*$Q556*IFERROR((VLOOKUP(P556,Settings!$E$28:$F$33,2,FALSE)+1),1)</f>
        <v>0.76906081839305573</v>
      </c>
      <c r="X556" s="41">
        <f>VLOOKUP(B556,'Player Data'!$A1:$AE734,12,FALSE)*$Q556*IFERROR((VLOOKUP(P556,Settings!$E$28:$F$33,2,FALSE)+1),1)</f>
        <v>1.5365753155678943</v>
      </c>
      <c r="Y556" s="41">
        <f>VLOOKUP(B556,'Player Data'!$A1:$AE734,13,FALSE)*$Q556</f>
        <v>6.9462495126076844E-3</v>
      </c>
      <c r="Z556" s="41">
        <f>VLOOKUP(B556,'Player Data'!$A1:$AE734,14,FALSE)*$Q556</f>
        <v>1.281600805004432E-2</v>
      </c>
      <c r="AA556" s="41">
        <f>VLOOKUP(B556,'Player Data'!$A1:$AE734,15,FALSE)*$Q556</f>
        <v>26.918793139390097</v>
      </c>
      <c r="AB556" s="41">
        <f>VLOOKUP(B556,'Player Data'!$A1:$AE734,16,FALSE)*$Q556</f>
        <v>83.585065848296054</v>
      </c>
      <c r="AC556" s="41">
        <f>VLOOKUP(B556,'Player Data'!$A1:$AE734,17,FALSE)*$Q556*IFERROR((VLOOKUP(P556,Settings!$E$28:$F$33,2,FALSE)+1),1)</f>
        <v>0.24798049107948522</v>
      </c>
      <c r="AD556" s="41">
        <f>VLOOKUP(B556,'Player Data'!$A1:$AE734,18,FALSE)*$Q556</f>
        <v>19.744243913102025</v>
      </c>
      <c r="AE556" s="41">
        <f>VLOOKUP(B556,'Player Data'!$A1:$AE734,19,FALSE)*$Q556*IFERROR((VLOOKUP(P556,Settings!$E$28:$F$33,2,FALSE)+1),1)</f>
        <v>1.4589132870764392</v>
      </c>
      <c r="AF556" s="41">
        <f>VLOOKUP(B556,'Player Data'!$A1:$AE734,20,FALSE)*$Q556</f>
        <v>10.472142663791459</v>
      </c>
      <c r="AG556" s="41">
        <f>VLOOKUP(B556,'Player Data'!$A1:$AE734,21,FALSE)*$Q556</f>
        <v>14.058864792291642</v>
      </c>
      <c r="AH556" s="42">
        <f>VLOOKUP(B556,'Player Data'!$A1:$AE734,22,FALSE)</f>
        <v>0.42689411278926598</v>
      </c>
      <c r="AI556" s="39"/>
      <c r="AJ556" s="43"/>
      <c r="AK556" s="41"/>
      <c r="AL556" s="41"/>
      <c r="AM556" s="41"/>
      <c r="AN556" s="41"/>
      <c r="AO556" s="41"/>
      <c r="AP556" s="41"/>
      <c r="AQ556" s="44"/>
      <c r="AR556" s="45"/>
      <c r="AS556" s="39"/>
    </row>
    <row r="557" spans="1:45" ht="21.25" customHeight="1" x14ac:dyDescent="0.15">
      <c r="A557" s="31">
        <f>RANK(K557,K$2:K$727)</f>
        <v>556</v>
      </c>
      <c r="B557" s="8" t="s">
        <v>661</v>
      </c>
      <c r="C557" s="32" t="s">
        <v>106</v>
      </c>
      <c r="D557" s="33" t="str">
        <f>VLOOKUP(B557,'Player Data'!A1:D734,4,FALSE)</f>
        <v>LW</v>
      </c>
      <c r="E557" s="47">
        <f>VLOOKUP(B557,LW!A1:C130,3,FALSE)</f>
        <v>95</v>
      </c>
      <c r="F557" s="35" t="str">
        <f>VLOOKUP(B557,'Player Data'!A1:B734,2,FALSE)</f>
        <v>UFA</v>
      </c>
      <c r="G557" s="9">
        <f>VLOOKUP(B557,'Player Data'!A1:D734,3,FALSE)</f>
        <v>28</v>
      </c>
      <c r="H557" s="36">
        <f>IFERROR(VLOOKUP(B557,ADP!A1:G728,7,FALSE)/1000000,VLOOKUP(B557,ADP!A1:G728,7,FALSE))</f>
        <v>1.853</v>
      </c>
      <c r="I557" s="37">
        <f>IF(Settings!$E$15="POINTS",((R557*Q557)*Settings!$B$12)+(S557*Settings!$B$2)+(T557*Settings!$B$3)+(U557*Settings!$B$4)+(V557*Settings!$B$5)+(X557*Settings!$B$9)+(AA557*Settings!$B$6)+(W557*Settings!$B$8)+(AB557*Settings!$B$7)+(AC557*Settings!$B$14)+(AD557*Settings!$B$15)+(AE557*Settings!$B$16)+(AF557*Settings!$B$17)+(AG557*Settings!$B$18)+(Y557*Settings!$B$10)+(Z557*Settings!$B$11),VLOOKUP(B557,'Standard Deviations'!A1:C728,3,FALSE))</f>
        <v>126.24939732949002</v>
      </c>
      <c r="J557" s="38">
        <f>IF(D557="G",I557/AJ557,I557/Q557)</f>
        <v>1.6549933871231626</v>
      </c>
      <c r="K557" s="37">
        <f>IF(Settings!$E$18="C/LW/RW",VLOOKUP(B557,LW!A1:F130,6,FALSE),VLOOKUP(B557,F!A1:F430,6,FALSE))</f>
        <v>-237.79120752816044</v>
      </c>
      <c r="L557" s="37">
        <f>IFERROR(K557/H557,"N/A")</f>
        <v>-128.32768889808983</v>
      </c>
      <c r="M557" s="53" t="str">
        <f>IF(Settings!$E$9="YAHOO",VLOOKUP(B557,ADP!A1:E728,2,FALSE),IF(Settings!$E$9="ESPN",VLOOKUP(B557,ADP!A1:E728,3,FALSE),IF(Settings!$E$9="FANTRAX",VLOOKUP(B557,ADP!A1:E728,4,FALSE),VLOOKUP(B557,ADP!A1:E728,5,FALSE))))</f>
        <v>-</v>
      </c>
      <c r="N557" s="53" t="str">
        <f>IFERROR(M557-A557,"N/A")</f>
        <v>N/A</v>
      </c>
      <c r="O557" s="39"/>
      <c r="P557" s="40" t="str">
        <f>IF(Settings!$E$27="ON",VLOOKUP(B557,ADP!A1:H728,8,FALSE)," ")</f>
        <v xml:space="preserve"> </v>
      </c>
      <c r="Q557" s="41">
        <f>IF(Settings!$E$12="YES",VLOOKUP(B557,'Player Data'!A1:E734,5,FALSE),82)</f>
        <v>76.283928571428604</v>
      </c>
      <c r="R557" s="39">
        <f>VLOOKUP(B557,'Player Data'!$A1:$AE734,6,FALSE)</f>
        <v>10.2182777321764</v>
      </c>
      <c r="S557" s="41">
        <f>VLOOKUP(B557,'Player Data'!$A1:$AE734,7,FALSE)*$Q557*IFERROR((VLOOKUP(P557,Settings!$E$28:$F$33,2,FALSE)+1),1)</f>
        <v>9.7269500241780502</v>
      </c>
      <c r="T557" s="41">
        <f>VLOOKUP(B557,'Player Data'!$A1:$AE734,8,FALSE)*$Q557*IFERROR((VLOOKUP(P557,Settings!$E$28:$F$33,2,FALSE)+1),1)</f>
        <v>12.703042651220718</v>
      </c>
      <c r="U557" s="41">
        <f>SUM(S557:T557)</f>
        <v>22.429992675398768</v>
      </c>
      <c r="V557" s="41">
        <f>VLOOKUP(B557,'Player Data'!$A1:$AE734,10,FALSE)*$Q557*IFERROR(((VLOOKUP(P557,Settings!$E$28:$F$33,2,FALSE)/2)+1),1)</f>
        <v>102.75183171547995</v>
      </c>
      <c r="W557" s="41">
        <f>VLOOKUP(B557,'Player Data'!$A1:$AE734,11,FALSE)*$Q557*IFERROR((VLOOKUP(P557,Settings!$E$28:$F$33,2,FALSE)+1),1)</f>
        <v>0.43833965608362441</v>
      </c>
      <c r="X557" s="41">
        <f>VLOOKUP(B557,'Player Data'!$A1:$AE734,12,FALSE)*$Q557*IFERROR((VLOOKUP(P557,Settings!$E$28:$F$33,2,FALSE)+1),1)</f>
        <v>0.78002682802918044</v>
      </c>
      <c r="Y557" s="41">
        <f>VLOOKUP(B557,'Player Data'!$A1:$AE734,13,FALSE)*$Q557</f>
        <v>0</v>
      </c>
      <c r="Z557" s="41">
        <f>VLOOKUP(B557,'Player Data'!$A1:$AE734,14,FALSE)*$Q557</f>
        <v>0</v>
      </c>
      <c r="AA557" s="41">
        <f>VLOOKUP(B557,'Player Data'!$A1:$AE734,15,FALSE)*$Q557</f>
        <v>30.117248947476888</v>
      </c>
      <c r="AB557" s="41">
        <f>VLOOKUP(B557,'Player Data'!$A1:$AE734,16,FALSE)*$Q557</f>
        <v>82.172588001723881</v>
      </c>
      <c r="AC557" s="41">
        <f>VLOOKUP(B557,'Player Data'!$A1:$AE734,17,FALSE)*$Q557*IFERROR((VLOOKUP(P557,Settings!$E$28:$F$33,2,FALSE)+1),1)</f>
        <v>0.42655580279095595</v>
      </c>
      <c r="AD557" s="41">
        <f>VLOOKUP(B557,'Player Data'!$A1:$AE734,18,FALSE)*$Q557</f>
        <v>12.614703078187528</v>
      </c>
      <c r="AE557" s="41">
        <f>VLOOKUP(B557,'Player Data'!$A1:$AE734,19,FALSE)*$Q557*IFERROR((VLOOKUP(P557,Settings!$E$28:$F$33,2,FALSE)+1),1)</f>
        <v>0</v>
      </c>
      <c r="AF557" s="41">
        <f>VLOOKUP(B557,'Player Data'!$A1:$AE734,20,FALSE)*$Q557</f>
        <v>0.97809126460738249</v>
      </c>
      <c r="AG557" s="41">
        <f>VLOOKUP(B557,'Player Data'!$A1:$AE734,21,FALSE)*$Q557</f>
        <v>4.5257504149230305</v>
      </c>
      <c r="AH557" s="42">
        <f>VLOOKUP(B557,'Player Data'!$A1:$AE734,22,FALSE)</f>
        <v>0.17771064677333501</v>
      </c>
      <c r="AI557" s="39"/>
      <c r="AJ557" s="43"/>
      <c r="AK557" s="41"/>
      <c r="AL557" s="41"/>
      <c r="AM557" s="41"/>
      <c r="AN557" s="41"/>
      <c r="AO557" s="41"/>
      <c r="AP557" s="41"/>
      <c r="AQ557" s="44"/>
      <c r="AR557" s="45"/>
      <c r="AS557" s="39"/>
    </row>
    <row r="558" spans="1:45" ht="21.25" customHeight="1" x14ac:dyDescent="0.15">
      <c r="A558" s="31">
        <f>RANK(K558,K$2:K$727)</f>
        <v>557</v>
      </c>
      <c r="B558" s="8" t="s">
        <v>662</v>
      </c>
      <c r="C558" s="32" t="s">
        <v>106</v>
      </c>
      <c r="D558" s="33" t="str">
        <f>VLOOKUP(B558,'Player Data'!A1:D734,4,FALSE)</f>
        <v>D</v>
      </c>
      <c r="E558" s="49">
        <f>VLOOKUP(B558,D!A1:C227,3,FALSE)</f>
        <v>210</v>
      </c>
      <c r="F558" s="35" t="str">
        <f>VLOOKUP(B558,'Player Data'!A1:B734,2,FALSE)</f>
        <v>PIT</v>
      </c>
      <c r="G558" s="9">
        <f>VLOOKUP(B558,'Player Data'!A1:D734,3,FALSE)</f>
        <v>33</v>
      </c>
      <c r="H558" s="36">
        <f>IFERROR(VLOOKUP(B558,ADP!A1:G728,7,FALSE)/1000000,VLOOKUP(B558,ADP!A1:G728,7,FALSE))</f>
        <v>0.8</v>
      </c>
      <c r="I558" s="37">
        <f>IF(Settings!$E$15="POINTS",((R558*Q558)*Settings!$B$12)+(S558*Settings!$B$2)+(T558*Settings!$B$3)+(U558*Settings!$B$4)+(V558*Settings!$B$5)+(X558*Settings!$B$9)+(AA558*Settings!$B$6)+(W558*Settings!$B$8)+(AB558*Settings!$B$7)+(AC558*Settings!$B$14)+(AD558*Settings!$B$15)+(AE558*Settings!$B$16)+(AF558*Settings!$B$17)+(AG558*Settings!$B$18)+(U558*Settings!$B$13)+(Y558*Settings!$B$10)+(Z558*Settings!$B$11),VLOOKUP(B558,'Standard Deviations'!A1:C728,3,FALSE))</f>
        <v>73.669432607701822</v>
      </c>
      <c r="J558" s="38">
        <f>IF(D558="G",I558/AJ558,I558/Q558)</f>
        <v>1.0591264655372288</v>
      </c>
      <c r="K558" s="37">
        <f>VLOOKUP(B558,D!A1:F227,6,FALSE)</f>
        <v>-237.89604902022563</v>
      </c>
      <c r="L558" s="37">
        <f>IFERROR(K558/H558,"N/A")</f>
        <v>-297.37006127528201</v>
      </c>
      <c r="M558" s="53" t="str">
        <f>IF(Settings!$E$9="YAHOO",VLOOKUP(B558,ADP!A1:E728,2,FALSE),IF(Settings!$E$9="ESPN",VLOOKUP(B558,ADP!A1:E728,3,FALSE),IF(Settings!$E$9="FANTRAX",VLOOKUP(B558,ADP!A1:E728,4,FALSE),VLOOKUP(B558,ADP!A1:E728,5,FALSE))))</f>
        <v>-</v>
      </c>
      <c r="N558" s="53" t="str">
        <f>IFERROR(M558-A558,"N/A")</f>
        <v>N/A</v>
      </c>
      <c r="O558" s="39"/>
      <c r="P558" s="40" t="str">
        <f>IF(Settings!$E$27="ON",VLOOKUP(B558,ADP!A1:H728,8,FALSE)," ")</f>
        <v xml:space="preserve"> </v>
      </c>
      <c r="Q558" s="41">
        <f>IF(Settings!$E$12="YES",VLOOKUP(B558,'Player Data'!A1:E734,5,FALSE),82)</f>
        <v>69.556785714285695</v>
      </c>
      <c r="R558" s="39">
        <f>VLOOKUP(B558,'Player Data'!$A1:$AE734,6,FALSE)</f>
        <v>14.8011747938944</v>
      </c>
      <c r="S558" s="41">
        <f>VLOOKUP(B558,'Player Data'!$A1:$AE734,7,FALSE)*$Q558*IFERROR((VLOOKUP(P558,Settings!$E$28:$F$33,2,FALSE)+1),1)</f>
        <v>2.0706055709557214</v>
      </c>
      <c r="T558" s="41">
        <f>VLOOKUP(B558,'Player Data'!$A1:$AE734,8,FALSE)*$Q558*IFERROR((VLOOKUP(P558,Settings!$E$28:$F$33,2,FALSE)+1),1)</f>
        <v>6.8054953493259118</v>
      </c>
      <c r="U558" s="41">
        <f>SUM(S558:T558)</f>
        <v>8.8761009202816332</v>
      </c>
      <c r="V558" s="41">
        <f>VLOOKUP(B558,'Player Data'!$A1:$AE734,10,FALSE)*$Q558*IFERROR(((VLOOKUP(P558,Settings!$E$28:$F$33,2,FALSE)/2)+1),1)</f>
        <v>61.645717086116264</v>
      </c>
      <c r="W558" s="41">
        <f>VLOOKUP(B558,'Player Data'!$A1:$AE734,11,FALSE)*$Q558*IFERROR((VLOOKUP(P558,Settings!$E$28:$F$33,2,FALSE)+1),1)</f>
        <v>6.6296988428890806E-4</v>
      </c>
      <c r="X558" s="41">
        <f>VLOOKUP(B558,'Player Data'!$A1:$AE734,12,FALSE)*$Q558*IFERROR((VLOOKUP(P558,Settings!$E$28:$F$33,2,FALSE)+1),1)</f>
        <v>4.7382689120762352E-3</v>
      </c>
      <c r="Y558" s="41">
        <f>VLOOKUP(B558,'Player Data'!$A1:$AE734,13,FALSE)*$Q558</f>
        <v>2.5821861305681312E-2</v>
      </c>
      <c r="Z558" s="41">
        <f>VLOOKUP(B558,'Player Data'!$A1:$AE734,14,FALSE)*$Q558</f>
        <v>0.14414764810740932</v>
      </c>
      <c r="AA558" s="41">
        <f>VLOOKUP(B558,'Player Data'!$A1:$AE734,15,FALSE)*$Q558</f>
        <v>79.602497348799147</v>
      </c>
      <c r="AB558" s="41">
        <f>VLOOKUP(B558,'Player Data'!$A1:$AE734,16,FALSE)*$Q558</f>
        <v>120.72154695153154</v>
      </c>
      <c r="AC558" s="41">
        <f>VLOOKUP(B558,'Player Data'!$A1:$AE734,17,FALSE)*$Q558*IFERROR((VLOOKUP(P558,Settings!$E$28:$F$33,2,FALSE)+1),1)</f>
        <v>1.6139815164821498</v>
      </c>
      <c r="AD558" s="41">
        <f>VLOOKUP(B558,'Player Data'!$A1:$AE734,18,FALSE)*$Q558</f>
        <v>23.023207079071042</v>
      </c>
      <c r="AE558" s="41">
        <f>VLOOKUP(B558,'Player Data'!$A1:$AE734,19,FALSE)*$Q558*IFERROR((VLOOKUP(P558,Settings!$E$28:$F$33,2,FALSE)+1),1)</f>
        <v>0.32953555745465579</v>
      </c>
      <c r="AF558" s="41">
        <f>VLOOKUP(B558,'Player Data'!$A1:$AE734,20,FALSE)*$Q558</f>
        <v>0</v>
      </c>
      <c r="AG558" s="41">
        <f>VLOOKUP(B558,'Player Data'!$A1:$AE734,21,FALSE)*$Q558</f>
        <v>0</v>
      </c>
      <c r="AH558" s="42">
        <f>VLOOKUP(B558,'Player Data'!$A1:$AE734,22,FALSE)</f>
        <v>0</v>
      </c>
      <c r="AI558" s="39"/>
      <c r="AJ558" s="43"/>
      <c r="AK558" s="41"/>
      <c r="AL558" s="41"/>
      <c r="AM558" s="41"/>
      <c r="AN558" s="41"/>
      <c r="AO558" s="41"/>
      <c r="AP558" s="41"/>
      <c r="AQ558" s="44"/>
      <c r="AR558" s="45"/>
      <c r="AS558" s="39"/>
    </row>
    <row r="559" spans="1:45" ht="21.25" customHeight="1" x14ac:dyDescent="0.15">
      <c r="A559" s="31">
        <f>RANK(K559,K$2:K$727)</f>
        <v>558</v>
      </c>
      <c r="B559" s="8" t="s">
        <v>663</v>
      </c>
      <c r="C559" s="32" t="s">
        <v>106</v>
      </c>
      <c r="D559" s="33" t="str">
        <f>VLOOKUP(B559,'Player Data'!A1:D734,4,FALSE)</f>
        <v>G</v>
      </c>
      <c r="E559" s="50">
        <f>VLOOKUP(B559,G!A1:D75,3,FALSE)</f>
        <v>46</v>
      </c>
      <c r="F559" s="35" t="str">
        <f>VLOOKUP(B559,'Player Data'!A1:B734,2,FALSE)</f>
        <v>PIT</v>
      </c>
      <c r="G559" s="9">
        <f>VLOOKUP(B559,'Player Data'!A1:D734,3,FALSE)</f>
        <v>27</v>
      </c>
      <c r="H559" s="36">
        <f>IFERROR(VLOOKUP(B559,ADP!A1:G728,7,FALSE)/1000000,VLOOKUP(B559,ADP!A1:G728,7,FALSE))</f>
        <v>1.5</v>
      </c>
      <c r="I559" s="37">
        <f>IF(Settings!$E$15="POINTS",(AJ559*Settings!$B$29)+(AK559*Settings!$B$21)+(AL559*Settings!$B$22)+(AN559*Settings!$B$24)+(AO559*Settings!$B$25)+(AP559*Settings!$B$27)+(AM559*Settings!$B$23),VLOOKUP(B559,'Standard Deviations'!A1:C728,3,FALSE))</f>
        <v>160.35934274266376</v>
      </c>
      <c r="J559" s="38">
        <f>IF(D559="G",I559/AJ559,I559/Q559)</f>
        <v>6.6816392809443235</v>
      </c>
      <c r="K559" s="37">
        <f>VLOOKUP(B559,G!A1:F75,6,FALSE)</f>
        <v>-238.41631934665244</v>
      </c>
      <c r="L559" s="37">
        <f>IFERROR(K559/H559,"N/A")</f>
        <v>-158.9442128977683</v>
      </c>
      <c r="M559" s="53" t="str">
        <f>IF(Settings!$E$9="YAHOO",VLOOKUP(B559,ADP!A1:E728,2,FALSE),IF(Settings!$E$9="ESPN",VLOOKUP(B559,ADP!A1:E728,3,FALSE),IF(Settings!$E$9="FANTRAX",VLOOKUP(B559,ADP!A1:E728,4,FALSE),VLOOKUP(B559,ADP!A1:E728,5,FALSE))))</f>
        <v>-</v>
      </c>
      <c r="N559" s="53" t="str">
        <f>IFERROR(M559-A559,"N/A")</f>
        <v>N/A</v>
      </c>
      <c r="O559" s="39"/>
      <c r="P559" s="40" t="str">
        <f>IF(Settings!$E$27="ON",VLOOKUP(B559,ADP!A1:H728,8,FALSE)," ")</f>
        <v xml:space="preserve"> </v>
      </c>
      <c r="Q559" s="41"/>
      <c r="R559" s="5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2"/>
      <c r="AI559" s="39"/>
      <c r="AJ559" s="43">
        <f>VLOOKUP(B559,'Player Data'!$A1:$AE734,24,FALSE)</f>
        <v>24</v>
      </c>
      <c r="AK559" s="41">
        <f>VLOOKUP(B559,'Player Data'!$A1:$AE734,25,FALSE)*$AJ559*IFERROR((VLOOKUP(P559,Settings!$E$28:$F$33,2,FALSE)+1),1)</f>
        <v>12.347931408838273</v>
      </c>
      <c r="AL559" s="41">
        <f>AJ559-AK559-AM559</f>
        <v>8.6520685911617274</v>
      </c>
      <c r="AM559" s="41">
        <f>VLOOKUP(B559,'Player Data'!$A1:$AE734,27,FALSE)*$AJ559</f>
        <v>3</v>
      </c>
      <c r="AN559" s="41">
        <f>VLOOKUP(B559,'Player Data'!$A1:$AE734,28,FALSE)*AJ559</f>
        <v>1.1062286681076816</v>
      </c>
      <c r="AO559" s="41">
        <f>VLOOKUP(B559,'Player Data'!$A1:$AE734,29,FALSE)*$AJ559*IFERROR((VLOOKUP(P559,Settings!$E$28:$F$33,2,FALSE)/4)+1,1)</f>
        <v>665.73796235141049</v>
      </c>
      <c r="AP559" s="41">
        <f>VLOOKUP(B559,'Player Data'!$A1:$AE734,31,FALSE)*$AJ559*(IFERROR(1-(VLOOKUP(P559,Settings!$E$28:$F$33,2,FALSE)/4),1))</f>
        <v>70.588629998590562</v>
      </c>
      <c r="AQ559" s="44">
        <f>1-(AP559/(AO559+AP559))</f>
        <v>0.90413407483586117</v>
      </c>
      <c r="AR559" s="45">
        <f>AP559/AJ559</f>
        <v>2.9411929166079402</v>
      </c>
      <c r="AS559" s="39"/>
    </row>
    <row r="560" spans="1:45" ht="21.25" customHeight="1" x14ac:dyDescent="0.15">
      <c r="A560" s="31">
        <f>RANK(K560,K$2:K$727)</f>
        <v>559</v>
      </c>
      <c r="B560" s="8" t="s">
        <v>664</v>
      </c>
      <c r="C560" s="32" t="s">
        <v>106</v>
      </c>
      <c r="D560" s="33" t="str">
        <f>VLOOKUP(B560,'Player Data'!A1:D734,4,FALSE)</f>
        <v>RW</v>
      </c>
      <c r="E560" s="46">
        <f>VLOOKUP(B560,RW!A1:F97,3,FALSE)</f>
        <v>83</v>
      </c>
      <c r="F560" s="35" t="str">
        <f>VLOOKUP(B560,'Player Data'!A1:B734,2,FALSE)</f>
        <v>VGK</v>
      </c>
      <c r="G560" s="9">
        <f>VLOOKUP(B560,'Player Data'!A1:D734,3,FALSE)</f>
        <v>26</v>
      </c>
      <c r="H560" s="36">
        <f>IFERROR(VLOOKUP(B560,ADP!A1:G728,7,FALSE)/1000000,VLOOKUP(B560,ADP!A1:G728,7,FALSE))</f>
        <v>1.4</v>
      </c>
      <c r="I560" s="37">
        <f>IF(Settings!$E$15="POINTS",((R560*Q560)*Settings!$B$12)+(S560*Settings!$B$2)+(T560*Settings!$B$3)+(U560*Settings!$B$4)+(V560*Settings!$B$5)+(X560*Settings!$B$9)+(AA560*Settings!$B$6)+(W560*Settings!$B$8)+(AB560*Settings!$B$7)+(AC560*Settings!$B$14)+(AD560*Settings!$B$15)+(AE560*Settings!$B$16)+(AF560*Settings!$B$17)+(AG560*Settings!$B$18)+(Y560*Settings!$B$10)+(Z560*Settings!$B$11),VLOOKUP(B560,'Standard Deviations'!A1:C728,3,FALSE))</f>
        <v>111.65063786434267</v>
      </c>
      <c r="J560" s="38">
        <f>IF(D560="G",I560/AJ560,I560/Q560)</f>
        <v>1.4283902990462509</v>
      </c>
      <c r="K560" s="37">
        <f>IF(Settings!$E$18="C/LW/RW",VLOOKUP(B560,RW!A1:F97,6,FALSE),VLOOKUP(B560,F!A1:F430,6,FALSE))</f>
        <v>-238.62090268354689</v>
      </c>
      <c r="L560" s="37">
        <f>IFERROR(K560/H560,"N/A")</f>
        <v>-170.44350191681923</v>
      </c>
      <c r="M560" s="39">
        <f>IF(Settings!$E$9="YAHOO",VLOOKUP(B560,ADP!A1:E728,2,FALSE),IF(Settings!$E$9="ESPN",VLOOKUP(B560,ADP!A1:E728,3,FALSE),IF(Settings!$E$9="FANTRAX",VLOOKUP(B560,ADP!A1:E728,4,FALSE),VLOOKUP(B560,ADP!A1:E728,5,FALSE))))</f>
        <v>167.4</v>
      </c>
      <c r="N560" s="39">
        <f>IFERROR(M560-A560,"N/A")</f>
        <v>-391.6</v>
      </c>
      <c r="O560" s="39"/>
      <c r="P560" s="40" t="str">
        <f>IF(Settings!$E$27="ON",VLOOKUP(B560,ADP!A1:H728,8,FALSE)," ")</f>
        <v xml:space="preserve"> </v>
      </c>
      <c r="Q560" s="41">
        <f>IF(Settings!$E$12="YES",VLOOKUP(B560,'Player Data'!A1:E734,5,FALSE),82)</f>
        <v>78.165357142857104</v>
      </c>
      <c r="R560" s="39">
        <f>VLOOKUP(B560,'Player Data'!$A1:$AE734,6,FALSE)</f>
        <v>11.4904814081791</v>
      </c>
      <c r="S560" s="41">
        <f>VLOOKUP(B560,'Player Data'!$A1:$AE734,7,FALSE)*$Q560*IFERROR((VLOOKUP(P560,Settings!$E$28:$F$33,2,FALSE)+1),1)</f>
        <v>7.7453564677613826</v>
      </c>
      <c r="T560" s="41">
        <f>VLOOKUP(B560,'Player Data'!$A1:$AE734,8,FALSE)*$Q560*IFERROR((VLOOKUP(P560,Settings!$E$28:$F$33,2,FALSE)+1),1)</f>
        <v>14.229931565678838</v>
      </c>
      <c r="U560" s="41">
        <f>SUM(S560:T560)</f>
        <v>21.975288033440222</v>
      </c>
      <c r="V560" s="41">
        <f>VLOOKUP(B560,'Player Data'!$A1:$AE734,10,FALSE)*$Q560*IFERROR(((VLOOKUP(P560,Settings!$E$28:$F$33,2,FALSE)/2)+1),1)</f>
        <v>76.475055143420903</v>
      </c>
      <c r="W560" s="41">
        <f>VLOOKUP(B560,'Player Data'!$A1:$AE734,11,FALSE)*$Q560*IFERROR((VLOOKUP(P560,Settings!$E$28:$F$33,2,FALSE)+1),1)</f>
        <v>4.1566476512025968E-2</v>
      </c>
      <c r="X560" s="41">
        <f>VLOOKUP(B560,'Player Data'!$A1:$AE734,12,FALSE)*$Q560*IFERROR((VLOOKUP(P560,Settings!$E$28:$F$33,2,FALSE)+1),1)</f>
        <v>8.2026941094738695E-2</v>
      </c>
      <c r="Y560" s="41">
        <f>VLOOKUP(B560,'Player Data'!$A1:$AE734,13,FALSE)*$Q560</f>
        <v>0.10040398283409097</v>
      </c>
      <c r="Z560" s="41">
        <f>VLOOKUP(B560,'Player Data'!$A1:$AE734,14,FALSE)*$Q560</f>
        <v>0.12388536927230376</v>
      </c>
      <c r="AA560" s="41">
        <f>VLOOKUP(B560,'Player Data'!$A1:$AE734,15,FALSE)*$Q560</f>
        <v>35.377107857887417</v>
      </c>
      <c r="AB560" s="41">
        <f>VLOOKUP(B560,'Player Data'!$A1:$AE734,16,FALSE)*$Q560</f>
        <v>251.43451533339601</v>
      </c>
      <c r="AC560" s="41">
        <f>VLOOKUP(B560,'Player Data'!$A1:$AE734,17,FALSE)*$Q560*IFERROR((VLOOKUP(P560,Settings!$E$28:$F$33,2,FALSE)+1),1)</f>
        <v>4.3986386069501169</v>
      </c>
      <c r="AD560" s="41">
        <f>VLOOKUP(B560,'Player Data'!$A1:$AE734,18,FALSE)*$Q560</f>
        <v>52.901482249078391</v>
      </c>
      <c r="AE560" s="41">
        <f>VLOOKUP(B560,'Player Data'!$A1:$AE734,19,FALSE)*$Q560*IFERROR((VLOOKUP(P560,Settings!$E$28:$F$33,2,FALSE)+1),1)</f>
        <v>1.2658025770084043</v>
      </c>
      <c r="AF560" s="41">
        <f>VLOOKUP(B560,'Player Data'!$A1:$AE734,20,FALSE)*$Q560</f>
        <v>27.172411181952157</v>
      </c>
      <c r="AG560" s="41">
        <f>VLOOKUP(B560,'Player Data'!$A1:$AE734,21,FALSE)*$Q560</f>
        <v>44.377771007758966</v>
      </c>
      <c r="AH560" s="42">
        <f>VLOOKUP(B560,'Player Data'!$A1:$AE734,22,FALSE)</f>
        <v>0.37976718367964601</v>
      </c>
      <c r="AI560" s="39"/>
      <c r="AJ560" s="43"/>
      <c r="AK560" s="41"/>
      <c r="AL560" s="41"/>
      <c r="AM560" s="41"/>
      <c r="AN560" s="41"/>
      <c r="AO560" s="41"/>
      <c r="AP560" s="41"/>
      <c r="AQ560" s="44"/>
      <c r="AR560" s="45"/>
      <c r="AS560" s="39"/>
    </row>
    <row r="561" spans="1:45" ht="21.25" customHeight="1" x14ac:dyDescent="0.15">
      <c r="A561" s="31">
        <f>RANK(K561,K$2:K$727)</f>
        <v>560</v>
      </c>
      <c r="B561" s="8" t="s">
        <v>665</v>
      </c>
      <c r="C561" s="32" t="s">
        <v>106</v>
      </c>
      <c r="D561" s="33" t="str">
        <f>VLOOKUP(B561,'Player Data'!A1:D734,4,FALSE)</f>
        <v>C</v>
      </c>
      <c r="E561" s="34">
        <f>VLOOKUP(B561,'C'!A1:C211,3,FALSE)</f>
        <v>129</v>
      </c>
      <c r="F561" s="35" t="str">
        <f>VLOOKUP(B561,'Player Data'!A1:B734,2,FALSE)</f>
        <v>TBL</v>
      </c>
      <c r="G561" s="9">
        <f>VLOOKUP(B561,'Player Data'!A1:D734,3,FALSE)</f>
        <v>26</v>
      </c>
      <c r="H561" s="36">
        <f>IFERROR(VLOOKUP(B561,ADP!A1:G728,7,FALSE)/1000000,VLOOKUP(B561,ADP!A1:G728,7,FALSE))</f>
        <v>0.8</v>
      </c>
      <c r="I561" s="37">
        <f>IF(Settings!$E$15="POINTS",((R561*Q561)*Settings!$B$12)+(S561*Settings!$B$2)+(T561*Settings!$B$3)+(U561*Settings!$B$4)+(V561*Settings!$B$5)+(X561*Settings!$B$9)+(AA561*Settings!$B$6)+(W561*Settings!$B$8)+(AB561*Settings!$B$7)+(AC561*Settings!$B$14)+(AD561*Settings!$B$15)+(AE561*Settings!$B$16)+(AF561*Settings!$B$17)+(AG561*Settings!$B$18)+(Y561*Settings!$B$10)+(Z561*Settings!$B$11),VLOOKUP(B561,'Standard Deviations'!A1:C728,3,FALSE))</f>
        <v>154.44143672735058</v>
      </c>
      <c r="J561" s="38">
        <f>IF(D561="G",I561/AJ561,I561/Q561)</f>
        <v>2.2645371954156976</v>
      </c>
      <c r="K561" s="37">
        <f>IF(Settings!$E$18="C/LW/RW",VLOOKUP(B561,'C'!A1:F211,6,FALSE),VLOOKUP(B561,F!A1:F430,6,FALSE))</f>
        <v>-238.88736903885908</v>
      </c>
      <c r="L561" s="37">
        <f>IFERROR(K561/H561,"N/A")</f>
        <v>-298.60921129857383</v>
      </c>
      <c r="M561" s="53" t="str">
        <f>IF(Settings!$E$9="YAHOO",VLOOKUP(B561,ADP!A1:E728,2,FALSE),IF(Settings!$E$9="ESPN",VLOOKUP(B561,ADP!A1:E728,3,FALSE),IF(Settings!$E$9="FANTRAX",VLOOKUP(B561,ADP!A1:E728,4,FALSE),VLOOKUP(B561,ADP!A1:E728,5,FALSE))))</f>
        <v>-</v>
      </c>
      <c r="N561" s="53" t="str">
        <f>IFERROR(M561-A561,"N/A")</f>
        <v>N/A</v>
      </c>
      <c r="O561" s="39"/>
      <c r="P561" s="40" t="str">
        <f>IF(Settings!$E$27="ON",VLOOKUP(B561,ADP!A1:H728,8,FALSE)," ")</f>
        <v xml:space="preserve"> </v>
      </c>
      <c r="Q561" s="41">
        <f>IF(Settings!$E$12="YES",VLOOKUP(B561,'Player Data'!A1:E734,5,FALSE),82)</f>
        <v>68.2</v>
      </c>
      <c r="R561" s="39">
        <f>VLOOKUP(B561,'Player Data'!$A1:$AE734,6,FALSE)</f>
        <v>13.026067839193001</v>
      </c>
      <c r="S561" s="41">
        <f>VLOOKUP(B561,'Player Data'!$A1:$AE734,7,FALSE)*$Q561*IFERROR((VLOOKUP(P561,Settings!$E$28:$F$33,2,FALSE)+1),1)</f>
        <v>8.645609289730297</v>
      </c>
      <c r="T561" s="41">
        <f>VLOOKUP(B561,'Player Data'!$A1:$AE734,8,FALSE)*$Q561*IFERROR((VLOOKUP(P561,Settings!$E$28:$F$33,2,FALSE)+1),1)</f>
        <v>14.829911234204809</v>
      </c>
      <c r="U561" s="41">
        <f>SUM(S561:T561)</f>
        <v>23.475520523935106</v>
      </c>
      <c r="V561" s="41">
        <f>VLOOKUP(B561,'Player Data'!$A1:$AE734,10,FALSE)*$Q561*IFERROR(((VLOOKUP(P561,Settings!$E$28:$F$33,2,FALSE)/2)+1),1)</f>
        <v>153.51978326911143</v>
      </c>
      <c r="W561" s="41">
        <f>VLOOKUP(B561,'Player Data'!$A1:$AE734,11,FALSE)*$Q561*IFERROR((VLOOKUP(P561,Settings!$E$28:$F$33,2,FALSE)+1),1)</f>
        <v>0.37318813213478336</v>
      </c>
      <c r="X561" s="41">
        <f>VLOOKUP(B561,'Player Data'!$A1:$AE734,12,FALSE)*$Q561*IFERROR((VLOOKUP(P561,Settings!$E$28:$F$33,2,FALSE)+1),1)</f>
        <v>0.94652250126843374</v>
      </c>
      <c r="Y561" s="41">
        <f>VLOOKUP(B561,'Player Data'!$A1:$AE734,13,FALSE)*$Q561</f>
        <v>2.7021982661786941E-2</v>
      </c>
      <c r="Z561" s="41">
        <f>VLOOKUP(B561,'Player Data'!$A1:$AE734,14,FALSE)*$Q561</f>
        <v>4.9541809760596613E-2</v>
      </c>
      <c r="AA561" s="41">
        <f>VLOOKUP(B561,'Player Data'!$A1:$AE734,15,FALSE)*$Q561</f>
        <v>26.314274494657422</v>
      </c>
      <c r="AB561" s="41">
        <f>VLOOKUP(B561,'Player Data'!$A1:$AE734,16,FALSE)*$Q561</f>
        <v>126.0847005171306</v>
      </c>
      <c r="AC561" s="41">
        <f>VLOOKUP(B561,'Player Data'!$A1:$AE734,17,FALSE)*$Q561*IFERROR((VLOOKUP(P561,Settings!$E$28:$F$33,2,FALSE)+1),1)</f>
        <v>0.98335224065831794</v>
      </c>
      <c r="AD561" s="41">
        <f>VLOOKUP(B561,'Player Data'!$A1:$AE734,18,FALSE)*$Q561</f>
        <v>48.725493973047875</v>
      </c>
      <c r="AE561" s="41">
        <f>VLOOKUP(B561,'Player Data'!$A1:$AE734,19,FALSE)*$Q561*IFERROR((VLOOKUP(P561,Settings!$E$28:$F$33,2,FALSE)+1),1)</f>
        <v>1.3530409943657742</v>
      </c>
      <c r="AF561" s="41">
        <f>VLOOKUP(B561,'Player Data'!$A1:$AE734,20,FALSE)*$Q561</f>
        <v>15.965465846245632</v>
      </c>
      <c r="AG561" s="41">
        <f>VLOOKUP(B561,'Player Data'!$A1:$AE734,21,FALSE)*$Q561</f>
        <v>29.600034939126807</v>
      </c>
      <c r="AH561" s="42">
        <f>VLOOKUP(B561,'Player Data'!$A1:$AE734,22,FALSE)</f>
        <v>0.35038495289337201</v>
      </c>
      <c r="AI561" s="39"/>
      <c r="AJ561" s="41"/>
      <c r="AK561" s="41"/>
      <c r="AL561" s="41"/>
      <c r="AM561" s="41"/>
      <c r="AN561" s="41"/>
      <c r="AO561" s="41"/>
      <c r="AP561" s="41"/>
      <c r="AQ561" s="44"/>
      <c r="AR561" s="45"/>
      <c r="AS561" s="39"/>
    </row>
    <row r="562" spans="1:45" ht="21.25" customHeight="1" x14ac:dyDescent="0.15">
      <c r="A562" s="31">
        <f>RANK(K562,K$2:K$727)</f>
        <v>561</v>
      </c>
      <c r="B562" s="8" t="s">
        <v>666</v>
      </c>
      <c r="C562" s="32" t="s">
        <v>106</v>
      </c>
      <c r="D562" s="33" t="str">
        <f>VLOOKUP(B562,'Player Data'!A1:D734,4,FALSE)</f>
        <v>D</v>
      </c>
      <c r="E562" s="49">
        <f>VLOOKUP(B562,D!A1:C227,3,FALSE)</f>
        <v>211</v>
      </c>
      <c r="F562" s="35" t="str">
        <f>VLOOKUP(B562,'Player Data'!A1:B734,2,FALSE)</f>
        <v>NJD</v>
      </c>
      <c r="G562" s="9">
        <f>VLOOKUP(B562,'Player Data'!A1:D734,3,FALSE)</f>
        <v>34</v>
      </c>
      <c r="H562" s="36">
        <f>IFERROR(VLOOKUP(B562,ADP!A1:G728,7,FALSE)/1000000,VLOOKUP(B562,ADP!A1:G728,7,FALSE))</f>
        <v>1.1000000000000001</v>
      </c>
      <c r="I562" s="37">
        <f>IF(Settings!$E$15="POINTS",((R562*Q562)*Settings!$B$12)+(S562*Settings!$B$2)+(T562*Settings!$B$3)+(U562*Settings!$B$4)+(V562*Settings!$B$5)+(X562*Settings!$B$9)+(AA562*Settings!$B$6)+(W562*Settings!$B$8)+(AB562*Settings!$B$7)+(AC562*Settings!$B$14)+(AD562*Settings!$B$15)+(AE562*Settings!$B$16)+(AF562*Settings!$B$17)+(AG562*Settings!$B$18)+(U562*Settings!$B$13)+(Y562*Settings!$B$10)+(Z562*Settings!$B$11),VLOOKUP(B562,'Standard Deviations'!A1:C728,3,FALSE))</f>
        <v>72.52709133451485</v>
      </c>
      <c r="J562" s="38">
        <f>IF(D562="G",I562/AJ562,I562/Q562)</f>
        <v>1.2087848555752474</v>
      </c>
      <c r="K562" s="37">
        <f>VLOOKUP(B562,D!A1:F227,6,FALSE)</f>
        <v>-239.03839029341259</v>
      </c>
      <c r="L562" s="37">
        <f>IFERROR(K562/H562,"N/A")</f>
        <v>-217.30762753946598</v>
      </c>
      <c r="M562" s="53" t="str">
        <f>IF(Settings!$E$9="YAHOO",VLOOKUP(B562,ADP!A1:E728,2,FALSE),IF(Settings!$E$9="ESPN",VLOOKUP(B562,ADP!A1:E728,3,FALSE),IF(Settings!$E$9="FANTRAX",VLOOKUP(B562,ADP!A1:E728,4,FALSE),VLOOKUP(B562,ADP!A1:E728,5,FALSE))))</f>
        <v>-</v>
      </c>
      <c r="N562" s="53" t="str">
        <f>IFERROR(M562-A562,"N/A")</f>
        <v>N/A</v>
      </c>
      <c r="O562" s="39"/>
      <c r="P562" s="40" t="str">
        <f>IF(Settings!$E$27="ON",VLOOKUP(B562,ADP!A1:H728,8,FALSE)," ")</f>
        <v xml:space="preserve"> </v>
      </c>
      <c r="Q562" s="41">
        <f>IF(Settings!$E$12="YES",VLOOKUP(B562,'Player Data'!A1:E734,5,FALSE),82)</f>
        <v>60</v>
      </c>
      <c r="R562" s="39">
        <f>VLOOKUP(B562,'Player Data'!$A1:$AE734,6,FALSE)</f>
        <v>15.516924059044699</v>
      </c>
      <c r="S562" s="41">
        <f>VLOOKUP(B562,'Player Data'!$A1:$AE734,7,FALSE)*$Q562*IFERROR((VLOOKUP(P562,Settings!$E$28:$F$33,2,FALSE)+1),1)</f>
        <v>2.5544045562340019</v>
      </c>
      <c r="T562" s="41">
        <f>VLOOKUP(B562,'Player Data'!$A1:$AE734,8,FALSE)*$Q562*IFERROR((VLOOKUP(P562,Settings!$E$28:$F$33,2,FALSE)+1),1)</f>
        <v>5.6045837018117579</v>
      </c>
      <c r="U562" s="41">
        <f>SUM(S562:T562)</f>
        <v>8.1589882580457598</v>
      </c>
      <c r="V562" s="41">
        <f>VLOOKUP(B562,'Player Data'!$A1:$AE734,10,FALSE)*$Q562*IFERROR(((VLOOKUP(P562,Settings!$E$28:$F$33,2,FALSE)/2)+1),1)</f>
        <v>64.930440566868</v>
      </c>
      <c r="W562" s="41">
        <f>VLOOKUP(B562,'Player Data'!$A1:$AE734,11,FALSE)*$Q562*IFERROR((VLOOKUP(P562,Settings!$E$28:$F$33,2,FALSE)+1),1)</f>
        <v>1.5216106362297119E-2</v>
      </c>
      <c r="X562" s="41">
        <f>VLOOKUP(B562,'Player Data'!$A1:$AE734,12,FALSE)*$Q562*IFERROR((VLOOKUP(P562,Settings!$E$28:$F$33,2,FALSE)+1),1)</f>
        <v>0.10449095993491379</v>
      </c>
      <c r="Y562" s="41">
        <f>VLOOKUP(B562,'Player Data'!$A1:$AE734,13,FALSE)*$Q562</f>
        <v>2.5590346527790919E-2</v>
      </c>
      <c r="Z562" s="41">
        <f>VLOOKUP(B562,'Player Data'!$A1:$AE734,14,FALSE)*$Q562</f>
        <v>0.49351419644589539</v>
      </c>
      <c r="AA562" s="41">
        <f>VLOOKUP(B562,'Player Data'!$A1:$AE734,15,FALSE)*$Q562</f>
        <v>71.944479820909791</v>
      </c>
      <c r="AB562" s="41">
        <f>VLOOKUP(B562,'Player Data'!$A1:$AE734,16,FALSE)*$Q562</f>
        <v>98.042221707797992</v>
      </c>
      <c r="AC562" s="41">
        <f>VLOOKUP(B562,'Player Data'!$A1:$AE734,17,FALSE)*$Q562*IFERROR((VLOOKUP(P562,Settings!$E$28:$F$33,2,FALSE)+1),1)</f>
        <v>-0.1202014840227528</v>
      </c>
      <c r="AD562" s="41">
        <f>VLOOKUP(B562,'Player Data'!$A1:$AE734,18,FALSE)*$Q562</f>
        <v>54.955243713735904</v>
      </c>
      <c r="AE562" s="41">
        <f>VLOOKUP(B562,'Player Data'!$A1:$AE734,19,FALSE)*$Q562*IFERROR((VLOOKUP(P562,Settings!$E$28:$F$33,2,FALSE)+1),1)</f>
        <v>0.37598435044997042</v>
      </c>
      <c r="AF562" s="41">
        <f>VLOOKUP(B562,'Player Data'!$A1:$AE734,20,FALSE)*$Q562</f>
        <v>0</v>
      </c>
      <c r="AG562" s="41">
        <f>VLOOKUP(B562,'Player Data'!$A1:$AE734,21,FALSE)*$Q562</f>
        <v>0</v>
      </c>
      <c r="AH562" s="42">
        <f>VLOOKUP(B562,'Player Data'!$A1:$AE734,22,FALSE)</f>
        <v>0</v>
      </c>
      <c r="AI562" s="39"/>
      <c r="AJ562" s="43"/>
      <c r="AK562" s="41"/>
      <c r="AL562" s="41"/>
      <c r="AM562" s="41"/>
      <c r="AN562" s="41"/>
      <c r="AO562" s="41"/>
      <c r="AP562" s="41"/>
      <c r="AQ562" s="44"/>
      <c r="AR562" s="45"/>
      <c r="AS562" s="39"/>
    </row>
    <row r="563" spans="1:45" ht="21.25" customHeight="1" x14ac:dyDescent="0.15">
      <c r="A563" s="31">
        <f>RANK(K563,K$2:K$727)</f>
        <v>562</v>
      </c>
      <c r="B563" s="8" t="s">
        <v>667</v>
      </c>
      <c r="C563" s="32" t="s">
        <v>106</v>
      </c>
      <c r="D563" s="33" t="str">
        <f>VLOOKUP(B563,'Player Data'!A1:D734,4,FALSE)</f>
        <v>G</v>
      </c>
      <c r="E563" s="50">
        <f>VLOOKUP(B563,G!A1:D75,3,FALSE)</f>
        <v>47</v>
      </c>
      <c r="F563" s="35" t="str">
        <f>VLOOKUP(B563,'Player Data'!A1:B734,2,FALSE)</f>
        <v>COL</v>
      </c>
      <c r="G563" s="9">
        <f>VLOOKUP(B563,'Player Data'!A1:D734,3,FALSE)</f>
        <v>33</v>
      </c>
      <c r="H563" s="36">
        <f>IFERROR(VLOOKUP(B563,ADP!A1:G728,7,FALSE)/1000000,VLOOKUP(B563,ADP!A1:G728,7,FALSE))</f>
        <v>2</v>
      </c>
      <c r="I563" s="37">
        <f>IF(Settings!$E$15="POINTS",(AJ563*Settings!$B$29)+(AK563*Settings!$B$21)+(AL563*Settings!$B$22)+(AN563*Settings!$B$24)+(AO563*Settings!$B$25)+(AP563*Settings!$B$27)+(AM563*Settings!$B$23),VLOOKUP(B563,'Standard Deviations'!A1:C728,3,FALSE))</f>
        <v>159.56795372796344</v>
      </c>
      <c r="J563" s="38">
        <f>IF(D563="G",I563/AJ563,I563/Q563)</f>
        <v>6.6486647386651434</v>
      </c>
      <c r="K563" s="37">
        <f>VLOOKUP(B563,G!A1:F75,6,FALSE)</f>
        <v>-239.20770836135276</v>
      </c>
      <c r="L563" s="37">
        <f>IFERROR(K563/H563,"N/A")</f>
        <v>-119.60385418067638</v>
      </c>
      <c r="M563" s="39">
        <f>IF(Settings!$E$9="YAHOO",VLOOKUP(B563,ADP!A1:E728,2,FALSE),IF(Settings!$E$9="ESPN",VLOOKUP(B563,ADP!A1:E728,3,FALSE),IF(Settings!$E$9="FANTRAX",VLOOKUP(B563,ADP!A1:E728,4,FALSE),VLOOKUP(B563,ADP!A1:E728,5,FALSE))))</f>
        <v>184.8</v>
      </c>
      <c r="N563" s="39">
        <f>IFERROR(M563-A563,"N/A")</f>
        <v>-377.2</v>
      </c>
      <c r="O563" s="39"/>
      <c r="P563" s="40" t="str">
        <f>IF(Settings!$E$27="ON",VLOOKUP(B563,ADP!A1:H728,8,FALSE)," ")</f>
        <v xml:space="preserve"> </v>
      </c>
      <c r="Q563" s="41"/>
      <c r="R563" s="5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2"/>
      <c r="AI563" s="39"/>
      <c r="AJ563" s="43">
        <f>VLOOKUP(B563,'Player Data'!$A1:$AE734,24,FALSE)</f>
        <v>24</v>
      </c>
      <c r="AK563" s="41">
        <f>VLOOKUP(B563,'Player Data'!$A1:$AE734,25,FALSE)*$AJ563*IFERROR((VLOOKUP(P563,Settings!$E$28:$F$33,2,FALSE)+1),1)</f>
        <v>13.409464018204535</v>
      </c>
      <c r="AL563" s="41">
        <f>AJ563-AK563-AM563</f>
        <v>7.5905359817954654</v>
      </c>
      <c r="AM563" s="41">
        <f>VLOOKUP(B563,'Player Data'!$A1:$AE734,27,FALSE)*$AJ563</f>
        <v>3</v>
      </c>
      <c r="AN563" s="41">
        <f>VLOOKUP(B563,'Player Data'!$A1:$AE734,28,FALSE)*AJ563</f>
        <v>1.0928584831564583</v>
      </c>
      <c r="AO563" s="41">
        <f>VLOOKUP(B563,'Player Data'!$A1:$AE734,29,FALSE)*$AJ563*IFERROR((VLOOKUP(P563,Settings!$E$28:$F$33,2,FALSE)/4)+1,1)</f>
        <v>658.8894839305824</v>
      </c>
      <c r="AP563" s="41">
        <f>VLOOKUP(B563,'Player Data'!$A1:$AE734,31,FALSE)*$AJ563*(IFERROR(1-(VLOOKUP(P563,Settings!$E$28:$F$33,2,FALSE)/4),1))</f>
        <v>70.763632419418087</v>
      </c>
      <c r="AQ563" s="44">
        <f>1-(AP563/(AO563+AP563))</f>
        <v>0.90301743275845325</v>
      </c>
      <c r="AR563" s="45">
        <f>AP563/AJ563</f>
        <v>2.9484846841424202</v>
      </c>
      <c r="AS563" s="39"/>
    </row>
    <row r="564" spans="1:45" ht="21.25" customHeight="1" x14ac:dyDescent="0.15">
      <c r="A564" s="31">
        <f>RANK(K564,K$2:K$727)</f>
        <v>563</v>
      </c>
      <c r="B564" s="8" t="s">
        <v>668</v>
      </c>
      <c r="C564" s="32" t="s">
        <v>106</v>
      </c>
      <c r="D564" s="33" t="str">
        <f>VLOOKUP(B564,'Player Data'!A1:D734,4,FALSE)</f>
        <v>C</v>
      </c>
      <c r="E564" s="34">
        <f>VLOOKUP(B564,'C'!A1:C211,3,FALSE)</f>
        <v>130</v>
      </c>
      <c r="F564" s="35" t="str">
        <f>VLOOKUP(B564,'Player Data'!A1:B734,2,FALSE)</f>
        <v>EDM</v>
      </c>
      <c r="G564" s="9">
        <f>VLOOKUP(B564,'Player Data'!A1:D734,3,FALSE)</f>
        <v>23</v>
      </c>
      <c r="H564" s="36">
        <f>IFERROR(VLOOKUP(B564,ADP!A1:G728,7,FALSE)/1000000,VLOOKUP(B564,ADP!A1:G728,7,FALSE))</f>
        <v>0</v>
      </c>
      <c r="I564" s="37">
        <f>IF(Settings!$E$15="POINTS",((R564*Q564)*Settings!$B$12)+(S564*Settings!$B$2)+(T564*Settings!$B$3)+(U564*Settings!$B$4)+(V564*Settings!$B$5)+(X564*Settings!$B$9)+(AA564*Settings!$B$6)+(W564*Settings!$B$8)+(AB564*Settings!$B$7)+(AC564*Settings!$B$14)+(AD564*Settings!$B$15)+(AE564*Settings!$B$16)+(AF564*Settings!$B$17)+(AG564*Settings!$B$18)+(Y564*Settings!$B$10)+(Z564*Settings!$B$11),VLOOKUP(B564,'Standard Deviations'!A1:C728,3,FALSE))</f>
        <v>154.07120460853051</v>
      </c>
      <c r="J564" s="38">
        <f>IF(D564="G",I564/AJ564,I564/Q564)</f>
        <v>2.0741950001148424</v>
      </c>
      <c r="K564" s="37">
        <f>IF(Settings!$E$18="C/LW/RW",VLOOKUP(B564,'C'!A1:F211,6,FALSE),VLOOKUP(B564,F!A1:F430,6,FALSE))</f>
        <v>-239.25760115767915</v>
      </c>
      <c r="L564" s="52" t="str">
        <f>IFERROR(K564/H564,"N/A")</f>
        <v>N/A</v>
      </c>
      <c r="M564" s="53" t="str">
        <f>IF(Settings!$E$9="YAHOO",VLOOKUP(B564,ADP!A1:E728,2,FALSE),IF(Settings!$E$9="ESPN",VLOOKUP(B564,ADP!A1:E728,3,FALSE),IF(Settings!$E$9="FANTRAX",VLOOKUP(B564,ADP!A1:E728,4,FALSE),VLOOKUP(B564,ADP!A1:E728,5,FALSE))))</f>
        <v>-</v>
      </c>
      <c r="N564" s="53" t="str">
        <f>IFERROR(M564-A564,"N/A")</f>
        <v>N/A</v>
      </c>
      <c r="O564" s="39"/>
      <c r="P564" s="40" t="str">
        <f>IF(Settings!$E$27="ON",VLOOKUP(B564,ADP!A1:H728,8,FALSE)," ")</f>
        <v xml:space="preserve"> </v>
      </c>
      <c r="Q564" s="41">
        <f>IF(Settings!$E$12="YES",VLOOKUP(B564,'Player Data'!A1:E734,5,FALSE),82)</f>
        <v>74.28</v>
      </c>
      <c r="R564" s="39">
        <f>VLOOKUP(B564,'Player Data'!$A1:$AE734,6,FALSE)</f>
        <v>14.364570120730001</v>
      </c>
      <c r="S564" s="41">
        <f>VLOOKUP(B564,'Player Data'!$A1:$AE734,7,FALSE)*$Q564*IFERROR((VLOOKUP(P564,Settings!$E$28:$F$33,2,FALSE)+1),1)</f>
        <v>13.146283885791481</v>
      </c>
      <c r="T564" s="41">
        <f>VLOOKUP(B564,'Player Data'!$A1:$AE734,8,FALSE)*$Q564*IFERROR((VLOOKUP(P564,Settings!$E$28:$F$33,2,FALSE)+1),1)</f>
        <v>16.217805768735268</v>
      </c>
      <c r="U564" s="41">
        <f>SUM(S564:T564)</f>
        <v>29.364089654526751</v>
      </c>
      <c r="V564" s="41">
        <f>VLOOKUP(B564,'Player Data'!$A1:$AE734,10,FALSE)*$Q564*IFERROR(((VLOOKUP(P564,Settings!$E$28:$F$33,2,FALSE)/2)+1),1)</f>
        <v>101.64636244603423</v>
      </c>
      <c r="W564" s="41">
        <f>VLOOKUP(B564,'Player Data'!$A1:$AE734,11,FALSE)*$Q564*IFERROR((VLOOKUP(P564,Settings!$E$28:$F$33,2,FALSE)+1),1)</f>
        <v>1.0314307873446906</v>
      </c>
      <c r="X564" s="41">
        <f>VLOOKUP(B564,'Player Data'!$A1:$AE734,12,FALSE)*$Q564*IFERROR((VLOOKUP(P564,Settings!$E$28:$F$33,2,FALSE)+1),1)</f>
        <v>2.6029500675243313</v>
      </c>
      <c r="Y564" s="41">
        <f>VLOOKUP(B564,'Player Data'!$A1:$AE734,13,FALSE)*$Q564</f>
        <v>1.331042801695264</v>
      </c>
      <c r="Z564" s="41">
        <f>VLOOKUP(B564,'Player Data'!$A1:$AE734,14,FALSE)*$Q564</f>
        <v>2.0520223924589498</v>
      </c>
      <c r="AA564" s="41">
        <f>VLOOKUP(B564,'Player Data'!$A1:$AE734,15,FALSE)*$Q564</f>
        <v>29.229047509832878</v>
      </c>
      <c r="AB564" s="41">
        <f>VLOOKUP(B564,'Player Data'!$A1:$AE734,16,FALSE)*$Q564</f>
        <v>57.765835230476583</v>
      </c>
      <c r="AC564" s="41">
        <f>VLOOKUP(B564,'Player Data'!$A1:$AE734,17,FALSE)*$Q564*IFERROR((VLOOKUP(P564,Settings!$E$28:$F$33,2,FALSE)+1),1)</f>
        <v>4.7971005307975041</v>
      </c>
      <c r="AD564" s="41">
        <f>VLOOKUP(B564,'Player Data'!$A1:$AE734,18,FALSE)*$Q564</f>
        <v>20.74818435436562</v>
      </c>
      <c r="AE564" s="41">
        <f>VLOOKUP(B564,'Player Data'!$A1:$AE734,19,FALSE)*$Q564*IFERROR((VLOOKUP(P564,Settings!$E$28:$F$33,2,FALSE)+1),1)</f>
        <v>2.0809156055739271</v>
      </c>
      <c r="AF564" s="41">
        <f>VLOOKUP(B564,'Player Data'!$A1:$AE734,20,FALSE)*$Q564</f>
        <v>360.64247018627958</v>
      </c>
      <c r="AG564" s="41">
        <f>VLOOKUP(B564,'Player Data'!$A1:$AE734,21,FALSE)*$Q564</f>
        <v>394.36135939510081</v>
      </c>
      <c r="AH564" s="42">
        <f>VLOOKUP(B564,'Player Data'!$A1:$AE734,22,FALSE)</f>
        <v>0.47766972306119498</v>
      </c>
      <c r="AI564" s="39"/>
      <c r="AJ564" s="43"/>
      <c r="AK564" s="41"/>
      <c r="AL564" s="41"/>
      <c r="AM564" s="41"/>
      <c r="AN564" s="41"/>
      <c r="AO564" s="41"/>
      <c r="AP564" s="41"/>
      <c r="AQ564" s="44"/>
      <c r="AR564" s="45"/>
      <c r="AS564" s="39"/>
    </row>
    <row r="565" spans="1:45" ht="21.25" customHeight="1" x14ac:dyDescent="0.15">
      <c r="A565" s="31">
        <f>RANK(K565,K$2:K$727)</f>
        <v>564</v>
      </c>
      <c r="B565" s="8" t="s">
        <v>669</v>
      </c>
      <c r="C565" s="32" t="s">
        <v>106</v>
      </c>
      <c r="D565" s="33" t="str">
        <f>VLOOKUP(B565,'Player Data'!A1:D734,4,FALSE)</f>
        <v>RW</v>
      </c>
      <c r="E565" s="46">
        <f>VLOOKUP(B565,RW!A1:F97,3,FALSE)</f>
        <v>84</v>
      </c>
      <c r="F565" s="35" t="str">
        <f>VLOOKUP(B565,'Player Data'!A1:B734,2,FALSE)</f>
        <v>DET</v>
      </c>
      <c r="G565" s="9">
        <f>VLOOKUP(B565,'Player Data'!A1:D734,3,FALSE)</f>
        <v>26</v>
      </c>
      <c r="H565" s="36">
        <f>IFERROR(VLOOKUP(B565,ADP!A1:G728,7,FALSE)/1000000,VLOOKUP(B565,ADP!A1:G728,7,FALSE))</f>
        <v>1.125</v>
      </c>
      <c r="I565" s="37">
        <f>IF(Settings!$E$15="POINTS",((R565*Q565)*Settings!$B$12)+(S565*Settings!$B$2)+(T565*Settings!$B$3)+(U565*Settings!$B$4)+(V565*Settings!$B$5)+(X565*Settings!$B$9)+(AA565*Settings!$B$6)+(W565*Settings!$B$8)+(AB565*Settings!$B$7)+(AC565*Settings!$B$14)+(AD565*Settings!$B$15)+(AE565*Settings!$B$16)+(AF565*Settings!$B$17)+(AG565*Settings!$B$18)+(Y565*Settings!$B$10)+(Z565*Settings!$B$11),VLOOKUP(B565,'Standard Deviations'!A1:C728,3,FALSE))</f>
        <v>111.0034762743269</v>
      </c>
      <c r="J565" s="38">
        <f>IF(D565="G",I565/AJ565,I565/Q565)</f>
        <v>1.5857639467760987</v>
      </c>
      <c r="K565" s="37">
        <f>IF(Settings!$E$18="C/LW/RW",VLOOKUP(B565,RW!A1:F97,6,FALSE),VLOOKUP(B565,F!A1:F430,6,FALSE))</f>
        <v>-239.26806427356269</v>
      </c>
      <c r="L565" s="37">
        <f>IFERROR(K565/H565,"N/A")</f>
        <v>-212.68272379872238</v>
      </c>
      <c r="M565" s="53" t="str">
        <f>IF(Settings!$E$9="YAHOO",VLOOKUP(B565,ADP!A1:E728,2,FALSE),IF(Settings!$E$9="ESPN",VLOOKUP(B565,ADP!A1:E728,3,FALSE),IF(Settings!$E$9="FANTRAX",VLOOKUP(B565,ADP!A1:E728,4,FALSE),VLOOKUP(B565,ADP!A1:E728,5,FALSE))))</f>
        <v>-</v>
      </c>
      <c r="N565" s="53" t="str">
        <f>IFERROR(M565-A565,"N/A")</f>
        <v>N/A</v>
      </c>
      <c r="O565" s="39"/>
      <c r="P565" s="40" t="str">
        <f>IF(Settings!$E$27="ON",VLOOKUP(B565,ADP!A1:H728,8,FALSE)," ")</f>
        <v xml:space="preserve"> </v>
      </c>
      <c r="Q565" s="41">
        <f>IF(Settings!$E$12="YES",VLOOKUP(B565,'Player Data'!A1:E734,5,FALSE),82)</f>
        <v>70</v>
      </c>
      <c r="R565" s="39">
        <f>VLOOKUP(B565,'Player Data'!$A1:$AE734,6,FALSE)</f>
        <v>12.5239868422081</v>
      </c>
      <c r="S565" s="41">
        <f>VLOOKUP(B565,'Player Data'!$A1:$AE734,7,FALSE)*$Q565*IFERROR((VLOOKUP(P565,Settings!$E$28:$F$33,2,FALSE)+1),1)</f>
        <v>8.6424619197735701</v>
      </c>
      <c r="T565" s="41">
        <f>VLOOKUP(B565,'Player Data'!$A1:$AE734,8,FALSE)*$Q565*IFERROR((VLOOKUP(P565,Settings!$E$28:$F$33,2,FALSE)+1),1)</f>
        <v>10.55936693111237</v>
      </c>
      <c r="U565" s="41">
        <f>SUM(S565:T565)</f>
        <v>19.201828850885938</v>
      </c>
      <c r="V565" s="41">
        <f>VLOOKUP(B565,'Player Data'!$A1:$AE734,10,FALSE)*$Q565*IFERROR(((VLOOKUP(P565,Settings!$E$28:$F$33,2,FALSE)/2)+1),1)</f>
        <v>93.0725406124605</v>
      </c>
      <c r="W565" s="41">
        <f>VLOOKUP(B565,'Player Data'!$A1:$AE734,11,FALSE)*$Q565*IFERROR((VLOOKUP(P565,Settings!$E$28:$F$33,2,FALSE)+1),1)</f>
        <v>9.6472573116142296E-2</v>
      </c>
      <c r="X565" s="41">
        <f>VLOOKUP(B565,'Player Data'!$A1:$AE734,12,FALSE)*$Q565*IFERROR((VLOOKUP(P565,Settings!$E$28:$F$33,2,FALSE)+1),1)</f>
        <v>0.27617759127702379</v>
      </c>
      <c r="Y565" s="41">
        <f>VLOOKUP(B565,'Player Data'!$A1:$AE734,13,FALSE)*$Q565</f>
        <v>0.31642260001648309</v>
      </c>
      <c r="Z565" s="41">
        <f>VLOOKUP(B565,'Player Data'!$A1:$AE734,14,FALSE)*$Q565</f>
        <v>0.36662640163459798</v>
      </c>
      <c r="AA565" s="41">
        <f>VLOOKUP(B565,'Player Data'!$A1:$AE734,15,FALSE)*$Q565</f>
        <v>27.880557148077898</v>
      </c>
      <c r="AB565" s="41">
        <f>VLOOKUP(B565,'Player Data'!$A1:$AE734,16,FALSE)*$Q565</f>
        <v>106.45016549049959</v>
      </c>
      <c r="AC565" s="41">
        <f>VLOOKUP(B565,'Player Data'!$A1:$AE734,17,FALSE)*$Q565*IFERROR((VLOOKUP(P565,Settings!$E$28:$F$33,2,FALSE)+1),1)</f>
        <v>-2.7706926308494646</v>
      </c>
      <c r="AD565" s="41">
        <f>VLOOKUP(B565,'Player Data'!$A1:$AE734,18,FALSE)*$Q565</f>
        <v>15.87138355744445</v>
      </c>
      <c r="AE565" s="41">
        <f>VLOOKUP(B565,'Player Data'!$A1:$AE734,19,FALSE)*$Q565*IFERROR((VLOOKUP(P565,Settings!$E$28:$F$33,2,FALSE)+1),1)</f>
        <v>1.1158399793229781</v>
      </c>
      <c r="AF565" s="41">
        <f>VLOOKUP(B565,'Player Data'!$A1:$AE734,20,FALSE)*$Q565</f>
        <v>16.886449439756468</v>
      </c>
      <c r="AG565" s="41">
        <f>VLOOKUP(B565,'Player Data'!$A1:$AE734,21,FALSE)*$Q565</f>
        <v>42.783951646272342</v>
      </c>
      <c r="AH565" s="42">
        <f>VLOOKUP(B565,'Player Data'!$A1:$AE734,22,FALSE)</f>
        <v>0.28299540697590903</v>
      </c>
      <c r="AI565" s="39"/>
      <c r="AJ565" s="43"/>
      <c r="AK565" s="41"/>
      <c r="AL565" s="41"/>
      <c r="AM565" s="41"/>
      <c r="AN565" s="41"/>
      <c r="AO565" s="41"/>
      <c r="AP565" s="41"/>
      <c r="AQ565" s="44"/>
      <c r="AR565" s="45"/>
      <c r="AS565" s="39"/>
    </row>
    <row r="566" spans="1:45" ht="21.25" customHeight="1" x14ac:dyDescent="0.15">
      <c r="A566" s="31">
        <f>RANK(K566,K$2:K$727)</f>
        <v>565</v>
      </c>
      <c r="B566" s="8" t="s">
        <v>670</v>
      </c>
      <c r="C566" s="32" t="s">
        <v>106</v>
      </c>
      <c r="D566" s="33" t="str">
        <f>VLOOKUP(B566,'Player Data'!A1:D734,4,FALSE)</f>
        <v>D</v>
      </c>
      <c r="E566" s="49">
        <f>VLOOKUP(B566,D!A1:C227,3,FALSE)</f>
        <v>212</v>
      </c>
      <c r="F566" s="35" t="str">
        <f>VLOOKUP(B566,'Player Data'!A1:B734,2,FALSE)</f>
        <v>VAN</v>
      </c>
      <c r="G566" s="9">
        <f>VLOOKUP(B566,'Player Data'!A1:D734,3,FALSE)</f>
        <v>35</v>
      </c>
      <c r="H566" s="36">
        <f>IFERROR(VLOOKUP(B566,ADP!A1:G728,7,FALSE)/1000000,VLOOKUP(B566,ADP!A1:G728,7,FALSE))</f>
        <v>0.77500000000000002</v>
      </c>
      <c r="I566" s="37">
        <f>IF(Settings!$E$15="POINTS",((R566*Q566)*Settings!$B$12)+(S566*Settings!$B$2)+(T566*Settings!$B$3)+(U566*Settings!$B$4)+(V566*Settings!$B$5)+(X566*Settings!$B$9)+(AA566*Settings!$B$6)+(W566*Settings!$B$8)+(AB566*Settings!$B$7)+(AC566*Settings!$B$14)+(AD566*Settings!$B$15)+(AE566*Settings!$B$16)+(AF566*Settings!$B$17)+(AG566*Settings!$B$18)+(U566*Settings!$B$13)+(Y566*Settings!$B$10)+(Z566*Settings!$B$11),VLOOKUP(B566,'Standard Deviations'!A1:C728,3,FALSE))</f>
        <v>72.096856554371342</v>
      </c>
      <c r="J566" s="38">
        <f>IF(D566="G",I566/AJ566,I566/Q566)</f>
        <v>1.1146823246139734</v>
      </c>
      <c r="K566" s="37">
        <f>VLOOKUP(B566,D!A1:F227,6,FALSE)</f>
        <v>-239.4686250735561</v>
      </c>
      <c r="L566" s="37">
        <f>IFERROR(K566/H566,"N/A")</f>
        <v>-308.99177428845945</v>
      </c>
      <c r="M566" s="53" t="str">
        <f>IF(Settings!$E$9="YAHOO",VLOOKUP(B566,ADP!A1:E728,2,FALSE),IF(Settings!$E$9="ESPN",VLOOKUP(B566,ADP!A1:E728,3,FALSE),IF(Settings!$E$9="FANTRAX",VLOOKUP(B566,ADP!A1:E728,4,FALSE),VLOOKUP(B566,ADP!A1:E728,5,FALSE))))</f>
        <v>-</v>
      </c>
      <c r="N566" s="53" t="str">
        <f>IFERROR(M566-A566,"N/A")</f>
        <v>N/A</v>
      </c>
      <c r="O566" s="39"/>
      <c r="P566" s="40" t="str">
        <f>IF(Settings!$E$27="ON",VLOOKUP(B566,ADP!A1:H728,8,FALSE)," ")</f>
        <v xml:space="preserve"> </v>
      </c>
      <c r="Q566" s="41">
        <f>IF(Settings!$E$12="YES",VLOOKUP(B566,'Player Data'!A1:E734,5,FALSE),82)</f>
        <v>64.679285714285697</v>
      </c>
      <c r="R566" s="39">
        <f>VLOOKUP(B566,'Player Data'!$A1:$AE734,6,FALSE)</f>
        <v>12.3715106346037</v>
      </c>
      <c r="S566" s="41">
        <f>VLOOKUP(B566,'Player Data'!$A1:$AE734,7,FALSE)*$Q566*IFERROR((VLOOKUP(P566,Settings!$E$28:$F$33,2,FALSE)+1),1)</f>
        <v>1.6410177205857241</v>
      </c>
      <c r="T566" s="41">
        <f>VLOOKUP(B566,'Player Data'!$A1:$AE734,8,FALSE)*$Q566*IFERROR((VLOOKUP(P566,Settings!$E$28:$F$33,2,FALSE)+1),1)</f>
        <v>5.0192302725668334</v>
      </c>
      <c r="U566" s="41">
        <f>SUM(S566:T566)</f>
        <v>6.6602479931525576</v>
      </c>
      <c r="V566" s="41">
        <f>VLOOKUP(B566,'Player Data'!$A1:$AE734,10,FALSE)*$Q566*IFERROR(((VLOOKUP(P566,Settings!$E$28:$F$33,2,FALSE)/2)+1),1)</f>
        <v>77.117176948940113</v>
      </c>
      <c r="W566" s="41">
        <f>VLOOKUP(B566,'Player Data'!$A1:$AE734,11,FALSE)*$Q566*IFERROR((VLOOKUP(P566,Settings!$E$28:$F$33,2,FALSE)+1),1)</f>
        <v>1.5222192192649378E-3</v>
      </c>
      <c r="X566" s="41">
        <f>VLOOKUP(B566,'Player Data'!$A1:$AE734,12,FALSE)*$Q566*IFERROR((VLOOKUP(P566,Settings!$E$28:$F$33,2,FALSE)+1),1)</f>
        <v>1.0942204792475553E-2</v>
      </c>
      <c r="Y566" s="41">
        <f>VLOOKUP(B566,'Player Data'!$A1:$AE734,13,FALSE)*$Q566</f>
        <v>5.8524869227443137E-3</v>
      </c>
      <c r="Z566" s="41">
        <f>VLOOKUP(B566,'Player Data'!$A1:$AE734,14,FALSE)*$Q566</f>
        <v>2.3046010491957619E-2</v>
      </c>
      <c r="AA566" s="41">
        <f>VLOOKUP(B566,'Player Data'!$A1:$AE734,15,FALSE)*$Q566</f>
        <v>67.447738349373751</v>
      </c>
      <c r="AB566" s="41">
        <f>VLOOKUP(B566,'Player Data'!$A1:$AE734,16,FALSE)*$Q566</f>
        <v>105.65540960930441</v>
      </c>
      <c r="AC566" s="41">
        <f>VLOOKUP(B566,'Player Data'!$A1:$AE734,17,FALSE)*$Q566*IFERROR((VLOOKUP(P566,Settings!$E$28:$F$33,2,FALSE)+1),1)</f>
        <v>-0.56445640615101589</v>
      </c>
      <c r="AD566" s="41">
        <f>VLOOKUP(B566,'Player Data'!$A1:$AE734,18,FALSE)*$Q566</f>
        <v>30.200089685381482</v>
      </c>
      <c r="AE566" s="41">
        <f>VLOOKUP(B566,'Player Data'!$A1:$AE734,19,FALSE)*$Q566*IFERROR((VLOOKUP(P566,Settings!$E$28:$F$33,2,FALSE)+1),1)</f>
        <v>0.23230189245339347</v>
      </c>
      <c r="AF566" s="41">
        <f>VLOOKUP(B566,'Player Data'!$A1:$AE734,20,FALSE)*$Q566</f>
        <v>0</v>
      </c>
      <c r="AG566" s="41">
        <f>VLOOKUP(B566,'Player Data'!$A1:$AE734,21,FALSE)*$Q566</f>
        <v>0</v>
      </c>
      <c r="AH566" s="42">
        <f>VLOOKUP(B566,'Player Data'!$A1:$AE734,22,FALSE)</f>
        <v>0</v>
      </c>
      <c r="AI566" s="39"/>
      <c r="AJ566" s="43"/>
      <c r="AK566" s="41"/>
      <c r="AL566" s="41"/>
      <c r="AM566" s="41"/>
      <c r="AN566" s="41"/>
      <c r="AO566" s="41"/>
      <c r="AP566" s="41"/>
      <c r="AQ566" s="44"/>
      <c r="AR566" s="45"/>
      <c r="AS566" s="39"/>
    </row>
    <row r="567" spans="1:45" ht="21.25" customHeight="1" x14ac:dyDescent="0.15">
      <c r="A567" s="31">
        <f>RANK(K567,K$2:K$727)</f>
        <v>566</v>
      </c>
      <c r="B567" s="8" t="s">
        <v>671</v>
      </c>
      <c r="C567" s="32" t="s">
        <v>106</v>
      </c>
      <c r="D567" s="33" t="str">
        <f>VLOOKUP(B567,'Player Data'!A1:D734,4,FALSE)</f>
        <v>C</v>
      </c>
      <c r="E567" s="34">
        <f>VLOOKUP(B567,'C'!A1:C211,3,FALSE)</f>
        <v>131</v>
      </c>
      <c r="F567" s="35" t="str">
        <f>VLOOKUP(B567,'Player Data'!A1:B734,2,FALSE)</f>
        <v>LAK</v>
      </c>
      <c r="G567" s="9">
        <f>VLOOKUP(B567,'Player Data'!A1:D734,3,FALSE)</f>
        <v>25</v>
      </c>
      <c r="H567" s="36">
        <f>IFERROR(VLOOKUP(B567,ADP!A1:G728,7,FALSE)/1000000,VLOOKUP(B567,ADP!A1:G728,7,FALSE))</f>
        <v>1.675</v>
      </c>
      <c r="I567" s="37">
        <f>IF(Settings!$E$15="POINTS",((R567*Q567)*Settings!$B$12)+(S567*Settings!$B$2)+(T567*Settings!$B$3)+(U567*Settings!$B$4)+(V567*Settings!$B$5)+(X567*Settings!$B$9)+(AA567*Settings!$B$6)+(W567*Settings!$B$8)+(AB567*Settings!$B$7)+(AC567*Settings!$B$14)+(AD567*Settings!$B$15)+(AE567*Settings!$B$16)+(AF567*Settings!$B$17)+(AG567*Settings!$B$18)+(Y567*Settings!$B$10)+(Z567*Settings!$B$11),VLOOKUP(B567,'Standard Deviations'!A1:C728,3,FALSE))</f>
        <v>153.5882276147284</v>
      </c>
      <c r="J567" s="38">
        <f>IF(D567="G",I567/AJ567,I567/Q567)</f>
        <v>1.9689265822772022</v>
      </c>
      <c r="K567" s="37">
        <f>IF(Settings!$E$18="C/LW/RW",VLOOKUP(B567,'C'!A1:F211,6,FALSE),VLOOKUP(B567,F!A1:F430,6,FALSE))</f>
        <v>-239.74057815148126</v>
      </c>
      <c r="L567" s="37">
        <f>IFERROR(K567/H567,"N/A")</f>
        <v>-143.12870337401867</v>
      </c>
      <c r="M567" s="53" t="str">
        <f>IF(Settings!$E$9="YAHOO",VLOOKUP(B567,ADP!A1:E728,2,FALSE),IF(Settings!$E$9="ESPN",VLOOKUP(B567,ADP!A1:E728,3,FALSE),IF(Settings!$E$9="FANTRAX",VLOOKUP(B567,ADP!A1:E728,4,FALSE),VLOOKUP(B567,ADP!A1:E728,5,FALSE))))</f>
        <v>-</v>
      </c>
      <c r="N567" s="53" t="str">
        <f>IFERROR(M567-A567,"N/A")</f>
        <v>N/A</v>
      </c>
      <c r="O567" s="39"/>
      <c r="P567" s="40" t="str">
        <f>IF(Settings!$E$27="ON",VLOOKUP(B567,ADP!A1:H728,8,FALSE)," ")</f>
        <v xml:space="preserve"> </v>
      </c>
      <c r="Q567" s="41">
        <f>IF(Settings!$E$12="YES",VLOOKUP(B567,'Player Data'!A1:E734,5,FALSE),82)</f>
        <v>78.006071428571403</v>
      </c>
      <c r="R567" s="39">
        <f>VLOOKUP(B567,'Player Data'!$A1:$AE734,6,FALSE)</f>
        <v>12.907922936210801</v>
      </c>
      <c r="S567" s="41">
        <f>VLOOKUP(B567,'Player Data'!$A1:$AE734,7,FALSE)*$Q567*IFERROR((VLOOKUP(P567,Settings!$E$28:$F$33,2,FALSE)+1),1)</f>
        <v>10.986561328254389</v>
      </c>
      <c r="T567" s="41">
        <f>VLOOKUP(B567,'Player Data'!$A1:$AE734,8,FALSE)*$Q567*IFERROR((VLOOKUP(P567,Settings!$E$28:$F$33,2,FALSE)+1),1)</f>
        <v>19.308699313409633</v>
      </c>
      <c r="U567" s="41">
        <f>SUM(S567:T567)</f>
        <v>30.295260641664022</v>
      </c>
      <c r="V567" s="41">
        <f>VLOOKUP(B567,'Player Data'!$A1:$AE734,10,FALSE)*$Q567*IFERROR(((VLOOKUP(P567,Settings!$E$28:$F$33,2,FALSE)/2)+1),1)</f>
        <v>103.01145978736486</v>
      </c>
      <c r="W567" s="41">
        <f>VLOOKUP(B567,'Player Data'!$A1:$AE734,11,FALSE)*$Q567*IFERROR((VLOOKUP(P567,Settings!$E$28:$F$33,2,FALSE)+1),1)</f>
        <v>5.4453154441517562E-2</v>
      </c>
      <c r="X567" s="41">
        <f>VLOOKUP(B567,'Player Data'!$A1:$AE734,12,FALSE)*$Q567*IFERROR((VLOOKUP(P567,Settings!$E$28:$F$33,2,FALSE)+1),1)</f>
        <v>0.13721893013879255</v>
      </c>
      <c r="Y567" s="41">
        <f>VLOOKUP(B567,'Player Data'!$A1:$AE734,13,FALSE)*$Q567</f>
        <v>0.4143437045284919</v>
      </c>
      <c r="Z567" s="41">
        <f>VLOOKUP(B567,'Player Data'!$A1:$AE734,14,FALSE)*$Q567</f>
        <v>2.1752591638151837</v>
      </c>
      <c r="AA567" s="41">
        <f>VLOOKUP(B567,'Player Data'!$A1:$AE734,15,FALSE)*$Q567</f>
        <v>32.858798040729717</v>
      </c>
      <c r="AB567" s="41">
        <f>VLOOKUP(B567,'Player Data'!$A1:$AE734,16,FALSE)*$Q567</f>
        <v>92.168594838961496</v>
      </c>
      <c r="AC567" s="41">
        <f>VLOOKUP(B567,'Player Data'!$A1:$AE734,17,FALSE)*$Q567*IFERROR((VLOOKUP(P567,Settings!$E$28:$F$33,2,FALSE)+1),1)</f>
        <v>0.6740869212287286</v>
      </c>
      <c r="AD567" s="41">
        <f>VLOOKUP(B567,'Player Data'!$A1:$AE734,18,FALSE)*$Q567</f>
        <v>41.333870173677838</v>
      </c>
      <c r="AE567" s="41">
        <f>VLOOKUP(B567,'Player Data'!$A1:$AE734,19,FALSE)*$Q567*IFERROR((VLOOKUP(P567,Settings!$E$28:$F$33,2,FALSE)+1),1)</f>
        <v>1.6311069841159223</v>
      </c>
      <c r="AF567" s="41">
        <f>VLOOKUP(B567,'Player Data'!$A1:$AE734,20,FALSE)*$Q567</f>
        <v>390.62562319171576</v>
      </c>
      <c r="AG567" s="41">
        <f>VLOOKUP(B567,'Player Data'!$A1:$AE734,21,FALSE)*$Q567</f>
        <v>369.53651821937251</v>
      </c>
      <c r="AH567" s="42">
        <f>VLOOKUP(B567,'Player Data'!$A1:$AE734,22,FALSE)</f>
        <v>0.51387145177553495</v>
      </c>
      <c r="AI567" s="39"/>
      <c r="AJ567" s="43"/>
      <c r="AK567" s="41"/>
      <c r="AL567" s="41"/>
      <c r="AM567" s="41"/>
      <c r="AN567" s="41"/>
      <c r="AO567" s="41"/>
      <c r="AP567" s="41"/>
      <c r="AQ567" s="44"/>
      <c r="AR567" s="45"/>
      <c r="AS567" s="39"/>
    </row>
    <row r="568" spans="1:45" ht="21.25" customHeight="1" x14ac:dyDescent="0.15">
      <c r="A568" s="31">
        <f>RANK(K568,K$2:K$727)</f>
        <v>567</v>
      </c>
      <c r="B568" s="8" t="s">
        <v>672</v>
      </c>
      <c r="C568" s="32" t="s">
        <v>106</v>
      </c>
      <c r="D568" s="33" t="str">
        <f>VLOOKUP(B568,'Player Data'!A1:D734,4,FALSE)</f>
        <v>D</v>
      </c>
      <c r="E568" s="49">
        <f>VLOOKUP(B568,D!A1:C227,3,FALSE)</f>
        <v>213</v>
      </c>
      <c r="F568" s="35" t="str">
        <f>VLOOKUP(B568,'Player Data'!A1:B734,2,FALSE)</f>
        <v>COL</v>
      </c>
      <c r="G568" s="9">
        <f>VLOOKUP(B568,'Player Data'!A1:D734,3,FALSE)</f>
        <v>34</v>
      </c>
      <c r="H568" s="36">
        <f>IFERROR(VLOOKUP(B568,ADP!A1:G728,7,FALSE)/1000000,VLOOKUP(B568,ADP!A1:G728,7,FALSE))</f>
        <v>0</v>
      </c>
      <c r="I568" s="37">
        <f>IF(Settings!$E$15="POINTS",((R568*Q568)*Settings!$B$12)+(S568*Settings!$B$2)+(T568*Settings!$B$3)+(U568*Settings!$B$4)+(V568*Settings!$B$5)+(X568*Settings!$B$9)+(AA568*Settings!$B$6)+(W568*Settings!$B$8)+(AB568*Settings!$B$7)+(AC568*Settings!$B$14)+(AD568*Settings!$B$15)+(AE568*Settings!$B$16)+(AF568*Settings!$B$17)+(AG568*Settings!$B$18)+(U568*Settings!$B$13)+(Y568*Settings!$B$10)+(Z568*Settings!$B$11),VLOOKUP(B568,'Standard Deviations'!A1:C728,3,FALSE))</f>
        <v>71.682498335818082</v>
      </c>
      <c r="J568" s="38">
        <f>IF(D568="G",I568/AJ568,I568/Q568)</f>
        <v>1.1032380507796475</v>
      </c>
      <c r="K568" s="37">
        <f>VLOOKUP(B568,D!A1:F227,6,FALSE)</f>
        <v>-239.88298329210937</v>
      </c>
      <c r="L568" s="52" t="str">
        <f>IFERROR(K568/H568,"N/A")</f>
        <v>N/A</v>
      </c>
      <c r="M568" s="53" t="str">
        <f>IF(Settings!$E$9="YAHOO",VLOOKUP(B568,ADP!A1:E728,2,FALSE),IF(Settings!$E$9="ESPN",VLOOKUP(B568,ADP!A1:E728,3,FALSE),IF(Settings!$E$9="FANTRAX",VLOOKUP(B568,ADP!A1:E728,4,FALSE),VLOOKUP(B568,ADP!A1:E728,5,FALSE))))</f>
        <v>-</v>
      </c>
      <c r="N568" s="53" t="str">
        <f>IFERROR(M568-A568,"N/A")</f>
        <v>N/A</v>
      </c>
      <c r="O568" s="39"/>
      <c r="P568" s="40" t="str">
        <f>IF(Settings!$E$27="ON",VLOOKUP(B568,ADP!A1:H728,8,FALSE)," ")</f>
        <v xml:space="preserve"> </v>
      </c>
      <c r="Q568" s="41">
        <f>IF(Settings!$E$12="YES",VLOOKUP(B568,'Player Data'!A1:E734,5,FALSE),82)</f>
        <v>64.974642857142896</v>
      </c>
      <c r="R568" s="39">
        <f>VLOOKUP(B568,'Player Data'!$A1:$AE734,6,FALSE)</f>
        <v>11.2119842054359</v>
      </c>
      <c r="S568" s="41">
        <f>VLOOKUP(B568,'Player Data'!$A1:$AE734,7,FALSE)*$Q568*IFERROR((VLOOKUP(P568,Settings!$E$28:$F$33,2,FALSE)+1),1)</f>
        <v>3.1245851181920252</v>
      </c>
      <c r="T568" s="41">
        <f>VLOOKUP(B568,'Player Data'!$A1:$AE734,8,FALSE)*$Q568*IFERROR((VLOOKUP(P568,Settings!$E$28:$F$33,2,FALSE)+1),1)</f>
        <v>8.3169551090198492</v>
      </c>
      <c r="U568" s="41">
        <f>SUM(S568:T568)</f>
        <v>11.441540227211874</v>
      </c>
      <c r="V568" s="41">
        <f>VLOOKUP(B568,'Player Data'!$A1:$AE734,10,FALSE)*$Q568*IFERROR(((VLOOKUP(P568,Settings!$E$28:$F$33,2,FALSE)/2)+1),1)</f>
        <v>59.552944671890081</v>
      </c>
      <c r="W568" s="41">
        <f>VLOOKUP(B568,'Player Data'!$A1:$AE734,11,FALSE)*$Q568*IFERROR((VLOOKUP(P568,Settings!$E$28:$F$33,2,FALSE)+1),1)</f>
        <v>1.0000415430131309E-2</v>
      </c>
      <c r="X568" s="41">
        <f>VLOOKUP(B568,'Player Data'!$A1:$AE734,12,FALSE)*$Q568*IFERROR((VLOOKUP(P568,Settings!$E$28:$F$33,2,FALSE)+1),1)</f>
        <v>0.11537599073964386</v>
      </c>
      <c r="Y568" s="41">
        <f>VLOOKUP(B568,'Player Data'!$A1:$AE734,13,FALSE)*$Q568</f>
        <v>2.1088151742828585E-3</v>
      </c>
      <c r="Z568" s="41">
        <f>VLOOKUP(B568,'Player Data'!$A1:$AE734,14,FALSE)*$Q568</f>
        <v>7.9580826257220506E-3</v>
      </c>
      <c r="AA568" s="41">
        <f>VLOOKUP(B568,'Player Data'!$A1:$AE734,15,FALSE)*$Q568</f>
        <v>36.673685857533414</v>
      </c>
      <c r="AB568" s="41">
        <f>VLOOKUP(B568,'Player Data'!$A1:$AE734,16,FALSE)*$Q568</f>
        <v>41.323149575712812</v>
      </c>
      <c r="AC568" s="41">
        <f>VLOOKUP(B568,'Player Data'!$A1:$AE734,17,FALSE)*$Q568*IFERROR((VLOOKUP(P568,Settings!$E$28:$F$33,2,FALSE)+1),1)</f>
        <v>3.0972477586585976</v>
      </c>
      <c r="AD568" s="41">
        <f>VLOOKUP(B568,'Player Data'!$A1:$AE734,18,FALSE)*$Q568</f>
        <v>15.68638894220323</v>
      </c>
      <c r="AE568" s="41">
        <f>VLOOKUP(B568,'Player Data'!$A1:$AE734,19,FALSE)*$Q568*IFERROR((VLOOKUP(P568,Settings!$E$28:$F$33,2,FALSE)+1),1)</f>
        <v>0.49435644300920351</v>
      </c>
      <c r="AF568" s="41">
        <f>VLOOKUP(B568,'Player Data'!$A1:$AE734,20,FALSE)*$Q568</f>
        <v>0</v>
      </c>
      <c r="AG568" s="41">
        <f>VLOOKUP(B568,'Player Data'!$A1:$AE734,21,FALSE)*$Q568</f>
        <v>0</v>
      </c>
      <c r="AH568" s="42">
        <f>VLOOKUP(B568,'Player Data'!$A1:$AE734,22,FALSE)</f>
        <v>0</v>
      </c>
      <c r="AI568" s="39"/>
      <c r="AJ568" s="43"/>
      <c r="AK568" s="41"/>
      <c r="AL568" s="41"/>
      <c r="AM568" s="41"/>
      <c r="AN568" s="41"/>
      <c r="AO568" s="41"/>
      <c r="AP568" s="41"/>
      <c r="AQ568" s="44"/>
      <c r="AR568" s="45"/>
      <c r="AS568" s="39"/>
    </row>
    <row r="569" spans="1:45" ht="21.25" customHeight="1" x14ac:dyDescent="0.15">
      <c r="A569" s="31">
        <f>RANK(K569,K$2:K$727)</f>
        <v>568</v>
      </c>
      <c r="B569" s="8" t="s">
        <v>673</v>
      </c>
      <c r="C569" s="32" t="s">
        <v>106</v>
      </c>
      <c r="D569" s="33" t="str">
        <f>VLOOKUP(B569,'Player Data'!A1:D734,4,FALSE)</f>
        <v>D</v>
      </c>
      <c r="E569" s="49">
        <f>VLOOKUP(B569,D!A1:C227,3,FALSE)</f>
        <v>214</v>
      </c>
      <c r="F569" s="35" t="str">
        <f>VLOOKUP(B569,'Player Data'!A1:B734,2,FALSE)</f>
        <v>COL</v>
      </c>
      <c r="G569" s="9">
        <f>VLOOKUP(B569,'Player Data'!A1:D734,3,FALSE)</f>
        <v>36</v>
      </c>
      <c r="H569" s="36">
        <f>IFERROR(VLOOKUP(B569,ADP!A1:G728,7,FALSE)/1000000,VLOOKUP(B569,ADP!A1:G728,7,FALSE))</f>
        <v>0.77500000000000002</v>
      </c>
      <c r="I569" s="37">
        <f>IF(Settings!$E$15="POINTS",((R569*Q569)*Settings!$B$12)+(S569*Settings!$B$2)+(T569*Settings!$B$3)+(U569*Settings!$B$4)+(V569*Settings!$B$5)+(X569*Settings!$B$9)+(AA569*Settings!$B$6)+(W569*Settings!$B$8)+(AB569*Settings!$B$7)+(AC569*Settings!$B$14)+(AD569*Settings!$B$15)+(AE569*Settings!$B$16)+(AF569*Settings!$B$17)+(AG569*Settings!$B$18)+(U569*Settings!$B$13)+(Y569*Settings!$B$10)+(Z569*Settings!$B$11),VLOOKUP(B569,'Standard Deviations'!A1:C728,3,FALSE))</f>
        <v>71.587304213398369</v>
      </c>
      <c r="J569" s="38">
        <f>IF(D569="G",I569/AJ569,I569/Q569)</f>
        <v>0.95690788604396559</v>
      </c>
      <c r="K569" s="37">
        <f>VLOOKUP(B569,D!A1:F227,6,FALSE)</f>
        <v>-239.97817741452909</v>
      </c>
      <c r="L569" s="37">
        <f>IFERROR(K569/H569,"N/A")</f>
        <v>-309.64926118003751</v>
      </c>
      <c r="M569" s="53" t="str">
        <f>IF(Settings!$E$9="YAHOO",VLOOKUP(B569,ADP!A1:E728,2,FALSE),IF(Settings!$E$9="ESPN",VLOOKUP(B569,ADP!A1:E728,3,FALSE),IF(Settings!$E$9="FANTRAX",VLOOKUP(B569,ADP!A1:E728,4,FALSE),VLOOKUP(B569,ADP!A1:E728,5,FALSE))))</f>
        <v>-</v>
      </c>
      <c r="N569" s="53" t="str">
        <f>IFERROR(M569-A569,"N/A")</f>
        <v>N/A</v>
      </c>
      <c r="O569" s="39"/>
      <c r="P569" s="40" t="str">
        <f>IF(Settings!$E$27="ON",VLOOKUP(B569,ADP!A1:H728,8,FALSE)," ")</f>
        <v xml:space="preserve"> </v>
      </c>
      <c r="Q569" s="41">
        <f>IF(Settings!$E$12="YES",VLOOKUP(B569,'Player Data'!A1:E734,5,FALSE),82)</f>
        <v>74.811071428571395</v>
      </c>
      <c r="R569" s="39">
        <f>VLOOKUP(B569,'Player Data'!$A1:$AE734,6,FALSE)</f>
        <v>15.446275029848101</v>
      </c>
      <c r="S569" s="41">
        <f>VLOOKUP(B569,'Player Data'!$A1:$AE734,7,FALSE)*$Q569*IFERROR((VLOOKUP(P569,Settings!$E$28:$F$33,2,FALSE)+1),1)</f>
        <v>1.0152777999298217</v>
      </c>
      <c r="T569" s="41">
        <f>VLOOKUP(B569,'Player Data'!$A1:$AE734,8,FALSE)*$Q569*IFERROR((VLOOKUP(P569,Settings!$E$28:$F$33,2,FALSE)+1),1)</f>
        <v>5.5154125496340916</v>
      </c>
      <c r="U569" s="41">
        <f>SUM(S569:T569)</f>
        <v>6.5306903495639137</v>
      </c>
      <c r="V569" s="41">
        <f>VLOOKUP(B569,'Player Data'!$A1:$AE734,10,FALSE)*$Q569*IFERROR(((VLOOKUP(P569,Settings!$E$28:$F$33,2,FALSE)/2)+1),1)</f>
        <v>63.680048027596243</v>
      </c>
      <c r="W569" s="41">
        <f>VLOOKUP(B569,'Player Data'!$A1:$AE734,11,FALSE)*$Q569*IFERROR((VLOOKUP(P569,Settings!$E$28:$F$33,2,FALSE)+1),1)</f>
        <v>1.4770363937262427E-2</v>
      </c>
      <c r="X569" s="41">
        <f>VLOOKUP(B569,'Player Data'!$A1:$AE734,12,FALSE)*$Q569*IFERROR((VLOOKUP(P569,Settings!$E$28:$F$33,2,FALSE)+1),1)</f>
        <v>0.12837800178340261</v>
      </c>
      <c r="Y569" s="41">
        <f>VLOOKUP(B569,'Player Data'!$A1:$AE734,13,FALSE)*$Q569</f>
        <v>1.5623916817167578E-2</v>
      </c>
      <c r="Z569" s="41">
        <f>VLOOKUP(B569,'Player Data'!$A1:$AE734,14,FALSE)*$Q569</f>
        <v>1.1285310696537101</v>
      </c>
      <c r="AA569" s="41">
        <f>VLOOKUP(B569,'Player Data'!$A1:$AE734,15,FALSE)*$Q569</f>
        <v>88.206955040171351</v>
      </c>
      <c r="AB569" s="41">
        <f>VLOOKUP(B569,'Player Data'!$A1:$AE734,16,FALSE)*$Q569</f>
        <v>89.658845144286175</v>
      </c>
      <c r="AC569" s="41">
        <f>VLOOKUP(B569,'Player Data'!$A1:$AE734,17,FALSE)*$Q569*IFERROR((VLOOKUP(P569,Settings!$E$28:$F$33,2,FALSE)+1),1)</f>
        <v>1.5117319133794438</v>
      </c>
      <c r="AD569" s="41">
        <f>VLOOKUP(B569,'Player Data'!$A1:$AE734,18,FALSE)*$Q569</f>
        <v>25.462889650936287</v>
      </c>
      <c r="AE569" s="41">
        <f>VLOOKUP(B569,'Player Data'!$A1:$AE734,19,FALSE)*$Q569*IFERROR((VLOOKUP(P569,Settings!$E$28:$F$33,2,FALSE)+1),1)</f>
        <v>0.1606322448754198</v>
      </c>
      <c r="AF569" s="41">
        <f>VLOOKUP(B569,'Player Data'!$A1:$AE734,20,FALSE)*$Q569</f>
        <v>0</v>
      </c>
      <c r="AG569" s="41">
        <f>VLOOKUP(B569,'Player Data'!$A1:$AE734,21,FALSE)*$Q569</f>
        <v>0.61162001438937796</v>
      </c>
      <c r="AH569" s="42">
        <f>VLOOKUP(B569,'Player Data'!$A1:$AE734,22,FALSE)</f>
        <v>0</v>
      </c>
      <c r="AI569" s="39"/>
      <c r="AJ569" s="43"/>
      <c r="AK569" s="41"/>
      <c r="AL569" s="41"/>
      <c r="AM569" s="41"/>
      <c r="AN569" s="41"/>
      <c r="AO569" s="41"/>
      <c r="AP569" s="41"/>
      <c r="AQ569" s="44"/>
      <c r="AR569" s="45"/>
      <c r="AS569" s="39"/>
    </row>
    <row r="570" spans="1:45" ht="21.25" customHeight="1" x14ac:dyDescent="0.15">
      <c r="A570" s="31">
        <f>RANK(K570,K$2:K$727)</f>
        <v>569</v>
      </c>
      <c r="B570" s="8" t="s">
        <v>674</v>
      </c>
      <c r="C570" s="32" t="s">
        <v>106</v>
      </c>
      <c r="D570" s="33" t="str">
        <f>VLOOKUP(B570,'Player Data'!A1:D734,4,FALSE)</f>
        <v>LW</v>
      </c>
      <c r="E570" s="47">
        <f>VLOOKUP(B570,LW!A1:C130,3,FALSE)</f>
        <v>96</v>
      </c>
      <c r="F570" s="35" t="str">
        <f>VLOOKUP(B570,'Player Data'!A1:B734,2,FALSE)</f>
        <v>STL</v>
      </c>
      <c r="G570" s="9">
        <f>VLOOKUP(B570,'Player Data'!A1:D734,3,FALSE)</f>
        <v>27</v>
      </c>
      <c r="H570" s="36">
        <f>IFERROR(VLOOKUP(B570,ADP!A1:G728,7,FALSE)/1000000,VLOOKUP(B570,ADP!A1:G728,7,FALSE))</f>
        <v>1</v>
      </c>
      <c r="I570" s="37">
        <f>IF(Settings!$E$15="POINTS",((R570*Q570)*Settings!$B$12)+(S570*Settings!$B$2)+(T570*Settings!$B$3)+(U570*Settings!$B$4)+(V570*Settings!$B$5)+(X570*Settings!$B$9)+(AA570*Settings!$B$6)+(W570*Settings!$B$8)+(AB570*Settings!$B$7)+(AC570*Settings!$B$14)+(AD570*Settings!$B$15)+(AE570*Settings!$B$16)+(AF570*Settings!$B$17)+(AG570*Settings!$B$18)+(Y570*Settings!$B$10)+(Z570*Settings!$B$11),VLOOKUP(B570,'Standard Deviations'!A1:C728,3,FALSE))</f>
        <v>123.68301324160143</v>
      </c>
      <c r="J570" s="38">
        <f>IF(D570="G",I570/AJ570,I570/Q570)</f>
        <v>1.7295559005377956</v>
      </c>
      <c r="K570" s="37">
        <f>IF(Settings!$E$18="C/LW/RW",VLOOKUP(B570,LW!A1:F130,6,FALSE),VLOOKUP(B570,F!A1:F430,6,FALSE))</f>
        <v>-240.35759161604904</v>
      </c>
      <c r="L570" s="37">
        <f>IFERROR(K570/H570,"N/A")</f>
        <v>-240.35759161604904</v>
      </c>
      <c r="M570" s="39">
        <f>IF(Settings!$E$9="YAHOO",VLOOKUP(B570,ADP!A1:E728,2,FALSE),IF(Settings!$E$9="ESPN",VLOOKUP(B570,ADP!A1:E728,3,FALSE),IF(Settings!$E$9="FANTRAX",VLOOKUP(B570,ADP!A1:E728,4,FALSE),VLOOKUP(B570,ADP!A1:E728,5,FALSE))))</f>
        <v>172.6</v>
      </c>
      <c r="N570" s="39">
        <f>IFERROR(M570-A570,"N/A")</f>
        <v>-396.4</v>
      </c>
      <c r="O570" s="39"/>
      <c r="P570" s="40" t="str">
        <f>IF(Settings!$E$27="ON",VLOOKUP(B570,ADP!A1:H728,8,FALSE)," ")</f>
        <v xml:space="preserve"> </v>
      </c>
      <c r="Q570" s="41">
        <f>IF(Settings!$E$12="YES",VLOOKUP(B570,'Player Data'!A1:E734,5,FALSE),82)</f>
        <v>71.511428571428596</v>
      </c>
      <c r="R570" s="39">
        <f>VLOOKUP(B570,'Player Data'!$A1:$AE734,6,FALSE)</f>
        <v>12.129291720730899</v>
      </c>
      <c r="S570" s="41">
        <f>VLOOKUP(B570,'Player Data'!$A1:$AE734,7,FALSE)*$Q570*IFERROR((VLOOKUP(P570,Settings!$E$28:$F$33,2,FALSE)+1),1)</f>
        <v>9.6360092067626688</v>
      </c>
      <c r="T570" s="41">
        <f>VLOOKUP(B570,'Player Data'!$A1:$AE734,8,FALSE)*$Q570*IFERROR((VLOOKUP(P570,Settings!$E$28:$F$33,2,FALSE)+1),1)</f>
        <v>15.948766247609392</v>
      </c>
      <c r="U570" s="41">
        <f>SUM(S570:T570)</f>
        <v>25.58477545437206</v>
      </c>
      <c r="V570" s="41">
        <f>VLOOKUP(B570,'Player Data'!$A1:$AE734,10,FALSE)*$Q570*IFERROR(((VLOOKUP(P570,Settings!$E$28:$F$33,2,FALSE)/2)+1),1)</f>
        <v>75.175743310552761</v>
      </c>
      <c r="W570" s="41">
        <f>VLOOKUP(B570,'Player Data'!$A1:$AE734,11,FALSE)*$Q570*IFERROR((VLOOKUP(P570,Settings!$E$28:$F$33,2,FALSE)+1),1)</f>
        <v>0.32565075344299033</v>
      </c>
      <c r="X570" s="41">
        <f>VLOOKUP(B570,'Player Data'!$A1:$AE734,12,FALSE)*$Q570*IFERROR((VLOOKUP(P570,Settings!$E$28:$F$33,2,FALSE)+1),1)</f>
        <v>1.1675062370617797</v>
      </c>
      <c r="Y570" s="41">
        <f>VLOOKUP(B570,'Player Data'!$A1:$AE734,13,FALSE)*$Q570</f>
        <v>2.3329295522120097E-3</v>
      </c>
      <c r="Z570" s="41">
        <f>VLOOKUP(B570,'Player Data'!$A1:$AE734,14,FALSE)*$Q570</f>
        <v>4.292486813541537E-3</v>
      </c>
      <c r="AA570" s="41">
        <f>VLOOKUP(B570,'Player Data'!$A1:$AE734,15,FALSE)*$Q570</f>
        <v>34.986088877291131</v>
      </c>
      <c r="AB570" s="41">
        <f>VLOOKUP(B570,'Player Data'!$A1:$AE734,16,FALSE)*$Q570</f>
        <v>211.95628479089621</v>
      </c>
      <c r="AC570" s="41">
        <f>VLOOKUP(B570,'Player Data'!$A1:$AE734,17,FALSE)*$Q570*IFERROR((VLOOKUP(P570,Settings!$E$28:$F$33,2,FALSE)+1),1)</f>
        <v>-2.9479635848569536</v>
      </c>
      <c r="AD570" s="41">
        <f>VLOOKUP(B570,'Player Data'!$A1:$AE734,18,FALSE)*$Q570</f>
        <v>30.804640809486468</v>
      </c>
      <c r="AE570" s="41">
        <f>VLOOKUP(B570,'Player Data'!$A1:$AE734,19,FALSE)*$Q570*IFERROR((VLOOKUP(P570,Settings!$E$28:$F$33,2,FALSE)+1),1)</f>
        <v>1.1088419017622488</v>
      </c>
      <c r="AF570" s="41">
        <f>VLOOKUP(B570,'Player Data'!$A1:$AE734,20,FALSE)*$Q570</f>
        <v>2.942084322280671</v>
      </c>
      <c r="AG570" s="41">
        <f>VLOOKUP(B570,'Player Data'!$A1:$AE734,21,FALSE)*$Q570</f>
        <v>5.0094348646539002</v>
      </c>
      <c r="AH570" s="42">
        <f>VLOOKUP(B570,'Player Data'!$A1:$AE734,22,FALSE)</f>
        <v>0.370002794826291</v>
      </c>
      <c r="AI570" s="39"/>
      <c r="AJ570" s="43"/>
      <c r="AK570" s="41"/>
      <c r="AL570" s="41"/>
      <c r="AM570" s="41"/>
      <c r="AN570" s="41"/>
      <c r="AO570" s="41"/>
      <c r="AP570" s="41"/>
      <c r="AQ570" s="44"/>
      <c r="AR570" s="45"/>
      <c r="AS570" s="39"/>
    </row>
    <row r="571" spans="1:45" ht="21.25" customHeight="1" x14ac:dyDescent="0.15">
      <c r="A571" s="31">
        <f>RANK(K571,K$2:K$727)</f>
        <v>570</v>
      </c>
      <c r="B571" s="8" t="s">
        <v>675</v>
      </c>
      <c r="C571" s="32" t="s">
        <v>106</v>
      </c>
      <c r="D571" s="33" t="str">
        <f>VLOOKUP(B571,'Player Data'!A1:D734,4,FALSE)</f>
        <v>C</v>
      </c>
      <c r="E571" s="34">
        <f>VLOOKUP(B571,'C'!A1:C211,3,FALSE)</f>
        <v>132</v>
      </c>
      <c r="F571" s="35" t="str">
        <f>VLOOKUP(B571,'Player Data'!A1:B734,2,FALSE)</f>
        <v>UFA</v>
      </c>
      <c r="G571" s="9">
        <f>VLOOKUP(B571,'Player Data'!A1:D734,3,FALSE)</f>
        <v>35</v>
      </c>
      <c r="H571" s="36">
        <f>IFERROR(VLOOKUP(B571,ADP!A1:G728,7,FALSE)/1000000,VLOOKUP(B571,ADP!A1:G728,7,FALSE))</f>
        <v>3.73</v>
      </c>
      <c r="I571" s="37">
        <f>IF(Settings!$E$15="POINTS",((R571*Q571)*Settings!$B$12)+(S571*Settings!$B$2)+(T571*Settings!$B$3)+(U571*Settings!$B$4)+(V571*Settings!$B$5)+(X571*Settings!$B$9)+(AA571*Settings!$B$6)+(W571*Settings!$B$8)+(AB571*Settings!$B$7)+(AC571*Settings!$B$14)+(AD571*Settings!$B$15)+(AE571*Settings!$B$16)+(AF571*Settings!$B$17)+(AG571*Settings!$B$18)+(Y571*Settings!$B$10)+(Z571*Settings!$B$11),VLOOKUP(B571,'Standard Deviations'!A1:C728,3,FALSE))</f>
        <v>152.02173061794485</v>
      </c>
      <c r="J571" s="38">
        <f>IF(D571="G",I571/AJ571,I571/Q571)</f>
        <v>2.2632385085297728</v>
      </c>
      <c r="K571" s="37">
        <f>IF(Settings!$E$18="C/LW/RW",VLOOKUP(B571,'C'!A1:F211,6,FALSE),VLOOKUP(B571,F!A1:F430,6,FALSE))</f>
        <v>-241.3070751482648</v>
      </c>
      <c r="L571" s="37">
        <f>IFERROR(K571/H571,"N/A")</f>
        <v>-64.693585830633992</v>
      </c>
      <c r="M571" s="53" t="str">
        <f>IF(Settings!$E$9="YAHOO",VLOOKUP(B571,ADP!A1:E728,2,FALSE),IF(Settings!$E$9="ESPN",VLOOKUP(B571,ADP!A1:E728,3,FALSE),IF(Settings!$E$9="FANTRAX",VLOOKUP(B571,ADP!A1:E728,4,FALSE),VLOOKUP(B571,ADP!A1:E728,5,FALSE))))</f>
        <v>-</v>
      </c>
      <c r="N571" s="53" t="str">
        <f>IFERROR(M571-A571,"N/A")</f>
        <v>N/A</v>
      </c>
      <c r="O571" s="39"/>
      <c r="P571" s="40" t="str">
        <f>IF(Settings!$E$27="ON",VLOOKUP(B571,ADP!A1:H728,8,FALSE)," ")</f>
        <v xml:space="preserve"> </v>
      </c>
      <c r="Q571" s="41">
        <f>IF(Settings!$E$12="YES",VLOOKUP(B571,'Player Data'!A1:E734,5,FALSE),82)</f>
        <v>67.17</v>
      </c>
      <c r="R571" s="39">
        <f>VLOOKUP(B571,'Player Data'!$A1:$AE734,6,FALSE)</f>
        <v>14.94949830102</v>
      </c>
      <c r="S571" s="41">
        <f>VLOOKUP(B571,'Player Data'!$A1:$AE734,7,FALSE)*$Q571*IFERROR((VLOOKUP(P571,Settings!$E$28:$F$33,2,FALSE)+1),1)</f>
        <v>10.333419903318219</v>
      </c>
      <c r="T571" s="41">
        <f>VLOOKUP(B571,'Player Data'!$A1:$AE734,8,FALSE)*$Q571*IFERROR((VLOOKUP(P571,Settings!$E$28:$F$33,2,FALSE)+1),1)</f>
        <v>18.508345258597764</v>
      </c>
      <c r="U571" s="41">
        <f>SUM(S571:T571)</f>
        <v>28.841765161915983</v>
      </c>
      <c r="V571" s="41">
        <f>VLOOKUP(B571,'Player Data'!$A1:$AE734,10,FALSE)*$Q571*IFERROR(((VLOOKUP(P571,Settings!$E$28:$F$33,2,FALSE)/2)+1),1)</f>
        <v>99.256832129437981</v>
      </c>
      <c r="W571" s="41">
        <f>VLOOKUP(B571,'Player Data'!$A1:$AE734,11,FALSE)*$Q571*IFERROR((VLOOKUP(P571,Settings!$E$28:$F$33,2,FALSE)+1),1)</f>
        <v>3.5474875996624027</v>
      </c>
      <c r="X571" s="41">
        <f>VLOOKUP(B571,'Player Data'!$A1:$AE734,12,FALSE)*$Q571*IFERROR((VLOOKUP(P571,Settings!$E$28:$F$33,2,FALSE)+1),1)</f>
        <v>5.7071008639910454</v>
      </c>
      <c r="Y571" s="41">
        <f>VLOOKUP(B571,'Player Data'!$A1:$AE734,13,FALSE)*$Q571</f>
        <v>0</v>
      </c>
      <c r="Z571" s="41">
        <f>VLOOKUP(B571,'Player Data'!$A1:$AE734,14,FALSE)*$Q571</f>
        <v>0</v>
      </c>
      <c r="AA571" s="41">
        <f>VLOOKUP(B571,'Player Data'!$A1:$AE734,15,FALSE)*$Q571</f>
        <v>22.269086697479157</v>
      </c>
      <c r="AB571" s="41">
        <f>VLOOKUP(B571,'Player Data'!$A1:$AE734,16,FALSE)*$Q571</f>
        <v>23.896778618695873</v>
      </c>
      <c r="AC571" s="41">
        <f>VLOOKUP(B571,'Player Data'!$A1:$AE734,17,FALSE)*$Q571*IFERROR((VLOOKUP(P571,Settings!$E$28:$F$33,2,FALSE)+1),1)</f>
        <v>-1.146427570960358</v>
      </c>
      <c r="AD571" s="41">
        <f>VLOOKUP(B571,'Player Data'!$A1:$AE734,18,FALSE)*$Q571</f>
        <v>31.588233693094917</v>
      </c>
      <c r="AE571" s="41">
        <f>VLOOKUP(B571,'Player Data'!$A1:$AE734,19,FALSE)*$Q571*IFERROR((VLOOKUP(P571,Settings!$E$28:$F$33,2,FALSE)+1),1)</f>
        <v>0</v>
      </c>
      <c r="AF571" s="41">
        <f>VLOOKUP(B571,'Player Data'!$A1:$AE734,20,FALSE)*$Q571</f>
        <v>623.47506855187771</v>
      </c>
      <c r="AG571" s="41">
        <f>VLOOKUP(B571,'Player Data'!$A1:$AE734,21,FALSE)*$Q571</f>
        <v>399.32387388252425</v>
      </c>
      <c r="AH571" s="42">
        <f>VLOOKUP(B571,'Player Data'!$A1:$AE734,22,FALSE)</f>
        <v>0.60957734964793897</v>
      </c>
      <c r="AI571" s="39"/>
      <c r="AJ571" s="43"/>
      <c r="AK571" s="41"/>
      <c r="AL571" s="41"/>
      <c r="AM571" s="41"/>
      <c r="AN571" s="41"/>
      <c r="AO571" s="41"/>
      <c r="AP571" s="41"/>
      <c r="AQ571" s="44"/>
      <c r="AR571" s="45"/>
      <c r="AS571" s="39"/>
    </row>
    <row r="572" spans="1:45" ht="21.25" customHeight="1" x14ac:dyDescent="0.15">
      <c r="A572" s="31">
        <f>RANK(K572,K$2:K$727)</f>
        <v>571</v>
      </c>
      <c r="B572" s="8" t="s">
        <v>676</v>
      </c>
      <c r="C572" s="32" t="s">
        <v>106</v>
      </c>
      <c r="D572" s="33" t="str">
        <f>VLOOKUP(B572,'Player Data'!A1:D734,4,FALSE)</f>
        <v>D</v>
      </c>
      <c r="E572" s="49">
        <f>VLOOKUP(B572,D!A1:C227,3,FALSE)</f>
        <v>215</v>
      </c>
      <c r="F572" s="35" t="str">
        <f>VLOOKUP(B572,'Player Data'!A1:B734,2,FALSE)</f>
        <v>NYR</v>
      </c>
      <c r="G572" s="9">
        <f>VLOOKUP(B572,'Player Data'!A1:D734,3,FALSE)</f>
        <v>22</v>
      </c>
      <c r="H572" s="36">
        <f>IFERROR(VLOOKUP(B572,ADP!A1:G728,7,FALSE)/1000000,VLOOKUP(B572,ADP!A1:G728,7,FALSE))</f>
        <v>0.8125</v>
      </c>
      <c r="I572" s="37">
        <f>IF(Settings!$E$15="POINTS",((R572*Q572)*Settings!$B$12)+(S572*Settings!$B$2)+(T572*Settings!$B$3)+(U572*Settings!$B$4)+(V572*Settings!$B$5)+(X572*Settings!$B$9)+(AA572*Settings!$B$6)+(W572*Settings!$B$8)+(AB572*Settings!$B$7)+(AC572*Settings!$B$14)+(AD572*Settings!$B$15)+(AE572*Settings!$B$16)+(AF572*Settings!$B$17)+(AG572*Settings!$B$18)+(U572*Settings!$B$13)+(Y572*Settings!$B$10)+(Z572*Settings!$B$11),VLOOKUP(B572,'Standard Deviations'!A1:C728,3,FALSE))</f>
        <v>70.004013308730265</v>
      </c>
      <c r="J572" s="38">
        <f>IF(D572="G",I572/AJ572,I572/Q572)</f>
        <v>1.3410730518913843</v>
      </c>
      <c r="K572" s="37">
        <f>VLOOKUP(B572,D!A1:F227,6,FALSE)</f>
        <v>-241.56146831919719</v>
      </c>
      <c r="L572" s="37">
        <f>IFERROR(K572/H572,"N/A")</f>
        <v>-297.30642254670425</v>
      </c>
      <c r="M572" s="53" t="str">
        <f>IF(Settings!$E$9="YAHOO",VLOOKUP(B572,ADP!A1:E728,2,FALSE),IF(Settings!$E$9="ESPN",VLOOKUP(B572,ADP!A1:E728,3,FALSE),IF(Settings!$E$9="FANTRAX",VLOOKUP(B572,ADP!A1:E728,4,FALSE),VLOOKUP(B572,ADP!A1:E728,5,FALSE))))</f>
        <v>-</v>
      </c>
      <c r="N572" s="53" t="str">
        <f>IFERROR(M572-A572,"N/A")</f>
        <v>N/A</v>
      </c>
      <c r="O572" s="39"/>
      <c r="P572" s="40" t="str">
        <f>IF(Settings!$E$27="ON",VLOOKUP(B572,ADP!A1:H728,8,FALSE)," ")</f>
        <v xml:space="preserve"> </v>
      </c>
      <c r="Q572" s="41">
        <f>IF(Settings!$E$12="YES",VLOOKUP(B572,'Player Data'!A1:E734,5,FALSE),82)</f>
        <v>52.2</v>
      </c>
      <c r="R572" s="39">
        <f>VLOOKUP(B572,'Player Data'!$A1:$AE734,6,FALSE)</f>
        <v>14.9489150752668</v>
      </c>
      <c r="S572" s="41">
        <f>VLOOKUP(B572,'Player Data'!$A1:$AE734,7,FALSE)*$Q572*IFERROR((VLOOKUP(P572,Settings!$E$28:$F$33,2,FALSE)+1),1)</f>
        <v>2.3794710166059523</v>
      </c>
      <c r="T572" s="41">
        <f>VLOOKUP(B572,'Player Data'!$A1:$AE734,8,FALSE)*$Q572*IFERROR((VLOOKUP(P572,Settings!$E$28:$F$33,2,FALSE)+1),1)</f>
        <v>8.8083065753104215</v>
      </c>
      <c r="U572" s="41">
        <f>SUM(S572:T572)</f>
        <v>11.187777591916374</v>
      </c>
      <c r="V572" s="41">
        <f>VLOOKUP(B572,'Player Data'!$A1:$AE734,10,FALSE)*$Q572*IFERROR(((VLOOKUP(P572,Settings!$E$28:$F$33,2,FALSE)/2)+1),1)</f>
        <v>48.970748274785954</v>
      </c>
      <c r="W572" s="41">
        <f>VLOOKUP(B572,'Player Data'!$A1:$AE734,11,FALSE)*$Q572*IFERROR((VLOOKUP(P572,Settings!$E$28:$F$33,2,FALSE)+1),1)</f>
        <v>6.0809925600607301E-2</v>
      </c>
      <c r="X572" s="41">
        <f>VLOOKUP(B572,'Player Data'!$A1:$AE734,12,FALSE)*$Q572*IFERROR((VLOOKUP(P572,Settings!$E$28:$F$33,2,FALSE)+1),1)</f>
        <v>0.51304491928831308</v>
      </c>
      <c r="Y572" s="41">
        <f>VLOOKUP(B572,'Player Data'!$A1:$AE734,13,FALSE)*$Q572</f>
        <v>5.2746419538920843E-3</v>
      </c>
      <c r="Z572" s="41">
        <f>VLOOKUP(B572,'Player Data'!$A1:$AE734,14,FALSE)*$Q572</f>
        <v>1.9497599459500303E-2</v>
      </c>
      <c r="AA572" s="41">
        <f>VLOOKUP(B572,'Player Data'!$A1:$AE734,15,FALSE)*$Q572</f>
        <v>54.451106790462738</v>
      </c>
      <c r="AB572" s="41">
        <f>VLOOKUP(B572,'Player Data'!$A1:$AE734,16,FALSE)*$Q572</f>
        <v>45.636794118460138</v>
      </c>
      <c r="AC572" s="41">
        <f>VLOOKUP(B572,'Player Data'!$A1:$AE734,17,FALSE)*$Q572*IFERROR((VLOOKUP(P572,Settings!$E$28:$F$33,2,FALSE)+1),1)</f>
        <v>1.8328621197274906</v>
      </c>
      <c r="AD572" s="41">
        <f>VLOOKUP(B572,'Player Data'!$A1:$AE734,18,FALSE)*$Q572</f>
        <v>14.63239754957724</v>
      </c>
      <c r="AE572" s="41">
        <f>VLOOKUP(B572,'Player Data'!$A1:$AE734,19,FALSE)*$Q572*IFERROR((VLOOKUP(P572,Settings!$E$28:$F$33,2,FALSE)+1),1)</f>
        <v>0.40545741786860701</v>
      </c>
      <c r="AF572" s="41">
        <f>VLOOKUP(B572,'Player Data'!$A1:$AE734,20,FALSE)*$Q572</f>
        <v>0</v>
      </c>
      <c r="AG572" s="41">
        <f>VLOOKUP(B572,'Player Data'!$A1:$AE734,21,FALSE)*$Q572</f>
        <v>0</v>
      </c>
      <c r="AH572" s="42">
        <f>VLOOKUP(B572,'Player Data'!$A1:$AE734,22,FALSE)</f>
        <v>0</v>
      </c>
      <c r="AI572" s="39"/>
      <c r="AJ572" s="43"/>
      <c r="AK572" s="41"/>
      <c r="AL572" s="41"/>
      <c r="AM572" s="41"/>
      <c r="AN572" s="41"/>
      <c r="AO572" s="41"/>
      <c r="AP572" s="41"/>
      <c r="AQ572" s="44"/>
      <c r="AR572" s="45"/>
      <c r="AS572" s="39"/>
    </row>
    <row r="573" spans="1:45" ht="21.25" customHeight="1" x14ac:dyDescent="0.15">
      <c r="A573" s="31">
        <f>RANK(K573,K$2:K$727)</f>
        <v>572</v>
      </c>
      <c r="B573" s="8" t="s">
        <v>677</v>
      </c>
      <c r="C573" s="32" t="s">
        <v>106</v>
      </c>
      <c r="D573" s="33" t="str">
        <f>VLOOKUP(B573,'Player Data'!A1:D734,4,FALSE)</f>
        <v>D</v>
      </c>
      <c r="E573" s="49">
        <f>VLOOKUP(B573,D!A1:C227,3,FALSE)</f>
        <v>216</v>
      </c>
      <c r="F573" s="35" t="str">
        <f>VLOOKUP(B573,'Player Data'!A1:B734,2,FALSE)</f>
        <v>OTT</v>
      </c>
      <c r="G573" s="9">
        <f>VLOOKUP(B573,'Player Data'!A1:D734,3,FALSE)</f>
        <v>23</v>
      </c>
      <c r="H573" s="36">
        <f>IFERROR(VLOOKUP(B573,ADP!A1:G728,7,FALSE)/1000000,VLOOKUP(B573,ADP!A1:G728,7,FALSE))</f>
        <v>0</v>
      </c>
      <c r="I573" s="37">
        <f>IF(Settings!$E$15="POINTS",((R573*Q573)*Settings!$B$12)+(S573*Settings!$B$2)+(T573*Settings!$B$3)+(U573*Settings!$B$4)+(V573*Settings!$B$5)+(X573*Settings!$B$9)+(AA573*Settings!$B$6)+(W573*Settings!$B$8)+(AB573*Settings!$B$7)+(AC573*Settings!$B$14)+(AD573*Settings!$B$15)+(AE573*Settings!$B$16)+(AF573*Settings!$B$17)+(AG573*Settings!$B$18)+(U573*Settings!$B$13)+(Y573*Settings!$B$10)+(Z573*Settings!$B$11),VLOOKUP(B573,'Standard Deviations'!A1:C728,3,FALSE))</f>
        <v>69.891909907948531</v>
      </c>
      <c r="J573" s="38">
        <f>IF(D573="G",I573/AJ573,I573/Q573)</f>
        <v>1.3136430611067491</v>
      </c>
      <c r="K573" s="37">
        <f>VLOOKUP(B573,D!A1:F227,6,FALSE)</f>
        <v>-241.67357171997892</v>
      </c>
      <c r="L573" s="52" t="str">
        <f>IFERROR(K573/H573,"N/A")</f>
        <v>N/A</v>
      </c>
      <c r="M573" s="53" t="str">
        <f>IF(Settings!$E$9="YAHOO",VLOOKUP(B573,ADP!A1:E728,2,FALSE),IF(Settings!$E$9="ESPN",VLOOKUP(B573,ADP!A1:E728,3,FALSE),IF(Settings!$E$9="FANTRAX",VLOOKUP(B573,ADP!A1:E728,4,FALSE),VLOOKUP(B573,ADP!A1:E728,5,FALSE))))</f>
        <v>-</v>
      </c>
      <c r="N573" s="53" t="str">
        <f>IFERROR(M573-A573,"N/A")</f>
        <v>N/A</v>
      </c>
      <c r="O573" s="39"/>
      <c r="P573" s="40" t="str">
        <f>IF(Settings!$E$27="ON",VLOOKUP(B573,ADP!A1:H728,8,FALSE)," ")</f>
        <v xml:space="preserve"> </v>
      </c>
      <c r="Q573" s="41">
        <f>IF(Settings!$E$12="YES",VLOOKUP(B573,'Player Data'!A1:E734,5,FALSE),82)</f>
        <v>53.2046428571429</v>
      </c>
      <c r="R573" s="39">
        <f>VLOOKUP(B573,'Player Data'!$A1:$AE734,6,FALSE)</f>
        <v>16.016842105263098</v>
      </c>
      <c r="S573" s="41">
        <f>VLOOKUP(B573,'Player Data'!$A1:$AE734,7,FALSE)*$Q573*IFERROR((VLOOKUP(P573,Settings!$E$28:$F$33,2,FALSE)+1),1)</f>
        <v>1.6295867226679934</v>
      </c>
      <c r="T573" s="41">
        <f>VLOOKUP(B573,'Player Data'!$A1:$AE734,8,FALSE)*$Q573*IFERROR((VLOOKUP(P573,Settings!$E$28:$F$33,2,FALSE)+1),1)</f>
        <v>7.3630806243465878</v>
      </c>
      <c r="U573" s="41">
        <f>SUM(S573:T573)</f>
        <v>8.9926673470145815</v>
      </c>
      <c r="V573" s="41">
        <f>VLOOKUP(B573,'Player Data'!$A1:$AE734,10,FALSE)*$Q573*IFERROR(((VLOOKUP(P573,Settings!$E$28:$F$33,2,FALSE)/2)+1),1)</f>
        <v>60.212120722833824</v>
      </c>
      <c r="W573" s="41">
        <f>VLOOKUP(B573,'Player Data'!$A1:$AE734,11,FALSE)*$Q573*IFERROR((VLOOKUP(P573,Settings!$E$28:$F$33,2,FALSE)+1),1)</f>
        <v>1.5870926949126299E-2</v>
      </c>
      <c r="X573" s="41">
        <f>VLOOKUP(B573,'Player Data'!$A1:$AE734,12,FALSE)*$Q573*IFERROR((VLOOKUP(P573,Settings!$E$28:$F$33,2,FALSE)+1),1)</f>
        <v>0.10608799152203401</v>
      </c>
      <c r="Y573" s="41">
        <f>VLOOKUP(B573,'Player Data'!$A1:$AE734,13,FALSE)*$Q573</f>
        <v>2.1607106870838066E-2</v>
      </c>
      <c r="Z573" s="41">
        <f>VLOOKUP(B573,'Player Data'!$A1:$AE734,14,FALSE)*$Q573</f>
        <v>7.9120353733685103E-2</v>
      </c>
      <c r="AA573" s="41">
        <f>VLOOKUP(B573,'Player Data'!$A1:$AE734,15,FALSE)*$Q573</f>
        <v>62.187154074882187</v>
      </c>
      <c r="AB573" s="41">
        <f>VLOOKUP(B573,'Player Data'!$A1:$AE734,16,FALSE)*$Q573</f>
        <v>64.928008835000043</v>
      </c>
      <c r="AC573" s="41">
        <f>VLOOKUP(B573,'Player Data'!$A1:$AE734,17,FALSE)*$Q573*IFERROR((VLOOKUP(P573,Settings!$E$28:$F$33,2,FALSE)+1),1)</f>
        <v>-0.17376868864397518</v>
      </c>
      <c r="AD573" s="41">
        <f>VLOOKUP(B573,'Player Data'!$A1:$AE734,18,FALSE)*$Q573</f>
        <v>24.147025933811101</v>
      </c>
      <c r="AE573" s="41">
        <f>VLOOKUP(B573,'Player Data'!$A1:$AE734,19,FALSE)*$Q573*IFERROR((VLOOKUP(P573,Settings!$E$28:$F$33,2,FALSE)+1),1)</f>
        <v>0.22635112701081256</v>
      </c>
      <c r="AF573" s="41">
        <f>VLOOKUP(B573,'Player Data'!$A1:$AE734,20,FALSE)*$Q573</f>
        <v>0</v>
      </c>
      <c r="AG573" s="41">
        <f>VLOOKUP(B573,'Player Data'!$A1:$AE734,21,FALSE)*$Q573</f>
        <v>0</v>
      </c>
      <c r="AH573" s="42">
        <f>VLOOKUP(B573,'Player Data'!$A1:$AE734,22,FALSE)</f>
        <v>0</v>
      </c>
      <c r="AI573" s="39"/>
      <c r="AJ573" s="43"/>
      <c r="AK573" s="41"/>
      <c r="AL573" s="41"/>
      <c r="AM573" s="41"/>
      <c r="AN573" s="41"/>
      <c r="AO573" s="41"/>
      <c r="AP573" s="41"/>
      <c r="AQ573" s="44"/>
      <c r="AR573" s="45"/>
      <c r="AS573" s="39"/>
    </row>
    <row r="574" spans="1:45" ht="21.25" customHeight="1" x14ac:dyDescent="0.15">
      <c r="A574" s="31">
        <f>RANK(K574,K$2:K$727)</f>
        <v>573</v>
      </c>
      <c r="B574" s="8" t="s">
        <v>678</v>
      </c>
      <c r="C574" s="32" t="s">
        <v>106</v>
      </c>
      <c r="D574" s="33" t="str">
        <f>VLOOKUP(B574,'Player Data'!A1:D734,4,FALSE)</f>
        <v>LW</v>
      </c>
      <c r="E574" s="47">
        <f>VLOOKUP(B574,LW!A1:C130,3,FALSE)</f>
        <v>97</v>
      </c>
      <c r="F574" s="35" t="str">
        <f>VLOOKUP(B574,'Player Data'!A1:B734,2,FALSE)</f>
        <v>BUF</v>
      </c>
      <c r="G574" s="9">
        <f>VLOOKUP(B574,'Player Data'!A1:D734,3,FALSE)</f>
        <v>26</v>
      </c>
      <c r="H574" s="36">
        <f>IFERROR(VLOOKUP(B574,ADP!A1:G728,7,FALSE)/1000000,VLOOKUP(B574,ADP!A1:G728,7,FALSE))</f>
        <v>3</v>
      </c>
      <c r="I574" s="37">
        <f>IF(Settings!$E$15="POINTS",((R574*Q574)*Settings!$B$12)+(S574*Settings!$B$2)+(T574*Settings!$B$3)+(U574*Settings!$B$4)+(V574*Settings!$B$5)+(X574*Settings!$B$9)+(AA574*Settings!$B$6)+(W574*Settings!$B$8)+(AB574*Settings!$B$7)+(AC574*Settings!$B$14)+(AD574*Settings!$B$15)+(AE574*Settings!$B$16)+(AF574*Settings!$B$17)+(AG574*Settings!$B$18)+(Y574*Settings!$B$10)+(Z574*Settings!$B$11),VLOOKUP(B574,'Standard Deviations'!A1:C728,3,FALSE))</f>
        <v>122.05546986107606</v>
      </c>
      <c r="J574" s="38">
        <f>IF(D574="G",I574/AJ574,I574/Q574)</f>
        <v>1.6117188678340955</v>
      </c>
      <c r="K574" s="37">
        <f>IF(Settings!$E$18="C/LW/RW",VLOOKUP(B574,LW!A1:F130,6,FALSE),VLOOKUP(B574,F!A1:F430,6,FALSE))</f>
        <v>-241.9851349965744</v>
      </c>
      <c r="L574" s="37">
        <f>IFERROR(K574/H574,"N/A")</f>
        <v>-80.661711665524805</v>
      </c>
      <c r="M574" s="53" t="str">
        <f>IF(Settings!$E$9="YAHOO",VLOOKUP(B574,ADP!A1:E728,2,FALSE),IF(Settings!$E$9="ESPN",VLOOKUP(B574,ADP!A1:E728,3,FALSE),IF(Settings!$E$9="FANTRAX",VLOOKUP(B574,ADP!A1:E728,4,FALSE),VLOOKUP(B574,ADP!A1:E728,5,FALSE))))</f>
        <v>-</v>
      </c>
      <c r="N574" s="53" t="str">
        <f>IFERROR(M574-A574,"N/A")</f>
        <v>N/A</v>
      </c>
      <c r="O574" s="39"/>
      <c r="P574" s="40" t="str">
        <f>IF(Settings!$E$27="ON",VLOOKUP(B574,ADP!A1:H728,8,FALSE)," ")</f>
        <v xml:space="preserve"> </v>
      </c>
      <c r="Q574" s="41">
        <f>IF(Settings!$E$12="YES",VLOOKUP(B574,'Player Data'!A1:E734,5,FALSE),82)</f>
        <v>75.73</v>
      </c>
      <c r="R574" s="39">
        <f>VLOOKUP(B574,'Player Data'!$A1:$AE734,6,FALSE)</f>
        <v>11.514842945408899</v>
      </c>
      <c r="S574" s="41">
        <f>VLOOKUP(B574,'Player Data'!$A1:$AE734,7,FALSE)*$Q574*IFERROR((VLOOKUP(P574,Settings!$E$28:$F$33,2,FALSE)+1),1)</f>
        <v>8.0579694026946367</v>
      </c>
      <c r="T574" s="41">
        <f>VLOOKUP(B574,'Player Data'!$A1:$AE734,8,FALSE)*$Q574*IFERROR((VLOOKUP(P574,Settings!$E$28:$F$33,2,FALSE)+1),1)</f>
        <v>13.619524850386171</v>
      </c>
      <c r="U574" s="41">
        <f>SUM(S574:T574)</f>
        <v>21.677494253080809</v>
      </c>
      <c r="V574" s="41">
        <f>VLOOKUP(B574,'Player Data'!$A1:$AE734,10,FALSE)*$Q574*IFERROR(((VLOOKUP(P574,Settings!$E$28:$F$33,2,FALSE)/2)+1),1)</f>
        <v>98.833503489628185</v>
      </c>
      <c r="W574" s="41">
        <f>VLOOKUP(B574,'Player Data'!$A1:$AE734,11,FALSE)*$Q574*IFERROR((VLOOKUP(P574,Settings!$E$28:$F$33,2,FALSE)+1),1)</f>
        <v>0.10166753051655338</v>
      </c>
      <c r="X574" s="41">
        <f>VLOOKUP(B574,'Player Data'!$A1:$AE734,12,FALSE)*$Q574*IFERROR((VLOOKUP(P574,Settings!$E$28:$F$33,2,FALSE)+1),1)</f>
        <v>0.26171084702481912</v>
      </c>
      <c r="Y574" s="41">
        <f>VLOOKUP(B574,'Player Data'!$A1:$AE734,13,FALSE)*$Q574</f>
        <v>2.7305498742869336E-2</v>
      </c>
      <c r="Z574" s="41">
        <f>VLOOKUP(B574,'Player Data'!$A1:$AE734,14,FALSE)*$Q574</f>
        <v>5.0097556981636523E-2</v>
      </c>
      <c r="AA574" s="41">
        <f>VLOOKUP(B574,'Player Data'!$A1:$AE734,15,FALSE)*$Q574</f>
        <v>34.913092745033225</v>
      </c>
      <c r="AB574" s="41">
        <f>VLOOKUP(B574,'Player Data'!$A1:$AE734,16,FALSE)*$Q574</f>
        <v>120.78387780363055</v>
      </c>
      <c r="AC574" s="41">
        <f>VLOOKUP(B574,'Player Data'!$A1:$AE734,17,FALSE)*$Q574*IFERROR((VLOOKUP(P574,Settings!$E$28:$F$33,2,FALSE)+1),1)</f>
        <v>-1.1491577569611267</v>
      </c>
      <c r="AD574" s="41">
        <f>VLOOKUP(B574,'Player Data'!$A1:$AE734,18,FALSE)*$Q574</f>
        <v>41.004450831729066</v>
      </c>
      <c r="AE574" s="41">
        <f>VLOOKUP(B574,'Player Data'!$A1:$AE734,19,FALSE)*$Q574*IFERROR((VLOOKUP(P574,Settings!$E$28:$F$33,2,FALSE)+1),1)</f>
        <v>1.0384170032342603</v>
      </c>
      <c r="AF574" s="41">
        <f>VLOOKUP(B574,'Player Data'!$A1:$AE734,20,FALSE)*$Q574</f>
        <v>6.8626853430229806</v>
      </c>
      <c r="AG574" s="41">
        <f>VLOOKUP(B574,'Player Data'!$A1:$AE734,21,FALSE)*$Q574</f>
        <v>15.481349163537161</v>
      </c>
      <c r="AH574" s="42">
        <f>VLOOKUP(B574,'Player Data'!$A1:$AE734,22,FALSE)</f>
        <v>0.30713725137723502</v>
      </c>
      <c r="AI574" s="39"/>
      <c r="AJ574" s="41"/>
      <c r="AK574" s="41"/>
      <c r="AL574" s="41"/>
      <c r="AM574" s="41"/>
      <c r="AN574" s="41"/>
      <c r="AO574" s="41"/>
      <c r="AP574" s="41"/>
      <c r="AQ574" s="44"/>
      <c r="AR574" s="45"/>
      <c r="AS574" s="39"/>
    </row>
    <row r="575" spans="1:45" ht="21.25" customHeight="1" x14ac:dyDescent="0.15">
      <c r="A575" s="31">
        <f>RANK(K575,K$2:K$727)</f>
        <v>574</v>
      </c>
      <c r="B575" s="8" t="s">
        <v>679</v>
      </c>
      <c r="C575" s="32" t="s">
        <v>106</v>
      </c>
      <c r="D575" s="33" t="str">
        <f>VLOOKUP(B575,'Player Data'!A1:D734,4,FALSE)</f>
        <v>C</v>
      </c>
      <c r="E575" s="34">
        <f>VLOOKUP(B575,'C'!A1:C211,3,FALSE)</f>
        <v>133</v>
      </c>
      <c r="F575" s="35" t="str">
        <f>VLOOKUP(B575,'Player Data'!A1:B734,2,FALSE)</f>
        <v>BOS</v>
      </c>
      <c r="G575" s="9">
        <f>VLOOKUP(B575,'Player Data'!A1:D734,3,FALSE)</f>
        <v>25</v>
      </c>
      <c r="H575" s="36">
        <f>IFERROR(VLOOKUP(B575,ADP!A1:G728,7,FALSE)/1000000,VLOOKUP(B575,ADP!A1:G728,7,FALSE))</f>
        <v>2.2999999999999998</v>
      </c>
      <c r="I575" s="37">
        <f>IF(Settings!$E$15="POINTS",((R575*Q575)*Settings!$B$12)+(S575*Settings!$B$2)+(T575*Settings!$B$3)+(U575*Settings!$B$4)+(V575*Settings!$B$5)+(X575*Settings!$B$9)+(AA575*Settings!$B$6)+(W575*Settings!$B$8)+(AB575*Settings!$B$7)+(AC575*Settings!$B$14)+(AD575*Settings!$B$15)+(AE575*Settings!$B$16)+(AF575*Settings!$B$17)+(AG575*Settings!$B$18)+(Y575*Settings!$B$10)+(Z575*Settings!$B$11),VLOOKUP(B575,'Standard Deviations'!A1:C728,3,FALSE))</f>
        <v>151.30695946571737</v>
      </c>
      <c r="J575" s="38">
        <f>IF(D575="G",I575/AJ575,I575/Q575)</f>
        <v>1.9798745064047547</v>
      </c>
      <c r="K575" s="37">
        <f>IF(Settings!$E$18="C/LW/RW",VLOOKUP(B575,'C'!A1:F211,6,FALSE),VLOOKUP(B575,F!A1:F430,6,FALSE))</f>
        <v>-242.02184630049229</v>
      </c>
      <c r="L575" s="37">
        <f>IFERROR(K575/H575,"N/A")</f>
        <v>-105.22688969586622</v>
      </c>
      <c r="M575" s="53" t="str">
        <f>IF(Settings!$E$9="YAHOO",VLOOKUP(B575,ADP!A1:E728,2,FALSE),IF(Settings!$E$9="ESPN",VLOOKUP(B575,ADP!A1:E728,3,FALSE),IF(Settings!$E$9="FANTRAX",VLOOKUP(B575,ADP!A1:E728,4,FALSE),VLOOKUP(B575,ADP!A1:E728,5,FALSE))))</f>
        <v>-</v>
      </c>
      <c r="N575" s="53" t="str">
        <f>IFERROR(M575-A575,"N/A")</f>
        <v>N/A</v>
      </c>
      <c r="O575" s="39"/>
      <c r="P575" s="40" t="str">
        <f>IF(Settings!$E$27="ON",VLOOKUP(B575,ADP!A1:H728,8,FALSE)," ")</f>
        <v xml:space="preserve"> </v>
      </c>
      <c r="Q575" s="41">
        <f>IF(Settings!$E$12="YES",VLOOKUP(B575,'Player Data'!A1:E734,5,FALSE),82)</f>
        <v>76.422499999999999</v>
      </c>
      <c r="R575" s="39">
        <f>VLOOKUP(B575,'Player Data'!$A1:$AE734,6,FALSE)</f>
        <v>12.4100397600268</v>
      </c>
      <c r="S575" s="41">
        <f>VLOOKUP(B575,'Player Data'!$A1:$AE734,7,FALSE)*$Q575*IFERROR((VLOOKUP(P575,Settings!$E$28:$F$33,2,FALSE)+1),1)</f>
        <v>14.148784389652926</v>
      </c>
      <c r="T575" s="41">
        <f>VLOOKUP(B575,'Player Data'!$A1:$AE734,8,FALSE)*$Q575*IFERROR((VLOOKUP(P575,Settings!$E$28:$F$33,2,FALSE)+1),1)</f>
        <v>13.788657451211654</v>
      </c>
      <c r="U575" s="41">
        <f>SUM(S575:T575)</f>
        <v>27.937441840864579</v>
      </c>
      <c r="V575" s="41">
        <f>VLOOKUP(B575,'Player Data'!$A1:$AE734,10,FALSE)*$Q575*IFERROR(((VLOOKUP(P575,Settings!$E$28:$F$33,2,FALSE)/2)+1),1)</f>
        <v>118.57511570477418</v>
      </c>
      <c r="W575" s="41">
        <f>VLOOKUP(B575,'Player Data'!$A1:$AE734,11,FALSE)*$Q575*IFERROR((VLOOKUP(P575,Settings!$E$28:$F$33,2,FALSE)+1),1)</f>
        <v>5.6949273097861387E-2</v>
      </c>
      <c r="X575" s="41">
        <f>VLOOKUP(B575,'Player Data'!$A1:$AE734,12,FALSE)*$Q575*IFERROR((VLOOKUP(P575,Settings!$E$28:$F$33,2,FALSE)+1),1)</f>
        <v>0.14462424327168946</v>
      </c>
      <c r="Y575" s="41">
        <f>VLOOKUP(B575,'Player Data'!$A1:$AE734,13,FALSE)*$Q575</f>
        <v>8.2405472175586053E-2</v>
      </c>
      <c r="Z575" s="41">
        <f>VLOOKUP(B575,'Player Data'!$A1:$AE734,14,FALSE)*$Q575</f>
        <v>0.54374583286633615</v>
      </c>
      <c r="AA575" s="41">
        <f>VLOOKUP(B575,'Player Data'!$A1:$AE734,15,FALSE)*$Q575</f>
        <v>34.15167969230238</v>
      </c>
      <c r="AB575" s="41">
        <f>VLOOKUP(B575,'Player Data'!$A1:$AE734,16,FALSE)*$Q575</f>
        <v>117.29343514302505</v>
      </c>
      <c r="AC575" s="41">
        <f>VLOOKUP(B575,'Player Data'!$A1:$AE734,17,FALSE)*$Q575*IFERROR((VLOOKUP(P575,Settings!$E$28:$F$33,2,FALSE)+1),1)</f>
        <v>5.2645226681990591</v>
      </c>
      <c r="AD575" s="41">
        <f>VLOOKUP(B575,'Player Data'!$A1:$AE734,18,FALSE)*$Q575</f>
        <v>52.787567178247677</v>
      </c>
      <c r="AE575" s="41">
        <f>VLOOKUP(B575,'Player Data'!$A1:$AE734,19,FALSE)*$Q575*IFERROR((VLOOKUP(P575,Settings!$E$28:$F$33,2,FALSE)+1),1)</f>
        <v>2.3753024597124783</v>
      </c>
      <c r="AF575" s="41">
        <f>VLOOKUP(B575,'Player Data'!$A1:$AE734,20,FALSE)*$Q575</f>
        <v>32.162399966630232</v>
      </c>
      <c r="AG575" s="41">
        <f>VLOOKUP(B575,'Player Data'!$A1:$AE734,21,FALSE)*$Q575</f>
        <v>51.857471558512266</v>
      </c>
      <c r="AH575" s="42">
        <f>VLOOKUP(B575,'Player Data'!$A1:$AE734,22,FALSE)</f>
        <v>0.38279515765512401</v>
      </c>
      <c r="AI575" s="39"/>
      <c r="AJ575" s="43"/>
      <c r="AK575" s="41"/>
      <c r="AL575" s="41"/>
      <c r="AM575" s="41"/>
      <c r="AN575" s="41"/>
      <c r="AO575" s="41"/>
      <c r="AP575" s="41"/>
      <c r="AQ575" s="44"/>
      <c r="AR575" s="45"/>
      <c r="AS575" s="39"/>
    </row>
    <row r="576" spans="1:45" ht="21.25" customHeight="1" x14ac:dyDescent="0.15">
      <c r="A576" s="31">
        <f>RANK(K576,K$2:K$727)</f>
        <v>575</v>
      </c>
      <c r="B576" s="8" t="s">
        <v>680</v>
      </c>
      <c r="C576" s="32" t="s">
        <v>106</v>
      </c>
      <c r="D576" s="33" t="str">
        <f>VLOOKUP(B576,'Player Data'!A1:D734,4,FALSE)</f>
        <v>D</v>
      </c>
      <c r="E576" s="49">
        <f>VLOOKUP(B576,D!A1:C227,3,FALSE)</f>
        <v>217</v>
      </c>
      <c r="F576" s="35" t="str">
        <f>VLOOKUP(B576,'Player Data'!A1:B734,2,FALSE)</f>
        <v>BOS</v>
      </c>
      <c r="G576" s="9">
        <f>VLOOKUP(B576,'Player Data'!A1:D734,3,FALSE)</f>
        <v>26</v>
      </c>
      <c r="H576" s="36">
        <f>IFERROR(VLOOKUP(B576,ADP!A1:G728,7,FALSE)/1000000,VLOOKUP(B576,ADP!A1:G728,7,FALSE))</f>
        <v>1.1375</v>
      </c>
      <c r="I576" s="37">
        <f>IF(Settings!$E$15="POINTS",((R576*Q576)*Settings!$B$12)+(S576*Settings!$B$2)+(T576*Settings!$B$3)+(U576*Settings!$B$4)+(V576*Settings!$B$5)+(X576*Settings!$B$9)+(AA576*Settings!$B$6)+(W576*Settings!$B$8)+(AB576*Settings!$B$7)+(AC576*Settings!$B$14)+(AD576*Settings!$B$15)+(AE576*Settings!$B$16)+(AF576*Settings!$B$17)+(AG576*Settings!$B$18)+(U576*Settings!$B$13)+(Y576*Settings!$B$10)+(Z576*Settings!$B$11),VLOOKUP(B576,'Standard Deviations'!A1:C728,3,FALSE))</f>
        <v>69.443463982440363</v>
      </c>
      <c r="J576" s="38">
        <f>IF(D576="G",I576/AJ576,I576/Q576)</f>
        <v>1.168491737883903</v>
      </c>
      <c r="K576" s="37">
        <f>VLOOKUP(B576,D!A1:F227,6,FALSE)</f>
        <v>-242.12201764548709</v>
      </c>
      <c r="L576" s="37">
        <f>IFERROR(K576/H576,"N/A")</f>
        <v>-212.85452100702162</v>
      </c>
      <c r="M576" s="53" t="str">
        <f>IF(Settings!$E$9="YAHOO",VLOOKUP(B576,ADP!A1:E728,2,FALSE),IF(Settings!$E$9="ESPN",VLOOKUP(B576,ADP!A1:E728,3,FALSE),IF(Settings!$E$9="FANTRAX",VLOOKUP(B576,ADP!A1:E728,4,FALSE),VLOOKUP(B576,ADP!A1:E728,5,FALSE))))</f>
        <v>-</v>
      </c>
      <c r="N576" s="53" t="str">
        <f>IFERROR(M576-A576,"N/A")</f>
        <v>N/A</v>
      </c>
      <c r="O576" s="39"/>
      <c r="P576" s="40" t="str">
        <f>IF(Settings!$E$27="ON",VLOOKUP(B576,ADP!A1:H728,8,FALSE)," ")</f>
        <v xml:space="preserve"> </v>
      </c>
      <c r="Q576" s="41">
        <f>IF(Settings!$E$12="YES",VLOOKUP(B576,'Player Data'!A1:E734,5,FALSE),82)</f>
        <v>59.43</v>
      </c>
      <c r="R576" s="39">
        <f>VLOOKUP(B576,'Player Data'!$A1:$AE734,6,FALSE)</f>
        <v>14.465141706992499</v>
      </c>
      <c r="S576" s="41">
        <f>VLOOKUP(B576,'Player Data'!$A1:$AE734,7,FALSE)*$Q576*IFERROR((VLOOKUP(P576,Settings!$E$28:$F$33,2,FALSE)+1),1)</f>
        <v>1.5325629883494678</v>
      </c>
      <c r="T576" s="41">
        <f>VLOOKUP(B576,'Player Data'!$A1:$AE734,8,FALSE)*$Q576*IFERROR((VLOOKUP(P576,Settings!$E$28:$F$33,2,FALSE)+1),1)</f>
        <v>9.3116099873419103</v>
      </c>
      <c r="U576" s="41">
        <f>SUM(S576:T576)</f>
        <v>10.844172975691379</v>
      </c>
      <c r="V576" s="41">
        <f>VLOOKUP(B576,'Player Data'!$A1:$AE734,10,FALSE)*$Q576*IFERROR(((VLOOKUP(P576,Settings!$E$28:$F$33,2,FALSE)/2)+1),1)</f>
        <v>49.293628206609668</v>
      </c>
      <c r="W576" s="41">
        <f>VLOOKUP(B576,'Player Data'!$A1:$AE734,11,FALSE)*$Q576*IFERROR((VLOOKUP(P576,Settings!$E$28:$F$33,2,FALSE)+1),1)</f>
        <v>3.4464477476183041E-3</v>
      </c>
      <c r="X576" s="41">
        <f>VLOOKUP(B576,'Player Data'!$A1:$AE734,12,FALSE)*$Q576*IFERROR((VLOOKUP(P576,Settings!$E$28:$F$33,2,FALSE)+1),1)</f>
        <v>3.4991921706893324E-2</v>
      </c>
      <c r="Y576" s="41">
        <f>VLOOKUP(B576,'Player Data'!$A1:$AE734,13,FALSE)*$Q576</f>
        <v>2.9435268256798212E-2</v>
      </c>
      <c r="Z576" s="41">
        <f>VLOOKUP(B576,'Player Data'!$A1:$AE734,14,FALSE)*$Q576</f>
        <v>0.10909792629845272</v>
      </c>
      <c r="AA576" s="41">
        <f>VLOOKUP(B576,'Player Data'!$A1:$AE734,15,FALSE)*$Q576</f>
        <v>59.879756280253481</v>
      </c>
      <c r="AB576" s="41">
        <f>VLOOKUP(B576,'Player Data'!$A1:$AE734,16,FALSE)*$Q576</f>
        <v>85.891553259303549</v>
      </c>
      <c r="AC576" s="41">
        <f>VLOOKUP(B576,'Player Data'!$A1:$AE734,17,FALSE)*$Q576*IFERROR((VLOOKUP(P576,Settings!$E$28:$F$33,2,FALSE)+1),1)</f>
        <v>1.6122515742160874</v>
      </c>
      <c r="AD576" s="41">
        <f>VLOOKUP(B576,'Player Data'!$A1:$AE734,18,FALSE)*$Q576</f>
        <v>21.569564616614834</v>
      </c>
      <c r="AE576" s="41">
        <f>VLOOKUP(B576,'Player Data'!$A1:$AE734,19,FALSE)*$Q576*IFERROR((VLOOKUP(P576,Settings!$E$28:$F$33,2,FALSE)+1),1)</f>
        <v>0.25728716585383626</v>
      </c>
      <c r="AF576" s="41">
        <f>VLOOKUP(B576,'Player Data'!$A1:$AE734,20,FALSE)*$Q576</f>
        <v>0</v>
      </c>
      <c r="AG576" s="41">
        <f>VLOOKUP(B576,'Player Data'!$A1:$AE734,21,FALSE)*$Q576</f>
        <v>0</v>
      </c>
      <c r="AH576" s="42">
        <f>VLOOKUP(B576,'Player Data'!$A1:$AE734,22,FALSE)</f>
        <v>0</v>
      </c>
      <c r="AI576" s="39"/>
      <c r="AJ576" s="43"/>
      <c r="AK576" s="41"/>
      <c r="AL576" s="41"/>
      <c r="AM576" s="41"/>
      <c r="AN576" s="41"/>
      <c r="AO576" s="41"/>
      <c r="AP576" s="41"/>
      <c r="AQ576" s="44"/>
      <c r="AR576" s="45"/>
      <c r="AS576" s="39"/>
    </row>
    <row r="577" spans="1:45" ht="21.25" customHeight="1" x14ac:dyDescent="0.15">
      <c r="A577" s="31">
        <f>RANK(K577,K$2:K$727)</f>
        <v>576</v>
      </c>
      <c r="B577" s="8" t="s">
        <v>681</v>
      </c>
      <c r="C577" s="32" t="s">
        <v>106</v>
      </c>
      <c r="D577" s="33" t="str">
        <f>VLOOKUP(B577,'Player Data'!A1:D734,4,FALSE)</f>
        <v>C</v>
      </c>
      <c r="E577" s="34">
        <f>VLOOKUP(B577,'C'!A1:C211,3,FALSE)</f>
        <v>134</v>
      </c>
      <c r="F577" s="35" t="str">
        <f>VLOOKUP(B577,'Player Data'!A1:B734,2,FALSE)</f>
        <v>CHI</v>
      </c>
      <c r="G577" s="9">
        <f>VLOOKUP(B577,'Player Data'!A1:D734,3,FALSE)</f>
        <v>28</v>
      </c>
      <c r="H577" s="36">
        <f>IFERROR(VLOOKUP(B577,ADP!A1:G728,7,FALSE)/1000000,VLOOKUP(B577,ADP!A1:G728,7,FALSE))</f>
        <v>2.65</v>
      </c>
      <c r="I577" s="37">
        <f>IF(Settings!$E$15="POINTS",((R577*Q577)*Settings!$B$12)+(S577*Settings!$B$2)+(T577*Settings!$B$3)+(U577*Settings!$B$4)+(V577*Settings!$B$5)+(X577*Settings!$B$9)+(AA577*Settings!$B$6)+(W577*Settings!$B$8)+(AB577*Settings!$B$7)+(AC577*Settings!$B$14)+(AD577*Settings!$B$15)+(AE577*Settings!$B$16)+(AF577*Settings!$B$17)+(AG577*Settings!$B$18)+(Y577*Settings!$B$10)+(Z577*Settings!$B$11),VLOOKUP(B577,'Standard Deviations'!A1:C728,3,FALSE))</f>
        <v>151.18964837155184</v>
      </c>
      <c r="J577" s="38">
        <f>IF(D577="G",I577/AJ577,I577/Q577)</f>
        <v>1.9423665285912353</v>
      </c>
      <c r="K577" s="37">
        <f>IF(Settings!$E$18="C/LW/RW",VLOOKUP(B577,'C'!A1:F211,6,FALSE),VLOOKUP(B577,F!A1:F430,6,FALSE))</f>
        <v>-242.13915739465781</v>
      </c>
      <c r="L577" s="37">
        <f>IFERROR(K577/H577,"N/A")</f>
        <v>-91.373266941380308</v>
      </c>
      <c r="M577" s="53" t="str">
        <f>IF(Settings!$E$9="YAHOO",VLOOKUP(B577,ADP!A1:E728,2,FALSE),IF(Settings!$E$9="ESPN",VLOOKUP(B577,ADP!A1:E728,3,FALSE),IF(Settings!$E$9="FANTRAX",VLOOKUP(B577,ADP!A1:E728,4,FALSE),VLOOKUP(B577,ADP!A1:E728,5,FALSE))))</f>
        <v>-</v>
      </c>
      <c r="N577" s="53" t="str">
        <f>IFERROR(M577-A577,"N/A")</f>
        <v>N/A</v>
      </c>
      <c r="O577" s="39"/>
      <c r="P577" s="40" t="str">
        <f>IF(Settings!$E$27="ON",VLOOKUP(B577,ADP!A1:H728,8,FALSE)," ")</f>
        <v xml:space="preserve"> </v>
      </c>
      <c r="Q577" s="41">
        <f>IF(Settings!$E$12="YES",VLOOKUP(B577,'Player Data'!A1:E734,5,FALSE),82)</f>
        <v>77.837857142857104</v>
      </c>
      <c r="R577" s="39">
        <f>VLOOKUP(B577,'Player Data'!$A1:$AE734,6,FALSE)</f>
        <v>15.3935684739105</v>
      </c>
      <c r="S577" s="41">
        <f>VLOOKUP(B577,'Player Data'!$A1:$AE734,7,FALSE)*$Q577*IFERROR((VLOOKUP(P577,Settings!$E$28:$F$33,2,FALSE)+1),1)</f>
        <v>8.5941247038846544</v>
      </c>
      <c r="T577" s="41">
        <f>VLOOKUP(B577,'Player Data'!$A1:$AE734,8,FALSE)*$Q577*IFERROR((VLOOKUP(P577,Settings!$E$28:$F$33,2,FALSE)+1),1)</f>
        <v>16.967710525724105</v>
      </c>
      <c r="U577" s="41">
        <f>SUM(S577:T577)</f>
        <v>25.561835229608761</v>
      </c>
      <c r="V577" s="41">
        <f>VLOOKUP(B577,'Player Data'!$A1:$AE734,10,FALSE)*$Q577*IFERROR(((VLOOKUP(P577,Settings!$E$28:$F$33,2,FALSE)/2)+1),1)</f>
        <v>105.8598308396484</v>
      </c>
      <c r="W577" s="41">
        <f>VLOOKUP(B577,'Player Data'!$A1:$AE734,11,FALSE)*$Q577*IFERROR((VLOOKUP(P577,Settings!$E$28:$F$33,2,FALSE)+1),1)</f>
        <v>0.31129846519086346</v>
      </c>
      <c r="X577" s="41">
        <f>VLOOKUP(B577,'Player Data'!$A1:$AE734,12,FALSE)*$Q577*IFERROR((VLOOKUP(P577,Settings!$E$28:$F$33,2,FALSE)+1),1)</f>
        <v>0.61647125294318328</v>
      </c>
      <c r="Y577" s="41">
        <f>VLOOKUP(B577,'Player Data'!$A1:$AE734,13,FALSE)*$Q577</f>
        <v>9.8793461340827615E-2</v>
      </c>
      <c r="Z577" s="41">
        <f>VLOOKUP(B577,'Player Data'!$A1:$AE734,14,FALSE)*$Q577</f>
        <v>2.9028674745804972</v>
      </c>
      <c r="AA577" s="41">
        <f>VLOOKUP(B577,'Player Data'!$A1:$AE734,15,FALSE)*$Q577</f>
        <v>72.677749039269941</v>
      </c>
      <c r="AB577" s="41">
        <f>VLOOKUP(B577,'Player Data'!$A1:$AE734,16,FALSE)*$Q577</f>
        <v>112.02970752798011</v>
      </c>
      <c r="AC577" s="41">
        <f>VLOOKUP(B577,'Player Data'!$A1:$AE734,17,FALSE)*$Q577*IFERROR((VLOOKUP(P577,Settings!$E$28:$F$33,2,FALSE)+1),1)</f>
        <v>-8.1357622813381774</v>
      </c>
      <c r="AD577" s="41">
        <f>VLOOKUP(B577,'Player Data'!$A1:$AE734,18,FALSE)*$Q577</f>
        <v>27.711675072928671</v>
      </c>
      <c r="AE577" s="41">
        <f>VLOOKUP(B577,'Player Data'!$A1:$AE734,19,FALSE)*$Q577*IFERROR((VLOOKUP(P577,Settings!$E$28:$F$33,2,FALSE)+1),1)</f>
        <v>1.0070728704701339</v>
      </c>
      <c r="AF577" s="41">
        <f>VLOOKUP(B577,'Player Data'!$A1:$AE734,20,FALSE)*$Q577</f>
        <v>311.41768174580187</v>
      </c>
      <c r="AG577" s="41">
        <f>VLOOKUP(B577,'Player Data'!$A1:$AE734,21,FALSE)*$Q577</f>
        <v>364.69856137713617</v>
      </c>
      <c r="AH577" s="42">
        <f>VLOOKUP(B577,'Player Data'!$A1:$AE734,22,FALSE)</f>
        <v>0.46059784084965</v>
      </c>
      <c r="AI577" s="39"/>
      <c r="AJ577" s="43"/>
      <c r="AK577" s="41"/>
      <c r="AL577" s="41"/>
      <c r="AM577" s="41"/>
      <c r="AN577" s="41"/>
      <c r="AO577" s="41"/>
      <c r="AP577" s="41"/>
      <c r="AQ577" s="44"/>
      <c r="AR577" s="45"/>
      <c r="AS577" s="39"/>
    </row>
    <row r="578" spans="1:45" ht="21.25" customHeight="1" x14ac:dyDescent="0.15">
      <c r="A578" s="31">
        <f>RANK(K578,K$2:K$727)</f>
        <v>577</v>
      </c>
      <c r="B578" s="8" t="s">
        <v>682</v>
      </c>
      <c r="C578" s="32" t="s">
        <v>106</v>
      </c>
      <c r="D578" s="33" t="str">
        <f>VLOOKUP(B578,'Player Data'!A1:D734,4,FALSE)</f>
        <v>G</v>
      </c>
      <c r="E578" s="50">
        <f>VLOOKUP(B578,G!A1:D75,3,FALSE)</f>
        <v>48</v>
      </c>
      <c r="F578" s="35" t="str">
        <f>VLOOKUP(B578,'Player Data'!A1:B734,2,FALSE)</f>
        <v>WSH</v>
      </c>
      <c r="G578" s="9">
        <f>VLOOKUP(B578,'Player Data'!A1:D734,3,FALSE)</f>
        <v>29</v>
      </c>
      <c r="H578" s="36">
        <f>IFERROR(VLOOKUP(B578,ADP!A1:G728,7,FALSE)/1000000,VLOOKUP(B578,ADP!A1:G728,7,FALSE))</f>
        <v>1.1000000000000001</v>
      </c>
      <c r="I578" s="37">
        <f>IF(Settings!$E$15="POINTS",(AJ578*Settings!$B$29)+(AK578*Settings!$B$21)+(AL578*Settings!$B$22)+(AN578*Settings!$B$24)+(AO578*Settings!$B$25)+(AP578*Settings!$B$27)+(AM578*Settings!$B$23),VLOOKUP(B578,'Standard Deviations'!A1:C728,3,FALSE))</f>
        <v>155.64979977938839</v>
      </c>
      <c r="J578" s="38">
        <f>IF(D578="G",I578/AJ578,I578/Q578)</f>
        <v>6.4854083241411828</v>
      </c>
      <c r="K578" s="37">
        <f>VLOOKUP(B578,G!A1:F75,6,FALSE)</f>
        <v>-243.12586230992781</v>
      </c>
      <c r="L578" s="37">
        <f>IFERROR(K578/H578,"N/A")</f>
        <v>-221.02351119084344</v>
      </c>
      <c r="M578" s="53" t="str">
        <f>IF(Settings!$E$9="YAHOO",VLOOKUP(B578,ADP!A1:E728,2,FALSE),IF(Settings!$E$9="ESPN",VLOOKUP(B578,ADP!A1:E728,3,FALSE),IF(Settings!$E$9="FANTRAX",VLOOKUP(B578,ADP!A1:E728,4,FALSE),VLOOKUP(B578,ADP!A1:E728,5,FALSE))))</f>
        <v>-</v>
      </c>
      <c r="N578" s="53" t="str">
        <f>IFERROR(M578-A578,"N/A")</f>
        <v>N/A</v>
      </c>
      <c r="O578" s="39"/>
      <c r="P578" s="40" t="str">
        <f>IF(Settings!$E$27="ON",VLOOKUP(B578,ADP!A1:H728,8,FALSE)," ")</f>
        <v xml:space="preserve"> </v>
      </c>
      <c r="Q578" s="41"/>
      <c r="R578" s="5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2"/>
      <c r="AI578" s="39"/>
      <c r="AJ578" s="43">
        <f>VLOOKUP(B578,'Player Data'!$A1:$AE734,24,FALSE)</f>
        <v>24</v>
      </c>
      <c r="AK578" s="41">
        <f>VLOOKUP(B578,'Player Data'!$A1:$AE734,25,FALSE)*$AJ578*IFERROR((VLOOKUP(P578,Settings!$E$28:$F$33,2,FALSE)+1),1)</f>
        <v>9.9516163272013429</v>
      </c>
      <c r="AL578" s="41">
        <f>AJ578-AK578-AM578</f>
        <v>11.048383672798657</v>
      </c>
      <c r="AM578" s="41">
        <f>VLOOKUP(B578,'Player Data'!$A1:$AE734,27,FALSE)*$AJ578</f>
        <v>3</v>
      </c>
      <c r="AN578" s="41">
        <f>VLOOKUP(B578,'Player Data'!$A1:$AE734,28,FALSE)*AJ578</f>
        <v>0.77339346278491916</v>
      </c>
      <c r="AO578" s="41">
        <f>VLOOKUP(B578,'Player Data'!$A1:$AE734,29,FALSE)*$AJ578*IFERROR((VLOOKUP(P578,Settings!$E$28:$F$33,2,FALSE)/4)+1,1)</f>
        <v>698.16699820634631</v>
      </c>
      <c r="AP578" s="41">
        <f>VLOOKUP(B578,'Player Data'!$A1:$AE734,31,FALSE)*$AJ578*(IFERROR(1-(VLOOKUP(P578,Settings!$E$28:$F$33,2,FALSE)/4),1))</f>
        <v>74.945111743652873</v>
      </c>
      <c r="AQ578" s="44">
        <f>1-(AP578/(AO578+AP578))</f>
        <v>0.90306048659812099</v>
      </c>
      <c r="AR578" s="45">
        <f>AP578/AJ578</f>
        <v>3.1227129893188699</v>
      </c>
      <c r="AS578" s="39"/>
    </row>
    <row r="579" spans="1:45" ht="21.25" customHeight="1" x14ac:dyDescent="0.15">
      <c r="A579" s="31">
        <f>RANK(K579,K$2:K$727)</f>
        <v>578</v>
      </c>
      <c r="B579" s="8" t="s">
        <v>683</v>
      </c>
      <c r="C579" s="32" t="s">
        <v>106</v>
      </c>
      <c r="D579" s="33" t="str">
        <f>VLOOKUP(B579,'Player Data'!A1:D734,4,FALSE)</f>
        <v>RW</v>
      </c>
      <c r="E579" s="46">
        <f>VLOOKUP(B579,RW!A1:F97,3,FALSE)</f>
        <v>85</v>
      </c>
      <c r="F579" s="35" t="str">
        <f>VLOOKUP(B579,'Player Data'!A1:B734,2,FALSE)</f>
        <v>STL</v>
      </c>
      <c r="G579" s="9">
        <f>VLOOKUP(B579,'Player Data'!A1:D734,3,FALSE)</f>
        <v>24</v>
      </c>
      <c r="H579" s="36">
        <f>IFERROR(VLOOKUP(B579,ADP!A1:G728,7,FALSE)/1000000,VLOOKUP(B579,ADP!A1:G728,7,FALSE))</f>
        <v>1.25</v>
      </c>
      <c r="I579" s="37">
        <f>IF(Settings!$E$15="POINTS",((R579*Q579)*Settings!$B$12)+(S579*Settings!$B$2)+(T579*Settings!$B$3)+(U579*Settings!$B$4)+(V579*Settings!$B$5)+(X579*Settings!$B$9)+(AA579*Settings!$B$6)+(W579*Settings!$B$8)+(AB579*Settings!$B$7)+(AC579*Settings!$B$14)+(AD579*Settings!$B$15)+(AE579*Settings!$B$16)+(AF579*Settings!$B$17)+(AG579*Settings!$B$18)+(Y579*Settings!$B$10)+(Z579*Settings!$B$11),VLOOKUP(B579,'Standard Deviations'!A1:C728,3,FALSE))</f>
        <v>106.50761334185913</v>
      </c>
      <c r="J579" s="38">
        <f>IF(D579="G",I579/AJ579,I579/Q579)</f>
        <v>1.5436445283069549</v>
      </c>
      <c r="K579" s="37">
        <f>IF(Settings!$E$18="C/LW/RW",VLOOKUP(B579,RW!A1:F97,6,FALSE),VLOOKUP(B579,F!A1:F430,6,FALSE))</f>
        <v>-243.76392720603044</v>
      </c>
      <c r="L579" s="37">
        <f>IFERROR(K579/H579,"N/A")</f>
        <v>-195.01114176482434</v>
      </c>
      <c r="M579" s="53" t="str">
        <f>IF(Settings!$E$9="YAHOO",VLOOKUP(B579,ADP!A1:E728,2,FALSE),IF(Settings!$E$9="ESPN",VLOOKUP(B579,ADP!A1:E728,3,FALSE),IF(Settings!$E$9="FANTRAX",VLOOKUP(B579,ADP!A1:E728,4,FALSE),VLOOKUP(B579,ADP!A1:E728,5,FALSE))))</f>
        <v>-</v>
      </c>
      <c r="N579" s="53" t="str">
        <f>IFERROR(M579-A579,"N/A")</f>
        <v>N/A</v>
      </c>
      <c r="O579" s="39"/>
      <c r="P579" s="40" t="str">
        <f>IF(Settings!$E$27="ON",VLOOKUP(B579,ADP!A1:H728,8,FALSE)," ")</f>
        <v xml:space="preserve"> </v>
      </c>
      <c r="Q579" s="41">
        <f>IF(Settings!$E$12="YES",VLOOKUP(B579,'Player Data'!A1:E734,5,FALSE),82)</f>
        <v>68.997500000000002</v>
      </c>
      <c r="R579" s="39">
        <f>VLOOKUP(B579,'Player Data'!$A1:$AE734,6,FALSE)</f>
        <v>11.864781613754801</v>
      </c>
      <c r="S579" s="41">
        <f>VLOOKUP(B579,'Player Data'!$A1:$AE734,7,FALSE)*$Q579*IFERROR((VLOOKUP(P579,Settings!$E$28:$F$33,2,FALSE)+1),1)</f>
        <v>9.0379999292842541</v>
      </c>
      <c r="T579" s="41">
        <f>VLOOKUP(B579,'Player Data'!$A1:$AE734,8,FALSE)*$Q579*IFERROR((VLOOKUP(P579,Settings!$E$28:$F$33,2,FALSE)+1),1)</f>
        <v>8.333309588285795</v>
      </c>
      <c r="U579" s="41">
        <f>SUM(S579:T579)</f>
        <v>17.371309517570047</v>
      </c>
      <c r="V579" s="41">
        <f>VLOOKUP(B579,'Player Data'!$A1:$AE734,10,FALSE)*$Q579*IFERROR(((VLOOKUP(P579,Settings!$E$28:$F$33,2,FALSE)/2)+1),1)</f>
        <v>87.167878813739065</v>
      </c>
      <c r="W579" s="41">
        <f>VLOOKUP(B579,'Player Data'!$A1:$AE734,11,FALSE)*$Q579*IFERROR((VLOOKUP(P579,Settings!$E$28:$F$33,2,FALSE)+1),1)</f>
        <v>5.4959516052748535E-2</v>
      </c>
      <c r="X579" s="41">
        <f>VLOOKUP(B579,'Player Data'!$A1:$AE734,12,FALSE)*$Q579*IFERROR((VLOOKUP(P579,Settings!$E$28:$F$33,2,FALSE)+1),1)</f>
        <v>0.14056395223752902</v>
      </c>
      <c r="Y579" s="41">
        <f>VLOOKUP(B579,'Player Data'!$A1:$AE734,13,FALSE)*$Q579</f>
        <v>0.77024550956762261</v>
      </c>
      <c r="Z579" s="41">
        <f>VLOOKUP(B579,'Player Data'!$A1:$AE734,14,FALSE)*$Q579</f>
        <v>0.89664921599397751</v>
      </c>
      <c r="AA579" s="41">
        <f>VLOOKUP(B579,'Player Data'!$A1:$AE734,15,FALSE)*$Q579</f>
        <v>43.67659522908221</v>
      </c>
      <c r="AB579" s="41">
        <f>VLOOKUP(B579,'Player Data'!$A1:$AE734,16,FALSE)*$Q579</f>
        <v>126.20570579605322</v>
      </c>
      <c r="AC579" s="41">
        <f>VLOOKUP(B579,'Player Data'!$A1:$AE734,17,FALSE)*$Q579*IFERROR((VLOOKUP(P579,Settings!$E$28:$F$33,2,FALSE)+1),1)</f>
        <v>-3.447349607437586</v>
      </c>
      <c r="AD579" s="41">
        <f>VLOOKUP(B579,'Player Data'!$A1:$AE734,18,FALSE)*$Q579</f>
        <v>18.794420485404054</v>
      </c>
      <c r="AE579" s="41">
        <f>VLOOKUP(B579,'Player Data'!$A1:$AE734,19,FALSE)*$Q579*IFERROR((VLOOKUP(P579,Settings!$E$28:$F$33,2,FALSE)+1),1)</f>
        <v>1.0400273406423497</v>
      </c>
      <c r="AF579" s="41">
        <f>VLOOKUP(B579,'Player Data'!$A1:$AE734,20,FALSE)*$Q579</f>
        <v>2.1215464094145005</v>
      </c>
      <c r="AG579" s="41">
        <f>VLOOKUP(B579,'Player Data'!$A1:$AE734,21,FALSE)*$Q579</f>
        <v>5.7601589868027876</v>
      </c>
      <c r="AH579" s="42">
        <f>VLOOKUP(B579,'Player Data'!$A1:$AE734,22,FALSE)</f>
        <v>0.26917352308457299</v>
      </c>
      <c r="AI579" s="39"/>
      <c r="AJ579" s="41"/>
      <c r="AK579" s="41"/>
      <c r="AL579" s="41"/>
      <c r="AM579" s="41"/>
      <c r="AN579" s="41"/>
      <c r="AO579" s="41"/>
      <c r="AP579" s="41"/>
      <c r="AQ579" s="44"/>
      <c r="AR579" s="45"/>
      <c r="AS579" s="39"/>
    </row>
    <row r="580" spans="1:45" ht="21.25" customHeight="1" x14ac:dyDescent="0.15">
      <c r="A580" s="31">
        <f>RANK(K580,K$2:K$727)</f>
        <v>579</v>
      </c>
      <c r="B580" s="8" t="s">
        <v>684</v>
      </c>
      <c r="C580" s="32" t="s">
        <v>106</v>
      </c>
      <c r="D580" s="33" t="str">
        <f>VLOOKUP(B580,'Player Data'!A1:D734,4,FALSE)</f>
        <v>LW</v>
      </c>
      <c r="E580" s="47">
        <f>VLOOKUP(B580,LW!A1:C130,3,FALSE)</f>
        <v>98</v>
      </c>
      <c r="F580" s="35" t="str">
        <f>VLOOKUP(B580,'Player Data'!A1:B734,2,FALSE)</f>
        <v>STL</v>
      </c>
      <c r="G580" s="9">
        <f>VLOOKUP(B580,'Player Data'!A1:D734,3,FALSE)</f>
        <v>21</v>
      </c>
      <c r="H580" s="36">
        <f>IFERROR(VLOOKUP(B580,ADP!A1:G728,7,FALSE)/1000000,VLOOKUP(B580,ADP!A1:G728,7,FALSE))</f>
        <v>0.83583300000000005</v>
      </c>
      <c r="I580" s="37">
        <f>IF(Settings!$E$15="POINTS",((R580*Q580)*Settings!$B$12)+(S580*Settings!$B$2)+(T580*Settings!$B$3)+(U580*Settings!$B$4)+(V580*Settings!$B$5)+(X580*Settings!$B$9)+(AA580*Settings!$B$6)+(W580*Settings!$B$8)+(AB580*Settings!$B$7)+(AC580*Settings!$B$14)+(AD580*Settings!$B$15)+(AE580*Settings!$B$16)+(AF580*Settings!$B$17)+(AG580*Settings!$B$18)+(Y580*Settings!$B$10)+(Z580*Settings!$B$11),VLOOKUP(B580,'Standard Deviations'!A1:C728,3,FALSE))</f>
        <v>120.03758897608662</v>
      </c>
      <c r="J580" s="38">
        <f>IF(D580="G",I580/AJ580,I580/Q580)</f>
        <v>1.6961648859133338</v>
      </c>
      <c r="K580" s="37">
        <f>IF(Settings!$E$18="C/LW/RW",VLOOKUP(B580,LW!A1:F130,6,FALSE),VLOOKUP(B580,F!A1:F430,6,FALSE))</f>
        <v>-244.00301588156384</v>
      </c>
      <c r="L580" s="37">
        <f>IFERROR(K580/H580,"N/A")</f>
        <v>-291.92795197313797</v>
      </c>
      <c r="M580" s="53" t="str">
        <f>IF(Settings!$E$9="YAHOO",VLOOKUP(B580,ADP!A1:E728,2,FALSE),IF(Settings!$E$9="ESPN",VLOOKUP(B580,ADP!A1:E728,3,FALSE),IF(Settings!$E$9="FANTRAX",VLOOKUP(B580,ADP!A1:E728,4,FALSE),VLOOKUP(B580,ADP!A1:E728,5,FALSE))))</f>
        <v>-</v>
      </c>
      <c r="N580" s="53" t="str">
        <f>IFERROR(M580-A580,"N/A")</f>
        <v>N/A</v>
      </c>
      <c r="O580" s="39"/>
      <c r="P580" s="40" t="str">
        <f>IF(Settings!$E$27="ON",VLOOKUP(B580,ADP!A1:H728,8,FALSE)," ")</f>
        <v xml:space="preserve"> </v>
      </c>
      <c r="Q580" s="41">
        <f>IF(Settings!$E$12="YES",VLOOKUP(B580,'Player Data'!A1:E734,5,FALSE),82)</f>
        <v>70.77</v>
      </c>
      <c r="R580" s="39">
        <f>VLOOKUP(B580,'Player Data'!$A1:$AE734,6,FALSE)</f>
        <v>12.1848979404717</v>
      </c>
      <c r="S580" s="41">
        <f>VLOOKUP(B580,'Player Data'!$A1:$AE734,7,FALSE)*$Q580*IFERROR((VLOOKUP(P580,Settings!$E$28:$F$33,2,FALSE)+1),1)</f>
        <v>10.67835572136989</v>
      </c>
      <c r="T580" s="41">
        <f>VLOOKUP(B580,'Player Data'!$A1:$AE734,8,FALSE)*$Q580*IFERROR((VLOOKUP(P580,Settings!$E$28:$F$33,2,FALSE)+1),1)</f>
        <v>10.549016018842831</v>
      </c>
      <c r="U580" s="41">
        <f>SUM(S580:T580)</f>
        <v>21.227371740212721</v>
      </c>
      <c r="V580" s="41">
        <f>VLOOKUP(B580,'Player Data'!$A1:$AE734,10,FALSE)*$Q580*IFERROR(((VLOOKUP(P580,Settings!$E$28:$F$33,2,FALSE)/2)+1),1)</f>
        <v>88.994565023473797</v>
      </c>
      <c r="W580" s="41">
        <f>VLOOKUP(B580,'Player Data'!$A1:$AE734,11,FALSE)*$Q580*IFERROR((VLOOKUP(P580,Settings!$E$28:$F$33,2,FALSE)+1),1)</f>
        <v>1.1331382982569136</v>
      </c>
      <c r="X580" s="41">
        <f>VLOOKUP(B580,'Player Data'!$A1:$AE734,12,FALSE)*$Q580*IFERROR((VLOOKUP(P580,Settings!$E$28:$F$33,2,FALSE)+1),1)</f>
        <v>2.6013723302492417</v>
      </c>
      <c r="Y580" s="41">
        <f>VLOOKUP(B580,'Player Data'!$A1:$AE734,13,FALSE)*$Q580</f>
        <v>6.1607255412308388E-2</v>
      </c>
      <c r="Z580" s="41">
        <f>VLOOKUP(B580,'Player Data'!$A1:$AE734,14,FALSE)*$Q580</f>
        <v>0.1139725021747814</v>
      </c>
      <c r="AA580" s="41">
        <f>VLOOKUP(B580,'Player Data'!$A1:$AE734,15,FALSE)*$Q580</f>
        <v>32.137507894317537</v>
      </c>
      <c r="AB580" s="41">
        <f>VLOOKUP(B580,'Player Data'!$A1:$AE734,16,FALSE)*$Q580</f>
        <v>99.923651134385878</v>
      </c>
      <c r="AC580" s="41">
        <f>VLOOKUP(B580,'Player Data'!$A1:$AE734,17,FALSE)*$Q580*IFERROR((VLOOKUP(P580,Settings!$E$28:$F$33,2,FALSE)+1),1)</f>
        <v>-5.418130703293965</v>
      </c>
      <c r="AD580" s="41">
        <f>VLOOKUP(B580,'Player Data'!$A1:$AE734,18,FALSE)*$Q580</f>
        <v>29.576764239926536</v>
      </c>
      <c r="AE580" s="41">
        <f>VLOOKUP(B580,'Player Data'!$A1:$AE734,19,FALSE)*$Q580*IFERROR((VLOOKUP(P580,Settings!$E$28:$F$33,2,FALSE)+1),1)</f>
        <v>1.228787562538612</v>
      </c>
      <c r="AF580" s="41">
        <f>VLOOKUP(B580,'Player Data'!$A1:$AE734,20,FALSE)*$Q580</f>
        <v>11.174044869628116</v>
      </c>
      <c r="AG580" s="41">
        <f>VLOOKUP(B580,'Player Data'!$A1:$AE734,21,FALSE)*$Q580</f>
        <v>19.491909622131601</v>
      </c>
      <c r="AH580" s="42">
        <f>VLOOKUP(B580,'Player Data'!$A1:$AE734,22,FALSE)</f>
        <v>0.364379490376883</v>
      </c>
      <c r="AI580" s="39"/>
      <c r="AJ580" s="43"/>
      <c r="AK580" s="41"/>
      <c r="AL580" s="41"/>
      <c r="AM580" s="41"/>
      <c r="AN580" s="41"/>
      <c r="AO580" s="41"/>
      <c r="AP580" s="41"/>
      <c r="AQ580" s="44"/>
      <c r="AR580" s="45"/>
      <c r="AS580" s="39"/>
    </row>
    <row r="581" spans="1:45" ht="21.25" customHeight="1" x14ac:dyDescent="0.15">
      <c r="A581" s="31">
        <f>RANK(K581,K$2:K$727)</f>
        <v>580</v>
      </c>
      <c r="B581" s="8" t="s">
        <v>685</v>
      </c>
      <c r="C581" s="32" t="s">
        <v>106</v>
      </c>
      <c r="D581" s="33" t="str">
        <f>VLOOKUP(B581,'Player Data'!A1:D734,4,FALSE)</f>
        <v>LW</v>
      </c>
      <c r="E581" s="47">
        <f>VLOOKUP(B581,LW!A1:C130,3,FALSE)</f>
        <v>99</v>
      </c>
      <c r="F581" s="35" t="str">
        <f>VLOOKUP(B581,'Player Data'!A1:B734,2,FALSE)</f>
        <v>UFA</v>
      </c>
      <c r="G581" s="9">
        <f>VLOOKUP(B581,'Player Data'!A1:D734,3,FALSE)</f>
        <v>28</v>
      </c>
      <c r="H581" s="36">
        <f>IFERROR(VLOOKUP(B581,ADP!A1:G728,7,FALSE)/1000000,VLOOKUP(B581,ADP!A1:G728,7,FALSE))</f>
        <v>1.7010000000000001</v>
      </c>
      <c r="I581" s="37">
        <f>IF(Settings!$E$15="POINTS",((R581*Q581)*Settings!$B$12)+(S581*Settings!$B$2)+(T581*Settings!$B$3)+(U581*Settings!$B$4)+(V581*Settings!$B$5)+(X581*Settings!$B$9)+(AA581*Settings!$B$6)+(W581*Settings!$B$8)+(AB581*Settings!$B$7)+(AC581*Settings!$B$14)+(AD581*Settings!$B$15)+(AE581*Settings!$B$16)+(AF581*Settings!$B$17)+(AG581*Settings!$B$18)+(Y581*Settings!$B$10)+(Z581*Settings!$B$11),VLOOKUP(B581,'Standard Deviations'!A1:C728,3,FALSE))</f>
        <v>120.0268379715418</v>
      </c>
      <c r="J581" s="38">
        <f>IF(D581="G",I581/AJ581,I581/Q581)</f>
        <v>1.7026463458047112</v>
      </c>
      <c r="K581" s="37">
        <f>IF(Settings!$E$18="C/LW/RW",VLOOKUP(B581,LW!A1:F130,6,FALSE),VLOOKUP(B581,F!A1:F430,6,FALSE))</f>
        <v>-244.01376688610867</v>
      </c>
      <c r="L581" s="37">
        <f>IFERROR(K581/H581,"N/A")</f>
        <v>-143.45312574139251</v>
      </c>
      <c r="M581" s="53" t="str">
        <f>IF(Settings!$E$9="YAHOO",VLOOKUP(B581,ADP!A1:E728,2,FALSE),IF(Settings!$E$9="ESPN",VLOOKUP(B581,ADP!A1:E728,3,FALSE),IF(Settings!$E$9="FANTRAX",VLOOKUP(B581,ADP!A1:E728,4,FALSE),VLOOKUP(B581,ADP!A1:E728,5,FALSE))))</f>
        <v>-</v>
      </c>
      <c r="N581" s="53" t="str">
        <f>IFERROR(M581-A581,"N/A")</f>
        <v>N/A</v>
      </c>
      <c r="O581" s="39"/>
      <c r="P581" s="40" t="str">
        <f>IF(Settings!$E$27="ON",VLOOKUP(B581,ADP!A1:H728,8,FALSE)," ")</f>
        <v xml:space="preserve"> </v>
      </c>
      <c r="Q581" s="41">
        <f>IF(Settings!$E$12="YES",VLOOKUP(B581,'Player Data'!A1:E734,5,FALSE),82)</f>
        <v>70.494285714285695</v>
      </c>
      <c r="R581" s="39">
        <f>VLOOKUP(B581,'Player Data'!$A1:$AE734,6,FALSE)</f>
        <v>10.853233615277</v>
      </c>
      <c r="S581" s="41">
        <f>VLOOKUP(B581,'Player Data'!$A1:$AE734,7,FALSE)*$Q581*IFERROR((VLOOKUP(P581,Settings!$E$28:$F$33,2,FALSE)+1),1)</f>
        <v>7.8359131178132184</v>
      </c>
      <c r="T581" s="41">
        <f>VLOOKUP(B581,'Player Data'!$A1:$AE734,8,FALSE)*$Q581*IFERROR((VLOOKUP(P581,Settings!$E$28:$F$33,2,FALSE)+1),1)</f>
        <v>10.543661127865423</v>
      </c>
      <c r="U581" s="41">
        <f>SUM(S581:T581)</f>
        <v>18.37957424567864</v>
      </c>
      <c r="V581" s="41">
        <f>VLOOKUP(B581,'Player Data'!$A1:$AE734,10,FALSE)*$Q581*IFERROR(((VLOOKUP(P581,Settings!$E$28:$F$33,2,FALSE)/2)+1),1)</f>
        <v>108.53742577678533</v>
      </c>
      <c r="W581" s="41">
        <f>VLOOKUP(B581,'Player Data'!$A1:$AE734,11,FALSE)*$Q581*IFERROR((VLOOKUP(P581,Settings!$E$28:$F$33,2,FALSE)+1),1)</f>
        <v>4.3060827121465896E-2</v>
      </c>
      <c r="X581" s="41">
        <f>VLOOKUP(B581,'Player Data'!$A1:$AE734,12,FALSE)*$Q581*IFERROR((VLOOKUP(P581,Settings!$E$28:$F$33,2,FALSE)+1),1)</f>
        <v>0.11003280916208995</v>
      </c>
      <c r="Y581" s="41">
        <f>VLOOKUP(B581,'Player Data'!$A1:$AE734,13,FALSE)*$Q581</f>
        <v>0</v>
      </c>
      <c r="Z581" s="41">
        <f>VLOOKUP(B581,'Player Data'!$A1:$AE734,14,FALSE)*$Q581</f>
        <v>0</v>
      </c>
      <c r="AA581" s="41">
        <f>VLOOKUP(B581,'Player Data'!$A1:$AE734,15,FALSE)*$Q581</f>
        <v>51.996683638945193</v>
      </c>
      <c r="AB581" s="41">
        <f>VLOOKUP(B581,'Player Data'!$A1:$AE734,16,FALSE)*$Q581</f>
        <v>133.37625128508623</v>
      </c>
      <c r="AC581" s="41">
        <f>VLOOKUP(B581,'Player Data'!$A1:$AE734,17,FALSE)*$Q581*IFERROR((VLOOKUP(P581,Settings!$E$28:$F$33,2,FALSE)+1),1)</f>
        <v>-8.2534618795386053E-2</v>
      </c>
      <c r="AD581" s="41">
        <f>VLOOKUP(B581,'Player Data'!$A1:$AE734,18,FALSE)*$Q581</f>
        <v>15.718447477158689</v>
      </c>
      <c r="AE581" s="41">
        <f>VLOOKUP(B581,'Player Data'!$A1:$AE734,19,FALSE)*$Q581*IFERROR((VLOOKUP(P581,Settings!$E$28:$F$33,2,FALSE)+1),1)</f>
        <v>0</v>
      </c>
      <c r="AF581" s="41">
        <f>VLOOKUP(B581,'Player Data'!$A1:$AE734,20,FALSE)*$Q581</f>
        <v>21.739199839366627</v>
      </c>
      <c r="AG581" s="41">
        <f>VLOOKUP(B581,'Player Data'!$A1:$AE734,21,FALSE)*$Q581</f>
        <v>24.280206623648311</v>
      </c>
      <c r="AH581" s="42">
        <f>VLOOKUP(B581,'Player Data'!$A1:$AE734,22,FALSE)</f>
        <v>0.47239200828976502</v>
      </c>
      <c r="AI581" s="39"/>
      <c r="AJ581" s="43"/>
      <c r="AK581" s="41"/>
      <c r="AL581" s="41"/>
      <c r="AM581" s="41"/>
      <c r="AN581" s="41"/>
      <c r="AO581" s="41"/>
      <c r="AP581" s="41"/>
      <c r="AQ581" s="44"/>
      <c r="AR581" s="45"/>
      <c r="AS581" s="39"/>
    </row>
    <row r="582" spans="1:45" ht="21.25" customHeight="1" x14ac:dyDescent="0.15">
      <c r="A582" s="31">
        <f>RANK(K582,K$2:K$727)</f>
        <v>581</v>
      </c>
      <c r="B582" s="8" t="s">
        <v>686</v>
      </c>
      <c r="C582" s="32" t="s">
        <v>106</v>
      </c>
      <c r="D582" s="33" t="str">
        <f>VLOOKUP(B582,'Player Data'!A1:D734,4,FALSE)</f>
        <v>LW</v>
      </c>
      <c r="E582" s="47">
        <f>VLOOKUP(B582,LW!A1:C130,3,FALSE)</f>
        <v>100</v>
      </c>
      <c r="F582" s="35" t="str">
        <f>VLOOKUP(B582,'Player Data'!A1:B734,2,FALSE)</f>
        <v>ANA</v>
      </c>
      <c r="G582" s="9">
        <f>VLOOKUP(B582,'Player Data'!A1:D734,3,FALSE)</f>
        <v>29</v>
      </c>
      <c r="H582" s="36">
        <f>IFERROR(VLOOKUP(B582,ADP!A1:G728,7,FALSE)/1000000,VLOOKUP(B582,ADP!A1:G728,7,FALSE))</f>
        <v>2.75</v>
      </c>
      <c r="I582" s="37">
        <f>IF(Settings!$E$15="POINTS",((R582*Q582)*Settings!$B$12)+(S582*Settings!$B$2)+(T582*Settings!$B$3)+(U582*Settings!$B$4)+(V582*Settings!$B$5)+(X582*Settings!$B$9)+(AA582*Settings!$B$6)+(W582*Settings!$B$8)+(AB582*Settings!$B$7)+(AC582*Settings!$B$14)+(AD582*Settings!$B$15)+(AE582*Settings!$B$16)+(AF582*Settings!$B$17)+(AG582*Settings!$B$18)+(Y582*Settings!$B$10)+(Z582*Settings!$B$11),VLOOKUP(B582,'Standard Deviations'!A1:C728,3,FALSE))</f>
        <v>119.49733274317362</v>
      </c>
      <c r="J582" s="38">
        <f>IF(D582="G",I582/AJ582,I582/Q582)</f>
        <v>1.5821099921076498</v>
      </c>
      <c r="K582" s="37">
        <f>IF(Settings!$E$18="C/LW/RW",VLOOKUP(B582,LW!A1:F130,6,FALSE),VLOOKUP(B582,F!A1:F430,6,FALSE))</f>
        <v>-244.54327211447685</v>
      </c>
      <c r="L582" s="37">
        <f>IFERROR(K582/H582,"N/A")</f>
        <v>-88.924826223446132</v>
      </c>
      <c r="M582" s="53" t="str">
        <f>IF(Settings!$E$9="YAHOO",VLOOKUP(B582,ADP!A1:E728,2,FALSE),IF(Settings!$E$9="ESPN",VLOOKUP(B582,ADP!A1:E728,3,FALSE),IF(Settings!$E$9="FANTRAX",VLOOKUP(B582,ADP!A1:E728,4,FALSE),VLOOKUP(B582,ADP!A1:E728,5,FALSE))))</f>
        <v>-</v>
      </c>
      <c r="N582" s="53" t="str">
        <f>IFERROR(M582-A582,"N/A")</f>
        <v>N/A</v>
      </c>
      <c r="O582" s="39"/>
      <c r="P582" s="40" t="str">
        <f>IF(Settings!$E$27="ON",VLOOKUP(B582,ADP!A1:H728,8,FALSE)," ")</f>
        <v xml:space="preserve"> </v>
      </c>
      <c r="Q582" s="41">
        <f>IF(Settings!$E$12="YES",VLOOKUP(B582,'Player Data'!A1:E734,5,FALSE),82)</f>
        <v>75.530357142857099</v>
      </c>
      <c r="R582" s="39">
        <f>VLOOKUP(B582,'Player Data'!$A1:$AE734,6,FALSE)</f>
        <v>13.2202528699822</v>
      </c>
      <c r="S582" s="41">
        <f>VLOOKUP(B582,'Player Data'!$A1:$AE734,7,FALSE)*$Q582*IFERROR((VLOOKUP(P582,Settings!$E$28:$F$33,2,FALSE)+1),1)</f>
        <v>11.266877547849901</v>
      </c>
      <c r="T582" s="41">
        <f>VLOOKUP(B582,'Player Data'!$A1:$AE734,8,FALSE)*$Q582*IFERROR((VLOOKUP(P582,Settings!$E$28:$F$33,2,FALSE)+1),1)</f>
        <v>8.3030337490238413</v>
      </c>
      <c r="U582" s="41">
        <f>SUM(S582:T582)</f>
        <v>19.569911296873741</v>
      </c>
      <c r="V582" s="41">
        <f>VLOOKUP(B582,'Player Data'!$A1:$AE734,10,FALSE)*$Q582*IFERROR(((VLOOKUP(P582,Settings!$E$28:$F$33,2,FALSE)/2)+1),1)</f>
        <v>96.602938372874576</v>
      </c>
      <c r="W582" s="41">
        <f>VLOOKUP(B582,'Player Data'!$A1:$AE734,11,FALSE)*$Q582*IFERROR((VLOOKUP(P582,Settings!$E$28:$F$33,2,FALSE)+1),1)</f>
        <v>1.6699793111651186E-2</v>
      </c>
      <c r="X582" s="41">
        <f>VLOOKUP(B582,'Player Data'!$A1:$AE734,12,FALSE)*$Q582*IFERROR((VLOOKUP(P582,Settings!$E$28:$F$33,2,FALSE)+1),1)</f>
        <v>4.2238197442791739E-2</v>
      </c>
      <c r="Y582" s="41">
        <f>VLOOKUP(B582,'Player Data'!$A1:$AE734,13,FALSE)*$Q582</f>
        <v>1.4775449442125619</v>
      </c>
      <c r="Z582" s="41">
        <f>VLOOKUP(B582,'Player Data'!$A1:$AE734,14,FALSE)*$Q582</f>
        <v>1.5819039272809463</v>
      </c>
      <c r="AA582" s="41">
        <f>VLOOKUP(B582,'Player Data'!$A1:$AE734,15,FALSE)*$Q582</f>
        <v>46.189227083338061</v>
      </c>
      <c r="AB582" s="41">
        <f>VLOOKUP(B582,'Player Data'!$A1:$AE734,16,FALSE)*$Q582</f>
        <v>91.988543172792475</v>
      </c>
      <c r="AC582" s="41">
        <f>VLOOKUP(B582,'Player Data'!$A1:$AE734,17,FALSE)*$Q582*IFERROR((VLOOKUP(P582,Settings!$E$28:$F$33,2,FALSE)+1),1)</f>
        <v>-7.8475135079521827</v>
      </c>
      <c r="AD582" s="41">
        <f>VLOOKUP(B582,'Player Data'!$A1:$AE734,18,FALSE)*$Q582</f>
        <v>19.050985829344647</v>
      </c>
      <c r="AE582" s="41">
        <f>VLOOKUP(B582,'Player Data'!$A1:$AE734,19,FALSE)*$Q582*IFERROR((VLOOKUP(P582,Settings!$E$28:$F$33,2,FALSE)+1),1)</f>
        <v>1.2214358204188529</v>
      </c>
      <c r="AF582" s="41">
        <f>VLOOKUP(B582,'Player Data'!$A1:$AE734,20,FALSE)*$Q582</f>
        <v>6.1111154754451249</v>
      </c>
      <c r="AG582" s="41">
        <f>VLOOKUP(B582,'Player Data'!$A1:$AE734,21,FALSE)*$Q582</f>
        <v>13.980723070488851</v>
      </c>
      <c r="AH582" s="42">
        <f>VLOOKUP(B582,'Player Data'!$A1:$AE734,22,FALSE)</f>
        <v>0.30415909731077501</v>
      </c>
      <c r="AI582" s="39"/>
      <c r="AJ582" s="43"/>
      <c r="AK582" s="41"/>
      <c r="AL582" s="41"/>
      <c r="AM582" s="41"/>
      <c r="AN582" s="41"/>
      <c r="AO582" s="41"/>
      <c r="AP582" s="41"/>
      <c r="AQ582" s="44"/>
      <c r="AR582" s="45"/>
      <c r="AS582" s="39"/>
    </row>
    <row r="583" spans="1:45" ht="21.25" customHeight="1" x14ac:dyDescent="0.15">
      <c r="A583" s="31">
        <f>RANK(K583,K$2:K$727)</f>
        <v>582</v>
      </c>
      <c r="B583" s="8" t="s">
        <v>687</v>
      </c>
      <c r="C583" s="32" t="s">
        <v>106</v>
      </c>
      <c r="D583" s="33" t="str">
        <f>VLOOKUP(B583,'Player Data'!A1:D734,4,FALSE)</f>
        <v>C</v>
      </c>
      <c r="E583" s="34">
        <f>VLOOKUP(B583,'C'!A1:C211,3,FALSE)</f>
        <v>135</v>
      </c>
      <c r="F583" s="35" t="str">
        <f>VLOOKUP(B583,'Player Data'!A1:B734,2,FALSE)</f>
        <v>SJS</v>
      </c>
      <c r="G583" s="9">
        <f>VLOOKUP(B583,'Player Data'!A1:D734,3,FALSE)</f>
        <v>28</v>
      </c>
      <c r="H583" s="36">
        <f>IFERROR(VLOOKUP(B583,ADP!A1:G728,7,FALSE)/1000000,VLOOKUP(B583,ADP!A1:G728,7,FALSE))</f>
        <v>2</v>
      </c>
      <c r="I583" s="37">
        <f>IF(Settings!$E$15="POINTS",((R583*Q583)*Settings!$B$12)+(S583*Settings!$B$2)+(T583*Settings!$B$3)+(U583*Settings!$B$4)+(V583*Settings!$B$5)+(X583*Settings!$B$9)+(AA583*Settings!$B$6)+(W583*Settings!$B$8)+(AB583*Settings!$B$7)+(AC583*Settings!$B$14)+(AD583*Settings!$B$15)+(AE583*Settings!$B$16)+(AF583*Settings!$B$17)+(AG583*Settings!$B$18)+(Y583*Settings!$B$10)+(Z583*Settings!$B$11),VLOOKUP(B583,'Standard Deviations'!A1:C728,3,FALSE))</f>
        <v>148.50606152045623</v>
      </c>
      <c r="J583" s="38">
        <f>IF(D583="G",I583/AJ583,I583/Q583)</f>
        <v>1.8886349163242491</v>
      </c>
      <c r="K583" s="37">
        <f>IF(Settings!$E$18="C/LW/RW",VLOOKUP(B583,'C'!A1:F211,6,FALSE),VLOOKUP(B583,F!A1:F430,6,FALSE))</f>
        <v>-244.82274424575343</v>
      </c>
      <c r="L583" s="37">
        <f>IFERROR(K583/H583,"N/A")</f>
        <v>-122.41137212287671</v>
      </c>
      <c r="M583" s="53" t="str">
        <f>IF(Settings!$E$9="YAHOO",VLOOKUP(B583,ADP!A1:E728,2,FALSE),IF(Settings!$E$9="ESPN",VLOOKUP(B583,ADP!A1:E728,3,FALSE),IF(Settings!$E$9="FANTRAX",VLOOKUP(B583,ADP!A1:E728,4,FALSE),VLOOKUP(B583,ADP!A1:E728,5,FALSE))))</f>
        <v>-</v>
      </c>
      <c r="N583" s="53" t="str">
        <f>IFERROR(M583-A583,"N/A")</f>
        <v>N/A</v>
      </c>
      <c r="O583" s="39"/>
      <c r="P583" s="40" t="str">
        <f>IF(Settings!$E$27="ON",VLOOKUP(B583,ADP!A1:H728,8,FALSE)," ")</f>
        <v xml:space="preserve"> </v>
      </c>
      <c r="Q583" s="41">
        <f>IF(Settings!$E$12="YES",VLOOKUP(B583,'Player Data'!A1:E734,5,FALSE),82)</f>
        <v>78.6314285714286</v>
      </c>
      <c r="R583" s="39">
        <f>VLOOKUP(B583,'Player Data'!$A1:$AE734,6,FALSE)</f>
        <v>13.615360583741699</v>
      </c>
      <c r="S583" s="41">
        <f>VLOOKUP(B583,'Player Data'!$A1:$AE734,7,FALSE)*$Q583*IFERROR((VLOOKUP(P583,Settings!$E$28:$F$33,2,FALSE)+1),1)</f>
        <v>13.068121416167562</v>
      </c>
      <c r="T583" s="41">
        <f>VLOOKUP(B583,'Player Data'!$A1:$AE734,8,FALSE)*$Q583*IFERROR((VLOOKUP(P583,Settings!$E$28:$F$33,2,FALSE)+1),1)</f>
        <v>12.669622537456261</v>
      </c>
      <c r="U583" s="41">
        <f>SUM(S583:T583)</f>
        <v>25.737743953623824</v>
      </c>
      <c r="V583" s="41">
        <f>VLOOKUP(B583,'Player Data'!$A1:$AE734,10,FALSE)*$Q583*IFERROR(((VLOOKUP(P583,Settings!$E$28:$F$33,2,FALSE)/2)+1),1)</f>
        <v>118.57184592864866</v>
      </c>
      <c r="W583" s="41">
        <f>VLOOKUP(B583,'Player Data'!$A1:$AE734,11,FALSE)*$Q583*IFERROR((VLOOKUP(P583,Settings!$E$28:$F$33,2,FALSE)+1),1)</f>
        <v>0.25546677764072967</v>
      </c>
      <c r="X583" s="41">
        <f>VLOOKUP(B583,'Player Data'!$A1:$AE734,12,FALSE)*$Q583*IFERROR((VLOOKUP(P583,Settings!$E$28:$F$33,2,FALSE)+1),1)</f>
        <v>0.60036179310671522</v>
      </c>
      <c r="Y583" s="41">
        <f>VLOOKUP(B583,'Player Data'!$A1:$AE734,13,FALSE)*$Q583</f>
        <v>0.9932364249261566</v>
      </c>
      <c r="Z583" s="41">
        <f>VLOOKUP(B583,'Player Data'!$A1:$AE734,14,FALSE)*$Q583</f>
        <v>1.1010821607757086</v>
      </c>
      <c r="AA583" s="41">
        <f>VLOOKUP(B583,'Player Data'!$A1:$AE734,15,FALSE)*$Q583</f>
        <v>43.020093937477981</v>
      </c>
      <c r="AB583" s="41">
        <f>VLOOKUP(B583,'Player Data'!$A1:$AE734,16,FALSE)*$Q583</f>
        <v>105.11509152277272</v>
      </c>
      <c r="AC583" s="41">
        <f>VLOOKUP(B583,'Player Data'!$A1:$AE734,17,FALSE)*$Q583*IFERROR((VLOOKUP(P583,Settings!$E$28:$F$33,2,FALSE)+1),1)</f>
        <v>-0.31103767118453413</v>
      </c>
      <c r="AD583" s="41">
        <f>VLOOKUP(B583,'Player Data'!$A1:$AE734,18,FALSE)*$Q583</f>
        <v>23.521692412554675</v>
      </c>
      <c r="AE583" s="41">
        <f>VLOOKUP(B583,'Player Data'!$A1:$AE734,19,FALSE)*$Q583*IFERROR((VLOOKUP(P583,Settings!$E$28:$F$33,2,FALSE)+1),1)</f>
        <v>1.5867540879335349</v>
      </c>
      <c r="AF583" s="41">
        <f>VLOOKUP(B583,'Player Data'!$A1:$AE734,20,FALSE)*$Q583</f>
        <v>431.35293841711012</v>
      </c>
      <c r="AG583" s="41">
        <f>VLOOKUP(B583,'Player Data'!$A1:$AE734,21,FALSE)*$Q583</f>
        <v>365.50430014040086</v>
      </c>
      <c r="AH583" s="42">
        <f>VLOOKUP(B583,'Player Data'!$A1:$AE734,22,FALSE)</f>
        <v>0.54131771356931502</v>
      </c>
      <c r="AI583" s="39"/>
      <c r="AJ583" s="43"/>
      <c r="AK583" s="41"/>
      <c r="AL583" s="41"/>
      <c r="AM583" s="41"/>
      <c r="AN583" s="41"/>
      <c r="AO583" s="41"/>
      <c r="AP583" s="41"/>
      <c r="AQ583" s="44"/>
      <c r="AR583" s="45"/>
      <c r="AS583" s="39"/>
    </row>
    <row r="584" spans="1:45" ht="21.25" customHeight="1" x14ac:dyDescent="0.15">
      <c r="A584" s="31">
        <f>RANK(K584,K$2:K$727)</f>
        <v>583</v>
      </c>
      <c r="B584" s="8" t="s">
        <v>688</v>
      </c>
      <c r="C584" s="32" t="s">
        <v>106</v>
      </c>
      <c r="D584" s="33" t="str">
        <f>VLOOKUP(B584,'Player Data'!A1:D734,4,FALSE)</f>
        <v>C</v>
      </c>
      <c r="E584" s="34">
        <f>VLOOKUP(B584,'C'!A1:C211,3,FALSE)</f>
        <v>136</v>
      </c>
      <c r="F584" s="35" t="str">
        <f>VLOOKUP(B584,'Player Data'!A1:B734,2,FALSE)</f>
        <v>DET</v>
      </c>
      <c r="G584" s="9">
        <f>VLOOKUP(B584,'Player Data'!A1:D734,3,FALSE)</f>
        <v>27</v>
      </c>
      <c r="H584" s="36">
        <f>IFERROR(VLOOKUP(B584,ADP!A1:G728,7,FALSE)/1000000,VLOOKUP(B584,ADP!A1:G728,7,FALSE))</f>
        <v>4</v>
      </c>
      <c r="I584" s="37">
        <f>IF(Settings!$E$15="POINTS",((R584*Q584)*Settings!$B$12)+(S584*Settings!$B$2)+(T584*Settings!$B$3)+(U584*Settings!$B$4)+(V584*Settings!$B$5)+(X584*Settings!$B$9)+(AA584*Settings!$B$6)+(W584*Settings!$B$8)+(AB584*Settings!$B$7)+(AC584*Settings!$B$14)+(AD584*Settings!$B$15)+(AE584*Settings!$B$16)+(AF584*Settings!$B$17)+(AG584*Settings!$B$18)+(Y584*Settings!$B$10)+(Z584*Settings!$B$11),VLOOKUP(B584,'Standard Deviations'!A1:C728,3,FALSE))</f>
        <v>148.0489390311198</v>
      </c>
      <c r="J584" s="38">
        <f>IF(D584="G",I584/AJ584,I584/Q584)</f>
        <v>2.2754755252455632</v>
      </c>
      <c r="K584" s="37">
        <f>IF(Settings!$E$18="C/LW/RW",VLOOKUP(B584,'C'!A1:F211,6,FALSE),VLOOKUP(B584,F!A1:F430,6,FALSE))</f>
        <v>-245.27986673508985</v>
      </c>
      <c r="L584" s="37">
        <f>IFERROR(K584/H584,"N/A")</f>
        <v>-61.319966683772464</v>
      </c>
      <c r="M584" s="53" t="str">
        <f>IF(Settings!$E$9="YAHOO",VLOOKUP(B584,ADP!A1:E728,2,FALSE),IF(Settings!$E$9="ESPN",VLOOKUP(B584,ADP!A1:E728,3,FALSE),IF(Settings!$E$9="FANTRAX",VLOOKUP(B584,ADP!A1:E728,4,FALSE),VLOOKUP(B584,ADP!A1:E728,5,FALSE))))</f>
        <v>-</v>
      </c>
      <c r="N584" s="53" t="str">
        <f>IFERROR(M584-A584,"N/A")</f>
        <v>N/A</v>
      </c>
      <c r="O584" s="39"/>
      <c r="P584" s="40" t="str">
        <f>IF(Settings!$E$27="ON",VLOOKUP(B584,ADP!A1:H728,8,FALSE)," ")</f>
        <v xml:space="preserve"> </v>
      </c>
      <c r="Q584" s="41">
        <f>IF(Settings!$E$12="YES",VLOOKUP(B584,'Player Data'!A1:E734,5,FALSE),82)</f>
        <v>65.062857142857098</v>
      </c>
      <c r="R584" s="39">
        <f>VLOOKUP(B584,'Player Data'!$A1:$AE734,6,FALSE)</f>
        <v>13.8175776355259</v>
      </c>
      <c r="S584" s="41">
        <f>VLOOKUP(B584,'Player Data'!$A1:$AE734,7,FALSE)*$Q584*IFERROR((VLOOKUP(P584,Settings!$E$28:$F$33,2,FALSE)+1),1)</f>
        <v>13.858050162738024</v>
      </c>
      <c r="T584" s="41">
        <f>VLOOKUP(B584,'Player Data'!$A1:$AE734,8,FALSE)*$Q584*IFERROR((VLOOKUP(P584,Settings!$E$28:$F$33,2,FALSE)+1),1)</f>
        <v>14.002348312172574</v>
      </c>
      <c r="U584" s="41">
        <f>SUM(S584:T584)</f>
        <v>27.860398474910596</v>
      </c>
      <c r="V584" s="41">
        <f>VLOOKUP(B584,'Player Data'!$A1:$AE734,10,FALSE)*$Q584*IFERROR(((VLOOKUP(P584,Settings!$E$28:$F$33,2,FALSE)/2)+1),1)</f>
        <v>92.23559828369207</v>
      </c>
      <c r="W584" s="41">
        <f>VLOOKUP(B584,'Player Data'!$A1:$AE734,11,FALSE)*$Q584*IFERROR((VLOOKUP(P584,Settings!$E$28:$F$33,2,FALSE)+1),1)</f>
        <v>3.0105454329643364</v>
      </c>
      <c r="X584" s="41">
        <f>VLOOKUP(B584,'Player Data'!$A1:$AE734,12,FALSE)*$Q584*IFERROR((VLOOKUP(P584,Settings!$E$28:$F$33,2,FALSE)+1),1)</f>
        <v>6.4975998579849454</v>
      </c>
      <c r="Y584" s="41">
        <f>VLOOKUP(B584,'Player Data'!$A1:$AE734,13,FALSE)*$Q584</f>
        <v>1.0691612195642136E-2</v>
      </c>
      <c r="Z584" s="41">
        <f>VLOOKUP(B584,'Player Data'!$A1:$AE734,14,FALSE)*$Q584</f>
        <v>1.9598375078040093E-2</v>
      </c>
      <c r="AA584" s="41">
        <f>VLOOKUP(B584,'Player Data'!$A1:$AE734,15,FALSE)*$Q584</f>
        <v>26.577739992079881</v>
      </c>
      <c r="AB584" s="41">
        <f>VLOOKUP(B584,'Player Data'!$A1:$AE734,16,FALSE)*$Q584</f>
        <v>86.614109467465624</v>
      </c>
      <c r="AC584" s="41">
        <f>VLOOKUP(B584,'Player Data'!$A1:$AE734,17,FALSE)*$Q584*IFERROR((VLOOKUP(P584,Settings!$E$28:$F$33,2,FALSE)+1),1)</f>
        <v>-1.9855928306002004</v>
      </c>
      <c r="AD584" s="41">
        <f>VLOOKUP(B584,'Player Data'!$A1:$AE734,18,FALSE)*$Q584</f>
        <v>27.168604184400643</v>
      </c>
      <c r="AE584" s="41">
        <f>VLOOKUP(B584,'Player Data'!$A1:$AE734,19,FALSE)*$Q584*IFERROR((VLOOKUP(P584,Settings!$E$28:$F$33,2,FALSE)+1),1)</f>
        <v>1.7892316507252166</v>
      </c>
      <c r="AF584" s="41">
        <f>VLOOKUP(B584,'Player Data'!$A1:$AE734,20,FALSE)*$Q584</f>
        <v>47.178702207069044</v>
      </c>
      <c r="AG584" s="41">
        <f>VLOOKUP(B584,'Player Data'!$A1:$AE734,21,FALSE)*$Q584</f>
        <v>57.177441837329781</v>
      </c>
      <c r="AH584" s="42">
        <f>VLOOKUP(B584,'Player Data'!$A1:$AE734,22,FALSE)</f>
        <v>0.452093191436784</v>
      </c>
      <c r="AI584" s="39"/>
      <c r="AJ584" s="43"/>
      <c r="AK584" s="41"/>
      <c r="AL584" s="41"/>
      <c r="AM584" s="41"/>
      <c r="AN584" s="41"/>
      <c r="AO584" s="41"/>
      <c r="AP584" s="41"/>
      <c r="AQ584" s="44"/>
      <c r="AR584" s="45"/>
      <c r="AS584" s="39"/>
    </row>
    <row r="585" spans="1:45" ht="21.25" customHeight="1" x14ac:dyDescent="0.15">
      <c r="A585" s="31">
        <f>RANK(K585,K$2:K$727)</f>
        <v>584</v>
      </c>
      <c r="B585" s="8" t="s">
        <v>689</v>
      </c>
      <c r="C585" s="32" t="s">
        <v>106</v>
      </c>
      <c r="D585" s="33" t="str">
        <f>VLOOKUP(B585,'Player Data'!A1:D734,4,FALSE)</f>
        <v>D</v>
      </c>
      <c r="E585" s="49">
        <f>VLOOKUP(B585,D!A1:C227,3,FALSE)</f>
        <v>218</v>
      </c>
      <c r="F585" s="35" t="str">
        <f>VLOOKUP(B585,'Player Data'!A1:B734,2,FALSE)</f>
        <v>EDM</v>
      </c>
      <c r="G585" s="9">
        <f>VLOOKUP(B585,'Player Data'!A1:D734,3,FALSE)</f>
        <v>22</v>
      </c>
      <c r="H585" s="36">
        <f>IFERROR(VLOOKUP(B585,ADP!A1:G728,7,FALSE)/1000000,VLOOKUP(B585,ADP!A1:G728,7,FALSE))</f>
        <v>0.86333300000000002</v>
      </c>
      <c r="I585" s="37">
        <f>IF(Settings!$E$15="POINTS",((R585*Q585)*Settings!$B$12)+(S585*Settings!$B$2)+(T585*Settings!$B$3)+(U585*Settings!$B$4)+(V585*Settings!$B$5)+(X585*Settings!$B$9)+(AA585*Settings!$B$6)+(W585*Settings!$B$8)+(AB585*Settings!$B$7)+(AC585*Settings!$B$14)+(AD585*Settings!$B$15)+(AE585*Settings!$B$16)+(AF585*Settings!$B$17)+(AG585*Settings!$B$18)+(U585*Settings!$B$13)+(Y585*Settings!$B$10)+(Z585*Settings!$B$11),VLOOKUP(B585,'Standard Deviations'!A1:C728,3,FALSE))</f>
        <v>66.201610436084977</v>
      </c>
      <c r="J585" s="38">
        <f>IF(D585="G",I585/AJ585,I585/Q585)</f>
        <v>1.0537043561511277</v>
      </c>
      <c r="K585" s="37">
        <f>VLOOKUP(B585,D!A1:F227,6,FALSE)</f>
        <v>-245.36387119184246</v>
      </c>
      <c r="L585" s="37">
        <f>IFERROR(K585/H585,"N/A")</f>
        <v>-284.20536593856883</v>
      </c>
      <c r="M585" s="53" t="str">
        <f>IF(Settings!$E$9="YAHOO",VLOOKUP(B585,ADP!A1:E728,2,FALSE),IF(Settings!$E$9="ESPN",VLOOKUP(B585,ADP!A1:E728,3,FALSE),IF(Settings!$E$9="FANTRAX",VLOOKUP(B585,ADP!A1:E728,4,FALSE),VLOOKUP(B585,ADP!A1:E728,5,FALSE))))</f>
        <v>-</v>
      </c>
      <c r="N585" s="53" t="str">
        <f>IFERROR(M585-A585,"N/A")</f>
        <v>N/A</v>
      </c>
      <c r="O585" s="39"/>
      <c r="P585" s="40" t="str">
        <f>IF(Settings!$E$27="ON",VLOOKUP(B585,ADP!A1:H728,8,FALSE)," ")</f>
        <v xml:space="preserve"> </v>
      </c>
      <c r="Q585" s="41">
        <f>IF(Settings!$E$12="YES",VLOOKUP(B585,'Player Data'!A1:E734,5,FALSE),82)</f>
        <v>62.827500000000001</v>
      </c>
      <c r="R585" s="39">
        <f>VLOOKUP(B585,'Player Data'!$A1:$AE734,6,FALSE)</f>
        <v>12.1194539803154</v>
      </c>
      <c r="S585" s="41">
        <f>VLOOKUP(B585,'Player Data'!$A1:$AE734,7,FALSE)*$Q585*IFERROR((VLOOKUP(P585,Settings!$E$28:$F$33,2,FALSE)+1),1)</f>
        <v>1.9539911985963634</v>
      </c>
      <c r="T585" s="41">
        <f>VLOOKUP(B585,'Player Data'!$A1:$AE734,8,FALSE)*$Q585*IFERROR((VLOOKUP(P585,Settings!$E$28:$F$33,2,FALSE)+1),1)</f>
        <v>8.4033076423747826</v>
      </c>
      <c r="U585" s="41">
        <f>SUM(S585:T585)</f>
        <v>10.357298840971145</v>
      </c>
      <c r="V585" s="41">
        <f>VLOOKUP(B585,'Player Data'!$A1:$AE734,10,FALSE)*$Q585*IFERROR(((VLOOKUP(P585,Settings!$E$28:$F$33,2,FALSE)/2)+1),1)</f>
        <v>49.493571681456125</v>
      </c>
      <c r="W585" s="41">
        <f>VLOOKUP(B585,'Player Data'!$A1:$AE734,11,FALSE)*$Q585*IFERROR((VLOOKUP(P585,Settings!$E$28:$F$33,2,FALSE)+1),1)</f>
        <v>3.7727210441004314E-2</v>
      </c>
      <c r="X585" s="41">
        <f>VLOOKUP(B585,'Player Data'!$A1:$AE734,12,FALSE)*$Q585*IFERROR((VLOOKUP(P585,Settings!$E$28:$F$33,2,FALSE)+1),1)</f>
        <v>0.2525616954513577</v>
      </c>
      <c r="Y585" s="41">
        <f>VLOOKUP(B585,'Player Data'!$A1:$AE734,13,FALSE)*$Q585</f>
        <v>1.9726291345098058E-2</v>
      </c>
      <c r="Z585" s="41">
        <f>VLOOKUP(B585,'Player Data'!$A1:$AE734,14,FALSE)*$Q585</f>
        <v>7.2341231625411354E-2</v>
      </c>
      <c r="AA585" s="41">
        <f>VLOOKUP(B585,'Player Data'!$A1:$AE734,15,FALSE)*$Q585</f>
        <v>48.665611091449669</v>
      </c>
      <c r="AB585" s="41">
        <f>VLOOKUP(B585,'Player Data'!$A1:$AE734,16,FALSE)*$Q585</f>
        <v>52.62099063117423</v>
      </c>
      <c r="AC585" s="41">
        <f>VLOOKUP(B585,'Player Data'!$A1:$AE734,17,FALSE)*$Q585*IFERROR((VLOOKUP(P585,Settings!$E$28:$F$33,2,FALSE)+1),1)</f>
        <v>4.2428753000817849</v>
      </c>
      <c r="AD585" s="41">
        <f>VLOOKUP(B585,'Player Data'!$A1:$AE734,18,FALSE)*$Q585</f>
        <v>12.222033013871242</v>
      </c>
      <c r="AE585" s="41">
        <f>VLOOKUP(B585,'Player Data'!$A1:$AE734,19,FALSE)*$Q585*IFERROR((VLOOKUP(P585,Settings!$E$28:$F$33,2,FALSE)+1),1)</f>
        <v>0.30929582942506723</v>
      </c>
      <c r="AF585" s="41">
        <f>VLOOKUP(B585,'Player Data'!$A1:$AE734,20,FALSE)*$Q585</f>
        <v>0</v>
      </c>
      <c r="AG585" s="41">
        <f>VLOOKUP(B585,'Player Data'!$A1:$AE734,21,FALSE)*$Q585</f>
        <v>0</v>
      </c>
      <c r="AH585" s="42">
        <f>VLOOKUP(B585,'Player Data'!$A1:$AE734,22,FALSE)</f>
        <v>0</v>
      </c>
      <c r="AI585" s="39"/>
      <c r="AJ585" s="43"/>
      <c r="AK585" s="41"/>
      <c r="AL585" s="41"/>
      <c r="AM585" s="41"/>
      <c r="AN585" s="41"/>
      <c r="AO585" s="41"/>
      <c r="AP585" s="41"/>
      <c r="AQ585" s="44"/>
      <c r="AR585" s="45"/>
      <c r="AS585" s="39"/>
    </row>
    <row r="586" spans="1:45" ht="21.25" customHeight="1" x14ac:dyDescent="0.15">
      <c r="A586" s="31">
        <f>RANK(K586,K$2:K$727)</f>
        <v>585</v>
      </c>
      <c r="B586" s="8" t="s">
        <v>690</v>
      </c>
      <c r="C586" s="32" t="s">
        <v>106</v>
      </c>
      <c r="D586" s="33" t="str">
        <f>VLOOKUP(B586,'Player Data'!A1:D734,4,FALSE)</f>
        <v>D</v>
      </c>
      <c r="E586" s="49">
        <f>VLOOKUP(B586,D!A1:C227,3,FALSE)</f>
        <v>219</v>
      </c>
      <c r="F586" s="35" t="str">
        <f>VLOOKUP(B586,'Player Data'!A1:B734,2,FALSE)</f>
        <v>EDM</v>
      </c>
      <c r="G586" s="9">
        <f>VLOOKUP(B586,'Player Data'!A1:D734,3,FALSE)</f>
        <v>27</v>
      </c>
      <c r="H586" s="36">
        <f>IFERROR(VLOOKUP(B586,ADP!A1:G728,7,FALSE)/1000000,VLOOKUP(B586,ADP!A1:G728,7,FALSE))</f>
        <v>0.76249999999999996</v>
      </c>
      <c r="I586" s="37">
        <f>IF(Settings!$E$15="POINTS",((R586*Q586)*Settings!$B$12)+(S586*Settings!$B$2)+(T586*Settings!$B$3)+(U586*Settings!$B$4)+(V586*Settings!$B$5)+(X586*Settings!$B$9)+(AA586*Settings!$B$6)+(W586*Settings!$B$8)+(AB586*Settings!$B$7)+(AC586*Settings!$B$14)+(AD586*Settings!$B$15)+(AE586*Settings!$B$16)+(AF586*Settings!$B$17)+(AG586*Settings!$B$18)+(U586*Settings!$B$13)+(Y586*Settings!$B$10)+(Z586*Settings!$B$11),VLOOKUP(B586,'Standard Deviations'!A1:C728,3,FALSE))</f>
        <v>64.808898993324817</v>
      </c>
      <c r="J586" s="38">
        <f>IF(D586="G",I586/AJ586,I586/Q586)</f>
        <v>1.0296933427601656</v>
      </c>
      <c r="K586" s="37">
        <f>VLOOKUP(B586,D!A1:F227,6,FALSE)</f>
        <v>-246.75658263460264</v>
      </c>
      <c r="L586" s="37">
        <f>IFERROR(K586/H586,"N/A")</f>
        <v>-323.6151903404625</v>
      </c>
      <c r="M586" s="53" t="str">
        <f>IF(Settings!$E$9="YAHOO",VLOOKUP(B586,ADP!A1:E728,2,FALSE),IF(Settings!$E$9="ESPN",VLOOKUP(B586,ADP!A1:E728,3,FALSE),IF(Settings!$E$9="FANTRAX",VLOOKUP(B586,ADP!A1:E728,4,FALSE),VLOOKUP(B586,ADP!A1:E728,5,FALSE))))</f>
        <v>-</v>
      </c>
      <c r="N586" s="53" t="str">
        <f>IFERROR(M586-A586,"N/A")</f>
        <v>N/A</v>
      </c>
      <c r="O586" s="39"/>
      <c r="P586" s="40" t="str">
        <f>IF(Settings!$E$27="ON",VLOOKUP(B586,ADP!A1:H728,8,FALSE)," ")</f>
        <v xml:space="preserve"> </v>
      </c>
      <c r="Q586" s="41">
        <f>IF(Settings!$E$12="YES",VLOOKUP(B586,'Player Data'!A1:E734,5,FALSE),82)</f>
        <v>62.94</v>
      </c>
      <c r="R586" s="39">
        <f>VLOOKUP(B586,'Player Data'!$A1:$AE734,6,FALSE)</f>
        <v>13.422103152379799</v>
      </c>
      <c r="S586" s="41">
        <f>VLOOKUP(B586,'Player Data'!$A1:$AE734,7,FALSE)*$Q586*IFERROR((VLOOKUP(P586,Settings!$E$28:$F$33,2,FALSE)+1),1)</f>
        <v>1.1984650433301725</v>
      </c>
      <c r="T586" s="41">
        <f>VLOOKUP(B586,'Player Data'!$A1:$AE734,8,FALSE)*$Q586*IFERROR((VLOOKUP(P586,Settings!$E$28:$F$33,2,FALSE)+1),1)</f>
        <v>8.0155344425666222</v>
      </c>
      <c r="U586" s="41">
        <f>SUM(S586:T586)</f>
        <v>9.2139994858967942</v>
      </c>
      <c r="V586" s="41">
        <f>VLOOKUP(B586,'Player Data'!$A1:$AE734,10,FALSE)*$Q586*IFERROR(((VLOOKUP(P586,Settings!$E$28:$F$33,2,FALSE)/2)+1),1)</f>
        <v>38.320157687690745</v>
      </c>
      <c r="W586" s="41">
        <f>VLOOKUP(B586,'Player Data'!$A1:$AE734,11,FALSE)*$Q586*IFERROR((VLOOKUP(P586,Settings!$E$28:$F$33,2,FALSE)+1),1)</f>
        <v>1.0435143691428287E-2</v>
      </c>
      <c r="X586" s="41">
        <f>VLOOKUP(B586,'Player Data'!$A1:$AE734,12,FALSE)*$Q586*IFERROR((VLOOKUP(P586,Settings!$E$28:$F$33,2,FALSE)+1),1)</f>
        <v>7.1821412604886656E-2</v>
      </c>
      <c r="Y586" s="41">
        <f>VLOOKUP(B586,'Player Data'!$A1:$AE734,13,FALSE)*$Q586</f>
        <v>4.6662138078300032E-2</v>
      </c>
      <c r="Z586" s="41">
        <f>VLOOKUP(B586,'Player Data'!$A1:$AE734,14,FALSE)*$Q586</f>
        <v>1.1912316023459242</v>
      </c>
      <c r="AA586" s="41">
        <f>VLOOKUP(B586,'Player Data'!$A1:$AE734,15,FALSE)*$Q586</f>
        <v>77.403578309437137</v>
      </c>
      <c r="AB586" s="41">
        <f>VLOOKUP(B586,'Player Data'!$A1:$AE734,16,FALSE)*$Q586</f>
        <v>77.471580212118596</v>
      </c>
      <c r="AC586" s="41">
        <f>VLOOKUP(B586,'Player Data'!$A1:$AE734,17,FALSE)*$Q586*IFERROR((VLOOKUP(P586,Settings!$E$28:$F$33,2,FALSE)+1),1)</f>
        <v>4.4511384660915594</v>
      </c>
      <c r="AD586" s="41">
        <f>VLOOKUP(B586,'Player Data'!$A1:$AE734,18,FALSE)*$Q586</f>
        <v>36.448202057668752</v>
      </c>
      <c r="AE586" s="41">
        <f>VLOOKUP(B586,'Player Data'!$A1:$AE734,19,FALSE)*$Q586*IFERROR((VLOOKUP(P586,Settings!$E$28:$F$33,2,FALSE)+1),1)</f>
        <v>0.18970415009035341</v>
      </c>
      <c r="AF586" s="41">
        <f>VLOOKUP(B586,'Player Data'!$A1:$AE734,20,FALSE)*$Q586</f>
        <v>0</v>
      </c>
      <c r="AG586" s="41">
        <f>VLOOKUP(B586,'Player Data'!$A1:$AE734,21,FALSE)*$Q586</f>
        <v>0</v>
      </c>
      <c r="AH586" s="42">
        <f>VLOOKUP(B586,'Player Data'!$A1:$AE734,22,FALSE)</f>
        <v>0</v>
      </c>
      <c r="AI586" s="39"/>
      <c r="AJ586" s="43"/>
      <c r="AK586" s="41"/>
      <c r="AL586" s="41"/>
      <c r="AM586" s="41"/>
      <c r="AN586" s="41"/>
      <c r="AO586" s="41"/>
      <c r="AP586" s="41"/>
      <c r="AQ586" s="44"/>
      <c r="AR586" s="45"/>
      <c r="AS586" s="39"/>
    </row>
    <row r="587" spans="1:45" ht="21.25" customHeight="1" x14ac:dyDescent="0.15">
      <c r="A587" s="31">
        <f>RANK(K587,K$2:K$727)</f>
        <v>586</v>
      </c>
      <c r="B587" s="8" t="s">
        <v>691</v>
      </c>
      <c r="C587" s="32" t="s">
        <v>106</v>
      </c>
      <c r="D587" s="33" t="str">
        <f>VLOOKUP(B587,'Player Data'!A1:D734,4,FALSE)</f>
        <v>C</v>
      </c>
      <c r="E587" s="34">
        <f>VLOOKUP(B587,'C'!A1:C211,3,FALSE)</f>
        <v>137</v>
      </c>
      <c r="F587" s="35" t="str">
        <f>VLOOKUP(B587,'Player Data'!A1:B734,2,FALSE)</f>
        <v>ARI</v>
      </c>
      <c r="G587" s="9">
        <f>VLOOKUP(B587,'Player Data'!A1:D734,3,FALSE)</f>
        <v>31</v>
      </c>
      <c r="H587" s="36">
        <f>IFERROR(VLOOKUP(B587,ADP!A1:G728,7,FALSE)/1000000,VLOOKUP(B587,ADP!A1:G728,7,FALSE))</f>
        <v>2.1</v>
      </c>
      <c r="I587" s="37">
        <f>IF(Settings!$E$15="POINTS",((R587*Q587)*Settings!$B$12)+(S587*Settings!$B$2)+(T587*Settings!$B$3)+(U587*Settings!$B$4)+(V587*Settings!$B$5)+(X587*Settings!$B$9)+(AA587*Settings!$B$6)+(W587*Settings!$B$8)+(AB587*Settings!$B$7)+(AC587*Settings!$B$14)+(AD587*Settings!$B$15)+(AE587*Settings!$B$16)+(AF587*Settings!$B$17)+(AG587*Settings!$B$18)+(Y587*Settings!$B$10)+(Z587*Settings!$B$11),VLOOKUP(B587,'Standard Deviations'!A1:C728,3,FALSE))</f>
        <v>146.46425278873022</v>
      </c>
      <c r="J587" s="38">
        <f>IF(D587="G",I587/AJ587,I587/Q587)</f>
        <v>1.9239877261117464</v>
      </c>
      <c r="K587" s="37">
        <f>IF(Settings!$E$18="C/LW/RW",VLOOKUP(B587,'C'!A1:F211,6,FALSE),VLOOKUP(B587,F!A1:F430,6,FALSE))</f>
        <v>-246.86455297747943</v>
      </c>
      <c r="L587" s="37">
        <f>IFERROR(K587/H587,"N/A")</f>
        <v>-117.55454903689497</v>
      </c>
      <c r="M587" s="53" t="str">
        <f>IF(Settings!$E$9="YAHOO",VLOOKUP(B587,ADP!A1:E728,2,FALSE),IF(Settings!$E$9="ESPN",VLOOKUP(B587,ADP!A1:E728,3,FALSE),IF(Settings!$E$9="FANTRAX",VLOOKUP(B587,ADP!A1:E728,4,FALSE),VLOOKUP(B587,ADP!A1:E728,5,FALSE))))</f>
        <v>-</v>
      </c>
      <c r="N587" s="53" t="str">
        <f>IFERROR(M587-A587,"N/A")</f>
        <v>N/A</v>
      </c>
      <c r="O587" s="39"/>
      <c r="P587" s="40" t="str">
        <f>IF(Settings!$E$27="ON",VLOOKUP(B587,ADP!A1:H728,8,FALSE)," ")</f>
        <v xml:space="preserve"> </v>
      </c>
      <c r="Q587" s="41">
        <f>IF(Settings!$E$12="YES",VLOOKUP(B587,'Player Data'!A1:E734,5,FALSE),82)</f>
        <v>76.125357142857098</v>
      </c>
      <c r="R587" s="39">
        <f>VLOOKUP(B587,'Player Data'!$A1:$AE734,6,FALSE)</f>
        <v>14.4269870293751</v>
      </c>
      <c r="S587" s="41">
        <f>VLOOKUP(B587,'Player Data'!$A1:$AE734,7,FALSE)*$Q587*IFERROR((VLOOKUP(P587,Settings!$E$28:$F$33,2,FALSE)+1),1)</f>
        <v>12.229387063884307</v>
      </c>
      <c r="T587" s="41">
        <f>VLOOKUP(B587,'Player Data'!$A1:$AE734,8,FALSE)*$Q587*IFERROR((VLOOKUP(P587,Settings!$E$28:$F$33,2,FALSE)+1),1)</f>
        <v>11.49800802668984</v>
      </c>
      <c r="U587" s="41">
        <f>SUM(S587:T587)</f>
        <v>23.727395090574149</v>
      </c>
      <c r="V587" s="41">
        <f>VLOOKUP(B587,'Player Data'!$A1:$AE734,10,FALSE)*$Q587*IFERROR(((VLOOKUP(P587,Settings!$E$28:$F$33,2,FALSE)/2)+1),1)</f>
        <v>128.72634077041261</v>
      </c>
      <c r="W587" s="41">
        <f>VLOOKUP(B587,'Player Data'!$A1:$AE734,11,FALSE)*$Q587*IFERROR((VLOOKUP(P587,Settings!$E$28:$F$33,2,FALSE)+1),1)</f>
        <v>0.3580404133804973</v>
      </c>
      <c r="X587" s="41">
        <f>VLOOKUP(B587,'Player Data'!$A1:$AE734,12,FALSE)*$Q587*IFERROR((VLOOKUP(P587,Settings!$E$28:$F$33,2,FALSE)+1),1)</f>
        <v>0.620201021325406</v>
      </c>
      <c r="Y587" s="41">
        <f>VLOOKUP(B587,'Player Data'!$A1:$AE734,13,FALSE)*$Q587</f>
        <v>0.89297112367396014</v>
      </c>
      <c r="Z587" s="41">
        <f>VLOOKUP(B587,'Player Data'!$A1:$AE734,14,FALSE)*$Q587</f>
        <v>1.0272659706763239</v>
      </c>
      <c r="AA587" s="41">
        <f>VLOOKUP(B587,'Player Data'!$A1:$AE734,15,FALSE)*$Q587</f>
        <v>38.119815738990248</v>
      </c>
      <c r="AB587" s="41">
        <f>VLOOKUP(B587,'Player Data'!$A1:$AE734,16,FALSE)*$Q587</f>
        <v>143.5240933312956</v>
      </c>
      <c r="AC587" s="41">
        <f>VLOOKUP(B587,'Player Data'!$A1:$AE734,17,FALSE)*$Q587*IFERROR((VLOOKUP(P587,Settings!$E$28:$F$33,2,FALSE)+1),1)</f>
        <v>-1.8294158912025515</v>
      </c>
      <c r="AD587" s="41">
        <f>VLOOKUP(B587,'Player Data'!$A1:$AE734,18,FALSE)*$Q587</f>
        <v>31.241726753729093</v>
      </c>
      <c r="AE587" s="41">
        <f>VLOOKUP(B587,'Player Data'!$A1:$AE734,19,FALSE)*$Q587*IFERROR((VLOOKUP(P587,Settings!$E$28:$F$33,2,FALSE)+1),1)</f>
        <v>1.5072719040547846</v>
      </c>
      <c r="AF587" s="41">
        <f>VLOOKUP(B587,'Player Data'!$A1:$AE734,20,FALSE)*$Q587</f>
        <v>442.22341419572871</v>
      </c>
      <c r="AG587" s="41">
        <f>VLOOKUP(B587,'Player Data'!$A1:$AE734,21,FALSE)*$Q587</f>
        <v>453.56681519732871</v>
      </c>
      <c r="AH587" s="42">
        <f>VLOOKUP(B587,'Player Data'!$A1:$AE734,22,FALSE)</f>
        <v>0.49366849479409602</v>
      </c>
      <c r="AI587" s="39"/>
      <c r="AJ587" s="43"/>
      <c r="AK587" s="41"/>
      <c r="AL587" s="41"/>
      <c r="AM587" s="41"/>
      <c r="AN587" s="41"/>
      <c r="AO587" s="41"/>
      <c r="AP587" s="41"/>
      <c r="AQ587" s="44"/>
      <c r="AR587" s="45"/>
      <c r="AS587" s="39"/>
    </row>
    <row r="588" spans="1:45" ht="21.25" customHeight="1" x14ac:dyDescent="0.15">
      <c r="A588" s="31">
        <f>RANK(K588,K$2:K$727)</f>
        <v>587</v>
      </c>
      <c r="B588" s="8" t="s">
        <v>692</v>
      </c>
      <c r="C588" s="32" t="s">
        <v>106</v>
      </c>
      <c r="D588" s="33" t="str">
        <f>VLOOKUP(B588,'Player Data'!A1:D734,4,FALSE)</f>
        <v>C</v>
      </c>
      <c r="E588" s="34">
        <f>VLOOKUP(B588,'C'!A1:C211,3,FALSE)</f>
        <v>138</v>
      </c>
      <c r="F588" s="35" t="str">
        <f>VLOOKUP(B588,'Player Data'!A1:B734,2,FALSE)</f>
        <v>WPG</v>
      </c>
      <c r="G588" s="9">
        <f>VLOOKUP(B588,'Player Data'!A1:D734,3,FALSE)</f>
        <v>27</v>
      </c>
      <c r="H588" s="36">
        <f>IFERROR(VLOOKUP(B588,ADP!A1:G728,7,FALSE)/1000000,VLOOKUP(B588,ADP!A1:G728,7,FALSE))</f>
        <v>2.1666669999999999</v>
      </c>
      <c r="I588" s="37">
        <f>IF(Settings!$E$15="POINTS",((R588*Q588)*Settings!$B$12)+(S588*Settings!$B$2)+(T588*Settings!$B$3)+(U588*Settings!$B$4)+(V588*Settings!$B$5)+(X588*Settings!$B$9)+(AA588*Settings!$B$6)+(W588*Settings!$B$8)+(AB588*Settings!$B$7)+(AC588*Settings!$B$14)+(AD588*Settings!$B$15)+(AE588*Settings!$B$16)+(AF588*Settings!$B$17)+(AG588*Settings!$B$18)+(Y588*Settings!$B$10)+(Z588*Settings!$B$11),VLOOKUP(B588,'Standard Deviations'!A1:C728,3,FALSE))</f>
        <v>146.17302664424537</v>
      </c>
      <c r="J588" s="38">
        <f>IF(D588="G",I588/AJ588,I588/Q588)</f>
        <v>2.0071130636675072</v>
      </c>
      <c r="K588" s="37">
        <f>IF(Settings!$E$18="C/LW/RW",VLOOKUP(B588,'C'!A1:F211,6,FALSE),VLOOKUP(B588,F!A1:F430,6,FALSE))</f>
        <v>-247.15577912196429</v>
      </c>
      <c r="L588" s="37">
        <f>IFERROR(K588/H588,"N/A")</f>
        <v>-114.07188050677114</v>
      </c>
      <c r="M588" s="53" t="str">
        <f>IF(Settings!$E$9="YAHOO",VLOOKUP(B588,ADP!A1:E728,2,FALSE),IF(Settings!$E$9="ESPN",VLOOKUP(B588,ADP!A1:E728,3,FALSE),IF(Settings!$E$9="FANTRAX",VLOOKUP(B588,ADP!A1:E728,4,FALSE),VLOOKUP(B588,ADP!A1:E728,5,FALSE))))</f>
        <v>-</v>
      </c>
      <c r="N588" s="53" t="str">
        <f>IFERROR(M588-A588,"N/A")</f>
        <v>N/A</v>
      </c>
      <c r="O588" s="39"/>
      <c r="P588" s="40" t="str">
        <f>IF(Settings!$E$27="ON",VLOOKUP(B588,ADP!A1:H728,8,FALSE)," ")</f>
        <v xml:space="preserve"> </v>
      </c>
      <c r="Q588" s="41">
        <f>IF(Settings!$E$12="YES",VLOOKUP(B588,'Player Data'!A1:E734,5,FALSE),82)</f>
        <v>72.827500000000001</v>
      </c>
      <c r="R588" s="39">
        <f>VLOOKUP(B588,'Player Data'!$A1:$AE734,6,FALSE)</f>
        <v>15.556299816925399</v>
      </c>
      <c r="S588" s="41">
        <f>VLOOKUP(B588,'Player Data'!$A1:$AE734,7,FALSE)*$Q588*IFERROR((VLOOKUP(P588,Settings!$E$28:$F$33,2,FALSE)+1),1)</f>
        <v>9.9443820123008368</v>
      </c>
      <c r="T588" s="41">
        <f>VLOOKUP(B588,'Player Data'!$A1:$AE734,8,FALSE)*$Q588*IFERROR((VLOOKUP(P588,Settings!$E$28:$F$33,2,FALSE)+1),1)</f>
        <v>17.035398679571461</v>
      </c>
      <c r="U588" s="41">
        <f>SUM(S588:T588)</f>
        <v>26.9797806918723</v>
      </c>
      <c r="V588" s="41">
        <f>VLOOKUP(B588,'Player Data'!$A1:$AE734,10,FALSE)*$Q588*IFERROR(((VLOOKUP(P588,Settings!$E$28:$F$33,2,FALSE)/2)+1),1)</f>
        <v>116.99558861747208</v>
      </c>
      <c r="W588" s="41">
        <f>VLOOKUP(B588,'Player Data'!$A1:$AE734,11,FALSE)*$Q588*IFERROR((VLOOKUP(P588,Settings!$E$28:$F$33,2,FALSE)+1),1)</f>
        <v>7.8809542461218754E-2</v>
      </c>
      <c r="X588" s="41">
        <f>VLOOKUP(B588,'Player Data'!$A1:$AE734,12,FALSE)*$Q588*IFERROR((VLOOKUP(P588,Settings!$E$28:$F$33,2,FALSE)+1),1)</f>
        <v>0.13999485779391793</v>
      </c>
      <c r="Y588" s="41">
        <f>VLOOKUP(B588,'Player Data'!$A1:$AE734,13,FALSE)*$Q588</f>
        <v>0.14126517227312679</v>
      </c>
      <c r="Z588" s="41">
        <f>VLOOKUP(B588,'Player Data'!$A1:$AE734,14,FALSE)*$Q588</f>
        <v>0.62288282233593939</v>
      </c>
      <c r="AA588" s="41">
        <f>VLOOKUP(B588,'Player Data'!$A1:$AE734,15,FALSE)*$Q588</f>
        <v>26.050674498163453</v>
      </c>
      <c r="AB588" s="41">
        <f>VLOOKUP(B588,'Player Data'!$A1:$AE734,16,FALSE)*$Q588</f>
        <v>78.406670567071501</v>
      </c>
      <c r="AC588" s="41">
        <f>VLOOKUP(B588,'Player Data'!$A1:$AE734,17,FALSE)*$Q588*IFERROR((VLOOKUP(P588,Settings!$E$28:$F$33,2,FALSE)+1),1)</f>
        <v>1.9567202295191501</v>
      </c>
      <c r="AD588" s="41">
        <f>VLOOKUP(B588,'Player Data'!$A1:$AE734,18,FALSE)*$Q588</f>
        <v>20.956029044306927</v>
      </c>
      <c r="AE588" s="41">
        <f>VLOOKUP(B588,'Player Data'!$A1:$AE734,19,FALSE)*$Q588*IFERROR((VLOOKUP(P588,Settings!$E$28:$F$33,2,FALSE)+1),1)</f>
        <v>1.5513568795755897</v>
      </c>
      <c r="AF588" s="41">
        <f>VLOOKUP(B588,'Player Data'!$A1:$AE734,20,FALSE)*$Q588</f>
        <v>6.272553244940382</v>
      </c>
      <c r="AG588" s="41">
        <f>VLOOKUP(B588,'Player Data'!$A1:$AE734,21,FALSE)*$Q588</f>
        <v>12.631861797294693</v>
      </c>
      <c r="AH588" s="42">
        <f>VLOOKUP(B588,'Player Data'!$A1:$AE734,22,FALSE)</f>
        <v>0.33180361470728598</v>
      </c>
      <c r="AI588" s="39"/>
      <c r="AJ588" s="43"/>
      <c r="AK588" s="41"/>
      <c r="AL588" s="41"/>
      <c r="AM588" s="41"/>
      <c r="AN588" s="41"/>
      <c r="AO588" s="41"/>
      <c r="AP588" s="41"/>
      <c r="AQ588" s="44"/>
      <c r="AR588" s="45"/>
      <c r="AS588" s="39"/>
    </row>
    <row r="589" spans="1:45" ht="21.25" customHeight="1" x14ac:dyDescent="0.15">
      <c r="A589" s="31">
        <f>RANK(K589,K$2:K$727)</f>
        <v>588</v>
      </c>
      <c r="B589" s="8" t="s">
        <v>693</v>
      </c>
      <c r="C589" s="32" t="s">
        <v>106</v>
      </c>
      <c r="D589" s="33" t="str">
        <f>VLOOKUP(B589,'Player Data'!A1:D734,4,FALSE)</f>
        <v>D</v>
      </c>
      <c r="E589" s="49">
        <f>VLOOKUP(B589,D!A1:C227,3,FALSE)</f>
        <v>220</v>
      </c>
      <c r="F589" s="35" t="str">
        <f>VLOOKUP(B589,'Player Data'!A1:B734,2,FALSE)</f>
        <v>LAK</v>
      </c>
      <c r="G589" s="9">
        <f>VLOOKUP(B589,'Player Data'!A1:D734,3,FALSE)</f>
        <v>22</v>
      </c>
      <c r="H589" s="36">
        <f>IFERROR(VLOOKUP(B589,ADP!A1:G728,7,FALSE)/1000000,VLOOKUP(B589,ADP!A1:G728,7,FALSE))</f>
        <v>0</v>
      </c>
      <c r="I589" s="37">
        <f>IF(Settings!$E$15="POINTS",((R589*Q589)*Settings!$B$12)+(S589*Settings!$B$2)+(T589*Settings!$B$3)+(U589*Settings!$B$4)+(V589*Settings!$B$5)+(X589*Settings!$B$9)+(AA589*Settings!$B$6)+(W589*Settings!$B$8)+(AB589*Settings!$B$7)+(AC589*Settings!$B$14)+(AD589*Settings!$B$15)+(AE589*Settings!$B$16)+(AF589*Settings!$B$17)+(AG589*Settings!$B$18)+(U589*Settings!$B$13)+(Y589*Settings!$B$10)+(Z589*Settings!$B$11),VLOOKUP(B589,'Standard Deviations'!A1:C728,3,FALSE))</f>
        <v>64.334809705881398</v>
      </c>
      <c r="J589" s="38">
        <f>IF(D589="G",I589/AJ589,I589/Q589)</f>
        <v>1.0015983718458037</v>
      </c>
      <c r="K589" s="37">
        <f>VLOOKUP(B589,D!A1:F227,6,FALSE)</f>
        <v>-247.23067192204604</v>
      </c>
      <c r="L589" s="52" t="str">
        <f>IFERROR(K589/H589,"N/A")</f>
        <v>N/A</v>
      </c>
      <c r="M589" s="53" t="str">
        <f>IF(Settings!$E$9="YAHOO",VLOOKUP(B589,ADP!A1:E728,2,FALSE),IF(Settings!$E$9="ESPN",VLOOKUP(B589,ADP!A1:E728,3,FALSE),IF(Settings!$E$9="FANTRAX",VLOOKUP(B589,ADP!A1:E728,4,FALSE),VLOOKUP(B589,ADP!A1:E728,5,FALSE))))</f>
        <v>-</v>
      </c>
      <c r="N589" s="53" t="str">
        <f>IFERROR(M589-A589,"N/A")</f>
        <v>N/A</v>
      </c>
      <c r="O589" s="39"/>
      <c r="P589" s="40" t="str">
        <f>IF(Settings!$E$27="ON",VLOOKUP(B589,ADP!A1:H728,8,FALSE)," ")</f>
        <v xml:space="preserve"> </v>
      </c>
      <c r="Q589" s="41">
        <f>IF(Settings!$E$12="YES",VLOOKUP(B589,'Player Data'!A1:E734,5,FALSE),82)</f>
        <v>64.232142857142904</v>
      </c>
      <c r="R589" s="39">
        <f>VLOOKUP(B589,'Player Data'!$A1:$AE734,6,FALSE)</f>
        <v>14.1809713689024</v>
      </c>
      <c r="S589" s="41">
        <f>VLOOKUP(B589,'Player Data'!$A1:$AE734,7,FALSE)*$Q589*IFERROR((VLOOKUP(P589,Settings!$E$28:$F$33,2,FALSE)+1),1)</f>
        <v>1.1460332712379455</v>
      </c>
      <c r="T589" s="41">
        <f>VLOOKUP(B589,'Player Data'!$A1:$AE734,8,FALSE)*$Q589*IFERROR((VLOOKUP(P589,Settings!$E$28:$F$33,2,FALSE)+1),1)</f>
        <v>7.8538362307494802</v>
      </c>
      <c r="U589" s="41">
        <f>SUM(S589:T589)</f>
        <v>8.9998695019874262</v>
      </c>
      <c r="V589" s="41">
        <f>VLOOKUP(B589,'Player Data'!$A1:$AE734,10,FALSE)*$Q589*IFERROR(((VLOOKUP(P589,Settings!$E$28:$F$33,2,FALSE)/2)+1),1)</f>
        <v>50.523975309944127</v>
      </c>
      <c r="W589" s="41">
        <f>VLOOKUP(B589,'Player Data'!$A1:$AE734,11,FALSE)*$Q589*IFERROR((VLOOKUP(P589,Settings!$E$28:$F$33,2,FALSE)+1),1)</f>
        <v>1.3200038353738827E-2</v>
      </c>
      <c r="X589" s="41">
        <f>VLOOKUP(B589,'Player Data'!$A1:$AE734,12,FALSE)*$Q589*IFERROR((VLOOKUP(P589,Settings!$E$28:$F$33,2,FALSE)+1),1)</f>
        <v>8.3856334173594296E-2</v>
      </c>
      <c r="Y589" s="41">
        <f>VLOOKUP(B589,'Player Data'!$A1:$AE734,13,FALSE)*$Q589</f>
        <v>2.7944272938693948E-2</v>
      </c>
      <c r="Z589" s="41">
        <f>VLOOKUP(B589,'Player Data'!$A1:$AE734,14,FALSE)*$Q589</f>
        <v>9.7248107855938473E-2</v>
      </c>
      <c r="AA589" s="41">
        <f>VLOOKUP(B589,'Player Data'!$A1:$AE734,15,FALSE)*$Q589</f>
        <v>58.555023304439928</v>
      </c>
      <c r="AB589" s="41">
        <f>VLOOKUP(B589,'Player Data'!$A1:$AE734,16,FALSE)*$Q589</f>
        <v>68.745584924593629</v>
      </c>
      <c r="AC589" s="41">
        <f>VLOOKUP(B589,'Player Data'!$A1:$AE734,17,FALSE)*$Q589*IFERROR((VLOOKUP(P589,Settings!$E$28:$F$33,2,FALSE)+1),1)</f>
        <v>-0.60665832976492151</v>
      </c>
      <c r="AD589" s="41">
        <f>VLOOKUP(B589,'Player Data'!$A1:$AE734,18,FALSE)*$Q589</f>
        <v>15.850168732715245</v>
      </c>
      <c r="AE589" s="41">
        <f>VLOOKUP(B589,'Player Data'!$A1:$AE734,19,FALSE)*$Q589*IFERROR((VLOOKUP(P589,Settings!$E$28:$F$33,2,FALSE)+1),1)</f>
        <v>0.1701444898812973</v>
      </c>
      <c r="AF589" s="41">
        <f>VLOOKUP(B589,'Player Data'!$A1:$AE734,20,FALSE)*$Q589</f>
        <v>0</v>
      </c>
      <c r="AG589" s="41">
        <f>VLOOKUP(B589,'Player Data'!$A1:$AE734,21,FALSE)*$Q589</f>
        <v>0</v>
      </c>
      <c r="AH589" s="42">
        <f>VLOOKUP(B589,'Player Data'!$A1:$AE734,22,FALSE)</f>
        <v>0</v>
      </c>
      <c r="AI589" s="39"/>
      <c r="AJ589" s="43"/>
      <c r="AK589" s="41"/>
      <c r="AL589" s="41"/>
      <c r="AM589" s="41"/>
      <c r="AN589" s="41"/>
      <c r="AO589" s="41"/>
      <c r="AP589" s="41"/>
      <c r="AQ589" s="44"/>
      <c r="AR589" s="45"/>
      <c r="AS589" s="39"/>
    </row>
    <row r="590" spans="1:45" ht="21.25" customHeight="1" x14ac:dyDescent="0.15">
      <c r="A590" s="31">
        <f>RANK(K590,K$2:K$727)</f>
        <v>589</v>
      </c>
      <c r="B590" s="8" t="s">
        <v>694</v>
      </c>
      <c r="C590" s="32" t="s">
        <v>106</v>
      </c>
      <c r="D590" s="33" t="str">
        <f>VLOOKUP(B590,'Player Data'!A1:D734,4,FALSE)</f>
        <v>C</v>
      </c>
      <c r="E590" s="34">
        <f>VLOOKUP(B590,'C'!A1:C211,3,FALSE)</f>
        <v>139</v>
      </c>
      <c r="F590" s="35" t="str">
        <f>VLOOKUP(B590,'Player Data'!A1:B734,2,FALSE)</f>
        <v>NSH</v>
      </c>
      <c r="G590" s="9">
        <f>VLOOKUP(B590,'Player Data'!A1:D734,3,FALSE)</f>
        <v>29</v>
      </c>
      <c r="H590" s="36">
        <f>IFERROR(VLOOKUP(B590,ADP!A1:G728,7,FALSE)/1000000,VLOOKUP(B590,ADP!A1:G728,7,FALSE))</f>
        <v>2.8570000000000002</v>
      </c>
      <c r="I590" s="37">
        <f>IF(Settings!$E$15="POINTS",((R590*Q590)*Settings!$B$12)+(S590*Settings!$B$2)+(T590*Settings!$B$3)+(U590*Settings!$B$4)+(V590*Settings!$B$5)+(X590*Settings!$B$9)+(AA590*Settings!$B$6)+(W590*Settings!$B$8)+(AB590*Settings!$B$7)+(AC590*Settings!$B$14)+(AD590*Settings!$B$15)+(AE590*Settings!$B$16)+(AF590*Settings!$B$17)+(AG590*Settings!$B$18)+(Y590*Settings!$B$10)+(Z590*Settings!$B$11),VLOOKUP(B590,'Standard Deviations'!A1:C728,3,FALSE))</f>
        <v>145.72588203411783</v>
      </c>
      <c r="J590" s="38">
        <f>IF(D590="G",I590/AJ590,I590/Q590)</f>
        <v>1.7919031294131091</v>
      </c>
      <c r="K590" s="37">
        <f>IF(Settings!$E$18="C/LW/RW",VLOOKUP(B590,'C'!A1:F211,6,FALSE),VLOOKUP(B590,F!A1:F430,6,FALSE))</f>
        <v>-247.60292373209182</v>
      </c>
      <c r="L590" s="37">
        <f>IFERROR(K590/H590,"N/A")</f>
        <v>-86.665356574060837</v>
      </c>
      <c r="M590" s="53" t="str">
        <f>IF(Settings!$E$9="YAHOO",VLOOKUP(B590,ADP!A1:E728,2,FALSE),IF(Settings!$E$9="ESPN",VLOOKUP(B590,ADP!A1:E728,3,FALSE),IF(Settings!$E$9="FANTRAX",VLOOKUP(B590,ADP!A1:E728,4,FALSE),VLOOKUP(B590,ADP!A1:E728,5,FALSE))))</f>
        <v>-</v>
      </c>
      <c r="N590" s="53" t="str">
        <f>IFERROR(M590-A590,"N/A")</f>
        <v>N/A</v>
      </c>
      <c r="O590" s="39"/>
      <c r="P590" s="40" t="str">
        <f>IF(Settings!$E$27="ON",VLOOKUP(B590,ADP!A1:H728,8,FALSE)," ")</f>
        <v xml:space="preserve"> </v>
      </c>
      <c r="Q590" s="41">
        <f>IF(Settings!$E$12="YES",VLOOKUP(B590,'Player Data'!A1:E734,5,FALSE),82)</f>
        <v>81.324642857142905</v>
      </c>
      <c r="R590" s="39">
        <f>VLOOKUP(B590,'Player Data'!$A1:$AE734,6,FALSE)</f>
        <v>15.499616902972599</v>
      </c>
      <c r="S590" s="41">
        <f>VLOOKUP(B590,'Player Data'!$A1:$AE734,7,FALSE)*$Q590*IFERROR((VLOOKUP(P590,Settings!$E$28:$F$33,2,FALSE)+1),1)</f>
        <v>10.233166299344292</v>
      </c>
      <c r="T590" s="41">
        <f>VLOOKUP(B590,'Player Data'!$A1:$AE734,8,FALSE)*$Q590*IFERROR((VLOOKUP(P590,Settings!$E$28:$F$33,2,FALSE)+1),1)</f>
        <v>17.381650336866162</v>
      </c>
      <c r="U590" s="41">
        <f>SUM(S590:T590)</f>
        <v>27.614816636210456</v>
      </c>
      <c r="V590" s="41">
        <f>VLOOKUP(B590,'Player Data'!$A1:$AE734,10,FALSE)*$Q590*IFERROR(((VLOOKUP(P590,Settings!$E$28:$F$33,2,FALSE)/2)+1),1)</f>
        <v>90.849305462089333</v>
      </c>
      <c r="W590" s="41">
        <f>VLOOKUP(B590,'Player Data'!$A1:$AE734,11,FALSE)*$Q590*IFERROR((VLOOKUP(P590,Settings!$E$28:$F$33,2,FALSE)+1),1)</f>
        <v>0.43145836482531791</v>
      </c>
      <c r="X590" s="41">
        <f>VLOOKUP(B590,'Player Data'!$A1:$AE734,12,FALSE)*$Q590*IFERROR((VLOOKUP(P590,Settings!$E$28:$F$33,2,FALSE)+1),1)</f>
        <v>1.9375529043182314</v>
      </c>
      <c r="Y590" s="41">
        <f>VLOOKUP(B590,'Player Data'!$A1:$AE734,13,FALSE)*$Q590</f>
        <v>0.53615660564918677</v>
      </c>
      <c r="Z590" s="41">
        <f>VLOOKUP(B590,'Player Data'!$A1:$AE734,14,FALSE)*$Q590</f>
        <v>0.79492753671651106</v>
      </c>
      <c r="AA590" s="41">
        <f>VLOOKUP(B590,'Player Data'!$A1:$AE734,15,FALSE)*$Q590</f>
        <v>59.959092561861503</v>
      </c>
      <c r="AB590" s="41">
        <f>VLOOKUP(B590,'Player Data'!$A1:$AE734,16,FALSE)*$Q590</f>
        <v>156.87144489289943</v>
      </c>
      <c r="AC590" s="41">
        <f>VLOOKUP(B590,'Player Data'!$A1:$AE734,17,FALSE)*$Q590*IFERROR((VLOOKUP(P590,Settings!$E$28:$F$33,2,FALSE)+1),1)</f>
        <v>-2.2326242802090346</v>
      </c>
      <c r="AD590" s="41">
        <f>VLOOKUP(B590,'Player Data'!$A1:$AE734,18,FALSE)*$Q590</f>
        <v>25.852992475584653</v>
      </c>
      <c r="AE590" s="41">
        <f>VLOOKUP(B590,'Player Data'!$A1:$AE734,19,FALSE)*$Q590*IFERROR((VLOOKUP(P590,Settings!$E$28:$F$33,2,FALSE)+1),1)</f>
        <v>1.4943099187268085</v>
      </c>
      <c r="AF590" s="41">
        <f>VLOOKUP(B590,'Player Data'!$A1:$AE734,20,FALSE)*$Q590</f>
        <v>595.69424615086155</v>
      </c>
      <c r="AG590" s="41">
        <f>VLOOKUP(B590,'Player Data'!$A1:$AE734,21,FALSE)*$Q590</f>
        <v>500.25293246290283</v>
      </c>
      <c r="AH590" s="42">
        <f>VLOOKUP(B590,'Player Data'!$A1:$AE734,22,FALSE)</f>
        <v>0.54354284382969997</v>
      </c>
      <c r="AI590" s="39"/>
      <c r="AJ590" s="43"/>
      <c r="AK590" s="41"/>
      <c r="AL590" s="41"/>
      <c r="AM590" s="41"/>
      <c r="AN590" s="41"/>
      <c r="AO590" s="41"/>
      <c r="AP590" s="41"/>
      <c r="AQ590" s="44"/>
      <c r="AR590" s="45"/>
      <c r="AS590" s="39"/>
    </row>
    <row r="591" spans="1:45" ht="21.25" customHeight="1" x14ac:dyDescent="0.15">
      <c r="A591" s="31">
        <f>RANK(K591,K$2:K$727)</f>
        <v>590</v>
      </c>
      <c r="B591" s="8" t="s">
        <v>695</v>
      </c>
      <c r="C591" s="32" t="s">
        <v>106</v>
      </c>
      <c r="D591" s="33" t="str">
        <f>VLOOKUP(B591,'Player Data'!A1:D734,4,FALSE)</f>
        <v>LW</v>
      </c>
      <c r="E591" s="47">
        <f>VLOOKUP(B591,LW!A1:C130,3,FALSE)</f>
        <v>101</v>
      </c>
      <c r="F591" s="35" t="str">
        <f>VLOOKUP(B591,'Player Data'!A1:B734,2,FALSE)</f>
        <v>NYR</v>
      </c>
      <c r="G591" s="9">
        <f>VLOOKUP(B591,'Player Data'!A1:D734,3,FALSE)</f>
        <v>30</v>
      </c>
      <c r="H591" s="36">
        <f>IFERROR(VLOOKUP(B591,ADP!A1:G728,7,FALSE)/1000000,VLOOKUP(B591,ADP!A1:G728,7,FALSE))</f>
        <v>0.8</v>
      </c>
      <c r="I591" s="37">
        <f>IF(Settings!$E$15="POINTS",((R591*Q591)*Settings!$B$12)+(S591*Settings!$B$2)+(T591*Settings!$B$3)+(U591*Settings!$B$4)+(V591*Settings!$B$5)+(X591*Settings!$B$9)+(AA591*Settings!$B$6)+(W591*Settings!$B$8)+(AB591*Settings!$B$7)+(AC591*Settings!$B$14)+(AD591*Settings!$B$15)+(AE591*Settings!$B$16)+(AF591*Settings!$B$17)+(AG591*Settings!$B$18)+(Y591*Settings!$B$10)+(Z591*Settings!$B$11),VLOOKUP(B591,'Standard Deviations'!A1:C728,3,FALSE))</f>
        <v>116.25733603690544</v>
      </c>
      <c r="J591" s="38">
        <f>IF(D591="G",I591/AJ591,I591/Q591)</f>
        <v>1.4707009713845183</v>
      </c>
      <c r="K591" s="37">
        <f>IF(Settings!$E$18="C/LW/RW",VLOOKUP(B591,LW!A1:F130,6,FALSE),VLOOKUP(B591,F!A1:F430,6,FALSE))</f>
        <v>-247.78326882074504</v>
      </c>
      <c r="L591" s="37">
        <f>IFERROR(K591/H591,"N/A")</f>
        <v>-309.72908602593128</v>
      </c>
      <c r="M591" s="53" t="str">
        <f>IF(Settings!$E$9="YAHOO",VLOOKUP(B591,ADP!A1:E728,2,FALSE),IF(Settings!$E$9="ESPN",VLOOKUP(B591,ADP!A1:E728,3,FALSE),IF(Settings!$E$9="FANTRAX",VLOOKUP(B591,ADP!A1:E728,4,FALSE),VLOOKUP(B591,ADP!A1:E728,5,FALSE))))</f>
        <v>-</v>
      </c>
      <c r="N591" s="53" t="str">
        <f>IFERROR(M591-A591,"N/A")</f>
        <v>N/A</v>
      </c>
      <c r="O591" s="39"/>
      <c r="P591" s="40" t="str">
        <f>IF(Settings!$E$27="ON",VLOOKUP(B591,ADP!A1:H728,8,FALSE)," ")</f>
        <v xml:space="preserve"> </v>
      </c>
      <c r="Q591" s="41">
        <f>IF(Settings!$E$12="YES",VLOOKUP(B591,'Player Data'!A1:E734,5,FALSE),82)</f>
        <v>79.048928571428604</v>
      </c>
      <c r="R591" s="39">
        <f>VLOOKUP(B591,'Player Data'!$A1:$AE734,6,FALSE)</f>
        <v>12.199277330761699</v>
      </c>
      <c r="S591" s="41">
        <f>VLOOKUP(B591,'Player Data'!$A1:$AE734,7,FALSE)*$Q591*IFERROR((VLOOKUP(P591,Settings!$E$28:$F$33,2,FALSE)+1),1)</f>
        <v>8.1648922399659636</v>
      </c>
      <c r="T591" s="41">
        <f>VLOOKUP(B591,'Player Data'!$A1:$AE734,8,FALSE)*$Q591*IFERROR((VLOOKUP(P591,Settings!$E$28:$F$33,2,FALSE)+1),1)</f>
        <v>9.9225913297495723</v>
      </c>
      <c r="U591" s="41">
        <f>SUM(S591:T591)</f>
        <v>18.087483569715538</v>
      </c>
      <c r="V591" s="41">
        <f>VLOOKUP(B591,'Player Data'!$A1:$AE734,10,FALSE)*$Q591*IFERROR(((VLOOKUP(P591,Settings!$E$28:$F$33,2,FALSE)/2)+1),1)</f>
        <v>105.8237523369407</v>
      </c>
      <c r="W591" s="41">
        <f>VLOOKUP(B591,'Player Data'!$A1:$AE734,11,FALSE)*$Q591*IFERROR((VLOOKUP(P591,Settings!$E$28:$F$33,2,FALSE)+1),1)</f>
        <v>4.3035271055252892E-2</v>
      </c>
      <c r="X591" s="41">
        <f>VLOOKUP(B591,'Player Data'!$A1:$AE734,12,FALSE)*$Q591*IFERROR((VLOOKUP(P591,Settings!$E$28:$F$33,2,FALSE)+1),1)</f>
        <v>0.11060056521249914</v>
      </c>
      <c r="Y591" s="41">
        <f>VLOOKUP(B591,'Player Data'!$A1:$AE734,13,FALSE)*$Q591</f>
        <v>0.82295522747495098</v>
      </c>
      <c r="Z591" s="41">
        <f>VLOOKUP(B591,'Player Data'!$A1:$AE734,14,FALSE)*$Q591</f>
        <v>1.0284003133636699</v>
      </c>
      <c r="AA591" s="41">
        <f>VLOOKUP(B591,'Player Data'!$A1:$AE734,15,FALSE)*$Q591</f>
        <v>34.025037010680776</v>
      </c>
      <c r="AB591" s="41">
        <f>VLOOKUP(B591,'Player Data'!$A1:$AE734,16,FALSE)*$Q591</f>
        <v>92.43637905652659</v>
      </c>
      <c r="AC591" s="41">
        <f>VLOOKUP(B591,'Player Data'!$A1:$AE734,17,FALSE)*$Q591*IFERROR((VLOOKUP(P591,Settings!$E$28:$F$33,2,FALSE)+1),1)</f>
        <v>3.8800478007950807</v>
      </c>
      <c r="AD591" s="41">
        <f>VLOOKUP(B591,'Player Data'!$A1:$AE734,18,FALSE)*$Q591</f>
        <v>17.100353338216511</v>
      </c>
      <c r="AE591" s="41">
        <f>VLOOKUP(B591,'Player Data'!$A1:$AE734,19,FALSE)*$Q591*IFERROR((VLOOKUP(P591,Settings!$E$28:$F$33,2,FALSE)+1),1)</f>
        <v>1.3912823907870537</v>
      </c>
      <c r="AF591" s="41">
        <f>VLOOKUP(B591,'Player Data'!$A1:$AE734,20,FALSE)*$Q591</f>
        <v>5.6072022233014271</v>
      </c>
      <c r="AG591" s="41">
        <f>VLOOKUP(B591,'Player Data'!$A1:$AE734,21,FALSE)*$Q591</f>
        <v>16.586950539748415</v>
      </c>
      <c r="AH591" s="42">
        <f>VLOOKUP(B591,'Player Data'!$A1:$AE734,22,FALSE)</f>
        <v>0.25264322018349999</v>
      </c>
      <c r="AI591" s="39"/>
      <c r="AJ591" s="43"/>
      <c r="AK591" s="41"/>
      <c r="AL591" s="41"/>
      <c r="AM591" s="41"/>
      <c r="AN591" s="41"/>
      <c r="AO591" s="41"/>
      <c r="AP591" s="41"/>
      <c r="AQ591" s="44"/>
      <c r="AR591" s="45"/>
      <c r="AS591" s="39"/>
    </row>
    <row r="592" spans="1:45" ht="21.25" customHeight="1" x14ac:dyDescent="0.15">
      <c r="A592" s="31">
        <f>RANK(K592,K$2:K$727)</f>
        <v>591</v>
      </c>
      <c r="B592" s="8" t="s">
        <v>696</v>
      </c>
      <c r="C592" s="32" t="s">
        <v>106</v>
      </c>
      <c r="D592" s="33" t="str">
        <f>VLOOKUP(B592,'Player Data'!A1:D734,4,FALSE)</f>
        <v>LW</v>
      </c>
      <c r="E592" s="47">
        <f>VLOOKUP(B592,LW!A1:C130,3,FALSE)</f>
        <v>102</v>
      </c>
      <c r="F592" s="35" t="str">
        <f>VLOOKUP(B592,'Player Data'!A1:B734,2,FALSE)</f>
        <v>FLA</v>
      </c>
      <c r="G592" s="9">
        <f>VLOOKUP(B592,'Player Data'!A1:D734,3,FALSE)</f>
        <v>28</v>
      </c>
      <c r="H592" s="36">
        <f>IFERROR(VLOOKUP(B592,ADP!A1:G728,7,FALSE)/1000000,VLOOKUP(B592,ADP!A1:G728,7,FALSE))</f>
        <v>0.8</v>
      </c>
      <c r="I592" s="37">
        <f>IF(Settings!$E$15="POINTS",((R592*Q592)*Settings!$B$12)+(S592*Settings!$B$2)+(T592*Settings!$B$3)+(U592*Settings!$B$4)+(V592*Settings!$B$5)+(X592*Settings!$B$9)+(AA592*Settings!$B$6)+(W592*Settings!$B$8)+(AB592*Settings!$B$7)+(AC592*Settings!$B$14)+(AD592*Settings!$B$15)+(AE592*Settings!$B$16)+(AF592*Settings!$B$17)+(AG592*Settings!$B$18)+(Y592*Settings!$B$10)+(Z592*Settings!$B$11),VLOOKUP(B592,'Standard Deviations'!A1:C728,3,FALSE))</f>
        <v>115.76546410390661</v>
      </c>
      <c r="J592" s="38">
        <f>IF(D592="G",I592/AJ592,I592/Q592)</f>
        <v>1.6078536681098141</v>
      </c>
      <c r="K592" s="37">
        <f>IF(Settings!$E$18="C/LW/RW",VLOOKUP(B592,LW!A1:F130,6,FALSE),VLOOKUP(B592,F!A1:F430,6,FALSE))</f>
        <v>-248.27514075374387</v>
      </c>
      <c r="L592" s="37">
        <f>IFERROR(K592/H592,"N/A")</f>
        <v>-310.34392594217979</v>
      </c>
      <c r="M592" s="53" t="str">
        <f>IF(Settings!$E$9="YAHOO",VLOOKUP(B592,ADP!A1:E728,2,FALSE),IF(Settings!$E$9="ESPN",VLOOKUP(B592,ADP!A1:E728,3,FALSE),IF(Settings!$E$9="FANTRAX",VLOOKUP(B592,ADP!A1:E728,4,FALSE),VLOOKUP(B592,ADP!A1:E728,5,FALSE))))</f>
        <v>-</v>
      </c>
      <c r="N592" s="53" t="str">
        <f>IFERROR(M592-A592,"N/A")</f>
        <v>N/A</v>
      </c>
      <c r="O592" s="39"/>
      <c r="P592" s="40" t="str">
        <f>IF(Settings!$E$27="ON",VLOOKUP(B592,ADP!A1:H728,8,FALSE)," ")</f>
        <v xml:space="preserve"> </v>
      </c>
      <c r="Q592" s="41">
        <f>IF(Settings!$E$12="YES",VLOOKUP(B592,'Player Data'!A1:E734,5,FALSE),82)</f>
        <v>72</v>
      </c>
      <c r="R592" s="39">
        <f>VLOOKUP(B592,'Player Data'!$A1:$AE734,6,FALSE)</f>
        <v>11.205898509527501</v>
      </c>
      <c r="S592" s="41">
        <f>VLOOKUP(B592,'Player Data'!$A1:$AE734,7,FALSE)*$Q592*IFERROR((VLOOKUP(P592,Settings!$E$28:$F$33,2,FALSE)+1),1)</f>
        <v>9.719301723831288</v>
      </c>
      <c r="T592" s="41">
        <f>VLOOKUP(B592,'Player Data'!$A1:$AE734,8,FALSE)*$Q592*IFERROR((VLOOKUP(P592,Settings!$E$28:$F$33,2,FALSE)+1),1)</f>
        <v>8.4015369066826082</v>
      </c>
      <c r="U592" s="41">
        <f>SUM(S592:T592)</f>
        <v>18.120838630513894</v>
      </c>
      <c r="V592" s="41">
        <f>VLOOKUP(B592,'Player Data'!$A1:$AE734,10,FALSE)*$Q592*IFERROR(((VLOOKUP(P592,Settings!$E$28:$F$33,2,FALSE)/2)+1),1)</f>
        <v>113.5287707294052</v>
      </c>
      <c r="W592" s="41">
        <f>VLOOKUP(B592,'Player Data'!$A1:$AE734,11,FALSE)*$Q592*IFERROR((VLOOKUP(P592,Settings!$E$28:$F$33,2,FALSE)+1),1)</f>
        <v>5.2248535573330084E-2</v>
      </c>
      <c r="X592" s="41">
        <f>VLOOKUP(B592,'Player Data'!$A1:$AE734,12,FALSE)*$Q592*IFERROR((VLOOKUP(P592,Settings!$E$28:$F$33,2,FALSE)+1),1)</f>
        <v>0.13265205865084728</v>
      </c>
      <c r="Y592" s="41">
        <f>VLOOKUP(B592,'Player Data'!$A1:$AE734,13,FALSE)*$Q592</f>
        <v>4.910268560011416E-2</v>
      </c>
      <c r="Z592" s="41">
        <f>VLOOKUP(B592,'Player Data'!$A1:$AE734,14,FALSE)*$Q592</f>
        <v>0.22371538645505448</v>
      </c>
      <c r="AA592" s="41">
        <f>VLOOKUP(B592,'Player Data'!$A1:$AE734,15,FALSE)*$Q592</f>
        <v>19.62913978725264</v>
      </c>
      <c r="AB592" s="41">
        <f>VLOOKUP(B592,'Player Data'!$A1:$AE734,16,FALSE)*$Q592</f>
        <v>135.2711278550052</v>
      </c>
      <c r="AC592" s="41">
        <f>VLOOKUP(B592,'Player Data'!$A1:$AE734,17,FALSE)*$Q592*IFERROR((VLOOKUP(P592,Settings!$E$28:$F$33,2,FALSE)+1),1)</f>
        <v>2.5893299954376792</v>
      </c>
      <c r="AD592" s="41">
        <f>VLOOKUP(B592,'Player Data'!$A1:$AE734,18,FALSE)*$Q592</f>
        <v>55.699949723037697</v>
      </c>
      <c r="AE592" s="41">
        <f>VLOOKUP(B592,'Player Data'!$A1:$AE734,19,FALSE)*$Q592*IFERROR((VLOOKUP(P592,Settings!$E$28:$F$33,2,FALSE)+1),1)</f>
        <v>1.3942560018432817</v>
      </c>
      <c r="AF592" s="41">
        <f>VLOOKUP(B592,'Player Data'!$A1:$AE734,20,FALSE)*$Q592</f>
        <v>7.4402016942349434</v>
      </c>
      <c r="AG592" s="41">
        <f>VLOOKUP(B592,'Player Data'!$A1:$AE734,21,FALSE)*$Q592</f>
        <v>15.266580710953608</v>
      </c>
      <c r="AH592" s="42">
        <f>VLOOKUP(B592,'Player Data'!$A1:$AE734,22,FALSE)</f>
        <v>0.32766428820557397</v>
      </c>
      <c r="AI592" s="39"/>
      <c r="AJ592" s="43"/>
      <c r="AK592" s="41"/>
      <c r="AL592" s="41"/>
      <c r="AM592" s="41"/>
      <c r="AN592" s="41"/>
      <c r="AO592" s="41"/>
      <c r="AP592" s="41"/>
      <c r="AQ592" s="44"/>
      <c r="AR592" s="45"/>
      <c r="AS592" s="39"/>
    </row>
    <row r="593" spans="1:45" ht="21.25" customHeight="1" x14ac:dyDescent="0.15">
      <c r="A593" s="31">
        <f>RANK(K593,K$2:K$727)</f>
        <v>592</v>
      </c>
      <c r="B593" s="8" t="s">
        <v>697</v>
      </c>
      <c r="C593" s="32" t="s">
        <v>106</v>
      </c>
      <c r="D593" s="33" t="str">
        <f>VLOOKUP(B593,'Player Data'!A1:D734,4,FALSE)</f>
        <v>D</v>
      </c>
      <c r="E593" s="49">
        <f>VLOOKUP(B593,D!A1:C227,3,FALSE)</f>
        <v>221</v>
      </c>
      <c r="F593" s="35" t="str">
        <f>VLOOKUP(B593,'Player Data'!A1:B734,2,FALSE)</f>
        <v>NJD</v>
      </c>
      <c r="G593" s="9">
        <f>VLOOKUP(B593,'Player Data'!A1:D734,3,FALSE)</f>
        <v>22</v>
      </c>
      <c r="H593" s="36">
        <f>IFERROR(VLOOKUP(B593,ADP!A1:G728,7,FALSE)/1000000,VLOOKUP(B593,ADP!A1:G728,7,FALSE))</f>
        <v>0</v>
      </c>
      <c r="I593" s="37">
        <f>IF(Settings!$E$15="POINTS",((R593*Q593)*Settings!$B$12)+(S593*Settings!$B$2)+(T593*Settings!$B$3)+(U593*Settings!$B$4)+(V593*Settings!$B$5)+(X593*Settings!$B$9)+(AA593*Settings!$B$6)+(W593*Settings!$B$8)+(AB593*Settings!$B$7)+(AC593*Settings!$B$14)+(AD593*Settings!$B$15)+(AE593*Settings!$B$16)+(AF593*Settings!$B$17)+(AG593*Settings!$B$18)+(U593*Settings!$B$13)+(Y593*Settings!$B$10)+(Z593*Settings!$B$11),VLOOKUP(B593,'Standard Deviations'!A1:C728,3,FALSE))</f>
        <v>61.078631841134268</v>
      </c>
      <c r="J593" s="38">
        <f>IF(D593="G",I593/AJ593,I593/Q593)</f>
        <v>1.2215726368226854</v>
      </c>
      <c r="K593" s="37">
        <f>VLOOKUP(B593,D!A1:F227,6,FALSE)</f>
        <v>-250.48684978679319</v>
      </c>
      <c r="L593" s="52" t="str">
        <f>IFERROR(K593/H593,"N/A")</f>
        <v>N/A</v>
      </c>
      <c r="M593" s="53" t="str">
        <f>IF(Settings!$E$9="YAHOO",VLOOKUP(B593,ADP!A1:E728,2,FALSE),IF(Settings!$E$9="ESPN",VLOOKUP(B593,ADP!A1:E728,3,FALSE),IF(Settings!$E$9="FANTRAX",VLOOKUP(B593,ADP!A1:E728,4,FALSE),VLOOKUP(B593,ADP!A1:E728,5,FALSE))))</f>
        <v>-</v>
      </c>
      <c r="N593" s="53" t="str">
        <f>IFERROR(M593-A593,"N/A")</f>
        <v>N/A</v>
      </c>
      <c r="O593" s="39"/>
      <c r="P593" s="40" t="str">
        <f>IF(Settings!$E$27="ON",VLOOKUP(B593,ADP!A1:H728,8,FALSE)," ")</f>
        <v xml:space="preserve"> </v>
      </c>
      <c r="Q593" s="41">
        <f>IF(Settings!$E$12="YES",VLOOKUP(B593,'Player Data'!A1:E734,5,FALSE),82)</f>
        <v>50</v>
      </c>
      <c r="R593" s="39">
        <f>VLOOKUP(B593,'Player Data'!$A1:$AE734,6,FALSE)</f>
        <v>8.3803449690663001</v>
      </c>
      <c r="S593" s="41">
        <f>VLOOKUP(B593,'Player Data'!$A1:$AE734,7,FALSE)*$Q593*IFERROR((VLOOKUP(P593,Settings!$E$28:$F$33,2,FALSE)+1),1)</f>
        <v>6.6385496096065006</v>
      </c>
      <c r="T593" s="41">
        <f>VLOOKUP(B593,'Player Data'!$A1:$AE734,8,FALSE)*$Q593*IFERROR((VLOOKUP(P593,Settings!$E$28:$F$33,2,FALSE)+1),1)</f>
        <v>5.2390292049939005</v>
      </c>
      <c r="U593" s="41">
        <f>SUM(S593:T593)</f>
        <v>11.877578814600401</v>
      </c>
      <c r="V593" s="41">
        <f>VLOOKUP(B593,'Player Data'!$A1:$AE734,10,FALSE)*$Q593*IFERROR(((VLOOKUP(P593,Settings!$E$28:$F$33,2,FALSE)/2)+1),1)</f>
        <v>44.082151640770853</v>
      </c>
      <c r="W593" s="41">
        <f>VLOOKUP(B593,'Player Data'!$A1:$AE734,11,FALSE)*$Q593*IFERROR((VLOOKUP(P593,Settings!$E$28:$F$33,2,FALSE)+1),1)</f>
        <v>3.6866112053327597E-3</v>
      </c>
      <c r="X593" s="41">
        <f>VLOOKUP(B593,'Player Data'!$A1:$AE734,12,FALSE)*$Q593*IFERROR((VLOOKUP(P593,Settings!$E$28:$F$33,2,FALSE)+1),1)</f>
        <v>9.4545163426250495E-3</v>
      </c>
      <c r="Y593" s="41">
        <f>VLOOKUP(B593,'Player Data'!$A1:$AE734,13,FALSE)*$Q593</f>
        <v>0</v>
      </c>
      <c r="Z593" s="41">
        <f>VLOOKUP(B593,'Player Data'!$A1:$AE734,14,FALSE)*$Q593</f>
        <v>0</v>
      </c>
      <c r="AA593" s="41">
        <f>VLOOKUP(B593,'Player Data'!$A1:$AE734,15,FALSE)*$Q593</f>
        <v>16.9295527213119</v>
      </c>
      <c r="AB593" s="41">
        <f>VLOOKUP(B593,'Player Data'!$A1:$AE734,16,FALSE)*$Q593</f>
        <v>58.653261362536</v>
      </c>
      <c r="AC593" s="41">
        <f>VLOOKUP(B593,'Player Data'!$A1:$AE734,17,FALSE)*$Q593*IFERROR((VLOOKUP(P593,Settings!$E$28:$F$33,2,FALSE)+1),1)</f>
        <v>0.32478016582177549</v>
      </c>
      <c r="AD593" s="41">
        <f>VLOOKUP(B593,'Player Data'!$A1:$AE734,18,FALSE)*$Q593</f>
        <v>8.5813728542894996</v>
      </c>
      <c r="AE593" s="41">
        <f>VLOOKUP(B593,'Player Data'!$A1:$AE734,19,FALSE)*$Q593*IFERROR((VLOOKUP(P593,Settings!$E$28:$F$33,2,FALSE)+1),1)</f>
        <v>0.977132129210455</v>
      </c>
      <c r="AF593" s="41">
        <f>VLOOKUP(B593,'Player Data'!$A1:$AE734,20,FALSE)*$Q593</f>
        <v>0</v>
      </c>
      <c r="AG593" s="41">
        <f>VLOOKUP(B593,'Player Data'!$A1:$AE734,21,FALSE)*$Q593</f>
        <v>18.080499204270001</v>
      </c>
      <c r="AH593" s="42">
        <f>VLOOKUP(B593,'Player Data'!$A1:$AE734,22,FALSE)</f>
        <v>0</v>
      </c>
      <c r="AI593" s="39"/>
      <c r="AJ593" s="43"/>
      <c r="AK593" s="41"/>
      <c r="AL593" s="41"/>
      <c r="AM593" s="41"/>
      <c r="AN593" s="41"/>
      <c r="AO593" s="41"/>
      <c r="AP593" s="41"/>
      <c r="AQ593" s="44"/>
      <c r="AR593" s="45"/>
      <c r="AS593" s="43"/>
    </row>
    <row r="594" spans="1:45" ht="21.25" customHeight="1" x14ac:dyDescent="0.15">
      <c r="A594" s="31">
        <f>RANK(K594,K$2:K$727)</f>
        <v>593</v>
      </c>
      <c r="B594" s="8" t="s">
        <v>698</v>
      </c>
      <c r="C594" s="32" t="s">
        <v>106</v>
      </c>
      <c r="D594" s="33" t="str">
        <f>VLOOKUP(B594,'Player Data'!A1:D734,4,FALSE)</f>
        <v>LW</v>
      </c>
      <c r="E594" s="47">
        <f>VLOOKUP(B594,LW!A1:C130,3,FALSE)</f>
        <v>103</v>
      </c>
      <c r="F594" s="35" t="str">
        <f>VLOOKUP(B594,'Player Data'!A1:B734,2,FALSE)</f>
        <v>PIT</v>
      </c>
      <c r="G594" s="9">
        <f>VLOOKUP(B594,'Player Data'!A1:D734,3,FALSE)</f>
        <v>30</v>
      </c>
      <c r="H594" s="36">
        <f>IFERROR(VLOOKUP(B594,ADP!A1:G728,7,FALSE)/1000000,VLOOKUP(B594,ADP!A1:G728,7,FALSE))</f>
        <v>0.9</v>
      </c>
      <c r="I594" s="37">
        <f>IF(Settings!$E$15="POINTS",((R594*Q594)*Settings!$B$12)+(S594*Settings!$B$2)+(T594*Settings!$B$3)+(U594*Settings!$B$4)+(V594*Settings!$B$5)+(X594*Settings!$B$9)+(AA594*Settings!$B$6)+(W594*Settings!$B$8)+(AB594*Settings!$B$7)+(AC594*Settings!$B$14)+(AD594*Settings!$B$15)+(AE594*Settings!$B$16)+(AF594*Settings!$B$17)+(AG594*Settings!$B$18)+(Y594*Settings!$B$10)+(Z594*Settings!$B$11),VLOOKUP(B594,'Standard Deviations'!A1:C728,3,FALSE))</f>
        <v>113.37463449292987</v>
      </c>
      <c r="J594" s="38">
        <f>IF(D594="G",I594/AJ594,I594/Q594)</f>
        <v>1.4897622876111805</v>
      </c>
      <c r="K594" s="37">
        <f>IF(Settings!$E$18="C/LW/RW",VLOOKUP(B594,LW!A1:F130,6,FALSE),VLOOKUP(B594,F!A1:F430,6,FALSE))</f>
        <v>-250.66597036472058</v>
      </c>
      <c r="L594" s="37">
        <f>IFERROR(K594/H594,"N/A")</f>
        <v>-278.51774484968951</v>
      </c>
      <c r="M594" s="53" t="str">
        <f>IF(Settings!$E$9="YAHOO",VLOOKUP(B594,ADP!A1:E728,2,FALSE),IF(Settings!$E$9="ESPN",VLOOKUP(B594,ADP!A1:E728,3,FALSE),IF(Settings!$E$9="FANTRAX",VLOOKUP(B594,ADP!A1:E728,4,FALSE),VLOOKUP(B594,ADP!A1:E728,5,FALSE))))</f>
        <v>-</v>
      </c>
      <c r="N594" s="53" t="str">
        <f>IFERROR(M594-A594,"N/A")</f>
        <v>N/A</v>
      </c>
      <c r="O594" s="39"/>
      <c r="P594" s="40" t="str">
        <f>IF(Settings!$E$27="ON",VLOOKUP(B594,ADP!A1:H728,8,FALSE)," ")</f>
        <v xml:space="preserve"> </v>
      </c>
      <c r="Q594" s="41">
        <f>IF(Settings!$E$12="YES",VLOOKUP(B594,'Player Data'!A1:E734,5,FALSE),82)</f>
        <v>76.102500000000006</v>
      </c>
      <c r="R594" s="39">
        <f>VLOOKUP(B594,'Player Data'!$A1:$AE734,6,FALSE)</f>
        <v>13.102413782124</v>
      </c>
      <c r="S594" s="41">
        <f>VLOOKUP(B594,'Player Data'!$A1:$AE734,7,FALSE)*$Q594*IFERROR((VLOOKUP(P594,Settings!$E$28:$F$33,2,FALSE)+1),1)</f>
        <v>8.3855497407772326</v>
      </c>
      <c r="T594" s="41">
        <f>VLOOKUP(B594,'Player Data'!$A1:$AE734,8,FALSE)*$Q594*IFERROR((VLOOKUP(P594,Settings!$E$28:$F$33,2,FALSE)+1),1)</f>
        <v>9.8209339140724996</v>
      </c>
      <c r="U594" s="41">
        <f>SUM(S594:T594)</f>
        <v>18.206483654849734</v>
      </c>
      <c r="V594" s="41">
        <f>VLOOKUP(B594,'Player Data'!$A1:$AE734,10,FALSE)*$Q594*IFERROR(((VLOOKUP(P594,Settings!$E$28:$F$33,2,FALSE)/2)+1),1)</f>
        <v>99.910269099374645</v>
      </c>
      <c r="W594" s="41">
        <f>VLOOKUP(B594,'Player Data'!$A1:$AE734,11,FALSE)*$Q594*IFERROR((VLOOKUP(P594,Settings!$E$28:$F$33,2,FALSE)+1),1)</f>
        <v>0.19601103418093002</v>
      </c>
      <c r="X594" s="41">
        <f>VLOOKUP(B594,'Player Data'!$A1:$AE734,12,FALSE)*$Q594*IFERROR((VLOOKUP(P594,Settings!$E$28:$F$33,2,FALSE)+1),1)</f>
        <v>0.70869466846021656</v>
      </c>
      <c r="Y594" s="41">
        <f>VLOOKUP(B594,'Player Data'!$A1:$AE734,13,FALSE)*$Q594</f>
        <v>7.8731904254137369E-2</v>
      </c>
      <c r="Z594" s="41">
        <f>VLOOKUP(B594,'Player Data'!$A1:$AE734,14,FALSE)*$Q594</f>
        <v>0.16400558924508754</v>
      </c>
      <c r="AA594" s="41">
        <f>VLOOKUP(B594,'Player Data'!$A1:$AE734,15,FALSE)*$Q594</f>
        <v>35.273242316413693</v>
      </c>
      <c r="AB594" s="41">
        <f>VLOOKUP(B594,'Player Data'!$A1:$AE734,16,FALSE)*$Q594</f>
        <v>63.933681712312648</v>
      </c>
      <c r="AC594" s="41">
        <f>VLOOKUP(B594,'Player Data'!$A1:$AE734,17,FALSE)*$Q594*IFERROR((VLOOKUP(P594,Settings!$E$28:$F$33,2,FALSE)+1),1)</f>
        <v>0.75327142428422</v>
      </c>
      <c r="AD594" s="41">
        <f>VLOOKUP(B594,'Player Data'!$A1:$AE734,18,FALSE)*$Q594</f>
        <v>17.620556809155968</v>
      </c>
      <c r="AE594" s="41">
        <f>VLOOKUP(B594,'Player Data'!$A1:$AE734,19,FALSE)*$Q594*IFERROR((VLOOKUP(P594,Settings!$E$28:$F$33,2,FALSE)+1),1)</f>
        <v>1.3345548988913967</v>
      </c>
      <c r="AF594" s="41">
        <f>VLOOKUP(B594,'Player Data'!$A1:$AE734,20,FALSE)*$Q594</f>
        <v>5.9551293469555535</v>
      </c>
      <c r="AG594" s="41">
        <f>VLOOKUP(B594,'Player Data'!$A1:$AE734,21,FALSE)*$Q594</f>
        <v>9.9778987791901042</v>
      </c>
      <c r="AH594" s="42">
        <f>VLOOKUP(B594,'Player Data'!$A1:$AE734,22,FALSE)</f>
        <v>0.37376004735618101</v>
      </c>
      <c r="AI594" s="39"/>
      <c r="AJ594" s="43"/>
      <c r="AK594" s="41"/>
      <c r="AL594" s="41"/>
      <c r="AM594" s="41"/>
      <c r="AN594" s="41"/>
      <c r="AO594" s="41"/>
      <c r="AP594" s="41"/>
      <c r="AQ594" s="44"/>
      <c r="AR594" s="45"/>
      <c r="AS594" s="39"/>
    </row>
    <row r="595" spans="1:45" ht="21.25" customHeight="1" x14ac:dyDescent="0.15">
      <c r="A595" s="31">
        <f>RANK(K595,K$2:K$727)</f>
        <v>594</v>
      </c>
      <c r="B595" s="8" t="s">
        <v>699</v>
      </c>
      <c r="C595" s="32" t="s">
        <v>106</v>
      </c>
      <c r="D595" s="33" t="str">
        <f>VLOOKUP(B595,'Player Data'!A1:D734,4,FALSE)</f>
        <v>D</v>
      </c>
      <c r="E595" s="49">
        <f>VLOOKUP(B595,D!A1:C227,3,FALSE)</f>
        <v>222</v>
      </c>
      <c r="F595" s="35" t="str">
        <f>VLOOKUP(B595,'Player Data'!A1:B734,2,FALSE)</f>
        <v>STL</v>
      </c>
      <c r="G595" s="9">
        <f>VLOOKUP(B595,'Player Data'!A1:D734,3,FALSE)</f>
        <v>34</v>
      </c>
      <c r="H595" s="36">
        <f>IFERROR(VLOOKUP(B595,ADP!A1:G728,7,FALSE)/1000000,VLOOKUP(B595,ADP!A1:G728,7,FALSE))</f>
        <v>0.95</v>
      </c>
      <c r="I595" s="37">
        <f>IF(Settings!$E$15="POINTS",((R595*Q595)*Settings!$B$12)+(S595*Settings!$B$2)+(T595*Settings!$B$3)+(U595*Settings!$B$4)+(V595*Settings!$B$5)+(X595*Settings!$B$9)+(AA595*Settings!$B$6)+(W595*Settings!$B$8)+(AB595*Settings!$B$7)+(AC595*Settings!$B$14)+(AD595*Settings!$B$15)+(AE595*Settings!$B$16)+(AF595*Settings!$B$17)+(AG595*Settings!$B$18)+(U595*Settings!$B$13)+(Y595*Settings!$B$10)+(Z595*Settings!$B$11),VLOOKUP(B595,'Standard Deviations'!A1:C728,3,FALSE))</f>
        <v>60.815204063296655</v>
      </c>
      <c r="J595" s="38">
        <f>IF(D595="G",I595/AJ595,I595/Q595)</f>
        <v>0.85023952633980371</v>
      </c>
      <c r="K595" s="37">
        <f>VLOOKUP(B595,D!A1:F227,6,FALSE)</f>
        <v>-250.75027756463081</v>
      </c>
      <c r="L595" s="37">
        <f>IFERROR(K595/H595,"N/A")</f>
        <v>-263.94766059434824</v>
      </c>
      <c r="M595" s="53" t="str">
        <f>IF(Settings!$E$9="YAHOO",VLOOKUP(B595,ADP!A1:E728,2,FALSE),IF(Settings!$E$9="ESPN",VLOOKUP(B595,ADP!A1:E728,3,FALSE),IF(Settings!$E$9="FANTRAX",VLOOKUP(B595,ADP!A1:E728,4,FALSE),VLOOKUP(B595,ADP!A1:E728,5,FALSE))))</f>
        <v>-</v>
      </c>
      <c r="N595" s="53" t="str">
        <f>IFERROR(M595-A595,"N/A")</f>
        <v>N/A</v>
      </c>
      <c r="O595" s="39"/>
      <c r="P595" s="40" t="str">
        <f>IF(Settings!$E$27="ON",VLOOKUP(B595,ADP!A1:H728,8,FALSE)," ")</f>
        <v xml:space="preserve"> </v>
      </c>
      <c r="Q595" s="41">
        <f>IF(Settings!$E$12="YES",VLOOKUP(B595,'Player Data'!A1:E734,5,FALSE),82)</f>
        <v>71.527142857142906</v>
      </c>
      <c r="R595" s="39">
        <f>VLOOKUP(B595,'Player Data'!$A1:$AE734,6,FALSE)</f>
        <v>12.795894607701699</v>
      </c>
      <c r="S595" s="41">
        <f>VLOOKUP(B595,'Player Data'!$A1:$AE734,7,FALSE)*$Q595*IFERROR((VLOOKUP(P595,Settings!$E$28:$F$33,2,FALSE)+1),1)</f>
        <v>1.4482331445956298</v>
      </c>
      <c r="T595" s="41">
        <f>VLOOKUP(B595,'Player Data'!$A1:$AE734,8,FALSE)*$Q595*IFERROR((VLOOKUP(P595,Settings!$E$28:$F$33,2,FALSE)+1),1)</f>
        <v>5.0481420211587489</v>
      </c>
      <c r="U595" s="41">
        <f>SUM(S595:T595)</f>
        <v>6.4963751657543787</v>
      </c>
      <c r="V595" s="41">
        <f>VLOOKUP(B595,'Player Data'!$A1:$AE734,10,FALSE)*$Q595*IFERROR(((VLOOKUP(P595,Settings!$E$28:$F$33,2,FALSE)/2)+1),1)</f>
        <v>48.771489693512457</v>
      </c>
      <c r="W595" s="41">
        <f>VLOOKUP(B595,'Player Data'!$A1:$AE734,11,FALSE)*$Q595*IFERROR((VLOOKUP(P595,Settings!$E$28:$F$33,2,FALSE)+1),1)</f>
        <v>9.8584957532744169E-3</v>
      </c>
      <c r="X595" s="41">
        <f>VLOOKUP(B595,'Player Data'!$A1:$AE734,12,FALSE)*$Q595*IFERROR((VLOOKUP(P595,Settings!$E$28:$F$33,2,FALSE)+1),1)</f>
        <v>7.2521453089296251E-2</v>
      </c>
      <c r="Y595" s="41">
        <f>VLOOKUP(B595,'Player Data'!$A1:$AE734,13,FALSE)*$Q595</f>
        <v>2.3456198783603194E-2</v>
      </c>
      <c r="Z595" s="41">
        <f>VLOOKUP(B595,'Player Data'!$A1:$AE734,14,FALSE)*$Q595</f>
        <v>0.13477445677366756</v>
      </c>
      <c r="AA595" s="41">
        <f>VLOOKUP(B595,'Player Data'!$A1:$AE734,15,FALSE)*$Q595</f>
        <v>82.628709497756816</v>
      </c>
      <c r="AB595" s="41">
        <f>VLOOKUP(B595,'Player Data'!$A1:$AE734,16,FALSE)*$Q595</f>
        <v>103.15921452902748</v>
      </c>
      <c r="AC595" s="41">
        <f>VLOOKUP(B595,'Player Data'!$A1:$AE734,17,FALSE)*$Q595*IFERROR((VLOOKUP(P595,Settings!$E$28:$F$33,2,FALSE)+1),1)</f>
        <v>-3.2071222601851797</v>
      </c>
      <c r="AD595" s="41">
        <f>VLOOKUP(B595,'Player Data'!$A1:$AE734,18,FALSE)*$Q595</f>
        <v>38.544320289425237</v>
      </c>
      <c r="AE595" s="41">
        <f>VLOOKUP(B595,'Player Data'!$A1:$AE734,19,FALSE)*$Q595*IFERROR((VLOOKUP(P595,Settings!$E$28:$F$33,2,FALSE)+1),1)</f>
        <v>0.16665214403505635</v>
      </c>
      <c r="AF595" s="41">
        <f>VLOOKUP(B595,'Player Data'!$A1:$AE734,20,FALSE)*$Q595</f>
        <v>0</v>
      </c>
      <c r="AG595" s="41">
        <f>VLOOKUP(B595,'Player Data'!$A1:$AE734,21,FALSE)*$Q595</f>
        <v>0</v>
      </c>
      <c r="AH595" s="42">
        <f>VLOOKUP(B595,'Player Data'!$A1:$AE734,22,FALSE)</f>
        <v>0</v>
      </c>
      <c r="AI595" s="39"/>
      <c r="AJ595" s="43"/>
      <c r="AK595" s="41"/>
      <c r="AL595" s="41"/>
      <c r="AM595" s="41"/>
      <c r="AN595" s="41"/>
      <c r="AO595" s="41"/>
      <c r="AP595" s="41"/>
      <c r="AQ595" s="44"/>
      <c r="AR595" s="45"/>
      <c r="AS595" s="39"/>
    </row>
    <row r="596" spans="1:45" ht="21.25" customHeight="1" x14ac:dyDescent="0.15">
      <c r="A596" s="31">
        <f>RANK(K596,K$2:K$727)</f>
        <v>595</v>
      </c>
      <c r="B596" s="8" t="s">
        <v>700</v>
      </c>
      <c r="C596" s="32" t="s">
        <v>106</v>
      </c>
      <c r="D596" s="33" t="str">
        <f>VLOOKUP(B596,'Player Data'!A1:D734,4,FALSE)</f>
        <v>D</v>
      </c>
      <c r="E596" s="49">
        <f>VLOOKUP(B596,D!A1:C227,3,FALSE)</f>
        <v>223</v>
      </c>
      <c r="F596" s="35" t="str">
        <f>VLOOKUP(B596,'Player Data'!A1:B734,2,FALSE)</f>
        <v>PHI</v>
      </c>
      <c r="G596" s="9">
        <f>VLOOKUP(B596,'Player Data'!A1:D734,3,FALSE)</f>
        <v>23</v>
      </c>
      <c r="H596" s="36">
        <f>IFERROR(VLOOKUP(B596,ADP!A1:G728,7,FALSE)/1000000,VLOOKUP(B596,ADP!A1:G728,7,FALSE))</f>
        <v>0</v>
      </c>
      <c r="I596" s="37">
        <f>IF(Settings!$E$15="POINTS",((R596*Q596)*Settings!$B$12)+(S596*Settings!$B$2)+(T596*Settings!$B$3)+(U596*Settings!$B$4)+(V596*Settings!$B$5)+(X596*Settings!$B$9)+(AA596*Settings!$B$6)+(W596*Settings!$B$8)+(AB596*Settings!$B$7)+(AC596*Settings!$B$14)+(AD596*Settings!$B$15)+(AE596*Settings!$B$16)+(AF596*Settings!$B$17)+(AG596*Settings!$B$18)+(U596*Settings!$B$13)+(Y596*Settings!$B$10)+(Z596*Settings!$B$11),VLOOKUP(B596,'Standard Deviations'!A1:C728,3,FALSE))</f>
        <v>60.673434437184909</v>
      </c>
      <c r="J596" s="38">
        <f>IF(D596="G",I596/AJ596,I596/Q596)</f>
        <v>1.163376999096871</v>
      </c>
      <c r="K596" s="37">
        <f>VLOOKUP(B596,D!A1:F227,6,FALSE)</f>
        <v>-250.89204719074255</v>
      </c>
      <c r="L596" s="52" t="str">
        <f>IFERROR(K596/H596,"N/A")</f>
        <v>N/A</v>
      </c>
      <c r="M596" s="53" t="str">
        <f>IF(Settings!$E$9="YAHOO",VLOOKUP(B596,ADP!A1:E728,2,FALSE),IF(Settings!$E$9="ESPN",VLOOKUP(B596,ADP!A1:E728,3,FALSE),IF(Settings!$E$9="FANTRAX",VLOOKUP(B596,ADP!A1:E728,4,FALSE),VLOOKUP(B596,ADP!A1:E728,5,FALSE))))</f>
        <v>-</v>
      </c>
      <c r="N596" s="53" t="str">
        <f>IFERROR(M596-A596,"N/A")</f>
        <v>N/A</v>
      </c>
      <c r="O596" s="39"/>
      <c r="P596" s="40" t="str">
        <f>IF(Settings!$E$27="ON",VLOOKUP(B596,ADP!A1:H728,8,FALSE)," ")</f>
        <v xml:space="preserve"> </v>
      </c>
      <c r="Q596" s="41">
        <f>IF(Settings!$E$12="YES",VLOOKUP(B596,'Player Data'!A1:E734,5,FALSE),82)</f>
        <v>52.152857142857101</v>
      </c>
      <c r="R596" s="39">
        <f>VLOOKUP(B596,'Player Data'!$A1:$AE734,6,FALSE)</f>
        <v>14.098943690605299</v>
      </c>
      <c r="S596" s="41">
        <f>VLOOKUP(B596,'Player Data'!$A1:$AE734,7,FALSE)*$Q596*IFERROR((VLOOKUP(P596,Settings!$E$28:$F$33,2,FALSE)+1),1)</f>
        <v>1.3265765200433313</v>
      </c>
      <c r="T596" s="41">
        <f>VLOOKUP(B596,'Player Data'!$A1:$AE734,8,FALSE)*$Q596*IFERROR((VLOOKUP(P596,Settings!$E$28:$F$33,2,FALSE)+1),1)</f>
        <v>8.3481986301015016</v>
      </c>
      <c r="U596" s="41">
        <f>SUM(S596:T596)</f>
        <v>9.674775150144832</v>
      </c>
      <c r="V596" s="41">
        <f>VLOOKUP(B596,'Player Data'!$A1:$AE734,10,FALSE)*$Q596*IFERROR(((VLOOKUP(P596,Settings!$E$28:$F$33,2,FALSE)/2)+1),1)</f>
        <v>40.393731729176125</v>
      </c>
      <c r="W596" s="41">
        <f>VLOOKUP(B596,'Player Data'!$A1:$AE734,11,FALSE)*$Q596*IFERROR((VLOOKUP(P596,Settings!$E$28:$F$33,2,FALSE)+1),1)</f>
        <v>1.7753620662996978E-2</v>
      </c>
      <c r="X596" s="41">
        <f>VLOOKUP(B596,'Player Data'!$A1:$AE734,12,FALSE)*$Q596*IFERROR((VLOOKUP(P596,Settings!$E$28:$F$33,2,FALSE)+1),1)</f>
        <v>0.11620203751642184</v>
      </c>
      <c r="Y596" s="41">
        <f>VLOOKUP(B596,'Player Data'!$A1:$AE734,13,FALSE)*$Q596</f>
        <v>3.3982182179247773E-3</v>
      </c>
      <c r="Z596" s="41">
        <f>VLOOKUP(B596,'Player Data'!$A1:$AE734,14,FALSE)*$Q596</f>
        <v>1.2184444563955876E-2</v>
      </c>
      <c r="AA596" s="41">
        <f>VLOOKUP(B596,'Player Data'!$A1:$AE734,15,FALSE)*$Q596</f>
        <v>55.977350790007897</v>
      </c>
      <c r="AB596" s="41">
        <f>VLOOKUP(B596,'Player Data'!$A1:$AE734,16,FALSE)*$Q596</f>
        <v>59.160958017199036</v>
      </c>
      <c r="AC596" s="41">
        <f>VLOOKUP(B596,'Player Data'!$A1:$AE734,17,FALSE)*$Q596*IFERROR((VLOOKUP(P596,Settings!$E$28:$F$33,2,FALSE)+1),1)</f>
        <v>-3.5366853484806144</v>
      </c>
      <c r="AD596" s="41">
        <f>VLOOKUP(B596,'Player Data'!$A1:$AE734,18,FALSE)*$Q596</f>
        <v>15.792247401573482</v>
      </c>
      <c r="AE596" s="41">
        <f>VLOOKUP(B596,'Player Data'!$A1:$AE734,19,FALSE)*$Q596*IFERROR((VLOOKUP(P596,Settings!$E$28:$F$33,2,FALSE)+1),1)</f>
        <v>0.15593328924490324</v>
      </c>
      <c r="AF596" s="41">
        <f>VLOOKUP(B596,'Player Data'!$A1:$AE734,20,FALSE)*$Q596</f>
        <v>0</v>
      </c>
      <c r="AG596" s="41">
        <f>VLOOKUP(B596,'Player Data'!$A1:$AE734,21,FALSE)*$Q596</f>
        <v>0</v>
      </c>
      <c r="AH596" s="42">
        <f>VLOOKUP(B596,'Player Data'!$A1:$AE734,22,FALSE)</f>
        <v>0</v>
      </c>
      <c r="AI596" s="39"/>
      <c r="AJ596" s="43"/>
      <c r="AK596" s="41"/>
      <c r="AL596" s="41"/>
      <c r="AM596" s="41"/>
      <c r="AN596" s="41"/>
      <c r="AO596" s="41"/>
      <c r="AP596" s="41"/>
      <c r="AQ596" s="44"/>
      <c r="AR596" s="45"/>
      <c r="AS596" s="39"/>
    </row>
    <row r="597" spans="1:45" ht="21.25" customHeight="1" x14ac:dyDescent="0.15">
      <c r="A597" s="31">
        <f>RANK(K597,K$2:K$727)</f>
        <v>596</v>
      </c>
      <c r="B597" s="8" t="s">
        <v>701</v>
      </c>
      <c r="C597" s="32" t="s">
        <v>106</v>
      </c>
      <c r="D597" s="33" t="str">
        <f>VLOOKUP(B597,'Player Data'!A1:D734,4,FALSE)</f>
        <v>RW</v>
      </c>
      <c r="E597" s="46">
        <f>VLOOKUP(B597,RW!A1:F97,3,FALSE)</f>
        <v>86</v>
      </c>
      <c r="F597" s="35" t="str">
        <f>VLOOKUP(B597,'Player Data'!A1:B734,2,FALSE)</f>
        <v>MIN</v>
      </c>
      <c r="G597" s="9">
        <f>VLOOKUP(B597,'Player Data'!A1:D734,3,FALSE)</f>
        <v>26</v>
      </c>
      <c r="H597" s="36">
        <f>IFERROR(VLOOKUP(B597,ADP!A1:G728,7,FALSE)/1000000,VLOOKUP(B597,ADP!A1:G728,7,FALSE))</f>
        <v>1.1000000000000001</v>
      </c>
      <c r="I597" s="37">
        <f>IF(Settings!$E$15="POINTS",((R597*Q597)*Settings!$B$12)+(S597*Settings!$B$2)+(T597*Settings!$B$3)+(U597*Settings!$B$4)+(V597*Settings!$B$5)+(X597*Settings!$B$9)+(AA597*Settings!$B$6)+(W597*Settings!$B$8)+(AB597*Settings!$B$7)+(AC597*Settings!$B$14)+(AD597*Settings!$B$15)+(AE597*Settings!$B$16)+(AF597*Settings!$B$17)+(AG597*Settings!$B$18)+(Y597*Settings!$B$10)+(Z597*Settings!$B$11),VLOOKUP(B597,'Standard Deviations'!A1:C728,3,FALSE))</f>
        <v>98.825460450654333</v>
      </c>
      <c r="J597" s="38">
        <f>IF(D597="G",I597/AJ597,I597/Q597)</f>
        <v>1.4521944153507123</v>
      </c>
      <c r="K597" s="37">
        <f>IF(Settings!$E$18="C/LW/RW",VLOOKUP(B597,RW!A1:F97,6,FALSE),VLOOKUP(B597,F!A1:F430,6,FALSE))</f>
        <v>-251.44608009723524</v>
      </c>
      <c r="L597" s="37">
        <f>IFERROR(K597/H597,"N/A")</f>
        <v>-228.58734554294111</v>
      </c>
      <c r="M597" s="53" t="str">
        <f>IF(Settings!$E$9="YAHOO",VLOOKUP(B597,ADP!A1:E728,2,FALSE),IF(Settings!$E$9="ESPN",VLOOKUP(B597,ADP!A1:E728,3,FALSE),IF(Settings!$E$9="FANTRAX",VLOOKUP(B597,ADP!A1:E728,4,FALSE),VLOOKUP(B597,ADP!A1:E728,5,FALSE))))</f>
        <v>-</v>
      </c>
      <c r="N597" s="53" t="str">
        <f>IFERROR(M597-A597,"N/A")</f>
        <v>N/A</v>
      </c>
      <c r="O597" s="39"/>
      <c r="P597" s="40" t="str">
        <f>IF(Settings!$E$27="ON",VLOOKUP(B597,ADP!A1:H728,8,FALSE)," ")</f>
        <v xml:space="preserve"> </v>
      </c>
      <c r="Q597" s="41">
        <f>IF(Settings!$E$12="YES",VLOOKUP(B597,'Player Data'!A1:E734,5,FALSE),82)</f>
        <v>68.052499999999995</v>
      </c>
      <c r="R597" s="39">
        <f>VLOOKUP(B597,'Player Data'!$A1:$AE734,6,FALSE)</f>
        <v>10.7938116821131</v>
      </c>
      <c r="S597" s="41">
        <f>VLOOKUP(B597,'Player Data'!$A1:$AE734,7,FALSE)*$Q597*IFERROR((VLOOKUP(P597,Settings!$E$28:$F$33,2,FALSE)+1),1)</f>
        <v>8.4074254353912821</v>
      </c>
      <c r="T597" s="41">
        <f>VLOOKUP(B597,'Player Data'!$A1:$AE734,8,FALSE)*$Q597*IFERROR((VLOOKUP(P597,Settings!$E$28:$F$33,2,FALSE)+1),1)</f>
        <v>6.5622394722870254</v>
      </c>
      <c r="U597" s="41">
        <f>SUM(S597:T597)</f>
        <v>14.969664907678307</v>
      </c>
      <c r="V597" s="41">
        <f>VLOOKUP(B597,'Player Data'!$A1:$AE734,10,FALSE)*$Q597*IFERROR(((VLOOKUP(P597,Settings!$E$28:$F$33,2,FALSE)/2)+1),1)</f>
        <v>94.672721943544857</v>
      </c>
      <c r="W597" s="41">
        <f>VLOOKUP(B597,'Player Data'!$A1:$AE734,11,FALSE)*$Q597*IFERROR((VLOOKUP(P597,Settings!$E$28:$F$33,2,FALSE)+1),1)</f>
        <v>5.3934897089056293E-2</v>
      </c>
      <c r="X597" s="41">
        <f>VLOOKUP(B597,'Player Data'!$A1:$AE734,12,FALSE)*$Q597*IFERROR((VLOOKUP(P597,Settings!$E$28:$F$33,2,FALSE)+1),1)</f>
        <v>0.13764430951263221</v>
      </c>
      <c r="Y597" s="41">
        <f>VLOOKUP(B597,'Player Data'!$A1:$AE734,13,FALSE)*$Q597</f>
        <v>0.73129647821591004</v>
      </c>
      <c r="Z597" s="41">
        <f>VLOOKUP(B597,'Player Data'!$A1:$AE734,14,FALSE)*$Q597</f>
        <v>0.84946253075439104</v>
      </c>
      <c r="AA597" s="41">
        <f>VLOOKUP(B597,'Player Data'!$A1:$AE734,15,FALSE)*$Q597</f>
        <v>23.029455376564592</v>
      </c>
      <c r="AB597" s="41">
        <f>VLOOKUP(B597,'Player Data'!$A1:$AE734,16,FALSE)*$Q597</f>
        <v>170.24389540714742</v>
      </c>
      <c r="AC597" s="41">
        <f>VLOOKUP(B597,'Player Data'!$A1:$AE734,17,FALSE)*$Q597*IFERROR((VLOOKUP(P597,Settings!$E$28:$F$33,2,FALSE)+1),1)</f>
        <v>1.5051006874370285</v>
      </c>
      <c r="AD597" s="41">
        <f>VLOOKUP(B597,'Player Data'!$A1:$AE734,18,FALSE)*$Q597</f>
        <v>56.194540329319473</v>
      </c>
      <c r="AE597" s="41">
        <f>VLOOKUP(B597,'Player Data'!$A1:$AE734,19,FALSE)*$Q597*IFERROR((VLOOKUP(P597,Settings!$E$28:$F$33,2,FALSE)+1),1)</f>
        <v>1.3500342402899008</v>
      </c>
      <c r="AF597" s="41">
        <f>VLOOKUP(B597,'Player Data'!$A1:$AE734,20,FALSE)*$Q597</f>
        <v>5.7861386846221485</v>
      </c>
      <c r="AG597" s="41">
        <f>VLOOKUP(B597,'Player Data'!$A1:$AE734,21,FALSE)*$Q597</f>
        <v>14.465346711555387</v>
      </c>
      <c r="AH597" s="42">
        <f>VLOOKUP(B597,'Player Data'!$A1:$AE734,22,FALSE)</f>
        <v>0.28571428571428598</v>
      </c>
      <c r="AI597" s="39"/>
      <c r="AJ597" s="43"/>
      <c r="AK597" s="41"/>
      <c r="AL597" s="41"/>
      <c r="AM597" s="41"/>
      <c r="AN597" s="41"/>
      <c r="AO597" s="41"/>
      <c r="AP597" s="41"/>
      <c r="AQ597" s="44"/>
      <c r="AR597" s="45"/>
      <c r="AS597" s="39"/>
    </row>
    <row r="598" spans="1:45" ht="21.25" customHeight="1" x14ac:dyDescent="0.15">
      <c r="A598" s="31">
        <f>RANK(K598,K$2:K$727)</f>
        <v>597</v>
      </c>
      <c r="B598" s="8" t="s">
        <v>702</v>
      </c>
      <c r="C598" s="32" t="s">
        <v>106</v>
      </c>
      <c r="D598" s="33" t="str">
        <f>VLOOKUP(B598,'Player Data'!A1:D734,4,FALSE)</f>
        <v>C</v>
      </c>
      <c r="E598" s="34">
        <f>VLOOKUP(B598,'C'!A1:C211,3,FALSE)</f>
        <v>140</v>
      </c>
      <c r="F598" s="35" t="str">
        <f>VLOOKUP(B598,'Player Data'!A1:B734,2,FALSE)</f>
        <v>UFA</v>
      </c>
      <c r="G598" s="9">
        <f>VLOOKUP(B598,'Player Data'!A1:D734,3,FALSE)</f>
        <v>25</v>
      </c>
      <c r="H598" s="36">
        <f>IFERROR(VLOOKUP(B598,ADP!A1:G728,7,FALSE)/1000000,VLOOKUP(B598,ADP!A1:G728,7,FALSE))</f>
        <v>0</v>
      </c>
      <c r="I598" s="37">
        <f>IF(Settings!$E$15="POINTS",((R598*Q598)*Settings!$B$12)+(S598*Settings!$B$2)+(T598*Settings!$B$3)+(U598*Settings!$B$4)+(V598*Settings!$B$5)+(X598*Settings!$B$9)+(AA598*Settings!$B$6)+(W598*Settings!$B$8)+(AB598*Settings!$B$7)+(AC598*Settings!$B$14)+(AD598*Settings!$B$15)+(AE598*Settings!$B$16)+(AF598*Settings!$B$17)+(AG598*Settings!$B$18)+(Y598*Settings!$B$10)+(Z598*Settings!$B$11),VLOOKUP(B598,'Standard Deviations'!A1:C728,3,FALSE))</f>
        <v>141.48279291071893</v>
      </c>
      <c r="J598" s="38">
        <f>IF(D598="G",I598/AJ598,I598/Q598)</f>
        <v>1.9878756957408183</v>
      </c>
      <c r="K598" s="37">
        <f>IF(Settings!$E$18="C/LW/RW",VLOOKUP(B598,'C'!A1:F211,6,FALSE),VLOOKUP(B598,F!A1:F430,6,FALSE))</f>
        <v>-251.84601285549073</v>
      </c>
      <c r="L598" s="52" t="str">
        <f>IFERROR(K598/H598,"N/A")</f>
        <v>N/A</v>
      </c>
      <c r="M598" s="53" t="str">
        <f>IF(Settings!$E$9="YAHOO",VLOOKUP(B598,ADP!A1:E728,2,FALSE),IF(Settings!$E$9="ESPN",VLOOKUP(B598,ADP!A1:E728,3,FALSE),IF(Settings!$E$9="FANTRAX",VLOOKUP(B598,ADP!A1:E728,4,FALSE),VLOOKUP(B598,ADP!A1:E728,5,FALSE))))</f>
        <v>-</v>
      </c>
      <c r="N598" s="53" t="str">
        <f>IFERROR(M598-A598,"N/A")</f>
        <v>N/A</v>
      </c>
      <c r="O598" s="39"/>
      <c r="P598" s="40" t="str">
        <f>IF(Settings!$E$27="ON",VLOOKUP(B598,ADP!A1:H728,8,FALSE)," ")</f>
        <v xml:space="preserve"> </v>
      </c>
      <c r="Q598" s="41">
        <f>IF(Settings!$E$12="YES",VLOOKUP(B598,'Player Data'!A1:E734,5,FALSE),82)</f>
        <v>71.172857142857097</v>
      </c>
      <c r="R598" s="39">
        <f>VLOOKUP(B598,'Player Data'!$A1:$AE734,6,FALSE)</f>
        <v>12.192987920428999</v>
      </c>
      <c r="S598" s="41">
        <f>VLOOKUP(B598,'Player Data'!$A1:$AE734,7,FALSE)*$Q598*IFERROR((VLOOKUP(P598,Settings!$E$28:$F$33,2,FALSE)+1),1)</f>
        <v>10.619582418342267</v>
      </c>
      <c r="T598" s="41">
        <f>VLOOKUP(B598,'Player Data'!$A1:$AE734,8,FALSE)*$Q598*IFERROR((VLOOKUP(P598,Settings!$E$28:$F$33,2,FALSE)+1),1)</f>
        <v>10.627565769388871</v>
      </c>
      <c r="U598" s="41">
        <f>SUM(S598:T598)</f>
        <v>21.247148187731138</v>
      </c>
      <c r="V598" s="41">
        <f>VLOOKUP(B598,'Player Data'!$A1:$AE734,10,FALSE)*$Q598*IFERROR(((VLOOKUP(P598,Settings!$E$28:$F$33,2,FALSE)/2)+1),1)</f>
        <v>137.42323492684301</v>
      </c>
      <c r="W598" s="41">
        <f>VLOOKUP(B598,'Player Data'!$A1:$AE734,11,FALSE)*$Q598*IFERROR((VLOOKUP(P598,Settings!$E$28:$F$33,2,FALSE)+1),1)</f>
        <v>8.4182518621845157E-2</v>
      </c>
      <c r="X598" s="41">
        <f>VLOOKUP(B598,'Player Data'!$A1:$AE734,12,FALSE)*$Q598*IFERROR((VLOOKUP(P598,Settings!$E$28:$F$33,2,FALSE)+1),1)</f>
        <v>0.36424594171985969</v>
      </c>
      <c r="Y598" s="41">
        <f>VLOOKUP(B598,'Player Data'!$A1:$AE734,13,FALSE)*$Q598</f>
        <v>0</v>
      </c>
      <c r="Z598" s="41">
        <f>VLOOKUP(B598,'Player Data'!$A1:$AE734,14,FALSE)*$Q598</f>
        <v>0</v>
      </c>
      <c r="AA598" s="41">
        <f>VLOOKUP(B598,'Player Data'!$A1:$AE734,15,FALSE)*$Q598</f>
        <v>41.506195003321345</v>
      </c>
      <c r="AB598" s="41">
        <f>VLOOKUP(B598,'Player Data'!$A1:$AE734,16,FALSE)*$Q598</f>
        <v>113.12039083151281</v>
      </c>
      <c r="AC598" s="41">
        <f>VLOOKUP(B598,'Player Data'!$A1:$AE734,17,FALSE)*$Q598*IFERROR((VLOOKUP(P598,Settings!$E$28:$F$33,2,FALSE)+1),1)</f>
        <v>-0.92029108080651456</v>
      </c>
      <c r="AD598" s="41">
        <f>VLOOKUP(B598,'Player Data'!$A1:$AE734,18,FALSE)*$Q598</f>
        <v>26.902619540161083</v>
      </c>
      <c r="AE598" s="41">
        <f>VLOOKUP(B598,'Player Data'!$A1:$AE734,19,FALSE)*$Q598*IFERROR((VLOOKUP(P598,Settings!$E$28:$F$33,2,FALSE)+1),1)</f>
        <v>0</v>
      </c>
      <c r="AF598" s="41">
        <f>VLOOKUP(B598,'Player Data'!$A1:$AE734,20,FALSE)*$Q598</f>
        <v>12.264216232242527</v>
      </c>
      <c r="AG598" s="41">
        <f>VLOOKUP(B598,'Player Data'!$A1:$AE734,21,FALSE)*$Q598</f>
        <v>26.05958422849498</v>
      </c>
      <c r="AH598" s="42">
        <f>VLOOKUP(B598,'Player Data'!$A1:$AE734,22,FALSE)</f>
        <v>0.320015658280216</v>
      </c>
      <c r="AI598" s="39"/>
      <c r="AJ598" s="43"/>
      <c r="AK598" s="41"/>
      <c r="AL598" s="41"/>
      <c r="AM598" s="41"/>
      <c r="AN598" s="41"/>
      <c r="AO598" s="41"/>
      <c r="AP598" s="41"/>
      <c r="AQ598" s="44"/>
      <c r="AR598" s="45"/>
      <c r="AS598" s="39"/>
    </row>
    <row r="599" spans="1:45" ht="21.25" customHeight="1" x14ac:dyDescent="0.15">
      <c r="A599" s="31">
        <f>RANK(K599,K$2:K$727)</f>
        <v>598</v>
      </c>
      <c r="B599" s="8" t="s">
        <v>703</v>
      </c>
      <c r="C599" s="32" t="s">
        <v>106</v>
      </c>
      <c r="D599" s="33" t="str">
        <f>VLOOKUP(B599,'Player Data'!A1:D734,4,FALSE)</f>
        <v>LW</v>
      </c>
      <c r="E599" s="47">
        <f>VLOOKUP(B599,LW!A1:C130,3,FALSE)</f>
        <v>104</v>
      </c>
      <c r="F599" s="35" t="str">
        <f>VLOOKUP(B599,'Player Data'!A1:B734,2,FALSE)</f>
        <v>SJS</v>
      </c>
      <c r="G599" s="9">
        <f>VLOOKUP(B599,'Player Data'!A1:D734,3,FALSE)</f>
        <v>27</v>
      </c>
      <c r="H599" s="36">
        <f>IFERROR(VLOOKUP(B599,ADP!A1:G728,7,FALSE)/1000000,VLOOKUP(B599,ADP!A1:G728,7,FALSE))</f>
        <v>2.5</v>
      </c>
      <c r="I599" s="37">
        <f>IF(Settings!$E$15="POINTS",((R599*Q599)*Settings!$B$12)+(S599*Settings!$B$2)+(T599*Settings!$B$3)+(U599*Settings!$B$4)+(V599*Settings!$B$5)+(X599*Settings!$B$9)+(AA599*Settings!$B$6)+(W599*Settings!$B$8)+(AB599*Settings!$B$7)+(AC599*Settings!$B$14)+(AD599*Settings!$B$15)+(AE599*Settings!$B$16)+(AF599*Settings!$B$17)+(AG599*Settings!$B$18)+(Y599*Settings!$B$10)+(Z599*Settings!$B$11),VLOOKUP(B599,'Standard Deviations'!A1:C728,3,FALSE))</f>
        <v>112.00037274603974</v>
      </c>
      <c r="J599" s="38">
        <f>IF(D599="G",I599/AJ599,I599/Q599)</f>
        <v>1.4151927096559105</v>
      </c>
      <c r="K599" s="37">
        <f>IF(Settings!$E$18="C/LW/RW",VLOOKUP(B599,LW!A1:F130,6,FALSE),VLOOKUP(B599,F!A1:F430,6,FALSE))</f>
        <v>-252.04023211161072</v>
      </c>
      <c r="L599" s="37">
        <f>IFERROR(K599/H599,"N/A")</f>
        <v>-100.81609284464429</v>
      </c>
      <c r="M599" s="53" t="str">
        <f>IF(Settings!$E$9="YAHOO",VLOOKUP(B599,ADP!A1:E728,2,FALSE),IF(Settings!$E$9="ESPN",VLOOKUP(B599,ADP!A1:E728,3,FALSE),IF(Settings!$E$9="FANTRAX",VLOOKUP(B599,ADP!A1:E728,4,FALSE),VLOOKUP(B599,ADP!A1:E728,5,FALSE))))</f>
        <v>-</v>
      </c>
      <c r="N599" s="53" t="str">
        <f>IFERROR(M599-A599,"N/A")</f>
        <v>N/A</v>
      </c>
      <c r="O599" s="39"/>
      <c r="P599" s="40" t="str">
        <f>IF(Settings!$E$27="ON",VLOOKUP(B599,ADP!A1:H728,8,FALSE)," ")</f>
        <v xml:space="preserve"> </v>
      </c>
      <c r="Q599" s="41">
        <f>IF(Settings!$E$12="YES",VLOOKUP(B599,'Player Data'!A1:E734,5,FALSE),82)</f>
        <v>79.141428571428605</v>
      </c>
      <c r="R599" s="39">
        <f>VLOOKUP(B599,'Player Data'!$A1:$AE734,6,FALSE)</f>
        <v>11.2311320841553</v>
      </c>
      <c r="S599" s="41">
        <f>VLOOKUP(B599,'Player Data'!$A1:$AE734,7,FALSE)*$Q599*IFERROR((VLOOKUP(P599,Settings!$E$28:$F$33,2,FALSE)+1),1)</f>
        <v>8.9588876610107171</v>
      </c>
      <c r="T599" s="41">
        <f>VLOOKUP(B599,'Player Data'!$A1:$AE734,8,FALSE)*$Q599*IFERROR((VLOOKUP(P599,Settings!$E$28:$F$33,2,FALSE)+1),1)</f>
        <v>10.637196913888747</v>
      </c>
      <c r="U599" s="41">
        <f>SUM(S599:T599)</f>
        <v>19.596084574899464</v>
      </c>
      <c r="V599" s="41">
        <f>VLOOKUP(B599,'Player Data'!$A1:$AE734,10,FALSE)*$Q599*IFERROR(((VLOOKUP(P599,Settings!$E$28:$F$33,2,FALSE)/2)+1),1)</f>
        <v>91.295850287055799</v>
      </c>
      <c r="W599" s="41">
        <f>VLOOKUP(B599,'Player Data'!$A1:$AE734,11,FALSE)*$Q599*IFERROR((VLOOKUP(P599,Settings!$E$28:$F$33,2,FALSE)+1),1)</f>
        <v>9.0710923550356079E-2</v>
      </c>
      <c r="X599" s="41">
        <f>VLOOKUP(B599,'Player Data'!$A1:$AE734,12,FALSE)*$Q599*IFERROR((VLOOKUP(P599,Settings!$E$28:$F$33,2,FALSE)+1),1)</f>
        <v>0.37966274780550097</v>
      </c>
      <c r="Y599" s="41">
        <f>VLOOKUP(B599,'Player Data'!$A1:$AE734,13,FALSE)*$Q599</f>
        <v>5.7134159999213029E-2</v>
      </c>
      <c r="Z599" s="41">
        <f>VLOOKUP(B599,'Player Data'!$A1:$AE734,14,FALSE)*$Q599</f>
        <v>0.10527833137663584</v>
      </c>
      <c r="AA599" s="41">
        <f>VLOOKUP(B599,'Player Data'!$A1:$AE734,15,FALSE)*$Q599</f>
        <v>32.971558597245803</v>
      </c>
      <c r="AB599" s="41">
        <f>VLOOKUP(B599,'Player Data'!$A1:$AE734,16,FALSE)*$Q599</f>
        <v>82.157466663537704</v>
      </c>
      <c r="AC599" s="41">
        <f>VLOOKUP(B599,'Player Data'!$A1:$AE734,17,FALSE)*$Q599*IFERROR((VLOOKUP(P599,Settings!$E$28:$F$33,2,FALSE)+1),1)</f>
        <v>-0.97947429447642931</v>
      </c>
      <c r="AD599" s="41">
        <f>VLOOKUP(B599,'Player Data'!$A1:$AE734,18,FALSE)*$Q599</f>
        <v>18.908877408081786</v>
      </c>
      <c r="AE599" s="41">
        <f>VLOOKUP(B599,'Player Data'!$A1:$AE734,19,FALSE)*$Q599*IFERROR((VLOOKUP(P599,Settings!$E$28:$F$33,2,FALSE)+1),1)</f>
        <v>1.0878037605205357</v>
      </c>
      <c r="AF599" s="41">
        <f>VLOOKUP(B599,'Player Data'!$A1:$AE734,20,FALSE)*$Q599</f>
        <v>8.6614251515286895</v>
      </c>
      <c r="AG599" s="41">
        <f>VLOOKUP(B599,'Player Data'!$A1:$AE734,21,FALSE)*$Q599</f>
        <v>10.620734272477771</v>
      </c>
      <c r="AH599" s="42">
        <f>VLOOKUP(B599,'Player Data'!$A1:$AE734,22,FALSE)</f>
        <v>0.44919373193985501</v>
      </c>
      <c r="AI599" s="39"/>
      <c r="AJ599" s="43"/>
      <c r="AK599" s="41"/>
      <c r="AL599" s="41"/>
      <c r="AM599" s="41"/>
      <c r="AN599" s="41"/>
      <c r="AO599" s="41"/>
      <c r="AP599" s="41"/>
      <c r="AQ599" s="44"/>
      <c r="AR599" s="45"/>
      <c r="AS599" s="39"/>
    </row>
    <row r="600" spans="1:45" ht="21.25" customHeight="1" x14ac:dyDescent="0.15">
      <c r="A600" s="31">
        <f>RANK(K600,K$2:K$727)</f>
        <v>599</v>
      </c>
      <c r="B600" s="8" t="s">
        <v>704</v>
      </c>
      <c r="C600" s="32" t="s">
        <v>106</v>
      </c>
      <c r="D600" s="33" t="str">
        <f>VLOOKUP(B600,'Player Data'!A1:D734,4,FALSE)</f>
        <v>C</v>
      </c>
      <c r="E600" s="34">
        <f>VLOOKUP(B600,'C'!A1:C211,3,FALSE)</f>
        <v>141</v>
      </c>
      <c r="F600" s="35" t="str">
        <f>VLOOKUP(B600,'Player Data'!A1:B734,2,FALSE)</f>
        <v>NYR</v>
      </c>
      <c r="G600" s="9">
        <f>VLOOKUP(B600,'Player Data'!A1:D734,3,FALSE)</f>
        <v>30</v>
      </c>
      <c r="H600" s="36">
        <f>IFERROR(VLOOKUP(B600,ADP!A1:G728,7,FALSE)/1000000,VLOOKUP(B600,ADP!A1:G728,7,FALSE))</f>
        <v>3.641667</v>
      </c>
      <c r="I600" s="37">
        <f>IF(Settings!$E$15="POINTS",((R600*Q600)*Settings!$B$12)+(S600*Settings!$B$2)+(T600*Settings!$B$3)+(U600*Settings!$B$4)+(V600*Settings!$B$5)+(X600*Settings!$B$9)+(AA600*Settings!$B$6)+(W600*Settings!$B$8)+(AB600*Settings!$B$7)+(AC600*Settings!$B$14)+(AD600*Settings!$B$15)+(AE600*Settings!$B$16)+(AF600*Settings!$B$17)+(AG600*Settings!$B$18)+(Y600*Settings!$B$10)+(Z600*Settings!$B$11),VLOOKUP(B600,'Standard Deviations'!A1:C728,3,FALSE))</f>
        <v>141.2540240556327</v>
      </c>
      <c r="J600" s="38">
        <f>IF(D600="G",I600/AJ600,I600/Q600)</f>
        <v>1.7337936224329042</v>
      </c>
      <c r="K600" s="37">
        <f>IF(Settings!$E$18="C/LW/RW",VLOOKUP(B600,'C'!A1:F211,6,FALSE),VLOOKUP(B600,F!A1:F430,6,FALSE))</f>
        <v>-252.07478171057696</v>
      </c>
      <c r="L600" s="37">
        <f>IFERROR(K600/H600,"N/A")</f>
        <v>-69.219613355800234</v>
      </c>
      <c r="M600" s="53" t="str">
        <f>IF(Settings!$E$9="YAHOO",VLOOKUP(B600,ADP!A1:E728,2,FALSE),IF(Settings!$E$9="ESPN",VLOOKUP(B600,ADP!A1:E728,3,FALSE),IF(Settings!$E$9="FANTRAX",VLOOKUP(B600,ADP!A1:E728,4,FALSE),VLOOKUP(B600,ADP!A1:E728,5,FALSE))))</f>
        <v>-</v>
      </c>
      <c r="N600" s="53" t="str">
        <f>IFERROR(M600-A600,"N/A")</f>
        <v>N/A</v>
      </c>
      <c r="O600" s="39"/>
      <c r="P600" s="40" t="str">
        <f>IF(Settings!$E$27="ON",VLOOKUP(B600,ADP!A1:H728,8,FALSE)," ")</f>
        <v xml:space="preserve"> </v>
      </c>
      <c r="Q600" s="41">
        <f>IF(Settings!$E$12="YES",VLOOKUP(B600,'Player Data'!A1:E734,5,FALSE),82)</f>
        <v>81.471071428571406</v>
      </c>
      <c r="R600" s="39">
        <f>VLOOKUP(B600,'Player Data'!$A1:$AE734,6,FALSE)</f>
        <v>13.6422595058278</v>
      </c>
      <c r="S600" s="41">
        <f>VLOOKUP(B600,'Player Data'!$A1:$AE734,7,FALSE)*$Q600*IFERROR((VLOOKUP(P600,Settings!$E$28:$F$33,2,FALSE)+1),1)</f>
        <v>9.5362094751608026</v>
      </c>
      <c r="T600" s="41">
        <f>VLOOKUP(B600,'Player Data'!$A1:$AE734,8,FALSE)*$Q600*IFERROR((VLOOKUP(P600,Settings!$E$28:$F$33,2,FALSE)+1),1)</f>
        <v>17.542942943690605</v>
      </c>
      <c r="U600" s="41">
        <f>SUM(S600:T600)</f>
        <v>27.079152418851407</v>
      </c>
      <c r="V600" s="41">
        <f>VLOOKUP(B600,'Player Data'!$A1:$AE734,10,FALSE)*$Q600*IFERROR(((VLOOKUP(P600,Settings!$E$28:$F$33,2,FALSE)/2)+1),1)</f>
        <v>91.075550217738552</v>
      </c>
      <c r="W600" s="41">
        <f>VLOOKUP(B600,'Player Data'!$A1:$AE734,11,FALSE)*$Q600*IFERROR((VLOOKUP(P600,Settings!$E$28:$F$33,2,FALSE)+1),1)</f>
        <v>0.20628030342270351</v>
      </c>
      <c r="X600" s="41">
        <f>VLOOKUP(B600,'Player Data'!$A1:$AE734,12,FALSE)*$Q600*IFERROR((VLOOKUP(P600,Settings!$E$28:$F$33,2,FALSE)+1),1)</f>
        <v>0.37373822229965309</v>
      </c>
      <c r="Y600" s="41">
        <f>VLOOKUP(B600,'Player Data'!$A1:$AE734,13,FALSE)*$Q600</f>
        <v>0.35910100751801227</v>
      </c>
      <c r="Z600" s="41">
        <f>VLOOKUP(B600,'Player Data'!$A1:$AE734,14,FALSE)*$Q600</f>
        <v>1.4181680594507615</v>
      </c>
      <c r="AA600" s="41">
        <f>VLOOKUP(B600,'Player Data'!$A1:$AE734,15,FALSE)*$Q600</f>
        <v>54.47489563354187</v>
      </c>
      <c r="AB600" s="41">
        <f>VLOOKUP(B600,'Player Data'!$A1:$AE734,16,FALSE)*$Q600</f>
        <v>115.52747534342033</v>
      </c>
      <c r="AC600" s="41">
        <f>VLOOKUP(B600,'Player Data'!$A1:$AE734,17,FALSE)*$Q600*IFERROR((VLOOKUP(P600,Settings!$E$28:$F$33,2,FALSE)+1),1)</f>
        <v>4.0168537670669764</v>
      </c>
      <c r="AD600" s="41">
        <f>VLOOKUP(B600,'Player Data'!$A1:$AE734,18,FALSE)*$Q600</f>
        <v>51.043162769024654</v>
      </c>
      <c r="AE600" s="41">
        <f>VLOOKUP(B600,'Player Data'!$A1:$AE734,19,FALSE)*$Q600*IFERROR((VLOOKUP(P600,Settings!$E$28:$F$33,2,FALSE)+1),1)</f>
        <v>1.6249522869028337</v>
      </c>
      <c r="AF600" s="41">
        <f>VLOOKUP(B600,'Player Data'!$A1:$AE734,20,FALSE)*$Q600</f>
        <v>270.04291762968677</v>
      </c>
      <c r="AG600" s="41">
        <f>VLOOKUP(B600,'Player Data'!$A1:$AE734,21,FALSE)*$Q600</f>
        <v>292.43263730182719</v>
      </c>
      <c r="AH600" s="42">
        <f>VLOOKUP(B600,'Player Data'!$A1:$AE734,22,FALSE)</f>
        <v>0.48009716202256397</v>
      </c>
      <c r="AI600" s="39"/>
      <c r="AJ600" s="43"/>
      <c r="AK600" s="41"/>
      <c r="AL600" s="41"/>
      <c r="AM600" s="41"/>
      <c r="AN600" s="41"/>
      <c r="AO600" s="41"/>
      <c r="AP600" s="41"/>
      <c r="AQ600" s="44"/>
      <c r="AR600" s="45"/>
      <c r="AS600" s="39"/>
    </row>
    <row r="601" spans="1:45" ht="21.25" customHeight="1" x14ac:dyDescent="0.15">
      <c r="A601" s="31">
        <f>RANK(K601,K$2:K$727)</f>
        <v>600</v>
      </c>
      <c r="B601" s="8" t="s">
        <v>705</v>
      </c>
      <c r="C601" s="32" t="s">
        <v>106</v>
      </c>
      <c r="D601" s="33" t="str">
        <f>VLOOKUP(B601,'Player Data'!A1:D734,4,FALSE)</f>
        <v>LW</v>
      </c>
      <c r="E601" s="47">
        <f>VLOOKUP(B601,LW!A1:C130,3,FALSE)</f>
        <v>105</v>
      </c>
      <c r="F601" s="35" t="str">
        <f>VLOOKUP(B601,'Player Data'!A1:B734,2,FALSE)</f>
        <v>ARI</v>
      </c>
      <c r="G601" s="9">
        <f>VLOOKUP(B601,'Player Data'!A1:D734,3,FALSE)</f>
        <v>28</v>
      </c>
      <c r="H601" s="36">
        <f>IFERROR(VLOOKUP(B601,ADP!A1:G728,7,FALSE)/1000000,VLOOKUP(B601,ADP!A1:G728,7,FALSE))</f>
        <v>0.8</v>
      </c>
      <c r="I601" s="37">
        <f>IF(Settings!$E$15="POINTS",((R601*Q601)*Settings!$B$12)+(S601*Settings!$B$2)+(T601*Settings!$B$3)+(U601*Settings!$B$4)+(V601*Settings!$B$5)+(X601*Settings!$B$9)+(AA601*Settings!$B$6)+(W601*Settings!$B$8)+(AB601*Settings!$B$7)+(AC601*Settings!$B$14)+(AD601*Settings!$B$15)+(AE601*Settings!$B$16)+(AF601*Settings!$B$17)+(AG601*Settings!$B$18)+(Y601*Settings!$B$10)+(Z601*Settings!$B$11),VLOOKUP(B601,'Standard Deviations'!A1:C728,3,FALSE))</f>
        <v>111.34299494393336</v>
      </c>
      <c r="J601" s="38">
        <f>IF(D601="G",I601/AJ601,I601/Q601)</f>
        <v>1.7958547571602155</v>
      </c>
      <c r="K601" s="37">
        <f>IF(Settings!$E$18="C/LW/RW",VLOOKUP(B601,LW!A1:F130,6,FALSE),VLOOKUP(B601,F!A1:F430,6,FALSE))</f>
        <v>-252.69760991371709</v>
      </c>
      <c r="L601" s="37">
        <f>IFERROR(K601/H601,"N/A")</f>
        <v>-315.87201239214636</v>
      </c>
      <c r="M601" s="53" t="str">
        <f>IF(Settings!$E$9="YAHOO",VLOOKUP(B601,ADP!A1:E728,2,FALSE),IF(Settings!$E$9="ESPN",VLOOKUP(B601,ADP!A1:E728,3,FALSE),IF(Settings!$E$9="FANTRAX",VLOOKUP(B601,ADP!A1:E728,4,FALSE),VLOOKUP(B601,ADP!A1:E728,5,FALSE))))</f>
        <v>-</v>
      </c>
      <c r="N601" s="53" t="str">
        <f>IFERROR(M601-A601,"N/A")</f>
        <v>N/A</v>
      </c>
      <c r="O601" s="39"/>
      <c r="P601" s="40" t="str">
        <f>IF(Settings!$E$27="ON",VLOOKUP(B601,ADP!A1:H728,8,FALSE)," ")</f>
        <v xml:space="preserve"> </v>
      </c>
      <c r="Q601" s="41">
        <f>IF(Settings!$E$12="YES",VLOOKUP(B601,'Player Data'!A1:E734,5,FALSE),82)</f>
        <v>62</v>
      </c>
      <c r="R601" s="39">
        <f>VLOOKUP(B601,'Player Data'!$A1:$AE734,6,FALSE)</f>
        <v>13.5060416666667</v>
      </c>
      <c r="S601" s="41">
        <f>VLOOKUP(B601,'Player Data'!$A1:$AE734,7,FALSE)*$Q601*IFERROR((VLOOKUP(P601,Settings!$E$28:$F$33,2,FALSE)+1),1)</f>
        <v>8.4860721984642282</v>
      </c>
      <c r="T601" s="41">
        <f>VLOOKUP(B601,'Player Data'!$A1:$AE734,8,FALSE)*$Q601*IFERROR((VLOOKUP(P601,Settings!$E$28:$F$33,2,FALSE)+1),1)</f>
        <v>9.3001334972782335</v>
      </c>
      <c r="U601" s="41">
        <f>SUM(S601:T601)</f>
        <v>17.78620569574246</v>
      </c>
      <c r="V601" s="41">
        <f>VLOOKUP(B601,'Player Data'!$A1:$AE734,10,FALSE)*$Q601*IFERROR(((VLOOKUP(P601,Settings!$E$28:$F$33,2,FALSE)/2)+1),1)</f>
        <v>81.966062596383196</v>
      </c>
      <c r="W601" s="41">
        <f>VLOOKUP(B601,'Player Data'!$A1:$AE734,11,FALSE)*$Q601*IFERROR((VLOOKUP(P601,Settings!$E$28:$F$33,2,FALSE)+1),1)</f>
        <v>1.590691206174899</v>
      </c>
      <c r="X601" s="41">
        <f>VLOOKUP(B601,'Player Data'!$A1:$AE734,12,FALSE)*$Q601*IFERROR((VLOOKUP(P601,Settings!$E$28:$F$33,2,FALSE)+1),1)</f>
        <v>3.3364135345580599</v>
      </c>
      <c r="Y601" s="41">
        <f>VLOOKUP(B601,'Player Data'!$A1:$AE734,13,FALSE)*$Q601</f>
        <v>4.1794895859599043E-2</v>
      </c>
      <c r="Z601" s="41">
        <f>VLOOKUP(B601,'Player Data'!$A1:$AE734,14,FALSE)*$Q601</f>
        <v>0.14640520156825484</v>
      </c>
      <c r="AA601" s="41">
        <f>VLOOKUP(B601,'Player Data'!$A1:$AE734,15,FALSE)*$Q601</f>
        <v>50.178545431308706</v>
      </c>
      <c r="AB601" s="41">
        <f>VLOOKUP(B601,'Player Data'!$A1:$AE734,16,FALSE)*$Q601</f>
        <v>101.82221180048811</v>
      </c>
      <c r="AC601" s="41">
        <f>VLOOKUP(B601,'Player Data'!$A1:$AE734,17,FALSE)*$Q601*IFERROR((VLOOKUP(P601,Settings!$E$28:$F$33,2,FALSE)+1),1)</f>
        <v>-0.41160167846147633</v>
      </c>
      <c r="AD601" s="41">
        <f>VLOOKUP(B601,'Player Data'!$A1:$AE734,18,FALSE)*$Q601</f>
        <v>28.079123901388034</v>
      </c>
      <c r="AE601" s="41">
        <f>VLOOKUP(B601,'Player Data'!$A1:$AE734,19,FALSE)*$Q601*IFERROR((VLOOKUP(P601,Settings!$E$28:$F$33,2,FALSE)+1),1)</f>
        <v>1.0459083626765862</v>
      </c>
      <c r="AF601" s="41">
        <f>VLOOKUP(B601,'Player Data'!$A1:$AE734,20,FALSE)*$Q601</f>
        <v>11.643536256750339</v>
      </c>
      <c r="AG601" s="41">
        <f>VLOOKUP(B601,'Player Data'!$A1:$AE734,21,FALSE)*$Q601</f>
        <v>31.584857683407844</v>
      </c>
      <c r="AH601" s="42">
        <f>VLOOKUP(B601,'Player Data'!$A1:$AE734,22,FALSE)</f>
        <v>0.26934926781847801</v>
      </c>
      <c r="AI601" s="39"/>
      <c r="AJ601" s="43"/>
      <c r="AK601" s="41"/>
      <c r="AL601" s="41"/>
      <c r="AM601" s="41"/>
      <c r="AN601" s="41"/>
      <c r="AO601" s="41"/>
      <c r="AP601" s="41"/>
      <c r="AQ601" s="44"/>
      <c r="AR601" s="45"/>
      <c r="AS601" s="39"/>
    </row>
    <row r="602" spans="1:45" ht="21.25" customHeight="1" x14ac:dyDescent="0.15">
      <c r="A602" s="31">
        <f>RANK(K602,K$2:K$727)</f>
        <v>601</v>
      </c>
      <c r="B602" s="8" t="s">
        <v>706</v>
      </c>
      <c r="C602" s="32" t="s">
        <v>106</v>
      </c>
      <c r="D602" s="33" t="str">
        <f>VLOOKUP(B602,'Player Data'!A1:D734,4,FALSE)</f>
        <v>LW</v>
      </c>
      <c r="E602" s="47">
        <f>VLOOKUP(B602,LW!A1:C130,3,FALSE)</f>
        <v>106</v>
      </c>
      <c r="F602" s="35" t="str">
        <f>VLOOKUP(B602,'Player Data'!A1:B734,2,FALSE)</f>
        <v>CHI</v>
      </c>
      <c r="G602" s="9">
        <f>VLOOKUP(B602,'Player Data'!A1:D734,3,FALSE)</f>
        <v>35</v>
      </c>
      <c r="H602" s="36">
        <f>IFERROR(VLOOKUP(B602,ADP!A1:G728,7,FALSE)/1000000,VLOOKUP(B602,ADP!A1:G728,7,FALSE))</f>
        <v>4</v>
      </c>
      <c r="I602" s="37">
        <f>IF(Settings!$E$15="POINTS",((R602*Q602)*Settings!$B$12)+(S602*Settings!$B$2)+(T602*Settings!$B$3)+(U602*Settings!$B$4)+(V602*Settings!$B$5)+(X602*Settings!$B$9)+(AA602*Settings!$B$6)+(W602*Settings!$B$8)+(AB602*Settings!$B$7)+(AC602*Settings!$B$14)+(AD602*Settings!$B$15)+(AE602*Settings!$B$16)+(AF602*Settings!$B$17)+(AG602*Settings!$B$18)+(Y602*Settings!$B$10)+(Z602*Settings!$B$11),VLOOKUP(B602,'Standard Deviations'!A1:C728,3,FALSE))</f>
        <v>110.45577645334315</v>
      </c>
      <c r="J602" s="38">
        <f>IF(D602="G",I602/AJ602,I602/Q602)</f>
        <v>1.4801444080850004</v>
      </c>
      <c r="K602" s="37">
        <f>IF(Settings!$E$18="C/LW/RW",VLOOKUP(B602,LW!A1:F130,6,FALSE),VLOOKUP(B602,F!A1:F430,6,FALSE))</f>
        <v>-253.5848284043073</v>
      </c>
      <c r="L602" s="37">
        <f>IFERROR(K602/H602,"N/A")</f>
        <v>-63.396207101076826</v>
      </c>
      <c r="M602" s="53" t="str">
        <f>IF(Settings!$E$9="YAHOO",VLOOKUP(B602,ADP!A1:E728,2,FALSE),IF(Settings!$E$9="ESPN",VLOOKUP(B602,ADP!A1:E728,3,FALSE),IF(Settings!$E$9="FANTRAX",VLOOKUP(B602,ADP!A1:E728,4,FALSE),VLOOKUP(B602,ADP!A1:E728,5,FALSE))))</f>
        <v>-</v>
      </c>
      <c r="N602" s="53" t="str">
        <f>IFERROR(M602-A602,"N/A")</f>
        <v>N/A</v>
      </c>
      <c r="O602" s="39"/>
      <c r="P602" s="40" t="str">
        <f>IF(Settings!$E$27="ON",VLOOKUP(B602,ADP!A1:H728,8,FALSE)," ")</f>
        <v xml:space="preserve"> </v>
      </c>
      <c r="Q602" s="41">
        <f>IF(Settings!$E$12="YES",VLOOKUP(B602,'Player Data'!A1:E734,5,FALSE),82)</f>
        <v>74.625</v>
      </c>
      <c r="R602" s="39">
        <f>VLOOKUP(B602,'Player Data'!$A1:$AE734,6,FALSE)</f>
        <v>11.926720266768299</v>
      </c>
      <c r="S602" s="41">
        <f>VLOOKUP(B602,'Player Data'!$A1:$AE734,7,FALSE)*$Q602*IFERROR((VLOOKUP(P602,Settings!$E$28:$F$33,2,FALSE)+1),1)</f>
        <v>5.8262583899387188</v>
      </c>
      <c r="T602" s="41">
        <f>VLOOKUP(B602,'Player Data'!$A1:$AE734,8,FALSE)*$Q602*IFERROR((VLOOKUP(P602,Settings!$E$28:$F$33,2,FALSE)+1),1)</f>
        <v>13.007784102107454</v>
      </c>
      <c r="U602" s="41">
        <f>SUM(S602:T602)</f>
        <v>18.834042492046173</v>
      </c>
      <c r="V602" s="41">
        <f>VLOOKUP(B602,'Player Data'!$A1:$AE734,10,FALSE)*$Q602*IFERROR(((VLOOKUP(P602,Settings!$E$28:$F$33,2,FALSE)/2)+1),1)</f>
        <v>86.186967317276469</v>
      </c>
      <c r="W602" s="41">
        <f>VLOOKUP(B602,'Player Data'!$A1:$AE734,11,FALSE)*$Q602*IFERROR((VLOOKUP(P602,Settings!$E$28:$F$33,2,FALSE)+1),1)</f>
        <v>0.13665710719317078</v>
      </c>
      <c r="X602" s="41">
        <f>VLOOKUP(B602,'Player Data'!$A1:$AE734,12,FALSE)*$Q602*IFERROR((VLOOKUP(P602,Settings!$E$28:$F$33,2,FALSE)+1),1)</f>
        <v>0.39164486975324658</v>
      </c>
      <c r="Y602" s="41">
        <f>VLOOKUP(B602,'Player Data'!$A1:$AE734,13,FALSE)*$Q602</f>
        <v>0.15138985602630817</v>
      </c>
      <c r="Z602" s="41">
        <f>VLOOKUP(B602,'Player Data'!$A1:$AE734,14,FALSE)*$Q602</f>
        <v>1.1108464699594023</v>
      </c>
      <c r="AA602" s="41">
        <f>VLOOKUP(B602,'Player Data'!$A1:$AE734,15,FALSE)*$Q602</f>
        <v>39.275913195705478</v>
      </c>
      <c r="AB602" s="41">
        <f>VLOOKUP(B602,'Player Data'!$A1:$AE734,16,FALSE)*$Q602</f>
        <v>172.2008566791645</v>
      </c>
      <c r="AC602" s="41">
        <f>VLOOKUP(B602,'Player Data'!$A1:$AE734,17,FALSE)*$Q602*IFERROR((VLOOKUP(P602,Settings!$E$28:$F$33,2,FALSE)+1),1)</f>
        <v>-5.1646555408419363</v>
      </c>
      <c r="AD602" s="41">
        <f>VLOOKUP(B602,'Player Data'!$A1:$AE734,18,FALSE)*$Q602</f>
        <v>45.493323712556958</v>
      </c>
      <c r="AE602" s="41">
        <f>VLOOKUP(B602,'Player Data'!$A1:$AE734,19,FALSE)*$Q602*IFERROR((VLOOKUP(P602,Settings!$E$28:$F$33,2,FALSE)+1),1)</f>
        <v>0.68273000020631525</v>
      </c>
      <c r="AF602" s="41">
        <f>VLOOKUP(B602,'Player Data'!$A1:$AE734,20,FALSE)*$Q602</f>
        <v>58.123322080074871</v>
      </c>
      <c r="AG602" s="41">
        <f>VLOOKUP(B602,'Player Data'!$A1:$AE734,21,FALSE)*$Q602</f>
        <v>51.57938215272722</v>
      </c>
      <c r="AH602" s="42">
        <f>VLOOKUP(B602,'Player Data'!$A1:$AE734,22,FALSE)</f>
        <v>0.52982579131987795</v>
      </c>
      <c r="AI602" s="39"/>
      <c r="AJ602" s="43"/>
      <c r="AK602" s="41"/>
      <c r="AL602" s="41"/>
      <c r="AM602" s="41"/>
      <c r="AN602" s="41"/>
      <c r="AO602" s="41"/>
      <c r="AP602" s="41"/>
      <c r="AQ602" s="44"/>
      <c r="AR602" s="45"/>
      <c r="AS602" s="39"/>
    </row>
    <row r="603" spans="1:45" ht="21.25" customHeight="1" x14ac:dyDescent="0.15">
      <c r="A603" s="31">
        <f>RANK(K603,K$2:K$727)</f>
        <v>602</v>
      </c>
      <c r="B603" s="8" t="s">
        <v>707</v>
      </c>
      <c r="C603" s="32" t="s">
        <v>106</v>
      </c>
      <c r="D603" s="33" t="str">
        <f>VLOOKUP(B603,'Player Data'!A1:D734,4,FALSE)</f>
        <v>G</v>
      </c>
      <c r="E603" s="50">
        <f>VLOOKUP(B603,G!A1:D75,3,FALSE)</f>
        <v>49</v>
      </c>
      <c r="F603" s="35" t="str">
        <f>VLOOKUP(B603,'Player Data'!A1:B734,2,FALSE)</f>
        <v>NYR</v>
      </c>
      <c r="G603" s="9">
        <f>VLOOKUP(B603,'Player Data'!A1:D734,3,FALSE)</f>
        <v>37</v>
      </c>
      <c r="H603" s="36">
        <f>IFERROR(VLOOKUP(B603,ADP!A1:G728,7,FALSE)/1000000,VLOOKUP(B603,ADP!A1:G728,7,FALSE))</f>
        <v>0</v>
      </c>
      <c r="I603" s="37">
        <f>IF(Settings!$E$15="POINTS",(AJ603*Settings!$B$29)+(AK603*Settings!$B$21)+(AL603*Settings!$B$22)+(AN603*Settings!$B$24)+(AO603*Settings!$B$25)+(AP603*Settings!$B$27)+(AM603*Settings!$B$23),VLOOKUP(B603,'Standard Deviations'!A1:C728,3,FALSE))</f>
        <v>145.06839391805235</v>
      </c>
      <c r="J603" s="38">
        <f>IF(D603="G",I603/AJ603,I603/Q603)</f>
        <v>6.0445164132521816</v>
      </c>
      <c r="K603" s="37">
        <f>VLOOKUP(B603,G!A1:F75,6,FALSE)</f>
        <v>-253.70726817126385</v>
      </c>
      <c r="L603" s="52" t="str">
        <f>IFERROR(K603/H603,"N/A")</f>
        <v>N/A</v>
      </c>
      <c r="M603" s="53" t="str">
        <f>IF(Settings!$E$9="YAHOO",VLOOKUP(B603,ADP!A1:E728,2,FALSE),IF(Settings!$E$9="ESPN",VLOOKUP(B603,ADP!A1:E728,3,FALSE),IF(Settings!$E$9="FANTRAX",VLOOKUP(B603,ADP!A1:E728,4,FALSE),VLOOKUP(B603,ADP!A1:E728,5,FALSE))))</f>
        <v>-</v>
      </c>
      <c r="N603" s="53" t="str">
        <f>IFERROR(M603-A603,"N/A")</f>
        <v>N/A</v>
      </c>
      <c r="O603" s="39"/>
      <c r="P603" s="40" t="str">
        <f>IF(Settings!$E$27="ON",VLOOKUP(B603,ADP!A1:H728,8,FALSE)," ")</f>
        <v xml:space="preserve"> </v>
      </c>
      <c r="Q603" s="41"/>
      <c r="R603" s="5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2"/>
      <c r="AI603" s="39"/>
      <c r="AJ603" s="43">
        <f>VLOOKUP(B603,'Player Data'!$A1:$AE734,24,FALSE)</f>
        <v>24</v>
      </c>
      <c r="AK603" s="41">
        <f>VLOOKUP(B603,'Player Data'!$A1:$AE734,25,FALSE)*$AJ603*IFERROR((VLOOKUP(P603,Settings!$E$28:$F$33,2,FALSE)+1),1)</f>
        <v>13.239813376589375</v>
      </c>
      <c r="AL603" s="41">
        <f>AJ603-AK603-AM603</f>
        <v>7.7601866234106254</v>
      </c>
      <c r="AM603" s="41">
        <f>VLOOKUP(B603,'Player Data'!$A1:$AE734,27,FALSE)*$AJ603</f>
        <v>3</v>
      </c>
      <c r="AN603" s="41">
        <f>VLOOKUP(B603,'Player Data'!$A1:$AE734,28,FALSE)*AJ603</f>
        <v>0.74598704994933118</v>
      </c>
      <c r="AO603" s="41">
        <f>VLOOKUP(B603,'Player Data'!$A1:$AE734,29,FALSE)*$AJ603*IFERROR((VLOOKUP(P603,Settings!$E$28:$F$33,2,FALSE)/4)+1,1)</f>
        <v>659.53696592525284</v>
      </c>
      <c r="AP603" s="41">
        <f>VLOOKUP(B603,'Player Data'!$A1:$AE734,31,FALSE)*$AJ603*(IFERROR(1-(VLOOKUP(P603,Settings!$E$28:$F$33,2,FALSE)/4),1))</f>
        <v>75.303834424746952</v>
      </c>
      <c r="AQ603" s="44">
        <f>1-(AP603/(AO603+AP603))</f>
        <v>0.89752360730530989</v>
      </c>
      <c r="AR603" s="45">
        <f>AP603/AJ603</f>
        <v>3.1376597676977895</v>
      </c>
      <c r="AS603" s="39"/>
    </row>
    <row r="604" spans="1:45" ht="21.25" customHeight="1" x14ac:dyDescent="0.15">
      <c r="A604" s="31">
        <f>RANK(K604,K$2:K$727)</f>
        <v>603</v>
      </c>
      <c r="B604" s="8" t="s">
        <v>708</v>
      </c>
      <c r="C604" s="32" t="s">
        <v>106</v>
      </c>
      <c r="D604" s="33" t="str">
        <f>VLOOKUP(B604,'Player Data'!A1:D734,4,FALSE)</f>
        <v>C</v>
      </c>
      <c r="E604" s="34">
        <f>VLOOKUP(B604,'C'!A1:C211,3,FALSE)</f>
        <v>142</v>
      </c>
      <c r="F604" s="35" t="str">
        <f>VLOOKUP(B604,'Player Data'!A1:B734,2,FALSE)</f>
        <v>TOR</v>
      </c>
      <c r="G604" s="9">
        <f>VLOOKUP(B604,'Player Data'!A1:D734,3,FALSE)</f>
        <v>28</v>
      </c>
      <c r="H604" s="36">
        <f>IFERROR(VLOOKUP(B604,ADP!A1:G728,7,FALSE)/1000000,VLOOKUP(B604,ADP!A1:G728,7,FALSE))</f>
        <v>2.5</v>
      </c>
      <c r="I604" s="37">
        <f>IF(Settings!$E$15="POINTS",((R604*Q604)*Settings!$B$12)+(S604*Settings!$B$2)+(T604*Settings!$B$3)+(U604*Settings!$B$4)+(V604*Settings!$B$5)+(X604*Settings!$B$9)+(AA604*Settings!$B$6)+(W604*Settings!$B$8)+(AB604*Settings!$B$7)+(AC604*Settings!$B$14)+(AD604*Settings!$B$15)+(AE604*Settings!$B$16)+(AF604*Settings!$B$17)+(AG604*Settings!$B$18)+(Y604*Settings!$B$10)+(Z604*Settings!$B$11),VLOOKUP(B604,'Standard Deviations'!A1:C728,3,FALSE))</f>
        <v>139.38448241226629</v>
      </c>
      <c r="J604" s="38">
        <f>IF(D604="G",I604/AJ604,I604/Q604)</f>
        <v>1.699189106574013</v>
      </c>
      <c r="K604" s="37">
        <f>IF(Settings!$E$18="C/LW/RW",VLOOKUP(B604,'C'!A1:F211,6,FALSE),VLOOKUP(B604,F!A1:F430,6,FALSE))</f>
        <v>-253.94432335394336</v>
      </c>
      <c r="L604" s="37">
        <f>IFERROR(K604/H604,"N/A")</f>
        <v>-101.57772934157734</v>
      </c>
      <c r="M604" s="39">
        <f>IF(Settings!$E$9="YAHOO",VLOOKUP(B604,ADP!A1:E728,2,FALSE),IF(Settings!$E$9="ESPN",VLOOKUP(B604,ADP!A1:E728,3,FALSE),IF(Settings!$E$9="FANTRAX",VLOOKUP(B604,ADP!A1:E728,4,FALSE),VLOOKUP(B604,ADP!A1:E728,5,FALSE))))</f>
        <v>145.80000000000001</v>
      </c>
      <c r="N604" s="39">
        <f>IFERROR(M604-A604,"N/A")</f>
        <v>-457.2</v>
      </c>
      <c r="O604" s="39"/>
      <c r="P604" s="40" t="str">
        <f>IF(Settings!$E$27="ON",VLOOKUP(B604,ADP!A1:H728,8,FALSE)," ")</f>
        <v xml:space="preserve"> </v>
      </c>
      <c r="Q604" s="41">
        <f>IF(Settings!$E$12="YES",VLOOKUP(B604,'Player Data'!A1:E734,5,FALSE),82)</f>
        <v>82.03</v>
      </c>
      <c r="R604" s="39">
        <f>VLOOKUP(B604,'Player Data'!$A1:$AE734,6,FALSE)</f>
        <v>14.881329360046401</v>
      </c>
      <c r="S604" s="41">
        <f>VLOOKUP(B604,'Player Data'!$A1:$AE734,7,FALSE)*$Q604*IFERROR((VLOOKUP(P604,Settings!$E$28:$F$33,2,FALSE)+1),1)</f>
        <v>7.9068002012776688</v>
      </c>
      <c r="T604" s="41">
        <f>VLOOKUP(B604,'Player Data'!$A1:$AE734,8,FALSE)*$Q604*IFERROR((VLOOKUP(P604,Settings!$E$28:$F$33,2,FALSE)+1),1)</f>
        <v>17.600498971851593</v>
      </c>
      <c r="U604" s="41">
        <f>SUM(S604:T604)</f>
        <v>25.507299173129262</v>
      </c>
      <c r="V604" s="41">
        <f>VLOOKUP(B604,'Player Data'!$A1:$AE734,10,FALSE)*$Q604*IFERROR(((VLOOKUP(P604,Settings!$E$28:$F$33,2,FALSE)/2)+1),1)</f>
        <v>104.08035258717619</v>
      </c>
      <c r="W604" s="41">
        <f>VLOOKUP(B604,'Player Data'!$A1:$AE734,11,FALSE)*$Q604*IFERROR((VLOOKUP(P604,Settings!$E$28:$F$33,2,FALSE)+1),1)</f>
        <v>5.6133041734380537E-2</v>
      </c>
      <c r="X604" s="41">
        <f>VLOOKUP(B604,'Player Data'!$A1:$AE734,12,FALSE)*$Q604*IFERROR((VLOOKUP(P604,Settings!$E$28:$F$33,2,FALSE)+1),1)</f>
        <v>0.14595024433504744</v>
      </c>
      <c r="Y604" s="41">
        <f>VLOOKUP(B604,'Player Data'!$A1:$AE734,13,FALSE)*$Q604</f>
        <v>0.63896839606680333</v>
      </c>
      <c r="Z604" s="41">
        <f>VLOOKUP(B604,'Player Data'!$A1:$AE734,14,FALSE)*$Q604</f>
        <v>2.3491458499788282</v>
      </c>
      <c r="AA604" s="41">
        <f>VLOOKUP(B604,'Player Data'!$A1:$AE734,15,FALSE)*$Q604</f>
        <v>29.16108205331323</v>
      </c>
      <c r="AB604" s="41">
        <f>VLOOKUP(B604,'Player Data'!$A1:$AE734,16,FALSE)*$Q604</f>
        <v>75.081867358891827</v>
      </c>
      <c r="AC604" s="41">
        <f>VLOOKUP(B604,'Player Data'!$A1:$AE734,17,FALSE)*$Q604*IFERROR((VLOOKUP(P604,Settings!$E$28:$F$33,2,FALSE)+1),1)</f>
        <v>3.4393306118812244</v>
      </c>
      <c r="AD604" s="41">
        <f>VLOOKUP(B604,'Player Data'!$A1:$AE734,18,FALSE)*$Q604</f>
        <v>18.402333422731381</v>
      </c>
      <c r="AE604" s="41">
        <f>VLOOKUP(B604,'Player Data'!$A1:$AE734,19,FALSE)*$Q604*IFERROR((VLOOKUP(P604,Settings!$E$28:$F$33,2,FALSE)+1),1)</f>
        <v>1.2702253507396208</v>
      </c>
      <c r="AF604" s="41">
        <f>VLOOKUP(B604,'Player Data'!$A1:$AE734,20,FALSE)*$Q604</f>
        <v>586.50894768763578</v>
      </c>
      <c r="AG604" s="41">
        <f>VLOOKUP(B604,'Player Data'!$A1:$AE734,21,FALSE)*$Q604</f>
        <v>536.07226847899096</v>
      </c>
      <c r="AH604" s="42">
        <f>VLOOKUP(B604,'Player Data'!$A1:$AE734,22,FALSE)</f>
        <v>0.52246460143920603</v>
      </c>
      <c r="AI604" s="39"/>
      <c r="AJ604" s="41"/>
      <c r="AK604" s="41"/>
      <c r="AL604" s="41"/>
      <c r="AM604" s="41"/>
      <c r="AN604" s="41"/>
      <c r="AO604" s="41"/>
      <c r="AP604" s="41"/>
      <c r="AQ604" s="44"/>
      <c r="AR604" s="45"/>
      <c r="AS604" s="39"/>
    </row>
    <row r="605" spans="1:45" ht="21.25" customHeight="1" x14ac:dyDescent="0.15">
      <c r="A605" s="31">
        <f>RANK(K605,K$2:K$727)</f>
        <v>604</v>
      </c>
      <c r="B605" s="8" t="s">
        <v>709</v>
      </c>
      <c r="C605" s="32" t="s">
        <v>106</v>
      </c>
      <c r="D605" s="33" t="str">
        <f>VLOOKUP(B605,'Player Data'!A1:D734,4,FALSE)</f>
        <v>C</v>
      </c>
      <c r="E605" s="34">
        <f>VLOOKUP(B605,'C'!A1:C211,3,FALSE)</f>
        <v>143</v>
      </c>
      <c r="F605" s="35" t="str">
        <f>VLOOKUP(B605,'Player Data'!A1:B734,2,FALSE)</f>
        <v>EDM</v>
      </c>
      <c r="G605" s="9">
        <f>VLOOKUP(B605,'Player Data'!A1:D734,3,FALSE)</f>
        <v>30</v>
      </c>
      <c r="H605" s="36">
        <f>IFERROR(VLOOKUP(B605,ADP!A1:G728,7,FALSE)/1000000,VLOOKUP(B605,ADP!A1:G728,7,FALSE))</f>
        <v>1</v>
      </c>
      <c r="I605" s="37">
        <f>IF(Settings!$E$15="POINTS",((R605*Q605)*Settings!$B$12)+(S605*Settings!$B$2)+(T605*Settings!$B$3)+(U605*Settings!$B$4)+(V605*Settings!$B$5)+(X605*Settings!$B$9)+(AA605*Settings!$B$6)+(W605*Settings!$B$8)+(AB605*Settings!$B$7)+(AC605*Settings!$B$14)+(AD605*Settings!$B$15)+(AE605*Settings!$B$16)+(AF605*Settings!$B$17)+(AG605*Settings!$B$18)+(Y605*Settings!$B$10)+(Z605*Settings!$B$11),VLOOKUP(B605,'Standard Deviations'!A1:C728,3,FALSE))</f>
        <v>138.86359950449793</v>
      </c>
      <c r="J605" s="38">
        <f>IF(D605="G",I605/AJ605,I605/Q605)</f>
        <v>1.8004421186282187</v>
      </c>
      <c r="K605" s="37">
        <f>IF(Settings!$E$18="C/LW/RW",VLOOKUP(B605,'C'!A1:F211,6,FALSE),VLOOKUP(B605,F!A1:F430,6,FALSE))</f>
        <v>-254.46520626171173</v>
      </c>
      <c r="L605" s="37">
        <f>IFERROR(K605/H605,"N/A")</f>
        <v>-254.46520626171173</v>
      </c>
      <c r="M605" s="53" t="str">
        <f>IF(Settings!$E$9="YAHOO",VLOOKUP(B605,ADP!A1:E728,2,FALSE),IF(Settings!$E$9="ESPN",VLOOKUP(B605,ADP!A1:E728,3,FALSE),IF(Settings!$E$9="FANTRAX",VLOOKUP(B605,ADP!A1:E728,4,FALSE),VLOOKUP(B605,ADP!A1:E728,5,FALSE))))</f>
        <v>-</v>
      </c>
      <c r="N605" s="53" t="str">
        <f>IFERROR(M605-A605,"N/A")</f>
        <v>N/A</v>
      </c>
      <c r="O605" s="39"/>
      <c r="P605" s="40" t="str">
        <f>IF(Settings!$E$27="ON",VLOOKUP(B605,ADP!A1:H728,8,FALSE)," ")</f>
        <v xml:space="preserve"> </v>
      </c>
      <c r="Q605" s="41">
        <f>IF(Settings!$E$12="YES",VLOOKUP(B605,'Player Data'!A1:E734,5,FALSE),82)</f>
        <v>77.127499999999998</v>
      </c>
      <c r="R605" s="39">
        <f>VLOOKUP(B605,'Player Data'!$A1:$AE734,6,FALSE)</f>
        <v>13.8719586680853</v>
      </c>
      <c r="S605" s="41">
        <f>VLOOKUP(B605,'Player Data'!$A1:$AE734,7,FALSE)*$Q605*IFERROR((VLOOKUP(P605,Settings!$E$28:$F$33,2,FALSE)+1),1)</f>
        <v>10.201750518105666</v>
      </c>
      <c r="T605" s="41">
        <f>VLOOKUP(B605,'Player Data'!$A1:$AE734,8,FALSE)*$Q605*IFERROR((VLOOKUP(P605,Settings!$E$28:$F$33,2,FALSE)+1),1)</f>
        <v>16.118165776395013</v>
      </c>
      <c r="U605" s="41">
        <f>SUM(S605:T605)</f>
        <v>26.319916294500679</v>
      </c>
      <c r="V605" s="41">
        <f>VLOOKUP(B605,'Player Data'!$A1:$AE734,10,FALSE)*$Q605*IFERROR(((VLOOKUP(P605,Settings!$E$28:$F$33,2,FALSE)/2)+1),1)</f>
        <v>95.024436787787394</v>
      </c>
      <c r="W605" s="41">
        <f>VLOOKUP(B605,'Player Data'!$A1:$AE734,11,FALSE)*$Q605*IFERROR((VLOOKUP(P605,Settings!$E$28:$F$33,2,FALSE)+1),1)</f>
        <v>6.9878027224200445E-2</v>
      </c>
      <c r="X605" s="41">
        <f>VLOOKUP(B605,'Player Data'!$A1:$AE734,12,FALSE)*$Q605*IFERROR((VLOOKUP(P605,Settings!$E$28:$F$33,2,FALSE)+1),1)</f>
        <v>0.14847486876907015</v>
      </c>
      <c r="Y605" s="41">
        <f>VLOOKUP(B605,'Player Data'!$A1:$AE734,13,FALSE)*$Q605</f>
        <v>2.0959094565406144</v>
      </c>
      <c r="Z605" s="41">
        <f>VLOOKUP(B605,'Player Data'!$A1:$AE734,14,FALSE)*$Q605</f>
        <v>3.0142221663947772</v>
      </c>
      <c r="AA605" s="41">
        <f>VLOOKUP(B605,'Player Data'!$A1:$AE734,15,FALSE)*$Q605</f>
        <v>30.331190783872515</v>
      </c>
      <c r="AB605" s="41">
        <f>VLOOKUP(B605,'Player Data'!$A1:$AE734,16,FALSE)*$Q605</f>
        <v>31.288071128828477</v>
      </c>
      <c r="AC605" s="41">
        <f>VLOOKUP(B605,'Player Data'!$A1:$AE734,17,FALSE)*$Q605*IFERROR((VLOOKUP(P605,Settings!$E$28:$F$33,2,FALSE)+1),1)</f>
        <v>3.8424318195683504</v>
      </c>
      <c r="AD605" s="41">
        <f>VLOOKUP(B605,'Player Data'!$A1:$AE734,18,FALSE)*$Q605</f>
        <v>25.064291720403016</v>
      </c>
      <c r="AE605" s="41">
        <f>VLOOKUP(B605,'Player Data'!$A1:$AE734,19,FALSE)*$Q605*IFERROR((VLOOKUP(P605,Settings!$E$28:$F$33,2,FALSE)+1),1)</f>
        <v>1.6148275848692357</v>
      </c>
      <c r="AF605" s="41">
        <f>VLOOKUP(B605,'Player Data'!$A1:$AE734,20,FALSE)*$Q605</f>
        <v>24.527907998218211</v>
      </c>
      <c r="AG605" s="41">
        <f>VLOOKUP(B605,'Player Data'!$A1:$AE734,21,FALSE)*$Q605</f>
        <v>36.6630269441265</v>
      </c>
      <c r="AH605" s="42">
        <f>VLOOKUP(B605,'Player Data'!$A1:$AE734,22,FALSE)</f>
        <v>0.40084218391709298</v>
      </c>
      <c r="AI605" s="39"/>
      <c r="AJ605" s="43"/>
      <c r="AK605" s="41"/>
      <c r="AL605" s="41"/>
      <c r="AM605" s="41"/>
      <c r="AN605" s="41"/>
      <c r="AO605" s="41"/>
      <c r="AP605" s="41"/>
      <c r="AQ605" s="44"/>
      <c r="AR605" s="45"/>
      <c r="AS605" s="39"/>
    </row>
    <row r="606" spans="1:45" ht="21.25" customHeight="1" x14ac:dyDescent="0.15">
      <c r="A606" s="31">
        <f>RANK(K606,K$2:K$727)</f>
        <v>605</v>
      </c>
      <c r="B606" s="8" t="s">
        <v>710</v>
      </c>
      <c r="C606" s="32" t="s">
        <v>106</v>
      </c>
      <c r="D606" s="33" t="str">
        <f>VLOOKUP(B606,'Player Data'!A1:D734,4,FALSE)</f>
        <v>G</v>
      </c>
      <c r="E606" s="50">
        <f>VLOOKUP(B606,G!A1:D75,3,FALSE)</f>
        <v>50</v>
      </c>
      <c r="F606" s="35" t="str">
        <f>VLOOKUP(B606,'Player Data'!A1:B734,2,FALSE)</f>
        <v>PHI</v>
      </c>
      <c r="G606" s="9">
        <f>VLOOKUP(B606,'Player Data'!A1:D734,3,FALSE)</f>
        <v>28</v>
      </c>
      <c r="H606" s="36">
        <f>IFERROR(VLOOKUP(B606,ADP!A1:G728,7,FALSE)/1000000,VLOOKUP(B606,ADP!A1:G728,7,FALSE))</f>
        <v>5</v>
      </c>
      <c r="I606" s="37">
        <f>IF(Settings!$E$15="POINTS",(AJ606*Settings!$B$29)+(AK606*Settings!$B$21)+(AL606*Settings!$B$22)+(AN606*Settings!$B$24)+(AO606*Settings!$B$25)+(AP606*Settings!$B$27)+(AM606*Settings!$B$23),VLOOKUP(B606,'Standard Deviations'!A1:C728,3,FALSE))</f>
        <v>143.50024104225082</v>
      </c>
      <c r="J606" s="38">
        <f>IF(D606="G",I606/AJ606,I606/Q606)</f>
        <v>5.9791767100937845</v>
      </c>
      <c r="K606" s="37">
        <f>VLOOKUP(B606,G!A1:F75,6,FALSE)</f>
        <v>-255.27542104706538</v>
      </c>
      <c r="L606" s="37">
        <f>IFERROR(K606/H606,"N/A")</f>
        <v>-51.055084209413074</v>
      </c>
      <c r="M606" s="53" t="str">
        <f>IF(Settings!$E$9="YAHOO",VLOOKUP(B606,ADP!A1:E728,2,FALSE),IF(Settings!$E$9="ESPN",VLOOKUP(B606,ADP!A1:E728,3,FALSE),IF(Settings!$E$9="FANTRAX",VLOOKUP(B606,ADP!A1:E728,4,FALSE),VLOOKUP(B606,ADP!A1:E728,5,FALSE))))</f>
        <v>-</v>
      </c>
      <c r="N606" s="53" t="str">
        <f>IFERROR(M606-A606,"N/A")</f>
        <v>N/A</v>
      </c>
      <c r="O606" s="39"/>
      <c r="P606" s="40" t="str">
        <f>IF(Settings!$E$27="ON",VLOOKUP(B606,ADP!A1:H728,8,FALSE)," ")</f>
        <v xml:space="preserve"> </v>
      </c>
      <c r="Q606" s="41"/>
      <c r="R606" s="5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2"/>
      <c r="AI606" s="39"/>
      <c r="AJ606" s="43">
        <f>VLOOKUP(B606,'Player Data'!$A1:$AE734,24,FALSE)</f>
        <v>24</v>
      </c>
      <c r="AK606" s="41">
        <f>VLOOKUP(B606,'Player Data'!$A1:$AE734,25,FALSE)*$AJ606*IFERROR((VLOOKUP(P606,Settings!$E$28:$F$33,2,FALSE)+1),1)</f>
        <v>8.6593978976444888</v>
      </c>
      <c r="AL606" s="41">
        <f>AJ606-AK606-AM606</f>
        <v>12.340602102355511</v>
      </c>
      <c r="AM606" s="41">
        <f>VLOOKUP(B606,'Player Data'!$A1:$AE734,27,FALSE)*$AJ606</f>
        <v>3</v>
      </c>
      <c r="AN606" s="41">
        <f>VLOOKUP(B606,'Player Data'!$A1:$AE734,28,FALSE)*AJ606</f>
        <v>0.74068414287064321</v>
      </c>
      <c r="AO606" s="41">
        <f>VLOOKUP(B606,'Player Data'!$A1:$AE734,29,FALSE)*$AJ606*IFERROR((VLOOKUP(P606,Settings!$E$28:$F$33,2,FALSE)/4)+1,1)</f>
        <v>684.32082334673521</v>
      </c>
      <c r="AP606" s="41">
        <f>VLOOKUP(B606,'Player Data'!$A1:$AE734,31,FALSE)*$AJ606*(IFERROR(1-(VLOOKUP(P606,Settings!$E$28:$F$33,2,FALSE)/4),1))</f>
        <v>75.373244203263837</v>
      </c>
      <c r="AQ606" s="44">
        <f>1-(AP606/(AO606+AP606))</f>
        <v>0.90078474030165678</v>
      </c>
      <c r="AR606" s="45">
        <f>AP606/AJ606</f>
        <v>3.1405518418026599</v>
      </c>
      <c r="AS606" s="39"/>
    </row>
    <row r="607" spans="1:45" ht="21.25" customHeight="1" x14ac:dyDescent="0.15">
      <c r="A607" s="31">
        <f>RANK(K607,K$2:K$727)</f>
        <v>606</v>
      </c>
      <c r="B607" s="8" t="s">
        <v>711</v>
      </c>
      <c r="C607" s="32" t="s">
        <v>106</v>
      </c>
      <c r="D607" s="33" t="str">
        <f>VLOOKUP(B607,'Player Data'!A1:D734,4,FALSE)</f>
        <v>LW</v>
      </c>
      <c r="E607" s="47">
        <f>VLOOKUP(B607,LW!A1:C130,3,FALSE)</f>
        <v>107</v>
      </c>
      <c r="F607" s="35" t="str">
        <f>VLOOKUP(B607,'Player Data'!A1:B734,2,FALSE)</f>
        <v>BUF</v>
      </c>
      <c r="G607" s="9">
        <f>VLOOKUP(B607,'Player Data'!A1:D734,3,FALSE)</f>
        <v>29</v>
      </c>
      <c r="H607" s="36">
        <f>IFERROR(VLOOKUP(B607,ADP!A1:G728,7,FALSE)/1000000,VLOOKUP(B607,ADP!A1:G728,7,FALSE))</f>
        <v>1.88</v>
      </c>
      <c r="I607" s="37">
        <f>IF(Settings!$E$15="POINTS",((R607*Q607)*Settings!$B$12)+(S607*Settings!$B$2)+(T607*Settings!$B$3)+(U607*Settings!$B$4)+(V607*Settings!$B$5)+(X607*Settings!$B$9)+(AA607*Settings!$B$6)+(W607*Settings!$B$8)+(AB607*Settings!$B$7)+(AC607*Settings!$B$14)+(AD607*Settings!$B$15)+(AE607*Settings!$B$16)+(AF607*Settings!$B$17)+(AG607*Settings!$B$18)+(Y607*Settings!$B$10)+(Z607*Settings!$B$11),VLOOKUP(B607,'Standard Deviations'!A1:C728,3,FALSE))</f>
        <v>108.73431040157526</v>
      </c>
      <c r="J607" s="38">
        <f>IF(D607="G",I607/AJ607,I607/Q607)</f>
        <v>1.4401895417427186</v>
      </c>
      <c r="K607" s="37">
        <f>IF(Settings!$E$18="C/LW/RW",VLOOKUP(B607,LW!A1:F130,6,FALSE),VLOOKUP(B607,F!A1:F430,6,FALSE))</f>
        <v>-255.30629445607519</v>
      </c>
      <c r="L607" s="37">
        <f>IFERROR(K607/H607,"N/A")</f>
        <v>-135.80122045535916</v>
      </c>
      <c r="M607" s="53" t="str">
        <f>IF(Settings!$E$9="YAHOO",VLOOKUP(B607,ADP!A1:E728,2,FALSE),IF(Settings!$E$9="ESPN",VLOOKUP(B607,ADP!A1:E728,3,FALSE),IF(Settings!$E$9="FANTRAX",VLOOKUP(B607,ADP!A1:E728,4,FALSE),VLOOKUP(B607,ADP!A1:E728,5,FALSE))))</f>
        <v>-</v>
      </c>
      <c r="N607" s="53" t="str">
        <f>IFERROR(M607-A607,"N/A")</f>
        <v>N/A</v>
      </c>
      <c r="O607" s="39"/>
      <c r="P607" s="40" t="str">
        <f>IF(Settings!$E$27="ON",VLOOKUP(B607,ADP!A1:H728,8,FALSE)," ")</f>
        <v xml:space="preserve"> </v>
      </c>
      <c r="Q607" s="41">
        <f>IF(Settings!$E$12="YES",VLOOKUP(B607,'Player Data'!A1:E734,5,FALSE),82)</f>
        <v>75.5</v>
      </c>
      <c r="R607" s="39">
        <f>VLOOKUP(B607,'Player Data'!$A1:$AE734,6,FALSE)</f>
        <v>12.589980673544099</v>
      </c>
      <c r="S607" s="41">
        <f>VLOOKUP(B607,'Player Data'!$A1:$AE734,7,FALSE)*$Q607*IFERROR((VLOOKUP(P607,Settings!$E$28:$F$33,2,FALSE)+1),1)</f>
        <v>8.5635134631563279</v>
      </c>
      <c r="T607" s="41">
        <f>VLOOKUP(B607,'Player Data'!$A1:$AE734,8,FALSE)*$Q607*IFERROR((VLOOKUP(P607,Settings!$E$28:$F$33,2,FALSE)+1),1)</f>
        <v>7.4988681151736714</v>
      </c>
      <c r="U607" s="41">
        <f>SUM(S607:T607)</f>
        <v>16.062381578329997</v>
      </c>
      <c r="V607" s="41">
        <f>VLOOKUP(B607,'Player Data'!$A1:$AE734,10,FALSE)*$Q607*IFERROR(((VLOOKUP(P607,Settings!$E$28:$F$33,2,FALSE)/2)+1),1)</f>
        <v>102.44144608743647</v>
      </c>
      <c r="W607" s="41">
        <f>VLOOKUP(B607,'Player Data'!$A1:$AE734,11,FALSE)*$Q607*IFERROR((VLOOKUP(P607,Settings!$E$28:$F$33,2,FALSE)+1),1)</f>
        <v>8.238937613667062E-2</v>
      </c>
      <c r="X607" s="41">
        <f>VLOOKUP(B607,'Player Data'!$A1:$AE734,12,FALSE)*$Q607*IFERROR((VLOOKUP(P607,Settings!$E$28:$F$33,2,FALSE)+1),1)</f>
        <v>0.20345300148493592</v>
      </c>
      <c r="Y607" s="41">
        <f>VLOOKUP(B607,'Player Data'!$A1:$AE734,13,FALSE)*$Q607</f>
        <v>0.15528098970957521</v>
      </c>
      <c r="Z607" s="41">
        <f>VLOOKUP(B607,'Player Data'!$A1:$AE734,14,FALSE)*$Q607</f>
        <v>0.26492359559523598</v>
      </c>
      <c r="AA607" s="41">
        <f>VLOOKUP(B607,'Player Data'!$A1:$AE734,15,FALSE)*$Q607</f>
        <v>41.948447143533357</v>
      </c>
      <c r="AB607" s="41">
        <f>VLOOKUP(B607,'Player Data'!$A1:$AE734,16,FALSE)*$Q607</f>
        <v>94.851356312404079</v>
      </c>
      <c r="AC607" s="41">
        <f>VLOOKUP(B607,'Player Data'!$A1:$AE734,17,FALSE)*$Q607*IFERROR((VLOOKUP(P607,Settings!$E$28:$F$33,2,FALSE)+1),1)</f>
        <v>-2.0696392548176252</v>
      </c>
      <c r="AD607" s="41">
        <f>VLOOKUP(B607,'Player Data'!$A1:$AE734,18,FALSE)*$Q607</f>
        <v>17.482282810556377</v>
      </c>
      <c r="AE607" s="41">
        <f>VLOOKUP(B607,'Player Data'!$A1:$AE734,19,FALSE)*$Q607*IFERROR((VLOOKUP(P607,Settings!$E$28:$F$33,2,FALSE)+1),1)</f>
        <v>1.1035656184786791</v>
      </c>
      <c r="AF607" s="41">
        <f>VLOOKUP(B607,'Player Data'!$A1:$AE734,20,FALSE)*$Q607</f>
        <v>98.70860005803317</v>
      </c>
      <c r="AG607" s="41">
        <f>VLOOKUP(B607,'Player Data'!$A1:$AE734,21,FALSE)*$Q607</f>
        <v>110.55825197514152</v>
      </c>
      <c r="AH607" s="42">
        <f>VLOOKUP(B607,'Player Data'!$A1:$AE734,22,FALSE)</f>
        <v>0.471687699695434</v>
      </c>
      <c r="AI607" s="39"/>
      <c r="AJ607" s="43"/>
      <c r="AK607" s="41"/>
      <c r="AL607" s="41"/>
      <c r="AM607" s="41"/>
      <c r="AN607" s="41"/>
      <c r="AO607" s="41"/>
      <c r="AP607" s="41"/>
      <c r="AQ607" s="44"/>
      <c r="AR607" s="45"/>
      <c r="AS607" s="39"/>
    </row>
    <row r="608" spans="1:45" ht="21.25" customHeight="1" x14ac:dyDescent="0.15">
      <c r="A608" s="31">
        <f>RANK(K608,K$2:K$727)</f>
        <v>607</v>
      </c>
      <c r="B608" s="8" t="s">
        <v>712</v>
      </c>
      <c r="C608" s="32" t="s">
        <v>106</v>
      </c>
      <c r="D608" s="33" t="str">
        <f>VLOOKUP(B608,'Player Data'!A1:D734,4,FALSE)</f>
        <v>D</v>
      </c>
      <c r="E608" s="49">
        <f>VLOOKUP(B608,D!A1:C227,3,FALSE)</f>
        <v>224</v>
      </c>
      <c r="F608" s="35" t="str">
        <f>VLOOKUP(B608,'Player Data'!A1:B734,2,FALSE)</f>
        <v>DAL</v>
      </c>
      <c r="G608" s="9">
        <f>VLOOKUP(B608,'Player Data'!A1:D734,3,FALSE)</f>
        <v>32</v>
      </c>
      <c r="H608" s="36">
        <f>IFERROR(VLOOKUP(B608,ADP!A1:G728,7,FALSE)/1000000,VLOOKUP(B608,ADP!A1:G728,7,FALSE))</f>
        <v>0.78749999999999998</v>
      </c>
      <c r="I608" s="37">
        <f>IF(Settings!$E$15="POINTS",((R608*Q608)*Settings!$B$12)+(S608*Settings!$B$2)+(T608*Settings!$B$3)+(U608*Settings!$B$4)+(V608*Settings!$B$5)+(X608*Settings!$B$9)+(AA608*Settings!$B$6)+(W608*Settings!$B$8)+(AB608*Settings!$B$7)+(AC608*Settings!$B$14)+(AD608*Settings!$B$15)+(AE608*Settings!$B$16)+(AF608*Settings!$B$17)+(AG608*Settings!$B$18)+(U608*Settings!$B$13)+(Y608*Settings!$B$10)+(Z608*Settings!$B$11),VLOOKUP(B608,'Standard Deviations'!A1:C728,3,FALSE))</f>
        <v>56.185781226466716</v>
      </c>
      <c r="J608" s="38">
        <f>IF(D608="G",I608/AJ608,I608/Q608)</f>
        <v>0.88079293347651222</v>
      </c>
      <c r="K608" s="37">
        <f>VLOOKUP(B608,D!A1:F227,6,FALSE)</f>
        <v>-255.37970040146075</v>
      </c>
      <c r="L608" s="37">
        <f>IFERROR(K608/H608,"N/A")</f>
        <v>-324.29168304947399</v>
      </c>
      <c r="M608" s="53" t="str">
        <f>IF(Settings!$E$9="YAHOO",VLOOKUP(B608,ADP!A1:E728,2,FALSE),IF(Settings!$E$9="ESPN",VLOOKUP(B608,ADP!A1:E728,3,FALSE),IF(Settings!$E$9="FANTRAX",VLOOKUP(B608,ADP!A1:E728,4,FALSE),VLOOKUP(B608,ADP!A1:E728,5,FALSE))))</f>
        <v>-</v>
      </c>
      <c r="N608" s="53" t="str">
        <f>IFERROR(M608-A608,"N/A")</f>
        <v>N/A</v>
      </c>
      <c r="O608" s="39"/>
      <c r="P608" s="40" t="str">
        <f>IF(Settings!$E$27="ON",VLOOKUP(B608,ADP!A1:H728,8,FALSE)," ")</f>
        <v xml:space="preserve"> </v>
      </c>
      <c r="Q608" s="41">
        <f>IF(Settings!$E$12="YES",VLOOKUP(B608,'Player Data'!A1:E734,5,FALSE),82)</f>
        <v>63.79</v>
      </c>
      <c r="R608" s="39">
        <f>VLOOKUP(B608,'Player Data'!$A1:$AE734,6,FALSE)</f>
        <v>11.6366267744312</v>
      </c>
      <c r="S608" s="41">
        <f>VLOOKUP(B608,'Player Data'!$A1:$AE734,7,FALSE)*$Q608*IFERROR((VLOOKUP(P608,Settings!$E$28:$F$33,2,FALSE)+1),1)</f>
        <v>1.3668017319145631</v>
      </c>
      <c r="T608" s="41">
        <f>VLOOKUP(B608,'Player Data'!$A1:$AE734,8,FALSE)*$Q608*IFERROR((VLOOKUP(P608,Settings!$E$28:$F$33,2,FALSE)+1),1)</f>
        <v>6.934424081122045</v>
      </c>
      <c r="U608" s="41">
        <f>SUM(S608:T608)</f>
        <v>8.3012258130366074</v>
      </c>
      <c r="V608" s="41">
        <f>VLOOKUP(B608,'Player Data'!$A1:$AE734,10,FALSE)*$Q608*IFERROR(((VLOOKUP(P608,Settings!$E$28:$F$33,2,FALSE)/2)+1),1)</f>
        <v>38.635358579776224</v>
      </c>
      <c r="W608" s="41">
        <f>VLOOKUP(B608,'Player Data'!$A1:$AE734,11,FALSE)*$Q608*IFERROR((VLOOKUP(P608,Settings!$E$28:$F$33,2,FALSE)+1),1)</f>
        <v>6.2082994699848267E-3</v>
      </c>
      <c r="X608" s="41">
        <f>VLOOKUP(B608,'Player Data'!$A1:$AE734,12,FALSE)*$Q608*IFERROR((VLOOKUP(P608,Settings!$E$28:$F$33,2,FALSE)+1),1)</f>
        <v>4.5479889776806601E-2</v>
      </c>
      <c r="Y608" s="41">
        <f>VLOOKUP(B608,'Player Data'!$A1:$AE734,13,FALSE)*$Q608</f>
        <v>2.0738437028731049E-3</v>
      </c>
      <c r="Z608" s="41">
        <f>VLOOKUP(B608,'Player Data'!$A1:$AE734,14,FALSE)*$Q608</f>
        <v>8.3224354139513346E-3</v>
      </c>
      <c r="AA608" s="41">
        <f>VLOOKUP(B608,'Player Data'!$A1:$AE734,15,FALSE)*$Q608</f>
        <v>59.284099235436308</v>
      </c>
      <c r="AB608" s="41">
        <f>VLOOKUP(B608,'Player Data'!$A1:$AE734,16,FALSE)*$Q608</f>
        <v>70.755101489800424</v>
      </c>
      <c r="AC608" s="41">
        <f>VLOOKUP(B608,'Player Data'!$A1:$AE734,17,FALSE)*$Q608*IFERROR((VLOOKUP(P608,Settings!$E$28:$F$33,2,FALSE)+1),1)</f>
        <v>3.3775190637524588</v>
      </c>
      <c r="AD608" s="41">
        <f>VLOOKUP(B608,'Player Data'!$A1:$AE734,18,FALSE)*$Q608</f>
        <v>16.913143031141697</v>
      </c>
      <c r="AE608" s="41">
        <f>VLOOKUP(B608,'Player Data'!$A1:$AE734,19,FALSE)*$Q608*IFERROR((VLOOKUP(P608,Settings!$E$28:$F$33,2,FALSE)+1),1)</f>
        <v>0.21867858777441881</v>
      </c>
      <c r="AF608" s="41">
        <f>VLOOKUP(B608,'Player Data'!$A1:$AE734,20,FALSE)*$Q608</f>
        <v>0</v>
      </c>
      <c r="AG608" s="41">
        <f>VLOOKUP(B608,'Player Data'!$A1:$AE734,21,FALSE)*$Q608</f>
        <v>0</v>
      </c>
      <c r="AH608" s="42">
        <f>VLOOKUP(B608,'Player Data'!$A1:$AE734,22,FALSE)</f>
        <v>0</v>
      </c>
      <c r="AI608" s="39"/>
      <c r="AJ608" s="43"/>
      <c r="AK608" s="41"/>
      <c r="AL608" s="41"/>
      <c r="AM608" s="41"/>
      <c r="AN608" s="41"/>
      <c r="AO608" s="41"/>
      <c r="AP608" s="41"/>
      <c r="AQ608" s="44"/>
      <c r="AR608" s="45"/>
      <c r="AS608" s="39"/>
    </row>
    <row r="609" spans="1:45" ht="21.25" customHeight="1" x14ac:dyDescent="0.15">
      <c r="A609" s="31">
        <f>RANK(K609,K$2:K$727)</f>
        <v>608</v>
      </c>
      <c r="B609" s="8" t="s">
        <v>713</v>
      </c>
      <c r="C609" s="32" t="s">
        <v>106</v>
      </c>
      <c r="D609" s="33" t="str">
        <f>VLOOKUP(B609,'Player Data'!A1:D734,4,FALSE)</f>
        <v>LW</v>
      </c>
      <c r="E609" s="47">
        <f>VLOOKUP(B609,LW!A1:C130,3,FALSE)</f>
        <v>108</v>
      </c>
      <c r="F609" s="35" t="str">
        <f>VLOOKUP(B609,'Player Data'!A1:B734,2,FALSE)</f>
        <v>ARI</v>
      </c>
      <c r="G609" s="9">
        <f>VLOOKUP(B609,'Player Data'!A1:D734,3,FALSE)</f>
        <v>27</v>
      </c>
      <c r="H609" s="36">
        <f>IFERROR(VLOOKUP(B609,ADP!A1:G728,7,FALSE)/1000000,VLOOKUP(B609,ADP!A1:G728,7,FALSE))</f>
        <v>0.78569999999999995</v>
      </c>
      <c r="I609" s="37">
        <f>IF(Settings!$E$15="POINTS",((R609*Q609)*Settings!$B$12)+(S609*Settings!$B$2)+(T609*Settings!$B$3)+(U609*Settings!$B$4)+(V609*Settings!$B$5)+(X609*Settings!$B$9)+(AA609*Settings!$B$6)+(W609*Settings!$B$8)+(AB609*Settings!$B$7)+(AC609*Settings!$B$14)+(AD609*Settings!$B$15)+(AE609*Settings!$B$16)+(AF609*Settings!$B$17)+(AG609*Settings!$B$18)+(Y609*Settings!$B$10)+(Z609*Settings!$B$11),VLOOKUP(B609,'Standard Deviations'!A1:C728,3,FALSE))</f>
        <v>108.46676583441689</v>
      </c>
      <c r="J609" s="38">
        <f>IF(D609="G",I609/AJ609,I609/Q609)</f>
        <v>1.7596814703831423</v>
      </c>
      <c r="K609" s="37">
        <f>IF(Settings!$E$18="C/LW/RW",VLOOKUP(B609,LW!A1:F130,6,FALSE),VLOOKUP(B609,F!A1:F430,6,FALSE))</f>
        <v>-255.57383902323357</v>
      </c>
      <c r="L609" s="37">
        <f>IFERROR(K609/H609,"N/A")</f>
        <v>-325.28170933337606</v>
      </c>
      <c r="M609" s="53" t="str">
        <f>IF(Settings!$E$9="YAHOO",VLOOKUP(B609,ADP!A1:E728,2,FALSE),IF(Settings!$E$9="ESPN",VLOOKUP(B609,ADP!A1:E728,3,FALSE),IF(Settings!$E$9="FANTRAX",VLOOKUP(B609,ADP!A1:E728,4,FALSE),VLOOKUP(B609,ADP!A1:E728,5,FALSE))))</f>
        <v>-</v>
      </c>
      <c r="N609" s="53" t="str">
        <f>IFERROR(M609-A609,"N/A")</f>
        <v>N/A</v>
      </c>
      <c r="O609" s="39"/>
      <c r="P609" s="40" t="str">
        <f>IF(Settings!$E$27="ON",VLOOKUP(B609,ADP!A1:H728,8,FALSE)," ")</f>
        <v xml:space="preserve"> </v>
      </c>
      <c r="Q609" s="41">
        <f>IF(Settings!$E$12="YES",VLOOKUP(B609,'Player Data'!A1:E734,5,FALSE),82)</f>
        <v>61.64</v>
      </c>
      <c r="R609" s="39">
        <f>VLOOKUP(B609,'Player Data'!$A1:$AE734,6,FALSE)</f>
        <v>11.993778312674801</v>
      </c>
      <c r="S609" s="41">
        <f>VLOOKUP(B609,'Player Data'!$A1:$AE734,7,FALSE)*$Q609*IFERROR((VLOOKUP(P609,Settings!$E$28:$F$33,2,FALSE)+1),1)</f>
        <v>10.076003948620491</v>
      </c>
      <c r="T609" s="41">
        <f>VLOOKUP(B609,'Player Data'!$A1:$AE734,8,FALSE)*$Q609*IFERROR((VLOOKUP(P609,Settings!$E$28:$F$33,2,FALSE)+1),1)</f>
        <v>9.2109623664915024</v>
      </c>
      <c r="U609" s="41">
        <f>SUM(S609:T609)</f>
        <v>19.286966315111993</v>
      </c>
      <c r="V609" s="41">
        <f>VLOOKUP(B609,'Player Data'!$A1:$AE734,10,FALSE)*$Q609*IFERROR(((VLOOKUP(P609,Settings!$E$28:$F$33,2,FALSE)/2)+1),1)</f>
        <v>91.116206625804423</v>
      </c>
      <c r="W609" s="41">
        <f>VLOOKUP(B609,'Player Data'!$A1:$AE734,11,FALSE)*$Q609*IFERROR((VLOOKUP(P609,Settings!$E$28:$F$33,2,FALSE)+1),1)</f>
        <v>0.22988512340765593</v>
      </c>
      <c r="X609" s="41">
        <f>VLOOKUP(B609,'Player Data'!$A1:$AE734,12,FALSE)*$Q609*IFERROR((VLOOKUP(P609,Settings!$E$28:$F$33,2,FALSE)+1),1)</f>
        <v>0.58372558042015399</v>
      </c>
      <c r="Y609" s="41">
        <f>VLOOKUP(B609,'Player Data'!$A1:$AE734,13,FALSE)*$Q609</f>
        <v>1.2454470659921345E-3</v>
      </c>
      <c r="Z609" s="41">
        <f>VLOOKUP(B609,'Player Data'!$A1:$AE734,14,FALSE)*$Q609</f>
        <v>2.2859918078165717E-3</v>
      </c>
      <c r="AA609" s="41">
        <f>VLOOKUP(B609,'Player Data'!$A1:$AE734,15,FALSE)*$Q609</f>
        <v>19.378702158613734</v>
      </c>
      <c r="AB609" s="41">
        <f>VLOOKUP(B609,'Player Data'!$A1:$AE734,16,FALSE)*$Q609</f>
        <v>89.148650948102585</v>
      </c>
      <c r="AC609" s="41">
        <f>VLOOKUP(B609,'Player Data'!$A1:$AE734,17,FALSE)*$Q609*IFERROR((VLOOKUP(P609,Settings!$E$28:$F$33,2,FALSE)+1),1)</f>
        <v>-1.6990531158818372</v>
      </c>
      <c r="AD609" s="41">
        <f>VLOOKUP(B609,'Player Data'!$A1:$AE734,18,FALSE)*$Q609</f>
        <v>22.566432341892135</v>
      </c>
      <c r="AE609" s="41">
        <f>VLOOKUP(B609,'Player Data'!$A1:$AE734,19,FALSE)*$Q609*IFERROR((VLOOKUP(P609,Settings!$E$28:$F$33,2,FALSE)+1),1)</f>
        <v>1.2418674441789144</v>
      </c>
      <c r="AF609" s="41">
        <f>VLOOKUP(B609,'Player Data'!$A1:$AE734,20,FALSE)*$Q609</f>
        <v>0</v>
      </c>
      <c r="AG609" s="41">
        <f>VLOOKUP(B609,'Player Data'!$A1:$AE734,21,FALSE)*$Q609</f>
        <v>6.3794960016896098</v>
      </c>
      <c r="AH609" s="42">
        <f>VLOOKUP(B609,'Player Data'!$A1:$AE734,22,FALSE)</f>
        <v>0</v>
      </c>
      <c r="AI609" s="39"/>
      <c r="AJ609" s="41"/>
      <c r="AK609" s="41"/>
      <c r="AL609" s="41"/>
      <c r="AM609" s="41"/>
      <c r="AN609" s="41"/>
      <c r="AO609" s="41"/>
      <c r="AP609" s="41"/>
      <c r="AQ609" s="44"/>
      <c r="AR609" s="45"/>
      <c r="AS609" s="39"/>
    </row>
    <row r="610" spans="1:45" ht="21.25" customHeight="1" x14ac:dyDescent="0.15">
      <c r="A610" s="31">
        <f>RANK(K610,K$2:K$727)</f>
        <v>609</v>
      </c>
      <c r="B610" s="8" t="s">
        <v>714</v>
      </c>
      <c r="C610" s="32" t="s">
        <v>106</v>
      </c>
      <c r="D610" s="33" t="str">
        <f>VLOOKUP(B610,'Player Data'!A1:D734,4,FALSE)</f>
        <v>C</v>
      </c>
      <c r="E610" s="34">
        <f>VLOOKUP(B610,'C'!A1:C211,3,FALSE)</f>
        <v>144</v>
      </c>
      <c r="F610" s="35" t="str">
        <f>VLOOKUP(B610,'Player Data'!A1:B734,2,FALSE)</f>
        <v>TOR</v>
      </c>
      <c r="G610" s="9">
        <f>VLOOKUP(B610,'Player Data'!A1:D734,3,FALSE)</f>
        <v>28</v>
      </c>
      <c r="H610" s="36">
        <f>IFERROR(VLOOKUP(B610,ADP!A1:G728,7,FALSE)/1000000,VLOOKUP(B610,ADP!A1:G728,7,FALSE))</f>
        <v>1.1499999999999999</v>
      </c>
      <c r="I610" s="37">
        <f>IF(Settings!$E$15="POINTS",((R610*Q610)*Settings!$B$12)+(S610*Settings!$B$2)+(T610*Settings!$B$3)+(U610*Settings!$B$4)+(V610*Settings!$B$5)+(X610*Settings!$B$9)+(AA610*Settings!$B$6)+(W610*Settings!$B$8)+(AB610*Settings!$B$7)+(AC610*Settings!$B$14)+(AD610*Settings!$B$15)+(AE610*Settings!$B$16)+(AF610*Settings!$B$17)+(AG610*Settings!$B$18)+(Y610*Settings!$B$10)+(Z610*Settings!$B$11),VLOOKUP(B610,'Standard Deviations'!A1:C728,3,FALSE))</f>
        <v>137.56582931963027</v>
      </c>
      <c r="J610" s="38">
        <f>IF(D610="G",I610/AJ610,I610/Q610)</f>
        <v>1.8817935516877469</v>
      </c>
      <c r="K610" s="37">
        <f>IF(Settings!$E$18="C/LW/RW",VLOOKUP(B610,'C'!A1:F211,6,FALSE),VLOOKUP(B610,F!A1:F430,6,FALSE))</f>
        <v>-255.76297644657939</v>
      </c>
      <c r="L610" s="37">
        <f>IFERROR(K610/H610,"N/A")</f>
        <v>-222.40258821441688</v>
      </c>
      <c r="M610" s="53" t="str">
        <f>IF(Settings!$E$9="YAHOO",VLOOKUP(B610,ADP!A1:E728,2,FALSE),IF(Settings!$E$9="ESPN",VLOOKUP(B610,ADP!A1:E728,3,FALSE),IF(Settings!$E$9="FANTRAX",VLOOKUP(B610,ADP!A1:E728,4,FALSE),VLOOKUP(B610,ADP!A1:E728,5,FALSE))))</f>
        <v>-</v>
      </c>
      <c r="N610" s="53" t="str">
        <f>IFERROR(M610-A610,"N/A")</f>
        <v>N/A</v>
      </c>
      <c r="O610" s="39"/>
      <c r="P610" s="40" t="str">
        <f>IF(Settings!$E$27="ON",VLOOKUP(B610,ADP!A1:H728,8,FALSE)," ")</f>
        <v xml:space="preserve"> </v>
      </c>
      <c r="Q610" s="41">
        <f>IF(Settings!$E$12="YES",VLOOKUP(B610,'Player Data'!A1:E734,5,FALSE),82)</f>
        <v>73.103571428571399</v>
      </c>
      <c r="R610" s="39">
        <f>VLOOKUP(B610,'Player Data'!$A1:$AE734,6,FALSE)</f>
        <v>13.7581917839745</v>
      </c>
      <c r="S610" s="41">
        <f>VLOOKUP(B610,'Player Data'!$A1:$AE734,7,FALSE)*$Q610*IFERROR((VLOOKUP(P610,Settings!$E$28:$F$33,2,FALSE)+1),1)</f>
        <v>9.8801868686892504</v>
      </c>
      <c r="T610" s="41">
        <f>VLOOKUP(B610,'Player Data'!$A1:$AE734,8,FALSE)*$Q610*IFERROR((VLOOKUP(P610,Settings!$E$28:$F$33,2,FALSE)+1),1)</f>
        <v>13.986235255789603</v>
      </c>
      <c r="U610" s="41">
        <f>SUM(S610:T610)</f>
        <v>23.866422124478852</v>
      </c>
      <c r="V610" s="41">
        <f>VLOOKUP(B610,'Player Data'!$A1:$AE734,10,FALSE)*$Q610*IFERROR(((VLOOKUP(P610,Settings!$E$28:$F$33,2,FALSE)/2)+1),1)</f>
        <v>103.16106174417835</v>
      </c>
      <c r="W610" s="41">
        <f>VLOOKUP(B610,'Player Data'!$A1:$AE734,11,FALSE)*$Q610*IFERROR((VLOOKUP(P610,Settings!$E$28:$F$33,2,FALSE)+1),1)</f>
        <v>0.16211775237919659</v>
      </c>
      <c r="X610" s="41">
        <f>VLOOKUP(B610,'Player Data'!$A1:$AE734,12,FALSE)*$Q610*IFERROR((VLOOKUP(P610,Settings!$E$28:$F$33,2,FALSE)+1),1)</f>
        <v>0.414780660849702</v>
      </c>
      <c r="Y610" s="41">
        <f>VLOOKUP(B610,'Player Data'!$A1:$AE734,13,FALSE)*$Q610</f>
        <v>2.5449670575135488</v>
      </c>
      <c r="Z610" s="41">
        <f>VLOOKUP(B610,'Player Data'!$A1:$AE734,14,FALSE)*$Q610</f>
        <v>3.3091916288186769</v>
      </c>
      <c r="AA610" s="41">
        <f>VLOOKUP(B610,'Player Data'!$A1:$AE734,15,FALSE)*$Q610</f>
        <v>34.690437473838813</v>
      </c>
      <c r="AB610" s="41">
        <f>VLOOKUP(B610,'Player Data'!$A1:$AE734,16,FALSE)*$Q610</f>
        <v>133.90524846285547</v>
      </c>
      <c r="AC610" s="41">
        <f>VLOOKUP(B610,'Player Data'!$A1:$AE734,17,FALSE)*$Q610*IFERROR((VLOOKUP(P610,Settings!$E$28:$F$33,2,FALSE)+1),1)</f>
        <v>1.9162378583152115</v>
      </c>
      <c r="AD610" s="41">
        <f>VLOOKUP(B610,'Player Data'!$A1:$AE734,18,FALSE)*$Q610</f>
        <v>38.756336199003634</v>
      </c>
      <c r="AE610" s="41">
        <f>VLOOKUP(B610,'Player Data'!$A1:$AE734,19,FALSE)*$Q610*IFERROR((VLOOKUP(P610,Settings!$E$28:$F$33,2,FALSE)+1),1)</f>
        <v>1.5872493943410733</v>
      </c>
      <c r="AF610" s="41">
        <f>VLOOKUP(B610,'Player Data'!$A1:$AE734,20,FALSE)*$Q610</f>
        <v>216.27391207526236</v>
      </c>
      <c r="AG610" s="41">
        <f>VLOOKUP(B610,'Player Data'!$A1:$AE734,21,FALSE)*$Q610</f>
        <v>235.88067800866696</v>
      </c>
      <c r="AH610" s="42">
        <f>VLOOKUP(B610,'Player Data'!$A1:$AE734,22,FALSE)</f>
        <v>0.478318514990896</v>
      </c>
      <c r="AI610" s="39"/>
      <c r="AJ610" s="43"/>
      <c r="AK610" s="41"/>
      <c r="AL610" s="41"/>
      <c r="AM610" s="41"/>
      <c r="AN610" s="41"/>
      <c r="AO610" s="41"/>
      <c r="AP610" s="41"/>
      <c r="AQ610" s="44"/>
      <c r="AR610" s="45"/>
      <c r="AS610" s="39"/>
    </row>
    <row r="611" spans="1:45" ht="21.25" customHeight="1" x14ac:dyDescent="0.15">
      <c r="A611" s="31">
        <f>RANK(K611,K$2:K$727)</f>
        <v>610</v>
      </c>
      <c r="B611" s="8" t="s">
        <v>715</v>
      </c>
      <c r="C611" s="32" t="s">
        <v>106</v>
      </c>
      <c r="D611" s="33" t="str">
        <f>VLOOKUP(B611,'Player Data'!A1:D734,4,FALSE)</f>
        <v>G</v>
      </c>
      <c r="E611" s="50">
        <f>VLOOKUP(B611,G!A1:D75,3,FALSE)</f>
        <v>51</v>
      </c>
      <c r="F611" s="35" t="str">
        <f>VLOOKUP(B611,'Player Data'!A1:B734,2,FALSE)</f>
        <v>ANA</v>
      </c>
      <c r="G611" s="9">
        <f>VLOOKUP(B611,'Player Data'!A1:D734,3,FALSE)</f>
        <v>23</v>
      </c>
      <c r="H611" s="36">
        <f>IFERROR(VLOOKUP(B611,ADP!A1:G728,7,FALSE)/1000000,VLOOKUP(B611,ADP!A1:G728,7,FALSE))</f>
        <v>0</v>
      </c>
      <c r="I611" s="37">
        <f>IF(Settings!$E$15="POINTS",(AJ611*Settings!$B$29)+(AK611*Settings!$B$21)+(AL611*Settings!$B$22)+(AN611*Settings!$B$24)+(AO611*Settings!$B$25)+(AP611*Settings!$B$27)+(AM611*Settings!$B$23),VLOOKUP(B611,'Standard Deviations'!A1:C728,3,FALSE))</f>
        <v>142.02525244219015</v>
      </c>
      <c r="J611" s="38">
        <f>IF(D611="G",I611/AJ611,I611/Q611)</f>
        <v>6.4556932928268251</v>
      </c>
      <c r="K611" s="37">
        <f>VLOOKUP(B611,G!A1:F75,6,FALSE)</f>
        <v>-256.75040964712605</v>
      </c>
      <c r="L611" s="52" t="str">
        <f>IFERROR(K611/H611,"N/A")</f>
        <v>N/A</v>
      </c>
      <c r="M611" s="53" t="str">
        <f>IF(Settings!$E$9="YAHOO",VLOOKUP(B611,ADP!A1:E728,2,FALSE),IF(Settings!$E$9="ESPN",VLOOKUP(B611,ADP!A1:E728,3,FALSE),IF(Settings!$E$9="FANTRAX",VLOOKUP(B611,ADP!A1:E728,4,FALSE),VLOOKUP(B611,ADP!A1:E728,5,FALSE))))</f>
        <v>-</v>
      </c>
      <c r="N611" s="53" t="str">
        <f>IFERROR(M611-A611,"N/A")</f>
        <v>N/A</v>
      </c>
      <c r="O611" s="39"/>
      <c r="P611" s="40" t="str">
        <f>IF(Settings!$E$27="ON",VLOOKUP(B611,ADP!A1:H728,8,FALSE)," ")</f>
        <v xml:space="preserve"> </v>
      </c>
      <c r="Q611" s="41"/>
      <c r="R611" s="5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2"/>
      <c r="AI611" s="39"/>
      <c r="AJ611" s="43">
        <f>VLOOKUP(B611,'Player Data'!$A1:$AE734,24,FALSE)</f>
        <v>22</v>
      </c>
      <c r="AK611" s="41">
        <f>VLOOKUP(B611,'Player Data'!$A1:$AE734,25,FALSE)*$AJ611*IFERROR((VLOOKUP(P611,Settings!$E$28:$F$33,2,FALSE)+1),1)</f>
        <v>7.0213269101532259</v>
      </c>
      <c r="AL611" s="41">
        <f>AJ611-AK611-AM611</f>
        <v>12.228673089846774</v>
      </c>
      <c r="AM611" s="41">
        <f>VLOOKUP(B611,'Player Data'!$A1:$AE734,27,FALSE)*$AJ611</f>
        <v>2.75</v>
      </c>
      <c r="AN611" s="41">
        <f>VLOOKUP(B611,'Player Data'!$A1:$AE734,28,FALSE)*AJ611</f>
        <v>0.37996228158500039</v>
      </c>
      <c r="AO611" s="41">
        <f>VLOOKUP(B611,'Player Data'!$A1:$AE734,29,FALSE)*$AJ611*IFERROR((VLOOKUP(P611,Settings!$E$28:$F$33,2,FALSE)/4)+1,1)</f>
        <v>678.43707008887486</v>
      </c>
      <c r="AP611" s="41">
        <f>VLOOKUP(B611,'Player Data'!$A1:$AE734,31,FALSE)*$AJ611*(IFERROR(1-(VLOOKUP(P611,Settings!$E$28:$F$33,2,FALSE)/4),1))</f>
        <v>73.005729298625639</v>
      </c>
      <c r="AQ611" s="44">
        <f>1-(AP611/(AO611+AP611))</f>
        <v>0.90284592605301106</v>
      </c>
      <c r="AR611" s="45">
        <f>AP611/AJ611</f>
        <v>3.3184422408466201</v>
      </c>
      <c r="AS611" s="39"/>
    </row>
    <row r="612" spans="1:45" ht="21.25" customHeight="1" x14ac:dyDescent="0.15">
      <c r="A612" s="31">
        <f>RANK(K612,K$2:K$727)</f>
        <v>611</v>
      </c>
      <c r="B612" s="8" t="s">
        <v>716</v>
      </c>
      <c r="C612" s="32" t="s">
        <v>106</v>
      </c>
      <c r="D612" s="33" t="str">
        <f>VLOOKUP(B612,'Player Data'!A1:D734,4,FALSE)</f>
        <v>LW</v>
      </c>
      <c r="E612" s="47">
        <f>VLOOKUP(B612,LW!A1:C130,3,FALSE)</f>
        <v>109</v>
      </c>
      <c r="F612" s="35" t="str">
        <f>VLOOKUP(B612,'Player Data'!A1:B734,2,FALSE)</f>
        <v>ANA</v>
      </c>
      <c r="G612" s="9">
        <f>VLOOKUP(B612,'Player Data'!A1:D734,3,FALSE)</f>
        <v>25</v>
      </c>
      <c r="H612" s="36">
        <f>IFERROR(VLOOKUP(B612,ADP!A1:G728,7,FALSE)/1000000,VLOOKUP(B612,ADP!A1:G728,7,FALSE))</f>
        <v>1.2949999999999999</v>
      </c>
      <c r="I612" s="37">
        <f>IF(Settings!$E$15="POINTS",((R612*Q612)*Settings!$B$12)+(S612*Settings!$B$2)+(T612*Settings!$B$3)+(U612*Settings!$B$4)+(V612*Settings!$B$5)+(X612*Settings!$B$9)+(AA612*Settings!$B$6)+(W612*Settings!$B$8)+(AB612*Settings!$B$7)+(AC612*Settings!$B$14)+(AD612*Settings!$B$15)+(AE612*Settings!$B$16)+(AF612*Settings!$B$17)+(AG612*Settings!$B$18)+(Y612*Settings!$B$10)+(Z612*Settings!$B$11),VLOOKUP(B612,'Standard Deviations'!A1:C728,3,FALSE))</f>
        <v>107.24605458513849</v>
      </c>
      <c r="J612" s="38">
        <f>IF(D612="G",I612/AJ612,I612/Q612)</f>
        <v>1.59454210499189</v>
      </c>
      <c r="K612" s="37">
        <f>IF(Settings!$E$18="C/LW/RW",VLOOKUP(B612,LW!A1:F130,6,FALSE),VLOOKUP(B612,F!A1:F430,6,FALSE))</f>
        <v>-256.79455027251197</v>
      </c>
      <c r="L612" s="37">
        <f>IFERROR(K612/H612,"N/A")</f>
        <v>-198.29695001738378</v>
      </c>
      <c r="M612" s="53" t="str">
        <f>IF(Settings!$E$9="YAHOO",VLOOKUP(B612,ADP!A1:E728,2,FALSE),IF(Settings!$E$9="ESPN",VLOOKUP(B612,ADP!A1:E728,3,FALSE),IF(Settings!$E$9="FANTRAX",VLOOKUP(B612,ADP!A1:E728,4,FALSE),VLOOKUP(B612,ADP!A1:E728,5,FALSE))))</f>
        <v>-</v>
      </c>
      <c r="N612" s="53" t="str">
        <f>IFERROR(M612-A612,"N/A")</f>
        <v>N/A</v>
      </c>
      <c r="O612" s="39"/>
      <c r="P612" s="40" t="str">
        <f>IF(Settings!$E$27="ON",VLOOKUP(B612,ADP!A1:H728,8,FALSE)," ")</f>
        <v xml:space="preserve"> </v>
      </c>
      <c r="Q612" s="41">
        <f>IF(Settings!$E$12="YES",VLOOKUP(B612,'Player Data'!A1:E734,5,FALSE),82)</f>
        <v>67.258214285714303</v>
      </c>
      <c r="R612" s="39">
        <f>VLOOKUP(B612,'Player Data'!$A1:$AE734,6,FALSE)</f>
        <v>11.6205540656557</v>
      </c>
      <c r="S612" s="41">
        <f>VLOOKUP(B612,'Player Data'!$A1:$AE734,7,FALSE)*$Q612*IFERROR((VLOOKUP(P612,Settings!$E$28:$F$33,2,FALSE)+1),1)</f>
        <v>8.5414747054345881</v>
      </c>
      <c r="T612" s="41">
        <f>VLOOKUP(B612,'Player Data'!$A1:$AE734,8,FALSE)*$Q612*IFERROR((VLOOKUP(P612,Settings!$E$28:$F$33,2,FALSE)+1),1)</f>
        <v>9.8119798928158524</v>
      </c>
      <c r="U612" s="41">
        <f>SUM(S612:T612)</f>
        <v>18.35345459825044</v>
      </c>
      <c r="V612" s="41">
        <f>VLOOKUP(B612,'Player Data'!$A1:$AE734,10,FALSE)*$Q612*IFERROR(((VLOOKUP(P612,Settings!$E$28:$F$33,2,FALSE)/2)+1),1)</f>
        <v>93.748962779177049</v>
      </c>
      <c r="W612" s="41">
        <f>VLOOKUP(B612,'Player Data'!$A1:$AE734,11,FALSE)*$Q612*IFERROR((VLOOKUP(P612,Settings!$E$28:$F$33,2,FALSE)+1),1)</f>
        <v>0.42011235326456137</v>
      </c>
      <c r="X612" s="41">
        <f>VLOOKUP(B612,'Player Data'!$A1:$AE734,12,FALSE)*$Q612*IFERROR((VLOOKUP(P612,Settings!$E$28:$F$33,2,FALSE)+1),1)</f>
        <v>0.80068590241021098</v>
      </c>
      <c r="Y612" s="41">
        <f>VLOOKUP(B612,'Player Data'!$A1:$AE734,13,FALSE)*$Q612</f>
        <v>3.0383594682166504E-2</v>
      </c>
      <c r="Z612" s="41">
        <f>VLOOKUP(B612,'Player Data'!$A1:$AE734,14,FALSE)*$Q612</f>
        <v>5.5823524824557082E-2</v>
      </c>
      <c r="AA612" s="41">
        <f>VLOOKUP(B612,'Player Data'!$A1:$AE734,15,FALSE)*$Q612</f>
        <v>17.990952731645617</v>
      </c>
      <c r="AB612" s="41">
        <f>VLOOKUP(B612,'Player Data'!$A1:$AE734,16,FALSE)*$Q612</f>
        <v>96.800762871805262</v>
      </c>
      <c r="AC612" s="41">
        <f>VLOOKUP(B612,'Player Data'!$A1:$AE734,17,FALSE)*$Q612*IFERROR((VLOOKUP(P612,Settings!$E$28:$F$33,2,FALSE)+1),1)</f>
        <v>-7.893894444983478</v>
      </c>
      <c r="AD612" s="41">
        <f>VLOOKUP(B612,'Player Data'!$A1:$AE734,18,FALSE)*$Q612</f>
        <v>45.168825443564138</v>
      </c>
      <c r="AE612" s="41">
        <f>VLOOKUP(B612,'Player Data'!$A1:$AE734,19,FALSE)*$Q612*IFERROR((VLOOKUP(P612,Settings!$E$28:$F$33,2,FALSE)+1),1)</f>
        <v>0.92597644024367209</v>
      </c>
      <c r="AF612" s="41">
        <f>VLOOKUP(B612,'Player Data'!$A1:$AE734,20,FALSE)*$Q612</f>
        <v>8.8289164024396793</v>
      </c>
      <c r="AG612" s="41">
        <f>VLOOKUP(B612,'Player Data'!$A1:$AE734,21,FALSE)*$Q612</f>
        <v>10.005058742927616</v>
      </c>
      <c r="AH612" s="42">
        <f>VLOOKUP(B612,'Player Data'!$A1:$AE734,22,FALSE)</f>
        <v>0.46877604617692198</v>
      </c>
      <c r="AI612" s="39"/>
      <c r="AJ612" s="43"/>
      <c r="AK612" s="41"/>
      <c r="AL612" s="41"/>
      <c r="AM612" s="41"/>
      <c r="AN612" s="41"/>
      <c r="AO612" s="41"/>
      <c r="AP612" s="41"/>
      <c r="AQ612" s="44"/>
      <c r="AR612" s="45"/>
      <c r="AS612" s="39"/>
    </row>
    <row r="613" spans="1:45" ht="21.25" customHeight="1" x14ac:dyDescent="0.15">
      <c r="A613" s="31">
        <f>RANK(K613,K$2:K$727)</f>
        <v>612</v>
      </c>
      <c r="B613" s="8" t="s">
        <v>717</v>
      </c>
      <c r="C613" s="32" t="s">
        <v>106</v>
      </c>
      <c r="D613" s="33" t="str">
        <f>VLOOKUP(B613,'Player Data'!A1:D734,4,FALSE)</f>
        <v>G</v>
      </c>
      <c r="E613" s="50">
        <f>VLOOKUP(B613,G!A1:D75,3,FALSE)</f>
        <v>52</v>
      </c>
      <c r="F613" s="35" t="str">
        <f>VLOOKUP(B613,'Player Data'!A1:B734,2,FALSE)</f>
        <v>CAR</v>
      </c>
      <c r="G613" s="9">
        <f>VLOOKUP(B613,'Player Data'!A1:D734,3,FALSE)</f>
        <v>24</v>
      </c>
      <c r="H613" s="36">
        <f>IFERROR(VLOOKUP(B613,ADP!A1:G728,7,FALSE)/1000000,VLOOKUP(B613,ADP!A1:G728,7,FALSE))</f>
        <v>0</v>
      </c>
      <c r="I613" s="37">
        <f>IF(Settings!$E$15="POINTS",(AJ613*Settings!$B$29)+(AK613*Settings!$B$21)+(AL613*Settings!$B$22)+(AN613*Settings!$B$24)+(AO613*Settings!$B$25)+(AP613*Settings!$B$27)+(AM613*Settings!$B$23),VLOOKUP(B613,'Standard Deviations'!A1:C728,3,FALSE))</f>
        <v>141.96339632516219</v>
      </c>
      <c r="J613" s="38">
        <f>IF(D613="G",I613/AJ613,I613/Q613)</f>
        <v>7.0981698162581095</v>
      </c>
      <c r="K613" s="37">
        <f>VLOOKUP(B613,G!A1:F75,6,FALSE)</f>
        <v>-256.81226576415401</v>
      </c>
      <c r="L613" s="52" t="str">
        <f>IFERROR(K613/H613,"N/A")</f>
        <v>N/A</v>
      </c>
      <c r="M613" s="39">
        <f>IF(Settings!$E$9="YAHOO",VLOOKUP(B613,ADP!A1:E728,2,FALSE),IF(Settings!$E$9="ESPN",VLOOKUP(B613,ADP!A1:E728,3,FALSE),IF(Settings!$E$9="FANTRAX",VLOOKUP(B613,ADP!A1:E728,4,FALSE),VLOOKUP(B613,ADP!A1:E728,5,FALSE))))</f>
        <v>114.3</v>
      </c>
      <c r="N613" s="39">
        <f>IFERROR(M613-A613,"N/A")</f>
        <v>-497.7</v>
      </c>
      <c r="O613" s="39"/>
      <c r="P613" s="40" t="str">
        <f>IF(Settings!$E$27="ON",VLOOKUP(B613,ADP!A1:H728,8,FALSE)," ")</f>
        <v>+</v>
      </c>
      <c r="Q613" s="41"/>
      <c r="R613" s="5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2"/>
      <c r="AI613" s="39"/>
      <c r="AJ613" s="43">
        <f>VLOOKUP(B613,'Player Data'!$A1:$AE734,24,FALSE)</f>
        <v>20</v>
      </c>
      <c r="AK613" s="41">
        <f>VLOOKUP(B613,'Player Data'!$A1:$AE734,25,FALSE)*$AJ613*IFERROR((VLOOKUP(P613,Settings!$E$28:$F$33,2,FALSE)+1),1)</f>
        <v>12.68672351911696</v>
      </c>
      <c r="AL613" s="41">
        <f>AJ613-AK613-AM613</f>
        <v>4.8132764808830402</v>
      </c>
      <c r="AM613" s="41">
        <f>VLOOKUP(B613,'Player Data'!$A1:$AE734,27,FALSE)*$AJ613</f>
        <v>2.5</v>
      </c>
      <c r="AN613" s="41">
        <f>VLOOKUP(B613,'Player Data'!$A1:$AE734,28,FALSE)*AJ613</f>
        <v>1.0245303557868481</v>
      </c>
      <c r="AO613" s="41">
        <f>VLOOKUP(B613,'Player Data'!$A1:$AE734,29,FALSE)*$AJ613*IFERROR((VLOOKUP(P613,Settings!$E$28:$F$33,2,FALSE)/4)+1,1)</f>
        <v>544.27714741565478</v>
      </c>
      <c r="AP613" s="41">
        <f>VLOOKUP(B613,'Player Data'!$A1:$AE734,31,FALSE)*$AJ613*(IFERROR(1-(VLOOKUP(P613,Settings!$E$28:$F$33,2,FALSE)/4),1))</f>
        <v>56.761469550529924</v>
      </c>
      <c r="AQ613" s="44">
        <f>1-(AP613/(AO613+AP613))</f>
        <v>0.90556102728134125</v>
      </c>
      <c r="AR613" s="45">
        <f>AP613/AJ613</f>
        <v>2.8380734775264962</v>
      </c>
      <c r="AS613" s="39"/>
    </row>
    <row r="614" spans="1:45" ht="21.25" customHeight="1" x14ac:dyDescent="0.15">
      <c r="A614" s="31">
        <f>RANK(K614,K$2:K$727)</f>
        <v>613</v>
      </c>
      <c r="B614" s="8" t="s">
        <v>718</v>
      </c>
      <c r="C614" s="32" t="s">
        <v>106</v>
      </c>
      <c r="D614" s="33" t="str">
        <f>VLOOKUP(B614,'Player Data'!A1:D734,4,FALSE)</f>
        <v>RW</v>
      </c>
      <c r="E614" s="46">
        <f>VLOOKUP(B614,RW!A1:F97,3,FALSE)</f>
        <v>87</v>
      </c>
      <c r="F614" s="35" t="str">
        <f>VLOOKUP(B614,'Player Data'!A1:B734,2,FALSE)</f>
        <v>NYR</v>
      </c>
      <c r="G614" s="9">
        <f>VLOOKUP(B614,'Player Data'!A1:D734,3,FALSE)</f>
        <v>31</v>
      </c>
      <c r="H614" s="36">
        <f>IFERROR(VLOOKUP(B614,ADP!A1:G728,7,FALSE)/1000000,VLOOKUP(B614,ADP!A1:G728,7,FALSE))</f>
        <v>0.77500000000000002</v>
      </c>
      <c r="I614" s="37">
        <f>IF(Settings!$E$15="POINTS",((R614*Q614)*Settings!$B$12)+(S614*Settings!$B$2)+(T614*Settings!$B$3)+(U614*Settings!$B$4)+(V614*Settings!$B$5)+(X614*Settings!$B$9)+(AA614*Settings!$B$6)+(W614*Settings!$B$8)+(AB614*Settings!$B$7)+(AC614*Settings!$B$14)+(AD614*Settings!$B$15)+(AE614*Settings!$B$16)+(AF614*Settings!$B$17)+(AG614*Settings!$B$18)+(Y614*Settings!$B$10)+(Z614*Settings!$B$11),VLOOKUP(B614,'Standard Deviations'!A1:C728,3,FALSE))</f>
        <v>91.921006348878819</v>
      </c>
      <c r="J614" s="38">
        <f>IF(D614="G",I614/AJ614,I614/Q614)</f>
        <v>1.7343586103562041</v>
      </c>
      <c r="K614" s="37">
        <f>IF(Settings!$E$18="C/LW/RW",VLOOKUP(B614,RW!A1:F97,6,FALSE),VLOOKUP(B614,F!A1:F430,6,FALSE))</f>
        <v>-258.35053419901078</v>
      </c>
      <c r="L614" s="37">
        <f>IFERROR(K614/H614,"N/A")</f>
        <v>-333.35552799872357</v>
      </c>
      <c r="M614" s="53" t="str">
        <f>IF(Settings!$E$9="YAHOO",VLOOKUP(B614,ADP!A1:E728,2,FALSE),IF(Settings!$E$9="ESPN",VLOOKUP(B614,ADP!A1:E728,3,FALSE),IF(Settings!$E$9="FANTRAX",VLOOKUP(B614,ADP!A1:E728,4,FALSE),VLOOKUP(B614,ADP!A1:E728,5,FALSE))))</f>
        <v>-</v>
      </c>
      <c r="N614" s="53" t="str">
        <f>IFERROR(M614-A614,"N/A")</f>
        <v>N/A</v>
      </c>
      <c r="O614" s="39"/>
      <c r="P614" s="40" t="str">
        <f>IF(Settings!$E$27="ON",VLOOKUP(B614,ADP!A1:H728,8,FALSE)," ")</f>
        <v xml:space="preserve"> </v>
      </c>
      <c r="Q614" s="41">
        <f>IF(Settings!$E$12="YES",VLOOKUP(B614,'Player Data'!A1:E734,5,FALSE),82)</f>
        <v>53</v>
      </c>
      <c r="R614" s="39">
        <f>VLOOKUP(B614,'Player Data'!$A1:$AE734,6,FALSE)</f>
        <v>12.2179199110123</v>
      </c>
      <c r="S614" s="41">
        <f>VLOOKUP(B614,'Player Data'!$A1:$AE734,7,FALSE)*$Q614*IFERROR((VLOOKUP(P614,Settings!$E$28:$F$33,2,FALSE)+1),1)</f>
        <v>6.8332168156676207</v>
      </c>
      <c r="T614" s="41">
        <f>VLOOKUP(B614,'Player Data'!$A1:$AE734,8,FALSE)*$Q614*IFERROR((VLOOKUP(P614,Settings!$E$28:$F$33,2,FALSE)+1),1)</f>
        <v>9.5607472327413543</v>
      </c>
      <c r="U614" s="41">
        <f>SUM(S614:T614)</f>
        <v>16.393964048408975</v>
      </c>
      <c r="V614" s="41">
        <f>VLOOKUP(B614,'Player Data'!$A1:$AE734,10,FALSE)*$Q614*IFERROR(((VLOOKUP(P614,Settings!$E$28:$F$33,2,FALSE)/2)+1),1)</f>
        <v>69.296014130836809</v>
      </c>
      <c r="W614" s="41">
        <f>VLOOKUP(B614,'Player Data'!$A1:$AE734,11,FALSE)*$Q614*IFERROR((VLOOKUP(P614,Settings!$E$28:$F$33,2,FALSE)+1),1)</f>
        <v>0.1705671595867011</v>
      </c>
      <c r="X614" s="41">
        <f>VLOOKUP(B614,'Player Data'!$A1:$AE734,12,FALSE)*$Q614*IFERROR((VLOOKUP(P614,Settings!$E$28:$F$33,2,FALSE)+1),1)</f>
        <v>0.43924807515874681</v>
      </c>
      <c r="Y614" s="41">
        <f>VLOOKUP(B614,'Player Data'!$A1:$AE734,13,FALSE)*$Q614</f>
        <v>0.17266659826629949</v>
      </c>
      <c r="Z614" s="41">
        <f>VLOOKUP(B614,'Player Data'!$A1:$AE734,14,FALSE)*$Q614</f>
        <v>0.32142105368724938</v>
      </c>
      <c r="AA614" s="41">
        <f>VLOOKUP(B614,'Player Data'!$A1:$AE734,15,FALSE)*$Q614</f>
        <v>32.848844402707499</v>
      </c>
      <c r="AB614" s="41">
        <f>VLOOKUP(B614,'Player Data'!$A1:$AE734,16,FALSE)*$Q614</f>
        <v>64.580072747689982</v>
      </c>
      <c r="AC614" s="41">
        <f>VLOOKUP(B614,'Player Data'!$A1:$AE734,17,FALSE)*$Q614*IFERROR((VLOOKUP(P614,Settings!$E$28:$F$33,2,FALSE)+1),1)</f>
        <v>-2.7083190641293515E-2</v>
      </c>
      <c r="AD614" s="41">
        <f>VLOOKUP(B614,'Player Data'!$A1:$AE734,18,FALSE)*$Q614</f>
        <v>18.865679165620715</v>
      </c>
      <c r="AE614" s="41">
        <f>VLOOKUP(B614,'Player Data'!$A1:$AE734,19,FALSE)*$Q614*IFERROR((VLOOKUP(P614,Settings!$E$28:$F$33,2,FALSE)+1),1)</f>
        <v>1.1643673852219731</v>
      </c>
      <c r="AF614" s="41">
        <f>VLOOKUP(B614,'Player Data'!$A1:$AE734,20,FALSE)*$Q614</f>
        <v>159.05642577244325</v>
      </c>
      <c r="AG614" s="41">
        <f>VLOOKUP(B614,'Player Data'!$A1:$AE734,21,FALSE)*$Q614</f>
        <v>175.40768818683483</v>
      </c>
      <c r="AH614" s="42">
        <f>VLOOKUP(B614,'Player Data'!$A1:$AE734,22,FALSE)</f>
        <v>0.47555602868596197</v>
      </c>
      <c r="AI614" s="39"/>
      <c r="AJ614" s="41"/>
      <c r="AK614" s="41"/>
      <c r="AL614" s="41"/>
      <c r="AM614" s="41"/>
      <c r="AN614" s="41"/>
      <c r="AO614" s="41"/>
      <c r="AP614" s="41"/>
      <c r="AQ614" s="44"/>
      <c r="AR614" s="45"/>
      <c r="AS614" s="39"/>
    </row>
    <row r="615" spans="1:45" ht="21.25" customHeight="1" x14ac:dyDescent="0.15">
      <c r="A615" s="31">
        <f>RANK(K615,K$2:K$727)</f>
        <v>614</v>
      </c>
      <c r="B615" s="8" t="s">
        <v>719</v>
      </c>
      <c r="C615" s="32" t="s">
        <v>106</v>
      </c>
      <c r="D615" s="33" t="str">
        <f>VLOOKUP(B615,'Player Data'!A1:D734,4,FALSE)</f>
        <v>C</v>
      </c>
      <c r="E615" s="34">
        <f>VLOOKUP(B615,'C'!A1:C211,3,FALSE)</f>
        <v>145</v>
      </c>
      <c r="F615" s="35" t="str">
        <f>VLOOKUP(B615,'Player Data'!A1:B734,2,FALSE)</f>
        <v>PIT</v>
      </c>
      <c r="G615" s="9">
        <f>VLOOKUP(B615,'Player Data'!A1:D734,3,FALSE)</f>
        <v>34</v>
      </c>
      <c r="H615" s="36">
        <f>IFERROR(VLOOKUP(B615,ADP!A1:G728,7,FALSE)/1000000,VLOOKUP(B615,ADP!A1:G728,7,FALSE))</f>
        <v>2.4500000000000002</v>
      </c>
      <c r="I615" s="37">
        <f>IF(Settings!$E$15="POINTS",((R615*Q615)*Settings!$B$12)+(S615*Settings!$B$2)+(T615*Settings!$B$3)+(U615*Settings!$B$4)+(V615*Settings!$B$5)+(X615*Settings!$B$9)+(AA615*Settings!$B$6)+(W615*Settings!$B$8)+(AB615*Settings!$B$7)+(AC615*Settings!$B$14)+(AD615*Settings!$B$15)+(AE615*Settings!$B$16)+(AF615*Settings!$B$17)+(AG615*Settings!$B$18)+(Y615*Settings!$B$10)+(Z615*Settings!$B$11),VLOOKUP(B615,'Standard Deviations'!A1:C728,3,FALSE))</f>
        <v>134.17186007750206</v>
      </c>
      <c r="J615" s="38">
        <f>IF(D615="G",I615/AJ615,I615/Q615)</f>
        <v>1.6929592814004271</v>
      </c>
      <c r="K615" s="37">
        <f>IF(Settings!$E$18="C/LW/RW",VLOOKUP(B615,'C'!A1:F211,6,FALSE),VLOOKUP(B615,F!A1:F430,6,FALSE))</f>
        <v>-259.15694568870759</v>
      </c>
      <c r="L615" s="37">
        <f>IFERROR(K615/H615,"N/A")</f>
        <v>-105.77834517906432</v>
      </c>
      <c r="M615" s="53" t="str">
        <f>IF(Settings!$E$9="YAHOO",VLOOKUP(B615,ADP!A1:E728,2,FALSE),IF(Settings!$E$9="ESPN",VLOOKUP(B615,ADP!A1:E728,3,FALSE),IF(Settings!$E$9="FANTRAX",VLOOKUP(B615,ADP!A1:E728,4,FALSE),VLOOKUP(B615,ADP!A1:E728,5,FALSE))))</f>
        <v>-</v>
      </c>
      <c r="N615" s="53" t="str">
        <f>IFERROR(M615-A615,"N/A")</f>
        <v>N/A</v>
      </c>
      <c r="O615" s="39"/>
      <c r="P615" s="40" t="str">
        <f>IF(Settings!$E$27="ON",VLOOKUP(B615,ADP!A1:H728,8,FALSE)," ")</f>
        <v xml:space="preserve"> </v>
      </c>
      <c r="Q615" s="41">
        <f>IF(Settings!$E$12="YES",VLOOKUP(B615,'Player Data'!A1:E734,5,FALSE),82)</f>
        <v>79.252857142857096</v>
      </c>
      <c r="R615" s="39">
        <f>VLOOKUP(B615,'Player Data'!$A1:$AE734,6,FALSE)</f>
        <v>14.0217364908505</v>
      </c>
      <c r="S615" s="41">
        <f>VLOOKUP(B615,'Player Data'!$A1:$AE734,7,FALSE)*$Q615*IFERROR((VLOOKUP(P615,Settings!$E$28:$F$33,2,FALSE)+1),1)</f>
        <v>9.2489086676415653</v>
      </c>
      <c r="T615" s="41">
        <f>VLOOKUP(B615,'Player Data'!$A1:$AE734,8,FALSE)*$Q615*IFERROR((VLOOKUP(P615,Settings!$E$28:$F$33,2,FALSE)+1),1)</f>
        <v>12.496032850971773</v>
      </c>
      <c r="U615" s="41">
        <f>SUM(S615:T615)</f>
        <v>21.744941518613338</v>
      </c>
      <c r="V615" s="41">
        <f>VLOOKUP(B615,'Player Data'!$A1:$AE734,10,FALSE)*$Q615*IFERROR(((VLOOKUP(P615,Settings!$E$28:$F$33,2,FALSE)/2)+1),1)</f>
        <v>119.40857741247885</v>
      </c>
      <c r="W615" s="41">
        <f>VLOOKUP(B615,'Player Data'!$A1:$AE734,11,FALSE)*$Q615*IFERROR((VLOOKUP(P615,Settings!$E$28:$F$33,2,FALSE)+1),1)</f>
        <v>2.678416615038854E-2</v>
      </c>
      <c r="X615" s="41">
        <f>VLOOKUP(B615,'Player Data'!$A1:$AE734,12,FALSE)*$Q615*IFERROR((VLOOKUP(P615,Settings!$E$28:$F$33,2,FALSE)+1),1)</f>
        <v>0.1415481768435152</v>
      </c>
      <c r="Y615" s="41">
        <f>VLOOKUP(B615,'Player Data'!$A1:$AE734,13,FALSE)*$Q615</f>
        <v>0.56829377773595846</v>
      </c>
      <c r="Z615" s="41">
        <f>VLOOKUP(B615,'Player Data'!$A1:$AE734,14,FALSE)*$Q615</f>
        <v>0.66981288083510271</v>
      </c>
      <c r="AA615" s="41">
        <f>VLOOKUP(B615,'Player Data'!$A1:$AE734,15,FALSE)*$Q615</f>
        <v>38.050123500326961</v>
      </c>
      <c r="AB615" s="41">
        <f>VLOOKUP(B615,'Player Data'!$A1:$AE734,16,FALSE)*$Q615</f>
        <v>88.305493823541383</v>
      </c>
      <c r="AC615" s="41">
        <f>VLOOKUP(B615,'Player Data'!$A1:$AE734,17,FALSE)*$Q615*IFERROR((VLOOKUP(P615,Settings!$E$28:$F$33,2,FALSE)+1),1)</f>
        <v>1.3829674522995237</v>
      </c>
      <c r="AD615" s="41">
        <f>VLOOKUP(B615,'Player Data'!$A1:$AE734,18,FALSE)*$Q615</f>
        <v>36.784759333449777</v>
      </c>
      <c r="AE615" s="41">
        <f>VLOOKUP(B615,'Player Data'!$A1:$AE734,19,FALSE)*$Q615*IFERROR((VLOOKUP(P615,Settings!$E$28:$F$33,2,FALSE)+1),1)</f>
        <v>1.4719579220641656</v>
      </c>
      <c r="AF615" s="41">
        <f>VLOOKUP(B615,'Player Data'!$A1:$AE734,20,FALSE)*$Q615</f>
        <v>482.39571057942663</v>
      </c>
      <c r="AG615" s="41">
        <f>VLOOKUP(B615,'Player Data'!$A1:$AE734,21,FALSE)*$Q615</f>
        <v>452.50684236682554</v>
      </c>
      <c r="AH615" s="42">
        <f>VLOOKUP(B615,'Player Data'!$A1:$AE734,22,FALSE)</f>
        <v>0.51598501796706497</v>
      </c>
      <c r="AI615" s="39"/>
      <c r="AJ615" s="43"/>
      <c r="AK615" s="41"/>
      <c r="AL615" s="41"/>
      <c r="AM615" s="41"/>
      <c r="AN615" s="41"/>
      <c r="AO615" s="41"/>
      <c r="AP615" s="41"/>
      <c r="AQ615" s="44"/>
      <c r="AR615" s="45"/>
      <c r="AS615" s="39"/>
    </row>
    <row r="616" spans="1:45" ht="21.25" customHeight="1" x14ac:dyDescent="0.15">
      <c r="A616" s="31">
        <f>RANK(K616,K$2:K$727)</f>
        <v>615</v>
      </c>
      <c r="B616" s="8" t="s">
        <v>720</v>
      </c>
      <c r="C616" s="32" t="s">
        <v>106</v>
      </c>
      <c r="D616" s="33" t="str">
        <f>VLOOKUP(B616,'Player Data'!A1:D734,4,FALSE)</f>
        <v>LW</v>
      </c>
      <c r="E616" s="47">
        <f>VLOOKUP(B616,LW!A1:C130,3,FALSE)</f>
        <v>110</v>
      </c>
      <c r="F616" s="35" t="str">
        <f>VLOOKUP(B616,'Player Data'!A1:B734,2,FALSE)</f>
        <v>TOR</v>
      </c>
      <c r="G616" s="9">
        <f>VLOOKUP(B616,'Player Data'!A1:D734,3,FALSE)</f>
        <v>21</v>
      </c>
      <c r="H616" s="36">
        <f>IFERROR(VLOOKUP(B616,ADP!A1:G728,7,FALSE)/1000000,VLOOKUP(B616,ADP!A1:G728,7,FALSE))</f>
        <v>0.79666700000000001</v>
      </c>
      <c r="I616" s="37">
        <f>IF(Settings!$E$15="POINTS",((R616*Q616)*Settings!$B$12)+(S616*Settings!$B$2)+(T616*Settings!$B$3)+(U616*Settings!$B$4)+(V616*Settings!$B$5)+(X616*Settings!$B$9)+(AA616*Settings!$B$6)+(W616*Settings!$B$8)+(AB616*Settings!$B$7)+(AC616*Settings!$B$14)+(AD616*Settings!$B$15)+(AE616*Settings!$B$16)+(AF616*Settings!$B$17)+(AG616*Settings!$B$18)+(Y616*Settings!$B$10)+(Z616*Settings!$B$11),VLOOKUP(B616,'Standard Deviations'!A1:C728,3,FALSE))</f>
        <v>103.88117076784565</v>
      </c>
      <c r="J616" s="38">
        <f>IF(D616="G",I616/AJ616,I616/Q616)</f>
        <v>1.9631308213813516</v>
      </c>
      <c r="K616" s="37">
        <f>IF(Settings!$E$18="C/LW/RW",VLOOKUP(B616,LW!A1:F130,6,FALSE),VLOOKUP(B616,F!A1:F430,6,FALSE))</f>
        <v>-260.15943408980479</v>
      </c>
      <c r="L616" s="37">
        <f>IFERROR(K616/H616,"N/A")</f>
        <v>-326.55982247263256</v>
      </c>
      <c r="M616" s="53" t="str">
        <f>IF(Settings!$E$9="YAHOO",VLOOKUP(B616,ADP!A1:E728,2,FALSE),IF(Settings!$E$9="ESPN",VLOOKUP(B616,ADP!A1:E728,3,FALSE),IF(Settings!$E$9="FANTRAX",VLOOKUP(B616,ADP!A1:E728,4,FALSE),VLOOKUP(B616,ADP!A1:E728,5,FALSE))))</f>
        <v>-</v>
      </c>
      <c r="N616" s="53" t="str">
        <f>IFERROR(M616-A616,"N/A")</f>
        <v>N/A</v>
      </c>
      <c r="O616" s="39"/>
      <c r="P616" s="40" t="str">
        <f>IF(Settings!$E$27="ON",VLOOKUP(B616,ADP!A1:H728,8,FALSE)," ")</f>
        <v xml:space="preserve"> </v>
      </c>
      <c r="Q616" s="41">
        <f>IF(Settings!$E$12="YES",VLOOKUP(B616,'Player Data'!A1:E734,5,FALSE),82)</f>
        <v>52.916071428571399</v>
      </c>
      <c r="R616" s="39">
        <f>VLOOKUP(B616,'Player Data'!$A1:$AE734,6,FALSE)</f>
        <v>12.007596562474101</v>
      </c>
      <c r="S616" s="41">
        <f>VLOOKUP(B616,'Player Data'!$A1:$AE734,7,FALSE)*$Q616*IFERROR((VLOOKUP(P616,Settings!$E$28:$F$33,2,FALSE)+1),1)</f>
        <v>8.0164714247429032</v>
      </c>
      <c r="T616" s="41">
        <f>VLOOKUP(B616,'Player Data'!$A1:$AE734,8,FALSE)*$Q616*IFERROR((VLOOKUP(P616,Settings!$E$28:$F$33,2,FALSE)+1),1)</f>
        <v>10.292851367767268</v>
      </c>
      <c r="U616" s="41">
        <f>SUM(S616:T616)</f>
        <v>18.309322792510173</v>
      </c>
      <c r="V616" s="41">
        <f>VLOOKUP(B616,'Player Data'!$A1:$AE734,10,FALSE)*$Q616*IFERROR(((VLOOKUP(P616,Settings!$E$28:$F$33,2,FALSE)/2)+1),1)</f>
        <v>84.81031638807967</v>
      </c>
      <c r="W616" s="41">
        <f>VLOOKUP(B616,'Player Data'!$A1:$AE734,11,FALSE)*$Q616*IFERROR((VLOOKUP(P616,Settings!$E$28:$F$33,2,FALSE)+1),1)</f>
        <v>0.3604013717244916</v>
      </c>
      <c r="X616" s="41">
        <f>VLOOKUP(B616,'Player Data'!$A1:$AE734,12,FALSE)*$Q616*IFERROR((VLOOKUP(P616,Settings!$E$28:$F$33,2,FALSE)+1),1)</f>
        <v>0.9090283907506459</v>
      </c>
      <c r="Y616" s="41">
        <f>VLOOKUP(B616,'Player Data'!$A1:$AE734,13,FALSE)*$Q616</f>
        <v>1.0472251692992672E-2</v>
      </c>
      <c r="Z616" s="41">
        <f>VLOOKUP(B616,'Player Data'!$A1:$AE734,14,FALSE)*$Q616</f>
        <v>1.9093371442921191E-2</v>
      </c>
      <c r="AA616" s="41">
        <f>VLOOKUP(B616,'Player Data'!$A1:$AE734,15,FALSE)*$Q616</f>
        <v>23.459003359440775</v>
      </c>
      <c r="AB616" s="41">
        <f>VLOOKUP(B616,'Player Data'!$A1:$AE734,16,FALSE)*$Q616</f>
        <v>68.915884062389622</v>
      </c>
      <c r="AC616" s="41">
        <f>VLOOKUP(B616,'Player Data'!$A1:$AE734,17,FALSE)*$Q616*IFERROR((VLOOKUP(P616,Settings!$E$28:$F$33,2,FALSE)+1),1)</f>
        <v>2.4864549428432432</v>
      </c>
      <c r="AD616" s="41">
        <f>VLOOKUP(B616,'Player Data'!$A1:$AE734,18,FALSE)*$Q616</f>
        <v>13.016192715602529</v>
      </c>
      <c r="AE616" s="41">
        <f>VLOOKUP(B616,'Player Data'!$A1:$AE734,19,FALSE)*$Q616*IFERROR((VLOOKUP(P616,Settings!$E$28:$F$33,2,FALSE)+1),1)</f>
        <v>1.2878440036391425</v>
      </c>
      <c r="AF616" s="41">
        <f>VLOOKUP(B616,'Player Data'!$A1:$AE734,20,FALSE)*$Q616</f>
        <v>3.7558769243303582</v>
      </c>
      <c r="AG616" s="41">
        <f>VLOOKUP(B616,'Player Data'!$A1:$AE734,21,FALSE)*$Q616</f>
        <v>5.9661053489968916</v>
      </c>
      <c r="AH616" s="42">
        <f>VLOOKUP(B616,'Player Data'!$A1:$AE734,22,FALSE)</f>
        <v>0.38632830411908903</v>
      </c>
      <c r="AI616" s="39"/>
      <c r="AJ616" s="43"/>
      <c r="AK616" s="41"/>
      <c r="AL616" s="41"/>
      <c r="AM616" s="41"/>
      <c r="AN616" s="41"/>
      <c r="AO616" s="41"/>
      <c r="AP616" s="41"/>
      <c r="AQ616" s="44"/>
      <c r="AR616" s="45"/>
      <c r="AS616" s="39"/>
    </row>
    <row r="617" spans="1:45" ht="21.25" customHeight="1" x14ac:dyDescent="0.15">
      <c r="A617" s="31">
        <f>RANK(K617,K$2:K$727)</f>
        <v>616</v>
      </c>
      <c r="B617" s="8" t="s">
        <v>721</v>
      </c>
      <c r="C617" s="32" t="s">
        <v>106</v>
      </c>
      <c r="D617" s="33" t="str">
        <f>VLOOKUP(B617,'Player Data'!A1:D734,4,FALSE)</f>
        <v>G</v>
      </c>
      <c r="E617" s="50">
        <f>VLOOKUP(B617,G!A1:D75,3,FALSE)</f>
        <v>53</v>
      </c>
      <c r="F617" s="35" t="str">
        <f>VLOOKUP(B617,'Player Data'!A1:B734,2,FALSE)</f>
        <v>CAR</v>
      </c>
      <c r="G617" s="9">
        <f>VLOOKUP(B617,'Player Data'!A1:D734,3,FALSE)</f>
        <v>34</v>
      </c>
      <c r="H617" s="36">
        <f>IFERROR(VLOOKUP(B617,ADP!A1:G728,7,FALSE)/1000000,VLOOKUP(B617,ADP!A1:G728,7,FALSE))</f>
        <v>0</v>
      </c>
      <c r="I617" s="37">
        <f>IF(Settings!$E$15="POINTS",(AJ617*Settings!$B$29)+(AK617*Settings!$B$21)+(AL617*Settings!$B$22)+(AN617*Settings!$B$24)+(AO617*Settings!$B$25)+(AP617*Settings!$B$27)+(AM617*Settings!$B$23),VLOOKUP(B617,'Standard Deviations'!A1:C728,3,FALSE))</f>
        <v>138.51958340829134</v>
      </c>
      <c r="J617" s="38">
        <f>IF(D617="G",I617/AJ617,I617/Q617)</f>
        <v>6.5961706384900634</v>
      </c>
      <c r="K617" s="37">
        <f>VLOOKUP(B617,G!A1:F75,6,FALSE)</f>
        <v>-260.25607868102486</v>
      </c>
      <c r="L617" s="52" t="str">
        <f>IFERROR(K617/H617,"N/A")</f>
        <v>N/A</v>
      </c>
      <c r="M617" s="39">
        <f>IF(Settings!$E$9="YAHOO",VLOOKUP(B617,ADP!A1:E728,2,FALSE),IF(Settings!$E$9="ESPN",VLOOKUP(B617,ADP!A1:E728,3,FALSE),IF(Settings!$E$9="FANTRAX",VLOOKUP(B617,ADP!A1:E728,4,FALSE),VLOOKUP(B617,ADP!A1:E728,5,FALSE))))</f>
        <v>172</v>
      </c>
      <c r="N617" s="39">
        <f>IFERROR(M617-A617,"N/A")</f>
        <v>-444</v>
      </c>
      <c r="O617" s="39"/>
      <c r="P617" s="40" t="str">
        <f>IF(Settings!$E$27="ON",VLOOKUP(B617,ADP!A1:H728,8,FALSE)," ")</f>
        <v xml:space="preserve"> </v>
      </c>
      <c r="Q617" s="41"/>
      <c r="R617" s="5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2"/>
      <c r="AI617" s="39"/>
      <c r="AJ617" s="43">
        <f>VLOOKUP(B617,'Player Data'!$A1:$AE734,24,FALSE)</f>
        <v>21</v>
      </c>
      <c r="AK617" s="41">
        <f>VLOOKUP(B617,'Player Data'!$A1:$AE734,25,FALSE)*$AJ617*IFERROR((VLOOKUP(P617,Settings!$E$28:$F$33,2,FALSE)+1),1)</f>
        <v>12.885975228765535</v>
      </c>
      <c r="AL617" s="41">
        <f>AJ617-AK617-AM617</f>
        <v>5.4890247712344653</v>
      </c>
      <c r="AM617" s="41">
        <f>VLOOKUP(B617,'Player Data'!$A1:$AE734,27,FALSE)*$AJ617</f>
        <v>2.625</v>
      </c>
      <c r="AN617" s="41">
        <f>VLOOKUP(B617,'Player Data'!$A1:$AE734,28,FALSE)*AJ617</f>
        <v>1.0036877693664255</v>
      </c>
      <c r="AO617" s="41">
        <f>VLOOKUP(B617,'Player Data'!$A1:$AE734,29,FALSE)*$AJ617*IFERROR((VLOOKUP(P617,Settings!$E$28:$F$33,2,FALSE)/4)+1,1)</f>
        <v>563.49224740057412</v>
      </c>
      <c r="AP617" s="41">
        <f>VLOOKUP(B617,'Player Data'!$A1:$AE734,31,FALSE)*$AJ617*(IFERROR(1-(VLOOKUP(P617,Settings!$E$28:$F$33,2,FALSE)/4),1))</f>
        <v>61.297280505675062</v>
      </c>
      <c r="AQ617" s="44">
        <f>1-(AP617/(AO617+AP617))</f>
        <v>0.90189131256554478</v>
      </c>
      <c r="AR617" s="45">
        <f>AP617/AJ617</f>
        <v>2.9189181193178602</v>
      </c>
      <c r="AS617" s="39"/>
    </row>
    <row r="618" spans="1:45" ht="21.25" customHeight="1" x14ac:dyDescent="0.15">
      <c r="A618" s="31">
        <f>RANK(K618,K$2:K$727)</f>
        <v>617</v>
      </c>
      <c r="B618" s="8" t="s">
        <v>722</v>
      </c>
      <c r="C618" s="32" t="s">
        <v>106</v>
      </c>
      <c r="D618" s="33" t="str">
        <f>VLOOKUP(B618,'Player Data'!A1:D734,4,FALSE)</f>
        <v>LW</v>
      </c>
      <c r="E618" s="47">
        <f>VLOOKUP(B618,LW!A1:C130,3,FALSE)</f>
        <v>111</v>
      </c>
      <c r="F618" s="35" t="str">
        <f>VLOOKUP(B618,'Player Data'!A1:B734,2,FALSE)</f>
        <v>CHI</v>
      </c>
      <c r="G618" s="9">
        <f>VLOOKUP(B618,'Player Data'!A1:D734,3,FALSE)</f>
        <v>25</v>
      </c>
      <c r="H618" s="36">
        <f>IFERROR(VLOOKUP(B618,ADP!A1:G728,7,FALSE)/1000000,VLOOKUP(B618,ADP!A1:G728,7,FALSE))</f>
        <v>0.75833300000000003</v>
      </c>
      <c r="I618" s="37">
        <f>IF(Settings!$E$15="POINTS",((R618*Q618)*Settings!$B$12)+(S618*Settings!$B$2)+(T618*Settings!$B$3)+(U618*Settings!$B$4)+(V618*Settings!$B$5)+(X618*Settings!$B$9)+(AA618*Settings!$B$6)+(W618*Settings!$B$8)+(AB618*Settings!$B$7)+(AC618*Settings!$B$14)+(AD618*Settings!$B$15)+(AE618*Settings!$B$16)+(AF618*Settings!$B$17)+(AG618*Settings!$B$18)+(Y618*Settings!$B$10)+(Z618*Settings!$B$11),VLOOKUP(B618,'Standard Deviations'!A1:C728,3,FALSE))</f>
        <v>103.44661867395064</v>
      </c>
      <c r="J618" s="38">
        <f>IF(D618="G",I618/AJ618,I618/Q618)</f>
        <v>1.4326298331052958</v>
      </c>
      <c r="K618" s="37">
        <f>IF(Settings!$E$18="C/LW/RW",VLOOKUP(B618,LW!A1:F130,6,FALSE),VLOOKUP(B618,F!A1:F430,6,FALSE))</f>
        <v>-260.59398618369983</v>
      </c>
      <c r="L618" s="37">
        <f>IFERROR(K618/H618,"N/A")</f>
        <v>-343.64057239194364</v>
      </c>
      <c r="M618" s="53" t="str">
        <f>IF(Settings!$E$9="YAHOO",VLOOKUP(B618,ADP!A1:E728,2,FALSE),IF(Settings!$E$9="ESPN",VLOOKUP(B618,ADP!A1:E728,3,FALSE),IF(Settings!$E$9="FANTRAX",VLOOKUP(B618,ADP!A1:E728,4,FALSE),VLOOKUP(B618,ADP!A1:E728,5,FALSE))))</f>
        <v>-</v>
      </c>
      <c r="N618" s="53" t="str">
        <f>IFERROR(M618-A618,"N/A")</f>
        <v>N/A</v>
      </c>
      <c r="O618" s="39"/>
      <c r="P618" s="40" t="str">
        <f>IF(Settings!$E$27="ON",VLOOKUP(B618,ADP!A1:H728,8,FALSE)," ")</f>
        <v xml:space="preserve"> </v>
      </c>
      <c r="Q618" s="41">
        <f>IF(Settings!$E$12="YES",VLOOKUP(B618,'Player Data'!A1:E734,5,FALSE),82)</f>
        <v>72.207499999999996</v>
      </c>
      <c r="R618" s="39">
        <f>VLOOKUP(B618,'Player Data'!$A1:$AE734,6,FALSE)</f>
        <v>12.2772769974769</v>
      </c>
      <c r="S618" s="41">
        <f>VLOOKUP(B618,'Player Data'!$A1:$AE734,7,FALSE)*$Q618*IFERROR((VLOOKUP(P618,Settings!$E$28:$F$33,2,FALSE)+1),1)</f>
        <v>6.5313769963242709</v>
      </c>
      <c r="T618" s="41">
        <f>VLOOKUP(B618,'Player Data'!$A1:$AE734,8,FALSE)*$Q618*IFERROR((VLOOKUP(P618,Settings!$E$28:$F$33,2,FALSE)+1),1)</f>
        <v>11.548368157449739</v>
      </c>
      <c r="U618" s="41">
        <f>SUM(S618:T618)</f>
        <v>18.079745153774009</v>
      </c>
      <c r="V618" s="41">
        <f>VLOOKUP(B618,'Player Data'!$A1:$AE734,10,FALSE)*$Q618*IFERROR(((VLOOKUP(P618,Settings!$E$28:$F$33,2,FALSE)/2)+1),1)</f>
        <v>80.535512546018552</v>
      </c>
      <c r="W618" s="41">
        <f>VLOOKUP(B618,'Player Data'!$A1:$AE734,11,FALSE)*$Q618*IFERROR((VLOOKUP(P618,Settings!$E$28:$F$33,2,FALSE)+1),1)</f>
        <v>0.20763807477489923</v>
      </c>
      <c r="X618" s="41">
        <f>VLOOKUP(B618,'Player Data'!$A1:$AE734,12,FALSE)*$Q618*IFERROR((VLOOKUP(P618,Settings!$E$28:$F$33,2,FALSE)+1),1)</f>
        <v>0.52411598718076713</v>
      </c>
      <c r="Y618" s="41">
        <f>VLOOKUP(B618,'Player Data'!$A1:$AE734,13,FALSE)*$Q618</f>
        <v>0.2092050459562676</v>
      </c>
      <c r="Z618" s="41">
        <f>VLOOKUP(B618,'Player Data'!$A1:$AE734,14,FALSE)*$Q618</f>
        <v>1.372080348262658</v>
      </c>
      <c r="AA618" s="41">
        <f>VLOOKUP(B618,'Player Data'!$A1:$AE734,15,FALSE)*$Q618</f>
        <v>25.736171343662434</v>
      </c>
      <c r="AB618" s="41">
        <f>VLOOKUP(B618,'Player Data'!$A1:$AE734,16,FALSE)*$Q618</f>
        <v>129.06690202501696</v>
      </c>
      <c r="AC618" s="41">
        <f>VLOOKUP(B618,'Player Data'!$A1:$AE734,17,FALSE)*$Q618*IFERROR((VLOOKUP(P618,Settings!$E$28:$F$33,2,FALSE)+1),1)</f>
        <v>-6.502481512255919</v>
      </c>
      <c r="AD618" s="41">
        <f>VLOOKUP(B618,'Player Data'!$A1:$AE734,18,FALSE)*$Q618</f>
        <v>28.894997862766672</v>
      </c>
      <c r="AE618" s="41">
        <f>VLOOKUP(B618,'Player Data'!$A1:$AE734,19,FALSE)*$Q618*IFERROR((VLOOKUP(P618,Settings!$E$28:$F$33,2,FALSE)+1),1)</f>
        <v>0.76535689281279984</v>
      </c>
      <c r="AF618" s="41">
        <f>VLOOKUP(B618,'Player Data'!$A1:$AE734,20,FALSE)*$Q618</f>
        <v>5.4865659707328502</v>
      </c>
      <c r="AG618" s="41">
        <f>VLOOKUP(B618,'Player Data'!$A1:$AE734,21,FALSE)*$Q618</f>
        <v>14.917051806061608</v>
      </c>
      <c r="AH618" s="42">
        <f>VLOOKUP(B618,'Player Data'!$A1:$AE734,22,FALSE)</f>
        <v>0.26890162473896501</v>
      </c>
      <c r="AI618" s="39"/>
      <c r="AJ618" s="41"/>
      <c r="AK618" s="41"/>
      <c r="AL618" s="41"/>
      <c r="AM618" s="41"/>
      <c r="AN618" s="41"/>
      <c r="AO618" s="41"/>
      <c r="AP618" s="41"/>
      <c r="AQ618" s="44"/>
      <c r="AR618" s="45"/>
      <c r="AS618" s="39"/>
    </row>
    <row r="619" spans="1:45" ht="21.25" customHeight="1" x14ac:dyDescent="0.15">
      <c r="A619" s="31">
        <f>RANK(K619,K$2:K$727)</f>
        <v>618</v>
      </c>
      <c r="B619" s="8" t="s">
        <v>723</v>
      </c>
      <c r="C619" s="32" t="s">
        <v>106</v>
      </c>
      <c r="D619" s="33" t="str">
        <f>VLOOKUP(B619,'Player Data'!A1:D734,4,FALSE)</f>
        <v>LW</v>
      </c>
      <c r="E619" s="47">
        <f>VLOOKUP(B619,LW!A1:C130,3,FALSE)</f>
        <v>112</v>
      </c>
      <c r="F619" s="35" t="str">
        <f>VLOOKUP(B619,'Player Data'!A1:B734,2,FALSE)</f>
        <v>VAN</v>
      </c>
      <c r="G619" s="9">
        <f>VLOOKUP(B619,'Player Data'!A1:D734,3,FALSE)</f>
        <v>22</v>
      </c>
      <c r="H619" s="36">
        <f>IFERROR(VLOOKUP(B619,ADP!A1:G728,7,FALSE)/1000000,VLOOKUP(B619,ADP!A1:G728,7,FALSE))</f>
        <v>1.1000000000000001</v>
      </c>
      <c r="I619" s="37">
        <f>IF(Settings!$E$15="POINTS",((R619*Q619)*Settings!$B$12)+(S619*Settings!$B$2)+(T619*Settings!$B$3)+(U619*Settings!$B$4)+(V619*Settings!$B$5)+(X619*Settings!$B$9)+(AA619*Settings!$B$6)+(W619*Settings!$B$8)+(AB619*Settings!$B$7)+(AC619*Settings!$B$14)+(AD619*Settings!$B$15)+(AE619*Settings!$B$16)+(AF619*Settings!$B$17)+(AG619*Settings!$B$18)+(Y619*Settings!$B$10)+(Z619*Settings!$B$11),VLOOKUP(B619,'Standard Deviations'!A1:C728,3,FALSE))</f>
        <v>102.31343808708611</v>
      </c>
      <c r="J619" s="38">
        <f>IF(D619="G",I619/AJ619,I619/Q619)</f>
        <v>1.8602443288561112</v>
      </c>
      <c r="K619" s="37">
        <f>IF(Settings!$E$18="C/LW/RW",VLOOKUP(B619,LW!A1:F130,6,FALSE),VLOOKUP(B619,F!A1:F430,6,FALSE))</f>
        <v>-261.72716677056434</v>
      </c>
      <c r="L619" s="37">
        <f>IFERROR(K619/H619,"N/A")</f>
        <v>-237.9337879732403</v>
      </c>
      <c r="M619" s="53" t="str">
        <f>IF(Settings!$E$9="YAHOO",VLOOKUP(B619,ADP!A1:E728,2,FALSE),IF(Settings!$E$9="ESPN",VLOOKUP(B619,ADP!A1:E728,3,FALSE),IF(Settings!$E$9="FANTRAX",VLOOKUP(B619,ADP!A1:E728,4,FALSE),VLOOKUP(B619,ADP!A1:E728,5,FALSE))))</f>
        <v>-</v>
      </c>
      <c r="N619" s="53" t="str">
        <f>IFERROR(M619-A619,"N/A")</f>
        <v>N/A</v>
      </c>
      <c r="O619" s="39"/>
      <c r="P619" s="40" t="str">
        <f>IF(Settings!$E$27="ON",VLOOKUP(B619,ADP!A1:H728,8,FALSE)," ")</f>
        <v xml:space="preserve"> </v>
      </c>
      <c r="Q619" s="41">
        <f>IF(Settings!$E$12="YES",VLOOKUP(B619,'Player Data'!A1:E734,5,FALSE),82)</f>
        <v>55</v>
      </c>
      <c r="R619" s="39">
        <f>VLOOKUP(B619,'Player Data'!$A1:$AE734,6,FALSE)</f>
        <v>12.055199999999999</v>
      </c>
      <c r="S619" s="41">
        <f>VLOOKUP(B619,'Player Data'!$A1:$AE734,7,FALSE)*$Q619*IFERROR((VLOOKUP(P619,Settings!$E$28:$F$33,2,FALSE)+1),1)</f>
        <v>8.6568952042228151</v>
      </c>
      <c r="T619" s="41">
        <f>VLOOKUP(B619,'Player Data'!$A1:$AE734,8,FALSE)*$Q619*IFERROR((VLOOKUP(P619,Settings!$E$28:$F$33,2,FALSE)+1),1)</f>
        <v>10.180632778602494</v>
      </c>
      <c r="U619" s="41">
        <f>SUM(S619:T619)</f>
        <v>18.837527982825307</v>
      </c>
      <c r="V619" s="41">
        <f>VLOOKUP(B619,'Player Data'!$A1:$AE734,10,FALSE)*$Q619*IFERROR(((VLOOKUP(P619,Settings!$E$28:$F$33,2,FALSE)/2)+1),1)</f>
        <v>82.623226953751555</v>
      </c>
      <c r="W619" s="41">
        <f>VLOOKUP(B619,'Player Data'!$A1:$AE734,11,FALSE)*$Q619*IFERROR((VLOOKUP(P619,Settings!$E$28:$F$33,2,FALSE)+1),1)</f>
        <v>0.22186356257723902</v>
      </c>
      <c r="X619" s="41">
        <f>VLOOKUP(B619,'Player Data'!$A1:$AE734,12,FALSE)*$Q619*IFERROR((VLOOKUP(P619,Settings!$E$28:$F$33,2,FALSE)+1),1)</f>
        <v>0.53293535890831234</v>
      </c>
      <c r="Y619" s="41">
        <f>VLOOKUP(B619,'Player Data'!$A1:$AE734,13,FALSE)*$Q619</f>
        <v>0</v>
      </c>
      <c r="Z619" s="41">
        <f>VLOOKUP(B619,'Player Data'!$A1:$AE734,14,FALSE)*$Q619</f>
        <v>0</v>
      </c>
      <c r="AA619" s="41">
        <f>VLOOKUP(B619,'Player Data'!$A1:$AE734,15,FALSE)*$Q619</f>
        <v>17.116849719588853</v>
      </c>
      <c r="AB619" s="41">
        <f>VLOOKUP(B619,'Player Data'!$A1:$AE734,16,FALSE)*$Q619</f>
        <v>47.639083942062193</v>
      </c>
      <c r="AC619" s="41">
        <f>VLOOKUP(B619,'Player Data'!$A1:$AE734,17,FALSE)*$Q619*IFERROR((VLOOKUP(P619,Settings!$E$28:$F$33,2,FALSE)+1),1)</f>
        <v>-4.143878583761406E-2</v>
      </c>
      <c r="AD619" s="41">
        <f>VLOOKUP(B619,'Player Data'!$A1:$AE734,18,FALSE)*$Q619</f>
        <v>16.053428527474747</v>
      </c>
      <c r="AE619" s="41">
        <f>VLOOKUP(B619,'Player Data'!$A1:$AE734,19,FALSE)*$Q619*IFERROR((VLOOKUP(P619,Settings!$E$28:$F$33,2,FALSE)+1),1)</f>
        <v>1.225467046141272</v>
      </c>
      <c r="AF619" s="41">
        <f>VLOOKUP(B619,'Player Data'!$A1:$AE734,20,FALSE)*$Q619</f>
        <v>0.75025492404233252</v>
      </c>
      <c r="AG619" s="41">
        <f>VLOOKUP(B619,'Player Data'!$A1:$AE734,21,FALSE)*$Q619</f>
        <v>1.9568213593470356</v>
      </c>
      <c r="AH619" s="42">
        <f>VLOOKUP(B619,'Player Data'!$A1:$AE734,22,FALSE)</f>
        <v>0.27714583761303502</v>
      </c>
      <c r="AI619" s="39"/>
      <c r="AJ619" s="43"/>
      <c r="AK619" s="41"/>
      <c r="AL619" s="41"/>
      <c r="AM619" s="41"/>
      <c r="AN619" s="41"/>
      <c r="AO619" s="41"/>
      <c r="AP619" s="41"/>
      <c r="AQ619" s="44"/>
      <c r="AR619" s="45"/>
      <c r="AS619" s="39"/>
    </row>
    <row r="620" spans="1:45" ht="21.25" customHeight="1" x14ac:dyDescent="0.15">
      <c r="A620" s="31">
        <f>RANK(K620,K$2:K$727)</f>
        <v>619</v>
      </c>
      <c r="B620" s="8" t="s">
        <v>724</v>
      </c>
      <c r="C620" s="32" t="s">
        <v>106</v>
      </c>
      <c r="D620" s="33" t="str">
        <f>VLOOKUP(B620,'Player Data'!A1:D734,4,FALSE)</f>
        <v>C</v>
      </c>
      <c r="E620" s="34">
        <f>VLOOKUP(B620,'C'!A1:C211,3,FALSE)</f>
        <v>146</v>
      </c>
      <c r="F620" s="35" t="str">
        <f>VLOOKUP(B620,'Player Data'!A1:B734,2,FALSE)</f>
        <v>FLA</v>
      </c>
      <c r="G620" s="9">
        <f>VLOOKUP(B620,'Player Data'!A1:D734,3,FALSE)</f>
        <v>30</v>
      </c>
      <c r="H620" s="36">
        <f>IFERROR(VLOOKUP(B620,ADP!A1:G728,7,FALSE)/1000000,VLOOKUP(B620,ADP!A1:G728,7,FALSE))</f>
        <v>1.1000000000000001</v>
      </c>
      <c r="I620" s="37">
        <f>IF(Settings!$E$15="POINTS",((R620*Q620)*Settings!$B$12)+(S620*Settings!$B$2)+(T620*Settings!$B$3)+(U620*Settings!$B$4)+(V620*Settings!$B$5)+(X620*Settings!$B$9)+(AA620*Settings!$B$6)+(W620*Settings!$B$8)+(AB620*Settings!$B$7)+(AC620*Settings!$B$14)+(AD620*Settings!$B$15)+(AE620*Settings!$B$16)+(AF620*Settings!$B$17)+(AG620*Settings!$B$18)+(Y620*Settings!$B$10)+(Z620*Settings!$B$11),VLOOKUP(B620,'Standard Deviations'!A1:C728,3,FALSE))</f>
        <v>131.57604042746354</v>
      </c>
      <c r="J620" s="38">
        <f>IF(D620="G",I620/AJ620,I620/Q620)</f>
        <v>1.6657981362022489</v>
      </c>
      <c r="K620" s="37">
        <f>IF(Settings!$E$18="C/LW/RW",VLOOKUP(B620,'C'!A1:F211,6,FALSE),VLOOKUP(B620,F!A1:F430,6,FALSE))</f>
        <v>-261.75276533874614</v>
      </c>
      <c r="L620" s="37">
        <f>IFERROR(K620/H620,"N/A")</f>
        <v>-237.95705939886011</v>
      </c>
      <c r="M620" s="53" t="str">
        <f>IF(Settings!$E$9="YAHOO",VLOOKUP(B620,ADP!A1:E728,2,FALSE),IF(Settings!$E$9="ESPN",VLOOKUP(B620,ADP!A1:E728,3,FALSE),IF(Settings!$E$9="FANTRAX",VLOOKUP(B620,ADP!A1:E728,4,FALSE),VLOOKUP(B620,ADP!A1:E728,5,FALSE))))</f>
        <v>-</v>
      </c>
      <c r="N620" s="53" t="str">
        <f>IFERROR(M620-A620,"N/A")</f>
        <v>N/A</v>
      </c>
      <c r="O620" s="39"/>
      <c r="P620" s="40" t="str">
        <f>IF(Settings!$E$27="ON",VLOOKUP(B620,ADP!A1:H728,8,FALSE)," ")</f>
        <v xml:space="preserve"> </v>
      </c>
      <c r="Q620" s="41">
        <f>IF(Settings!$E$12="YES",VLOOKUP(B620,'Player Data'!A1:E734,5,FALSE),82)</f>
        <v>78.986785714285702</v>
      </c>
      <c r="R620" s="39">
        <f>VLOOKUP(B620,'Player Data'!$A1:$AE734,6,FALSE)</f>
        <v>11.3859451406717</v>
      </c>
      <c r="S620" s="41">
        <f>VLOOKUP(B620,'Player Data'!$A1:$AE734,7,FALSE)*$Q620*IFERROR((VLOOKUP(P620,Settings!$E$28:$F$33,2,FALSE)+1),1)</f>
        <v>8.149505452774493</v>
      </c>
      <c r="T620" s="41">
        <f>VLOOKUP(B620,'Player Data'!$A1:$AE734,8,FALSE)*$Q620*IFERROR((VLOOKUP(P620,Settings!$E$28:$F$33,2,FALSE)+1),1)</f>
        <v>15.93278048700893</v>
      </c>
      <c r="U620" s="41">
        <f>SUM(S620:T620)</f>
        <v>24.082285939783425</v>
      </c>
      <c r="V620" s="41">
        <f>VLOOKUP(B620,'Player Data'!$A1:$AE734,10,FALSE)*$Q620*IFERROR(((VLOOKUP(P620,Settings!$E$28:$F$33,2,FALSE)/2)+1),1)</f>
        <v>103.80554156382657</v>
      </c>
      <c r="W620" s="41">
        <f>VLOOKUP(B620,'Player Data'!$A1:$AE734,11,FALSE)*$Q620*IFERROR((VLOOKUP(P620,Settings!$E$28:$F$33,2,FALSE)+1),1)</f>
        <v>6.2041562007286964E-2</v>
      </c>
      <c r="X620" s="41">
        <f>VLOOKUP(B620,'Player Data'!$A1:$AE734,12,FALSE)*$Q620*IFERROR((VLOOKUP(P620,Settings!$E$28:$F$33,2,FALSE)+1),1)</f>
        <v>0.13825443566852993</v>
      </c>
      <c r="Y620" s="41">
        <f>VLOOKUP(B620,'Player Data'!$A1:$AE734,13,FALSE)*$Q620</f>
        <v>1.1777516863588033E-2</v>
      </c>
      <c r="Z620" s="41">
        <f>VLOOKUP(B620,'Player Data'!$A1:$AE734,14,FALSE)*$Q620</f>
        <v>2.2182661687549555E-2</v>
      </c>
      <c r="AA620" s="41">
        <f>VLOOKUP(B620,'Player Data'!$A1:$AE734,15,FALSE)*$Q620</f>
        <v>35.52768815743908</v>
      </c>
      <c r="AB620" s="41">
        <f>VLOOKUP(B620,'Player Data'!$A1:$AE734,16,FALSE)*$Q620</f>
        <v>89.101106521206702</v>
      </c>
      <c r="AC620" s="41">
        <f>VLOOKUP(B620,'Player Data'!$A1:$AE734,17,FALSE)*$Q620*IFERROR((VLOOKUP(P620,Settings!$E$28:$F$33,2,FALSE)+1),1)</f>
        <v>2.0449092211480497</v>
      </c>
      <c r="AD620" s="41">
        <f>VLOOKUP(B620,'Player Data'!$A1:$AE734,18,FALSE)*$Q620</f>
        <v>34.029753500513863</v>
      </c>
      <c r="AE620" s="41">
        <f>VLOOKUP(B620,'Player Data'!$A1:$AE734,19,FALSE)*$Q620*IFERROR((VLOOKUP(P620,Settings!$E$28:$F$33,2,FALSE)+1),1)</f>
        <v>1.1690651460819461</v>
      </c>
      <c r="AF620" s="41">
        <f>VLOOKUP(B620,'Player Data'!$A1:$AE734,20,FALSE)*$Q620</f>
        <v>60.096671078732456</v>
      </c>
      <c r="AG620" s="41">
        <f>VLOOKUP(B620,'Player Data'!$A1:$AE734,21,FALSE)*$Q620</f>
        <v>62.096183999344603</v>
      </c>
      <c r="AH620" s="42">
        <f>VLOOKUP(B620,'Player Data'!$A1:$AE734,22,FALSE)</f>
        <v>0.49181820852236202</v>
      </c>
      <c r="AI620" s="39"/>
      <c r="AJ620" s="43"/>
      <c r="AK620" s="41"/>
      <c r="AL620" s="41"/>
      <c r="AM620" s="41"/>
      <c r="AN620" s="41"/>
      <c r="AO620" s="41"/>
      <c r="AP620" s="41"/>
      <c r="AQ620" s="44"/>
      <c r="AR620" s="45"/>
      <c r="AS620" s="39"/>
    </row>
    <row r="621" spans="1:45" ht="21.25" customHeight="1" x14ac:dyDescent="0.15">
      <c r="A621" s="31">
        <f>RANK(K621,K$2:K$727)</f>
        <v>620</v>
      </c>
      <c r="B621" s="8" t="s">
        <v>725</v>
      </c>
      <c r="C621" s="32" t="s">
        <v>106</v>
      </c>
      <c r="D621" s="33" t="str">
        <f>VLOOKUP(B621,'Player Data'!A1:D734,4,FALSE)</f>
        <v>C</v>
      </c>
      <c r="E621" s="34">
        <f>VLOOKUP(B621,'C'!A1:C211,3,FALSE)</f>
        <v>147</v>
      </c>
      <c r="F621" s="35" t="str">
        <f>VLOOKUP(B621,'Player Data'!A1:B734,2,FALSE)</f>
        <v>WPG</v>
      </c>
      <c r="G621" s="9">
        <f>VLOOKUP(B621,'Player Data'!A1:D734,3,FALSE)</f>
        <v>30</v>
      </c>
      <c r="H621" s="36">
        <f>IFERROR(VLOOKUP(B621,ADP!A1:G728,7,FALSE)/1000000,VLOOKUP(B621,ADP!A1:G728,7,FALSE))</f>
        <v>2</v>
      </c>
      <c r="I621" s="37">
        <f>IF(Settings!$E$15="POINTS",((R621*Q621)*Settings!$B$12)+(S621*Settings!$B$2)+(T621*Settings!$B$3)+(U621*Settings!$B$4)+(V621*Settings!$B$5)+(X621*Settings!$B$9)+(AA621*Settings!$B$6)+(W621*Settings!$B$8)+(AB621*Settings!$B$7)+(AC621*Settings!$B$14)+(AD621*Settings!$B$15)+(AE621*Settings!$B$16)+(AF621*Settings!$B$17)+(AG621*Settings!$B$18)+(Y621*Settings!$B$10)+(Z621*Settings!$B$11),VLOOKUP(B621,'Standard Deviations'!A1:C728,3,FALSE))</f>
        <v>131.12055733892169</v>
      </c>
      <c r="J621" s="38">
        <f>IF(D621="G",I621/AJ621,I621/Q621)</f>
        <v>1.6443363783914859</v>
      </c>
      <c r="K621" s="37">
        <f>IF(Settings!$E$18="C/LW/RW",VLOOKUP(B621,'C'!A1:F211,6,FALSE),VLOOKUP(B621,F!A1:F430,6,FALSE))</f>
        <v>-262.20824842728797</v>
      </c>
      <c r="L621" s="37">
        <f>IFERROR(K621/H621,"N/A")</f>
        <v>-131.10412421364398</v>
      </c>
      <c r="M621" s="53" t="str">
        <f>IF(Settings!$E$9="YAHOO",VLOOKUP(B621,ADP!A1:E728,2,FALSE),IF(Settings!$E$9="ESPN",VLOOKUP(B621,ADP!A1:E728,3,FALSE),IF(Settings!$E$9="FANTRAX",VLOOKUP(B621,ADP!A1:E728,4,FALSE),VLOOKUP(B621,ADP!A1:E728,5,FALSE))))</f>
        <v>-</v>
      </c>
      <c r="N621" s="53" t="str">
        <f>IFERROR(M621-A621,"N/A")</f>
        <v>N/A</v>
      </c>
      <c r="O621" s="39"/>
      <c r="P621" s="40" t="str">
        <f>IF(Settings!$E$27="ON",VLOOKUP(B621,ADP!A1:H728,8,FALSE)," ")</f>
        <v xml:space="preserve"> </v>
      </c>
      <c r="Q621" s="41">
        <f>IF(Settings!$E$12="YES",VLOOKUP(B621,'Player Data'!A1:E734,5,FALSE),82)</f>
        <v>79.740714285714304</v>
      </c>
      <c r="R621" s="39">
        <f>VLOOKUP(B621,'Player Data'!$A1:$AE734,6,FALSE)</f>
        <v>11.935810243902401</v>
      </c>
      <c r="S621" s="41">
        <f>VLOOKUP(B621,'Player Data'!$A1:$AE734,7,FALSE)*$Q621*IFERROR((VLOOKUP(P621,Settings!$E$28:$F$33,2,FALSE)+1),1)</f>
        <v>9.6880655433754441</v>
      </c>
      <c r="T621" s="41">
        <f>VLOOKUP(B621,'Player Data'!$A1:$AE734,8,FALSE)*$Q621*IFERROR((VLOOKUP(P621,Settings!$E$28:$F$33,2,FALSE)+1),1)</f>
        <v>13.467726353107759</v>
      </c>
      <c r="U621" s="41">
        <f>SUM(S621:T621)</f>
        <v>23.155791896483201</v>
      </c>
      <c r="V621" s="41">
        <f>VLOOKUP(B621,'Player Data'!$A1:$AE734,10,FALSE)*$Q621*IFERROR(((VLOOKUP(P621,Settings!$E$28:$F$33,2,FALSE)/2)+1),1)</f>
        <v>102.12193448192555</v>
      </c>
      <c r="W621" s="41">
        <f>VLOOKUP(B621,'Player Data'!$A1:$AE734,11,FALSE)*$Q621*IFERROR((VLOOKUP(P621,Settings!$E$28:$F$33,2,FALSE)+1),1)</f>
        <v>0.25074155987950586</v>
      </c>
      <c r="X621" s="41">
        <f>VLOOKUP(B621,'Player Data'!$A1:$AE734,12,FALSE)*$Q621*IFERROR((VLOOKUP(P621,Settings!$E$28:$F$33,2,FALSE)+1),1)</f>
        <v>1.3216373893023783</v>
      </c>
      <c r="Y621" s="41">
        <f>VLOOKUP(B621,'Player Data'!$A1:$AE734,13,FALSE)*$Q621</f>
        <v>0.14019863390997978</v>
      </c>
      <c r="Z621" s="41">
        <f>VLOOKUP(B621,'Player Data'!$A1:$AE734,14,FALSE)*$Q621</f>
        <v>0.27990212117714441</v>
      </c>
      <c r="AA621" s="41">
        <f>VLOOKUP(B621,'Player Data'!$A1:$AE734,15,FALSE)*$Q621</f>
        <v>36.945676937751237</v>
      </c>
      <c r="AB621" s="41">
        <f>VLOOKUP(B621,'Player Data'!$A1:$AE734,16,FALSE)*$Q621</f>
        <v>98.801829307072694</v>
      </c>
      <c r="AC621" s="41">
        <f>VLOOKUP(B621,'Player Data'!$A1:$AE734,17,FALSE)*$Q621*IFERROR((VLOOKUP(P621,Settings!$E$28:$F$33,2,FALSE)+1),1)</f>
        <v>2.1790301091772251</v>
      </c>
      <c r="AD621" s="41">
        <f>VLOOKUP(B621,'Player Data'!$A1:$AE734,18,FALSE)*$Q621</f>
        <v>32.907491917024927</v>
      </c>
      <c r="AE621" s="41">
        <f>VLOOKUP(B621,'Player Data'!$A1:$AE734,19,FALSE)*$Q621*IFERROR((VLOOKUP(P621,Settings!$E$28:$F$33,2,FALSE)+1),1)</f>
        <v>1.5113706524853554</v>
      </c>
      <c r="AF621" s="41">
        <f>VLOOKUP(B621,'Player Data'!$A1:$AE734,20,FALSE)*$Q621</f>
        <v>81.638989055248771</v>
      </c>
      <c r="AG621" s="41">
        <f>VLOOKUP(B621,'Player Data'!$A1:$AE734,21,FALSE)*$Q621</f>
        <v>117.64188160589809</v>
      </c>
      <c r="AH621" s="42">
        <f>VLOOKUP(B621,'Player Data'!$A1:$AE734,22,FALSE)</f>
        <v>0.40966796654590099</v>
      </c>
      <c r="AI621" s="39"/>
      <c r="AJ621" s="43"/>
      <c r="AK621" s="41"/>
      <c r="AL621" s="41"/>
      <c r="AM621" s="41"/>
      <c r="AN621" s="41"/>
      <c r="AO621" s="41"/>
      <c r="AP621" s="41"/>
      <c r="AQ621" s="44"/>
      <c r="AR621" s="45"/>
      <c r="AS621" s="39"/>
    </row>
    <row r="622" spans="1:45" ht="21.25" customHeight="1" x14ac:dyDescent="0.15">
      <c r="A622" s="31">
        <f>RANK(K622,K$2:K$727)</f>
        <v>621</v>
      </c>
      <c r="B622" s="8" t="s">
        <v>726</v>
      </c>
      <c r="C622" s="32" t="s">
        <v>106</v>
      </c>
      <c r="D622" s="33" t="str">
        <f>VLOOKUP(B622,'Player Data'!A1:D734,4,FALSE)</f>
        <v>C</v>
      </c>
      <c r="E622" s="34">
        <f>VLOOKUP(B622,'C'!A1:C211,3,FALSE)</f>
        <v>148</v>
      </c>
      <c r="F622" s="35" t="str">
        <f>VLOOKUP(B622,'Player Data'!A1:B734,2,FALSE)</f>
        <v>CGY</v>
      </c>
      <c r="G622" s="9">
        <f>VLOOKUP(B622,'Player Data'!A1:D734,3,FALSE)</f>
        <v>24</v>
      </c>
      <c r="H622" s="36">
        <f>IFERROR(VLOOKUP(B622,ADP!A1:G728,7,FALSE)/1000000,VLOOKUP(B622,ADP!A1:G728,7,FALSE))</f>
        <v>0.76519999999999999</v>
      </c>
      <c r="I622" s="37">
        <f>IF(Settings!$E$15="POINTS",((R622*Q622)*Settings!$B$12)+(S622*Settings!$B$2)+(T622*Settings!$B$3)+(U622*Settings!$B$4)+(V622*Settings!$B$5)+(X622*Settings!$B$9)+(AA622*Settings!$B$6)+(W622*Settings!$B$8)+(AB622*Settings!$B$7)+(AC622*Settings!$B$14)+(AD622*Settings!$B$15)+(AE622*Settings!$B$16)+(AF622*Settings!$B$17)+(AG622*Settings!$B$18)+(Y622*Settings!$B$10)+(Z622*Settings!$B$11),VLOOKUP(B622,'Standard Deviations'!A1:C728,3,FALSE))</f>
        <v>130.88579988732664</v>
      </c>
      <c r="J622" s="38">
        <f>IF(D622="G",I622/AJ622,I622/Q622)</f>
        <v>2.1778262142675495</v>
      </c>
      <c r="K622" s="37">
        <f>IF(Settings!$E$18="C/LW/RW",VLOOKUP(B622,'C'!A1:F211,6,FALSE),VLOOKUP(B622,F!A1:F430,6,FALSE))</f>
        <v>-262.44300587888301</v>
      </c>
      <c r="L622" s="37">
        <f>IFERROR(K622/H622,"N/A")</f>
        <v>-342.97308661641796</v>
      </c>
      <c r="M622" s="53" t="str">
        <f>IF(Settings!$E$9="YAHOO",VLOOKUP(B622,ADP!A1:E728,2,FALSE),IF(Settings!$E$9="ESPN",VLOOKUP(B622,ADP!A1:E728,3,FALSE),IF(Settings!$E$9="FANTRAX",VLOOKUP(B622,ADP!A1:E728,4,FALSE),VLOOKUP(B622,ADP!A1:E728,5,FALSE))))</f>
        <v>-</v>
      </c>
      <c r="N622" s="53" t="str">
        <f>IFERROR(M622-A622,"N/A")</f>
        <v>N/A</v>
      </c>
      <c r="O622" s="39"/>
      <c r="P622" s="40" t="str">
        <f>IF(Settings!$E$27="ON",VLOOKUP(B622,ADP!A1:H728,8,FALSE)," ")</f>
        <v xml:space="preserve"> </v>
      </c>
      <c r="Q622" s="41">
        <f>IF(Settings!$E$12="YES",VLOOKUP(B622,'Player Data'!A1:E734,5,FALSE),82)</f>
        <v>60.099285714285699</v>
      </c>
      <c r="R622" s="39">
        <f>VLOOKUP(B622,'Player Data'!$A1:$AE734,6,FALSE)</f>
        <v>12.123398372696</v>
      </c>
      <c r="S622" s="41">
        <f>VLOOKUP(B622,'Player Data'!$A1:$AE734,7,FALSE)*$Q622*IFERROR((VLOOKUP(P622,Settings!$E$28:$F$33,2,FALSE)+1),1)</f>
        <v>9.4847683364374387</v>
      </c>
      <c r="T622" s="41">
        <f>VLOOKUP(B622,'Player Data'!$A1:$AE734,8,FALSE)*$Q622*IFERROR((VLOOKUP(P622,Settings!$E$28:$F$33,2,FALSE)+1),1)</f>
        <v>15.907088103322787</v>
      </c>
      <c r="U622" s="41">
        <f>SUM(S622:T622)</f>
        <v>25.391856439760225</v>
      </c>
      <c r="V622" s="41">
        <f>VLOOKUP(B622,'Player Data'!$A1:$AE734,10,FALSE)*$Q622*IFERROR(((VLOOKUP(P622,Settings!$E$28:$F$33,2,FALSE)/2)+1),1)</f>
        <v>87.12061898810127</v>
      </c>
      <c r="W622" s="41">
        <f>VLOOKUP(B622,'Player Data'!$A1:$AE734,11,FALSE)*$Q622*IFERROR((VLOOKUP(P622,Settings!$E$28:$F$33,2,FALSE)+1),1)</f>
        <v>1.3929831091843512</v>
      </c>
      <c r="X622" s="41">
        <f>VLOOKUP(B622,'Player Data'!$A1:$AE734,12,FALSE)*$Q622*IFERROR((VLOOKUP(P622,Settings!$E$28:$F$33,2,FALSE)+1),1)</f>
        <v>3.955901932449339</v>
      </c>
      <c r="Y622" s="41">
        <f>VLOOKUP(B622,'Player Data'!$A1:$AE734,13,FALSE)*$Q622</f>
        <v>5.3640028299807244E-3</v>
      </c>
      <c r="Z622" s="41">
        <f>VLOOKUP(B622,'Player Data'!$A1:$AE734,14,FALSE)*$Q622</f>
        <v>9.7356702465322218E-3</v>
      </c>
      <c r="AA622" s="41">
        <f>VLOOKUP(B622,'Player Data'!$A1:$AE734,15,FALSE)*$Q622</f>
        <v>16.093229343018074</v>
      </c>
      <c r="AB622" s="41">
        <f>VLOOKUP(B622,'Player Data'!$A1:$AE734,16,FALSE)*$Q622</f>
        <v>53.630898182790538</v>
      </c>
      <c r="AC622" s="41">
        <f>VLOOKUP(B622,'Player Data'!$A1:$AE734,17,FALSE)*$Q622*IFERROR((VLOOKUP(P622,Settings!$E$28:$F$33,2,FALSE)+1),1)</f>
        <v>1.9387192536445899</v>
      </c>
      <c r="AD622" s="41">
        <f>VLOOKUP(B622,'Player Data'!$A1:$AE734,18,FALSE)*$Q622</f>
        <v>17.001076533768099</v>
      </c>
      <c r="AE622" s="41">
        <f>VLOOKUP(B622,'Player Data'!$A1:$AE734,19,FALSE)*$Q622*IFERROR((VLOOKUP(P622,Settings!$E$28:$F$33,2,FALSE)+1),1)</f>
        <v>1.5848881912491657</v>
      </c>
      <c r="AF622" s="41">
        <f>VLOOKUP(B622,'Player Data'!$A1:$AE734,20,FALSE)*$Q622</f>
        <v>134.96420476458323</v>
      </c>
      <c r="AG622" s="41">
        <f>VLOOKUP(B622,'Player Data'!$A1:$AE734,21,FALSE)*$Q622</f>
        <v>150.69225831087005</v>
      </c>
      <c r="AH622" s="42">
        <f>VLOOKUP(B622,'Player Data'!$A1:$AE734,22,FALSE)</f>
        <v>0.472470334861402</v>
      </c>
      <c r="AI622" s="39"/>
      <c r="AJ622" s="43"/>
      <c r="AK622" s="41"/>
      <c r="AL622" s="41"/>
      <c r="AM622" s="41"/>
      <c r="AN622" s="41"/>
      <c r="AO622" s="41"/>
      <c r="AP622" s="41"/>
      <c r="AQ622" s="44"/>
      <c r="AR622" s="45"/>
      <c r="AS622" s="39"/>
    </row>
    <row r="623" spans="1:45" ht="21.25" customHeight="1" x14ac:dyDescent="0.15">
      <c r="A623" s="31">
        <f>RANK(K623,K$2:K$727)</f>
        <v>622</v>
      </c>
      <c r="B623" s="8" t="s">
        <v>727</v>
      </c>
      <c r="C623" s="32" t="s">
        <v>106</v>
      </c>
      <c r="D623" s="33" t="str">
        <f>VLOOKUP(B623,'Player Data'!A1:D734,4,FALSE)</f>
        <v>C</v>
      </c>
      <c r="E623" s="34">
        <f>VLOOKUP(B623,'C'!A1:C211,3,FALSE)</f>
        <v>149</v>
      </c>
      <c r="F623" s="35" t="str">
        <f>VLOOKUP(B623,'Player Data'!A1:B734,2,FALSE)</f>
        <v>VGK</v>
      </c>
      <c r="G623" s="9">
        <f>VLOOKUP(B623,'Player Data'!A1:D734,3,FALSE)</f>
        <v>27</v>
      </c>
      <c r="H623" s="36">
        <f>IFERROR(VLOOKUP(B623,ADP!A1:G728,7,FALSE)/1000000,VLOOKUP(B623,ADP!A1:G728,7,FALSE))</f>
        <v>0.76249999999999996</v>
      </c>
      <c r="I623" s="37">
        <f>IF(Settings!$E$15="POINTS",((R623*Q623)*Settings!$B$12)+(S623*Settings!$B$2)+(T623*Settings!$B$3)+(U623*Settings!$B$4)+(V623*Settings!$B$5)+(X623*Settings!$B$9)+(AA623*Settings!$B$6)+(W623*Settings!$B$8)+(AB623*Settings!$B$7)+(AC623*Settings!$B$14)+(AD623*Settings!$B$15)+(AE623*Settings!$B$16)+(AF623*Settings!$B$17)+(AG623*Settings!$B$18)+(Y623*Settings!$B$10)+(Z623*Settings!$B$11),VLOOKUP(B623,'Standard Deviations'!A1:C728,3,FALSE))</f>
        <v>130.84734551135807</v>
      </c>
      <c r="J623" s="38">
        <f>IF(D623="G",I623/AJ623,I623/Q623)</f>
        <v>1.8363711282789377</v>
      </c>
      <c r="K623" s="37">
        <f>IF(Settings!$E$18="C/LW/RW",VLOOKUP(B623,'C'!A1:F211,6,FALSE),VLOOKUP(B623,F!A1:F430,6,FALSE))</f>
        <v>-262.48146025485158</v>
      </c>
      <c r="L623" s="37">
        <f>IFERROR(K623/H623,"N/A")</f>
        <v>-344.23798066210048</v>
      </c>
      <c r="M623" s="53" t="str">
        <f>IF(Settings!$E$9="YAHOO",VLOOKUP(B623,ADP!A1:E728,2,FALSE),IF(Settings!$E$9="ESPN",VLOOKUP(B623,ADP!A1:E728,3,FALSE),IF(Settings!$E$9="FANTRAX",VLOOKUP(B623,ADP!A1:E728,4,FALSE),VLOOKUP(B623,ADP!A1:E728,5,FALSE))))</f>
        <v>-</v>
      </c>
      <c r="N623" s="53" t="str">
        <f>IFERROR(M623-A623,"N/A")</f>
        <v>N/A</v>
      </c>
      <c r="O623" s="39"/>
      <c r="P623" s="40" t="str">
        <f>IF(Settings!$E$27="ON",VLOOKUP(B623,ADP!A1:H728,8,FALSE)," ")</f>
        <v xml:space="preserve"> </v>
      </c>
      <c r="Q623" s="41">
        <f>IF(Settings!$E$12="YES",VLOOKUP(B623,'Player Data'!A1:E734,5,FALSE),82)</f>
        <v>71.253214285714293</v>
      </c>
      <c r="R623" s="39">
        <f>VLOOKUP(B623,'Player Data'!$A1:$AE734,6,FALSE)</f>
        <v>12.1030655044139</v>
      </c>
      <c r="S623" s="41">
        <f>VLOOKUP(B623,'Player Data'!$A1:$AE734,7,FALSE)*$Q623*IFERROR((VLOOKUP(P623,Settings!$E$28:$F$33,2,FALSE)+1),1)</f>
        <v>13.453219586630798</v>
      </c>
      <c r="T623" s="41">
        <f>VLOOKUP(B623,'Player Data'!$A1:$AE734,8,FALSE)*$Q623*IFERROR((VLOOKUP(P623,Settings!$E$28:$F$33,2,FALSE)+1),1)</f>
        <v>11.204981829054178</v>
      </c>
      <c r="U623" s="41">
        <f>SUM(S623:T623)</f>
        <v>24.658201415684978</v>
      </c>
      <c r="V623" s="41">
        <f>VLOOKUP(B623,'Player Data'!$A1:$AE734,10,FALSE)*$Q623*IFERROR(((VLOOKUP(P623,Settings!$E$28:$F$33,2,FALSE)/2)+1),1)</f>
        <v>96.941719336865816</v>
      </c>
      <c r="W623" s="41">
        <f>VLOOKUP(B623,'Player Data'!$A1:$AE734,11,FALSE)*$Q623*IFERROR((VLOOKUP(P623,Settings!$E$28:$F$33,2,FALSE)+1),1)</f>
        <v>0.59423434488889659</v>
      </c>
      <c r="X623" s="41">
        <f>VLOOKUP(B623,'Player Data'!$A1:$AE734,12,FALSE)*$Q623*IFERROR((VLOOKUP(P623,Settings!$E$28:$F$33,2,FALSE)+1),1)</f>
        <v>1.4570146980806438</v>
      </c>
      <c r="Y623" s="41">
        <f>VLOOKUP(B623,'Player Data'!$A1:$AE734,13,FALSE)*$Q623</f>
        <v>0</v>
      </c>
      <c r="Z623" s="41">
        <f>VLOOKUP(B623,'Player Data'!$A1:$AE734,14,FALSE)*$Q623</f>
        <v>0</v>
      </c>
      <c r="AA623" s="41">
        <f>VLOOKUP(B623,'Player Data'!$A1:$AE734,15,FALSE)*$Q623</f>
        <v>27.439260998544633</v>
      </c>
      <c r="AB623" s="41">
        <f>VLOOKUP(B623,'Player Data'!$A1:$AE734,16,FALSE)*$Q623</f>
        <v>62.986540767149428</v>
      </c>
      <c r="AC623" s="41">
        <f>VLOOKUP(B623,'Player Data'!$A1:$AE734,17,FALSE)*$Q623*IFERROR((VLOOKUP(P623,Settings!$E$28:$F$33,2,FALSE)+1),1)</f>
        <v>4.1292547141636087</v>
      </c>
      <c r="AD623" s="41">
        <f>VLOOKUP(B623,'Player Data'!$A1:$AE734,18,FALSE)*$Q623</f>
        <v>16.505698026539271</v>
      </c>
      <c r="AE623" s="41">
        <f>VLOOKUP(B623,'Player Data'!$A1:$AE734,19,FALSE)*$Q623*IFERROR((VLOOKUP(P623,Settings!$E$28:$F$33,2,FALSE)+1),1)</f>
        <v>2.1986231482950687</v>
      </c>
      <c r="AF623" s="41">
        <f>VLOOKUP(B623,'Player Data'!$A1:$AE734,20,FALSE)*$Q623</f>
        <v>45.7659075761648</v>
      </c>
      <c r="AG623" s="41">
        <f>VLOOKUP(B623,'Player Data'!$A1:$AE734,21,FALSE)*$Q623</f>
        <v>52.481795744059632</v>
      </c>
      <c r="AH623" s="42">
        <f>VLOOKUP(B623,'Player Data'!$A1:$AE734,22,FALSE)</f>
        <v>0.465821653122998</v>
      </c>
      <c r="AI623" s="39"/>
      <c r="AJ623" s="43"/>
      <c r="AK623" s="41"/>
      <c r="AL623" s="41"/>
      <c r="AM623" s="41"/>
      <c r="AN623" s="41"/>
      <c r="AO623" s="41"/>
      <c r="AP623" s="41"/>
      <c r="AQ623" s="44"/>
      <c r="AR623" s="45"/>
      <c r="AS623" s="39"/>
    </row>
    <row r="624" spans="1:45" ht="21.25" customHeight="1" x14ac:dyDescent="0.15">
      <c r="A624" s="31">
        <f>RANK(K624,K$2:K$727)</f>
        <v>623</v>
      </c>
      <c r="B624" s="8" t="s">
        <v>728</v>
      </c>
      <c r="C624" s="32" t="s">
        <v>106</v>
      </c>
      <c r="D624" s="33" t="str">
        <f>VLOOKUP(B624,'Player Data'!A1:D734,4,FALSE)</f>
        <v>D</v>
      </c>
      <c r="E624" s="49">
        <f>VLOOKUP(B624,D!A1:C227,3,FALSE)</f>
        <v>225</v>
      </c>
      <c r="F624" s="35" t="str">
        <f>VLOOKUP(B624,'Player Data'!A1:B734,2,FALSE)</f>
        <v>LAK</v>
      </c>
      <c r="G624" s="9">
        <f>VLOOKUP(B624,'Player Data'!A1:D734,3,FALSE)</f>
        <v>27</v>
      </c>
      <c r="H624" s="36">
        <f>IFERROR(VLOOKUP(B624,ADP!A1:G728,7,FALSE)/1000000,VLOOKUP(B624,ADP!A1:G728,7,FALSE))</f>
        <v>1</v>
      </c>
      <c r="I624" s="37">
        <f>IF(Settings!$E$15="POINTS",((R624*Q624)*Settings!$B$12)+(S624*Settings!$B$2)+(T624*Settings!$B$3)+(U624*Settings!$B$4)+(V624*Settings!$B$5)+(X624*Settings!$B$9)+(AA624*Settings!$B$6)+(W624*Settings!$B$8)+(AB624*Settings!$B$7)+(AC624*Settings!$B$14)+(AD624*Settings!$B$15)+(AE624*Settings!$B$16)+(AF624*Settings!$B$17)+(AG624*Settings!$B$18)+(U624*Settings!$B$13)+(Y624*Settings!$B$10)+(Z624*Settings!$B$11),VLOOKUP(B624,'Standard Deviations'!A1:C728,3,FALSE))</f>
        <v>48.978247394849909</v>
      </c>
      <c r="J624" s="38">
        <f>IF(D624="G",I624/AJ624,I624/Q624)</f>
        <v>0.86929489097661461</v>
      </c>
      <c r="K624" s="37">
        <f>VLOOKUP(B624,D!A1:F227,6,FALSE)</f>
        <v>-262.58723423307754</v>
      </c>
      <c r="L624" s="37">
        <f>IFERROR(K624/H624,"N/A")</f>
        <v>-262.58723423307754</v>
      </c>
      <c r="M624" s="53" t="str">
        <f>IF(Settings!$E$9="YAHOO",VLOOKUP(B624,ADP!A1:E728,2,FALSE),IF(Settings!$E$9="ESPN",VLOOKUP(B624,ADP!A1:E728,3,FALSE),IF(Settings!$E$9="FANTRAX",VLOOKUP(B624,ADP!A1:E728,4,FALSE),VLOOKUP(B624,ADP!A1:E728,5,FALSE))))</f>
        <v>-</v>
      </c>
      <c r="N624" s="53" t="str">
        <f>IFERROR(M624-A624,"N/A")</f>
        <v>N/A</v>
      </c>
      <c r="O624" s="39"/>
      <c r="P624" s="40" t="str">
        <f>IF(Settings!$E$27="ON",VLOOKUP(B624,ADP!A1:H728,8,FALSE)," ")</f>
        <v xml:space="preserve"> </v>
      </c>
      <c r="Q624" s="41">
        <f>IF(Settings!$E$12="YES",VLOOKUP(B624,'Player Data'!A1:E734,5,FALSE),82)</f>
        <v>56.342500000000001</v>
      </c>
      <c r="R624" s="39">
        <f>VLOOKUP(B624,'Player Data'!$A1:$AE734,6,FALSE)</f>
        <v>12.1771539165153</v>
      </c>
      <c r="S624" s="41">
        <f>VLOOKUP(B624,'Player Data'!$A1:$AE734,7,FALSE)*$Q624*IFERROR((VLOOKUP(P624,Settings!$E$28:$F$33,2,FALSE)+1),1)</f>
        <v>0.94968395615674317</v>
      </c>
      <c r="T624" s="41">
        <f>VLOOKUP(B624,'Player Data'!$A1:$AE734,8,FALSE)*$Q624*IFERROR((VLOOKUP(P624,Settings!$E$28:$F$33,2,FALSE)+1),1)</f>
        <v>5.5915444440247741</v>
      </c>
      <c r="U624" s="41">
        <f>SUM(S624:T624)</f>
        <v>6.5412284001815175</v>
      </c>
      <c r="V624" s="41">
        <f>VLOOKUP(B624,'Player Data'!$A1:$AE734,10,FALSE)*$Q624*IFERROR(((VLOOKUP(P624,Settings!$E$28:$F$33,2,FALSE)/2)+1),1)</f>
        <v>39.832822388008829</v>
      </c>
      <c r="W624" s="41">
        <f>VLOOKUP(B624,'Player Data'!$A1:$AE734,11,FALSE)*$Q624*IFERROR((VLOOKUP(P624,Settings!$E$28:$F$33,2,FALSE)+1),1)</f>
        <v>3.0611488823553408E-3</v>
      </c>
      <c r="X624" s="41">
        <f>VLOOKUP(B624,'Player Data'!$A1:$AE734,12,FALSE)*$Q624*IFERROR((VLOOKUP(P624,Settings!$E$28:$F$33,2,FALSE)+1),1)</f>
        <v>2.1132613619401112E-2</v>
      </c>
      <c r="Y624" s="41">
        <f>VLOOKUP(B624,'Player Data'!$A1:$AE734,13,FALSE)*$Q624</f>
        <v>2.9386445683268016E-2</v>
      </c>
      <c r="Z624" s="41">
        <f>VLOOKUP(B624,'Player Data'!$A1:$AE734,14,FALSE)*$Q624</f>
        <v>0.11113311477149738</v>
      </c>
      <c r="AA624" s="41">
        <f>VLOOKUP(B624,'Player Data'!$A1:$AE734,15,FALSE)*$Q624</f>
        <v>45.868097717595717</v>
      </c>
      <c r="AB624" s="41">
        <f>VLOOKUP(B624,'Player Data'!$A1:$AE734,16,FALSE)*$Q624</f>
        <v>112.24122574115535</v>
      </c>
      <c r="AC624" s="41">
        <f>VLOOKUP(B624,'Player Data'!$A1:$AE734,17,FALSE)*$Q624*IFERROR((VLOOKUP(P624,Settings!$E$28:$F$33,2,FALSE)+1),1)</f>
        <v>-2.7822231537680361E-2</v>
      </c>
      <c r="AD624" s="41">
        <f>VLOOKUP(B624,'Player Data'!$A1:$AE734,18,FALSE)*$Q624</f>
        <v>29.892360894071871</v>
      </c>
      <c r="AE624" s="41">
        <f>VLOOKUP(B624,'Player Data'!$A1:$AE734,19,FALSE)*$Q624*IFERROR((VLOOKUP(P624,Settings!$E$28:$F$33,2,FALSE)+1),1)</f>
        <v>0.14099371835356792</v>
      </c>
      <c r="AF624" s="41">
        <f>VLOOKUP(B624,'Player Data'!$A1:$AE734,20,FALSE)*$Q624</f>
        <v>0</v>
      </c>
      <c r="AG624" s="41">
        <f>VLOOKUP(B624,'Player Data'!$A1:$AE734,21,FALSE)*$Q624</f>
        <v>0</v>
      </c>
      <c r="AH624" s="42">
        <f>VLOOKUP(B624,'Player Data'!$A1:$AE734,22,FALSE)</f>
        <v>0</v>
      </c>
      <c r="AI624" s="39"/>
      <c r="AJ624" s="43"/>
      <c r="AK624" s="41"/>
      <c r="AL624" s="41"/>
      <c r="AM624" s="41"/>
      <c r="AN624" s="41"/>
      <c r="AO624" s="41"/>
      <c r="AP624" s="41"/>
      <c r="AQ624" s="44"/>
      <c r="AR624" s="45"/>
      <c r="AS624" s="39"/>
    </row>
    <row r="625" spans="1:45" ht="21.25" customHeight="1" x14ac:dyDescent="0.15">
      <c r="A625" s="31">
        <f>RANK(K625,K$2:K$727)</f>
        <v>624</v>
      </c>
      <c r="B625" s="8" t="s">
        <v>729</v>
      </c>
      <c r="C625" s="32" t="s">
        <v>106</v>
      </c>
      <c r="D625" s="33" t="str">
        <f>VLOOKUP(B625,'Player Data'!A1:D734,4,FALSE)</f>
        <v>RW</v>
      </c>
      <c r="E625" s="46">
        <f>VLOOKUP(B625,RW!A1:F97,3,FALSE)</f>
        <v>88</v>
      </c>
      <c r="F625" s="35" t="str">
        <f>VLOOKUP(B625,'Player Data'!A1:B734,2,FALSE)</f>
        <v>NYI</v>
      </c>
      <c r="G625" s="9">
        <f>VLOOKUP(B625,'Player Data'!A1:D734,3,FALSE)</f>
        <v>35</v>
      </c>
      <c r="H625" s="36">
        <f>IFERROR(VLOOKUP(B625,ADP!A1:G728,7,FALSE)/1000000,VLOOKUP(B625,ADP!A1:G728,7,FALSE))</f>
        <v>1.75</v>
      </c>
      <c r="I625" s="37">
        <f>IF(Settings!$E$15="POINTS",((R625*Q625)*Settings!$B$12)+(S625*Settings!$B$2)+(T625*Settings!$B$3)+(U625*Settings!$B$4)+(V625*Settings!$B$5)+(X625*Settings!$B$9)+(AA625*Settings!$B$6)+(W625*Settings!$B$8)+(AB625*Settings!$B$7)+(AC625*Settings!$B$14)+(AD625*Settings!$B$15)+(AE625*Settings!$B$16)+(AF625*Settings!$B$17)+(AG625*Settings!$B$18)+(Y625*Settings!$B$10)+(Z625*Settings!$B$11),VLOOKUP(B625,'Standard Deviations'!A1:C728,3,FALSE))</f>
        <v>87.480221804300442</v>
      </c>
      <c r="J625" s="38">
        <f>IF(D625="G",I625/AJ625,I625/Q625)</f>
        <v>1.2127892589521168</v>
      </c>
      <c r="K625" s="37">
        <f>IF(Settings!$E$18="C/LW/RW",VLOOKUP(B625,RW!A1:F97,6,FALSE),VLOOKUP(B625,F!A1:F430,6,FALSE))</f>
        <v>-262.79131874358916</v>
      </c>
      <c r="L625" s="37">
        <f>IFERROR(K625/H625,"N/A")</f>
        <v>-150.16646785347953</v>
      </c>
      <c r="M625" s="53" t="str">
        <f>IF(Settings!$E$9="YAHOO",VLOOKUP(B625,ADP!A1:E728,2,FALSE),IF(Settings!$E$9="ESPN",VLOOKUP(B625,ADP!A1:E728,3,FALSE),IF(Settings!$E$9="FANTRAX",VLOOKUP(B625,ADP!A1:E728,4,FALSE),VLOOKUP(B625,ADP!A1:E728,5,FALSE))))</f>
        <v>-</v>
      </c>
      <c r="N625" s="53" t="str">
        <f>IFERROR(M625-A625,"N/A")</f>
        <v>N/A</v>
      </c>
      <c r="O625" s="39"/>
      <c r="P625" s="40" t="str">
        <f>IF(Settings!$E$27="ON",VLOOKUP(B625,ADP!A1:H728,8,FALSE)," ")</f>
        <v xml:space="preserve"> </v>
      </c>
      <c r="Q625" s="41">
        <f>IF(Settings!$E$12="YES",VLOOKUP(B625,'Player Data'!A1:E734,5,FALSE),82)</f>
        <v>72.1314285714286</v>
      </c>
      <c r="R625" s="39">
        <f>VLOOKUP(B625,'Player Data'!$A1:$AE734,6,FALSE)</f>
        <v>12.320296846431701</v>
      </c>
      <c r="S625" s="41">
        <f>VLOOKUP(B625,'Player Data'!$A1:$AE734,7,FALSE)*$Q625*IFERROR((VLOOKUP(P625,Settings!$E$28:$F$33,2,FALSE)+1),1)</f>
        <v>6.1883735986468915</v>
      </c>
      <c r="T625" s="41">
        <f>VLOOKUP(B625,'Player Data'!$A1:$AE734,8,FALSE)*$Q625*IFERROR((VLOOKUP(P625,Settings!$E$28:$F$33,2,FALSE)+1),1)</f>
        <v>8.0923445797164693</v>
      </c>
      <c r="U625" s="41">
        <f>SUM(S625:T625)</f>
        <v>14.280718178363362</v>
      </c>
      <c r="V625" s="41">
        <f>VLOOKUP(B625,'Player Data'!$A1:$AE734,10,FALSE)*$Q625*IFERROR(((VLOOKUP(P625,Settings!$E$28:$F$33,2,FALSE)/2)+1),1)</f>
        <v>70.4045092631074</v>
      </c>
      <c r="W625" s="41">
        <f>VLOOKUP(B625,'Player Data'!$A1:$AE734,11,FALSE)*$Q625*IFERROR((VLOOKUP(P625,Settings!$E$28:$F$33,2,FALSE)+1),1)</f>
        <v>4.2585258876113315E-2</v>
      </c>
      <c r="X625" s="41">
        <f>VLOOKUP(B625,'Player Data'!$A1:$AE734,12,FALSE)*$Q625*IFERROR((VLOOKUP(P625,Settings!$E$28:$F$33,2,FALSE)+1),1)</f>
        <v>0.11098302521365401</v>
      </c>
      <c r="Y625" s="41">
        <f>VLOOKUP(B625,'Player Data'!$A1:$AE734,13,FALSE)*$Q625</f>
        <v>0.58862449762008151</v>
      </c>
      <c r="Z625" s="41">
        <f>VLOOKUP(B625,'Player Data'!$A1:$AE734,14,FALSE)*$Q625</f>
        <v>0.70169211770580897</v>
      </c>
      <c r="AA625" s="41">
        <f>VLOOKUP(B625,'Player Data'!$A1:$AE734,15,FALSE)*$Q625</f>
        <v>39.052311759088575</v>
      </c>
      <c r="AB625" s="41">
        <f>VLOOKUP(B625,'Player Data'!$A1:$AE734,16,FALSE)*$Q625</f>
        <v>239.71316230436295</v>
      </c>
      <c r="AC625" s="41">
        <f>VLOOKUP(B625,'Player Data'!$A1:$AE734,17,FALSE)*$Q625*IFERROR((VLOOKUP(P625,Settings!$E$28:$F$33,2,FALSE)+1),1)</f>
        <v>-0.72159679175049751</v>
      </c>
      <c r="AD625" s="41">
        <f>VLOOKUP(B625,'Player Data'!$A1:$AE734,18,FALSE)*$Q625</f>
        <v>19.51008341647502</v>
      </c>
      <c r="AE625" s="41">
        <f>VLOOKUP(B625,'Player Data'!$A1:$AE734,19,FALSE)*$Q625*IFERROR((VLOOKUP(P625,Settings!$E$28:$F$33,2,FALSE)+1),1)</f>
        <v>0.95623898239275851</v>
      </c>
      <c r="AF625" s="41">
        <f>VLOOKUP(B625,'Player Data'!$A1:$AE734,20,FALSE)*$Q625</f>
        <v>3.0119841059322083</v>
      </c>
      <c r="AG625" s="41">
        <f>VLOOKUP(B625,'Player Data'!$A1:$AE734,21,FALSE)*$Q625</f>
        <v>5.1072939847612453</v>
      </c>
      <c r="AH625" s="42">
        <f>VLOOKUP(B625,'Player Data'!$A1:$AE734,22,FALSE)</f>
        <v>0.37096698404561701</v>
      </c>
      <c r="AI625" s="39"/>
      <c r="AJ625" s="43"/>
      <c r="AK625" s="41"/>
      <c r="AL625" s="41"/>
      <c r="AM625" s="41"/>
      <c r="AN625" s="41"/>
      <c r="AO625" s="41"/>
      <c r="AP625" s="41"/>
      <c r="AQ625" s="44"/>
      <c r="AR625" s="45"/>
      <c r="AS625" s="39"/>
    </row>
    <row r="626" spans="1:45" ht="21.25" customHeight="1" x14ac:dyDescent="0.15">
      <c r="A626" s="31">
        <f>RANK(K626,K$2:K$727)</f>
        <v>625</v>
      </c>
      <c r="B626" s="8" t="s">
        <v>730</v>
      </c>
      <c r="C626" s="32" t="s">
        <v>106</v>
      </c>
      <c r="D626" s="33" t="str">
        <f>VLOOKUP(B626,'Player Data'!A1:D734,4,FALSE)</f>
        <v>C</v>
      </c>
      <c r="E626" s="34">
        <f>VLOOKUP(B626,'C'!A1:C211,3,FALSE)</f>
        <v>150</v>
      </c>
      <c r="F626" s="35" t="str">
        <f>VLOOKUP(B626,'Player Data'!A1:B734,2,FALSE)</f>
        <v>MTL</v>
      </c>
      <c r="G626" s="9">
        <f>VLOOKUP(B626,'Player Data'!A1:D734,3,FALSE)</f>
        <v>27</v>
      </c>
      <c r="H626" s="36">
        <f>IFERROR(VLOOKUP(B626,ADP!A1:G728,7,FALSE)/1000000,VLOOKUP(B626,ADP!A1:G728,7,FALSE))</f>
        <v>1.7</v>
      </c>
      <c r="I626" s="37">
        <f>IF(Settings!$E$15="POINTS",((R626*Q626)*Settings!$B$12)+(S626*Settings!$B$2)+(T626*Settings!$B$3)+(U626*Settings!$B$4)+(V626*Settings!$B$5)+(X626*Settings!$B$9)+(AA626*Settings!$B$6)+(W626*Settings!$B$8)+(AB626*Settings!$B$7)+(AC626*Settings!$B$14)+(AD626*Settings!$B$15)+(AE626*Settings!$B$16)+(AF626*Settings!$B$17)+(AG626*Settings!$B$18)+(Y626*Settings!$B$10)+(Z626*Settings!$B$11),VLOOKUP(B626,'Standard Deviations'!A1:C728,3,FALSE))</f>
        <v>130.50378973601349</v>
      </c>
      <c r="J626" s="38">
        <f>IF(D626="G",I626/AJ626,I626/Q626)</f>
        <v>1.7548581903530629</v>
      </c>
      <c r="K626" s="37">
        <f>IF(Settings!$E$18="C/LW/RW",VLOOKUP(B626,'C'!A1:F211,6,FALSE),VLOOKUP(B626,F!A1:F430,6,FALSE))</f>
        <v>-262.82501603019614</v>
      </c>
      <c r="L626" s="37">
        <f>IFERROR(K626/H626,"N/A")</f>
        <v>-154.60295060599773</v>
      </c>
      <c r="M626" s="53" t="str">
        <f>IF(Settings!$E$9="YAHOO",VLOOKUP(B626,ADP!A1:E728,2,FALSE),IF(Settings!$E$9="ESPN",VLOOKUP(B626,ADP!A1:E728,3,FALSE),IF(Settings!$E$9="FANTRAX",VLOOKUP(B626,ADP!A1:E728,4,FALSE),VLOOKUP(B626,ADP!A1:E728,5,FALSE))))</f>
        <v>-</v>
      </c>
      <c r="N626" s="53" t="str">
        <f>IFERROR(M626-A626,"N/A")</f>
        <v>N/A</v>
      </c>
      <c r="O626" s="39"/>
      <c r="P626" s="40" t="str">
        <f>IF(Settings!$E$27="ON",VLOOKUP(B626,ADP!A1:H728,8,FALSE)," ")</f>
        <v xml:space="preserve"> </v>
      </c>
      <c r="Q626" s="41">
        <f>IF(Settings!$E$12="YES",VLOOKUP(B626,'Player Data'!A1:E734,5,FALSE),82)</f>
        <v>74.367142857142895</v>
      </c>
      <c r="R626" s="39">
        <f>VLOOKUP(B626,'Player Data'!$A1:$AE734,6,FALSE)</f>
        <v>13.537480911322101</v>
      </c>
      <c r="S626" s="41">
        <f>VLOOKUP(B626,'Player Data'!$A1:$AE734,7,FALSE)*$Q626*IFERROR((VLOOKUP(P626,Settings!$E$28:$F$33,2,FALSE)+1),1)</f>
        <v>6.7716195326402824</v>
      </c>
      <c r="T626" s="41">
        <f>VLOOKUP(B626,'Player Data'!$A1:$AE734,8,FALSE)*$Q626*IFERROR((VLOOKUP(P626,Settings!$E$28:$F$33,2,FALSE)+1),1)</f>
        <v>17.603541794127217</v>
      </c>
      <c r="U626" s="41">
        <f>SUM(S626:T626)</f>
        <v>24.3751613267675</v>
      </c>
      <c r="V626" s="41">
        <f>VLOOKUP(B626,'Player Data'!$A1:$AE734,10,FALSE)*$Q626*IFERROR(((VLOOKUP(P626,Settings!$E$28:$F$33,2,FALSE)/2)+1),1)</f>
        <v>86.70613070920291</v>
      </c>
      <c r="W626" s="41">
        <f>VLOOKUP(B626,'Player Data'!$A1:$AE734,11,FALSE)*$Q626*IFERROR((VLOOKUP(P626,Settings!$E$28:$F$33,2,FALSE)+1),1)</f>
        <v>9.306083763729385E-2</v>
      </c>
      <c r="X626" s="41">
        <f>VLOOKUP(B626,'Player Data'!$A1:$AE734,12,FALSE)*$Q626*IFERROR((VLOOKUP(P626,Settings!$E$28:$F$33,2,FALSE)+1),1)</f>
        <v>0.16615926883693763</v>
      </c>
      <c r="Y626" s="41">
        <f>VLOOKUP(B626,'Player Data'!$A1:$AE734,13,FALSE)*$Q626</f>
        <v>0.30889065155490097</v>
      </c>
      <c r="Z626" s="41">
        <f>VLOOKUP(B626,'Player Data'!$A1:$AE734,14,FALSE)*$Q626</f>
        <v>2.2665064886504158</v>
      </c>
      <c r="AA626" s="41">
        <f>VLOOKUP(B626,'Player Data'!$A1:$AE734,15,FALSE)*$Q626</f>
        <v>45.799544430674153</v>
      </c>
      <c r="AB626" s="41">
        <f>VLOOKUP(B626,'Player Data'!$A1:$AE734,16,FALSE)*$Q626</f>
        <v>61.060694211962748</v>
      </c>
      <c r="AC626" s="41">
        <f>VLOOKUP(B626,'Player Data'!$A1:$AE734,17,FALSE)*$Q626*IFERROR((VLOOKUP(P626,Settings!$E$28:$F$33,2,FALSE)+1),1)</f>
        <v>-6.5282863649770198</v>
      </c>
      <c r="AD626" s="41">
        <f>VLOOKUP(B626,'Player Data'!$A1:$AE734,18,FALSE)*$Q626</f>
        <v>28.081773479804784</v>
      </c>
      <c r="AE626" s="41">
        <f>VLOOKUP(B626,'Player Data'!$A1:$AE734,19,FALSE)*$Q626*IFERROR((VLOOKUP(P626,Settings!$E$28:$F$33,2,FALSE)+1),1)</f>
        <v>0.73383429608334783</v>
      </c>
      <c r="AF626" s="41">
        <f>VLOOKUP(B626,'Player Data'!$A1:$AE734,20,FALSE)*$Q626</f>
        <v>417.95217553488573</v>
      </c>
      <c r="AG626" s="41">
        <f>VLOOKUP(B626,'Player Data'!$A1:$AE734,21,FALSE)*$Q626</f>
        <v>406.60723581453118</v>
      </c>
      <c r="AH626" s="42">
        <f>VLOOKUP(B626,'Player Data'!$A1:$AE734,22,FALSE)</f>
        <v>0.50687939496184298</v>
      </c>
      <c r="AI626" s="39"/>
      <c r="AJ626" s="43"/>
      <c r="AK626" s="41"/>
      <c r="AL626" s="41"/>
      <c r="AM626" s="41"/>
      <c r="AN626" s="41"/>
      <c r="AO626" s="41"/>
      <c r="AP626" s="41"/>
      <c r="AQ626" s="44"/>
      <c r="AR626" s="45"/>
      <c r="AS626" s="39"/>
    </row>
    <row r="627" spans="1:45" ht="21.25" customHeight="1" x14ac:dyDescent="0.15">
      <c r="A627" s="31">
        <f>RANK(K627,K$2:K$727)</f>
        <v>626</v>
      </c>
      <c r="B627" s="8" t="s">
        <v>731</v>
      </c>
      <c r="C627" s="32" t="s">
        <v>106</v>
      </c>
      <c r="D627" s="33" t="str">
        <f>VLOOKUP(B627,'Player Data'!A1:D734,4,FALSE)</f>
        <v>C</v>
      </c>
      <c r="E627" s="34">
        <f>VLOOKUP(B627,'C'!A1:C211,3,FALSE)</f>
        <v>151</v>
      </c>
      <c r="F627" s="35" t="str">
        <f>VLOOKUP(B627,'Player Data'!A1:B734,2,FALSE)</f>
        <v>DAL</v>
      </c>
      <c r="G627" s="9">
        <f>VLOOKUP(B627,'Player Data'!A1:D734,3,FALSE)</f>
        <v>33</v>
      </c>
      <c r="H627" s="36">
        <f>IFERROR(VLOOKUP(B627,ADP!A1:G728,7,FALSE)/1000000,VLOOKUP(B627,ADP!A1:G728,7,FALSE))</f>
        <v>1</v>
      </c>
      <c r="I627" s="37">
        <f>IF(Settings!$E$15="POINTS",((R627*Q627)*Settings!$B$12)+(S627*Settings!$B$2)+(T627*Settings!$B$3)+(U627*Settings!$B$4)+(V627*Settings!$B$5)+(X627*Settings!$B$9)+(AA627*Settings!$B$6)+(W627*Settings!$B$8)+(AB627*Settings!$B$7)+(AC627*Settings!$B$14)+(AD627*Settings!$B$15)+(AE627*Settings!$B$16)+(AF627*Settings!$B$17)+(AG627*Settings!$B$18)+(Y627*Settings!$B$10)+(Z627*Settings!$B$11),VLOOKUP(B627,'Standard Deviations'!A1:C728,3,FALSE))</f>
        <v>129.1958142608008</v>
      </c>
      <c r="J627" s="38">
        <f>IF(D627="G",I627/AJ627,I627/Q627)</f>
        <v>1.6682882148435332</v>
      </c>
      <c r="K627" s="37">
        <f>IF(Settings!$E$18="C/LW/RW",VLOOKUP(B627,'C'!A1:F211,6,FALSE),VLOOKUP(B627,F!A1:F430,6,FALSE))</f>
        <v>-264.13299150540888</v>
      </c>
      <c r="L627" s="37">
        <f>IFERROR(K627/H627,"N/A")</f>
        <v>-264.13299150540888</v>
      </c>
      <c r="M627" s="53" t="str">
        <f>IF(Settings!$E$9="YAHOO",VLOOKUP(B627,ADP!A1:E728,2,FALSE),IF(Settings!$E$9="ESPN",VLOOKUP(B627,ADP!A1:E728,3,FALSE),IF(Settings!$E$9="FANTRAX",VLOOKUP(B627,ADP!A1:E728,4,FALSE),VLOOKUP(B627,ADP!A1:E728,5,FALSE))))</f>
        <v>-</v>
      </c>
      <c r="N627" s="53" t="str">
        <f>IFERROR(M627-A627,"N/A")</f>
        <v>N/A</v>
      </c>
      <c r="O627" s="39"/>
      <c r="P627" s="40" t="str">
        <f>IF(Settings!$E$27="ON",VLOOKUP(B627,ADP!A1:H728,8,FALSE)," ")</f>
        <v xml:space="preserve"> </v>
      </c>
      <c r="Q627" s="41">
        <f>IF(Settings!$E$12="YES",VLOOKUP(B627,'Player Data'!A1:E734,5,FALSE),82)</f>
        <v>77.442142857142898</v>
      </c>
      <c r="R627" s="39">
        <f>VLOOKUP(B627,'Player Data'!$A1:$AE734,6,FALSE)</f>
        <v>10.7256716758765</v>
      </c>
      <c r="S627" s="41">
        <f>VLOOKUP(B627,'Player Data'!$A1:$AE734,7,FALSE)*$Q627*IFERROR((VLOOKUP(P627,Settings!$E$28:$F$33,2,FALSE)+1),1)</f>
        <v>10.2952728303667</v>
      </c>
      <c r="T627" s="41">
        <f>VLOOKUP(B627,'Player Data'!$A1:$AE734,8,FALSE)*$Q627*IFERROR((VLOOKUP(P627,Settings!$E$28:$F$33,2,FALSE)+1),1)</f>
        <v>10.393703730461542</v>
      </c>
      <c r="U627" s="41">
        <f>SUM(S627:T627)</f>
        <v>20.688976560828245</v>
      </c>
      <c r="V627" s="41">
        <f>VLOOKUP(B627,'Player Data'!$A1:$AE734,10,FALSE)*$Q627*IFERROR(((VLOOKUP(P627,Settings!$E$28:$F$33,2,FALSE)/2)+1),1)</f>
        <v>123.49339862455165</v>
      </c>
      <c r="W627" s="41">
        <f>VLOOKUP(B627,'Player Data'!$A1:$AE734,11,FALSE)*$Q627*IFERROR((VLOOKUP(P627,Settings!$E$28:$F$33,2,FALSE)+1),1)</f>
        <v>4.8084805410227097E-2</v>
      </c>
      <c r="X627" s="41">
        <f>VLOOKUP(B627,'Player Data'!$A1:$AE734,12,FALSE)*$Q627*IFERROR((VLOOKUP(P627,Settings!$E$28:$F$33,2,FALSE)+1),1)</f>
        <v>0.1607171939672499</v>
      </c>
      <c r="Y627" s="41">
        <f>VLOOKUP(B627,'Player Data'!$A1:$AE734,13,FALSE)*$Q627</f>
        <v>1.2377102828142253E-3</v>
      </c>
      <c r="Z627" s="41">
        <f>VLOOKUP(B627,'Player Data'!$A1:$AE734,14,FALSE)*$Q627</f>
        <v>2.2698174124118472E-3</v>
      </c>
      <c r="AA627" s="41">
        <f>VLOOKUP(B627,'Player Data'!$A1:$AE734,15,FALSE)*$Q627</f>
        <v>25.2810562164047</v>
      </c>
      <c r="AB627" s="41">
        <f>VLOOKUP(B627,'Player Data'!$A1:$AE734,16,FALSE)*$Q627</f>
        <v>75.715640984126892</v>
      </c>
      <c r="AC627" s="41">
        <f>VLOOKUP(B627,'Player Data'!$A1:$AE734,17,FALSE)*$Q627*IFERROR((VLOOKUP(P627,Settings!$E$28:$F$33,2,FALSE)+1),1)</f>
        <v>4.7512986924553751</v>
      </c>
      <c r="AD627" s="41">
        <f>VLOOKUP(B627,'Player Data'!$A1:$AE734,18,FALSE)*$Q627</f>
        <v>21.529394542458128</v>
      </c>
      <c r="AE627" s="41">
        <f>VLOOKUP(B627,'Player Data'!$A1:$AE734,19,FALSE)*$Q627*IFERROR((VLOOKUP(P627,Settings!$E$28:$F$33,2,FALSE)+1),1)</f>
        <v>1.6471706691089196</v>
      </c>
      <c r="AF627" s="41">
        <f>VLOOKUP(B627,'Player Data'!$A1:$AE734,20,FALSE)*$Q627</f>
        <v>3.9412403436620029</v>
      </c>
      <c r="AG627" s="41">
        <f>VLOOKUP(B627,'Player Data'!$A1:$AE734,21,FALSE)*$Q627</f>
        <v>8.4264591634788371</v>
      </c>
      <c r="AH627" s="42">
        <f>VLOOKUP(B627,'Player Data'!$A1:$AE734,22,FALSE)</f>
        <v>0.31867206519582802</v>
      </c>
      <c r="AI627" s="39"/>
      <c r="AJ627" s="43"/>
      <c r="AK627" s="41"/>
      <c r="AL627" s="41"/>
      <c r="AM627" s="41"/>
      <c r="AN627" s="41"/>
      <c r="AO627" s="41"/>
      <c r="AP627" s="41"/>
      <c r="AQ627" s="44"/>
      <c r="AR627" s="45"/>
      <c r="AS627" s="39"/>
    </row>
    <row r="628" spans="1:45" ht="21.25" customHeight="1" x14ac:dyDescent="0.15">
      <c r="A628" s="31">
        <f>RANK(K628,K$2:K$727)</f>
        <v>627</v>
      </c>
      <c r="B628" s="8" t="s">
        <v>732</v>
      </c>
      <c r="C628" s="32" t="s">
        <v>106</v>
      </c>
      <c r="D628" s="33" t="str">
        <f>VLOOKUP(B628,'Player Data'!A1:D734,4,FALSE)</f>
        <v>C</v>
      </c>
      <c r="E628" s="34">
        <f>VLOOKUP(B628,'C'!A1:C211,3,FALSE)</f>
        <v>152</v>
      </c>
      <c r="F628" s="35" t="str">
        <f>VLOOKUP(B628,'Player Data'!A1:B734,2,FALSE)</f>
        <v>VAN</v>
      </c>
      <c r="G628" s="9">
        <f>VLOOKUP(B628,'Player Data'!A1:D734,3,FALSE)</f>
        <v>29</v>
      </c>
      <c r="H628" s="36">
        <f>IFERROR(VLOOKUP(B628,ADP!A1:G728,7,FALSE)/1000000,VLOOKUP(B628,ADP!A1:G728,7,FALSE))</f>
        <v>1.9</v>
      </c>
      <c r="I628" s="37">
        <f>IF(Settings!$E$15="POINTS",((R628*Q628)*Settings!$B$12)+(S628*Settings!$B$2)+(T628*Settings!$B$3)+(U628*Settings!$B$4)+(V628*Settings!$B$5)+(X628*Settings!$B$9)+(AA628*Settings!$B$6)+(W628*Settings!$B$8)+(AB628*Settings!$B$7)+(AC628*Settings!$B$14)+(AD628*Settings!$B$15)+(AE628*Settings!$B$16)+(AF628*Settings!$B$17)+(AG628*Settings!$B$18)+(Y628*Settings!$B$10)+(Z628*Settings!$B$11),VLOOKUP(B628,'Standard Deviations'!A1:C728,3,FALSE))</f>
        <v>128.58619856918196</v>
      </c>
      <c r="J628" s="38">
        <f>IF(D628="G",I628/AJ628,I628/Q628)</f>
        <v>1.7279275697268717</v>
      </c>
      <c r="K628" s="37">
        <f>IF(Settings!$E$18="C/LW/RW",VLOOKUP(B628,'C'!A1:F211,6,FALSE),VLOOKUP(B628,F!A1:F430,6,FALSE))</f>
        <v>-264.74260719702772</v>
      </c>
      <c r="L628" s="37">
        <f>IFERROR(K628/H628,"N/A")</f>
        <v>-139.33821431422513</v>
      </c>
      <c r="M628" s="53" t="str">
        <f>IF(Settings!$E$9="YAHOO",VLOOKUP(B628,ADP!A1:E728,2,FALSE),IF(Settings!$E$9="ESPN",VLOOKUP(B628,ADP!A1:E728,3,FALSE),IF(Settings!$E$9="FANTRAX",VLOOKUP(B628,ADP!A1:E728,4,FALSE),VLOOKUP(B628,ADP!A1:E728,5,FALSE))))</f>
        <v>-</v>
      </c>
      <c r="N628" s="53" t="str">
        <f>IFERROR(M628-A628,"N/A")</f>
        <v>N/A</v>
      </c>
      <c r="O628" s="39"/>
      <c r="P628" s="40" t="str">
        <f>IF(Settings!$E$27="ON",VLOOKUP(B628,ADP!A1:H728,8,FALSE)," ")</f>
        <v xml:space="preserve"> </v>
      </c>
      <c r="Q628" s="41">
        <f>IF(Settings!$E$12="YES",VLOOKUP(B628,'Player Data'!A1:E734,5,FALSE),82)</f>
        <v>74.416428571428597</v>
      </c>
      <c r="R628" s="39">
        <f>VLOOKUP(B628,'Player Data'!$A1:$AE734,6,FALSE)</f>
        <v>12.968644329933699</v>
      </c>
      <c r="S628" s="41">
        <f>VLOOKUP(B628,'Player Data'!$A1:$AE734,7,FALSE)*$Q628*IFERROR((VLOOKUP(P628,Settings!$E$28:$F$33,2,FALSE)+1),1)</f>
        <v>6.8591851698012869</v>
      </c>
      <c r="T628" s="41">
        <f>VLOOKUP(B628,'Player Data'!$A1:$AE734,8,FALSE)*$Q628*IFERROR((VLOOKUP(P628,Settings!$E$28:$F$33,2,FALSE)+1),1)</f>
        <v>15.555243923043758</v>
      </c>
      <c r="U628" s="41">
        <f>SUM(S628:T628)</f>
        <v>22.414429092845044</v>
      </c>
      <c r="V628" s="41">
        <f>VLOOKUP(B628,'Player Data'!$A1:$AE734,10,FALSE)*$Q628*IFERROR(((VLOOKUP(P628,Settings!$E$28:$F$33,2,FALSE)/2)+1),1)</f>
        <v>95.559083906713454</v>
      </c>
      <c r="W628" s="41">
        <f>VLOOKUP(B628,'Player Data'!$A1:$AE734,11,FALSE)*$Q628*IFERROR((VLOOKUP(P628,Settings!$E$28:$F$33,2,FALSE)+1),1)</f>
        <v>5.2811806988419113E-2</v>
      </c>
      <c r="X628" s="41">
        <f>VLOOKUP(B628,'Player Data'!$A1:$AE734,12,FALSE)*$Q628*IFERROR((VLOOKUP(P628,Settings!$E$28:$F$33,2,FALSE)+1),1)</f>
        <v>0.13835326695922973</v>
      </c>
      <c r="Y628" s="41">
        <f>VLOOKUP(B628,'Player Data'!$A1:$AE734,13,FALSE)*$Q628</f>
        <v>0.95124824939904007</v>
      </c>
      <c r="Z628" s="41">
        <f>VLOOKUP(B628,'Player Data'!$A1:$AE734,14,FALSE)*$Q628</f>
        <v>1.9653700841347184</v>
      </c>
      <c r="AA628" s="41">
        <f>VLOOKUP(B628,'Player Data'!$A1:$AE734,15,FALSE)*$Q628</f>
        <v>46.779613175511024</v>
      </c>
      <c r="AB628" s="41">
        <f>VLOOKUP(B628,'Player Data'!$A1:$AE734,16,FALSE)*$Q628</f>
        <v>89.355063488802188</v>
      </c>
      <c r="AC628" s="41">
        <f>VLOOKUP(B628,'Player Data'!$A1:$AE734,17,FALSE)*$Q628*IFERROR((VLOOKUP(P628,Settings!$E$28:$F$33,2,FALSE)+1),1)</f>
        <v>-0.48781791561362781</v>
      </c>
      <c r="AD628" s="41">
        <f>VLOOKUP(B628,'Player Data'!$A1:$AE734,18,FALSE)*$Q628</f>
        <v>16.013963005246374</v>
      </c>
      <c r="AE628" s="41">
        <f>VLOOKUP(B628,'Player Data'!$A1:$AE734,19,FALSE)*$Q628*IFERROR((VLOOKUP(P628,Settings!$E$28:$F$33,2,FALSE)+1),1)</f>
        <v>0.97098384474748967</v>
      </c>
      <c r="AF628" s="41">
        <f>VLOOKUP(B628,'Player Data'!$A1:$AE734,20,FALSE)*$Q628</f>
        <v>348.74473559700101</v>
      </c>
      <c r="AG628" s="41">
        <f>VLOOKUP(B628,'Player Data'!$A1:$AE734,21,FALSE)*$Q628</f>
        <v>324.59843632586075</v>
      </c>
      <c r="AH628" s="42">
        <f>VLOOKUP(B628,'Player Data'!$A1:$AE734,22,FALSE)</f>
        <v>0.51793015825955901</v>
      </c>
      <c r="AI628" s="39"/>
      <c r="AJ628" s="43"/>
      <c r="AK628" s="41"/>
      <c r="AL628" s="41"/>
      <c r="AM628" s="41"/>
      <c r="AN628" s="41"/>
      <c r="AO628" s="41"/>
      <c r="AP628" s="41"/>
      <c r="AQ628" s="44"/>
      <c r="AR628" s="45"/>
      <c r="AS628" s="39"/>
    </row>
    <row r="629" spans="1:45" ht="21.25" customHeight="1" x14ac:dyDescent="0.15">
      <c r="A629" s="31">
        <f>RANK(K629,K$2:K$727)</f>
        <v>628</v>
      </c>
      <c r="B629" s="8" t="s">
        <v>733</v>
      </c>
      <c r="C629" s="32" t="s">
        <v>106</v>
      </c>
      <c r="D629" s="33" t="str">
        <f>VLOOKUP(B629,'Player Data'!A1:D734,4,FALSE)</f>
        <v>C</v>
      </c>
      <c r="E629" s="34">
        <f>VLOOKUP(B629,'C'!A1:C211,3,FALSE)</f>
        <v>153</v>
      </c>
      <c r="F629" s="35" t="str">
        <f>VLOOKUP(B629,'Player Data'!A1:B734,2,FALSE)</f>
        <v>DAL</v>
      </c>
      <c r="G629" s="9">
        <f>VLOOKUP(B629,'Player Data'!A1:D734,3,FALSE)</f>
        <v>23</v>
      </c>
      <c r="H629" s="36">
        <f>IFERROR(VLOOKUP(B629,ADP!A1:G728,7,FALSE)/1000000,VLOOKUP(B629,ADP!A1:G728,7,FALSE))</f>
        <v>0.9</v>
      </c>
      <c r="I629" s="37">
        <f>IF(Settings!$E$15="POINTS",((R629*Q629)*Settings!$B$12)+(S629*Settings!$B$2)+(T629*Settings!$B$3)+(U629*Settings!$B$4)+(V629*Settings!$B$5)+(X629*Settings!$B$9)+(AA629*Settings!$B$6)+(W629*Settings!$B$8)+(AB629*Settings!$B$7)+(AC629*Settings!$B$14)+(AD629*Settings!$B$15)+(AE629*Settings!$B$16)+(AF629*Settings!$B$17)+(AG629*Settings!$B$18)+(Y629*Settings!$B$10)+(Z629*Settings!$B$11),VLOOKUP(B629,'Standard Deviations'!A1:C728,3,FALSE))</f>
        <v>127.59364217504567</v>
      </c>
      <c r="J629" s="38">
        <f>IF(D629="G",I629/AJ629,I629/Q629)</f>
        <v>1.7755335020929344</v>
      </c>
      <c r="K629" s="37">
        <f>IF(Settings!$E$18="C/LW/RW",VLOOKUP(B629,'C'!A1:F211,6,FALSE),VLOOKUP(B629,F!A1:F430,6,FALSE))</f>
        <v>-265.735163591164</v>
      </c>
      <c r="L629" s="37">
        <f>IFERROR(K629/H629,"N/A")</f>
        <v>-295.26129287907111</v>
      </c>
      <c r="M629" s="53" t="str">
        <f>IF(Settings!$E$9="YAHOO",VLOOKUP(B629,ADP!A1:E728,2,FALSE),IF(Settings!$E$9="ESPN",VLOOKUP(B629,ADP!A1:E728,3,FALSE),IF(Settings!$E$9="FANTRAX",VLOOKUP(B629,ADP!A1:E728,4,FALSE),VLOOKUP(B629,ADP!A1:E728,5,FALSE))))</f>
        <v>-</v>
      </c>
      <c r="N629" s="53" t="str">
        <f>IFERROR(M629-A629,"N/A")</f>
        <v>N/A</v>
      </c>
      <c r="O629" s="39"/>
      <c r="P629" s="40" t="str">
        <f>IF(Settings!$E$27="ON",VLOOKUP(B629,ADP!A1:H728,8,FALSE)," ")</f>
        <v xml:space="preserve"> </v>
      </c>
      <c r="Q629" s="41">
        <f>IF(Settings!$E$12="YES",VLOOKUP(B629,'Player Data'!A1:E734,5,FALSE),82)</f>
        <v>71.862142857142899</v>
      </c>
      <c r="R629" s="39">
        <f>VLOOKUP(B629,'Player Data'!$A1:$AE734,6,FALSE)</f>
        <v>13.871401620919199</v>
      </c>
      <c r="S629" s="41">
        <f>VLOOKUP(B629,'Player Data'!$A1:$AE734,7,FALSE)*$Q629*IFERROR((VLOOKUP(P629,Settings!$E$28:$F$33,2,FALSE)+1),1)</f>
        <v>8.5926671906360088</v>
      </c>
      <c r="T629" s="41">
        <f>VLOOKUP(B629,'Player Data'!$A1:$AE734,8,FALSE)*$Q629*IFERROR((VLOOKUP(P629,Settings!$E$28:$F$33,2,FALSE)+1),1)</f>
        <v>16.221996698083196</v>
      </c>
      <c r="U629" s="41">
        <f>SUM(S629:T629)</f>
        <v>24.814663888719203</v>
      </c>
      <c r="V629" s="41">
        <f>VLOOKUP(B629,'Player Data'!$A1:$AE734,10,FALSE)*$Q629*IFERROR(((VLOOKUP(P629,Settings!$E$28:$F$33,2,FALSE)/2)+1),1)</f>
        <v>80.708047605198047</v>
      </c>
      <c r="W629" s="41">
        <f>VLOOKUP(B629,'Player Data'!$A1:$AE734,11,FALSE)*$Q629*IFERROR((VLOOKUP(P629,Settings!$E$28:$F$33,2,FALSE)+1),1)</f>
        <v>6.7037907756817949E-2</v>
      </c>
      <c r="X629" s="41">
        <f>VLOOKUP(B629,'Player Data'!$A1:$AE734,12,FALSE)*$Q629*IFERROR((VLOOKUP(P629,Settings!$E$28:$F$33,2,FALSE)+1),1)</f>
        <v>0.1385929832700597</v>
      </c>
      <c r="Y629" s="41">
        <f>VLOOKUP(B629,'Player Data'!$A1:$AE734,13,FALSE)*$Q629</f>
        <v>0.13282017063729284</v>
      </c>
      <c r="Z629" s="41">
        <f>VLOOKUP(B629,'Player Data'!$A1:$AE734,14,FALSE)*$Q629</f>
        <v>2.8755417062423279</v>
      </c>
      <c r="AA629" s="41">
        <f>VLOOKUP(B629,'Player Data'!$A1:$AE734,15,FALSE)*$Q629</f>
        <v>33.836786636321349</v>
      </c>
      <c r="AB629" s="41">
        <f>VLOOKUP(B629,'Player Data'!$A1:$AE734,16,FALSE)*$Q629</f>
        <v>105.4185036017261</v>
      </c>
      <c r="AC629" s="41">
        <f>VLOOKUP(B629,'Player Data'!$A1:$AE734,17,FALSE)*$Q629*IFERROR((VLOOKUP(P629,Settings!$E$28:$F$33,2,FALSE)+1),1)</f>
        <v>3.4565998649739758</v>
      </c>
      <c r="AD629" s="41">
        <f>VLOOKUP(B629,'Player Data'!$A1:$AE734,18,FALSE)*$Q629</f>
        <v>42.339587165119674</v>
      </c>
      <c r="AE629" s="41">
        <f>VLOOKUP(B629,'Player Data'!$A1:$AE734,19,FALSE)*$Q629*IFERROR((VLOOKUP(P629,Settings!$E$28:$F$33,2,FALSE)+1),1)</f>
        <v>1.3747658366161004</v>
      </c>
      <c r="AF629" s="41">
        <f>VLOOKUP(B629,'Player Data'!$A1:$AE734,20,FALSE)*$Q629</f>
        <v>89.482932235965492</v>
      </c>
      <c r="AG629" s="41">
        <f>VLOOKUP(B629,'Player Data'!$A1:$AE734,21,FALSE)*$Q629</f>
        <v>90.095377928723565</v>
      </c>
      <c r="AH629" s="42">
        <f>VLOOKUP(B629,'Player Data'!$A1:$AE734,22,FALSE)</f>
        <v>0.49829476707906301</v>
      </c>
      <c r="AI629" s="39"/>
      <c r="AJ629" s="43"/>
      <c r="AK629" s="41"/>
      <c r="AL629" s="41"/>
      <c r="AM629" s="41"/>
      <c r="AN629" s="41"/>
      <c r="AO629" s="41"/>
      <c r="AP629" s="41"/>
      <c r="AQ629" s="44"/>
      <c r="AR629" s="45"/>
      <c r="AS629" s="39"/>
    </row>
    <row r="630" spans="1:45" ht="21.25" customHeight="1" x14ac:dyDescent="0.15">
      <c r="A630" s="31">
        <f>RANK(K630,K$2:K$727)</f>
        <v>629</v>
      </c>
      <c r="B630" s="8" t="s">
        <v>734</v>
      </c>
      <c r="C630" s="32" t="s">
        <v>106</v>
      </c>
      <c r="D630" s="33" t="str">
        <f>VLOOKUP(B630,'Player Data'!A1:D734,4,FALSE)</f>
        <v>LW</v>
      </c>
      <c r="E630" s="47">
        <f>VLOOKUP(B630,LW!A1:C130,3,FALSE)</f>
        <v>113</v>
      </c>
      <c r="F630" s="35" t="str">
        <f>VLOOKUP(B630,'Player Data'!A1:B734,2,FALSE)</f>
        <v>BOS</v>
      </c>
      <c r="G630" s="9">
        <f>VLOOKUP(B630,'Player Data'!A1:D734,3,FALSE)</f>
        <v>35</v>
      </c>
      <c r="H630" s="36">
        <f>IFERROR(VLOOKUP(B630,ADP!A1:G728,7,FALSE)/1000000,VLOOKUP(B630,ADP!A1:G728,7,FALSE))</f>
        <v>1</v>
      </c>
      <c r="I630" s="37">
        <f>IF(Settings!$E$15="POINTS",((R630*Q630)*Settings!$B$12)+(S630*Settings!$B$2)+(T630*Settings!$B$3)+(U630*Settings!$B$4)+(V630*Settings!$B$5)+(X630*Settings!$B$9)+(AA630*Settings!$B$6)+(W630*Settings!$B$8)+(AB630*Settings!$B$7)+(AC630*Settings!$B$14)+(AD630*Settings!$B$15)+(AE630*Settings!$B$16)+(AF630*Settings!$B$17)+(AG630*Settings!$B$18)+(Y630*Settings!$B$10)+(Z630*Settings!$B$11),VLOOKUP(B630,'Standard Deviations'!A1:C728,3,FALSE))</f>
        <v>98.010873527663634</v>
      </c>
      <c r="J630" s="38">
        <f>IF(D630="G",I630/AJ630,I630/Q630)</f>
        <v>1.2078858000143406</v>
      </c>
      <c r="K630" s="37">
        <f>IF(Settings!$E$18="C/LW/RW",VLOOKUP(B630,LW!A1:F130,6,FALSE),VLOOKUP(B630,F!A1:F430,6,FALSE))</f>
        <v>-266.02973132998682</v>
      </c>
      <c r="L630" s="37">
        <f>IFERROR(K630/H630,"N/A")</f>
        <v>-266.02973132998682</v>
      </c>
      <c r="M630" s="53" t="str">
        <f>IF(Settings!$E$9="YAHOO",VLOOKUP(B630,ADP!A1:E728,2,FALSE),IF(Settings!$E$9="ESPN",VLOOKUP(B630,ADP!A1:E728,3,FALSE),IF(Settings!$E$9="FANTRAX",VLOOKUP(B630,ADP!A1:E728,4,FALSE),VLOOKUP(B630,ADP!A1:E728,5,FALSE))))</f>
        <v>-</v>
      </c>
      <c r="N630" s="53" t="str">
        <f>IFERROR(M630-A630,"N/A")</f>
        <v>N/A</v>
      </c>
      <c r="O630" s="39"/>
      <c r="P630" s="40" t="str">
        <f>IF(Settings!$E$27="ON",VLOOKUP(B630,ADP!A1:H728,8,FALSE)," ")</f>
        <v xml:space="preserve"> </v>
      </c>
      <c r="Q630" s="41">
        <f>IF(Settings!$E$12="YES",VLOOKUP(B630,'Player Data'!A1:E734,5,FALSE),82)</f>
        <v>81.142499999999998</v>
      </c>
      <c r="R630" s="39">
        <f>VLOOKUP(B630,'Player Data'!$A1:$AE734,6,FALSE)</f>
        <v>11.1225685322018</v>
      </c>
      <c r="S630" s="41">
        <f>VLOOKUP(B630,'Player Data'!$A1:$AE734,7,FALSE)*$Q630*IFERROR((VLOOKUP(P630,Settings!$E$28:$F$33,2,FALSE)+1),1)</f>
        <v>6.8621253509584577</v>
      </c>
      <c r="T630" s="41">
        <f>VLOOKUP(B630,'Player Data'!$A1:$AE734,8,FALSE)*$Q630*IFERROR((VLOOKUP(P630,Settings!$E$28:$F$33,2,FALSE)+1),1)</f>
        <v>11.017761894931732</v>
      </c>
      <c r="U630" s="41">
        <f>SUM(S630:T630)</f>
        <v>17.879887245890188</v>
      </c>
      <c r="V630" s="41">
        <f>VLOOKUP(B630,'Player Data'!$A1:$AE734,10,FALSE)*$Q630*IFERROR(((VLOOKUP(P630,Settings!$E$28:$F$33,2,FALSE)/2)+1),1)</f>
        <v>80.549799269348</v>
      </c>
      <c r="W630" s="41">
        <f>VLOOKUP(B630,'Player Data'!$A1:$AE734,11,FALSE)*$Q630*IFERROR((VLOOKUP(P630,Settings!$E$28:$F$33,2,FALSE)+1),1)</f>
        <v>6.1801137887399535E-2</v>
      </c>
      <c r="X630" s="41">
        <f>VLOOKUP(B630,'Player Data'!$A1:$AE734,12,FALSE)*$Q630*IFERROR((VLOOKUP(P630,Settings!$E$28:$F$33,2,FALSE)+1),1)</f>
        <v>0.11241041090798959</v>
      </c>
      <c r="Y630" s="41">
        <f>VLOOKUP(B630,'Player Data'!$A1:$AE734,13,FALSE)*$Q630</f>
        <v>2.2371012546317593E-3</v>
      </c>
      <c r="Z630" s="41">
        <f>VLOOKUP(B630,'Player Data'!$A1:$AE734,14,FALSE)*$Q630</f>
        <v>4.275808704866154E-3</v>
      </c>
      <c r="AA630" s="41">
        <f>VLOOKUP(B630,'Player Data'!$A1:$AE734,15,FALSE)*$Q630</f>
        <v>19.314698580466718</v>
      </c>
      <c r="AB630" s="41">
        <f>VLOOKUP(B630,'Player Data'!$A1:$AE734,16,FALSE)*$Q630</f>
        <v>171.20214126868152</v>
      </c>
      <c r="AC630" s="41">
        <f>VLOOKUP(B630,'Player Data'!$A1:$AE734,17,FALSE)*$Q630*IFERROR((VLOOKUP(P630,Settings!$E$28:$F$33,2,FALSE)+1),1)</f>
        <v>0.6017108857711424</v>
      </c>
      <c r="AD630" s="41">
        <f>VLOOKUP(B630,'Player Data'!$A1:$AE734,18,FALSE)*$Q630</f>
        <v>45.209306184985159</v>
      </c>
      <c r="AE630" s="41">
        <f>VLOOKUP(B630,'Player Data'!$A1:$AE734,19,FALSE)*$Q630*IFERROR((VLOOKUP(P630,Settings!$E$28:$F$33,2,FALSE)+1),1)</f>
        <v>1.1520158040507675</v>
      </c>
      <c r="AF630" s="41">
        <f>VLOOKUP(B630,'Player Data'!$A1:$AE734,20,FALSE)*$Q630</f>
        <v>17.353100828736231</v>
      </c>
      <c r="AG630" s="41">
        <f>VLOOKUP(B630,'Player Data'!$A1:$AE734,21,FALSE)*$Q630</f>
        <v>21.248185231946714</v>
      </c>
      <c r="AH630" s="42">
        <f>VLOOKUP(B630,'Player Data'!$A1:$AE734,22,FALSE)</f>
        <v>0.44954721978579598</v>
      </c>
      <c r="AI630" s="39"/>
      <c r="AJ630" s="43"/>
      <c r="AK630" s="41"/>
      <c r="AL630" s="41"/>
      <c r="AM630" s="41"/>
      <c r="AN630" s="41"/>
      <c r="AO630" s="41"/>
      <c r="AP630" s="41"/>
      <c r="AQ630" s="44"/>
      <c r="AR630" s="45"/>
      <c r="AS630" s="39"/>
    </row>
    <row r="631" spans="1:45" ht="21.25" customHeight="1" x14ac:dyDescent="0.15">
      <c r="A631" s="31">
        <f>RANK(K631,K$2:K$727)</f>
        <v>630</v>
      </c>
      <c r="B631" s="8" t="s">
        <v>735</v>
      </c>
      <c r="C631" s="32" t="s">
        <v>106</v>
      </c>
      <c r="D631" s="33" t="str">
        <f>VLOOKUP(B631,'Player Data'!A1:D734,4,FALSE)</f>
        <v>LW</v>
      </c>
      <c r="E631" s="47">
        <f>VLOOKUP(B631,LW!A1:C130,3,FALSE)</f>
        <v>114</v>
      </c>
      <c r="F631" s="35" t="str">
        <f>VLOOKUP(B631,'Player Data'!A1:B734,2,FALSE)</f>
        <v>NJD</v>
      </c>
      <c r="G631" s="9">
        <f>VLOOKUP(B631,'Player Data'!A1:D734,3,FALSE)</f>
        <v>30</v>
      </c>
      <c r="H631" s="36">
        <f>IFERROR(VLOOKUP(B631,ADP!A1:G728,7,FALSE)/1000000,VLOOKUP(B631,ADP!A1:G728,7,FALSE))</f>
        <v>1</v>
      </c>
      <c r="I631" s="37">
        <f>IF(Settings!$E$15="POINTS",((R631*Q631)*Settings!$B$12)+(S631*Settings!$B$2)+(T631*Settings!$B$3)+(U631*Settings!$B$4)+(V631*Settings!$B$5)+(X631*Settings!$B$9)+(AA631*Settings!$B$6)+(W631*Settings!$B$8)+(AB631*Settings!$B$7)+(AC631*Settings!$B$14)+(AD631*Settings!$B$15)+(AE631*Settings!$B$16)+(AF631*Settings!$B$17)+(AG631*Settings!$B$18)+(Y631*Settings!$B$10)+(Z631*Settings!$B$11),VLOOKUP(B631,'Standard Deviations'!A1:C728,3,FALSE))</f>
        <v>97.838981692670572</v>
      </c>
      <c r="J631" s="38">
        <f>IF(D631="G",I631/AJ631,I631/Q631)</f>
        <v>1.3976997384667225</v>
      </c>
      <c r="K631" s="37">
        <f>IF(Settings!$E$18="C/LW/RW",VLOOKUP(B631,LW!A1:F130,6,FALSE),VLOOKUP(B631,F!A1:F430,6,FALSE))</f>
        <v>-266.20162316497988</v>
      </c>
      <c r="L631" s="37">
        <f>IFERROR(K631/H631,"N/A")</f>
        <v>-266.20162316497988</v>
      </c>
      <c r="M631" s="53" t="str">
        <f>IF(Settings!$E$9="YAHOO",VLOOKUP(B631,ADP!A1:E728,2,FALSE),IF(Settings!$E$9="ESPN",VLOOKUP(B631,ADP!A1:E728,3,FALSE),IF(Settings!$E$9="FANTRAX",VLOOKUP(B631,ADP!A1:E728,4,FALSE),VLOOKUP(B631,ADP!A1:E728,5,FALSE))))</f>
        <v>-</v>
      </c>
      <c r="N631" s="53" t="str">
        <f>IFERROR(M631-A631,"N/A")</f>
        <v>N/A</v>
      </c>
      <c r="O631" s="39"/>
      <c r="P631" s="40" t="str">
        <f>IF(Settings!$E$27="ON",VLOOKUP(B631,ADP!A1:H728,8,FALSE)," ")</f>
        <v xml:space="preserve"> </v>
      </c>
      <c r="Q631" s="41">
        <f>IF(Settings!$E$12="YES",VLOOKUP(B631,'Player Data'!A1:E734,5,FALSE),82)</f>
        <v>70</v>
      </c>
      <c r="R631" s="39">
        <f>VLOOKUP(B631,'Player Data'!$A1:$AE734,6,FALSE)</f>
        <v>12.553484848484899</v>
      </c>
      <c r="S631" s="41">
        <f>VLOOKUP(B631,'Player Data'!$A1:$AE734,7,FALSE)*$Q631*IFERROR((VLOOKUP(P631,Settings!$E$28:$F$33,2,FALSE)+1),1)</f>
        <v>5.8263652445132053</v>
      </c>
      <c r="T631" s="41">
        <f>VLOOKUP(B631,'Player Data'!$A1:$AE734,8,FALSE)*$Q631*IFERROR((VLOOKUP(P631,Settings!$E$28:$F$33,2,FALSE)+1),1)</f>
        <v>10.985947173913742</v>
      </c>
      <c r="U631" s="41">
        <f>SUM(S631:T631)</f>
        <v>16.812312418426949</v>
      </c>
      <c r="V631" s="41">
        <f>VLOOKUP(B631,'Player Data'!$A1:$AE734,10,FALSE)*$Q631*IFERROR(((VLOOKUP(P631,Settings!$E$28:$F$33,2,FALSE)/2)+1),1)</f>
        <v>76.905383568726293</v>
      </c>
      <c r="W631" s="41">
        <f>VLOOKUP(B631,'Player Data'!$A1:$AE734,11,FALSE)*$Q631*IFERROR((VLOOKUP(P631,Settings!$E$28:$F$33,2,FALSE)+1),1)</f>
        <v>3.3712878183491918E-2</v>
      </c>
      <c r="X631" s="41">
        <f>VLOOKUP(B631,'Player Data'!$A1:$AE734,12,FALSE)*$Q631*IFERROR((VLOOKUP(P631,Settings!$E$28:$F$33,2,FALSE)+1),1)</f>
        <v>0.10139865208319</v>
      </c>
      <c r="Y631" s="41">
        <f>VLOOKUP(B631,'Player Data'!$A1:$AE734,13,FALSE)*$Q631</f>
        <v>0.62466077097771266</v>
      </c>
      <c r="Z631" s="41">
        <f>VLOOKUP(B631,'Player Data'!$A1:$AE734,14,FALSE)*$Q631</f>
        <v>1.0700732716929431</v>
      </c>
      <c r="AA631" s="41">
        <f>VLOOKUP(B631,'Player Data'!$A1:$AE734,15,FALSE)*$Q631</f>
        <v>33.03204402737169</v>
      </c>
      <c r="AB631" s="41">
        <f>VLOOKUP(B631,'Player Data'!$A1:$AE734,16,FALSE)*$Q631</f>
        <v>79.685876856884192</v>
      </c>
      <c r="AC631" s="41">
        <f>VLOOKUP(B631,'Player Data'!$A1:$AE734,17,FALSE)*$Q631*IFERROR((VLOOKUP(P631,Settings!$E$28:$F$33,2,FALSE)+1),1)</f>
        <v>-0.1950640616102213</v>
      </c>
      <c r="AD631" s="41">
        <f>VLOOKUP(B631,'Player Data'!$A1:$AE734,18,FALSE)*$Q631</f>
        <v>29.701678131200183</v>
      </c>
      <c r="AE631" s="41">
        <f>VLOOKUP(B631,'Player Data'!$A1:$AE734,19,FALSE)*$Q631*IFERROR((VLOOKUP(P631,Settings!$E$28:$F$33,2,FALSE)+1),1)</f>
        <v>0.85758622164856202</v>
      </c>
      <c r="AF631" s="41">
        <f>VLOOKUP(B631,'Player Data'!$A1:$AE734,20,FALSE)*$Q631</f>
        <v>351.40996220202385</v>
      </c>
      <c r="AG631" s="41">
        <f>VLOOKUP(B631,'Player Data'!$A1:$AE734,21,FALSE)*$Q631</f>
        <v>277.5772589896859</v>
      </c>
      <c r="AH631" s="42">
        <f>VLOOKUP(B631,'Player Data'!$A1:$AE734,22,FALSE)</f>
        <v>0.55869173547949902</v>
      </c>
      <c r="AI631" s="39"/>
      <c r="AJ631" s="43"/>
      <c r="AK631" s="41"/>
      <c r="AL631" s="41"/>
      <c r="AM631" s="41"/>
      <c r="AN631" s="41"/>
      <c r="AO631" s="41"/>
      <c r="AP631" s="41"/>
      <c r="AQ631" s="44"/>
      <c r="AR631" s="45"/>
      <c r="AS631" s="39"/>
    </row>
    <row r="632" spans="1:45" ht="21.25" customHeight="1" x14ac:dyDescent="0.15">
      <c r="A632" s="31">
        <f>RANK(K632,K$2:K$727)</f>
        <v>631</v>
      </c>
      <c r="B632" s="8" t="s">
        <v>736</v>
      </c>
      <c r="C632" s="32" t="s">
        <v>106</v>
      </c>
      <c r="D632" s="33" t="str">
        <f>VLOOKUP(B632,'Player Data'!A1:D734,4,FALSE)</f>
        <v>C</v>
      </c>
      <c r="E632" s="34">
        <f>VLOOKUP(B632,'C'!A1:C211,3,FALSE)</f>
        <v>154</v>
      </c>
      <c r="F632" s="35" t="str">
        <f>VLOOKUP(B632,'Player Data'!A1:B734,2,FALSE)</f>
        <v>ANA</v>
      </c>
      <c r="G632" s="9">
        <f>VLOOKUP(B632,'Player Data'!A1:D734,3,FALSE)</f>
        <v>23</v>
      </c>
      <c r="H632" s="36">
        <f>IFERROR(VLOOKUP(B632,ADP!A1:G728,7,FALSE)/1000000,VLOOKUP(B632,ADP!A1:G728,7,FALSE))</f>
        <v>1.8</v>
      </c>
      <c r="I632" s="37">
        <f>IF(Settings!$E$15="POINTS",((R632*Q632)*Settings!$B$12)+(S632*Settings!$B$2)+(T632*Settings!$B$3)+(U632*Settings!$B$4)+(V632*Settings!$B$5)+(X632*Settings!$B$9)+(AA632*Settings!$B$6)+(W632*Settings!$B$8)+(AB632*Settings!$B$7)+(AC632*Settings!$B$14)+(AD632*Settings!$B$15)+(AE632*Settings!$B$16)+(AF632*Settings!$B$17)+(AG632*Settings!$B$18)+(Y632*Settings!$B$10)+(Z632*Settings!$B$11),VLOOKUP(B632,'Standard Deviations'!A1:C728,3,FALSE))</f>
        <v>125.60271597910516</v>
      </c>
      <c r="J632" s="38">
        <f>IF(D632="G",I632/AJ632,I632/Q632)</f>
        <v>1.6563489558157678</v>
      </c>
      <c r="K632" s="37">
        <f>IF(Settings!$E$18="C/LW/RW",VLOOKUP(B632,'C'!A1:F211,6,FALSE),VLOOKUP(B632,F!A1:F430,6,FALSE))</f>
        <v>-267.72608978710451</v>
      </c>
      <c r="L632" s="37">
        <f>IFERROR(K632/H632,"N/A")</f>
        <v>-148.7367165483914</v>
      </c>
      <c r="M632" s="53" t="str">
        <f>IF(Settings!$E$9="YAHOO",VLOOKUP(B632,ADP!A1:E728,2,FALSE),IF(Settings!$E$9="ESPN",VLOOKUP(B632,ADP!A1:E728,3,FALSE),IF(Settings!$E$9="FANTRAX",VLOOKUP(B632,ADP!A1:E728,4,FALSE),VLOOKUP(B632,ADP!A1:E728,5,FALSE))))</f>
        <v>-</v>
      </c>
      <c r="N632" s="53" t="str">
        <f>IFERROR(M632-A632,"N/A")</f>
        <v>N/A</v>
      </c>
      <c r="O632" s="39"/>
      <c r="P632" s="40" t="str">
        <f>IF(Settings!$E$27="ON",VLOOKUP(B632,ADP!A1:H728,8,FALSE)," ")</f>
        <v xml:space="preserve"> </v>
      </c>
      <c r="Q632" s="41">
        <f>IF(Settings!$E$12="YES",VLOOKUP(B632,'Player Data'!A1:E734,5,FALSE),82)</f>
        <v>75.831071428571406</v>
      </c>
      <c r="R632" s="39">
        <f>VLOOKUP(B632,'Player Data'!$A1:$AE734,6,FALSE)</f>
        <v>14.3119135291102</v>
      </c>
      <c r="S632" s="41">
        <f>VLOOKUP(B632,'Player Data'!$A1:$AE734,7,FALSE)*$Q632*IFERROR((VLOOKUP(P632,Settings!$E$28:$F$33,2,FALSE)+1),1)</f>
        <v>10.800543665407972</v>
      </c>
      <c r="T632" s="41">
        <f>VLOOKUP(B632,'Player Data'!$A1:$AE734,8,FALSE)*$Q632*IFERROR((VLOOKUP(P632,Settings!$E$28:$F$33,2,FALSE)+1),1)</f>
        <v>13.201120980324069</v>
      </c>
      <c r="U632" s="41">
        <f>SUM(S632:T632)</f>
        <v>24.001664645732042</v>
      </c>
      <c r="V632" s="41">
        <f>VLOOKUP(B632,'Player Data'!$A1:$AE734,10,FALSE)*$Q632*IFERROR(((VLOOKUP(P632,Settings!$E$28:$F$33,2,FALSE)/2)+1),1)</f>
        <v>80.428639089604033</v>
      </c>
      <c r="W632" s="41">
        <f>VLOOKUP(B632,'Player Data'!$A1:$AE734,11,FALSE)*$Q632*IFERROR((VLOOKUP(P632,Settings!$E$28:$F$33,2,FALSE)+1),1)</f>
        <v>0.16261162266667226</v>
      </c>
      <c r="X632" s="41">
        <f>VLOOKUP(B632,'Player Data'!$A1:$AE734,12,FALSE)*$Q632*IFERROR((VLOOKUP(P632,Settings!$E$28:$F$33,2,FALSE)+1),1)</f>
        <v>0.41227781979931816</v>
      </c>
      <c r="Y632" s="41">
        <f>VLOOKUP(B632,'Player Data'!$A1:$AE734,13,FALSE)*$Q632</f>
        <v>1.2053572758883586</v>
      </c>
      <c r="Z632" s="41">
        <f>VLOOKUP(B632,'Player Data'!$A1:$AE734,14,FALSE)*$Q632</f>
        <v>1.3248348312476506</v>
      </c>
      <c r="AA632" s="41">
        <f>VLOOKUP(B632,'Player Data'!$A1:$AE734,15,FALSE)*$Q632</f>
        <v>49.545885975065389</v>
      </c>
      <c r="AB632" s="41">
        <f>VLOOKUP(B632,'Player Data'!$A1:$AE734,16,FALSE)*$Q632</f>
        <v>40.006965916071266</v>
      </c>
      <c r="AC632" s="41">
        <f>VLOOKUP(B632,'Player Data'!$A1:$AE734,17,FALSE)*$Q632*IFERROR((VLOOKUP(P632,Settings!$E$28:$F$33,2,FALSE)+1),1)</f>
        <v>-8.747797672086465</v>
      </c>
      <c r="AD632" s="41">
        <f>VLOOKUP(B632,'Player Data'!$A1:$AE734,18,FALSE)*$Q632</f>
        <v>12.101917560078631</v>
      </c>
      <c r="AE632" s="41">
        <f>VLOOKUP(B632,'Player Data'!$A1:$AE734,19,FALSE)*$Q632*IFERROR((VLOOKUP(P632,Settings!$E$28:$F$33,2,FALSE)+1),1)</f>
        <v>1.1708808280644405</v>
      </c>
      <c r="AF632" s="41">
        <f>VLOOKUP(B632,'Player Data'!$A1:$AE734,20,FALSE)*$Q632</f>
        <v>344.21836116309004</v>
      </c>
      <c r="AG632" s="41">
        <f>VLOOKUP(B632,'Player Data'!$A1:$AE734,21,FALSE)*$Q632</f>
        <v>401.89424326177959</v>
      </c>
      <c r="AH632" s="42">
        <f>VLOOKUP(B632,'Player Data'!$A1:$AE734,22,FALSE)</f>
        <v>0.46134907669657499</v>
      </c>
      <c r="AI632" s="39"/>
      <c r="AJ632" s="43"/>
      <c r="AK632" s="41"/>
      <c r="AL632" s="41"/>
      <c r="AM632" s="41"/>
      <c r="AN632" s="41"/>
      <c r="AO632" s="41"/>
      <c r="AP632" s="41"/>
      <c r="AQ632" s="44"/>
      <c r="AR632" s="45"/>
      <c r="AS632" s="39"/>
    </row>
    <row r="633" spans="1:45" ht="21.25" customHeight="1" x14ac:dyDescent="0.15">
      <c r="A633" s="31">
        <f>RANK(K633,K$2:K$727)</f>
        <v>632</v>
      </c>
      <c r="B633" s="8" t="s">
        <v>737</v>
      </c>
      <c r="C633" s="32" t="s">
        <v>106</v>
      </c>
      <c r="D633" s="33" t="str">
        <f>VLOOKUP(B633,'Player Data'!A1:D734,4,FALSE)</f>
        <v>C</v>
      </c>
      <c r="E633" s="34">
        <f>VLOOKUP(B633,'C'!A1:C211,3,FALSE)</f>
        <v>155</v>
      </c>
      <c r="F633" s="35" t="str">
        <f>VLOOKUP(B633,'Player Data'!A1:B734,2,FALSE)</f>
        <v>BUF</v>
      </c>
      <c r="G633" s="9">
        <f>VLOOKUP(B633,'Player Data'!A1:D734,3,FALSE)</f>
        <v>25</v>
      </c>
      <c r="H633" s="36">
        <f>IFERROR(VLOOKUP(B633,ADP!A1:G728,7,FALSE)/1000000,VLOOKUP(B633,ADP!A1:G728,7,FALSE))</f>
        <v>2</v>
      </c>
      <c r="I633" s="37">
        <f>IF(Settings!$E$15="POINTS",((R633*Q633)*Settings!$B$12)+(S633*Settings!$B$2)+(T633*Settings!$B$3)+(U633*Settings!$B$4)+(V633*Settings!$B$5)+(X633*Settings!$B$9)+(AA633*Settings!$B$6)+(W633*Settings!$B$8)+(AB633*Settings!$B$7)+(AC633*Settings!$B$14)+(AD633*Settings!$B$15)+(AE633*Settings!$B$16)+(AF633*Settings!$B$17)+(AG633*Settings!$B$18)+(Y633*Settings!$B$10)+(Z633*Settings!$B$11),VLOOKUP(B633,'Standard Deviations'!A1:C728,3,FALSE))</f>
        <v>125.20120564247635</v>
      </c>
      <c r="J633" s="38">
        <f>IF(D633="G",I633/AJ633,I633/Q633)</f>
        <v>1.6010384353257845</v>
      </c>
      <c r="K633" s="37">
        <f>IF(Settings!$E$18="C/LW/RW",VLOOKUP(B633,'C'!A1:F211,6,FALSE),VLOOKUP(B633,F!A1:F430,6,FALSE))</f>
        <v>-268.12760012373332</v>
      </c>
      <c r="L633" s="37">
        <f>IFERROR(K633/H633,"N/A")</f>
        <v>-134.06380006186666</v>
      </c>
      <c r="M633" s="53" t="str">
        <f>IF(Settings!$E$9="YAHOO",VLOOKUP(B633,ADP!A1:E728,2,FALSE),IF(Settings!$E$9="ESPN",VLOOKUP(B633,ADP!A1:E728,3,FALSE),IF(Settings!$E$9="FANTRAX",VLOOKUP(B633,ADP!A1:E728,4,FALSE),VLOOKUP(B633,ADP!A1:E728,5,FALSE))))</f>
        <v>-</v>
      </c>
      <c r="N633" s="53" t="str">
        <f>IFERROR(M633-A633,"N/A")</f>
        <v>N/A</v>
      </c>
      <c r="O633" s="39"/>
      <c r="P633" s="40" t="str">
        <f>IF(Settings!$E$27="ON",VLOOKUP(B633,ADP!A1:H728,8,FALSE)," ")</f>
        <v xml:space="preserve"> </v>
      </c>
      <c r="Q633" s="41">
        <f>IF(Settings!$E$12="YES",VLOOKUP(B633,'Player Data'!A1:E734,5,FALSE),82)</f>
        <v>78.2</v>
      </c>
      <c r="R633" s="39">
        <f>VLOOKUP(B633,'Player Data'!$A1:$AE734,6,FALSE)</f>
        <v>11.7994350472961</v>
      </c>
      <c r="S633" s="41">
        <f>VLOOKUP(B633,'Player Data'!$A1:$AE734,7,FALSE)*$Q633*IFERROR((VLOOKUP(P633,Settings!$E$28:$F$33,2,FALSE)+1),1)</f>
        <v>8.023560896694498</v>
      </c>
      <c r="T633" s="41">
        <f>VLOOKUP(B633,'Player Data'!$A1:$AE734,8,FALSE)*$Q633*IFERROR((VLOOKUP(P633,Settings!$E$28:$F$33,2,FALSE)+1),1)</f>
        <v>14.849474590777332</v>
      </c>
      <c r="U633" s="41">
        <f>SUM(S633:T633)</f>
        <v>22.873035487471832</v>
      </c>
      <c r="V633" s="41">
        <f>VLOOKUP(B633,'Player Data'!$A1:$AE734,10,FALSE)*$Q633*IFERROR(((VLOOKUP(P633,Settings!$E$28:$F$33,2,FALSE)/2)+1),1)</f>
        <v>98.570834337690826</v>
      </c>
      <c r="W633" s="41">
        <f>VLOOKUP(B633,'Player Data'!$A1:$AE734,11,FALSE)*$Q633*IFERROR((VLOOKUP(P633,Settings!$E$28:$F$33,2,FALSE)+1),1)</f>
        <v>4.5015161271526064E-2</v>
      </c>
      <c r="X633" s="41">
        <f>VLOOKUP(B633,'Player Data'!$A1:$AE734,12,FALSE)*$Q633*IFERROR((VLOOKUP(P633,Settings!$E$28:$F$33,2,FALSE)+1),1)</f>
        <v>0.1134043573673278</v>
      </c>
      <c r="Y633" s="41">
        <f>VLOOKUP(B633,'Player Data'!$A1:$AE734,13,FALSE)*$Q633</f>
        <v>6.9495786002681789E-2</v>
      </c>
      <c r="Z633" s="41">
        <f>VLOOKUP(B633,'Player Data'!$A1:$AE734,14,FALSE)*$Q633</f>
        <v>0.31418116056649331</v>
      </c>
      <c r="AA633" s="41">
        <f>VLOOKUP(B633,'Player Data'!$A1:$AE734,15,FALSE)*$Q633</f>
        <v>32.20755487673906</v>
      </c>
      <c r="AB633" s="41">
        <f>VLOOKUP(B633,'Player Data'!$A1:$AE734,16,FALSE)*$Q633</f>
        <v>68.87135298630615</v>
      </c>
      <c r="AC633" s="41">
        <f>VLOOKUP(B633,'Player Data'!$A1:$AE734,17,FALSE)*$Q633*IFERROR((VLOOKUP(P633,Settings!$E$28:$F$33,2,FALSE)+1),1)</f>
        <v>-2.4456531225442038</v>
      </c>
      <c r="AD633" s="41">
        <f>VLOOKUP(B633,'Player Data'!$A1:$AE734,18,FALSE)*$Q633</f>
        <v>29.795143197731093</v>
      </c>
      <c r="AE633" s="41">
        <f>VLOOKUP(B633,'Player Data'!$A1:$AE734,19,FALSE)*$Q633*IFERROR((VLOOKUP(P633,Settings!$E$28:$F$33,2,FALSE)+1),1)</f>
        <v>1.033982836771119</v>
      </c>
      <c r="AF633" s="41">
        <f>VLOOKUP(B633,'Player Data'!$A1:$AE734,20,FALSE)*$Q633</f>
        <v>176.38924951671899</v>
      </c>
      <c r="AG633" s="41">
        <f>VLOOKUP(B633,'Player Data'!$A1:$AE734,21,FALSE)*$Q633</f>
        <v>253.77251841409341</v>
      </c>
      <c r="AH633" s="42">
        <f>VLOOKUP(B633,'Player Data'!$A1:$AE734,22,FALSE)</f>
        <v>0.41005329312550498</v>
      </c>
      <c r="AI633" s="39"/>
      <c r="AJ633" s="43"/>
      <c r="AK633" s="41"/>
      <c r="AL633" s="41"/>
      <c r="AM633" s="41"/>
      <c r="AN633" s="41"/>
      <c r="AO633" s="41"/>
      <c r="AP633" s="41"/>
      <c r="AQ633" s="44"/>
      <c r="AR633" s="45"/>
      <c r="AS633" s="39"/>
    </row>
    <row r="634" spans="1:45" ht="21.25" customHeight="1" x14ac:dyDescent="0.15">
      <c r="A634" s="31">
        <f>RANK(K634,K$2:K$727)</f>
        <v>633</v>
      </c>
      <c r="B634" s="8" t="s">
        <v>738</v>
      </c>
      <c r="C634" s="32" t="s">
        <v>106</v>
      </c>
      <c r="D634" s="33" t="str">
        <f>VLOOKUP(B634,'Player Data'!A1:D734,4,FALSE)</f>
        <v>C</v>
      </c>
      <c r="E634" s="34">
        <f>VLOOKUP(B634,'C'!A1:C211,3,FALSE)</f>
        <v>156</v>
      </c>
      <c r="F634" s="35" t="str">
        <f>VLOOKUP(B634,'Player Data'!A1:B734,2,FALSE)</f>
        <v>WSH</v>
      </c>
      <c r="G634" s="9">
        <f>VLOOKUP(B634,'Player Data'!A1:D734,3,FALSE)</f>
        <v>33</v>
      </c>
      <c r="H634" s="36">
        <f>IFERROR(VLOOKUP(B634,ADP!A1:G728,7,FALSE)/1000000,VLOOKUP(B634,ADP!A1:G728,7,FALSE))</f>
        <v>1.3</v>
      </c>
      <c r="I634" s="37">
        <f>IF(Settings!$E$15="POINTS",((R634*Q634)*Settings!$B$12)+(S634*Settings!$B$2)+(T634*Settings!$B$3)+(U634*Settings!$B$4)+(V634*Settings!$B$5)+(X634*Settings!$B$9)+(AA634*Settings!$B$6)+(W634*Settings!$B$8)+(AB634*Settings!$B$7)+(AC634*Settings!$B$14)+(AD634*Settings!$B$15)+(AE634*Settings!$B$16)+(AF634*Settings!$B$17)+(AG634*Settings!$B$18)+(Y634*Settings!$B$10)+(Z634*Settings!$B$11),VLOOKUP(B634,'Standard Deviations'!A1:C728,3,FALSE))</f>
        <v>124.93271596445747</v>
      </c>
      <c r="J634" s="38">
        <f>IF(D634="G",I634/AJ634,I634/Q634)</f>
        <v>1.6323072476166256</v>
      </c>
      <c r="K634" s="37">
        <f>IF(Settings!$E$18="C/LW/RW",VLOOKUP(B634,'C'!A1:F211,6,FALSE),VLOOKUP(B634,F!A1:F430,6,FALSE))</f>
        <v>-268.39608980175217</v>
      </c>
      <c r="L634" s="37">
        <f>IFERROR(K634/H634,"N/A")</f>
        <v>-206.45853061673242</v>
      </c>
      <c r="M634" s="53" t="str">
        <f>IF(Settings!$E$9="YAHOO",VLOOKUP(B634,ADP!A1:E728,2,FALSE),IF(Settings!$E$9="ESPN",VLOOKUP(B634,ADP!A1:E728,3,FALSE),IF(Settings!$E$9="FANTRAX",VLOOKUP(B634,ADP!A1:E728,4,FALSE),VLOOKUP(B634,ADP!A1:E728,5,FALSE))))</f>
        <v>-</v>
      </c>
      <c r="N634" s="53" t="str">
        <f>IFERROR(M634-A634,"N/A")</f>
        <v>N/A</v>
      </c>
      <c r="O634" s="39"/>
      <c r="P634" s="40" t="str">
        <f>IF(Settings!$E$27="ON",VLOOKUP(B634,ADP!A1:H728,8,FALSE)," ")</f>
        <v xml:space="preserve"> </v>
      </c>
      <c r="Q634" s="41">
        <f>IF(Settings!$E$12="YES",VLOOKUP(B634,'Player Data'!A1:E734,5,FALSE),82)</f>
        <v>76.537499999999994</v>
      </c>
      <c r="R634" s="39">
        <f>VLOOKUP(B634,'Player Data'!$A1:$AE734,6,FALSE)</f>
        <v>13.377314962247899</v>
      </c>
      <c r="S634" s="41">
        <f>VLOOKUP(B634,'Player Data'!$A1:$AE734,7,FALSE)*$Q634*IFERROR((VLOOKUP(P634,Settings!$E$28:$F$33,2,FALSE)+1),1)</f>
        <v>11.092683407569082</v>
      </c>
      <c r="T634" s="41">
        <f>VLOOKUP(B634,'Player Data'!$A1:$AE734,8,FALSE)*$Q634*IFERROR((VLOOKUP(P634,Settings!$E$28:$F$33,2,FALSE)+1),1)</f>
        <v>11.66243340651185</v>
      </c>
      <c r="U634" s="41">
        <f>SUM(S634:T634)</f>
        <v>22.755116814080932</v>
      </c>
      <c r="V634" s="41">
        <f>VLOOKUP(B634,'Player Data'!$A1:$AE734,10,FALSE)*$Q634*IFERROR(((VLOOKUP(P634,Settings!$E$28:$F$33,2,FALSE)/2)+1),1)</f>
        <v>82.91917596936689</v>
      </c>
      <c r="W634" s="41">
        <f>VLOOKUP(B634,'Player Data'!$A1:$AE734,11,FALSE)*$Q634*IFERROR((VLOOKUP(P634,Settings!$E$28:$F$33,2,FALSE)+1),1)</f>
        <v>2.4449881321191518E-2</v>
      </c>
      <c r="X634" s="41">
        <f>VLOOKUP(B634,'Player Data'!$A1:$AE734,12,FALSE)*$Q634*IFERROR((VLOOKUP(P634,Settings!$E$28:$F$33,2,FALSE)+1),1)</f>
        <v>7.6768487741924907E-2</v>
      </c>
      <c r="Y634" s="41">
        <f>VLOOKUP(B634,'Player Data'!$A1:$AE734,13,FALSE)*$Q634</f>
        <v>0.39477361932420574</v>
      </c>
      <c r="Z634" s="41">
        <f>VLOOKUP(B634,'Player Data'!$A1:$AE734,14,FALSE)*$Q634</f>
        <v>1.0411029316468621</v>
      </c>
      <c r="AA634" s="41">
        <f>VLOOKUP(B634,'Player Data'!$A1:$AE734,15,FALSE)*$Q634</f>
        <v>64.860173493768343</v>
      </c>
      <c r="AB634" s="41">
        <f>VLOOKUP(B634,'Player Data'!$A1:$AE734,16,FALSE)*$Q634</f>
        <v>151.88759705045928</v>
      </c>
      <c r="AC634" s="41">
        <f>VLOOKUP(B634,'Player Data'!$A1:$AE734,17,FALSE)*$Q634*IFERROR((VLOOKUP(P634,Settings!$E$28:$F$33,2,FALSE)+1),1)</f>
        <v>-2.2125337773951514</v>
      </c>
      <c r="AD634" s="41">
        <f>VLOOKUP(B634,'Player Data'!$A1:$AE734,18,FALSE)*$Q634</f>
        <v>36.056707105061257</v>
      </c>
      <c r="AE634" s="41">
        <f>VLOOKUP(B634,'Player Data'!$A1:$AE734,19,FALSE)*$Q634*IFERROR((VLOOKUP(P634,Settings!$E$28:$F$33,2,FALSE)+1),1)</f>
        <v>1.3644653583462241</v>
      </c>
      <c r="AF634" s="41">
        <f>VLOOKUP(B634,'Player Data'!$A1:$AE734,20,FALSE)*$Q634</f>
        <v>535.69172253075499</v>
      </c>
      <c r="AG634" s="41">
        <f>VLOOKUP(B634,'Player Data'!$A1:$AE734,21,FALSE)*$Q634</f>
        <v>473.71848350575101</v>
      </c>
      <c r="AH634" s="42">
        <f>VLOOKUP(B634,'Player Data'!$A1:$AE734,22,FALSE)</f>
        <v>0.53069774738475495</v>
      </c>
      <c r="AI634" s="39"/>
      <c r="AJ634" s="43"/>
      <c r="AK634" s="41"/>
      <c r="AL634" s="41"/>
      <c r="AM634" s="41"/>
      <c r="AN634" s="41"/>
      <c r="AO634" s="41"/>
      <c r="AP634" s="41"/>
      <c r="AQ634" s="44"/>
      <c r="AR634" s="45"/>
      <c r="AS634" s="39"/>
    </row>
    <row r="635" spans="1:45" ht="21.25" customHeight="1" x14ac:dyDescent="0.15">
      <c r="A635" s="31">
        <f>RANK(K635,K$2:K$727)</f>
        <v>634</v>
      </c>
      <c r="B635" s="8" t="s">
        <v>739</v>
      </c>
      <c r="C635" s="32" t="s">
        <v>106</v>
      </c>
      <c r="D635" s="33" t="str">
        <f>VLOOKUP(B635,'Player Data'!A1:D734,4,FALSE)</f>
        <v>C</v>
      </c>
      <c r="E635" s="34">
        <f>VLOOKUP(B635,'C'!A1:C211,3,FALSE)</f>
        <v>157</v>
      </c>
      <c r="F635" s="35" t="str">
        <f>VLOOKUP(B635,'Player Data'!A1:B734,2,FALSE)</f>
        <v>CBJ</v>
      </c>
      <c r="G635" s="9">
        <f>VLOOKUP(B635,'Player Data'!A1:D734,3,FALSE)</f>
        <v>30</v>
      </c>
      <c r="H635" s="36">
        <f>IFERROR(VLOOKUP(B635,ADP!A1:G728,7,FALSE)/1000000,VLOOKUP(B635,ADP!A1:G728,7,FALSE))</f>
        <v>2.5</v>
      </c>
      <c r="I635" s="37">
        <f>IF(Settings!$E$15="POINTS",((R635*Q635)*Settings!$B$12)+(S635*Settings!$B$2)+(T635*Settings!$B$3)+(U635*Settings!$B$4)+(V635*Settings!$B$5)+(X635*Settings!$B$9)+(AA635*Settings!$B$6)+(W635*Settings!$B$8)+(AB635*Settings!$B$7)+(AC635*Settings!$B$14)+(AD635*Settings!$B$15)+(AE635*Settings!$B$16)+(AF635*Settings!$B$17)+(AG635*Settings!$B$18)+(Y635*Settings!$B$10)+(Z635*Settings!$B$11),VLOOKUP(B635,'Standard Deviations'!A1:C728,3,FALSE))</f>
        <v>124.27180798551854</v>
      </c>
      <c r="J635" s="38">
        <f>IF(D635="G",I635/AJ635,I635/Q635)</f>
        <v>1.5917560788988745</v>
      </c>
      <c r="K635" s="37">
        <f>IF(Settings!$E$18="C/LW/RW",VLOOKUP(B635,'C'!A1:F211,6,FALSE),VLOOKUP(B635,F!A1:F430,6,FALSE))</f>
        <v>-269.05699778069112</v>
      </c>
      <c r="L635" s="37">
        <f>IFERROR(K635/H635,"N/A")</f>
        <v>-107.62279911227645</v>
      </c>
      <c r="M635" s="53" t="str">
        <f>IF(Settings!$E$9="YAHOO",VLOOKUP(B635,ADP!A1:E728,2,FALSE),IF(Settings!$E$9="ESPN",VLOOKUP(B635,ADP!A1:E728,3,FALSE),IF(Settings!$E$9="FANTRAX",VLOOKUP(B635,ADP!A1:E728,4,FALSE),VLOOKUP(B635,ADP!A1:E728,5,FALSE))))</f>
        <v>-</v>
      </c>
      <c r="N635" s="53" t="str">
        <f>IFERROR(M635-A635,"N/A")</f>
        <v>N/A</v>
      </c>
      <c r="O635" s="39"/>
      <c r="P635" s="40" t="str">
        <f>IF(Settings!$E$27="ON",VLOOKUP(B635,ADP!A1:H728,8,FALSE)," ")</f>
        <v xml:space="preserve"> </v>
      </c>
      <c r="Q635" s="41">
        <f>IF(Settings!$E$12="YES",VLOOKUP(B635,'Player Data'!A1:E734,5,FALSE),82)</f>
        <v>78.072142857142893</v>
      </c>
      <c r="R635" s="39">
        <f>VLOOKUP(B635,'Player Data'!$A1:$AE734,6,FALSE)</f>
        <v>13.590176092618499</v>
      </c>
      <c r="S635" s="41">
        <f>VLOOKUP(B635,'Player Data'!$A1:$AE734,7,FALSE)*$Q635*IFERROR((VLOOKUP(P635,Settings!$E$28:$F$33,2,FALSE)+1),1)</f>
        <v>9.6515837969024059</v>
      </c>
      <c r="T635" s="41">
        <f>VLOOKUP(B635,'Player Data'!$A1:$AE734,8,FALSE)*$Q635*IFERROR((VLOOKUP(P635,Settings!$E$28:$F$33,2,FALSE)+1),1)</f>
        <v>10.667073625607129</v>
      </c>
      <c r="U635" s="41">
        <f>SUM(S635:T635)</f>
        <v>20.318657422509535</v>
      </c>
      <c r="V635" s="41">
        <f>VLOOKUP(B635,'Player Data'!$A1:$AE734,10,FALSE)*$Q635*IFERROR(((VLOOKUP(P635,Settings!$E$28:$F$33,2,FALSE)/2)+1),1)</f>
        <v>104.47497513761371</v>
      </c>
      <c r="W635" s="41">
        <f>VLOOKUP(B635,'Player Data'!$A1:$AE734,11,FALSE)*$Q635*IFERROR((VLOOKUP(P635,Settings!$E$28:$F$33,2,FALSE)+1),1)</f>
        <v>9.0273012284812465E-2</v>
      </c>
      <c r="X635" s="41">
        <f>VLOOKUP(B635,'Player Data'!$A1:$AE734,12,FALSE)*$Q635*IFERROR((VLOOKUP(P635,Settings!$E$28:$F$33,2,FALSE)+1),1)</f>
        <v>0.16057785622326837</v>
      </c>
      <c r="Y635" s="41">
        <f>VLOOKUP(B635,'Player Data'!$A1:$AE734,13,FALSE)*$Q635</f>
        <v>0.56222813788143133</v>
      </c>
      <c r="Z635" s="41">
        <f>VLOOKUP(B635,'Player Data'!$A1:$AE734,14,FALSE)*$Q635</f>
        <v>0.93524264835632598</v>
      </c>
      <c r="AA635" s="41">
        <f>VLOOKUP(B635,'Player Data'!$A1:$AE734,15,FALSE)*$Q635</f>
        <v>44.433535700119407</v>
      </c>
      <c r="AB635" s="41">
        <f>VLOOKUP(B635,'Player Data'!$A1:$AE734,16,FALSE)*$Q635</f>
        <v>177.98297839931755</v>
      </c>
      <c r="AC635" s="41">
        <f>VLOOKUP(B635,'Player Data'!$A1:$AE734,17,FALSE)*$Q635*IFERROR((VLOOKUP(P635,Settings!$E$28:$F$33,2,FALSE)+1),1)</f>
        <v>-6.9018571920881406</v>
      </c>
      <c r="AD635" s="41">
        <f>VLOOKUP(B635,'Player Data'!$A1:$AE734,18,FALSE)*$Q635</f>
        <v>40.531025967748938</v>
      </c>
      <c r="AE635" s="41">
        <f>VLOOKUP(B635,'Player Data'!$A1:$AE734,19,FALSE)*$Q635*IFERROR((VLOOKUP(P635,Settings!$E$28:$F$33,2,FALSE)+1),1)</f>
        <v>1.0342336567999604</v>
      </c>
      <c r="AF635" s="41">
        <f>VLOOKUP(B635,'Player Data'!$A1:$AE734,20,FALSE)*$Q635</f>
        <v>549.18680819944473</v>
      </c>
      <c r="AG635" s="41">
        <f>VLOOKUP(B635,'Player Data'!$A1:$AE734,21,FALSE)*$Q635</f>
        <v>532.22121316824939</v>
      </c>
      <c r="AH635" s="42">
        <f>VLOOKUP(B635,'Player Data'!$A1:$AE734,22,FALSE)</f>
        <v>0.50784421545613201</v>
      </c>
      <c r="AI635" s="39"/>
      <c r="AJ635" s="43"/>
      <c r="AK635" s="41"/>
      <c r="AL635" s="41"/>
      <c r="AM635" s="41"/>
      <c r="AN635" s="41"/>
      <c r="AO635" s="41"/>
      <c r="AP635" s="41"/>
      <c r="AQ635" s="44"/>
      <c r="AR635" s="45"/>
      <c r="AS635" s="39"/>
    </row>
    <row r="636" spans="1:45" ht="21.25" customHeight="1" x14ac:dyDescent="0.15">
      <c r="A636" s="31">
        <f>RANK(K636,K$2:K$727)</f>
        <v>635</v>
      </c>
      <c r="B636" s="8" t="s">
        <v>740</v>
      </c>
      <c r="C636" s="32" t="s">
        <v>106</v>
      </c>
      <c r="D636" s="33" t="str">
        <f>VLOOKUP(B636,'Player Data'!A1:D734,4,FALSE)</f>
        <v>C</v>
      </c>
      <c r="E636" s="34">
        <f>VLOOKUP(B636,'C'!A1:C211,3,FALSE)</f>
        <v>158</v>
      </c>
      <c r="F636" s="35" t="str">
        <f>VLOOKUP(B636,'Player Data'!A1:B734,2,FALSE)</f>
        <v>ARI</v>
      </c>
      <c r="G636" s="9">
        <f>VLOOKUP(B636,'Player Data'!A1:D734,3,FALSE)</f>
        <v>23</v>
      </c>
      <c r="H636" s="36">
        <f>IFERROR(VLOOKUP(B636,ADP!A1:G728,7,FALSE)/1000000,VLOOKUP(B636,ADP!A1:G728,7,FALSE))</f>
        <v>0</v>
      </c>
      <c r="I636" s="37">
        <f>IF(Settings!$E$15="POINTS",((R636*Q636)*Settings!$B$12)+(S636*Settings!$B$2)+(T636*Settings!$B$3)+(U636*Settings!$B$4)+(V636*Settings!$B$5)+(X636*Settings!$B$9)+(AA636*Settings!$B$6)+(W636*Settings!$B$8)+(AB636*Settings!$B$7)+(AC636*Settings!$B$14)+(AD636*Settings!$B$15)+(AE636*Settings!$B$16)+(AF636*Settings!$B$17)+(AG636*Settings!$B$18)+(Y636*Settings!$B$10)+(Z636*Settings!$B$11),VLOOKUP(B636,'Standard Deviations'!A1:C728,3,FALSE))</f>
        <v>124.10794414417873</v>
      </c>
      <c r="J636" s="38">
        <f>IF(D636="G",I636/AJ636,I636/Q636)</f>
        <v>1.6117914823919315</v>
      </c>
      <c r="K636" s="37">
        <f>IF(Settings!$E$18="C/LW/RW",VLOOKUP(B636,'C'!A1:F211,6,FALSE),VLOOKUP(B636,F!A1:F430,6,FALSE))</f>
        <v>-269.22086162203095</v>
      </c>
      <c r="L636" s="52" t="str">
        <f>IFERROR(K636/H636,"N/A")</f>
        <v>N/A</v>
      </c>
      <c r="M636" s="53" t="str">
        <f>IF(Settings!$E$9="YAHOO",VLOOKUP(B636,ADP!A1:E728,2,FALSE),IF(Settings!$E$9="ESPN",VLOOKUP(B636,ADP!A1:E728,3,FALSE),IF(Settings!$E$9="FANTRAX",VLOOKUP(B636,ADP!A1:E728,4,FALSE),VLOOKUP(B636,ADP!A1:E728,5,FALSE))))</f>
        <v>-</v>
      </c>
      <c r="N636" s="53" t="str">
        <f>IFERROR(M636-A636,"N/A")</f>
        <v>N/A</v>
      </c>
      <c r="O636" s="39"/>
      <c r="P636" s="40" t="str">
        <f>IF(Settings!$E$27="ON",VLOOKUP(B636,ADP!A1:H728,8,FALSE)," ")</f>
        <v xml:space="preserve"> </v>
      </c>
      <c r="Q636" s="41">
        <f>IF(Settings!$E$12="YES",VLOOKUP(B636,'Player Data'!A1:E734,5,FALSE),82)</f>
        <v>77</v>
      </c>
      <c r="R636" s="39">
        <f>VLOOKUP(B636,'Player Data'!$A1:$AE734,6,FALSE)</f>
        <v>13.0415059605106</v>
      </c>
      <c r="S636" s="41">
        <f>VLOOKUP(B636,'Player Data'!$A1:$AE734,7,FALSE)*$Q636*IFERROR((VLOOKUP(P636,Settings!$E$28:$F$33,2,FALSE)+1),1)</f>
        <v>11.674555552482746</v>
      </c>
      <c r="T636" s="41">
        <f>VLOOKUP(B636,'Player Data'!$A1:$AE734,8,FALSE)*$Q636*IFERROR((VLOOKUP(P636,Settings!$E$28:$F$33,2,FALSE)+1),1)</f>
        <v>13.021387068465467</v>
      </c>
      <c r="U636" s="41">
        <f>SUM(S636:T636)</f>
        <v>24.695942620948212</v>
      </c>
      <c r="V636" s="41">
        <f>VLOOKUP(B636,'Player Data'!$A1:$AE734,10,FALSE)*$Q636*IFERROR(((VLOOKUP(P636,Settings!$E$28:$F$33,2,FALSE)/2)+1),1)</f>
        <v>79.538127080652231</v>
      </c>
      <c r="W636" s="41">
        <f>VLOOKUP(B636,'Player Data'!$A1:$AE734,11,FALSE)*$Q636*IFERROR((VLOOKUP(P636,Settings!$E$28:$F$33,2,FALSE)+1),1)</f>
        <v>9.977632278676446E-2</v>
      </c>
      <c r="X636" s="41">
        <f>VLOOKUP(B636,'Player Data'!$A1:$AE734,12,FALSE)*$Q636*IFERROR((VLOOKUP(P636,Settings!$E$28:$F$33,2,FALSE)+1),1)</f>
        <v>0.35705610919397496</v>
      </c>
      <c r="Y636" s="41">
        <f>VLOOKUP(B636,'Player Data'!$A1:$AE734,13,FALSE)*$Q636</f>
        <v>0.18224011674817411</v>
      </c>
      <c r="Z636" s="41">
        <f>VLOOKUP(B636,'Player Data'!$A1:$AE734,14,FALSE)*$Q636</f>
        <v>0.31057163870545507</v>
      </c>
      <c r="AA636" s="41">
        <f>VLOOKUP(B636,'Player Data'!$A1:$AE734,15,FALSE)*$Q636</f>
        <v>44.578986226045501</v>
      </c>
      <c r="AB636" s="41">
        <f>VLOOKUP(B636,'Player Data'!$A1:$AE734,16,FALSE)*$Q636</f>
        <v>239.55003645825252</v>
      </c>
      <c r="AC636" s="41">
        <f>VLOOKUP(B636,'Player Data'!$A1:$AE734,17,FALSE)*$Q636*IFERROR((VLOOKUP(P636,Settings!$E$28:$F$33,2,FALSE)+1),1)</f>
        <v>-4.6972543507005655</v>
      </c>
      <c r="AD636" s="41">
        <f>VLOOKUP(B636,'Player Data'!$A1:$AE734,18,FALSE)*$Q636</f>
        <v>45.822868043696744</v>
      </c>
      <c r="AE636" s="41">
        <f>VLOOKUP(B636,'Player Data'!$A1:$AE734,19,FALSE)*$Q636*IFERROR((VLOOKUP(P636,Settings!$E$28:$F$33,2,FALSE)+1),1)</f>
        <v>1.438888922614143</v>
      </c>
      <c r="AF636" s="41">
        <f>VLOOKUP(B636,'Player Data'!$A1:$AE734,20,FALSE)*$Q636</f>
        <v>317.1294517285225</v>
      </c>
      <c r="AG636" s="41">
        <f>VLOOKUP(B636,'Player Data'!$A1:$AE734,21,FALSE)*$Q636</f>
        <v>418.47775892948255</v>
      </c>
      <c r="AH636" s="42">
        <f>VLOOKUP(B636,'Player Data'!$A1:$AE734,22,FALSE)</f>
        <v>0.43111248385513801</v>
      </c>
      <c r="AI636" s="39"/>
      <c r="AJ636" s="43"/>
      <c r="AK636" s="41"/>
      <c r="AL636" s="41"/>
      <c r="AM636" s="41"/>
      <c r="AN636" s="41"/>
      <c r="AO636" s="41"/>
      <c r="AP636" s="41"/>
      <c r="AQ636" s="44"/>
      <c r="AR636" s="45"/>
      <c r="AS636" s="39"/>
    </row>
    <row r="637" spans="1:45" ht="21.25" customHeight="1" x14ac:dyDescent="0.15">
      <c r="A637" s="31">
        <f>RANK(K637,K$2:K$727)</f>
        <v>636</v>
      </c>
      <c r="B637" s="8" t="s">
        <v>741</v>
      </c>
      <c r="C637" s="32" t="s">
        <v>106</v>
      </c>
      <c r="D637" s="33" t="str">
        <f>VLOOKUP(B637,'Player Data'!A1:D734,4,FALSE)</f>
        <v>G</v>
      </c>
      <c r="E637" s="50">
        <f>VLOOKUP(B637,G!A1:D75,3,FALSE)</f>
        <v>54</v>
      </c>
      <c r="F637" s="35" t="str">
        <f>VLOOKUP(B637,'Player Data'!A1:B734,2,FALSE)</f>
        <v>NYI</v>
      </c>
      <c r="G637" s="9">
        <f>VLOOKUP(B637,'Player Data'!A1:D734,3,FALSE)</f>
        <v>35</v>
      </c>
      <c r="H637" s="36">
        <f>IFERROR(VLOOKUP(B637,ADP!A1:G728,7,FALSE)/1000000,VLOOKUP(B637,ADP!A1:G728,7,FALSE))</f>
        <v>2.75</v>
      </c>
      <c r="I637" s="37">
        <f>IF(Settings!$E$15="POINTS",(AJ637*Settings!$B$29)+(AK637*Settings!$B$21)+(AL637*Settings!$B$22)+(AN637*Settings!$B$24)+(AO637*Settings!$B$25)+(AP637*Settings!$B$27)+(AM637*Settings!$B$23),VLOOKUP(B637,'Standard Deviations'!A1:C728,3,FALSE))</f>
        <v>128.8705773403023</v>
      </c>
      <c r="J637" s="38">
        <f>IF(D637="G",I637/AJ637,I637/Q637)</f>
        <v>6.4435288670151154</v>
      </c>
      <c r="K637" s="37">
        <f>VLOOKUP(B637,G!A1:F75,6,FALSE)</f>
        <v>-269.90508474901389</v>
      </c>
      <c r="L637" s="37">
        <f>IFERROR(K637/H637,"N/A")</f>
        <v>-98.147303545095966</v>
      </c>
      <c r="M637" s="53" t="str">
        <f>IF(Settings!$E$9="YAHOO",VLOOKUP(B637,ADP!A1:E728,2,FALSE),IF(Settings!$E$9="ESPN",VLOOKUP(B637,ADP!A1:E728,3,FALSE),IF(Settings!$E$9="FANTRAX",VLOOKUP(B637,ADP!A1:E728,4,FALSE),VLOOKUP(B637,ADP!A1:E728,5,FALSE))))</f>
        <v>-</v>
      </c>
      <c r="N637" s="53" t="str">
        <f>IFERROR(M637-A637,"N/A")</f>
        <v>N/A</v>
      </c>
      <c r="O637" s="39"/>
      <c r="P637" s="40" t="str">
        <f>IF(Settings!$E$27="ON",VLOOKUP(B637,ADP!A1:H728,8,FALSE)," ")</f>
        <v xml:space="preserve"> </v>
      </c>
      <c r="Q637" s="41"/>
      <c r="R637" s="5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2"/>
      <c r="AI637" s="39"/>
      <c r="AJ637" s="43">
        <f>VLOOKUP(B637,'Player Data'!$A1:$AE734,24,FALSE)</f>
        <v>20</v>
      </c>
      <c r="AK637" s="41">
        <f>VLOOKUP(B637,'Player Data'!$A1:$AE734,25,FALSE)*$AJ637*IFERROR((VLOOKUP(P637,Settings!$E$28:$F$33,2,FALSE)+1),1)</f>
        <v>9.2495160173356812</v>
      </c>
      <c r="AL637" s="41">
        <f>AJ637-AK637-AM637</f>
        <v>8.2504839826643188</v>
      </c>
      <c r="AM637" s="41">
        <f>VLOOKUP(B637,'Player Data'!$A1:$AE734,27,FALSE)*$AJ637</f>
        <v>2.5</v>
      </c>
      <c r="AN637" s="41">
        <f>VLOOKUP(B637,'Player Data'!$A1:$AE734,28,FALSE)*AJ637</f>
        <v>0.88422660905353001</v>
      </c>
      <c r="AO637" s="41">
        <f>VLOOKUP(B637,'Player Data'!$A1:$AE734,29,FALSE)*$AJ637*IFERROR((VLOOKUP(P637,Settings!$E$28:$F$33,2,FALSE)/4)+1,1)</f>
        <v>554.60558598434</v>
      </c>
      <c r="AP637" s="41">
        <f>VLOOKUP(B637,'Player Data'!$A1:$AE734,31,FALSE)*$AJ637*(IFERROR(1-(VLOOKUP(P637,Settings!$E$28:$F$33,2,FALSE)/4),1))</f>
        <v>59.316405640660605</v>
      </c>
      <c r="AQ637" s="44">
        <f>1-(AP637/(AO637+AP637))</f>
        <v>0.90338120078797801</v>
      </c>
      <c r="AR637" s="45">
        <f>AP637/AJ637</f>
        <v>2.9658202820330302</v>
      </c>
      <c r="AS637" s="39"/>
    </row>
    <row r="638" spans="1:45" ht="21.25" customHeight="1" x14ac:dyDescent="0.15">
      <c r="A638" s="31">
        <f>RANK(K638,K$2:K$727)</f>
        <v>637</v>
      </c>
      <c r="B638" s="8" t="s">
        <v>742</v>
      </c>
      <c r="C638" s="32" t="s">
        <v>106</v>
      </c>
      <c r="D638" s="33" t="str">
        <f>VLOOKUP(B638,'Player Data'!A1:D734,4,FALSE)</f>
        <v>C</v>
      </c>
      <c r="E638" s="34">
        <f>VLOOKUP(B638,'C'!A1:C211,3,FALSE)</f>
        <v>159</v>
      </c>
      <c r="F638" s="35" t="str">
        <f>VLOOKUP(B638,'Player Data'!A1:B734,2,FALSE)</f>
        <v>BUF</v>
      </c>
      <c r="G638" s="9">
        <f>VLOOKUP(B638,'Player Data'!A1:D734,3,FALSE)</f>
        <v>22</v>
      </c>
      <c r="H638" s="36">
        <f>IFERROR(VLOOKUP(B638,ADP!A1:G728,7,FALSE)/1000000,VLOOKUP(B638,ADP!A1:G728,7,FALSE))</f>
        <v>0.86333300000000002</v>
      </c>
      <c r="I638" s="37">
        <f>IF(Settings!$E$15="POINTS",((R638*Q638)*Settings!$B$12)+(S638*Settings!$B$2)+(T638*Settings!$B$3)+(U638*Settings!$B$4)+(V638*Settings!$B$5)+(X638*Settings!$B$9)+(AA638*Settings!$B$6)+(W638*Settings!$B$8)+(AB638*Settings!$B$7)+(AC638*Settings!$B$14)+(AD638*Settings!$B$15)+(AE638*Settings!$B$16)+(AF638*Settings!$B$17)+(AG638*Settings!$B$18)+(Y638*Settings!$B$10)+(Z638*Settings!$B$11),VLOOKUP(B638,'Standard Deviations'!A1:C728,3,FALSE))</f>
        <v>122.93542004166916</v>
      </c>
      <c r="J638" s="38">
        <f>IF(D638="G",I638/AJ638,I638/Q638)</f>
        <v>1.7673745840671666</v>
      </c>
      <c r="K638" s="37">
        <f>IF(Settings!$E$18="C/LW/RW",VLOOKUP(B638,'C'!A1:F211,6,FALSE),VLOOKUP(B638,F!A1:F430,6,FALSE))</f>
        <v>-270.39338572454051</v>
      </c>
      <c r="L638" s="37">
        <f>IFERROR(K638/H638,"N/A")</f>
        <v>-313.1970928072256</v>
      </c>
      <c r="M638" s="53" t="str">
        <f>IF(Settings!$E$9="YAHOO",VLOOKUP(B638,ADP!A1:E728,2,FALSE),IF(Settings!$E$9="ESPN",VLOOKUP(B638,ADP!A1:E728,3,FALSE),IF(Settings!$E$9="FANTRAX",VLOOKUP(B638,ADP!A1:E728,4,FALSE),VLOOKUP(B638,ADP!A1:E728,5,FALSE))))</f>
        <v>-</v>
      </c>
      <c r="N638" s="53" t="str">
        <f>IFERROR(M638-A638,"N/A")</f>
        <v>N/A</v>
      </c>
      <c r="O638" s="39"/>
      <c r="P638" s="40" t="str">
        <f>IF(Settings!$E$27="ON",VLOOKUP(B638,ADP!A1:H728,8,FALSE)," ")</f>
        <v xml:space="preserve"> </v>
      </c>
      <c r="Q638" s="41">
        <f>IF(Settings!$E$12="YES",VLOOKUP(B638,'Player Data'!A1:E734,5,FALSE),82)</f>
        <v>69.5582142857143</v>
      </c>
      <c r="R638" s="39">
        <f>VLOOKUP(B638,'Player Data'!$A1:$AE734,6,FALSE)</f>
        <v>13.128460192060899</v>
      </c>
      <c r="S638" s="41">
        <f>VLOOKUP(B638,'Player Data'!$A1:$AE734,7,FALSE)*$Q638*IFERROR((VLOOKUP(P638,Settings!$E$28:$F$33,2,FALSE)+1),1)</f>
        <v>9.3231152934549559</v>
      </c>
      <c r="T638" s="41">
        <f>VLOOKUP(B638,'Player Data'!$A1:$AE734,8,FALSE)*$Q638*IFERROR((VLOOKUP(P638,Settings!$E$28:$F$33,2,FALSE)+1),1)</f>
        <v>15.205613403163499</v>
      </c>
      <c r="U638" s="41">
        <f>SUM(S638:T638)</f>
        <v>24.528728696618455</v>
      </c>
      <c r="V638" s="41">
        <f>VLOOKUP(B638,'Player Data'!$A1:$AE734,10,FALSE)*$Q638*IFERROR(((VLOOKUP(P638,Settings!$E$28:$F$33,2,FALSE)/2)+1),1)</f>
        <v>72.604744303928484</v>
      </c>
      <c r="W638" s="41">
        <f>VLOOKUP(B638,'Player Data'!$A1:$AE734,11,FALSE)*$Q638*IFERROR((VLOOKUP(P638,Settings!$E$28:$F$33,2,FALSE)+1),1)</f>
        <v>0.70774449863648958</v>
      </c>
      <c r="X638" s="41">
        <f>VLOOKUP(B638,'Player Data'!$A1:$AE734,12,FALSE)*$Q638*IFERROR((VLOOKUP(P638,Settings!$E$28:$F$33,2,FALSE)+1),1)</f>
        <v>3.9726378241839417</v>
      </c>
      <c r="Y638" s="41">
        <f>VLOOKUP(B638,'Player Data'!$A1:$AE734,13,FALSE)*$Q638</f>
        <v>0.62386190522900098</v>
      </c>
      <c r="Z638" s="41">
        <f>VLOOKUP(B638,'Player Data'!$A1:$AE734,14,FALSE)*$Q638</f>
        <v>0.70805533736553794</v>
      </c>
      <c r="AA638" s="41">
        <f>VLOOKUP(B638,'Player Data'!$A1:$AE734,15,FALSE)*$Q638</f>
        <v>18.427377383752901</v>
      </c>
      <c r="AB638" s="41">
        <f>VLOOKUP(B638,'Player Data'!$A1:$AE734,16,FALSE)*$Q638</f>
        <v>74.027781322383106</v>
      </c>
      <c r="AC638" s="41">
        <f>VLOOKUP(B638,'Player Data'!$A1:$AE734,17,FALSE)*$Q638*IFERROR((VLOOKUP(P638,Settings!$E$28:$F$33,2,FALSE)+1),1)</f>
        <v>-3.3563430944948438</v>
      </c>
      <c r="AD638" s="41">
        <f>VLOOKUP(B638,'Player Data'!$A1:$AE734,18,FALSE)*$Q638</f>
        <v>33.089176620295774</v>
      </c>
      <c r="AE638" s="41">
        <f>VLOOKUP(B638,'Player Data'!$A1:$AE734,19,FALSE)*$Q638*IFERROR((VLOOKUP(P638,Settings!$E$28:$F$33,2,FALSE)+1),1)</f>
        <v>1.2014542324520958</v>
      </c>
      <c r="AF638" s="41">
        <f>VLOOKUP(B638,'Player Data'!$A1:$AE734,20,FALSE)*$Q638</f>
        <v>187.04085361275813</v>
      </c>
      <c r="AG638" s="41">
        <f>VLOOKUP(B638,'Player Data'!$A1:$AE734,21,FALSE)*$Q638</f>
        <v>262.90633608803944</v>
      </c>
      <c r="AH638" s="42">
        <f>VLOOKUP(B638,'Player Data'!$A1:$AE734,22,FALSE)</f>
        <v>0.41569512577050499</v>
      </c>
      <c r="AI638" s="39"/>
      <c r="AJ638" s="43"/>
      <c r="AK638" s="41"/>
      <c r="AL638" s="41"/>
      <c r="AM638" s="41"/>
      <c r="AN638" s="41"/>
      <c r="AO638" s="41"/>
      <c r="AP638" s="41"/>
      <c r="AQ638" s="44"/>
      <c r="AR638" s="45"/>
      <c r="AS638" s="39"/>
    </row>
    <row r="639" spans="1:45" ht="21.25" customHeight="1" x14ac:dyDescent="0.15">
      <c r="A639" s="31">
        <f>RANK(K639,K$2:K$727)</f>
        <v>638</v>
      </c>
      <c r="B639" s="8" t="s">
        <v>743</v>
      </c>
      <c r="C639" s="32" t="s">
        <v>106</v>
      </c>
      <c r="D639" s="33" t="str">
        <f>VLOOKUP(B639,'Player Data'!A1:D734,4,FALSE)</f>
        <v>C</v>
      </c>
      <c r="E639" s="34">
        <f>VLOOKUP(B639,'C'!A1:C211,3,FALSE)</f>
        <v>160</v>
      </c>
      <c r="F639" s="35" t="str">
        <f>VLOOKUP(B639,'Player Data'!A1:B734,2,FALSE)</f>
        <v>NJD</v>
      </c>
      <c r="G639" s="9">
        <f>VLOOKUP(B639,'Player Data'!A1:D734,3,FALSE)</f>
        <v>25</v>
      </c>
      <c r="H639" s="36">
        <f>IFERROR(VLOOKUP(B639,ADP!A1:G728,7,FALSE)/1000000,VLOOKUP(B639,ADP!A1:G728,7,FALSE))</f>
        <v>1.4</v>
      </c>
      <c r="I639" s="37">
        <f>IF(Settings!$E$15="POINTS",((R639*Q639)*Settings!$B$12)+(S639*Settings!$B$2)+(T639*Settings!$B$3)+(U639*Settings!$B$4)+(V639*Settings!$B$5)+(X639*Settings!$B$9)+(AA639*Settings!$B$6)+(W639*Settings!$B$8)+(AB639*Settings!$B$7)+(AC639*Settings!$B$14)+(AD639*Settings!$B$15)+(AE639*Settings!$B$16)+(AF639*Settings!$B$17)+(AG639*Settings!$B$18)+(Y639*Settings!$B$10)+(Z639*Settings!$B$11),VLOOKUP(B639,'Standard Deviations'!A1:C728,3,FALSE))</f>
        <v>121.92884704196358</v>
      </c>
      <c r="J639" s="38">
        <f>IF(D639="G",I639/AJ639,I639/Q639)</f>
        <v>1.5631903466918406</v>
      </c>
      <c r="K639" s="37">
        <f>IF(Settings!$E$18="C/LW/RW",VLOOKUP(B639,'C'!A1:F211,6,FALSE),VLOOKUP(B639,F!A1:F430,6,FALSE))</f>
        <v>-271.39995872424606</v>
      </c>
      <c r="L639" s="37">
        <f>IFERROR(K639/H639,"N/A")</f>
        <v>-193.85711337446148</v>
      </c>
      <c r="M639" s="53" t="str">
        <f>IF(Settings!$E$9="YAHOO",VLOOKUP(B639,ADP!A1:E728,2,FALSE),IF(Settings!$E$9="ESPN",VLOOKUP(B639,ADP!A1:E728,3,FALSE),IF(Settings!$E$9="FANTRAX",VLOOKUP(B639,ADP!A1:E728,4,FALSE),VLOOKUP(B639,ADP!A1:E728,5,FALSE))))</f>
        <v>-</v>
      </c>
      <c r="N639" s="53" t="str">
        <f>IFERROR(M639-A639,"N/A")</f>
        <v>N/A</v>
      </c>
      <c r="O639" s="39"/>
      <c r="P639" s="40" t="str">
        <f>IF(Settings!$E$27="ON",VLOOKUP(B639,ADP!A1:H728,8,FALSE)," ")</f>
        <v xml:space="preserve"> </v>
      </c>
      <c r="Q639" s="41">
        <f>IF(Settings!$E$12="YES",VLOOKUP(B639,'Player Data'!A1:E734,5,FALSE),82)</f>
        <v>78</v>
      </c>
      <c r="R639" s="39">
        <f>VLOOKUP(B639,'Player Data'!$A1:$AE734,6,FALSE)</f>
        <v>12.2412363922256</v>
      </c>
      <c r="S639" s="41">
        <f>VLOOKUP(B639,'Player Data'!$A1:$AE734,7,FALSE)*$Q639*IFERROR((VLOOKUP(P639,Settings!$E$28:$F$33,2,FALSE)+1),1)</f>
        <v>6.3532181812219459</v>
      </c>
      <c r="T639" s="41">
        <f>VLOOKUP(B639,'Player Data'!$A1:$AE734,8,FALSE)*$Q639*IFERROR((VLOOKUP(P639,Settings!$E$28:$F$33,2,FALSE)+1),1)</f>
        <v>16.739436147165186</v>
      </c>
      <c r="U639" s="41">
        <f>SUM(S639:T639)</f>
        <v>23.092654328387134</v>
      </c>
      <c r="V639" s="41">
        <f>VLOOKUP(B639,'Player Data'!$A1:$AE734,10,FALSE)*$Q639*IFERROR(((VLOOKUP(P639,Settings!$E$28:$F$33,2,FALSE)/2)+1),1)</f>
        <v>84.531746619780719</v>
      </c>
      <c r="W639" s="41">
        <f>VLOOKUP(B639,'Player Data'!$A1:$AE734,11,FALSE)*$Q639*IFERROR((VLOOKUP(P639,Settings!$E$28:$F$33,2,FALSE)+1),1)</f>
        <v>5.0760938981009085E-2</v>
      </c>
      <c r="X639" s="41">
        <f>VLOOKUP(B639,'Player Data'!$A1:$AE734,12,FALSE)*$Q639*IFERROR((VLOOKUP(P639,Settings!$E$28:$F$33,2,FALSE)+1),1)</f>
        <v>0.12668279916232669</v>
      </c>
      <c r="Y639" s="41">
        <f>VLOOKUP(B639,'Player Data'!$A1:$AE734,13,FALSE)*$Q639</f>
        <v>8.6598633378867473E-2</v>
      </c>
      <c r="Z639" s="41">
        <f>VLOOKUP(B639,'Player Data'!$A1:$AE734,14,FALSE)*$Q639</f>
        <v>0.79315934393434451</v>
      </c>
      <c r="AA639" s="41">
        <f>VLOOKUP(B639,'Player Data'!$A1:$AE734,15,FALSE)*$Q639</f>
        <v>42.726632303592432</v>
      </c>
      <c r="AB639" s="41">
        <f>VLOOKUP(B639,'Player Data'!$A1:$AE734,16,FALSE)*$Q639</f>
        <v>128.71056029310961</v>
      </c>
      <c r="AC639" s="41">
        <f>VLOOKUP(B639,'Player Data'!$A1:$AE734,17,FALSE)*$Q639*IFERROR((VLOOKUP(P639,Settings!$E$28:$F$33,2,FALSE)+1),1)</f>
        <v>-0.61515804082034797</v>
      </c>
      <c r="AD639" s="41">
        <f>VLOOKUP(B639,'Player Data'!$A1:$AE734,18,FALSE)*$Q639</f>
        <v>38.630140854176588</v>
      </c>
      <c r="AE639" s="41">
        <f>VLOOKUP(B639,'Player Data'!$A1:$AE734,19,FALSE)*$Q639*IFERROR((VLOOKUP(P639,Settings!$E$28:$F$33,2,FALSE)+1),1)</f>
        <v>0.93513402381938759</v>
      </c>
      <c r="AF639" s="41">
        <f>VLOOKUP(B639,'Player Data'!$A1:$AE734,20,FALSE)*$Q639</f>
        <v>540.66906983371848</v>
      </c>
      <c r="AG639" s="41">
        <f>VLOOKUP(B639,'Player Data'!$A1:$AE734,21,FALSE)*$Q639</f>
        <v>397.22534261144671</v>
      </c>
      <c r="AH639" s="42">
        <f>VLOOKUP(B639,'Player Data'!$A1:$AE734,22,FALSE)</f>
        <v>0.57647114926737997</v>
      </c>
      <c r="AI639" s="39"/>
      <c r="AJ639" s="43"/>
      <c r="AK639" s="41"/>
      <c r="AL639" s="41"/>
      <c r="AM639" s="41"/>
      <c r="AN639" s="41"/>
      <c r="AO639" s="41"/>
      <c r="AP639" s="41"/>
      <c r="AQ639" s="44"/>
      <c r="AR639" s="45"/>
      <c r="AS639" s="39"/>
    </row>
    <row r="640" spans="1:45" ht="21.25" customHeight="1" x14ac:dyDescent="0.15">
      <c r="A640" s="31">
        <f>RANK(K640,K$2:K$727)</f>
        <v>639</v>
      </c>
      <c r="B640" s="8" t="s">
        <v>744</v>
      </c>
      <c r="C640" s="32" t="s">
        <v>106</v>
      </c>
      <c r="D640" s="33" t="str">
        <f>VLOOKUP(B640,'Player Data'!A1:D734,4,FALSE)</f>
        <v>RW</v>
      </c>
      <c r="E640" s="46">
        <f>VLOOKUP(B640,RW!A1:F97,3,FALSE)</f>
        <v>89</v>
      </c>
      <c r="F640" s="35" t="str">
        <f>VLOOKUP(B640,'Player Data'!A1:B734,2,FALSE)</f>
        <v>NSH</v>
      </c>
      <c r="G640" s="9">
        <f>VLOOKUP(B640,'Player Data'!A1:D734,3,FALSE)</f>
        <v>28</v>
      </c>
      <c r="H640" s="36">
        <f>IFERROR(VLOOKUP(B640,ADP!A1:G728,7,FALSE)/1000000,VLOOKUP(B640,ADP!A1:G728,7,FALSE))</f>
        <v>0.77500000000000002</v>
      </c>
      <c r="I640" s="37">
        <f>IF(Settings!$E$15="POINTS",((R640*Q640)*Settings!$B$12)+(S640*Settings!$B$2)+(T640*Settings!$B$3)+(U640*Settings!$B$4)+(V640*Settings!$B$5)+(X640*Settings!$B$9)+(AA640*Settings!$B$6)+(W640*Settings!$B$8)+(AB640*Settings!$B$7)+(AC640*Settings!$B$14)+(AD640*Settings!$B$15)+(AE640*Settings!$B$16)+(AF640*Settings!$B$17)+(AG640*Settings!$B$18)+(Y640*Settings!$B$10)+(Z640*Settings!$B$11),VLOOKUP(B640,'Standard Deviations'!A1:C728,3,FALSE))</f>
        <v>78.457324099788991</v>
      </c>
      <c r="J640" s="38">
        <f>IF(D640="G",I640/AJ640,I640/Q640)</f>
        <v>1.2742562745689319</v>
      </c>
      <c r="K640" s="37">
        <f>IF(Settings!$E$18="C/LW/RW",VLOOKUP(B640,RW!A1:F97,6,FALSE),VLOOKUP(B640,F!A1:F430,6,FALSE))</f>
        <v>-271.81421644810058</v>
      </c>
      <c r="L640" s="37">
        <f>IFERROR(K640/H640,"N/A")</f>
        <v>-350.7280212233556</v>
      </c>
      <c r="M640" s="53" t="str">
        <f>IF(Settings!$E$9="YAHOO",VLOOKUP(B640,ADP!A1:E728,2,FALSE),IF(Settings!$E$9="ESPN",VLOOKUP(B640,ADP!A1:E728,3,FALSE),IF(Settings!$E$9="FANTRAX",VLOOKUP(B640,ADP!A1:E728,4,FALSE),VLOOKUP(B640,ADP!A1:E728,5,FALSE))))</f>
        <v>-</v>
      </c>
      <c r="N640" s="53" t="str">
        <f>IFERROR(M640-A640,"N/A")</f>
        <v>N/A</v>
      </c>
      <c r="O640" s="39"/>
      <c r="P640" s="40" t="str">
        <f>IF(Settings!$E$27="ON",VLOOKUP(B640,ADP!A1:H728,8,FALSE)," ")</f>
        <v xml:space="preserve"> </v>
      </c>
      <c r="Q640" s="41">
        <f>IF(Settings!$E$12="YES",VLOOKUP(B640,'Player Data'!A1:E734,5,FALSE),82)</f>
        <v>61.5710714285714</v>
      </c>
      <c r="R640" s="39">
        <f>VLOOKUP(B640,'Player Data'!$A1:$AE734,6,FALSE)</f>
        <v>10.2932065625</v>
      </c>
      <c r="S640" s="41">
        <f>VLOOKUP(B640,'Player Data'!$A1:$AE734,7,FALSE)*$Q640*IFERROR((VLOOKUP(P640,Settings!$E$28:$F$33,2,FALSE)+1),1)</f>
        <v>5.6647567635358334</v>
      </c>
      <c r="T640" s="41">
        <f>VLOOKUP(B640,'Player Data'!$A1:$AE734,8,FALSE)*$Q640*IFERROR((VLOOKUP(P640,Settings!$E$28:$F$33,2,FALSE)+1),1)</f>
        <v>6.0669008306851753</v>
      </c>
      <c r="U640" s="41">
        <f>SUM(S640:T640)</f>
        <v>11.731657594221009</v>
      </c>
      <c r="V640" s="41">
        <f>VLOOKUP(B640,'Player Data'!$A1:$AE734,10,FALSE)*$Q640*IFERROR(((VLOOKUP(P640,Settings!$E$28:$F$33,2,FALSE)/2)+1),1)</f>
        <v>67.823920003211029</v>
      </c>
      <c r="W640" s="41">
        <f>VLOOKUP(B640,'Player Data'!$A1:$AE734,11,FALSE)*$Q640*IFERROR((VLOOKUP(P640,Settings!$E$28:$F$33,2,FALSE)+1),1)</f>
        <v>4.6422148461756178E-2</v>
      </c>
      <c r="X640" s="41">
        <f>VLOOKUP(B640,'Player Data'!$A1:$AE734,12,FALSE)*$Q640*IFERROR((VLOOKUP(P640,Settings!$E$28:$F$33,2,FALSE)+1),1)</f>
        <v>0.14628552367838735</v>
      </c>
      <c r="Y640" s="41">
        <f>VLOOKUP(B640,'Player Data'!$A1:$AE734,13,FALSE)*$Q640</f>
        <v>0.46354620382280842</v>
      </c>
      <c r="Z640" s="41">
        <f>VLOOKUP(B640,'Player Data'!$A1:$AE734,14,FALSE)*$Q640</f>
        <v>1.1776717548135158</v>
      </c>
      <c r="AA640" s="41">
        <f>VLOOKUP(B640,'Player Data'!$A1:$AE734,15,FALSE)*$Q640</f>
        <v>33.512383792683202</v>
      </c>
      <c r="AB640" s="41">
        <f>VLOOKUP(B640,'Player Data'!$A1:$AE734,16,FALSE)*$Q640</f>
        <v>125.30531914299638</v>
      </c>
      <c r="AC640" s="41">
        <f>VLOOKUP(B640,'Player Data'!$A1:$AE734,17,FALSE)*$Q640*IFERROR((VLOOKUP(P640,Settings!$E$28:$F$33,2,FALSE)+1),1)</f>
        <v>-0.69290330945667022</v>
      </c>
      <c r="AD640" s="41">
        <f>VLOOKUP(B640,'Player Data'!$A1:$AE734,18,FALSE)*$Q640</f>
        <v>40.983147633698337</v>
      </c>
      <c r="AE640" s="41">
        <f>VLOOKUP(B640,'Player Data'!$A1:$AE734,19,FALSE)*$Q640*IFERROR((VLOOKUP(P640,Settings!$E$28:$F$33,2,FALSE)+1),1)</f>
        <v>0.8272026439625767</v>
      </c>
      <c r="AF640" s="41">
        <f>VLOOKUP(B640,'Player Data'!$A1:$AE734,20,FALSE)*$Q640</f>
        <v>144.71654672952349</v>
      </c>
      <c r="AG640" s="41">
        <f>VLOOKUP(B640,'Player Data'!$A1:$AE734,21,FALSE)*$Q640</f>
        <v>113.85404967559904</v>
      </c>
      <c r="AH640" s="42">
        <f>VLOOKUP(B640,'Player Data'!$A1:$AE734,22,FALSE)</f>
        <v>0.55967905377293903</v>
      </c>
      <c r="AI640" s="39"/>
      <c r="AJ640" s="43"/>
      <c r="AK640" s="41"/>
      <c r="AL640" s="41"/>
      <c r="AM640" s="41"/>
      <c r="AN640" s="41"/>
      <c r="AO640" s="41"/>
      <c r="AP640" s="41"/>
      <c r="AQ640" s="44"/>
      <c r="AR640" s="45"/>
      <c r="AS640" s="39"/>
    </row>
    <row r="641" spans="1:45" ht="21.25" customHeight="1" x14ac:dyDescent="0.15">
      <c r="A641" s="31">
        <f>RANK(K641,K$2:K$727)</f>
        <v>640</v>
      </c>
      <c r="B641" s="8" t="s">
        <v>745</v>
      </c>
      <c r="C641" s="32" t="s">
        <v>106</v>
      </c>
      <c r="D641" s="33" t="str">
        <f>VLOOKUP(B641,'Player Data'!A1:D734,4,FALSE)</f>
        <v>C</v>
      </c>
      <c r="E641" s="34">
        <f>VLOOKUP(B641,'C'!A1:C211,3,FALSE)</f>
        <v>161</v>
      </c>
      <c r="F641" s="35" t="str">
        <f>VLOOKUP(B641,'Player Data'!A1:B734,2,FALSE)</f>
        <v>PIT</v>
      </c>
      <c r="G641" s="9">
        <f>VLOOKUP(B641,'Player Data'!A1:D734,3,FALSE)</f>
        <v>31</v>
      </c>
      <c r="H641" s="36">
        <f>IFERROR(VLOOKUP(B641,ADP!A1:G728,7,FALSE)/1000000,VLOOKUP(B641,ADP!A1:G728,7,FALSE))</f>
        <v>1.9370000000000001</v>
      </c>
      <c r="I641" s="37">
        <f>IF(Settings!$E$15="POINTS",((R641*Q641)*Settings!$B$12)+(S641*Settings!$B$2)+(T641*Settings!$B$3)+(U641*Settings!$B$4)+(V641*Settings!$B$5)+(X641*Settings!$B$9)+(AA641*Settings!$B$6)+(W641*Settings!$B$8)+(AB641*Settings!$B$7)+(AC641*Settings!$B$14)+(AD641*Settings!$B$15)+(AE641*Settings!$B$16)+(AF641*Settings!$B$17)+(AG641*Settings!$B$18)+(Y641*Settings!$B$10)+(Z641*Settings!$B$11),VLOOKUP(B641,'Standard Deviations'!A1:C728,3,FALSE))</f>
        <v>121.11456459877066</v>
      </c>
      <c r="J641" s="38">
        <f>IF(D641="G",I641/AJ641,I641/Q641)</f>
        <v>1.7198625658744491</v>
      </c>
      <c r="K641" s="37">
        <f>IF(Settings!$E$18="C/LW/RW",VLOOKUP(B641,'C'!A1:F211,6,FALSE),VLOOKUP(B641,F!A1:F430,6,FALSE))</f>
        <v>-272.21424116743901</v>
      </c>
      <c r="L641" s="37">
        <f>IFERROR(K641/H641,"N/A")</f>
        <v>-140.53393968375786</v>
      </c>
      <c r="M641" s="39">
        <f>IF(Settings!$E$9="YAHOO",VLOOKUP(B641,ADP!A1:E728,2,FALSE),IF(Settings!$E$9="ESPN",VLOOKUP(B641,ADP!A1:E728,3,FALSE),IF(Settings!$E$9="FANTRAX",VLOOKUP(B641,ADP!A1:E728,4,FALSE),VLOOKUP(B641,ADP!A1:E728,5,FALSE))))</f>
        <v>150</v>
      </c>
      <c r="N641" s="39">
        <f>IFERROR(M641-A641,"N/A")</f>
        <v>-490</v>
      </c>
      <c r="O641" s="39"/>
      <c r="P641" s="40" t="str">
        <f>IF(Settings!$E$27="ON",VLOOKUP(B641,ADP!A1:H728,8,FALSE)," ")</f>
        <v xml:space="preserve"> </v>
      </c>
      <c r="Q641" s="41">
        <f>IF(Settings!$E$12="YES",VLOOKUP(B641,'Player Data'!A1:E734,5,FALSE),82)</f>
        <v>70.421071428571395</v>
      </c>
      <c r="R641" s="39">
        <f>VLOOKUP(B641,'Player Data'!$A1:$AE734,6,FALSE)</f>
        <v>13.708700866103401</v>
      </c>
      <c r="S641" s="41">
        <f>VLOOKUP(B641,'Player Data'!$A1:$AE734,7,FALSE)*$Q641*IFERROR((VLOOKUP(P641,Settings!$E$28:$F$33,2,FALSE)+1),1)</f>
        <v>9.6904727746335251</v>
      </c>
      <c r="T641" s="41">
        <f>VLOOKUP(B641,'Player Data'!$A1:$AE734,8,FALSE)*$Q641*IFERROR((VLOOKUP(P641,Settings!$E$28:$F$33,2,FALSE)+1),1)</f>
        <v>9.7835589766002489</v>
      </c>
      <c r="U641" s="41">
        <f>SUM(S641:T641)</f>
        <v>19.474031751233774</v>
      </c>
      <c r="V641" s="41">
        <f>VLOOKUP(B641,'Player Data'!$A1:$AE734,10,FALSE)*$Q641*IFERROR(((VLOOKUP(P641,Settings!$E$28:$F$33,2,FALSE)/2)+1),1)</f>
        <v>90.833549196390351</v>
      </c>
      <c r="W641" s="41">
        <f>VLOOKUP(B641,'Player Data'!$A1:$AE734,11,FALSE)*$Q641*IFERROR((VLOOKUP(P641,Settings!$E$28:$F$33,2,FALSE)+1),1)</f>
        <v>5.9051663122040285E-2</v>
      </c>
      <c r="X641" s="41">
        <f>VLOOKUP(B641,'Player Data'!$A1:$AE734,12,FALSE)*$Q641*IFERROR((VLOOKUP(P641,Settings!$E$28:$F$33,2,FALSE)+1),1)</f>
        <v>0.14231613685254776</v>
      </c>
      <c r="Y641" s="41">
        <f>VLOOKUP(B641,'Player Data'!$A1:$AE734,13,FALSE)*$Q641</f>
        <v>9.551751782888078E-2</v>
      </c>
      <c r="Z641" s="41">
        <f>VLOOKUP(B641,'Player Data'!$A1:$AE734,14,FALSE)*$Q641</f>
        <v>1.7017830709360888</v>
      </c>
      <c r="AA641" s="41">
        <f>VLOOKUP(B641,'Player Data'!$A1:$AE734,15,FALSE)*$Q641</f>
        <v>67.93748165648438</v>
      </c>
      <c r="AB641" s="41">
        <f>VLOOKUP(B641,'Player Data'!$A1:$AE734,16,FALSE)*$Q641</f>
        <v>186.64667260387384</v>
      </c>
      <c r="AC641" s="41">
        <f>VLOOKUP(B641,'Player Data'!$A1:$AE734,17,FALSE)*$Q641*IFERROR((VLOOKUP(P641,Settings!$E$28:$F$33,2,FALSE)+1),1)</f>
        <v>1.0339395321868436</v>
      </c>
      <c r="AD641" s="41">
        <f>VLOOKUP(B641,'Player Data'!$A1:$AE734,18,FALSE)*$Q641</f>
        <v>21.172261898294614</v>
      </c>
      <c r="AE641" s="41">
        <f>VLOOKUP(B641,'Player Data'!$A1:$AE734,19,FALSE)*$Q641*IFERROR((VLOOKUP(P641,Settings!$E$28:$F$33,2,FALSE)+1),1)</f>
        <v>1.542232568375677</v>
      </c>
      <c r="AF641" s="41">
        <f>VLOOKUP(B641,'Player Data'!$A1:$AE734,20,FALSE)*$Q641</f>
        <v>307.04758566677953</v>
      </c>
      <c r="AG641" s="41">
        <f>VLOOKUP(B641,'Player Data'!$A1:$AE734,21,FALSE)*$Q641</f>
        <v>270.83492160376557</v>
      </c>
      <c r="AH641" s="42">
        <f>VLOOKUP(B641,'Player Data'!$A1:$AE734,22,FALSE)</f>
        <v>0.53133220300615602</v>
      </c>
      <c r="AI641" s="39"/>
      <c r="AJ641" s="43"/>
      <c r="AK641" s="41"/>
      <c r="AL641" s="41"/>
      <c r="AM641" s="41"/>
      <c r="AN641" s="41"/>
      <c r="AO641" s="41"/>
      <c r="AP641" s="41"/>
      <c r="AQ641" s="44"/>
      <c r="AR641" s="45"/>
      <c r="AS641" s="39"/>
    </row>
    <row r="642" spans="1:45" ht="21.25" customHeight="1" x14ac:dyDescent="0.15">
      <c r="A642" s="31">
        <f>RANK(K642,K$2:K$727)</f>
        <v>641</v>
      </c>
      <c r="B642" s="8" t="s">
        <v>746</v>
      </c>
      <c r="C642" s="32" t="s">
        <v>106</v>
      </c>
      <c r="D642" s="33" t="str">
        <f>VLOOKUP(B642,'Player Data'!A1:D734,4,FALSE)</f>
        <v>G</v>
      </c>
      <c r="E642" s="50">
        <f>VLOOKUP(B642,G!A1:D75,3,FALSE)</f>
        <v>55</v>
      </c>
      <c r="F642" s="35" t="str">
        <f>VLOOKUP(B642,'Player Data'!A1:B734,2,FALSE)</f>
        <v>BUF</v>
      </c>
      <c r="G642" s="9">
        <f>VLOOKUP(B642,'Player Data'!A1:D734,3,FALSE)</f>
        <v>28</v>
      </c>
      <c r="H642" s="36">
        <f>IFERROR(VLOOKUP(B642,ADP!A1:G728,7,FALSE)/1000000,VLOOKUP(B642,ADP!A1:G728,7,FALSE))</f>
        <v>1.8</v>
      </c>
      <c r="I642" s="37">
        <f>IF(Settings!$E$15="POINTS",(AJ642*Settings!$B$29)+(AK642*Settings!$B$21)+(AL642*Settings!$B$22)+(AN642*Settings!$B$24)+(AO642*Settings!$B$25)+(AP642*Settings!$B$27)+(AM642*Settings!$B$23),VLOOKUP(B642,'Standard Deviations'!A1:C728,3,FALSE))</f>
        <v>126.40150464709745</v>
      </c>
      <c r="J642" s="38">
        <f>IF(D642="G",I642/AJ642,I642/Q642)</f>
        <v>6.3200752323548723</v>
      </c>
      <c r="K642" s="37">
        <f>VLOOKUP(B642,G!A1:F75,6,FALSE)</f>
        <v>-272.37415744221875</v>
      </c>
      <c r="L642" s="37">
        <f>IFERROR(K642/H642,"N/A")</f>
        <v>-151.3189763567882</v>
      </c>
      <c r="M642" s="53" t="str">
        <f>IF(Settings!$E$9="YAHOO",VLOOKUP(B642,ADP!A1:E728,2,FALSE),IF(Settings!$E$9="ESPN",VLOOKUP(B642,ADP!A1:E728,3,FALSE),IF(Settings!$E$9="FANTRAX",VLOOKUP(B642,ADP!A1:E728,4,FALSE),VLOOKUP(B642,ADP!A1:E728,5,FALSE))))</f>
        <v>-</v>
      </c>
      <c r="N642" s="53" t="str">
        <f>IFERROR(M642-A642,"N/A")</f>
        <v>N/A</v>
      </c>
      <c r="O642" s="39"/>
      <c r="P642" s="40" t="str">
        <f>IF(Settings!$E$27="ON",VLOOKUP(B642,ADP!A1:H728,8,FALSE)," ")</f>
        <v xml:space="preserve"> </v>
      </c>
      <c r="Q642" s="41"/>
      <c r="R642" s="5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2"/>
      <c r="AI642" s="39"/>
      <c r="AJ642" s="43">
        <f>VLOOKUP(B642,'Player Data'!$A1:$AE734,24,FALSE)</f>
        <v>20</v>
      </c>
      <c r="AK642" s="41">
        <f>VLOOKUP(B642,'Player Data'!$A1:$AE734,25,FALSE)*$AJ642*IFERROR((VLOOKUP(P642,Settings!$E$28:$F$33,2,FALSE)+1),1)</f>
        <v>9.2111997737347995</v>
      </c>
      <c r="AL642" s="41">
        <f>AJ642-AK642-AM642</f>
        <v>8.2888002262652005</v>
      </c>
      <c r="AM642" s="41">
        <f>VLOOKUP(B642,'Player Data'!$A1:$AE734,27,FALSE)*$AJ642</f>
        <v>2.5</v>
      </c>
      <c r="AN642" s="41">
        <f>VLOOKUP(B642,'Player Data'!$A1:$AE734,28,FALSE)*AJ642</f>
        <v>0.71499981505235</v>
      </c>
      <c r="AO642" s="41">
        <f>VLOOKUP(B642,'Player Data'!$A1:$AE734,29,FALSE)*$AJ642*IFERROR((VLOOKUP(P642,Settings!$E$28:$F$33,2,FALSE)/4)+1,1)</f>
        <v>563.86430759165398</v>
      </c>
      <c r="AP642" s="41">
        <f>VLOOKUP(B642,'Player Data'!$A1:$AE734,31,FALSE)*$AJ642*(IFERROR(1-(VLOOKUP(P642,Settings!$E$28:$F$33,2,FALSE)/4),1))</f>
        <v>61.531416033346204</v>
      </c>
      <c r="AQ642" s="44">
        <f>1-(AP642/(AO642+AP642))</f>
        <v>0.9016120294576212</v>
      </c>
      <c r="AR642" s="45">
        <f>AP642/AJ642</f>
        <v>3.0765708016673101</v>
      </c>
      <c r="AS642" s="39"/>
    </row>
    <row r="643" spans="1:45" ht="21.25" customHeight="1" x14ac:dyDescent="0.15">
      <c r="A643" s="31">
        <f>RANK(K643,K$2:K$727)</f>
        <v>642</v>
      </c>
      <c r="B643" s="8" t="s">
        <v>747</v>
      </c>
      <c r="C643" s="32" t="s">
        <v>106</v>
      </c>
      <c r="D643" s="33" t="str">
        <f>VLOOKUP(B643,'Player Data'!A1:D734,4,FALSE)</f>
        <v>C</v>
      </c>
      <c r="E643" s="34">
        <f>VLOOKUP(B643,'C'!A1:C211,3,FALSE)</f>
        <v>162</v>
      </c>
      <c r="F643" s="35" t="str">
        <f>VLOOKUP(B643,'Player Data'!A1:B734,2,FALSE)</f>
        <v>WPG</v>
      </c>
      <c r="G643" s="9">
        <f>VLOOKUP(B643,'Player Data'!A1:D734,3,FALSE)</f>
        <v>24</v>
      </c>
      <c r="H643" s="36">
        <f>IFERROR(VLOOKUP(B643,ADP!A1:G728,7,FALSE)/1000000,VLOOKUP(B643,ADP!A1:G728,7,FALSE))</f>
        <v>1.35</v>
      </c>
      <c r="I643" s="37">
        <f>IF(Settings!$E$15="POINTS",((R643*Q643)*Settings!$B$12)+(S643*Settings!$B$2)+(T643*Settings!$B$3)+(U643*Settings!$B$4)+(V643*Settings!$B$5)+(X643*Settings!$B$9)+(AA643*Settings!$B$6)+(W643*Settings!$B$8)+(AB643*Settings!$B$7)+(AC643*Settings!$B$14)+(AD643*Settings!$B$15)+(AE643*Settings!$B$16)+(AF643*Settings!$B$17)+(AG643*Settings!$B$18)+(Y643*Settings!$B$10)+(Z643*Settings!$B$11),VLOOKUP(B643,'Standard Deviations'!A1:C728,3,FALSE))</f>
        <v>120.49235908399493</v>
      </c>
      <c r="J643" s="38">
        <f>IF(D643="G",I643/AJ643,I643/Q643)</f>
        <v>1.8574537145108903</v>
      </c>
      <c r="K643" s="37">
        <f>IF(Settings!$E$18="C/LW/RW",VLOOKUP(B643,'C'!A1:F211,6,FALSE),VLOOKUP(B643,F!A1:F430,6,FALSE))</f>
        <v>-272.83644668221473</v>
      </c>
      <c r="L643" s="37">
        <f>IFERROR(K643/H643,"N/A")</f>
        <v>-202.10107161645533</v>
      </c>
      <c r="M643" s="53" t="str">
        <f>IF(Settings!$E$9="YAHOO",VLOOKUP(B643,ADP!A1:E728,2,FALSE),IF(Settings!$E$9="ESPN",VLOOKUP(B643,ADP!A1:E728,3,FALSE),IF(Settings!$E$9="FANTRAX",VLOOKUP(B643,ADP!A1:E728,4,FALSE),VLOOKUP(B643,ADP!A1:E728,5,FALSE))))</f>
        <v>-</v>
      </c>
      <c r="N643" s="53" t="str">
        <f>IFERROR(M643-A643,"N/A")</f>
        <v>N/A</v>
      </c>
      <c r="O643" s="39"/>
      <c r="P643" s="40" t="str">
        <f>IF(Settings!$E$27="ON",VLOOKUP(B643,ADP!A1:H728,8,FALSE)," ")</f>
        <v xml:space="preserve"> </v>
      </c>
      <c r="Q643" s="41">
        <f>IF(Settings!$E$12="YES",VLOOKUP(B643,'Player Data'!A1:E734,5,FALSE),82)</f>
        <v>64.869642857142907</v>
      </c>
      <c r="R643" s="39">
        <f>VLOOKUP(B643,'Player Data'!$A1:$AE734,6,FALSE)</f>
        <v>12.8830622816856</v>
      </c>
      <c r="S643" s="41">
        <f>VLOOKUP(B643,'Player Data'!$A1:$AE734,7,FALSE)*$Q643*IFERROR((VLOOKUP(P643,Settings!$E$28:$F$33,2,FALSE)+1),1)</f>
        <v>8.1025384344709437</v>
      </c>
      <c r="T643" s="41">
        <f>VLOOKUP(B643,'Player Data'!$A1:$AE734,8,FALSE)*$Q643*IFERROR((VLOOKUP(P643,Settings!$E$28:$F$33,2,FALSE)+1),1)</f>
        <v>12.122520392510024</v>
      </c>
      <c r="U643" s="41">
        <f>SUM(S643:T643)</f>
        <v>20.22505882698097</v>
      </c>
      <c r="V643" s="41">
        <f>VLOOKUP(B643,'Player Data'!$A1:$AE734,10,FALSE)*$Q643*IFERROR(((VLOOKUP(P643,Settings!$E$28:$F$33,2,FALSE)/2)+1),1)</f>
        <v>98.855665513381069</v>
      </c>
      <c r="W643" s="41">
        <f>VLOOKUP(B643,'Player Data'!$A1:$AE734,11,FALSE)*$Q643*IFERROR((VLOOKUP(P643,Settings!$E$28:$F$33,2,FALSE)+1),1)</f>
        <v>5.252998291428989E-2</v>
      </c>
      <c r="X643" s="41">
        <f>VLOOKUP(B643,'Player Data'!$A1:$AE734,12,FALSE)*$Q643*IFERROR((VLOOKUP(P643,Settings!$E$28:$F$33,2,FALSE)+1),1)</f>
        <v>0.13241181528968943</v>
      </c>
      <c r="Y643" s="41">
        <f>VLOOKUP(B643,'Player Data'!$A1:$AE734,13,FALSE)*$Q643</f>
        <v>0.12861511739317527</v>
      </c>
      <c r="Z643" s="41">
        <f>VLOOKUP(B643,'Player Data'!$A1:$AE734,14,FALSE)*$Q643</f>
        <v>1.4503738979446847</v>
      </c>
      <c r="AA643" s="41">
        <f>VLOOKUP(B643,'Player Data'!$A1:$AE734,15,FALSE)*$Q643</f>
        <v>36.118892099463629</v>
      </c>
      <c r="AB643" s="41">
        <f>VLOOKUP(B643,'Player Data'!$A1:$AE734,16,FALSE)*$Q643</f>
        <v>108.15211117383834</v>
      </c>
      <c r="AC643" s="41">
        <f>VLOOKUP(B643,'Player Data'!$A1:$AE734,17,FALSE)*$Q643*IFERROR((VLOOKUP(P643,Settings!$E$28:$F$33,2,FALSE)+1),1)</f>
        <v>1.0169967923452987</v>
      </c>
      <c r="AD643" s="41">
        <f>VLOOKUP(B643,'Player Data'!$A1:$AE734,18,FALSE)*$Q643</f>
        <v>25.353855995331859</v>
      </c>
      <c r="AE643" s="41">
        <f>VLOOKUP(B643,'Player Data'!$A1:$AE734,19,FALSE)*$Q643*IFERROR((VLOOKUP(P643,Settings!$E$28:$F$33,2,FALSE)+1),1)</f>
        <v>1.2640231164484259</v>
      </c>
      <c r="AF643" s="41">
        <f>VLOOKUP(B643,'Player Data'!$A1:$AE734,20,FALSE)*$Q643</f>
        <v>17.298073589293889</v>
      </c>
      <c r="AG643" s="41">
        <f>VLOOKUP(B643,'Player Data'!$A1:$AE734,21,FALSE)*$Q643</f>
        <v>19.515606134940221</v>
      </c>
      <c r="AH643" s="42">
        <f>VLOOKUP(B643,'Player Data'!$A1:$AE734,22,FALSE)</f>
        <v>0.46988167765002598</v>
      </c>
      <c r="AI643" s="39"/>
      <c r="AJ643" s="41"/>
      <c r="AK643" s="41"/>
      <c r="AL643" s="41"/>
      <c r="AM643" s="41"/>
      <c r="AN643" s="41"/>
      <c r="AO643" s="41"/>
      <c r="AP643" s="41"/>
      <c r="AQ643" s="44"/>
      <c r="AR643" s="45"/>
      <c r="AS643" s="39"/>
    </row>
    <row r="644" spans="1:45" ht="21.25" customHeight="1" x14ac:dyDescent="0.15">
      <c r="A644" s="31">
        <f>RANK(K644,K$2:K$727)</f>
        <v>643</v>
      </c>
      <c r="B644" s="8" t="s">
        <v>748</v>
      </c>
      <c r="C644" s="32" t="s">
        <v>106</v>
      </c>
      <c r="D644" s="33" t="str">
        <f>VLOOKUP(B644,'Player Data'!A1:D734,4,FALSE)</f>
        <v>RW</v>
      </c>
      <c r="E644" s="46">
        <f>VLOOKUP(B644,RW!A1:F97,3,FALSE)</f>
        <v>90</v>
      </c>
      <c r="F644" s="35" t="str">
        <f>VLOOKUP(B644,'Player Data'!A1:B734,2,FALSE)</f>
        <v>ANA</v>
      </c>
      <c r="G644" s="9">
        <f>VLOOKUP(B644,'Player Data'!A1:D734,3,FALSE)</f>
        <v>24</v>
      </c>
      <c r="H644" s="36">
        <f>IFERROR(VLOOKUP(B644,ADP!A1:G728,7,FALSE)/1000000,VLOOKUP(B644,ADP!A1:G728,7,FALSE))</f>
        <v>0.77500000000000002</v>
      </c>
      <c r="I644" s="37">
        <f>IF(Settings!$E$15="POINTS",((R644*Q644)*Settings!$B$12)+(S644*Settings!$B$2)+(T644*Settings!$B$3)+(U644*Settings!$B$4)+(V644*Settings!$B$5)+(X644*Settings!$B$9)+(AA644*Settings!$B$6)+(W644*Settings!$B$8)+(AB644*Settings!$B$7)+(AC644*Settings!$B$14)+(AD644*Settings!$B$15)+(AE644*Settings!$B$16)+(AF644*Settings!$B$17)+(AG644*Settings!$B$18)+(Y644*Settings!$B$10)+(Z644*Settings!$B$11),VLOOKUP(B644,'Standard Deviations'!A1:C728,3,FALSE))</f>
        <v>76.776035292203446</v>
      </c>
      <c r="J644" s="38">
        <f>IF(D644="G",I644/AJ644,I644/Q644)</f>
        <v>1.227729036414863</v>
      </c>
      <c r="K644" s="37">
        <f>IF(Settings!$E$18="C/LW/RW",VLOOKUP(B644,RW!A1:F97,6,FALSE),VLOOKUP(B644,F!A1:F430,6,FALSE))</f>
        <v>-273.49550525568611</v>
      </c>
      <c r="L644" s="37">
        <f>IFERROR(K644/H644,"N/A")</f>
        <v>-352.89742613636918</v>
      </c>
      <c r="M644" s="53" t="str">
        <f>IF(Settings!$E$9="YAHOO",VLOOKUP(B644,ADP!A1:E728,2,FALSE),IF(Settings!$E$9="ESPN",VLOOKUP(B644,ADP!A1:E728,3,FALSE),IF(Settings!$E$9="FANTRAX",VLOOKUP(B644,ADP!A1:E728,4,FALSE),VLOOKUP(B644,ADP!A1:E728,5,FALSE))))</f>
        <v>-</v>
      </c>
      <c r="N644" s="53" t="str">
        <f>IFERROR(M644-A644,"N/A")</f>
        <v>N/A</v>
      </c>
      <c r="O644" s="39"/>
      <c r="P644" s="40" t="str">
        <f>IF(Settings!$E$27="ON",VLOOKUP(B644,ADP!A1:H728,8,FALSE)," ")</f>
        <v xml:space="preserve"> </v>
      </c>
      <c r="Q644" s="41">
        <f>IF(Settings!$E$12="YES",VLOOKUP(B644,'Player Data'!A1:E734,5,FALSE),82)</f>
        <v>62.534999999999997</v>
      </c>
      <c r="R644" s="39">
        <f>VLOOKUP(B644,'Player Data'!$A1:$AE734,6,FALSE)</f>
        <v>10.8540220796423</v>
      </c>
      <c r="S644" s="41">
        <f>VLOOKUP(B644,'Player Data'!$A1:$AE734,7,FALSE)*$Q644*IFERROR((VLOOKUP(P644,Settings!$E$28:$F$33,2,FALSE)+1),1)</f>
        <v>7.0404457320174956</v>
      </c>
      <c r="T644" s="41">
        <f>VLOOKUP(B644,'Player Data'!$A1:$AE734,8,FALSE)*$Q644*IFERROR((VLOOKUP(P644,Settings!$E$28:$F$33,2,FALSE)+1),1)</f>
        <v>6.0136378819544287</v>
      </c>
      <c r="U644" s="41">
        <f>SUM(S644:T644)</f>
        <v>13.054083613971924</v>
      </c>
      <c r="V644" s="41">
        <f>VLOOKUP(B644,'Player Data'!$A1:$AE734,10,FALSE)*$Q644*IFERROR(((VLOOKUP(P644,Settings!$E$28:$F$33,2,FALSE)/2)+1),1)</f>
        <v>65.214836457466689</v>
      </c>
      <c r="W644" s="41">
        <f>VLOOKUP(B644,'Player Data'!$A1:$AE734,11,FALSE)*$Q644*IFERROR((VLOOKUP(P644,Settings!$E$28:$F$33,2,FALSE)+1),1)</f>
        <v>4.978698891512124E-2</v>
      </c>
      <c r="X644" s="41">
        <f>VLOOKUP(B644,'Player Data'!$A1:$AE734,12,FALSE)*$Q644*IFERROR((VLOOKUP(P644,Settings!$E$28:$F$33,2,FALSE)+1),1)</f>
        <v>0.127825412520993</v>
      </c>
      <c r="Y644" s="41">
        <f>VLOOKUP(B644,'Player Data'!$A1:$AE734,13,FALSE)*$Q644</f>
        <v>2.176010981895346E-2</v>
      </c>
      <c r="Z644" s="41">
        <f>VLOOKUP(B644,'Player Data'!$A1:$AE734,14,FALSE)*$Q644</f>
        <v>4.0384430452282634E-2</v>
      </c>
      <c r="AA644" s="41">
        <f>VLOOKUP(B644,'Player Data'!$A1:$AE734,15,FALSE)*$Q644</f>
        <v>23.349732678038887</v>
      </c>
      <c r="AB644" s="41">
        <f>VLOOKUP(B644,'Player Data'!$A1:$AE734,16,FALSE)*$Q644</f>
        <v>52.922997607627394</v>
      </c>
      <c r="AC644" s="41">
        <f>VLOOKUP(B644,'Player Data'!$A1:$AE734,17,FALSE)*$Q644*IFERROR((VLOOKUP(P644,Settings!$E$28:$F$33,2,FALSE)+1),1)</f>
        <v>-7.9029845931413671</v>
      </c>
      <c r="AD644" s="41">
        <f>VLOOKUP(B644,'Player Data'!$A1:$AE734,18,FALSE)*$Q644</f>
        <v>15.245378310150505</v>
      </c>
      <c r="AE644" s="41">
        <f>VLOOKUP(B644,'Player Data'!$A1:$AE734,19,FALSE)*$Q644*IFERROR((VLOOKUP(P644,Settings!$E$28:$F$33,2,FALSE)+1),1)</f>
        <v>0.76325073848363945</v>
      </c>
      <c r="AF644" s="41">
        <f>VLOOKUP(B644,'Player Data'!$A1:$AE734,20,FALSE)*$Q644</f>
        <v>2.7466378696548732</v>
      </c>
      <c r="AG644" s="41">
        <f>VLOOKUP(B644,'Player Data'!$A1:$AE734,21,FALSE)*$Q644</f>
        <v>5.1834574399968396</v>
      </c>
      <c r="AH644" s="42">
        <f>VLOOKUP(B644,'Player Data'!$A1:$AE734,22,FALSE)</f>
        <v>0.34635622428294699</v>
      </c>
      <c r="AI644" s="39"/>
      <c r="AJ644" s="43"/>
      <c r="AK644" s="41"/>
      <c r="AL644" s="41"/>
      <c r="AM644" s="41"/>
      <c r="AN644" s="41"/>
      <c r="AO644" s="41"/>
      <c r="AP644" s="41"/>
      <c r="AQ644" s="44"/>
      <c r="AR644" s="45"/>
      <c r="AS644" s="39"/>
    </row>
    <row r="645" spans="1:45" ht="21.25" customHeight="1" x14ac:dyDescent="0.15">
      <c r="A645" s="31">
        <f>RANK(K645,K$2:K$727)</f>
        <v>644</v>
      </c>
      <c r="B645" s="8" t="s">
        <v>749</v>
      </c>
      <c r="C645" s="32" t="s">
        <v>106</v>
      </c>
      <c r="D645" s="33" t="str">
        <f>VLOOKUP(B645,'Player Data'!A1:D734,4,FALSE)</f>
        <v>LW</v>
      </c>
      <c r="E645" s="47">
        <f>VLOOKUP(B645,LW!A1:C130,3,FALSE)</f>
        <v>115</v>
      </c>
      <c r="F645" s="35" t="str">
        <f>VLOOKUP(B645,'Player Data'!A1:B734,2,FALSE)</f>
        <v>NSH</v>
      </c>
      <c r="G645" s="9">
        <f>VLOOKUP(B645,'Player Data'!A1:D734,3,FALSE)</f>
        <v>27</v>
      </c>
      <c r="H645" s="36">
        <f>IFERROR(VLOOKUP(B645,ADP!A1:G728,7,FALSE)/1000000,VLOOKUP(B645,ADP!A1:G728,7,FALSE))</f>
        <v>0.77500000000000002</v>
      </c>
      <c r="I645" s="37">
        <f>IF(Settings!$E$15="POINTS",((R645*Q645)*Settings!$B$12)+(S645*Settings!$B$2)+(T645*Settings!$B$3)+(U645*Settings!$B$4)+(V645*Settings!$B$5)+(X645*Settings!$B$9)+(AA645*Settings!$B$6)+(W645*Settings!$B$8)+(AB645*Settings!$B$7)+(AC645*Settings!$B$14)+(AD645*Settings!$B$15)+(AE645*Settings!$B$16)+(AF645*Settings!$B$17)+(AG645*Settings!$B$18)+(Y645*Settings!$B$10)+(Z645*Settings!$B$11),VLOOKUP(B645,'Standard Deviations'!A1:C728,3,FALSE))</f>
        <v>90.199076178565377</v>
      </c>
      <c r="J645" s="38">
        <f>IF(D645="G",I645/AJ645,I645/Q645)</f>
        <v>1.3039730554565092</v>
      </c>
      <c r="K645" s="37">
        <f>IF(Settings!$E$18="C/LW/RW",VLOOKUP(B645,LW!A1:F130,6,FALSE),VLOOKUP(B645,F!A1:F430,6,FALSE))</f>
        <v>-273.84152867908506</v>
      </c>
      <c r="L645" s="37">
        <f>IFERROR(K645/H645,"N/A")</f>
        <v>-353.34390797301296</v>
      </c>
      <c r="M645" s="53" t="str">
        <f>IF(Settings!$E$9="YAHOO",VLOOKUP(B645,ADP!A1:E728,2,FALSE),IF(Settings!$E$9="ESPN",VLOOKUP(B645,ADP!A1:E728,3,FALSE),IF(Settings!$E$9="FANTRAX",VLOOKUP(B645,ADP!A1:E728,4,FALSE),VLOOKUP(B645,ADP!A1:E728,5,FALSE))))</f>
        <v>-</v>
      </c>
      <c r="N645" s="53" t="str">
        <f>IFERROR(M645-A645,"N/A")</f>
        <v>N/A</v>
      </c>
      <c r="O645" s="39"/>
      <c r="P645" s="40" t="str">
        <f>IF(Settings!$E$27="ON",VLOOKUP(B645,ADP!A1:H728,8,FALSE)," ")</f>
        <v xml:space="preserve"> </v>
      </c>
      <c r="Q645" s="41">
        <f>IF(Settings!$E$12="YES",VLOOKUP(B645,'Player Data'!A1:E734,5,FALSE),82)</f>
        <v>69.172499999999999</v>
      </c>
      <c r="R645" s="39">
        <f>VLOOKUP(B645,'Player Data'!$A1:$AE734,6,FALSE)</f>
        <v>12.2373452416932</v>
      </c>
      <c r="S645" s="41">
        <f>VLOOKUP(B645,'Player Data'!$A1:$AE734,7,FALSE)*$Q645*IFERROR((VLOOKUP(P645,Settings!$E$28:$F$33,2,FALSE)+1),1)</f>
        <v>4.850678197282944</v>
      </c>
      <c r="T645" s="41">
        <f>VLOOKUP(B645,'Player Data'!$A1:$AE734,8,FALSE)*$Q645*IFERROR((VLOOKUP(P645,Settings!$E$28:$F$33,2,FALSE)+1),1)</f>
        <v>11.463581822718774</v>
      </c>
      <c r="U645" s="41">
        <f>SUM(S645:T645)</f>
        <v>16.314260020001718</v>
      </c>
      <c r="V645" s="41">
        <f>VLOOKUP(B645,'Player Data'!$A1:$AE734,10,FALSE)*$Q645*IFERROR(((VLOOKUP(P645,Settings!$E$28:$F$33,2,FALSE)/2)+1),1)</f>
        <v>65.680843565747736</v>
      </c>
      <c r="W645" s="41">
        <f>VLOOKUP(B645,'Player Data'!$A1:$AE734,11,FALSE)*$Q645*IFERROR((VLOOKUP(P645,Settings!$E$28:$F$33,2,FALSE)+1),1)</f>
        <v>5.3592097796418631E-2</v>
      </c>
      <c r="X645" s="41">
        <f>VLOOKUP(B645,'Player Data'!$A1:$AE734,12,FALSE)*$Q645*IFERROR((VLOOKUP(P645,Settings!$E$28:$F$33,2,FALSE)+1),1)</f>
        <v>0.13814618057642006</v>
      </c>
      <c r="Y645" s="41">
        <f>VLOOKUP(B645,'Player Data'!$A1:$AE734,13,FALSE)*$Q645</f>
        <v>0.15373385901336309</v>
      </c>
      <c r="Z645" s="41">
        <f>VLOOKUP(B645,'Player Data'!$A1:$AE734,14,FALSE)*$Q645</f>
        <v>1.5063925128770388</v>
      </c>
      <c r="AA645" s="41">
        <f>VLOOKUP(B645,'Player Data'!$A1:$AE734,15,FALSE)*$Q645</f>
        <v>25.63398474389718</v>
      </c>
      <c r="AB645" s="41">
        <f>VLOOKUP(B645,'Player Data'!$A1:$AE734,16,FALSE)*$Q645</f>
        <v>179.52895628092901</v>
      </c>
      <c r="AC645" s="41">
        <f>VLOOKUP(B645,'Player Data'!$A1:$AE734,17,FALSE)*$Q645*IFERROR((VLOOKUP(P645,Settings!$E$28:$F$33,2,FALSE)+1),1)</f>
        <v>-1.9630419922870197</v>
      </c>
      <c r="AD645" s="41">
        <f>VLOOKUP(B645,'Player Data'!$A1:$AE734,18,FALSE)*$Q645</f>
        <v>42.059694905575547</v>
      </c>
      <c r="AE645" s="41">
        <f>VLOOKUP(B645,'Player Data'!$A1:$AE734,19,FALSE)*$Q645*IFERROR((VLOOKUP(P645,Settings!$E$28:$F$33,2,FALSE)+1),1)</f>
        <v>0.70832588181589484</v>
      </c>
      <c r="AF645" s="41">
        <f>VLOOKUP(B645,'Player Data'!$A1:$AE734,20,FALSE)*$Q645</f>
        <v>0</v>
      </c>
      <c r="AG645" s="41">
        <f>VLOOKUP(B645,'Player Data'!$A1:$AE734,21,FALSE)*$Q645</f>
        <v>4.9236920622093336</v>
      </c>
      <c r="AH645" s="42">
        <f>VLOOKUP(B645,'Player Data'!$A1:$AE734,22,FALSE)</f>
        <v>0</v>
      </c>
      <c r="AI645" s="39"/>
      <c r="AJ645" s="43"/>
      <c r="AK645" s="41"/>
      <c r="AL645" s="41"/>
      <c r="AM645" s="41"/>
      <c r="AN645" s="41"/>
      <c r="AO645" s="41"/>
      <c r="AP645" s="41"/>
      <c r="AQ645" s="44"/>
      <c r="AR645" s="45"/>
      <c r="AS645" s="39"/>
    </row>
    <row r="646" spans="1:45" ht="21.25" customHeight="1" x14ac:dyDescent="0.15">
      <c r="A646" s="31">
        <f>RANK(K646,K$2:K$727)</f>
        <v>645</v>
      </c>
      <c r="B646" s="8" t="s">
        <v>750</v>
      </c>
      <c r="C646" s="32" t="s">
        <v>106</v>
      </c>
      <c r="D646" s="33" t="str">
        <f>VLOOKUP(B646,'Player Data'!A1:D734,4,FALSE)</f>
        <v>C</v>
      </c>
      <c r="E646" s="34">
        <f>VLOOKUP(B646,'C'!A1:C211,3,FALSE)</f>
        <v>163</v>
      </c>
      <c r="F646" s="35" t="str">
        <f>VLOOKUP(B646,'Player Data'!A1:B734,2,FALSE)</f>
        <v>VGK</v>
      </c>
      <c r="G646" s="9">
        <f>VLOOKUP(B646,'Player Data'!A1:D734,3,FALSE)</f>
        <v>25</v>
      </c>
      <c r="H646" s="36">
        <f>IFERROR(VLOOKUP(B646,ADP!A1:G728,7,FALSE)/1000000,VLOOKUP(B646,ADP!A1:G728,7,FALSE))</f>
        <v>1.9</v>
      </c>
      <c r="I646" s="37">
        <f>IF(Settings!$E$15="POINTS",((R646*Q646)*Settings!$B$12)+(S646*Settings!$B$2)+(T646*Settings!$B$3)+(U646*Settings!$B$4)+(V646*Settings!$B$5)+(X646*Settings!$B$9)+(AA646*Settings!$B$6)+(W646*Settings!$B$8)+(AB646*Settings!$B$7)+(AC646*Settings!$B$14)+(AD646*Settings!$B$15)+(AE646*Settings!$B$16)+(AF646*Settings!$B$17)+(AG646*Settings!$B$18)+(Y646*Settings!$B$10)+(Z646*Settings!$B$11),VLOOKUP(B646,'Standard Deviations'!A1:C728,3,FALSE))</f>
        <v>119.3680710649522</v>
      </c>
      <c r="J646" s="38">
        <f>IF(D646="G",I646/AJ646,I646/Q646)</f>
        <v>1.7004604304277531</v>
      </c>
      <c r="K646" s="37">
        <f>IF(Settings!$E$18="C/LW/RW",VLOOKUP(B646,'C'!A1:F211,6,FALSE),VLOOKUP(B646,F!A1:F430,6,FALSE))</f>
        <v>-273.96073470125748</v>
      </c>
      <c r="L646" s="37">
        <f>IFERROR(K646/H646,"N/A")</f>
        <v>-144.18986036908288</v>
      </c>
      <c r="M646" s="53" t="str">
        <f>IF(Settings!$E$9="YAHOO",VLOOKUP(B646,ADP!A1:E728,2,FALSE),IF(Settings!$E$9="ESPN",VLOOKUP(B646,ADP!A1:E728,3,FALSE),IF(Settings!$E$9="FANTRAX",VLOOKUP(B646,ADP!A1:E728,4,FALSE),VLOOKUP(B646,ADP!A1:E728,5,FALSE))))</f>
        <v>-</v>
      </c>
      <c r="N646" s="53" t="str">
        <f>IFERROR(M646-A646,"N/A")</f>
        <v>N/A</v>
      </c>
      <c r="O646" s="39"/>
      <c r="P646" s="40" t="str">
        <f>IF(Settings!$E$27="ON",VLOOKUP(B646,ADP!A1:H728,8,FALSE)," ")</f>
        <v xml:space="preserve"> </v>
      </c>
      <c r="Q646" s="41">
        <f>IF(Settings!$E$12="YES",VLOOKUP(B646,'Player Data'!A1:E734,5,FALSE),82)</f>
        <v>70.197500000000005</v>
      </c>
      <c r="R646" s="39">
        <f>VLOOKUP(B646,'Player Data'!$A1:$AE734,6,FALSE)</f>
        <v>13.173532965387899</v>
      </c>
      <c r="S646" s="41">
        <f>VLOOKUP(B646,'Player Data'!$A1:$AE734,7,FALSE)*$Q646*IFERROR((VLOOKUP(P646,Settings!$E$28:$F$33,2,FALSE)+1),1)</f>
        <v>10.045823675496356</v>
      </c>
      <c r="T646" s="41">
        <f>VLOOKUP(B646,'Player Data'!$A1:$AE734,8,FALSE)*$Q646*IFERROR((VLOOKUP(P646,Settings!$E$28:$F$33,2,FALSE)+1),1)</f>
        <v>13.643079342692555</v>
      </c>
      <c r="U646" s="41">
        <f>SUM(S646:T646)</f>
        <v>23.68890301818891</v>
      </c>
      <c r="V646" s="41">
        <f>VLOOKUP(B646,'Player Data'!$A1:$AE734,10,FALSE)*$Q646*IFERROR(((VLOOKUP(P646,Settings!$E$28:$F$33,2,FALSE)/2)+1),1)</f>
        <v>74.083749438961931</v>
      </c>
      <c r="W646" s="41">
        <f>VLOOKUP(B646,'Player Data'!$A1:$AE734,11,FALSE)*$Q646*IFERROR((VLOOKUP(P646,Settings!$E$28:$F$33,2,FALSE)+1),1)</f>
        <v>3.2395418329485663E-2</v>
      </c>
      <c r="X646" s="41">
        <f>VLOOKUP(B646,'Player Data'!$A1:$AE734,12,FALSE)*$Q646*IFERROR((VLOOKUP(P646,Settings!$E$28:$F$33,2,FALSE)+1),1)</f>
        <v>6.38154477381708E-2</v>
      </c>
      <c r="Y646" s="41">
        <f>VLOOKUP(B646,'Player Data'!$A1:$AE734,13,FALSE)*$Q646</f>
        <v>0.12114638972517065</v>
      </c>
      <c r="Z646" s="41">
        <f>VLOOKUP(B646,'Player Data'!$A1:$AE734,14,FALSE)*$Q646</f>
        <v>0.87955059317218809</v>
      </c>
      <c r="AA646" s="41">
        <f>VLOOKUP(B646,'Player Data'!$A1:$AE734,15,FALSE)*$Q646</f>
        <v>46.863776045418859</v>
      </c>
      <c r="AB646" s="41">
        <f>VLOOKUP(B646,'Player Data'!$A1:$AE734,16,FALSE)*$Q646</f>
        <v>120.59437024560135</v>
      </c>
      <c r="AC646" s="41">
        <f>VLOOKUP(B646,'Player Data'!$A1:$AE734,17,FALSE)*$Q646*IFERROR((VLOOKUP(P646,Settings!$E$28:$F$33,2,FALSE)+1),1)</f>
        <v>3.9125700951841518</v>
      </c>
      <c r="AD646" s="41">
        <f>VLOOKUP(B646,'Player Data'!$A1:$AE734,18,FALSE)*$Q646</f>
        <v>35.499716018662269</v>
      </c>
      <c r="AE646" s="41">
        <f>VLOOKUP(B646,'Player Data'!$A1:$AE734,19,FALSE)*$Q646*IFERROR((VLOOKUP(P646,Settings!$E$28:$F$33,2,FALSE)+1),1)</f>
        <v>1.6417616864431404</v>
      </c>
      <c r="AF646" s="41">
        <f>VLOOKUP(B646,'Player Data'!$A1:$AE734,20,FALSE)*$Q646</f>
        <v>169.18564195446496</v>
      </c>
      <c r="AG646" s="41">
        <f>VLOOKUP(B646,'Player Data'!$A1:$AE734,21,FALSE)*$Q646</f>
        <v>172.72369316572349</v>
      </c>
      <c r="AH646" s="42">
        <f>VLOOKUP(B646,'Player Data'!$A1:$AE734,22,FALSE)</f>
        <v>0.49482603888248</v>
      </c>
      <c r="AI646" s="39"/>
      <c r="AJ646" s="43"/>
      <c r="AK646" s="41"/>
      <c r="AL646" s="41"/>
      <c r="AM646" s="41"/>
      <c r="AN646" s="41"/>
      <c r="AO646" s="41"/>
      <c r="AP646" s="41"/>
      <c r="AQ646" s="44"/>
      <c r="AR646" s="45"/>
      <c r="AS646" s="39"/>
    </row>
    <row r="647" spans="1:45" ht="21.25" customHeight="1" x14ac:dyDescent="0.15">
      <c r="A647" s="31">
        <f>RANK(K647,K$2:K$727)</f>
        <v>646</v>
      </c>
      <c r="B647" s="8" t="s">
        <v>751</v>
      </c>
      <c r="C647" s="32" t="s">
        <v>106</v>
      </c>
      <c r="D647" s="33" t="str">
        <f>VLOOKUP(B647,'Player Data'!A1:D734,4,FALSE)</f>
        <v>RW</v>
      </c>
      <c r="E647" s="46">
        <f>VLOOKUP(B647,RW!A1:F97,3,FALSE)</f>
        <v>91</v>
      </c>
      <c r="F647" s="35" t="str">
        <f>VLOOKUP(B647,'Player Data'!A1:B734,2,FALSE)</f>
        <v>TBL</v>
      </c>
      <c r="G647" s="9">
        <f>VLOOKUP(B647,'Player Data'!A1:D734,3,FALSE)</f>
        <v>30</v>
      </c>
      <c r="H647" s="36">
        <f>IFERROR(VLOOKUP(B647,ADP!A1:G728,7,FALSE)/1000000,VLOOKUP(B647,ADP!A1:G728,7,FALSE))</f>
        <v>0.8</v>
      </c>
      <c r="I647" s="37">
        <f>IF(Settings!$E$15="POINTS",((R647*Q647)*Settings!$B$12)+(S647*Settings!$B$2)+(T647*Settings!$B$3)+(U647*Settings!$B$4)+(V647*Settings!$B$5)+(X647*Settings!$B$9)+(AA647*Settings!$B$6)+(W647*Settings!$B$8)+(AB647*Settings!$B$7)+(AC647*Settings!$B$14)+(AD647*Settings!$B$15)+(AE647*Settings!$B$16)+(AF647*Settings!$B$17)+(AG647*Settings!$B$18)+(Y647*Settings!$B$10)+(Z647*Settings!$B$11),VLOOKUP(B647,'Standard Deviations'!A1:C728,3,FALSE))</f>
        <v>75.504520685029874</v>
      </c>
      <c r="J647" s="38">
        <f>IF(D647="G",I647/AJ647,I647/Q647)</f>
        <v>1.1149633356085715</v>
      </c>
      <c r="K647" s="37">
        <f>IF(Settings!$E$18="C/LW/RW",VLOOKUP(B647,RW!A1:F97,6,FALSE),VLOOKUP(B647,F!A1:F430,6,FALSE))</f>
        <v>-274.76701986285968</v>
      </c>
      <c r="L647" s="37">
        <f>IFERROR(K647/H647,"N/A")</f>
        <v>-343.45877482857458</v>
      </c>
      <c r="M647" s="53" t="str">
        <f>IF(Settings!$E$9="YAHOO",VLOOKUP(B647,ADP!A1:E728,2,FALSE),IF(Settings!$E$9="ESPN",VLOOKUP(B647,ADP!A1:E728,3,FALSE),IF(Settings!$E$9="FANTRAX",VLOOKUP(B647,ADP!A1:E728,4,FALSE),VLOOKUP(B647,ADP!A1:E728,5,FALSE))))</f>
        <v>-</v>
      </c>
      <c r="N647" s="53" t="str">
        <f>IFERROR(M647-A647,"N/A")</f>
        <v>N/A</v>
      </c>
      <c r="O647" s="39"/>
      <c r="P647" s="40" t="str">
        <f>IF(Settings!$E$27="ON",VLOOKUP(B647,ADP!A1:H728,8,FALSE)," ")</f>
        <v xml:space="preserve"> </v>
      </c>
      <c r="Q647" s="41">
        <f>IF(Settings!$E$12="YES",VLOOKUP(B647,'Player Data'!A1:E734,5,FALSE),82)</f>
        <v>67.719285714285704</v>
      </c>
      <c r="R647" s="39">
        <f>VLOOKUP(B647,'Player Data'!$A1:$AE734,6,FALSE)</f>
        <v>9.2804326208398908</v>
      </c>
      <c r="S647" s="41">
        <f>VLOOKUP(B647,'Player Data'!$A1:$AE734,7,FALSE)*$Q647*IFERROR((VLOOKUP(P647,Settings!$E$28:$F$33,2,FALSE)+1),1)</f>
        <v>5.5812006916128887</v>
      </c>
      <c r="T647" s="41">
        <f>VLOOKUP(B647,'Player Data'!$A1:$AE734,8,FALSE)*$Q647*IFERROR((VLOOKUP(P647,Settings!$E$28:$F$33,2,FALSE)+1),1)</f>
        <v>6.3325432190643358</v>
      </c>
      <c r="U647" s="41">
        <f>SUM(S647:T647)</f>
        <v>11.913743910677224</v>
      </c>
      <c r="V647" s="41">
        <f>VLOOKUP(B647,'Player Data'!$A1:$AE734,10,FALSE)*$Q647*IFERROR(((VLOOKUP(P647,Settings!$E$28:$F$33,2,FALSE)/2)+1),1)</f>
        <v>68.047395708469324</v>
      </c>
      <c r="W647" s="41">
        <f>VLOOKUP(B647,'Player Data'!$A1:$AE734,11,FALSE)*$Q647*IFERROR((VLOOKUP(P647,Settings!$E$28:$F$33,2,FALSE)+1),1)</f>
        <v>4.2632441557844653E-2</v>
      </c>
      <c r="X647" s="41">
        <f>VLOOKUP(B647,'Player Data'!$A1:$AE734,12,FALSE)*$Q647*IFERROR((VLOOKUP(P647,Settings!$E$28:$F$33,2,FALSE)+1),1)</f>
        <v>0.10920146247200133</v>
      </c>
      <c r="Y647" s="41">
        <f>VLOOKUP(B647,'Player Data'!$A1:$AE734,13,FALSE)*$Q647</f>
        <v>7.3274512586146312E-2</v>
      </c>
      <c r="Z647" s="41">
        <f>VLOOKUP(B647,'Player Data'!$A1:$AE734,14,FALSE)*$Q647</f>
        <v>0.13567278040400135</v>
      </c>
      <c r="AA647" s="41">
        <f>VLOOKUP(B647,'Player Data'!$A1:$AE734,15,FALSE)*$Q647</f>
        <v>26.249213065057702</v>
      </c>
      <c r="AB647" s="41">
        <f>VLOOKUP(B647,'Player Data'!$A1:$AE734,16,FALSE)*$Q647</f>
        <v>174.95987785172957</v>
      </c>
      <c r="AC647" s="41">
        <f>VLOOKUP(B647,'Player Data'!$A1:$AE734,17,FALSE)*$Q647*IFERROR((VLOOKUP(P647,Settings!$E$28:$F$33,2,FALSE)+1),1)</f>
        <v>0.32712938214503529</v>
      </c>
      <c r="AD647" s="41">
        <f>VLOOKUP(B647,'Player Data'!$A1:$AE734,18,FALSE)*$Q647</f>
        <v>26.031266477232606</v>
      </c>
      <c r="AE647" s="41">
        <f>VLOOKUP(B647,'Player Data'!$A1:$AE734,19,FALSE)*$Q647*IFERROR((VLOOKUP(P647,Settings!$E$28:$F$33,2,FALSE)+1),1)</f>
        <v>0.87345993561205448</v>
      </c>
      <c r="AF647" s="41">
        <f>VLOOKUP(B647,'Player Data'!$A1:$AE734,20,FALSE)*$Q647</f>
        <v>1.8727545571668569</v>
      </c>
      <c r="AG647" s="41">
        <f>VLOOKUP(B647,'Player Data'!$A1:$AE734,21,FALSE)*$Q647</f>
        <v>3.3511274398444457</v>
      </c>
      <c r="AH647" s="42">
        <f>VLOOKUP(B647,'Player Data'!$A1:$AE734,22,FALSE)</f>
        <v>0.35849863343741201</v>
      </c>
      <c r="AI647" s="39"/>
      <c r="AJ647" s="41"/>
      <c r="AK647" s="41"/>
      <c r="AL647" s="41"/>
      <c r="AM647" s="41"/>
      <c r="AN647" s="41"/>
      <c r="AO647" s="41"/>
      <c r="AP647" s="41"/>
      <c r="AQ647" s="44"/>
      <c r="AR647" s="45"/>
      <c r="AS647" s="39"/>
    </row>
    <row r="648" spans="1:45" ht="21.25" customHeight="1" x14ac:dyDescent="0.15">
      <c r="A648" s="31">
        <f>RANK(K648,K$2:K$727)</f>
        <v>647</v>
      </c>
      <c r="B648" s="8" t="s">
        <v>752</v>
      </c>
      <c r="C648" s="32" t="s">
        <v>106</v>
      </c>
      <c r="D648" s="33" t="str">
        <f>VLOOKUP(B648,'Player Data'!A1:D734,4,FALSE)</f>
        <v>C</v>
      </c>
      <c r="E648" s="34">
        <f>VLOOKUP(B648,'C'!A1:C211,3,FALSE)</f>
        <v>164</v>
      </c>
      <c r="F648" s="35" t="str">
        <f>VLOOKUP(B648,'Player Data'!A1:B734,2,FALSE)</f>
        <v>OTT</v>
      </c>
      <c r="G648" s="9">
        <f>VLOOKUP(B648,'Player Data'!A1:D734,3,FALSE)</f>
        <v>21</v>
      </c>
      <c r="H648" s="36">
        <f>IFERROR(VLOOKUP(B648,ADP!A1:G728,7,FALSE)/1000000,VLOOKUP(B648,ADP!A1:G728,7,FALSE))</f>
        <v>0.86329999999999996</v>
      </c>
      <c r="I648" s="37">
        <f>IF(Settings!$E$15="POINTS",((R648*Q648)*Settings!$B$12)+(S648*Settings!$B$2)+(T648*Settings!$B$3)+(U648*Settings!$B$4)+(V648*Settings!$B$5)+(X648*Settings!$B$9)+(AA648*Settings!$B$6)+(W648*Settings!$B$8)+(AB648*Settings!$B$7)+(AC648*Settings!$B$14)+(AD648*Settings!$B$15)+(AE648*Settings!$B$16)+(AF648*Settings!$B$17)+(AG648*Settings!$B$18)+(Y648*Settings!$B$10)+(Z648*Settings!$B$11),VLOOKUP(B648,'Standard Deviations'!A1:C728,3,FALSE))</f>
        <v>118.42222702371805</v>
      </c>
      <c r="J648" s="38">
        <f>IF(D648="G",I648/AJ648,I648/Q648)</f>
        <v>1.8797178892653659</v>
      </c>
      <c r="K648" s="37">
        <f>IF(Settings!$E$18="C/LW/RW",VLOOKUP(B648,'C'!A1:F211,6,FALSE),VLOOKUP(B648,F!A1:F430,6,FALSE))</f>
        <v>-274.9065787424916</v>
      </c>
      <c r="L648" s="37">
        <f>IFERROR(K648/H648,"N/A")</f>
        <v>-318.43690344317343</v>
      </c>
      <c r="M648" s="53" t="str">
        <f>IF(Settings!$E$9="YAHOO",VLOOKUP(B648,ADP!A1:E728,2,FALSE),IF(Settings!$E$9="ESPN",VLOOKUP(B648,ADP!A1:E728,3,FALSE),IF(Settings!$E$9="FANTRAX",VLOOKUP(B648,ADP!A1:E728,4,FALSE),VLOOKUP(B648,ADP!A1:E728,5,FALSE))))</f>
        <v>-</v>
      </c>
      <c r="N648" s="53" t="str">
        <f>IFERROR(M648-A648,"N/A")</f>
        <v>N/A</v>
      </c>
      <c r="O648" s="39"/>
      <c r="P648" s="40" t="str">
        <f>IF(Settings!$E$27="ON",VLOOKUP(B648,ADP!A1:H728,8,FALSE)," ")</f>
        <v xml:space="preserve"> </v>
      </c>
      <c r="Q648" s="41">
        <f>IF(Settings!$E$12="YES",VLOOKUP(B648,'Player Data'!A1:E734,5,FALSE),82)</f>
        <v>63</v>
      </c>
      <c r="R648" s="39">
        <f>VLOOKUP(B648,'Player Data'!$A1:$AE734,6,FALSE)</f>
        <v>12.1263973818598</v>
      </c>
      <c r="S648" s="41">
        <f>VLOOKUP(B648,'Player Data'!$A1:$AE734,7,FALSE)*$Q648*IFERROR((VLOOKUP(P648,Settings!$E$28:$F$33,2,FALSE)+1),1)</f>
        <v>8.6390578647996197</v>
      </c>
      <c r="T648" s="41">
        <f>VLOOKUP(B648,'Player Data'!$A1:$AE734,8,FALSE)*$Q648*IFERROR((VLOOKUP(P648,Settings!$E$28:$F$33,2,FALSE)+1),1)</f>
        <v>14.058713704551517</v>
      </c>
      <c r="U648" s="41">
        <f>SUM(S648:T648)</f>
        <v>22.697771569351136</v>
      </c>
      <c r="V648" s="41">
        <f>VLOOKUP(B648,'Player Data'!$A1:$AE734,10,FALSE)*$Q648*IFERROR(((VLOOKUP(P648,Settings!$E$28:$F$33,2,FALSE)/2)+1),1)</f>
        <v>85.539680391202381</v>
      </c>
      <c r="W648" s="41">
        <f>VLOOKUP(B648,'Player Data'!$A1:$AE734,11,FALSE)*$Q648*IFERROR((VLOOKUP(P648,Settings!$E$28:$F$33,2,FALSE)+1),1)</f>
        <v>0.31626769671394317</v>
      </c>
      <c r="X648" s="41">
        <f>VLOOKUP(B648,'Player Data'!$A1:$AE734,12,FALSE)*$Q648*IFERROR((VLOOKUP(P648,Settings!$E$28:$F$33,2,FALSE)+1),1)</f>
        <v>1.751903337044133</v>
      </c>
      <c r="Y648" s="41">
        <f>VLOOKUP(B648,'Player Data'!$A1:$AE734,13,FALSE)*$Q648</f>
        <v>0.12268799172100674</v>
      </c>
      <c r="Z648" s="41">
        <f>VLOOKUP(B648,'Player Data'!$A1:$AE734,14,FALSE)*$Q648</f>
        <v>0.22074547672387729</v>
      </c>
      <c r="AA648" s="41">
        <f>VLOOKUP(B648,'Player Data'!$A1:$AE734,15,FALSE)*$Q648</f>
        <v>18.068872462637096</v>
      </c>
      <c r="AB648" s="41">
        <f>VLOOKUP(B648,'Player Data'!$A1:$AE734,16,FALSE)*$Q648</f>
        <v>90.14413796412633</v>
      </c>
      <c r="AC648" s="41">
        <f>VLOOKUP(B648,'Player Data'!$A1:$AE734,17,FALSE)*$Q648*IFERROR((VLOOKUP(P648,Settings!$E$28:$F$33,2,FALSE)+1),1)</f>
        <v>1.8443772848826487</v>
      </c>
      <c r="AD648" s="41">
        <f>VLOOKUP(B648,'Player Data'!$A1:$AE734,18,FALSE)*$Q648</f>
        <v>24.432285416889485</v>
      </c>
      <c r="AE648" s="41">
        <f>VLOOKUP(B648,'Player Data'!$A1:$AE734,19,FALSE)*$Q648*IFERROR((VLOOKUP(P648,Settings!$E$28:$F$33,2,FALSE)+1),1)</f>
        <v>1.1999732550640192</v>
      </c>
      <c r="AF648" s="41">
        <f>VLOOKUP(B648,'Player Data'!$A1:$AE734,20,FALSE)*$Q648</f>
        <v>127.31236874572041</v>
      </c>
      <c r="AG648" s="41">
        <f>VLOOKUP(B648,'Player Data'!$A1:$AE734,21,FALSE)*$Q648</f>
        <v>195.4096822608733</v>
      </c>
      <c r="AH648" s="42">
        <f>VLOOKUP(B648,'Player Data'!$A1:$AE734,22,FALSE)</f>
        <v>0.394495412844037</v>
      </c>
      <c r="AI648" s="39"/>
      <c r="AJ648" s="43"/>
      <c r="AK648" s="41"/>
      <c r="AL648" s="41"/>
      <c r="AM648" s="41"/>
      <c r="AN648" s="41"/>
      <c r="AO648" s="41"/>
      <c r="AP648" s="41"/>
      <c r="AQ648" s="44"/>
      <c r="AR648" s="45"/>
      <c r="AS648" s="39"/>
    </row>
    <row r="649" spans="1:45" ht="21.25" customHeight="1" x14ac:dyDescent="0.15">
      <c r="A649" s="31">
        <f>RANK(K649,K$2:K$727)</f>
        <v>648</v>
      </c>
      <c r="B649" s="8" t="s">
        <v>753</v>
      </c>
      <c r="C649" s="32" t="s">
        <v>106</v>
      </c>
      <c r="D649" s="33" t="str">
        <f>VLOOKUP(B649,'Player Data'!A1:D734,4,FALSE)</f>
        <v>RW</v>
      </c>
      <c r="E649" s="46">
        <f>VLOOKUP(B649,RW!A1:F97,3,FALSE)</f>
        <v>92</v>
      </c>
      <c r="F649" s="35" t="str">
        <f>VLOOKUP(B649,'Player Data'!A1:B734,2,FALSE)</f>
        <v>TOR</v>
      </c>
      <c r="G649" s="9">
        <f>VLOOKUP(B649,'Player Data'!A1:D734,3,FALSE)</f>
        <v>24</v>
      </c>
      <c r="H649" s="36">
        <f>IFERROR(VLOOKUP(B649,ADP!A1:G728,7,FALSE)/1000000,VLOOKUP(B649,ADP!A1:G728,7,FALSE))</f>
        <v>0.8</v>
      </c>
      <c r="I649" s="37">
        <f>IF(Settings!$E$15="POINTS",((R649*Q649)*Settings!$B$12)+(S649*Settings!$B$2)+(T649*Settings!$B$3)+(U649*Settings!$B$4)+(V649*Settings!$B$5)+(X649*Settings!$B$9)+(AA649*Settings!$B$6)+(W649*Settings!$B$8)+(AB649*Settings!$B$7)+(AC649*Settings!$B$14)+(AD649*Settings!$B$15)+(AE649*Settings!$B$16)+(AF649*Settings!$B$17)+(AG649*Settings!$B$18)+(Y649*Settings!$B$10)+(Z649*Settings!$B$11),VLOOKUP(B649,'Standard Deviations'!A1:C728,3,FALSE))</f>
        <v>75.223649017808867</v>
      </c>
      <c r="J649" s="38">
        <f>IF(D649="G",I649/AJ649,I649/Q649)</f>
        <v>1.3785430708353665</v>
      </c>
      <c r="K649" s="37">
        <f>IF(Settings!$E$18="C/LW/RW",VLOOKUP(B649,RW!A1:F97,6,FALSE),VLOOKUP(B649,F!A1:F430,6,FALSE))</f>
        <v>-275.04789153008073</v>
      </c>
      <c r="L649" s="37">
        <f>IFERROR(K649/H649,"N/A")</f>
        <v>-343.80986441260092</v>
      </c>
      <c r="M649" s="53" t="str">
        <f>IF(Settings!$E$9="YAHOO",VLOOKUP(B649,ADP!A1:E728,2,FALSE),IF(Settings!$E$9="ESPN",VLOOKUP(B649,ADP!A1:E728,3,FALSE),IF(Settings!$E$9="FANTRAX",VLOOKUP(B649,ADP!A1:E728,4,FALSE),VLOOKUP(B649,ADP!A1:E728,5,FALSE))))</f>
        <v>-</v>
      </c>
      <c r="N649" s="53" t="str">
        <f>IFERROR(M649-A649,"N/A")</f>
        <v>N/A</v>
      </c>
      <c r="O649" s="39"/>
      <c r="P649" s="40" t="str">
        <f>IF(Settings!$E$27="ON",VLOOKUP(B649,ADP!A1:H728,8,FALSE)," ")</f>
        <v xml:space="preserve"> </v>
      </c>
      <c r="Q649" s="41">
        <f>IF(Settings!$E$12="YES",VLOOKUP(B649,'Player Data'!A1:E734,5,FALSE),82)</f>
        <v>54.567500000000003</v>
      </c>
      <c r="R649" s="39">
        <f>VLOOKUP(B649,'Player Data'!$A1:$AE734,6,FALSE)</f>
        <v>10.123286374526201</v>
      </c>
      <c r="S649" s="41">
        <f>VLOOKUP(B649,'Player Data'!$A1:$AE734,7,FALSE)*$Q649*IFERROR((VLOOKUP(P649,Settings!$E$28:$F$33,2,FALSE)+1),1)</f>
        <v>5.9326366135429955</v>
      </c>
      <c r="T649" s="41">
        <f>VLOOKUP(B649,'Player Data'!$A1:$AE734,8,FALSE)*$Q649*IFERROR((VLOOKUP(P649,Settings!$E$28:$F$33,2,FALSE)+1),1)</f>
        <v>9.7886432643922774</v>
      </c>
      <c r="U649" s="41">
        <f>SUM(S649:T649)</f>
        <v>15.721279877935274</v>
      </c>
      <c r="V649" s="41">
        <f>VLOOKUP(B649,'Player Data'!$A1:$AE734,10,FALSE)*$Q649*IFERROR(((VLOOKUP(P649,Settings!$E$28:$F$33,2,FALSE)/2)+1),1)</f>
        <v>44.932377864010476</v>
      </c>
      <c r="W649" s="41">
        <f>VLOOKUP(B649,'Player Data'!$A1:$AE734,11,FALSE)*$Q649*IFERROR((VLOOKUP(P649,Settings!$E$28:$F$33,2,FALSE)+1),1)</f>
        <v>7.4602713531346732E-2</v>
      </c>
      <c r="X649" s="41">
        <f>VLOOKUP(B649,'Player Data'!$A1:$AE734,12,FALSE)*$Q649*IFERROR((VLOOKUP(P649,Settings!$E$28:$F$33,2,FALSE)+1),1)</f>
        <v>0.13031957650800841</v>
      </c>
      <c r="Y649" s="41">
        <f>VLOOKUP(B649,'Player Data'!$A1:$AE734,13,FALSE)*$Q649</f>
        <v>9.1928335423679536E-2</v>
      </c>
      <c r="Z649" s="41">
        <f>VLOOKUP(B649,'Player Data'!$A1:$AE734,14,FALSE)*$Q649</f>
        <v>0.16693526230278871</v>
      </c>
      <c r="AA649" s="41">
        <f>VLOOKUP(B649,'Player Data'!$A1:$AE734,15,FALSE)*$Q649</f>
        <v>24.995553871881111</v>
      </c>
      <c r="AB649" s="41">
        <f>VLOOKUP(B649,'Player Data'!$A1:$AE734,16,FALSE)*$Q649</f>
        <v>52.354594479789142</v>
      </c>
      <c r="AC649" s="41">
        <f>VLOOKUP(B649,'Player Data'!$A1:$AE734,17,FALSE)*$Q649*IFERROR((VLOOKUP(P649,Settings!$E$28:$F$33,2,FALSE)+1),1)</f>
        <v>2.8184335976465427</v>
      </c>
      <c r="AD649" s="41">
        <f>VLOOKUP(B649,'Player Data'!$A1:$AE734,18,FALSE)*$Q649</f>
        <v>18.793463787119787</v>
      </c>
      <c r="AE649" s="41">
        <f>VLOOKUP(B649,'Player Data'!$A1:$AE734,19,FALSE)*$Q649*IFERROR((VLOOKUP(P649,Settings!$E$28:$F$33,2,FALSE)+1),1)</f>
        <v>0.95307649509476933</v>
      </c>
      <c r="AF649" s="41">
        <f>VLOOKUP(B649,'Player Data'!$A1:$AE734,20,FALSE)*$Q649</f>
        <v>133.25402930900859</v>
      </c>
      <c r="AG649" s="41">
        <f>VLOOKUP(B649,'Player Data'!$A1:$AE734,21,FALSE)*$Q649</f>
        <v>180.53771712833452</v>
      </c>
      <c r="AH649" s="42">
        <f>VLOOKUP(B649,'Player Data'!$A1:$AE734,22,FALSE)</f>
        <v>0.42465753424657499</v>
      </c>
      <c r="AI649" s="39"/>
      <c r="AJ649" s="43"/>
      <c r="AK649" s="41"/>
      <c r="AL649" s="41"/>
      <c r="AM649" s="41"/>
      <c r="AN649" s="41"/>
      <c r="AO649" s="41"/>
      <c r="AP649" s="41"/>
      <c r="AQ649" s="44"/>
      <c r="AR649" s="45"/>
      <c r="AS649" s="43"/>
    </row>
    <row r="650" spans="1:45" ht="21.25" customHeight="1" x14ac:dyDescent="0.15">
      <c r="A650" s="31">
        <f>RANK(K650,K$2:K$727)</f>
        <v>649</v>
      </c>
      <c r="B650" s="8" t="s">
        <v>754</v>
      </c>
      <c r="C650" s="32" t="s">
        <v>106</v>
      </c>
      <c r="D650" s="33" t="str">
        <f>VLOOKUP(B650,'Player Data'!A1:D734,4,FALSE)</f>
        <v>C</v>
      </c>
      <c r="E650" s="34">
        <f>VLOOKUP(B650,'C'!A1:C211,3,FALSE)</f>
        <v>165</v>
      </c>
      <c r="F650" s="35" t="str">
        <f>VLOOKUP(B650,'Player Data'!A1:B734,2,FALSE)</f>
        <v>NYI</v>
      </c>
      <c r="G650" s="9">
        <f>VLOOKUP(B650,'Player Data'!A1:D734,3,FALSE)</f>
        <v>32</v>
      </c>
      <c r="H650" s="36">
        <f>IFERROR(VLOOKUP(B650,ADP!A1:G728,7,FALSE)/1000000,VLOOKUP(B650,ADP!A1:G728,7,FALSE))</f>
        <v>2.5</v>
      </c>
      <c r="I650" s="37">
        <f>IF(Settings!$E$15="POINTS",((R650*Q650)*Settings!$B$12)+(S650*Settings!$B$2)+(T650*Settings!$B$3)+(U650*Settings!$B$4)+(V650*Settings!$B$5)+(X650*Settings!$B$9)+(AA650*Settings!$B$6)+(W650*Settings!$B$8)+(AB650*Settings!$B$7)+(AC650*Settings!$B$14)+(AD650*Settings!$B$15)+(AE650*Settings!$B$16)+(AF650*Settings!$B$17)+(AG650*Settings!$B$18)+(Y650*Settings!$B$10)+(Z650*Settings!$B$11),VLOOKUP(B650,'Standard Deviations'!A1:C728,3,FALSE))</f>
        <v>118.04925414598516</v>
      </c>
      <c r="J650" s="38">
        <f>IF(D650="G",I650/AJ650,I650/Q650)</f>
        <v>1.4618650090831264</v>
      </c>
      <c r="K650" s="37">
        <f>IF(Settings!$E$18="C/LW/RW",VLOOKUP(B650,'C'!A1:F211,6,FALSE),VLOOKUP(B650,F!A1:F430,6,FALSE))</f>
        <v>-275.27955162022448</v>
      </c>
      <c r="L650" s="37">
        <f>IFERROR(K650/H650,"N/A")</f>
        <v>-110.11182064808979</v>
      </c>
      <c r="M650" s="53" t="str">
        <f>IF(Settings!$E$9="YAHOO",VLOOKUP(B650,ADP!A1:E728,2,FALSE),IF(Settings!$E$9="ESPN",VLOOKUP(B650,ADP!A1:E728,3,FALSE),IF(Settings!$E$9="FANTRAX",VLOOKUP(B650,ADP!A1:E728,4,FALSE),VLOOKUP(B650,ADP!A1:E728,5,FALSE))))</f>
        <v>-</v>
      </c>
      <c r="N650" s="53" t="str">
        <f>IFERROR(M650-A650,"N/A")</f>
        <v>N/A</v>
      </c>
      <c r="O650" s="39"/>
      <c r="P650" s="40" t="str">
        <f>IF(Settings!$E$27="ON",VLOOKUP(B650,ADP!A1:H728,8,FALSE)," ")</f>
        <v xml:space="preserve"> </v>
      </c>
      <c r="Q650" s="41">
        <f>IF(Settings!$E$12="YES",VLOOKUP(B650,'Player Data'!A1:E734,5,FALSE),82)</f>
        <v>80.752499999999998</v>
      </c>
      <c r="R650" s="39">
        <f>VLOOKUP(B650,'Player Data'!$A1:$AE734,6,FALSE)</f>
        <v>13.682718181534</v>
      </c>
      <c r="S650" s="41">
        <f>VLOOKUP(B650,'Player Data'!$A1:$AE734,7,FALSE)*$Q650*IFERROR((VLOOKUP(P650,Settings!$E$28:$F$33,2,FALSE)+1),1)</f>
        <v>7.0340307022258663</v>
      </c>
      <c r="T650" s="41">
        <f>VLOOKUP(B650,'Player Data'!$A1:$AE734,8,FALSE)*$Q650*IFERROR((VLOOKUP(P650,Settings!$E$28:$F$33,2,FALSE)+1),1)</f>
        <v>10.781212414262455</v>
      </c>
      <c r="U650" s="41">
        <f>SUM(S650:T650)</f>
        <v>17.815243116488322</v>
      </c>
      <c r="V650" s="41">
        <f>VLOOKUP(B650,'Player Data'!$A1:$AE734,10,FALSE)*$Q650*IFERROR(((VLOOKUP(P650,Settings!$E$28:$F$33,2,FALSE)/2)+1),1)</f>
        <v>104.29774626913887</v>
      </c>
      <c r="W650" s="41">
        <f>VLOOKUP(B650,'Player Data'!$A1:$AE734,11,FALSE)*$Q650*IFERROR((VLOOKUP(P650,Settings!$E$28:$F$33,2,FALSE)+1),1)</f>
        <v>4.5139728653371326E-2</v>
      </c>
      <c r="X650" s="41">
        <f>VLOOKUP(B650,'Player Data'!$A1:$AE734,12,FALSE)*$Q650*IFERROR((VLOOKUP(P650,Settings!$E$28:$F$33,2,FALSE)+1),1)</f>
        <v>0.11904963192293606</v>
      </c>
      <c r="Y650" s="41">
        <f>VLOOKUP(B650,'Player Data'!$A1:$AE734,13,FALSE)*$Q650</f>
        <v>0.38461215340119753</v>
      </c>
      <c r="Z650" s="41">
        <f>VLOOKUP(B650,'Player Data'!$A1:$AE734,14,FALSE)*$Q650</f>
        <v>0.97836893368407296</v>
      </c>
      <c r="AA650" s="41">
        <f>VLOOKUP(B650,'Player Data'!$A1:$AE734,15,FALSE)*$Q650</f>
        <v>51.29907265368373</v>
      </c>
      <c r="AB650" s="41">
        <f>VLOOKUP(B650,'Player Data'!$A1:$AE734,16,FALSE)*$Q650</f>
        <v>160.05526859886757</v>
      </c>
      <c r="AC650" s="41">
        <f>VLOOKUP(B650,'Player Data'!$A1:$AE734,17,FALSE)*$Q650*IFERROR((VLOOKUP(P650,Settings!$E$28:$F$33,2,FALSE)+1),1)</f>
        <v>-1.8842516620061907</v>
      </c>
      <c r="AD650" s="41">
        <f>VLOOKUP(B650,'Player Data'!$A1:$AE734,18,FALSE)*$Q650</f>
        <v>41.035815549441914</v>
      </c>
      <c r="AE650" s="41">
        <f>VLOOKUP(B650,'Player Data'!$A1:$AE734,19,FALSE)*$Q650*IFERROR((VLOOKUP(P650,Settings!$E$28:$F$33,2,FALSE)+1),1)</f>
        <v>1.0869114887127369</v>
      </c>
      <c r="AF650" s="41">
        <f>VLOOKUP(B650,'Player Data'!$A1:$AE734,20,FALSE)*$Q650</f>
        <v>490.16400672733511</v>
      </c>
      <c r="AG650" s="41">
        <f>VLOOKUP(B650,'Player Data'!$A1:$AE734,21,FALSE)*$Q650</f>
        <v>416.18118824453097</v>
      </c>
      <c r="AH650" s="42">
        <f>VLOOKUP(B650,'Player Data'!$A1:$AE734,22,FALSE)</f>
        <v>0.54081381955420504</v>
      </c>
      <c r="AI650" s="39"/>
      <c r="AJ650" s="41"/>
      <c r="AK650" s="41"/>
      <c r="AL650" s="41"/>
      <c r="AM650" s="41"/>
      <c r="AN650" s="41"/>
      <c r="AO650" s="41"/>
      <c r="AP650" s="41"/>
      <c r="AQ650" s="44"/>
      <c r="AR650" s="45"/>
      <c r="AS650" s="39"/>
    </row>
    <row r="651" spans="1:45" ht="21.25" customHeight="1" x14ac:dyDescent="0.15">
      <c r="A651" s="31">
        <f>RANK(K651,K$2:K$727)</f>
        <v>650</v>
      </c>
      <c r="B651" s="8" t="s">
        <v>755</v>
      </c>
      <c r="C651" s="32" t="s">
        <v>106</v>
      </c>
      <c r="D651" s="33" t="str">
        <f>VLOOKUP(B651,'Player Data'!A1:D734,4,FALSE)</f>
        <v>C</v>
      </c>
      <c r="E651" s="34">
        <f>VLOOKUP(B651,'C'!A1:C211,3,FALSE)</f>
        <v>166</v>
      </c>
      <c r="F651" s="35" t="str">
        <f>VLOOKUP(B651,'Player Data'!A1:B734,2,FALSE)</f>
        <v>VGK</v>
      </c>
      <c r="G651" s="9">
        <f>VLOOKUP(B651,'Player Data'!A1:D734,3,FALSE)</f>
        <v>23</v>
      </c>
      <c r="H651" s="36">
        <f>IFERROR(VLOOKUP(B651,ADP!A1:G728,7,FALSE)/1000000,VLOOKUP(B651,ADP!A1:G728,7,FALSE))</f>
        <v>0.77500000000000002</v>
      </c>
      <c r="I651" s="37">
        <f>IF(Settings!$E$15="POINTS",((R651*Q651)*Settings!$B$12)+(S651*Settings!$B$2)+(T651*Settings!$B$3)+(U651*Settings!$B$4)+(V651*Settings!$B$5)+(X651*Settings!$B$9)+(AA651*Settings!$B$6)+(W651*Settings!$B$8)+(AB651*Settings!$B$7)+(AC651*Settings!$B$14)+(AD651*Settings!$B$15)+(AE651*Settings!$B$16)+(AF651*Settings!$B$17)+(AG651*Settings!$B$18)+(Y651*Settings!$B$10)+(Z651*Settings!$B$11),VLOOKUP(B651,'Standard Deviations'!A1:C728,3,FALSE))</f>
        <v>116.87366577957985</v>
      </c>
      <c r="J651" s="38">
        <f>IF(D651="G",I651/AJ651,I651/Q651)</f>
        <v>1.7327452302383965</v>
      </c>
      <c r="K651" s="37">
        <f>IF(Settings!$E$18="C/LW/RW",VLOOKUP(B651,'C'!A1:F211,6,FALSE),VLOOKUP(B651,F!A1:F430,6,FALSE))</f>
        <v>-276.45513998662977</v>
      </c>
      <c r="L651" s="37">
        <f>IFERROR(K651/H651,"N/A")</f>
        <v>-356.71630966016744</v>
      </c>
      <c r="M651" s="53" t="str">
        <f>IF(Settings!$E$9="YAHOO",VLOOKUP(B651,ADP!A1:E728,2,FALSE),IF(Settings!$E$9="ESPN",VLOOKUP(B651,ADP!A1:E728,3,FALSE),IF(Settings!$E$9="FANTRAX",VLOOKUP(B651,ADP!A1:E728,4,FALSE),VLOOKUP(B651,ADP!A1:E728,5,FALSE))))</f>
        <v>-</v>
      </c>
      <c r="N651" s="53" t="str">
        <f>IFERROR(M651-A651,"N/A")</f>
        <v>N/A</v>
      </c>
      <c r="O651" s="39"/>
      <c r="P651" s="40" t="str">
        <f>IF(Settings!$E$27="ON",VLOOKUP(B651,ADP!A1:H728,8,FALSE)," ")</f>
        <v xml:space="preserve"> </v>
      </c>
      <c r="Q651" s="41">
        <f>IF(Settings!$E$12="YES",VLOOKUP(B651,'Player Data'!A1:E734,5,FALSE),82)</f>
        <v>67.45</v>
      </c>
      <c r="R651" s="39">
        <f>VLOOKUP(B651,'Player Data'!$A1:$AE734,6,FALSE)</f>
        <v>11.811131444220999</v>
      </c>
      <c r="S651" s="41">
        <f>VLOOKUP(B651,'Player Data'!$A1:$AE734,7,FALSE)*$Q651*IFERROR((VLOOKUP(P651,Settings!$E$28:$F$33,2,FALSE)+1),1)</f>
        <v>14.140722198870941</v>
      </c>
      <c r="T651" s="41">
        <f>VLOOKUP(B651,'Player Data'!$A1:$AE734,8,FALSE)*$Q651*IFERROR((VLOOKUP(P651,Settings!$E$28:$F$33,2,FALSE)+1),1)</f>
        <v>8.456563713246446</v>
      </c>
      <c r="U651" s="41">
        <f>SUM(S651:T651)</f>
        <v>22.597285912117385</v>
      </c>
      <c r="V651" s="41">
        <f>VLOOKUP(B651,'Player Data'!$A1:$AE734,10,FALSE)*$Q651*IFERROR(((VLOOKUP(P651,Settings!$E$28:$F$33,2,FALSE)/2)+1),1)</f>
        <v>87.514443925748211</v>
      </c>
      <c r="W651" s="41">
        <f>VLOOKUP(B651,'Player Data'!$A1:$AE734,11,FALSE)*$Q651*IFERROR((VLOOKUP(P651,Settings!$E$28:$F$33,2,FALSE)+1),1)</f>
        <v>0.20876444993795543</v>
      </c>
      <c r="X651" s="41">
        <f>VLOOKUP(B651,'Player Data'!$A1:$AE734,12,FALSE)*$Q651*IFERROR((VLOOKUP(P651,Settings!$E$28:$F$33,2,FALSE)+1),1)</f>
        <v>0.53650437188973132</v>
      </c>
      <c r="Y651" s="41">
        <f>VLOOKUP(B651,'Player Data'!$A1:$AE734,13,FALSE)*$Q651</f>
        <v>6.4129261076882726E-3</v>
      </c>
      <c r="Z651" s="41">
        <f>VLOOKUP(B651,'Player Data'!$A1:$AE734,14,FALSE)*$Q651</f>
        <v>1.1913091937063233E-2</v>
      </c>
      <c r="AA651" s="41">
        <f>VLOOKUP(B651,'Player Data'!$A1:$AE734,15,FALSE)*$Q651</f>
        <v>21.138755763499972</v>
      </c>
      <c r="AB651" s="41">
        <f>VLOOKUP(B651,'Player Data'!$A1:$AE734,16,FALSE)*$Q651</f>
        <v>166.36321218450681</v>
      </c>
      <c r="AC651" s="41">
        <f>VLOOKUP(B651,'Player Data'!$A1:$AE734,17,FALSE)*$Q651*IFERROR((VLOOKUP(P651,Settings!$E$28:$F$33,2,FALSE)+1),1)</f>
        <v>2.0906656350978872</v>
      </c>
      <c r="AD651" s="41">
        <f>VLOOKUP(B651,'Player Data'!$A1:$AE734,18,FALSE)*$Q651</f>
        <v>20.356003298822849</v>
      </c>
      <c r="AE651" s="41">
        <f>VLOOKUP(B651,'Player Data'!$A1:$AE734,19,FALSE)*$Q651*IFERROR((VLOOKUP(P651,Settings!$E$28:$F$33,2,FALSE)+1),1)</f>
        <v>2.3109798334774583</v>
      </c>
      <c r="AF651" s="41">
        <f>VLOOKUP(B651,'Player Data'!$A1:$AE734,20,FALSE)*$Q651</f>
        <v>11.474608042224078</v>
      </c>
      <c r="AG651" s="41">
        <f>VLOOKUP(B651,'Player Data'!$A1:$AE734,21,FALSE)*$Q651</f>
        <v>15.376420467397592</v>
      </c>
      <c r="AH651" s="42">
        <f>VLOOKUP(B651,'Player Data'!$A1:$AE734,22,FALSE)</f>
        <v>0.427343333910368</v>
      </c>
      <c r="AI651" s="39"/>
      <c r="AJ651" s="43"/>
      <c r="AK651" s="41"/>
      <c r="AL651" s="41"/>
      <c r="AM651" s="41"/>
      <c r="AN651" s="41"/>
      <c r="AO651" s="41"/>
      <c r="AP651" s="41"/>
      <c r="AQ651" s="44"/>
      <c r="AR651" s="45"/>
      <c r="AS651" s="43"/>
    </row>
    <row r="652" spans="1:45" ht="21.25" customHeight="1" x14ac:dyDescent="0.15">
      <c r="A652" s="31">
        <f>RANK(K652,K$2:K$727)</f>
        <v>651</v>
      </c>
      <c r="B652" s="8" t="s">
        <v>756</v>
      </c>
      <c r="C652" s="32" t="s">
        <v>106</v>
      </c>
      <c r="D652" s="33" t="str">
        <f>VLOOKUP(B652,'Player Data'!A1:D734,4,FALSE)</f>
        <v>G</v>
      </c>
      <c r="E652" s="50">
        <f>VLOOKUP(B652,G!A1:D75,3,FALSE)</f>
        <v>56</v>
      </c>
      <c r="F652" s="35" t="str">
        <f>VLOOKUP(B652,'Player Data'!A1:B734,2,FALSE)</f>
        <v>STL</v>
      </c>
      <c r="G652" s="9">
        <f>VLOOKUP(B652,'Player Data'!A1:D734,3,FALSE)</f>
        <v>23</v>
      </c>
      <c r="H652" s="36">
        <f>IFERROR(VLOOKUP(B652,ADP!A1:G728,7,FALSE)/1000000,VLOOKUP(B652,ADP!A1:G728,7,FALSE))</f>
        <v>0</v>
      </c>
      <c r="I652" s="37">
        <f>IF(Settings!$E$15="POINTS",(AJ652*Settings!$B$29)+(AK652*Settings!$B$21)+(AL652*Settings!$B$22)+(AN652*Settings!$B$24)+(AO652*Settings!$B$25)+(AP652*Settings!$B$27)+(AM652*Settings!$B$23),VLOOKUP(B652,'Standard Deviations'!A1:C728,3,FALSE))</f>
        <v>121.33202102864334</v>
      </c>
      <c r="J652" s="38">
        <f>IF(D652="G",I652/AJ652,I652/Q652)</f>
        <v>6.0666010514321673</v>
      </c>
      <c r="K652" s="37">
        <f>VLOOKUP(B652,G!A1:F75,6,FALSE)</f>
        <v>-277.44364106067286</v>
      </c>
      <c r="L652" s="52" t="str">
        <f>IFERROR(K652/H652,"N/A")</f>
        <v>N/A</v>
      </c>
      <c r="M652" s="53" t="str">
        <f>IF(Settings!$E$9="YAHOO",VLOOKUP(B652,ADP!A1:E728,2,FALSE),IF(Settings!$E$9="ESPN",VLOOKUP(B652,ADP!A1:E728,3,FALSE),IF(Settings!$E$9="FANTRAX",VLOOKUP(B652,ADP!A1:E728,4,FALSE),VLOOKUP(B652,ADP!A1:E728,5,FALSE))))</f>
        <v>-</v>
      </c>
      <c r="N652" s="53" t="str">
        <f>IFERROR(M652-A652,"N/A")</f>
        <v>N/A</v>
      </c>
      <c r="O652" s="39"/>
      <c r="P652" s="40" t="str">
        <f>IF(Settings!$E$27="ON",VLOOKUP(B652,ADP!A1:H728,8,FALSE)," ")</f>
        <v xml:space="preserve"> </v>
      </c>
      <c r="Q652" s="41"/>
      <c r="R652" s="5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2"/>
      <c r="AI652" s="39"/>
      <c r="AJ652" s="43">
        <f>VLOOKUP(B652,'Player Data'!$A1:$AE734,24,FALSE)</f>
        <v>20</v>
      </c>
      <c r="AK652" s="41">
        <f>VLOOKUP(B652,'Player Data'!$A1:$AE734,25,FALSE)*$AJ652*IFERROR((VLOOKUP(P652,Settings!$E$28:$F$33,2,FALSE)+1),1)</f>
        <v>7.8262053827563207</v>
      </c>
      <c r="AL652" s="41">
        <f>AJ652-AK652-AM652</f>
        <v>9.6737946172436793</v>
      </c>
      <c r="AM652" s="41">
        <f>VLOOKUP(B652,'Player Data'!$A1:$AE734,27,FALSE)*$AJ652</f>
        <v>2.5</v>
      </c>
      <c r="AN652" s="41">
        <f>VLOOKUP(B652,'Player Data'!$A1:$AE734,28,FALSE)*AJ652</f>
        <v>0.65689420487997996</v>
      </c>
      <c r="AO652" s="41">
        <f>VLOOKUP(B652,'Player Data'!$A1:$AE734,29,FALSE)*$AJ652*IFERROR((VLOOKUP(P652,Settings!$E$28:$F$33,2,FALSE)/4)+1,1)</f>
        <v>566.83099695588999</v>
      </c>
      <c r="AP652" s="41">
        <f>VLOOKUP(B652,'Player Data'!$A1:$AE734,31,FALSE)*$AJ652*(IFERROR(1-(VLOOKUP(P652,Settings!$E$28:$F$33,2,FALSE)/4),1))</f>
        <v>62.291960669110196</v>
      </c>
      <c r="AQ652" s="44">
        <f>1-(AP652/(AO652+AP652))</f>
        <v>0.90098603156326018</v>
      </c>
      <c r="AR652" s="45">
        <f>AP652/AJ652</f>
        <v>3.1145980334555099</v>
      </c>
      <c r="AS652" s="39"/>
    </row>
    <row r="653" spans="1:45" ht="21.25" customHeight="1" x14ac:dyDescent="0.15">
      <c r="A653" s="31">
        <f>RANK(K653,K$2:K$727)</f>
        <v>652</v>
      </c>
      <c r="B653" s="8" t="s">
        <v>757</v>
      </c>
      <c r="C653" s="32" t="s">
        <v>106</v>
      </c>
      <c r="D653" s="33" t="str">
        <f>VLOOKUP(B653,'Player Data'!A1:D734,4,FALSE)</f>
        <v>LW</v>
      </c>
      <c r="E653" s="47">
        <f>VLOOKUP(B653,LW!A1:C130,3,FALSE)</f>
        <v>116</v>
      </c>
      <c r="F653" s="35" t="str">
        <f>VLOOKUP(B653,'Player Data'!A1:B734,2,FALSE)</f>
        <v>NYI</v>
      </c>
      <c r="G653" s="9">
        <f>VLOOKUP(B653,'Player Data'!A1:D734,3,FALSE)</f>
        <v>34</v>
      </c>
      <c r="H653" s="36">
        <f>IFERROR(VLOOKUP(B653,ADP!A1:G728,7,FALSE)/1000000,VLOOKUP(B653,ADP!A1:G728,7,FALSE))</f>
        <v>1.5</v>
      </c>
      <c r="I653" s="37">
        <f>IF(Settings!$E$15="POINTS",((R653*Q653)*Settings!$B$12)+(S653*Settings!$B$2)+(T653*Settings!$B$3)+(U653*Settings!$B$4)+(V653*Settings!$B$5)+(X653*Settings!$B$9)+(AA653*Settings!$B$6)+(W653*Settings!$B$8)+(AB653*Settings!$B$7)+(AC653*Settings!$B$14)+(AD653*Settings!$B$15)+(AE653*Settings!$B$16)+(AF653*Settings!$B$17)+(AG653*Settings!$B$18)+(Y653*Settings!$B$10)+(Z653*Settings!$B$11),VLOOKUP(B653,'Standard Deviations'!A1:C728,3,FALSE))</f>
        <v>84.792799291421261</v>
      </c>
      <c r="J653" s="38">
        <f>IF(D653="G",I653/AJ653,I653/Q653)</f>
        <v>1.0592857691716462</v>
      </c>
      <c r="K653" s="37">
        <f>IF(Settings!$E$18="C/LW/RW",VLOOKUP(B653,LW!A1:F130,6,FALSE),VLOOKUP(B653,F!A1:F430,6,FALSE))</f>
        <v>-279.2478055662292</v>
      </c>
      <c r="L653" s="37">
        <f>IFERROR(K653/H653,"N/A")</f>
        <v>-186.16520371081947</v>
      </c>
      <c r="M653" s="53" t="str">
        <f>IF(Settings!$E$9="YAHOO",VLOOKUP(B653,ADP!A1:E728,2,FALSE),IF(Settings!$E$9="ESPN",VLOOKUP(B653,ADP!A1:E728,3,FALSE),IF(Settings!$E$9="FANTRAX",VLOOKUP(B653,ADP!A1:E728,4,FALSE),VLOOKUP(B653,ADP!A1:E728,5,FALSE))))</f>
        <v>-</v>
      </c>
      <c r="N653" s="53" t="str">
        <f>IFERROR(M653-A653,"N/A")</f>
        <v>N/A</v>
      </c>
      <c r="O653" s="39"/>
      <c r="P653" s="40" t="str">
        <f>IF(Settings!$E$27="ON",VLOOKUP(B653,ADP!A1:H728,8,FALSE)," ")</f>
        <v xml:space="preserve"> </v>
      </c>
      <c r="Q653" s="41">
        <f>IF(Settings!$E$12="YES",VLOOKUP(B653,'Player Data'!A1:E734,5,FALSE),82)</f>
        <v>80.047142857142902</v>
      </c>
      <c r="R653" s="39">
        <f>VLOOKUP(B653,'Player Data'!$A1:$AE734,6,FALSE)</f>
        <v>10.628550945429801</v>
      </c>
      <c r="S653" s="41">
        <f>VLOOKUP(B653,'Player Data'!$A1:$AE734,7,FALSE)*$Q653*IFERROR((VLOOKUP(P653,Settings!$E$28:$F$33,2,FALSE)+1),1)</f>
        <v>4.7048239110748478</v>
      </c>
      <c r="T653" s="41">
        <f>VLOOKUP(B653,'Player Data'!$A1:$AE734,8,FALSE)*$Q653*IFERROR((VLOOKUP(P653,Settings!$E$28:$F$33,2,FALSE)+1),1)</f>
        <v>7.7194301852820866</v>
      </c>
      <c r="U653" s="41">
        <f>SUM(S653:T653)</f>
        <v>12.424254096356934</v>
      </c>
      <c r="V653" s="41">
        <f>VLOOKUP(B653,'Player Data'!$A1:$AE734,10,FALSE)*$Q653*IFERROR(((VLOOKUP(P653,Settings!$E$28:$F$33,2,FALSE)/2)+1),1)</f>
        <v>79.765554981833105</v>
      </c>
      <c r="W653" s="41">
        <f>VLOOKUP(B653,'Player Data'!$A1:$AE734,11,FALSE)*$Q653*IFERROR((VLOOKUP(P653,Settings!$E$28:$F$33,2,FALSE)+1),1)</f>
        <v>5.3967395442718974E-2</v>
      </c>
      <c r="X653" s="41">
        <f>VLOOKUP(B653,'Player Data'!$A1:$AE734,12,FALSE)*$Q653*IFERROR((VLOOKUP(P653,Settings!$E$28:$F$33,2,FALSE)+1),1)</f>
        <v>0.13726397537242591</v>
      </c>
      <c r="Y653" s="41">
        <f>VLOOKUP(B653,'Player Data'!$A1:$AE734,13,FALSE)*$Q653</f>
        <v>3.2893483146501631E-2</v>
      </c>
      <c r="Z653" s="41">
        <f>VLOOKUP(B653,'Player Data'!$A1:$AE734,14,FALSE)*$Q653</f>
        <v>6.3886482229646893E-2</v>
      </c>
      <c r="AA653" s="41">
        <f>VLOOKUP(B653,'Player Data'!$A1:$AE734,15,FALSE)*$Q653</f>
        <v>36.174792981148777</v>
      </c>
      <c r="AB653" s="41">
        <f>VLOOKUP(B653,'Player Data'!$A1:$AE734,16,FALSE)*$Q653</f>
        <v>248.07747979875492</v>
      </c>
      <c r="AC653" s="41">
        <f>VLOOKUP(B653,'Player Data'!$A1:$AE734,17,FALSE)*$Q653*IFERROR((VLOOKUP(P653,Settings!$E$28:$F$33,2,FALSE)+1),1)</f>
        <v>-1.0533784012561966</v>
      </c>
      <c r="AD653" s="41">
        <f>VLOOKUP(B653,'Player Data'!$A1:$AE734,18,FALSE)*$Q653</f>
        <v>44.603201884599329</v>
      </c>
      <c r="AE653" s="41">
        <f>VLOOKUP(B653,'Player Data'!$A1:$AE734,19,FALSE)*$Q653*IFERROR((VLOOKUP(P653,Settings!$E$28:$F$33,2,FALSE)+1),1)</f>
        <v>0.72699812920910534</v>
      </c>
      <c r="AF653" s="41">
        <f>VLOOKUP(B653,'Player Data'!$A1:$AE734,20,FALSE)*$Q653</f>
        <v>8.3017025627844845</v>
      </c>
      <c r="AG653" s="41">
        <f>VLOOKUP(B653,'Player Data'!$A1:$AE734,21,FALSE)*$Q653</f>
        <v>15.500061506729544</v>
      </c>
      <c r="AH653" s="42">
        <f>VLOOKUP(B653,'Player Data'!$A1:$AE734,22,FALSE)</f>
        <v>0.348785179894189</v>
      </c>
      <c r="AI653" s="39"/>
      <c r="AJ653" s="43"/>
      <c r="AK653" s="41"/>
      <c r="AL653" s="41"/>
      <c r="AM653" s="41"/>
      <c r="AN653" s="41"/>
      <c r="AO653" s="41"/>
      <c r="AP653" s="41"/>
      <c r="AQ653" s="44"/>
      <c r="AR653" s="45"/>
      <c r="AS653" s="39"/>
    </row>
    <row r="654" spans="1:45" ht="21.25" customHeight="1" x14ac:dyDescent="0.15">
      <c r="A654" s="31">
        <f>RANK(K654,K$2:K$727)</f>
        <v>653</v>
      </c>
      <c r="B654" s="8" t="s">
        <v>758</v>
      </c>
      <c r="C654" s="32" t="s">
        <v>106</v>
      </c>
      <c r="D654" s="33" t="str">
        <f>VLOOKUP(B654,'Player Data'!A1:D734,4,FALSE)</f>
        <v>G</v>
      </c>
      <c r="E654" s="50">
        <f>VLOOKUP(B654,G!A1:D75,3,FALSE)</f>
        <v>57</v>
      </c>
      <c r="F654" s="35" t="str">
        <f>VLOOKUP(B654,'Player Data'!A1:B734,2,FALSE)</f>
        <v>DAL</v>
      </c>
      <c r="G654" s="9">
        <f>VLOOKUP(B654,'Player Data'!A1:D734,3,FALSE)</f>
        <v>31</v>
      </c>
      <c r="H654" s="36">
        <f>IFERROR(VLOOKUP(B654,ADP!A1:G728,7,FALSE)/1000000,VLOOKUP(B654,ADP!A1:G728,7,FALSE))</f>
        <v>1</v>
      </c>
      <c r="I654" s="37">
        <f>IF(Settings!$E$15="POINTS",(AJ654*Settings!$B$29)+(AK654*Settings!$B$21)+(AL654*Settings!$B$22)+(AN654*Settings!$B$24)+(AO654*Settings!$B$25)+(AP654*Settings!$B$27)+(AM654*Settings!$B$23),VLOOKUP(B654,'Standard Deviations'!A1:C728,3,FALSE))</f>
        <v>119.11663415711274</v>
      </c>
      <c r="J654" s="38">
        <f>IF(D654="G",I654/AJ654,I654/Q654)</f>
        <v>6.6175907865062635</v>
      </c>
      <c r="K654" s="37">
        <f>VLOOKUP(B654,G!A1:F75,6,FALSE)</f>
        <v>-279.65902793220346</v>
      </c>
      <c r="L654" s="37">
        <f>IFERROR(K654/H654,"N/A")</f>
        <v>-279.65902793220346</v>
      </c>
      <c r="M654" s="53" t="str">
        <f>IF(Settings!$E$9="YAHOO",VLOOKUP(B654,ADP!A1:E728,2,FALSE),IF(Settings!$E$9="ESPN",VLOOKUP(B654,ADP!A1:E728,3,FALSE),IF(Settings!$E$9="FANTRAX",VLOOKUP(B654,ADP!A1:E728,4,FALSE),VLOOKUP(B654,ADP!A1:E728,5,FALSE))))</f>
        <v>-</v>
      </c>
      <c r="N654" s="53" t="str">
        <f>IFERROR(M654-A654,"N/A")</f>
        <v>N/A</v>
      </c>
      <c r="O654" s="39"/>
      <c r="P654" s="40" t="str">
        <f>IF(Settings!$E$27="ON",VLOOKUP(B654,ADP!A1:H728,8,FALSE)," ")</f>
        <v xml:space="preserve"> </v>
      </c>
      <c r="Q654" s="41"/>
      <c r="R654" s="5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2"/>
      <c r="AI654" s="39"/>
      <c r="AJ654" s="43">
        <f>VLOOKUP(B654,'Player Data'!$A1:$AE734,24,FALSE)</f>
        <v>18</v>
      </c>
      <c r="AK654" s="41">
        <f>VLOOKUP(B654,'Player Data'!$A1:$AE734,25,FALSE)*$AJ654*IFERROR((VLOOKUP(P654,Settings!$E$28:$F$33,2,FALSE)+1),1)</f>
        <v>10.140863053736322</v>
      </c>
      <c r="AL654" s="41">
        <f>AJ654-AK654-AM654</f>
        <v>5.6091369462636784</v>
      </c>
      <c r="AM654" s="41">
        <f>VLOOKUP(B654,'Player Data'!$A1:$AE734,27,FALSE)*$AJ654</f>
        <v>2.25</v>
      </c>
      <c r="AN654" s="41">
        <f>VLOOKUP(B654,'Player Data'!$A1:$AE734,28,FALSE)*AJ654</f>
        <v>0.98676556485423117</v>
      </c>
      <c r="AO654" s="41">
        <f>VLOOKUP(B654,'Player Data'!$A1:$AE734,29,FALSE)*$AJ654*IFERROR((VLOOKUP(P654,Settings!$E$28:$F$33,2,FALSE)/4)+1,1)</f>
        <v>478.7526325867704</v>
      </c>
      <c r="AP654" s="41">
        <f>VLOOKUP(B654,'Player Data'!$A1:$AE734,31,FALSE)*$AJ654*(IFERROR(1-(VLOOKUP(P654,Settings!$E$28:$F$33,2,FALSE)/4),1))</f>
        <v>50.885267475729961</v>
      </c>
      <c r="AQ654" s="44">
        <f>1-(AP654/(AO654+AP654))</f>
        <v>0.90392442181776422</v>
      </c>
      <c r="AR654" s="45">
        <f>AP654/AJ654</f>
        <v>2.8269593042072199</v>
      </c>
      <c r="AS654" s="39"/>
    </row>
    <row r="655" spans="1:45" ht="21.25" customHeight="1" x14ac:dyDescent="0.15">
      <c r="A655" s="31">
        <f>RANK(K655,K$2:K$727)</f>
        <v>654</v>
      </c>
      <c r="B655" s="8" t="s">
        <v>759</v>
      </c>
      <c r="C655" s="32" t="s">
        <v>106</v>
      </c>
      <c r="D655" s="33" t="str">
        <f>VLOOKUP(B655,'Player Data'!A1:D734,4,FALSE)</f>
        <v>C</v>
      </c>
      <c r="E655" s="34">
        <f>VLOOKUP(B655,'C'!A1:C211,3,FALSE)</f>
        <v>167</v>
      </c>
      <c r="F655" s="35" t="str">
        <f>VLOOKUP(B655,'Player Data'!A1:B734,2,FALSE)</f>
        <v>ARI</v>
      </c>
      <c r="G655" s="9">
        <f>VLOOKUP(B655,'Player Data'!A1:D734,3,FALSE)</f>
        <v>29</v>
      </c>
      <c r="H655" s="36">
        <f>IFERROR(VLOOKUP(B655,ADP!A1:G728,7,FALSE)/1000000,VLOOKUP(B655,ADP!A1:G728,7,FALSE))</f>
        <v>1.75</v>
      </c>
      <c r="I655" s="37">
        <f>IF(Settings!$E$15="POINTS",((R655*Q655)*Settings!$B$12)+(S655*Settings!$B$2)+(T655*Settings!$B$3)+(U655*Settings!$B$4)+(V655*Settings!$B$5)+(X655*Settings!$B$9)+(AA655*Settings!$B$6)+(W655*Settings!$B$8)+(AB655*Settings!$B$7)+(AC655*Settings!$B$14)+(AD655*Settings!$B$15)+(AE655*Settings!$B$16)+(AF655*Settings!$B$17)+(AG655*Settings!$B$18)+(Y655*Settings!$B$10)+(Z655*Settings!$B$11),VLOOKUP(B655,'Standard Deviations'!A1:C728,3,FALSE))</f>
        <v>113.48605185360516</v>
      </c>
      <c r="J655" s="38">
        <f>IF(D655="G",I655/AJ655,I655/Q655)</f>
        <v>1.5674869040553199</v>
      </c>
      <c r="K655" s="37">
        <f>IF(Settings!$E$18="C/LW/RW",VLOOKUP(B655,'C'!A1:F211,6,FALSE),VLOOKUP(B655,F!A1:F430,6,FALSE))</f>
        <v>-279.84275391260451</v>
      </c>
      <c r="L655" s="37">
        <f>IFERROR(K655/H655,"N/A")</f>
        <v>-159.91014509291685</v>
      </c>
      <c r="M655" s="53" t="str">
        <f>IF(Settings!$E$9="YAHOO",VLOOKUP(B655,ADP!A1:E728,2,FALSE),IF(Settings!$E$9="ESPN",VLOOKUP(B655,ADP!A1:E728,3,FALSE),IF(Settings!$E$9="FANTRAX",VLOOKUP(B655,ADP!A1:E728,4,FALSE),VLOOKUP(B655,ADP!A1:E728,5,FALSE))))</f>
        <v>-</v>
      </c>
      <c r="N655" s="53" t="str">
        <f>IFERROR(M655-A655,"N/A")</f>
        <v>N/A</v>
      </c>
      <c r="O655" s="39"/>
      <c r="P655" s="40" t="str">
        <f>IF(Settings!$E$27="ON",VLOOKUP(B655,ADP!A1:H728,8,FALSE)," ")</f>
        <v xml:space="preserve"> </v>
      </c>
      <c r="Q655" s="41">
        <f>IF(Settings!$E$12="YES",VLOOKUP(B655,'Player Data'!A1:E734,5,FALSE),82)</f>
        <v>72.400000000000006</v>
      </c>
      <c r="R655" s="39">
        <f>VLOOKUP(B655,'Player Data'!$A1:$AE734,6,FALSE)</f>
        <v>12.9131321669377</v>
      </c>
      <c r="S655" s="41">
        <f>VLOOKUP(B655,'Player Data'!$A1:$AE734,7,FALSE)*$Q655*IFERROR((VLOOKUP(P655,Settings!$E$28:$F$33,2,FALSE)+1),1)</f>
        <v>10.470408433767709</v>
      </c>
      <c r="T655" s="41">
        <f>VLOOKUP(B655,'Player Data'!$A1:$AE734,8,FALSE)*$Q655*IFERROR((VLOOKUP(P655,Settings!$E$28:$F$33,2,FALSE)+1),1)</f>
        <v>11.831610626730646</v>
      </c>
      <c r="U655" s="41">
        <f>SUM(S655:T655)</f>
        <v>22.302019060498353</v>
      </c>
      <c r="V655" s="41">
        <f>VLOOKUP(B655,'Player Data'!$A1:$AE734,10,FALSE)*$Q655*IFERROR(((VLOOKUP(P655,Settings!$E$28:$F$33,2,FALSE)/2)+1),1)</f>
        <v>66.159604720648318</v>
      </c>
      <c r="W655" s="41">
        <f>VLOOKUP(B655,'Player Data'!$A1:$AE734,11,FALSE)*$Q655*IFERROR((VLOOKUP(P655,Settings!$E$28:$F$33,2,FALSE)+1),1)</f>
        <v>0.68943381000614479</v>
      </c>
      <c r="X655" s="41">
        <f>VLOOKUP(B655,'Player Data'!$A1:$AE734,12,FALSE)*$Q655*IFERROR((VLOOKUP(P655,Settings!$E$28:$F$33,2,FALSE)+1),1)</f>
        <v>2.3646044339109871</v>
      </c>
      <c r="Y655" s="41">
        <f>VLOOKUP(B655,'Player Data'!$A1:$AE734,13,FALSE)*$Q655</f>
        <v>9.4049166988497898E-2</v>
      </c>
      <c r="Z655" s="41">
        <f>VLOOKUP(B655,'Player Data'!$A1:$AE734,14,FALSE)*$Q655</f>
        <v>0.17331826746888607</v>
      </c>
      <c r="AA655" s="41">
        <f>VLOOKUP(B655,'Player Data'!$A1:$AE734,15,FALSE)*$Q655</f>
        <v>42.121734545131019</v>
      </c>
      <c r="AB655" s="41">
        <f>VLOOKUP(B655,'Player Data'!$A1:$AE734,16,FALSE)*$Q655</f>
        <v>43.68907341085481</v>
      </c>
      <c r="AC655" s="41">
        <f>VLOOKUP(B655,'Player Data'!$A1:$AE734,17,FALSE)*$Q655*IFERROR((VLOOKUP(P655,Settings!$E$28:$F$33,2,FALSE)+1),1)</f>
        <v>-4.717655911586335</v>
      </c>
      <c r="AD655" s="41">
        <f>VLOOKUP(B655,'Player Data'!$A1:$AE734,18,FALSE)*$Q655</f>
        <v>20.237166153022692</v>
      </c>
      <c r="AE655" s="41">
        <f>VLOOKUP(B655,'Player Data'!$A1:$AE734,19,FALSE)*$Q655*IFERROR((VLOOKUP(P655,Settings!$E$28:$F$33,2,FALSE)+1),1)</f>
        <v>1.290477795310184</v>
      </c>
      <c r="AF655" s="41">
        <f>VLOOKUP(B655,'Player Data'!$A1:$AE734,20,FALSE)*$Q655</f>
        <v>338.87145401719999</v>
      </c>
      <c r="AG655" s="41">
        <f>VLOOKUP(B655,'Player Data'!$A1:$AE734,21,FALSE)*$Q655</f>
        <v>422.98720210934374</v>
      </c>
      <c r="AH655" s="42">
        <f>VLOOKUP(B655,'Player Data'!$A1:$AE734,22,FALSE)</f>
        <v>0.44479569969067101</v>
      </c>
      <c r="AI655" s="39"/>
      <c r="AJ655" s="43"/>
      <c r="AK655" s="41"/>
      <c r="AL655" s="41"/>
      <c r="AM655" s="41"/>
      <c r="AN655" s="41"/>
      <c r="AO655" s="41"/>
      <c r="AP655" s="41"/>
      <c r="AQ655" s="44"/>
      <c r="AR655" s="45"/>
      <c r="AS655" s="39"/>
    </row>
    <row r="656" spans="1:45" ht="21.25" customHeight="1" x14ac:dyDescent="0.15">
      <c r="A656" s="31">
        <f>RANK(K656,K$2:K$727)</f>
        <v>655</v>
      </c>
      <c r="B656" s="8" t="s">
        <v>760</v>
      </c>
      <c r="C656" s="32" t="s">
        <v>106</v>
      </c>
      <c r="D656" s="33" t="str">
        <f>VLOOKUP(B656,'Player Data'!A1:D734,4,FALSE)</f>
        <v>LW</v>
      </c>
      <c r="E656" s="47">
        <f>VLOOKUP(B656,LW!A1:C130,3,FALSE)</f>
        <v>117</v>
      </c>
      <c r="F656" s="35" t="str">
        <f>VLOOKUP(B656,'Player Data'!A1:B734,2,FALSE)</f>
        <v>BOS</v>
      </c>
      <c r="G656" s="9">
        <f>VLOOKUP(B656,'Player Data'!A1:D734,3,FALSE)</f>
        <v>26</v>
      </c>
      <c r="H656" s="36">
        <f>IFERROR(VLOOKUP(B656,ADP!A1:G728,7,FALSE)/1000000,VLOOKUP(B656,ADP!A1:G728,7,FALSE))</f>
        <v>0.76249999999999996</v>
      </c>
      <c r="I656" s="37">
        <f>IF(Settings!$E$15="POINTS",((R656*Q656)*Settings!$B$12)+(S656*Settings!$B$2)+(T656*Settings!$B$3)+(U656*Settings!$B$4)+(V656*Settings!$B$5)+(X656*Settings!$B$9)+(AA656*Settings!$B$6)+(W656*Settings!$B$8)+(AB656*Settings!$B$7)+(AC656*Settings!$B$14)+(AD656*Settings!$B$15)+(AE656*Settings!$B$16)+(AF656*Settings!$B$17)+(AG656*Settings!$B$18)+(Y656*Settings!$B$10)+(Z656*Settings!$B$11),VLOOKUP(B656,'Standard Deviations'!A1:C728,3,FALSE))</f>
        <v>83.87677584728722</v>
      </c>
      <c r="J656" s="38">
        <f>IF(D656="G",I656/AJ656,I656/Q656)</f>
        <v>1.3930374654337341</v>
      </c>
      <c r="K656" s="37">
        <f>IF(Settings!$E$18="C/LW/RW",VLOOKUP(B656,LW!A1:F130,6,FALSE),VLOOKUP(B656,F!A1:F430,6,FALSE))</f>
        <v>-280.16382901036326</v>
      </c>
      <c r="L656" s="37">
        <f>IFERROR(K656/H656,"N/A")</f>
        <v>-367.42797247260756</v>
      </c>
      <c r="M656" s="53" t="str">
        <f>IF(Settings!$E$9="YAHOO",VLOOKUP(B656,ADP!A1:E728,2,FALSE),IF(Settings!$E$9="ESPN",VLOOKUP(B656,ADP!A1:E728,3,FALSE),IF(Settings!$E$9="FANTRAX",VLOOKUP(B656,ADP!A1:E728,4,FALSE),VLOOKUP(B656,ADP!A1:E728,5,FALSE))))</f>
        <v>-</v>
      </c>
      <c r="N656" s="53" t="str">
        <f>IFERROR(M656-A656,"N/A")</f>
        <v>N/A</v>
      </c>
      <c r="O656" s="39"/>
      <c r="P656" s="40" t="str">
        <f>IF(Settings!$E$27="ON",VLOOKUP(B656,ADP!A1:H728,8,FALSE)," ")</f>
        <v xml:space="preserve"> </v>
      </c>
      <c r="Q656" s="41">
        <f>IF(Settings!$E$12="YES",VLOOKUP(B656,'Player Data'!A1:E734,5,FALSE),82)</f>
        <v>60.211428571428598</v>
      </c>
      <c r="R656" s="39">
        <f>VLOOKUP(B656,'Player Data'!$A1:$AE734,6,FALSE)</f>
        <v>10.2532127375004</v>
      </c>
      <c r="S656" s="41">
        <f>VLOOKUP(B656,'Player Data'!$A1:$AE734,7,FALSE)*$Q656*IFERROR((VLOOKUP(P656,Settings!$E$28:$F$33,2,FALSE)+1),1)</f>
        <v>5.8925252165381492</v>
      </c>
      <c r="T656" s="41">
        <f>VLOOKUP(B656,'Player Data'!$A1:$AE734,8,FALSE)*$Q656*IFERROR((VLOOKUP(P656,Settings!$E$28:$F$33,2,FALSE)+1),1)</f>
        <v>7.9545125454108101</v>
      </c>
      <c r="U656" s="41">
        <f>SUM(S656:T656)</f>
        <v>13.847037761948959</v>
      </c>
      <c r="V656" s="41">
        <f>VLOOKUP(B656,'Player Data'!$A1:$AE734,10,FALSE)*$Q656*IFERROR(((VLOOKUP(P656,Settings!$E$28:$F$33,2,FALSE)/2)+1),1)</f>
        <v>73.287965321538039</v>
      </c>
      <c r="W656" s="41">
        <f>VLOOKUP(B656,'Player Data'!$A1:$AE734,11,FALSE)*$Q656*IFERROR((VLOOKUP(P656,Settings!$E$28:$F$33,2,FALSE)+1),1)</f>
        <v>4.973470589950868E-2</v>
      </c>
      <c r="X656" s="41">
        <f>VLOOKUP(B656,'Player Data'!$A1:$AE734,12,FALSE)*$Q656*IFERROR((VLOOKUP(P656,Settings!$E$28:$F$33,2,FALSE)+1),1)</f>
        <v>0.12651498458119326</v>
      </c>
      <c r="Y656" s="41">
        <f>VLOOKUP(B656,'Player Data'!$A1:$AE734,13,FALSE)*$Q656</f>
        <v>2.2940883242694925E-2</v>
      </c>
      <c r="Z656" s="41">
        <f>VLOOKUP(B656,'Player Data'!$A1:$AE734,14,FALSE)*$Q656</f>
        <v>4.218364321386156E-2</v>
      </c>
      <c r="AA656" s="41">
        <f>VLOOKUP(B656,'Player Data'!$A1:$AE734,15,FALSE)*$Q656</f>
        <v>26.771413225406121</v>
      </c>
      <c r="AB656" s="41">
        <f>VLOOKUP(B656,'Player Data'!$A1:$AE734,16,FALSE)*$Q656</f>
        <v>109.01809084118213</v>
      </c>
      <c r="AC656" s="41">
        <f>VLOOKUP(B656,'Player Data'!$A1:$AE734,17,FALSE)*$Q656*IFERROR((VLOOKUP(P656,Settings!$E$28:$F$33,2,FALSE)+1),1)</f>
        <v>2.7433674945811606</v>
      </c>
      <c r="AD656" s="41">
        <f>VLOOKUP(B656,'Player Data'!$A1:$AE734,18,FALSE)*$Q656</f>
        <v>44.164613849051229</v>
      </c>
      <c r="AE656" s="41">
        <f>VLOOKUP(B656,'Player Data'!$A1:$AE734,19,FALSE)*$Q656*IFERROR((VLOOKUP(P656,Settings!$E$28:$F$33,2,FALSE)+1),1)</f>
        <v>0.98923902261148844</v>
      </c>
      <c r="AF656" s="41">
        <f>VLOOKUP(B656,'Player Data'!$A1:$AE734,20,FALSE)*$Q656</f>
        <v>2.5821161184481434</v>
      </c>
      <c r="AG656" s="41">
        <f>VLOOKUP(B656,'Player Data'!$A1:$AE734,21,FALSE)*$Q656</f>
        <v>1.3227690497555318</v>
      </c>
      <c r="AH656" s="42">
        <f>VLOOKUP(B656,'Player Data'!$A1:$AE734,22,FALSE)</f>
        <v>0.66125276601564398</v>
      </c>
      <c r="AI656" s="39"/>
      <c r="AJ656" s="43"/>
      <c r="AK656" s="41"/>
      <c r="AL656" s="41"/>
      <c r="AM656" s="41"/>
      <c r="AN656" s="41"/>
      <c r="AO656" s="41"/>
      <c r="AP656" s="41"/>
      <c r="AQ656" s="44"/>
      <c r="AR656" s="45"/>
      <c r="AS656" s="43"/>
    </row>
    <row r="657" spans="1:45" ht="21.25" customHeight="1" x14ac:dyDescent="0.15">
      <c r="A657" s="31">
        <f>RANK(K657,K$2:K$727)</f>
        <v>656</v>
      </c>
      <c r="B657" s="8" t="s">
        <v>761</v>
      </c>
      <c r="C657" s="32" t="s">
        <v>106</v>
      </c>
      <c r="D657" s="33" t="str">
        <f>VLOOKUP(B657,'Player Data'!A1:D734,4,FALSE)</f>
        <v>G</v>
      </c>
      <c r="E657" s="50">
        <f>VLOOKUP(B657,G!A1:D75,3,FALSE)</f>
        <v>58</v>
      </c>
      <c r="F657" s="35" t="str">
        <f>VLOOKUP(B657,'Player Data'!A1:B734,2,FALSE)</f>
        <v>DET</v>
      </c>
      <c r="G657" s="9">
        <f>VLOOKUP(B657,'Player Data'!A1:D734,3,FALSE)</f>
        <v>35</v>
      </c>
      <c r="H657" s="36">
        <f>IFERROR(VLOOKUP(B657,ADP!A1:G728,7,FALSE)/1000000,VLOOKUP(B657,ADP!A1:G728,7,FALSE))</f>
        <v>1.5</v>
      </c>
      <c r="I657" s="37">
        <f>IF(Settings!$E$15="POINTS",(AJ657*Settings!$B$29)+(AK657*Settings!$B$21)+(AL657*Settings!$B$22)+(AN657*Settings!$B$24)+(AO657*Settings!$B$25)+(AP657*Settings!$B$27)+(AM657*Settings!$B$23),VLOOKUP(B657,'Standard Deviations'!A1:C728,3,FALSE))</f>
        <v>118.36619240477825</v>
      </c>
      <c r="J657" s="38">
        <f>IF(D657="G",I657/AJ657,I657/Q657)</f>
        <v>5.9183096202389125</v>
      </c>
      <c r="K657" s="37">
        <f>VLOOKUP(B657,G!A1:F75,6,FALSE)</f>
        <v>-280.40946968453795</v>
      </c>
      <c r="L657" s="37">
        <f>IFERROR(K657/H657,"N/A")</f>
        <v>-186.93964645635864</v>
      </c>
      <c r="M657" s="53" t="str">
        <f>IF(Settings!$E$9="YAHOO",VLOOKUP(B657,ADP!A1:E728,2,FALSE),IF(Settings!$E$9="ESPN",VLOOKUP(B657,ADP!A1:E728,3,FALSE),IF(Settings!$E$9="FANTRAX",VLOOKUP(B657,ADP!A1:E728,4,FALSE),VLOOKUP(B657,ADP!A1:E728,5,FALSE))))</f>
        <v>-</v>
      </c>
      <c r="N657" s="53" t="str">
        <f>IFERROR(M657-A657,"N/A")</f>
        <v>N/A</v>
      </c>
      <c r="O657" s="39"/>
      <c r="P657" s="40" t="str">
        <f>IF(Settings!$E$27="ON",VLOOKUP(B657,ADP!A1:H728,8,FALSE)," ")</f>
        <v xml:space="preserve"> </v>
      </c>
      <c r="Q657" s="41"/>
      <c r="R657" s="5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2"/>
      <c r="AI657" s="39"/>
      <c r="AJ657" s="43">
        <f>VLOOKUP(B657,'Player Data'!$A1:$AE734,24,FALSE)</f>
        <v>20</v>
      </c>
      <c r="AK657" s="41">
        <f>VLOOKUP(B657,'Player Data'!$A1:$AE734,25,FALSE)*$AJ657*IFERROR((VLOOKUP(P657,Settings!$E$28:$F$33,2,FALSE)+1),1)</f>
        <v>9.1077845138535789</v>
      </c>
      <c r="AL657" s="41">
        <f>AJ657-AK657-AM657</f>
        <v>8.3922154861464211</v>
      </c>
      <c r="AM657" s="41">
        <f>VLOOKUP(B657,'Player Data'!$A1:$AE734,27,FALSE)*$AJ657</f>
        <v>2.5</v>
      </c>
      <c r="AN657" s="41">
        <f>VLOOKUP(B657,'Player Data'!$A1:$AE734,28,FALSE)*AJ657</f>
        <v>0.7737738225675681</v>
      </c>
      <c r="AO657" s="41">
        <f>VLOOKUP(B657,'Player Data'!$A1:$AE734,29,FALSE)*$AJ657*IFERROR((VLOOKUP(P657,Settings!$E$28:$F$33,2,FALSE)/4)+1,1)</f>
        <v>543.56331888373802</v>
      </c>
      <c r="AP657" s="41">
        <f>VLOOKUP(B657,'Player Data'!$A1:$AE734,31,FALSE)*$AJ657*(IFERROR(1-(VLOOKUP(P657,Settings!$E$28:$F$33,2,FALSE)/4),1))</f>
        <v>60.762122741262203</v>
      </c>
      <c r="AQ657" s="44">
        <f>1-(AP657/(AO657+AP657))</f>
        <v>0.89945463395041592</v>
      </c>
      <c r="AR657" s="45">
        <f>AP657/AJ657</f>
        <v>3.0381061370631102</v>
      </c>
      <c r="AS657" s="39"/>
    </row>
    <row r="658" spans="1:45" ht="21.25" customHeight="1" x14ac:dyDescent="0.15">
      <c r="A658" s="31">
        <f>RANK(K658,K$2:K$727)</f>
        <v>657</v>
      </c>
      <c r="B658" s="8" t="s">
        <v>762</v>
      </c>
      <c r="C658" s="32" t="s">
        <v>106</v>
      </c>
      <c r="D658" s="33" t="str">
        <f>VLOOKUP(B658,'Player Data'!A1:D734,4,FALSE)</f>
        <v>C</v>
      </c>
      <c r="E658" s="34">
        <f>VLOOKUP(B658,'C'!A1:C211,3,FALSE)</f>
        <v>168</v>
      </c>
      <c r="F658" s="35" t="str">
        <f>VLOOKUP(B658,'Player Data'!A1:B734,2,FALSE)</f>
        <v>DAL</v>
      </c>
      <c r="G658" s="9">
        <f>VLOOKUP(B658,'Player Data'!A1:D734,3,FALSE)</f>
        <v>29</v>
      </c>
      <c r="H658" s="36">
        <f>IFERROR(VLOOKUP(B658,ADP!A1:G728,7,FALSE)/1000000,VLOOKUP(B658,ADP!A1:G728,7,FALSE))</f>
        <v>3.25</v>
      </c>
      <c r="I658" s="37">
        <f>IF(Settings!$E$15="POINTS",((R658*Q658)*Settings!$B$12)+(S658*Settings!$B$2)+(T658*Settings!$B$3)+(U658*Settings!$B$4)+(V658*Settings!$B$5)+(X658*Settings!$B$9)+(AA658*Settings!$B$6)+(W658*Settings!$B$8)+(AB658*Settings!$B$7)+(AC658*Settings!$B$14)+(AD658*Settings!$B$15)+(AE658*Settings!$B$16)+(AF658*Settings!$B$17)+(AG658*Settings!$B$18)+(Y658*Settings!$B$10)+(Z658*Settings!$B$11),VLOOKUP(B658,'Standard Deviations'!A1:C728,3,FALSE))</f>
        <v>112.91422999148806</v>
      </c>
      <c r="J658" s="38">
        <f>IF(D658="G",I658/AJ658,I658/Q658)</f>
        <v>1.3936833000201305</v>
      </c>
      <c r="K658" s="37">
        <f>IF(Settings!$E$18="C/LW/RW",VLOOKUP(B658,'C'!A1:F211,6,FALSE),VLOOKUP(B658,F!A1:F430,6,FALSE))</f>
        <v>-280.41457577472158</v>
      </c>
      <c r="L658" s="37">
        <f>IFERROR(K658/H658,"N/A")</f>
        <v>-86.281407930683571</v>
      </c>
      <c r="M658" s="53" t="str">
        <f>IF(Settings!$E$9="YAHOO",VLOOKUP(B658,ADP!A1:E728,2,FALSE),IF(Settings!$E$9="ESPN",VLOOKUP(B658,ADP!A1:E728,3,FALSE),IF(Settings!$E$9="FANTRAX",VLOOKUP(B658,ADP!A1:E728,4,FALSE),VLOOKUP(B658,ADP!A1:E728,5,FALSE))))</f>
        <v>-</v>
      </c>
      <c r="N658" s="53" t="str">
        <f>IFERROR(M658-A658,"N/A")</f>
        <v>N/A</v>
      </c>
      <c r="O658" s="39"/>
      <c r="P658" s="40" t="str">
        <f>IF(Settings!$E$27="ON",VLOOKUP(B658,ADP!A1:H728,8,FALSE)," ")</f>
        <v xml:space="preserve"> </v>
      </c>
      <c r="Q658" s="41">
        <f>IF(Settings!$E$12="YES",VLOOKUP(B658,'Player Data'!A1:E734,5,FALSE),82)</f>
        <v>81.018571428571406</v>
      </c>
      <c r="R658" s="39">
        <f>VLOOKUP(B658,'Player Data'!$A1:$AE734,6,FALSE)</f>
        <v>13.127798144138501</v>
      </c>
      <c r="S658" s="41">
        <f>VLOOKUP(B658,'Player Data'!$A1:$AE734,7,FALSE)*$Q658*IFERROR((VLOOKUP(P658,Settings!$E$28:$F$33,2,FALSE)+1),1)</f>
        <v>7.4826668856406302</v>
      </c>
      <c r="T658" s="41">
        <f>VLOOKUP(B658,'Player Data'!$A1:$AE734,8,FALSE)*$Q658*IFERROR((VLOOKUP(P658,Settings!$E$28:$F$33,2,FALSE)+1),1)</f>
        <v>10.299546481884683</v>
      </c>
      <c r="U658" s="41">
        <f>SUM(S658:T658)</f>
        <v>17.782213367525312</v>
      </c>
      <c r="V658" s="41">
        <f>VLOOKUP(B658,'Player Data'!$A1:$AE734,10,FALSE)*$Q658*IFERROR(((VLOOKUP(P658,Settings!$E$28:$F$33,2,FALSE)/2)+1),1)</f>
        <v>86.158570629908482</v>
      </c>
      <c r="W658" s="41">
        <f>VLOOKUP(B658,'Player Data'!$A1:$AE734,11,FALSE)*$Q658*IFERROR((VLOOKUP(P658,Settings!$E$28:$F$33,2,FALSE)+1),1)</f>
        <v>6.3522902390216046E-2</v>
      </c>
      <c r="X658" s="41">
        <f>VLOOKUP(B658,'Player Data'!$A1:$AE734,12,FALSE)*$Q658*IFERROR((VLOOKUP(P658,Settings!$E$28:$F$33,2,FALSE)+1),1)</f>
        <v>0.12830420808673818</v>
      </c>
      <c r="Y658" s="41">
        <f>VLOOKUP(B658,'Player Data'!$A1:$AE734,13,FALSE)*$Q658</f>
        <v>1.0504927482739945</v>
      </c>
      <c r="Z658" s="41">
        <f>VLOOKUP(B658,'Player Data'!$A1:$AE734,14,FALSE)*$Q658</f>
        <v>1.9853724277995115</v>
      </c>
      <c r="AA658" s="41">
        <f>VLOOKUP(B658,'Player Data'!$A1:$AE734,15,FALSE)*$Q658</f>
        <v>61.30475651092685</v>
      </c>
      <c r="AB658" s="41">
        <f>VLOOKUP(B658,'Player Data'!$A1:$AE734,16,FALSE)*$Q658</f>
        <v>95.583487607627617</v>
      </c>
      <c r="AC658" s="41">
        <f>VLOOKUP(B658,'Player Data'!$A1:$AE734,17,FALSE)*$Q658*IFERROR((VLOOKUP(P658,Settings!$E$28:$F$33,2,FALSE)+1),1)</f>
        <v>3.0681564973831708</v>
      </c>
      <c r="AD658" s="41">
        <f>VLOOKUP(B658,'Player Data'!$A1:$AE734,18,FALSE)*$Q658</f>
        <v>37.04209373565314</v>
      </c>
      <c r="AE658" s="41">
        <f>VLOOKUP(B658,'Player Data'!$A1:$AE734,19,FALSE)*$Q658*IFERROR((VLOOKUP(P658,Settings!$E$28:$F$33,2,FALSE)+1),1)</f>
        <v>1.1971736566694506</v>
      </c>
      <c r="AF658" s="41">
        <f>VLOOKUP(B658,'Player Data'!$A1:$AE734,20,FALSE)*$Q658</f>
        <v>323.13839000226648</v>
      </c>
      <c r="AG658" s="41">
        <f>VLOOKUP(B658,'Player Data'!$A1:$AE734,21,FALSE)*$Q658</f>
        <v>257.92243795671777</v>
      </c>
      <c r="AH658" s="42">
        <f>VLOOKUP(B658,'Player Data'!$A1:$AE734,22,FALSE)</f>
        <v>0.55611800770895603</v>
      </c>
      <c r="AI658" s="39"/>
      <c r="AJ658" s="43"/>
      <c r="AK658" s="41"/>
      <c r="AL658" s="41"/>
      <c r="AM658" s="41"/>
      <c r="AN658" s="41"/>
      <c r="AO658" s="41"/>
      <c r="AP658" s="41"/>
      <c r="AQ658" s="44"/>
      <c r="AR658" s="45"/>
      <c r="AS658" s="39"/>
    </row>
    <row r="659" spans="1:45" ht="21.25" customHeight="1" x14ac:dyDescent="0.15">
      <c r="A659" s="31">
        <f>RANK(K659,K$2:K$727)</f>
        <v>658</v>
      </c>
      <c r="B659" s="8" t="s">
        <v>763</v>
      </c>
      <c r="C659" s="32" t="s">
        <v>106</v>
      </c>
      <c r="D659" s="33" t="str">
        <f>VLOOKUP(B659,'Player Data'!A1:D734,4,FALSE)</f>
        <v>G</v>
      </c>
      <c r="E659" s="50">
        <f>VLOOKUP(B659,G!A1:D75,3,FALSE)</f>
        <v>59</v>
      </c>
      <c r="F659" s="35" t="str">
        <f>VLOOKUP(B659,'Player Data'!A1:B734,2,FALSE)</f>
        <v>SEA</v>
      </c>
      <c r="G659" s="9">
        <f>VLOOKUP(B659,'Player Data'!A1:D734,3,FALSE)</f>
        <v>27</v>
      </c>
      <c r="H659" s="36">
        <f>IFERROR(VLOOKUP(B659,ADP!A1:G728,7,FALSE)/1000000,VLOOKUP(B659,ADP!A1:G728,7,FALSE))</f>
        <v>0</v>
      </c>
      <c r="I659" s="37">
        <f>IF(Settings!$E$15="POINTS",(AJ659*Settings!$B$29)+(AK659*Settings!$B$21)+(AL659*Settings!$B$22)+(AN659*Settings!$B$24)+(AO659*Settings!$B$25)+(AP659*Settings!$B$27)+(AM659*Settings!$B$23),VLOOKUP(B659,'Standard Deviations'!A1:C728,3,FALSE))</f>
        <v>118.32968116562191</v>
      </c>
      <c r="J659" s="38">
        <f>IF(D659="G",I659/AJ659,I659/Q659)</f>
        <v>5.9164840582810951</v>
      </c>
      <c r="K659" s="37">
        <f>VLOOKUP(B659,G!A1:F75,6,FALSE)</f>
        <v>-280.44598092369426</v>
      </c>
      <c r="L659" s="52" t="str">
        <f>IFERROR(K659/H659,"N/A")</f>
        <v>N/A</v>
      </c>
      <c r="M659" s="53" t="str">
        <f>IF(Settings!$E$9="YAHOO",VLOOKUP(B659,ADP!A1:E728,2,FALSE),IF(Settings!$E$9="ESPN",VLOOKUP(B659,ADP!A1:E728,3,FALSE),IF(Settings!$E$9="FANTRAX",VLOOKUP(B659,ADP!A1:E728,4,FALSE),VLOOKUP(B659,ADP!A1:E728,5,FALSE))))</f>
        <v>-</v>
      </c>
      <c r="N659" s="53" t="str">
        <f>IFERROR(M659-A659,"N/A")</f>
        <v>N/A</v>
      </c>
      <c r="O659" s="39"/>
      <c r="P659" s="40" t="str">
        <f>IF(Settings!$E$27="ON",VLOOKUP(B659,ADP!A1:H728,8,FALSE)," ")</f>
        <v xml:space="preserve"> </v>
      </c>
      <c r="Q659" s="41"/>
      <c r="R659" s="5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2"/>
      <c r="AI659" s="39"/>
      <c r="AJ659" s="43">
        <f>VLOOKUP(B659,'Player Data'!$A1:$AE734,24,FALSE)</f>
        <v>20</v>
      </c>
      <c r="AK659" s="41">
        <f>VLOOKUP(B659,'Player Data'!$A1:$AE734,25,FALSE)*$AJ659*IFERROR((VLOOKUP(P659,Settings!$E$28:$F$33,2,FALSE)+1),1)</f>
        <v>9.5787646538260596</v>
      </c>
      <c r="AL659" s="41">
        <f>AJ659-AK659-AM659</f>
        <v>7.9212353461739404</v>
      </c>
      <c r="AM659" s="41">
        <f>VLOOKUP(B659,'Player Data'!$A1:$AE734,27,FALSE)*$AJ659</f>
        <v>2.5</v>
      </c>
      <c r="AN659" s="41">
        <f>VLOOKUP(B659,'Player Data'!$A1:$AE734,28,FALSE)*AJ659</f>
        <v>0.93076579027638606</v>
      </c>
      <c r="AO659" s="41">
        <f>VLOOKUP(B659,'Player Data'!$A1:$AE734,29,FALSE)*$AJ659*IFERROR((VLOOKUP(P659,Settings!$E$28:$F$33,2,FALSE)/4)+1,1)</f>
        <v>527.70723557102599</v>
      </c>
      <c r="AP659" s="41">
        <f>VLOOKUP(B659,'Player Data'!$A1:$AE734,31,FALSE)*$AJ659*(IFERROR(1-(VLOOKUP(P659,Settings!$E$28:$F$33,2,FALSE)/4),1))</f>
        <v>58.707254053974005</v>
      </c>
      <c r="AQ659" s="44">
        <f>1-(AP659/(AO659+AP659))</f>
        <v>0.89988778399470304</v>
      </c>
      <c r="AR659" s="45">
        <f>AP659/AJ659</f>
        <v>2.9353627026987001</v>
      </c>
      <c r="AS659" s="39"/>
    </row>
    <row r="660" spans="1:45" ht="21.25" customHeight="1" x14ac:dyDescent="0.15">
      <c r="A660" s="31">
        <f>RANK(K660,K$2:K$727)</f>
        <v>659</v>
      </c>
      <c r="B660" s="8" t="s">
        <v>764</v>
      </c>
      <c r="C660" s="32" t="s">
        <v>106</v>
      </c>
      <c r="D660" s="33" t="str">
        <f>VLOOKUP(B660,'Player Data'!A1:D734,4,FALSE)</f>
        <v>G</v>
      </c>
      <c r="E660" s="50">
        <f>VLOOKUP(B660,G!A1:D75,3,FALSE)</f>
        <v>60</v>
      </c>
      <c r="F660" s="35" t="str">
        <f>VLOOKUP(B660,'Player Data'!A1:B734,2,FALSE)</f>
        <v>VAN</v>
      </c>
      <c r="G660" s="9">
        <f>VLOOKUP(B660,'Player Data'!A1:D734,3,FALSE)</f>
        <v>28</v>
      </c>
      <c r="H660" s="36">
        <f>IFERROR(VLOOKUP(B660,ADP!A1:G728,7,FALSE)/1000000,VLOOKUP(B660,ADP!A1:G728,7,FALSE))</f>
        <v>0.76249999999999996</v>
      </c>
      <c r="I660" s="37">
        <f>IF(Settings!$E$15="POINTS",(AJ660*Settings!$B$29)+(AK660*Settings!$B$21)+(AL660*Settings!$B$22)+(AN660*Settings!$B$24)+(AO660*Settings!$B$25)+(AP660*Settings!$B$27)+(AM660*Settings!$B$23),VLOOKUP(B660,'Standard Deviations'!A1:C728,3,FALSE))</f>
        <v>118.26365232441827</v>
      </c>
      <c r="J660" s="38">
        <f>IF(D660="G",I660/AJ660,I660/Q660)</f>
        <v>5.9131826162209133</v>
      </c>
      <c r="K660" s="37">
        <f>VLOOKUP(B660,G!A1:F75,6,FALSE)</f>
        <v>-280.51200976489793</v>
      </c>
      <c r="L660" s="37">
        <f>IFERROR(K660/H660,"N/A")</f>
        <v>-367.88460297035795</v>
      </c>
      <c r="M660" s="53" t="str">
        <f>IF(Settings!$E$9="YAHOO",VLOOKUP(B660,ADP!A1:E728,2,FALSE),IF(Settings!$E$9="ESPN",VLOOKUP(B660,ADP!A1:E728,3,FALSE),IF(Settings!$E$9="FANTRAX",VLOOKUP(B660,ADP!A1:E728,4,FALSE),VLOOKUP(B660,ADP!A1:E728,5,FALSE))))</f>
        <v>-</v>
      </c>
      <c r="N660" s="53" t="str">
        <f>IFERROR(M660-A660,"N/A")</f>
        <v>N/A</v>
      </c>
      <c r="O660" s="39"/>
      <c r="P660" s="40" t="str">
        <f>IF(Settings!$E$27="ON",VLOOKUP(B660,ADP!A1:H728,8,FALSE)," ")</f>
        <v xml:space="preserve"> </v>
      </c>
      <c r="Q660" s="41"/>
      <c r="R660" s="5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2"/>
      <c r="AI660" s="39"/>
      <c r="AJ660" s="43">
        <f>VLOOKUP(B660,'Player Data'!$A1:$AE734,24,FALSE)</f>
        <v>20</v>
      </c>
      <c r="AK660" s="41">
        <f>VLOOKUP(B660,'Player Data'!$A1:$AE734,25,FALSE)*$AJ660*IFERROR((VLOOKUP(P660,Settings!$E$28:$F$33,2,FALSE)+1),1)</f>
        <v>9.3667409580218397</v>
      </c>
      <c r="AL660" s="41">
        <f>AJ660-AK660-AM660</f>
        <v>8.1332590419781603</v>
      </c>
      <c r="AM660" s="41">
        <f>VLOOKUP(B660,'Player Data'!$A1:$AE734,27,FALSE)*$AJ660</f>
        <v>2.5</v>
      </c>
      <c r="AN660" s="41">
        <f>VLOOKUP(B660,'Player Data'!$A1:$AE734,28,FALSE)*AJ660</f>
        <v>0.66151419139618406</v>
      </c>
      <c r="AO660" s="41">
        <f>VLOOKUP(B660,'Player Data'!$A1:$AE734,29,FALSE)*$AJ660*IFERROR((VLOOKUP(P660,Settings!$E$28:$F$33,2,FALSE)/4)+1,1)</f>
        <v>551.06973998358797</v>
      </c>
      <c r="AP660" s="41">
        <f>VLOOKUP(B660,'Player Data'!$A1:$AE734,31,FALSE)*$AJ660*(IFERROR(1-(VLOOKUP(P660,Settings!$E$28:$F$33,2,FALSE)/4),1))</f>
        <v>62.231489641411201</v>
      </c>
      <c r="AQ660" s="44">
        <f>1-(AP660/(AO660+AP660))</f>
        <v>0.89853030348648999</v>
      </c>
      <c r="AR660" s="45">
        <f>AP660/AJ660</f>
        <v>3.11157448207056</v>
      </c>
      <c r="AS660" s="39"/>
    </row>
    <row r="661" spans="1:45" ht="21.25" customHeight="1" x14ac:dyDescent="0.15">
      <c r="A661" s="31">
        <f>RANK(K661,K$2:K$727)</f>
        <v>660</v>
      </c>
      <c r="B661" s="8" t="s">
        <v>765</v>
      </c>
      <c r="C661" s="32" t="s">
        <v>106</v>
      </c>
      <c r="D661" s="33" t="str">
        <f>VLOOKUP(B661,'Player Data'!A1:D734,4,FALSE)</f>
        <v>LW</v>
      </c>
      <c r="E661" s="47">
        <f>VLOOKUP(B661,LW!A1:C130,3,FALSE)</f>
        <v>118</v>
      </c>
      <c r="F661" s="35" t="str">
        <f>VLOOKUP(B661,'Player Data'!A1:B734,2,FALSE)</f>
        <v>PIT</v>
      </c>
      <c r="G661" s="9">
        <f>VLOOKUP(B661,'Player Data'!A1:D734,3,FALSE)</f>
        <v>28</v>
      </c>
      <c r="H661" s="36">
        <f>IFERROR(VLOOKUP(B661,ADP!A1:G728,7,FALSE)/1000000,VLOOKUP(B661,ADP!A1:G728,7,FALSE))</f>
        <v>1.1439999999999999</v>
      </c>
      <c r="I661" s="37">
        <f>IF(Settings!$E$15="POINTS",((R661*Q661)*Settings!$B$12)+(S661*Settings!$B$2)+(T661*Settings!$B$3)+(U661*Settings!$B$4)+(V661*Settings!$B$5)+(X661*Settings!$B$9)+(AA661*Settings!$B$6)+(W661*Settings!$B$8)+(AB661*Settings!$B$7)+(AC661*Settings!$B$14)+(AD661*Settings!$B$15)+(AE661*Settings!$B$16)+(AF661*Settings!$B$17)+(AG661*Settings!$B$18)+(Y661*Settings!$B$10)+(Z661*Settings!$B$11),VLOOKUP(B661,'Standard Deviations'!A1:C728,3,FALSE))</f>
        <v>83.138940534336456</v>
      </c>
      <c r="J661" s="38">
        <f>IF(D661="G",I661/AJ661,I661/Q661)</f>
        <v>1.6627788106867292</v>
      </c>
      <c r="K661" s="37">
        <f>IF(Settings!$E$18="C/LW/RW",VLOOKUP(B661,LW!A1:F130,6,FALSE),VLOOKUP(B661,F!A1:F430,6,FALSE))</f>
        <v>-280.90166432331398</v>
      </c>
      <c r="L661" s="37">
        <f>IFERROR(K661/H661,"N/A")</f>
        <v>-245.54341287002973</v>
      </c>
      <c r="M661" s="53" t="str">
        <f>IF(Settings!$E$9="YAHOO",VLOOKUP(B661,ADP!A1:E728,2,FALSE),IF(Settings!$E$9="ESPN",VLOOKUP(B661,ADP!A1:E728,3,FALSE),IF(Settings!$E$9="FANTRAX",VLOOKUP(B661,ADP!A1:E728,4,FALSE),VLOOKUP(B661,ADP!A1:E728,5,FALSE))))</f>
        <v>-</v>
      </c>
      <c r="N661" s="53" t="str">
        <f>IFERROR(M661-A661,"N/A")</f>
        <v>N/A</v>
      </c>
      <c r="O661" s="39"/>
      <c r="P661" s="40" t="str">
        <f>IF(Settings!$E$27="ON",VLOOKUP(B661,ADP!A1:H728,8,FALSE)," ")</f>
        <v xml:space="preserve"> </v>
      </c>
      <c r="Q661" s="41">
        <f>IF(Settings!$E$12="YES",VLOOKUP(B661,'Player Data'!A1:E734,5,FALSE),82)</f>
        <v>50</v>
      </c>
      <c r="R661" s="39">
        <f>VLOOKUP(B661,'Player Data'!$A1:$AE734,6,FALSE)</f>
        <v>11.755641362842301</v>
      </c>
      <c r="S661" s="41">
        <f>VLOOKUP(B661,'Player Data'!$A1:$AE734,7,FALSE)*$Q661*IFERROR((VLOOKUP(P661,Settings!$E$28:$F$33,2,FALSE)+1),1)</f>
        <v>5.4871792444303997</v>
      </c>
      <c r="T661" s="41">
        <f>VLOOKUP(B661,'Player Data'!$A1:$AE734,8,FALSE)*$Q661*IFERROR((VLOOKUP(P661,Settings!$E$28:$F$33,2,FALSE)+1),1)</f>
        <v>9.8971262086756493</v>
      </c>
      <c r="U661" s="41">
        <f>SUM(S661:T661)</f>
        <v>15.384305453106048</v>
      </c>
      <c r="V661" s="41">
        <f>VLOOKUP(B661,'Player Data'!$A1:$AE734,10,FALSE)*$Q661*IFERROR(((VLOOKUP(P661,Settings!$E$28:$F$33,2,FALSE)/2)+1),1)</f>
        <v>62.634458829189001</v>
      </c>
      <c r="W661" s="41">
        <f>VLOOKUP(B661,'Player Data'!$A1:$AE734,11,FALSE)*$Q661*IFERROR((VLOOKUP(P661,Settings!$E$28:$F$33,2,FALSE)+1),1)</f>
        <v>0.69393014618610505</v>
      </c>
      <c r="X661" s="41">
        <f>VLOOKUP(B661,'Player Data'!$A1:$AE734,12,FALSE)*$Q661*IFERROR((VLOOKUP(P661,Settings!$E$28:$F$33,2,FALSE)+1),1)</f>
        <v>1.2617750748366849</v>
      </c>
      <c r="Y661" s="41">
        <f>VLOOKUP(B661,'Player Data'!$A1:$AE734,13,FALSE)*$Q661</f>
        <v>2.0933655410714748E-3</v>
      </c>
      <c r="Z661" s="41">
        <f>VLOOKUP(B661,'Player Data'!$A1:$AE734,14,FALSE)*$Q661</f>
        <v>3.8853395542725001E-3</v>
      </c>
      <c r="AA661" s="41">
        <f>VLOOKUP(B661,'Player Data'!$A1:$AE734,15,FALSE)*$Q661</f>
        <v>15.687369658209549</v>
      </c>
      <c r="AB661" s="41">
        <f>VLOOKUP(B661,'Player Data'!$A1:$AE734,16,FALSE)*$Q661</f>
        <v>45.430332317896649</v>
      </c>
      <c r="AC661" s="41">
        <f>VLOOKUP(B661,'Player Data'!$A1:$AE734,17,FALSE)*$Q661*IFERROR((VLOOKUP(P661,Settings!$E$28:$F$33,2,FALSE)+1),1)</f>
        <v>1.3194858058412</v>
      </c>
      <c r="AD661" s="41">
        <f>VLOOKUP(B661,'Player Data'!$A1:$AE734,18,FALSE)*$Q661</f>
        <v>15.64354447120925</v>
      </c>
      <c r="AE661" s="41">
        <f>VLOOKUP(B661,'Player Data'!$A1:$AE734,19,FALSE)*$Q661*IFERROR((VLOOKUP(P661,Settings!$E$28:$F$33,2,FALSE)+1),1)</f>
        <v>0.87328108092183998</v>
      </c>
      <c r="AF661" s="41">
        <f>VLOOKUP(B661,'Player Data'!$A1:$AE734,20,FALSE)*$Q661</f>
        <v>8.1367993707661004</v>
      </c>
      <c r="AG661" s="41">
        <f>VLOOKUP(B661,'Player Data'!$A1:$AE734,21,FALSE)*$Q661</f>
        <v>15.942081825915</v>
      </c>
      <c r="AH661" s="42">
        <f>VLOOKUP(B661,'Player Data'!$A1:$AE734,22,FALSE)</f>
        <v>0.337922651152398</v>
      </c>
      <c r="AI661" s="39"/>
      <c r="AJ661" s="41"/>
      <c r="AK661" s="41"/>
      <c r="AL661" s="41"/>
      <c r="AM661" s="41"/>
      <c r="AN661" s="41"/>
      <c r="AO661" s="41"/>
      <c r="AP661" s="41"/>
      <c r="AQ661" s="44"/>
      <c r="AR661" s="45"/>
      <c r="AS661" s="39"/>
    </row>
    <row r="662" spans="1:45" ht="21.25" customHeight="1" x14ac:dyDescent="0.15">
      <c r="A662" s="31">
        <f>RANK(K662,K$2:K$727)</f>
        <v>661</v>
      </c>
      <c r="B662" s="8" t="s">
        <v>766</v>
      </c>
      <c r="C662" s="32" t="s">
        <v>106</v>
      </c>
      <c r="D662" s="33" t="str">
        <f>VLOOKUP(B662,'Player Data'!A1:D734,4,FALSE)</f>
        <v>C</v>
      </c>
      <c r="E662" s="34">
        <f>VLOOKUP(B662,'C'!A1:C211,3,FALSE)</f>
        <v>169</v>
      </c>
      <c r="F662" s="35" t="str">
        <f>VLOOKUP(B662,'Player Data'!A1:B734,2,FALSE)</f>
        <v>PHI</v>
      </c>
      <c r="G662" s="9">
        <f>VLOOKUP(B662,'Player Data'!A1:D734,3,FALSE)</f>
        <v>24</v>
      </c>
      <c r="H662" s="36">
        <f>IFERROR(VLOOKUP(B662,ADP!A1:G728,7,FALSE)/1000000,VLOOKUP(B662,ADP!A1:G728,7,FALSE))</f>
        <v>1.4</v>
      </c>
      <c r="I662" s="37">
        <f>IF(Settings!$E$15="POINTS",((R662*Q662)*Settings!$B$12)+(S662*Settings!$B$2)+(T662*Settings!$B$3)+(U662*Settings!$B$4)+(V662*Settings!$B$5)+(X662*Settings!$B$9)+(AA662*Settings!$B$6)+(W662*Settings!$B$8)+(AB662*Settings!$B$7)+(AC662*Settings!$B$14)+(AD662*Settings!$B$15)+(AE662*Settings!$B$16)+(AF662*Settings!$B$17)+(AG662*Settings!$B$18)+(Y662*Settings!$B$10)+(Z662*Settings!$B$11),VLOOKUP(B662,'Standard Deviations'!A1:C728,3,FALSE))</f>
        <v>112.38264017355581</v>
      </c>
      <c r="J662" s="38">
        <f>IF(D662="G",I662/AJ662,I662/Q662)</f>
        <v>1.5930631536403119</v>
      </c>
      <c r="K662" s="37">
        <f>IF(Settings!$E$18="C/LW/RW",VLOOKUP(B662,'C'!A1:F211,6,FALSE),VLOOKUP(B662,F!A1:F430,6,FALSE))</f>
        <v>-280.94616559265387</v>
      </c>
      <c r="L662" s="37">
        <f>IFERROR(K662/H662,"N/A")</f>
        <v>-200.67583256618136</v>
      </c>
      <c r="M662" s="53" t="str">
        <f>IF(Settings!$E$9="YAHOO",VLOOKUP(B662,ADP!A1:E728,2,FALSE),IF(Settings!$E$9="ESPN",VLOOKUP(B662,ADP!A1:E728,3,FALSE),IF(Settings!$E$9="FANTRAX",VLOOKUP(B662,ADP!A1:E728,4,FALSE),VLOOKUP(B662,ADP!A1:E728,5,FALSE))))</f>
        <v>-</v>
      </c>
      <c r="N662" s="53" t="str">
        <f>IFERROR(M662-A662,"N/A")</f>
        <v>N/A</v>
      </c>
      <c r="O662" s="39"/>
      <c r="P662" s="40" t="str">
        <f>IF(Settings!$E$27="ON",VLOOKUP(B662,ADP!A1:H728,8,FALSE)," ")</f>
        <v xml:space="preserve"> </v>
      </c>
      <c r="Q662" s="41">
        <f>IF(Settings!$E$12="YES",VLOOKUP(B662,'Player Data'!A1:E734,5,FALSE),82)</f>
        <v>70.545000000000002</v>
      </c>
      <c r="R662" s="39">
        <f>VLOOKUP(B662,'Player Data'!$A1:$AE734,6,FALSE)</f>
        <v>11.034029760081101</v>
      </c>
      <c r="S662" s="41">
        <f>VLOOKUP(B662,'Player Data'!$A1:$AE734,7,FALSE)*$Q662*IFERROR((VLOOKUP(P662,Settings!$E$28:$F$33,2,FALSE)+1),1)</f>
        <v>8.955166441483394</v>
      </c>
      <c r="T662" s="41">
        <f>VLOOKUP(B662,'Player Data'!$A1:$AE734,8,FALSE)*$Q662*IFERROR((VLOOKUP(P662,Settings!$E$28:$F$33,2,FALSE)+1),1)</f>
        <v>9.7277993731819024</v>
      </c>
      <c r="U662" s="41">
        <f>SUM(S662:T662)</f>
        <v>18.682965814665295</v>
      </c>
      <c r="V662" s="41">
        <f>VLOOKUP(B662,'Player Data'!$A1:$AE734,10,FALSE)*$Q662*IFERROR(((VLOOKUP(P662,Settings!$E$28:$F$33,2,FALSE)/2)+1),1)</f>
        <v>83.999385506922948</v>
      </c>
      <c r="W662" s="41">
        <f>VLOOKUP(B662,'Player Data'!$A1:$AE734,11,FALSE)*$Q662*IFERROR((VLOOKUP(P662,Settings!$E$28:$F$33,2,FALSE)+1),1)</f>
        <v>8.5759310534942124E-2</v>
      </c>
      <c r="X662" s="41">
        <f>VLOOKUP(B662,'Player Data'!$A1:$AE734,12,FALSE)*$Q662*IFERROR((VLOOKUP(P662,Settings!$E$28:$F$33,2,FALSE)+1),1)</f>
        <v>0.14727498759230206</v>
      </c>
      <c r="Y662" s="41">
        <f>VLOOKUP(B662,'Player Data'!$A1:$AE734,13,FALSE)*$Q662</f>
        <v>1.7013629341168179</v>
      </c>
      <c r="Z662" s="41">
        <f>VLOOKUP(B662,'Player Data'!$A1:$AE734,14,FALSE)*$Q662</f>
        <v>2.6206757575240354</v>
      </c>
      <c r="AA662" s="41">
        <f>VLOOKUP(B662,'Player Data'!$A1:$AE734,15,FALSE)*$Q662</f>
        <v>43.99074242932884</v>
      </c>
      <c r="AB662" s="41">
        <f>VLOOKUP(B662,'Player Data'!$A1:$AE734,16,FALSE)*$Q662</f>
        <v>73.345302213306439</v>
      </c>
      <c r="AC662" s="41">
        <f>VLOOKUP(B662,'Player Data'!$A1:$AE734,17,FALSE)*$Q662*IFERROR((VLOOKUP(P662,Settings!$E$28:$F$33,2,FALSE)+1),1)</f>
        <v>-5.2238737267457349</v>
      </c>
      <c r="AD662" s="41">
        <f>VLOOKUP(B662,'Player Data'!$A1:$AE734,18,FALSE)*$Q662</f>
        <v>12.207922788149959</v>
      </c>
      <c r="AE662" s="41">
        <f>VLOOKUP(B662,'Player Data'!$A1:$AE734,19,FALSE)*$Q662*IFERROR((VLOOKUP(P662,Settings!$E$28:$F$33,2,FALSE)+1),1)</f>
        <v>1.0526407921877525</v>
      </c>
      <c r="AF662" s="41">
        <f>VLOOKUP(B662,'Player Data'!$A1:$AE734,20,FALSE)*$Q662</f>
        <v>237.92103199493624</v>
      </c>
      <c r="AG662" s="41">
        <f>VLOOKUP(B662,'Player Data'!$A1:$AE734,21,FALSE)*$Q662</f>
        <v>281.38245041548606</v>
      </c>
      <c r="AH662" s="42">
        <f>VLOOKUP(B662,'Player Data'!$A1:$AE734,22,FALSE)</f>
        <v>0.45815412384795001</v>
      </c>
      <c r="AI662" s="39"/>
      <c r="AJ662" s="41"/>
      <c r="AK662" s="41"/>
      <c r="AL662" s="41"/>
      <c r="AM662" s="41"/>
      <c r="AN662" s="41"/>
      <c r="AO662" s="41"/>
      <c r="AP662" s="41"/>
      <c r="AQ662" s="44"/>
      <c r="AR662" s="45"/>
      <c r="AS662" s="39"/>
    </row>
    <row r="663" spans="1:45" ht="21.25" customHeight="1" x14ac:dyDescent="0.15">
      <c r="A663" s="31">
        <f>RANK(K663,K$2:K$727)</f>
        <v>662</v>
      </c>
      <c r="B663" s="8" t="s">
        <v>767</v>
      </c>
      <c r="C663" s="32" t="s">
        <v>106</v>
      </c>
      <c r="D663" s="33" t="str">
        <f>VLOOKUP(B663,'Player Data'!A1:D734,4,FALSE)</f>
        <v>RW</v>
      </c>
      <c r="E663" s="46">
        <f>VLOOKUP(B663,RW!A1:F97,3,FALSE)</f>
        <v>93</v>
      </c>
      <c r="F663" s="35" t="str">
        <f>VLOOKUP(B663,'Player Data'!A1:B734,2,FALSE)</f>
        <v>CBJ</v>
      </c>
      <c r="G663" s="9">
        <f>VLOOKUP(B663,'Player Data'!A1:D734,3,FALSE)</f>
        <v>26</v>
      </c>
      <c r="H663" s="36">
        <f>IFERROR(VLOOKUP(B663,ADP!A1:G728,7,FALSE)/1000000,VLOOKUP(B663,ADP!A1:G728,7,FALSE))</f>
        <v>1.1000000000000001</v>
      </c>
      <c r="I663" s="37">
        <f>IF(Settings!$E$15="POINTS",((R663*Q663)*Settings!$B$12)+(S663*Settings!$B$2)+(T663*Settings!$B$3)+(U663*Settings!$B$4)+(V663*Settings!$B$5)+(X663*Settings!$B$9)+(AA663*Settings!$B$6)+(W663*Settings!$B$8)+(AB663*Settings!$B$7)+(AC663*Settings!$B$14)+(AD663*Settings!$B$15)+(AE663*Settings!$B$16)+(AF663*Settings!$B$17)+(AG663*Settings!$B$18)+(Y663*Settings!$B$10)+(Z663*Settings!$B$11),VLOOKUP(B663,'Standard Deviations'!A1:C728,3,FALSE))</f>
        <v>69.296125656414503</v>
      </c>
      <c r="J663" s="38">
        <f>IF(D663="G",I663/AJ663,I663/Q663)</f>
        <v>1.1894288646827069</v>
      </c>
      <c r="K663" s="37">
        <f>IF(Settings!$E$18="C/LW/RW",VLOOKUP(B663,RW!A1:F97,6,FALSE),VLOOKUP(B663,F!A1:F430,6,FALSE))</f>
        <v>-280.97541489147505</v>
      </c>
      <c r="L663" s="37">
        <f>IFERROR(K663/H663,"N/A")</f>
        <v>-255.43219535588639</v>
      </c>
      <c r="M663" s="53" t="str">
        <f>IF(Settings!$E$9="YAHOO",VLOOKUP(B663,ADP!A1:E728,2,FALSE),IF(Settings!$E$9="ESPN",VLOOKUP(B663,ADP!A1:E728,3,FALSE),IF(Settings!$E$9="FANTRAX",VLOOKUP(B663,ADP!A1:E728,4,FALSE),VLOOKUP(B663,ADP!A1:E728,5,FALSE))))</f>
        <v>-</v>
      </c>
      <c r="N663" s="53" t="str">
        <f>IFERROR(M663-A663,"N/A")</f>
        <v>N/A</v>
      </c>
      <c r="O663" s="39"/>
      <c r="P663" s="40" t="str">
        <f>IF(Settings!$E$27="ON",VLOOKUP(B663,ADP!A1:H728,8,FALSE)," ")</f>
        <v xml:space="preserve"> </v>
      </c>
      <c r="Q663" s="41">
        <f>IF(Settings!$E$12="YES",VLOOKUP(B663,'Player Data'!A1:E734,5,FALSE),82)</f>
        <v>58.26</v>
      </c>
      <c r="R663" s="39">
        <f>VLOOKUP(B663,'Player Data'!$A1:$AE734,6,FALSE)</f>
        <v>9.9943924948465099</v>
      </c>
      <c r="S663" s="41">
        <f>VLOOKUP(B663,'Player Data'!$A1:$AE734,7,FALSE)*$Q663*IFERROR((VLOOKUP(P663,Settings!$E$28:$F$33,2,FALSE)+1),1)</f>
        <v>4.0930411294788849</v>
      </c>
      <c r="T663" s="41">
        <f>VLOOKUP(B663,'Player Data'!$A1:$AE734,8,FALSE)*$Q663*IFERROR((VLOOKUP(P663,Settings!$E$28:$F$33,2,FALSE)+1),1)</f>
        <v>7.0820441671651881</v>
      </c>
      <c r="U663" s="41">
        <f>SUM(S663:T663)</f>
        <v>11.175085296644074</v>
      </c>
      <c r="V663" s="41">
        <f>VLOOKUP(B663,'Player Data'!$A1:$AE734,10,FALSE)*$Q663*IFERROR(((VLOOKUP(P663,Settings!$E$28:$F$33,2,FALSE)/2)+1),1)</f>
        <v>55.312534217055656</v>
      </c>
      <c r="W663" s="41">
        <f>VLOOKUP(B663,'Player Data'!$A1:$AE734,11,FALSE)*$Q663*IFERROR((VLOOKUP(P663,Settings!$E$28:$F$33,2,FALSE)+1),1)</f>
        <v>1.5785768547566331E-2</v>
      </c>
      <c r="X663" s="41">
        <f>VLOOKUP(B663,'Player Data'!$A1:$AE734,12,FALSE)*$Q663*IFERROR((VLOOKUP(P663,Settings!$E$28:$F$33,2,FALSE)+1),1)</f>
        <v>3.3845501932254982E-2</v>
      </c>
      <c r="Y663" s="41">
        <f>VLOOKUP(B663,'Player Data'!$A1:$AE734,13,FALSE)*$Q663</f>
        <v>0.10075488158990255</v>
      </c>
      <c r="Z663" s="41">
        <f>VLOOKUP(B663,'Player Data'!$A1:$AE734,14,FALSE)*$Q663</f>
        <v>0.18543460222261285</v>
      </c>
      <c r="AA663" s="41">
        <f>VLOOKUP(B663,'Player Data'!$A1:$AE734,15,FALSE)*$Q663</f>
        <v>38.380212248223557</v>
      </c>
      <c r="AB663" s="41">
        <f>VLOOKUP(B663,'Player Data'!$A1:$AE734,16,FALSE)*$Q663</f>
        <v>121.52284996527928</v>
      </c>
      <c r="AC663" s="41">
        <f>VLOOKUP(B663,'Player Data'!$A1:$AE734,17,FALSE)*$Q663*IFERROR((VLOOKUP(P663,Settings!$E$28:$F$33,2,FALSE)+1),1)</f>
        <v>-4.2437133824228273</v>
      </c>
      <c r="AD663" s="41">
        <f>VLOOKUP(B663,'Player Data'!$A1:$AE734,18,FALSE)*$Q663</f>
        <v>49.67382795613959</v>
      </c>
      <c r="AE663" s="41">
        <f>VLOOKUP(B663,'Player Data'!$A1:$AE734,19,FALSE)*$Q663*IFERROR((VLOOKUP(P663,Settings!$E$28:$F$33,2,FALSE)+1),1)</f>
        <v>0.43859753837832788</v>
      </c>
      <c r="AF663" s="41">
        <f>VLOOKUP(B663,'Player Data'!$A1:$AE734,20,FALSE)*$Q663</f>
        <v>2.1821604068965503</v>
      </c>
      <c r="AG663" s="41">
        <f>VLOOKUP(B663,'Player Data'!$A1:$AE734,21,FALSE)*$Q663</f>
        <v>9.2837431567511235</v>
      </c>
      <c r="AH663" s="42">
        <f>VLOOKUP(B663,'Player Data'!$A1:$AE734,22,FALSE)</f>
        <v>0.190317352207202</v>
      </c>
      <c r="AI663" s="39"/>
      <c r="AJ663" s="43"/>
      <c r="AK663" s="41"/>
      <c r="AL663" s="41"/>
      <c r="AM663" s="41"/>
      <c r="AN663" s="41"/>
      <c r="AO663" s="41"/>
      <c r="AP663" s="41"/>
      <c r="AQ663" s="44"/>
      <c r="AR663" s="45"/>
      <c r="AS663" s="39"/>
    </row>
    <row r="664" spans="1:45" ht="21.25" customHeight="1" x14ac:dyDescent="0.15">
      <c r="A664" s="31">
        <f>RANK(K664,K$2:K$727)</f>
        <v>663</v>
      </c>
      <c r="B664" s="8" t="s">
        <v>768</v>
      </c>
      <c r="C664" s="32" t="s">
        <v>106</v>
      </c>
      <c r="D664" s="33" t="str">
        <f>VLOOKUP(B664,'Player Data'!A1:D734,4,FALSE)</f>
        <v>LW</v>
      </c>
      <c r="E664" s="47">
        <f>VLOOKUP(B664,LW!A1:C130,3,FALSE)</f>
        <v>119</v>
      </c>
      <c r="F664" s="35" t="str">
        <f>VLOOKUP(B664,'Player Data'!A1:B734,2,FALSE)</f>
        <v>EDM</v>
      </c>
      <c r="G664" s="9">
        <f>VLOOKUP(B664,'Player Data'!A1:D734,3,FALSE)</f>
        <v>21</v>
      </c>
      <c r="H664" s="36">
        <f>IFERROR(VLOOKUP(B664,ADP!A1:G728,7,FALSE)/1000000,VLOOKUP(B664,ADP!A1:G728,7,FALSE))</f>
        <v>0.92500000000000004</v>
      </c>
      <c r="I664" s="37">
        <f>IF(Settings!$E$15="POINTS",((R664*Q664)*Settings!$B$12)+(S664*Settings!$B$2)+(T664*Settings!$B$3)+(U664*Settings!$B$4)+(V664*Settings!$B$5)+(X664*Settings!$B$9)+(AA664*Settings!$B$6)+(W664*Settings!$B$8)+(AB664*Settings!$B$7)+(AC664*Settings!$B$14)+(AD664*Settings!$B$15)+(AE664*Settings!$B$16)+(AF664*Settings!$B$17)+(AG664*Settings!$B$18)+(Y664*Settings!$B$10)+(Z664*Settings!$B$11),VLOOKUP(B664,'Standard Deviations'!A1:C728,3,FALSE))</f>
        <v>82.393360700858906</v>
      </c>
      <c r="J664" s="38">
        <f>IF(D664="G",I664/AJ664,I664/Q664)</f>
        <v>1.1912580163501612</v>
      </c>
      <c r="K664" s="37">
        <f>IF(Settings!$E$18="C/LW/RW",VLOOKUP(B664,LW!A1:F130,6,FALSE),VLOOKUP(B664,F!A1:F430,6,FALSE))</f>
        <v>-281.64724415679154</v>
      </c>
      <c r="L664" s="37">
        <f>IFERROR(K664/H664,"N/A")</f>
        <v>-304.48350719653138</v>
      </c>
      <c r="M664" s="53" t="str">
        <f>IF(Settings!$E$9="YAHOO",VLOOKUP(B664,ADP!A1:E728,2,FALSE),IF(Settings!$E$9="ESPN",VLOOKUP(B664,ADP!A1:E728,3,FALSE),IF(Settings!$E$9="FANTRAX",VLOOKUP(B664,ADP!A1:E728,4,FALSE),VLOOKUP(B664,ADP!A1:E728,5,FALSE))))</f>
        <v>-</v>
      </c>
      <c r="N664" s="53" t="str">
        <f>IFERROR(M664-A664,"N/A")</f>
        <v>N/A</v>
      </c>
      <c r="O664" s="39"/>
      <c r="P664" s="40" t="str">
        <f>IF(Settings!$E$27="ON",VLOOKUP(B664,ADP!A1:H728,8,FALSE)," ")</f>
        <v xml:space="preserve"> </v>
      </c>
      <c r="Q664" s="41">
        <f>IF(Settings!$E$12="YES",VLOOKUP(B664,'Player Data'!A1:E734,5,FALSE),82)</f>
        <v>69.165000000000006</v>
      </c>
      <c r="R664" s="39">
        <f>VLOOKUP(B664,'Player Data'!$A1:$AE734,6,FALSE)</f>
        <v>9.3911753311887303</v>
      </c>
      <c r="S664" s="41">
        <f>VLOOKUP(B664,'Player Data'!$A1:$AE734,7,FALSE)*$Q664*IFERROR((VLOOKUP(P664,Settings!$E$28:$F$33,2,FALSE)+1),1)</f>
        <v>5.84891976451524</v>
      </c>
      <c r="T664" s="41">
        <f>VLOOKUP(B664,'Player Data'!$A1:$AE734,8,FALSE)*$Q664*IFERROR((VLOOKUP(P664,Settings!$E$28:$F$33,2,FALSE)+1),1)</f>
        <v>9.2880278394342959</v>
      </c>
      <c r="U664" s="41">
        <f>SUM(S664:T664)</f>
        <v>15.136947603949537</v>
      </c>
      <c r="V664" s="41">
        <f>VLOOKUP(B664,'Player Data'!$A1:$AE734,10,FALSE)*$Q664*IFERROR(((VLOOKUP(P664,Settings!$E$28:$F$33,2,FALSE)/2)+1),1)</f>
        <v>60.914379112093059</v>
      </c>
      <c r="W664" s="41">
        <f>VLOOKUP(B664,'Player Data'!$A1:$AE734,11,FALSE)*$Q664*IFERROR((VLOOKUP(P664,Settings!$E$28:$F$33,2,FALSE)+1),1)</f>
        <v>0.40878224559208493</v>
      </c>
      <c r="X664" s="41">
        <f>VLOOKUP(B664,'Player Data'!$A1:$AE734,12,FALSE)*$Q664*IFERROR((VLOOKUP(P664,Settings!$E$28:$F$33,2,FALSE)+1),1)</f>
        <v>1.0167871192496949</v>
      </c>
      <c r="Y664" s="41">
        <f>VLOOKUP(B664,'Player Data'!$A1:$AE734,13,FALSE)*$Q664</f>
        <v>2.9507290349553308E-3</v>
      </c>
      <c r="Z664" s="41">
        <f>VLOOKUP(B664,'Player Data'!$A1:$AE734,14,FALSE)*$Q664</f>
        <v>5.3054091092154757E-3</v>
      </c>
      <c r="AA664" s="41">
        <f>VLOOKUP(B664,'Player Data'!$A1:$AE734,15,FALSE)*$Q664</f>
        <v>22.40571638122978</v>
      </c>
      <c r="AB664" s="41">
        <f>VLOOKUP(B664,'Player Data'!$A1:$AE734,16,FALSE)*$Q664</f>
        <v>106.30520671144929</v>
      </c>
      <c r="AC664" s="41">
        <f>VLOOKUP(B664,'Player Data'!$A1:$AE734,17,FALSE)*$Q664*IFERROR((VLOOKUP(P664,Settings!$E$28:$F$33,2,FALSE)+1),1)</f>
        <v>4.2068133028248091</v>
      </c>
      <c r="AD664" s="41">
        <f>VLOOKUP(B664,'Player Data'!$A1:$AE734,18,FALSE)*$Q664</f>
        <v>25.505784625981363</v>
      </c>
      <c r="AE664" s="41">
        <f>VLOOKUP(B664,'Player Data'!$A1:$AE734,19,FALSE)*$Q664*IFERROR((VLOOKUP(P664,Settings!$E$28:$F$33,2,FALSE)+1),1)</f>
        <v>0.92582120692555925</v>
      </c>
      <c r="AF664" s="41">
        <f>VLOOKUP(B664,'Player Data'!$A1:$AE734,20,FALSE)*$Q664</f>
        <v>29.231654125389451</v>
      </c>
      <c r="AG664" s="41">
        <f>VLOOKUP(B664,'Player Data'!$A1:$AE734,21,FALSE)*$Q664</f>
        <v>53.148462046162756</v>
      </c>
      <c r="AH664" s="42">
        <f>VLOOKUP(B664,'Player Data'!$A1:$AE734,22,FALSE)</f>
        <v>0.35483870967741898</v>
      </c>
      <c r="AI664" s="39"/>
      <c r="AJ664" s="43"/>
      <c r="AK664" s="41"/>
      <c r="AL664" s="41"/>
      <c r="AM664" s="41"/>
      <c r="AN664" s="41"/>
      <c r="AO664" s="41"/>
      <c r="AP664" s="41"/>
      <c r="AQ664" s="44"/>
      <c r="AR664" s="45"/>
      <c r="AS664" s="39"/>
    </row>
    <row r="665" spans="1:45" ht="21.25" customHeight="1" x14ac:dyDescent="0.15">
      <c r="A665" s="31">
        <f>RANK(K665,K$2:K$727)</f>
        <v>664</v>
      </c>
      <c r="B665" s="8" t="s">
        <v>769</v>
      </c>
      <c r="C665" s="32" t="s">
        <v>106</v>
      </c>
      <c r="D665" s="33" t="str">
        <f>VLOOKUP(B665,'Player Data'!A1:D734,4,FALSE)</f>
        <v>C</v>
      </c>
      <c r="E665" s="34">
        <f>VLOOKUP(B665,'C'!A1:C211,3,FALSE)</f>
        <v>170</v>
      </c>
      <c r="F665" s="35" t="str">
        <f>VLOOKUP(B665,'Player Data'!A1:B734,2,FALSE)</f>
        <v>WSH</v>
      </c>
      <c r="G665" s="9">
        <f>VLOOKUP(B665,'Player Data'!A1:D734,3,FALSE)</f>
        <v>22</v>
      </c>
      <c r="H665" s="36">
        <f>IFERROR(VLOOKUP(B665,ADP!A1:G728,7,FALSE)/1000000,VLOOKUP(B665,ADP!A1:G728,7,FALSE))</f>
        <v>0</v>
      </c>
      <c r="I665" s="37">
        <f>IF(Settings!$E$15="POINTS",((R665*Q665)*Settings!$B$12)+(S665*Settings!$B$2)+(T665*Settings!$B$3)+(U665*Settings!$B$4)+(V665*Settings!$B$5)+(X665*Settings!$B$9)+(AA665*Settings!$B$6)+(W665*Settings!$B$8)+(AB665*Settings!$B$7)+(AC665*Settings!$B$14)+(AD665*Settings!$B$15)+(AE665*Settings!$B$16)+(AF665*Settings!$B$17)+(AG665*Settings!$B$18)+(Y665*Settings!$B$10)+(Z665*Settings!$B$11),VLOOKUP(B665,'Standard Deviations'!A1:C728,3,FALSE))</f>
        <v>111.39094086611792</v>
      </c>
      <c r="J665" s="38">
        <f>IF(D665="G",I665/AJ665,I665/Q665)</f>
        <v>1.651888049028553</v>
      </c>
      <c r="K665" s="37">
        <f>IF(Settings!$E$18="C/LW/RW",VLOOKUP(B665,'C'!A1:F211,6,FALSE),VLOOKUP(B665,F!A1:F430,6,FALSE))</f>
        <v>-281.93786490009177</v>
      </c>
      <c r="L665" s="52" t="str">
        <f>IFERROR(K665/H665,"N/A")</f>
        <v>N/A</v>
      </c>
      <c r="M665" s="53" t="str">
        <f>IF(Settings!$E$9="YAHOO",VLOOKUP(B665,ADP!A1:E728,2,FALSE),IF(Settings!$E$9="ESPN",VLOOKUP(B665,ADP!A1:E728,3,FALSE),IF(Settings!$E$9="FANTRAX",VLOOKUP(B665,ADP!A1:E728,4,FALSE),VLOOKUP(B665,ADP!A1:E728,5,FALSE))))</f>
        <v>-</v>
      </c>
      <c r="N665" s="53" t="str">
        <f>IFERROR(M665-A665,"N/A")</f>
        <v>N/A</v>
      </c>
      <c r="O665" s="39"/>
      <c r="P665" s="40" t="str">
        <f>IF(Settings!$E$27="ON",VLOOKUP(B665,ADP!A1:H728,8,FALSE)," ")</f>
        <v xml:space="preserve"> </v>
      </c>
      <c r="Q665" s="41">
        <f>IF(Settings!$E$12="YES",VLOOKUP(B665,'Player Data'!A1:E734,5,FALSE),82)</f>
        <v>67.432500000000005</v>
      </c>
      <c r="R665" s="39">
        <f>VLOOKUP(B665,'Player Data'!$A1:$AE734,6,FALSE)</f>
        <v>11.7348036727292</v>
      </c>
      <c r="S665" s="41">
        <f>VLOOKUP(B665,'Player Data'!$A1:$AE734,7,FALSE)*$Q665*IFERROR((VLOOKUP(P665,Settings!$E$28:$F$33,2,FALSE)+1),1)</f>
        <v>6.9570626034791809</v>
      </c>
      <c r="T665" s="41">
        <f>VLOOKUP(B665,'Player Data'!$A1:$AE734,8,FALSE)*$Q665*IFERROR((VLOOKUP(P665,Settings!$E$28:$F$33,2,FALSE)+1),1)</f>
        <v>13.123576207836985</v>
      </c>
      <c r="U665" s="41">
        <f>SUM(S665:T665)</f>
        <v>20.080638811316167</v>
      </c>
      <c r="V665" s="41">
        <f>VLOOKUP(B665,'Player Data'!$A1:$AE734,10,FALSE)*$Q665*IFERROR(((VLOOKUP(P665,Settings!$E$28:$F$33,2,FALSE)/2)+1),1)</f>
        <v>91.61646166670576</v>
      </c>
      <c r="W665" s="41">
        <f>VLOOKUP(B665,'Player Data'!$A1:$AE734,11,FALSE)*$Q665*IFERROR((VLOOKUP(P665,Settings!$E$28:$F$33,2,FALSE)+1),1)</f>
        <v>4.4549219981260144E-2</v>
      </c>
      <c r="X665" s="41">
        <f>VLOOKUP(B665,'Player Data'!$A1:$AE734,12,FALSE)*$Q665*IFERROR((VLOOKUP(P665,Settings!$E$28:$F$33,2,FALSE)+1),1)</f>
        <v>0.135637737049284</v>
      </c>
      <c r="Y665" s="41">
        <f>VLOOKUP(B665,'Player Data'!$A1:$AE734,13,FALSE)*$Q665</f>
        <v>0.18241729204593615</v>
      </c>
      <c r="Z665" s="41">
        <f>VLOOKUP(B665,'Player Data'!$A1:$AE734,14,FALSE)*$Q665</f>
        <v>0.32549745055122398</v>
      </c>
      <c r="AA665" s="41">
        <f>VLOOKUP(B665,'Player Data'!$A1:$AE734,15,FALSE)*$Q665</f>
        <v>22.09261611807754</v>
      </c>
      <c r="AB665" s="41">
        <f>VLOOKUP(B665,'Player Data'!$A1:$AE734,16,FALSE)*$Q665</f>
        <v>53.789814422089499</v>
      </c>
      <c r="AC665" s="41">
        <f>VLOOKUP(B665,'Player Data'!$A1:$AE734,17,FALSE)*$Q665*IFERROR((VLOOKUP(P665,Settings!$E$28:$F$33,2,FALSE)+1),1)</f>
        <v>-1.9996904240314874</v>
      </c>
      <c r="AD665" s="41">
        <f>VLOOKUP(B665,'Player Data'!$A1:$AE734,18,FALSE)*$Q665</f>
        <v>13.683886147331027</v>
      </c>
      <c r="AE665" s="41">
        <f>VLOOKUP(B665,'Player Data'!$A1:$AE734,19,FALSE)*$Q665*IFERROR((VLOOKUP(P665,Settings!$E$28:$F$33,2,FALSE)+1),1)</f>
        <v>0.85575965431557</v>
      </c>
      <c r="AF665" s="41">
        <f>VLOOKUP(B665,'Player Data'!$A1:$AE734,20,FALSE)*$Q665</f>
        <v>34.84797991346305</v>
      </c>
      <c r="AG665" s="41">
        <f>VLOOKUP(B665,'Player Data'!$A1:$AE734,21,FALSE)*$Q665</f>
        <v>60.036023244312418</v>
      </c>
      <c r="AH665" s="42">
        <f>VLOOKUP(B665,'Player Data'!$A1:$AE734,22,FALSE)</f>
        <v>0.367269284112275</v>
      </c>
      <c r="AI665" s="39"/>
      <c r="AJ665" s="43"/>
      <c r="AK665" s="41"/>
      <c r="AL665" s="41"/>
      <c r="AM665" s="41"/>
      <c r="AN665" s="41"/>
      <c r="AO665" s="41"/>
      <c r="AP665" s="41"/>
      <c r="AQ665" s="44"/>
      <c r="AR665" s="45"/>
      <c r="AS665" s="39"/>
    </row>
    <row r="666" spans="1:45" ht="21.25" customHeight="1" x14ac:dyDescent="0.15">
      <c r="A666" s="31">
        <f>RANK(K666,K$2:K$727)</f>
        <v>665</v>
      </c>
      <c r="B666" s="8" t="s">
        <v>770</v>
      </c>
      <c r="C666" s="32" t="s">
        <v>106</v>
      </c>
      <c r="D666" s="33" t="str">
        <f>VLOOKUP(B666,'Player Data'!A1:D734,4,FALSE)</f>
        <v>LW</v>
      </c>
      <c r="E666" s="47">
        <f>VLOOKUP(B666,LW!A1:C130,3,FALSE)</f>
        <v>120</v>
      </c>
      <c r="F666" s="35" t="str">
        <f>VLOOKUP(B666,'Player Data'!A1:B734,2,FALSE)</f>
        <v>OTT</v>
      </c>
      <c r="G666" s="9">
        <f>VLOOKUP(B666,'Player Data'!A1:D734,3,FALSE)</f>
        <v>24</v>
      </c>
      <c r="H666" s="36">
        <f>IFERROR(VLOOKUP(B666,ADP!A1:G728,7,FALSE)/1000000,VLOOKUP(B666,ADP!A1:G728,7,FALSE))</f>
        <v>0.76249999999999996</v>
      </c>
      <c r="I666" s="37">
        <f>IF(Settings!$E$15="POINTS",((R666*Q666)*Settings!$B$12)+(S666*Settings!$B$2)+(T666*Settings!$B$3)+(U666*Settings!$B$4)+(V666*Settings!$B$5)+(X666*Settings!$B$9)+(AA666*Settings!$B$6)+(W666*Settings!$B$8)+(AB666*Settings!$B$7)+(AC666*Settings!$B$14)+(AD666*Settings!$B$15)+(AE666*Settings!$B$16)+(AF666*Settings!$B$17)+(AG666*Settings!$B$18)+(Y666*Settings!$B$10)+(Z666*Settings!$B$11),VLOOKUP(B666,'Standard Deviations'!A1:C728,3,FALSE))</f>
        <v>81.976112132301907</v>
      </c>
      <c r="J666" s="38">
        <f>IF(D666="G",I666/AJ666,I666/Q666)</f>
        <v>1.2144609204785468</v>
      </c>
      <c r="K666" s="37">
        <f>IF(Settings!$E$18="C/LW/RW",VLOOKUP(B666,LW!A1:F130,6,FALSE),VLOOKUP(B666,F!A1:F430,6,FALSE))</f>
        <v>-282.06449272534854</v>
      </c>
      <c r="L666" s="37">
        <f>IFERROR(K666/H666,"N/A")</f>
        <v>-369.92064619717843</v>
      </c>
      <c r="M666" s="53" t="str">
        <f>IF(Settings!$E$9="YAHOO",VLOOKUP(B666,ADP!A1:E728,2,FALSE),IF(Settings!$E$9="ESPN",VLOOKUP(B666,ADP!A1:E728,3,FALSE),IF(Settings!$E$9="FANTRAX",VLOOKUP(B666,ADP!A1:E728,4,FALSE),VLOOKUP(B666,ADP!A1:E728,5,FALSE))))</f>
        <v>-</v>
      </c>
      <c r="N666" s="53" t="str">
        <f>IFERROR(M666-A666,"N/A")</f>
        <v>N/A</v>
      </c>
      <c r="O666" s="39"/>
      <c r="P666" s="40" t="str">
        <f>IF(Settings!$E$27="ON",VLOOKUP(B666,ADP!A1:H728,8,FALSE)," ")</f>
        <v xml:space="preserve"> </v>
      </c>
      <c r="Q666" s="41">
        <f>IF(Settings!$E$12="YES",VLOOKUP(B666,'Player Data'!A1:E734,5,FALSE),82)</f>
        <v>67.5</v>
      </c>
      <c r="R666" s="39">
        <f>VLOOKUP(B666,'Player Data'!$A1:$AE734,6,FALSE)</f>
        <v>10.4975796680987</v>
      </c>
      <c r="S666" s="41">
        <f>VLOOKUP(B666,'Player Data'!$A1:$AE734,7,FALSE)*$Q666*IFERROR((VLOOKUP(P666,Settings!$E$28:$F$33,2,FALSE)+1),1)</f>
        <v>5.4734479022181493</v>
      </c>
      <c r="T666" s="41">
        <f>VLOOKUP(B666,'Player Data'!$A1:$AE734,8,FALSE)*$Q666*IFERROR((VLOOKUP(P666,Settings!$E$28:$F$33,2,FALSE)+1),1)</f>
        <v>6.6454084020813484</v>
      </c>
      <c r="U666" s="41">
        <f>SUM(S666:T666)</f>
        <v>12.118856304299499</v>
      </c>
      <c r="V666" s="41">
        <f>VLOOKUP(B666,'Player Data'!$A1:$AE734,10,FALSE)*$Q666*IFERROR(((VLOOKUP(P666,Settings!$E$28:$F$33,2,FALSE)/2)+1),1)</f>
        <v>71.965743060000364</v>
      </c>
      <c r="W666" s="41">
        <f>VLOOKUP(B666,'Player Data'!$A1:$AE734,11,FALSE)*$Q666*IFERROR((VLOOKUP(P666,Settings!$E$28:$F$33,2,FALSE)+1),1)</f>
        <v>6.3319536622069406E-2</v>
      </c>
      <c r="X666" s="41">
        <f>VLOOKUP(B666,'Player Data'!$A1:$AE734,12,FALSE)*$Q666*IFERROR((VLOOKUP(P666,Settings!$E$28:$F$33,2,FALSE)+1),1)</f>
        <v>0.16128294210499367</v>
      </c>
      <c r="Y666" s="41">
        <f>VLOOKUP(B666,'Player Data'!$A1:$AE734,13,FALSE)*$Q666</f>
        <v>0.13808353209961408</v>
      </c>
      <c r="Z666" s="41">
        <f>VLOOKUP(B666,'Player Data'!$A1:$AE734,14,FALSE)*$Q666</f>
        <v>1.2125412734944567</v>
      </c>
      <c r="AA666" s="41">
        <f>VLOOKUP(B666,'Player Data'!$A1:$AE734,15,FALSE)*$Q666</f>
        <v>34.445116291021598</v>
      </c>
      <c r="AB666" s="41">
        <f>VLOOKUP(B666,'Player Data'!$A1:$AE734,16,FALSE)*$Q666</f>
        <v>174.80714478136065</v>
      </c>
      <c r="AC666" s="41">
        <f>VLOOKUP(B666,'Player Data'!$A1:$AE734,17,FALSE)*$Q666*IFERROR((VLOOKUP(P666,Settings!$E$28:$F$33,2,FALSE)+1),1)</f>
        <v>-0.3869533831437601</v>
      </c>
      <c r="AD666" s="41">
        <f>VLOOKUP(B666,'Player Data'!$A1:$AE734,18,FALSE)*$Q666</f>
        <v>35.469125937799198</v>
      </c>
      <c r="AE666" s="41">
        <f>VLOOKUP(B666,'Player Data'!$A1:$AE734,19,FALSE)*$Q666*IFERROR((VLOOKUP(P666,Settings!$E$28:$F$33,2,FALSE)+1),1)</f>
        <v>0.76026705671341122</v>
      </c>
      <c r="AF666" s="41">
        <f>VLOOKUP(B666,'Player Data'!$A1:$AE734,20,FALSE)*$Q666</f>
        <v>4.1615559129747828</v>
      </c>
      <c r="AG666" s="41">
        <f>VLOOKUP(B666,'Player Data'!$A1:$AE734,21,FALSE)*$Q666</f>
        <v>9.194421414916599</v>
      </c>
      <c r="AH666" s="42">
        <f>VLOOKUP(B666,'Player Data'!$A1:$AE734,22,FALSE)</f>
        <v>0.31158752450741101</v>
      </c>
      <c r="AI666" s="39"/>
      <c r="AJ666" s="43"/>
      <c r="AK666" s="41"/>
      <c r="AL666" s="41"/>
      <c r="AM666" s="41"/>
      <c r="AN666" s="41"/>
      <c r="AO666" s="41"/>
      <c r="AP666" s="41"/>
      <c r="AQ666" s="44"/>
      <c r="AR666" s="45"/>
      <c r="AS666" s="39"/>
    </row>
    <row r="667" spans="1:45" ht="21.25" customHeight="1" x14ac:dyDescent="0.15">
      <c r="A667" s="31">
        <f>RANK(K667,K$2:K$727)</f>
        <v>666</v>
      </c>
      <c r="B667" s="8" t="s">
        <v>771</v>
      </c>
      <c r="C667" s="32" t="s">
        <v>106</v>
      </c>
      <c r="D667" s="33" t="str">
        <f>VLOOKUP(B667,'Player Data'!A1:D734,4,FALSE)</f>
        <v>LW</v>
      </c>
      <c r="E667" s="47">
        <f>VLOOKUP(B667,LW!A1:C130,3,FALSE)</f>
        <v>121</v>
      </c>
      <c r="F667" s="35" t="str">
        <f>VLOOKUP(B667,'Player Data'!A1:B734,2,FALSE)</f>
        <v>MIN</v>
      </c>
      <c r="G667" s="9">
        <f>VLOOKUP(B667,'Player Data'!A1:D734,3,FALSE)</f>
        <v>35</v>
      </c>
      <c r="H667" s="36">
        <f>IFERROR(VLOOKUP(B667,ADP!A1:G728,7,FALSE)/1000000,VLOOKUP(B667,ADP!A1:G728,7,FALSE))</f>
        <v>1</v>
      </c>
      <c r="I667" s="37">
        <f>IF(Settings!$E$15="POINTS",((R667*Q667)*Settings!$B$12)+(S667*Settings!$B$2)+(T667*Settings!$B$3)+(U667*Settings!$B$4)+(V667*Settings!$B$5)+(X667*Settings!$B$9)+(AA667*Settings!$B$6)+(W667*Settings!$B$8)+(AB667*Settings!$B$7)+(AC667*Settings!$B$14)+(AD667*Settings!$B$15)+(AE667*Settings!$B$16)+(AF667*Settings!$B$17)+(AG667*Settings!$B$18)+(Y667*Settings!$B$10)+(Z667*Settings!$B$11),VLOOKUP(B667,'Standard Deviations'!A1:C728,3,FALSE))</f>
        <v>81.76548572289056</v>
      </c>
      <c r="J667" s="38">
        <f>IF(D667="G",I667/AJ667,I667/Q667)</f>
        <v>1.0046001887891076</v>
      </c>
      <c r="K667" s="37">
        <f>IF(Settings!$E$18="C/LW/RW",VLOOKUP(B667,LW!A1:F130,6,FALSE),VLOOKUP(B667,F!A1:F430,6,FALSE))</f>
        <v>-282.2751191347599</v>
      </c>
      <c r="L667" s="37">
        <f>IFERROR(K667/H667,"N/A")</f>
        <v>-282.2751191347599</v>
      </c>
      <c r="M667" s="53" t="str">
        <f>IF(Settings!$E$9="YAHOO",VLOOKUP(B667,ADP!A1:E728,2,FALSE),IF(Settings!$E$9="ESPN",VLOOKUP(B667,ADP!A1:E728,3,FALSE),IF(Settings!$E$9="FANTRAX",VLOOKUP(B667,ADP!A1:E728,4,FALSE),VLOOKUP(B667,ADP!A1:E728,5,FALSE))))</f>
        <v>-</v>
      </c>
      <c r="N667" s="53" t="str">
        <f>IFERROR(M667-A667,"N/A")</f>
        <v>N/A</v>
      </c>
      <c r="O667" s="39"/>
      <c r="P667" s="40" t="str">
        <f>IF(Settings!$E$27="ON",VLOOKUP(B667,ADP!A1:H728,8,FALSE)," ")</f>
        <v xml:space="preserve"> </v>
      </c>
      <c r="Q667" s="41">
        <f>IF(Settings!$E$12="YES",VLOOKUP(B667,'Player Data'!A1:E734,5,FALSE),82)</f>
        <v>81.391071428571394</v>
      </c>
      <c r="R667" s="39">
        <f>VLOOKUP(B667,'Player Data'!$A1:$AE734,6,FALSE)</f>
        <v>10.307501136509099</v>
      </c>
      <c r="S667" s="41">
        <f>VLOOKUP(B667,'Player Data'!$A1:$AE734,7,FALSE)*$Q667*IFERROR((VLOOKUP(P667,Settings!$E$28:$F$33,2,FALSE)+1),1)</f>
        <v>4.922517432420074</v>
      </c>
      <c r="T667" s="41">
        <f>VLOOKUP(B667,'Player Data'!$A1:$AE734,8,FALSE)*$Q667*IFERROR((VLOOKUP(P667,Settings!$E$28:$F$33,2,FALSE)+1),1)</f>
        <v>9.6136878660219622</v>
      </c>
      <c r="U667" s="41">
        <f>SUM(S667:T667)</f>
        <v>14.536205298442036</v>
      </c>
      <c r="V667" s="41">
        <f>VLOOKUP(B667,'Player Data'!$A1:$AE734,10,FALSE)*$Q667*IFERROR(((VLOOKUP(P667,Settings!$E$28:$F$33,2,FALSE)/2)+1),1)</f>
        <v>69.808389228242532</v>
      </c>
      <c r="W667" s="41">
        <f>VLOOKUP(B667,'Player Data'!$A1:$AE734,11,FALSE)*$Q667*IFERROR((VLOOKUP(P667,Settings!$E$28:$F$33,2,FALSE)+1),1)</f>
        <v>6.8640344039629431E-2</v>
      </c>
      <c r="X667" s="41">
        <f>VLOOKUP(B667,'Player Data'!$A1:$AE734,12,FALSE)*$Q667*IFERROR((VLOOKUP(P667,Settings!$E$28:$F$33,2,FALSE)+1),1)</f>
        <v>0.16974686849966145</v>
      </c>
      <c r="Y667" s="41">
        <f>VLOOKUP(B667,'Player Data'!$A1:$AE734,13,FALSE)*$Q667</f>
        <v>4.5620759217122425E-4</v>
      </c>
      <c r="Z667" s="41">
        <f>VLOOKUP(B667,'Player Data'!$A1:$AE734,14,FALSE)*$Q667</f>
        <v>9.0045082817973856E-4</v>
      </c>
      <c r="AA667" s="41">
        <f>VLOOKUP(B667,'Player Data'!$A1:$AE734,15,FALSE)*$Q667</f>
        <v>14.556902873937586</v>
      </c>
      <c r="AB667" s="41">
        <f>VLOOKUP(B667,'Player Data'!$A1:$AE734,16,FALSE)*$Q667</f>
        <v>157.45173866739947</v>
      </c>
      <c r="AC667" s="41">
        <f>VLOOKUP(B667,'Player Data'!$A1:$AE734,17,FALSE)*$Q667*IFERROR((VLOOKUP(P667,Settings!$E$28:$F$33,2,FALSE)+1),1)</f>
        <v>1.4862530394161337</v>
      </c>
      <c r="AD667" s="41">
        <f>VLOOKUP(B667,'Player Data'!$A1:$AE734,18,FALSE)*$Q667</f>
        <v>69.390990456198665</v>
      </c>
      <c r="AE667" s="41">
        <f>VLOOKUP(B667,'Player Data'!$A1:$AE734,19,FALSE)*$Q667*IFERROR((VLOOKUP(P667,Settings!$E$28:$F$33,2,FALSE)+1),1)</f>
        <v>0.79044020470479603</v>
      </c>
      <c r="AF667" s="41">
        <f>VLOOKUP(B667,'Player Data'!$A1:$AE734,20,FALSE)*$Q667</f>
        <v>4.5016017621071525</v>
      </c>
      <c r="AG667" s="41">
        <f>VLOOKUP(B667,'Player Data'!$A1:$AE734,21,FALSE)*$Q667</f>
        <v>10.354080317451576</v>
      </c>
      <c r="AH667" s="42">
        <f>VLOOKUP(B667,'Player Data'!$A1:$AE734,22,FALSE)</f>
        <v>0.30302221991552297</v>
      </c>
      <c r="AI667" s="39"/>
      <c r="AJ667" s="43"/>
      <c r="AK667" s="41"/>
      <c r="AL667" s="41"/>
      <c r="AM667" s="41"/>
      <c r="AN667" s="41"/>
      <c r="AO667" s="41"/>
      <c r="AP667" s="41"/>
      <c r="AQ667" s="44"/>
      <c r="AR667" s="45"/>
      <c r="AS667" s="39"/>
    </row>
    <row r="668" spans="1:45" ht="21.25" customHeight="1" x14ac:dyDescent="0.15">
      <c r="A668" s="31">
        <f>RANK(K668,K$2:K$727)</f>
        <v>667</v>
      </c>
      <c r="B668" s="8" t="s">
        <v>772</v>
      </c>
      <c r="C668" s="32" t="s">
        <v>106</v>
      </c>
      <c r="D668" s="33" t="str">
        <f>VLOOKUP(B668,'Player Data'!A1:D734,4,FALSE)</f>
        <v>C</v>
      </c>
      <c r="E668" s="34">
        <f>VLOOKUP(B668,'C'!A1:C211,3,FALSE)</f>
        <v>171</v>
      </c>
      <c r="F668" s="35" t="str">
        <f>VLOOKUP(B668,'Player Data'!A1:B734,2,FALSE)</f>
        <v>DAL</v>
      </c>
      <c r="G668" s="9">
        <f>VLOOKUP(B668,'Player Data'!A1:D734,3,FALSE)</f>
        <v>25</v>
      </c>
      <c r="H668" s="36">
        <f>IFERROR(VLOOKUP(B668,ADP!A1:G728,7,FALSE)/1000000,VLOOKUP(B668,ADP!A1:G728,7,FALSE))</f>
        <v>0.85</v>
      </c>
      <c r="I668" s="37">
        <f>IF(Settings!$E$15="POINTS",((R668*Q668)*Settings!$B$12)+(S668*Settings!$B$2)+(T668*Settings!$B$3)+(U668*Settings!$B$4)+(V668*Settings!$B$5)+(X668*Settings!$B$9)+(AA668*Settings!$B$6)+(W668*Settings!$B$8)+(AB668*Settings!$B$7)+(AC668*Settings!$B$14)+(AD668*Settings!$B$15)+(AE668*Settings!$B$16)+(AF668*Settings!$B$17)+(AG668*Settings!$B$18)+(Y668*Settings!$B$10)+(Z668*Settings!$B$11),VLOOKUP(B668,'Standard Deviations'!A1:C728,3,FALSE))</f>
        <v>110.29237262080035</v>
      </c>
      <c r="J668" s="38">
        <f>IF(D668="G",I668/AJ668,I668/Q668)</f>
        <v>1.4698300532507127</v>
      </c>
      <c r="K668" s="37">
        <f>IF(Settings!$E$18="C/LW/RW",VLOOKUP(B668,'C'!A1:F211,6,FALSE),VLOOKUP(B668,F!A1:F430,6,FALSE))</f>
        <v>-283.03643314540932</v>
      </c>
      <c r="L668" s="37">
        <f>IFERROR(K668/H668,"N/A")</f>
        <v>-332.98403899459919</v>
      </c>
      <c r="M668" s="53" t="str">
        <f>IF(Settings!$E$9="YAHOO",VLOOKUP(B668,ADP!A1:E728,2,FALSE),IF(Settings!$E$9="ESPN",VLOOKUP(B668,ADP!A1:E728,3,FALSE),IF(Settings!$E$9="FANTRAX",VLOOKUP(B668,ADP!A1:E728,4,FALSE),VLOOKUP(B668,ADP!A1:E728,5,FALSE))))</f>
        <v>-</v>
      </c>
      <c r="N668" s="53" t="str">
        <f>IFERROR(M668-A668,"N/A")</f>
        <v>N/A</v>
      </c>
      <c r="O668" s="39"/>
      <c r="P668" s="40" t="str">
        <f>IF(Settings!$E$27="ON",VLOOKUP(B668,ADP!A1:H728,8,FALSE)," ")</f>
        <v xml:space="preserve"> </v>
      </c>
      <c r="Q668" s="41">
        <f>IF(Settings!$E$12="YES",VLOOKUP(B668,'Player Data'!A1:E734,5,FALSE),82)</f>
        <v>75.037499999999994</v>
      </c>
      <c r="R668" s="39">
        <f>VLOOKUP(B668,'Player Data'!$A1:$AE734,6,FALSE)</f>
        <v>11.7777591183489</v>
      </c>
      <c r="S668" s="41">
        <f>VLOOKUP(B668,'Player Data'!$A1:$AE734,7,FALSE)*$Q668*IFERROR((VLOOKUP(P668,Settings!$E$28:$F$33,2,FALSE)+1),1)</f>
        <v>8.7726875521807646</v>
      </c>
      <c r="T668" s="41">
        <f>VLOOKUP(B668,'Player Data'!$A1:$AE734,8,FALSE)*$Q668*IFERROR((VLOOKUP(P668,Settings!$E$28:$F$33,2,FALSE)+1),1)</f>
        <v>13.163325742183973</v>
      </c>
      <c r="U668" s="41">
        <f>SUM(S668:T668)</f>
        <v>21.936013294364738</v>
      </c>
      <c r="V668" s="41">
        <f>VLOOKUP(B668,'Player Data'!$A1:$AE734,10,FALSE)*$Q668*IFERROR(((VLOOKUP(P668,Settings!$E$28:$F$33,2,FALSE)/2)+1),1)</f>
        <v>75.58253994001636</v>
      </c>
      <c r="W668" s="41">
        <f>VLOOKUP(B668,'Player Data'!$A1:$AE734,11,FALSE)*$Q668*IFERROR((VLOOKUP(P668,Settings!$E$28:$F$33,2,FALSE)+1),1)</f>
        <v>4.9214011717409849E-2</v>
      </c>
      <c r="X668" s="41">
        <f>VLOOKUP(B668,'Player Data'!$A1:$AE734,12,FALSE)*$Q668*IFERROR((VLOOKUP(P668,Settings!$E$28:$F$33,2,FALSE)+1),1)</f>
        <v>0.36422339470913179</v>
      </c>
      <c r="Y668" s="41">
        <f>VLOOKUP(B668,'Player Data'!$A1:$AE734,13,FALSE)*$Q668</f>
        <v>0.75103882371783093</v>
      </c>
      <c r="Z668" s="41">
        <f>VLOOKUP(B668,'Player Data'!$A1:$AE734,14,FALSE)*$Q668</f>
        <v>0.86471672264239852</v>
      </c>
      <c r="AA668" s="41">
        <f>VLOOKUP(B668,'Player Data'!$A1:$AE734,15,FALSE)*$Q668</f>
        <v>21.175912664974486</v>
      </c>
      <c r="AB668" s="41">
        <f>VLOOKUP(B668,'Player Data'!$A1:$AE734,16,FALSE)*$Q668</f>
        <v>55.348982845980892</v>
      </c>
      <c r="AC668" s="41">
        <f>VLOOKUP(B668,'Player Data'!$A1:$AE734,17,FALSE)*$Q668*IFERROR((VLOOKUP(P668,Settings!$E$28:$F$33,2,FALSE)+1),1)</f>
        <v>3.8577515488858181</v>
      </c>
      <c r="AD668" s="41">
        <f>VLOOKUP(B668,'Player Data'!$A1:$AE734,18,FALSE)*$Q668</f>
        <v>17.139322610975828</v>
      </c>
      <c r="AE668" s="41">
        <f>VLOOKUP(B668,'Player Data'!$A1:$AE734,19,FALSE)*$Q668*IFERROR((VLOOKUP(P668,Settings!$E$28:$F$33,2,FALSE)+1),1)</f>
        <v>1.4035678182891156</v>
      </c>
      <c r="AF668" s="41">
        <f>VLOOKUP(B668,'Player Data'!$A1:$AE734,20,FALSE)*$Q668</f>
        <v>279.60136912402419</v>
      </c>
      <c r="AG668" s="41">
        <f>VLOOKUP(B668,'Player Data'!$A1:$AE734,21,FALSE)*$Q668</f>
        <v>284.12612935610298</v>
      </c>
      <c r="AH668" s="42">
        <f>VLOOKUP(B668,'Player Data'!$A1:$AE734,22,FALSE)</f>
        <v>0.49598674870014497</v>
      </c>
      <c r="AI668" s="39"/>
      <c r="AJ668" s="43"/>
      <c r="AK668" s="41"/>
      <c r="AL668" s="41"/>
      <c r="AM668" s="41"/>
      <c r="AN668" s="41"/>
      <c r="AO668" s="41"/>
      <c r="AP668" s="41"/>
      <c r="AQ668" s="44"/>
      <c r="AR668" s="45"/>
      <c r="AS668" s="39"/>
    </row>
    <row r="669" spans="1:45" ht="21.25" customHeight="1" x14ac:dyDescent="0.15">
      <c r="A669" s="31">
        <f>RANK(K669,K$2:K$727)</f>
        <v>668</v>
      </c>
      <c r="B669" s="8" t="s">
        <v>773</v>
      </c>
      <c r="C669" s="32" t="s">
        <v>106</v>
      </c>
      <c r="D669" s="33" t="str">
        <f>VLOOKUP(B669,'Player Data'!A1:D734,4,FALSE)</f>
        <v>RW</v>
      </c>
      <c r="E669" s="46">
        <f>VLOOKUP(B669,RW!A1:F97,3,FALSE)</f>
        <v>94</v>
      </c>
      <c r="F669" s="35" t="str">
        <f>VLOOKUP(B669,'Player Data'!A1:B734,2,FALSE)</f>
        <v>TOR</v>
      </c>
      <c r="G669" s="9">
        <f>VLOOKUP(B669,'Player Data'!A1:D734,3,FALSE)</f>
        <v>36</v>
      </c>
      <c r="H669" s="36">
        <f>IFERROR(VLOOKUP(B669,ADP!A1:G728,7,FALSE)/1000000,VLOOKUP(B669,ADP!A1:G728,7,FALSE))</f>
        <v>1.3</v>
      </c>
      <c r="I669" s="37">
        <f>IF(Settings!$E$15="POINTS",((R669*Q669)*Settings!$B$12)+(S669*Settings!$B$2)+(T669*Settings!$B$3)+(U669*Settings!$B$4)+(V669*Settings!$B$5)+(X669*Settings!$B$9)+(AA669*Settings!$B$6)+(W669*Settings!$B$8)+(AB669*Settings!$B$7)+(AC669*Settings!$B$14)+(AD669*Settings!$B$15)+(AE669*Settings!$B$16)+(AF669*Settings!$B$17)+(AG669*Settings!$B$18)+(Y669*Settings!$B$10)+(Z669*Settings!$B$11),VLOOKUP(B669,'Standard Deviations'!A1:C728,3,FALSE))</f>
        <v>66.741079527526892</v>
      </c>
      <c r="J669" s="38">
        <f>IF(D669="G",I669/AJ669,I669/Q669)</f>
        <v>0.87975963523028122</v>
      </c>
      <c r="K669" s="37">
        <f>IF(Settings!$E$18="C/LW/RW",VLOOKUP(B669,RW!A1:F97,6,FALSE),VLOOKUP(B669,F!A1:F430,6,FALSE))</f>
        <v>-283.53046102036268</v>
      </c>
      <c r="L669" s="37">
        <f>IFERROR(K669/H669,"N/A")</f>
        <v>-218.10035463104822</v>
      </c>
      <c r="M669" s="39">
        <f>IF(Settings!$E$9="YAHOO",VLOOKUP(B669,ADP!A1:E728,2,FALSE),IF(Settings!$E$9="ESPN",VLOOKUP(B669,ADP!A1:E728,3,FALSE),IF(Settings!$E$9="FANTRAX",VLOOKUP(B669,ADP!A1:E728,4,FALSE),VLOOKUP(B669,ADP!A1:E728,5,FALSE))))</f>
        <v>159.19999999999999</v>
      </c>
      <c r="N669" s="39">
        <f>IFERROR(M669-A669,"N/A")</f>
        <v>-508.8</v>
      </c>
      <c r="O669" s="39"/>
      <c r="P669" s="40" t="str">
        <f>IF(Settings!$E$27="ON",VLOOKUP(B669,ADP!A1:H728,8,FALSE)," ")</f>
        <v xml:space="preserve"> </v>
      </c>
      <c r="Q669" s="41">
        <f>IF(Settings!$E$12="YES",VLOOKUP(B669,'Player Data'!A1:E734,5,FALSE),82)</f>
        <v>75.862857142857095</v>
      </c>
      <c r="R669" s="39">
        <f>VLOOKUP(B669,'Player Data'!$A1:$AE734,6,FALSE)</f>
        <v>9.3171298949856904</v>
      </c>
      <c r="S669" s="41">
        <f>VLOOKUP(B669,'Player Data'!$A1:$AE734,7,FALSE)*$Q669*IFERROR((VLOOKUP(P669,Settings!$E$28:$F$33,2,FALSE)+1),1)</f>
        <v>4.0189160481144679</v>
      </c>
      <c r="T669" s="41">
        <f>VLOOKUP(B669,'Player Data'!$A1:$AE734,8,FALSE)*$Q669*IFERROR((VLOOKUP(P669,Settings!$E$28:$F$33,2,FALSE)+1),1)</f>
        <v>7.9521665541750739</v>
      </c>
      <c r="U669" s="41">
        <f>SUM(S669:T669)</f>
        <v>11.971082602289542</v>
      </c>
      <c r="V669" s="41">
        <f>VLOOKUP(B669,'Player Data'!$A1:$AE734,10,FALSE)*$Q669*IFERROR(((VLOOKUP(P669,Settings!$E$28:$F$33,2,FALSE)/2)+1),1)</f>
        <v>52.122082591352907</v>
      </c>
      <c r="W669" s="41">
        <f>VLOOKUP(B669,'Player Data'!$A1:$AE734,11,FALSE)*$Q669*IFERROR((VLOOKUP(P669,Settings!$E$28:$F$33,2,FALSE)+1),1)</f>
        <v>2.1033739192421085E-2</v>
      </c>
      <c r="X669" s="41">
        <f>VLOOKUP(B669,'Player Data'!$A1:$AE734,12,FALSE)*$Q669*IFERROR((VLOOKUP(P669,Settings!$E$28:$F$33,2,FALSE)+1),1)</f>
        <v>5.7741208025195341E-2</v>
      </c>
      <c r="Y669" s="41">
        <f>VLOOKUP(B669,'Player Data'!$A1:$AE734,13,FALSE)*$Q669</f>
        <v>2.3109476791451024E-3</v>
      </c>
      <c r="Z669" s="41">
        <f>VLOOKUP(B669,'Player Data'!$A1:$AE734,14,FALSE)*$Q669</f>
        <v>4.5857569383253869E-3</v>
      </c>
      <c r="AA669" s="41">
        <f>VLOOKUP(B669,'Player Data'!$A1:$AE734,15,FALSE)*$Q669</f>
        <v>23.210682475273821</v>
      </c>
      <c r="AB669" s="41">
        <f>VLOOKUP(B669,'Player Data'!$A1:$AE734,16,FALSE)*$Q669</f>
        <v>204.22740403093113</v>
      </c>
      <c r="AC669" s="41">
        <f>VLOOKUP(B669,'Player Data'!$A1:$AE734,17,FALSE)*$Q669*IFERROR((VLOOKUP(P669,Settings!$E$28:$F$33,2,FALSE)+1),1)</f>
        <v>2.563826996514452</v>
      </c>
      <c r="AD669" s="41">
        <f>VLOOKUP(B669,'Player Data'!$A1:$AE734,18,FALSE)*$Q669</f>
        <v>37.042334488691203</v>
      </c>
      <c r="AE669" s="41">
        <f>VLOOKUP(B669,'Player Data'!$A1:$AE734,19,FALSE)*$Q669*IFERROR((VLOOKUP(P669,Settings!$E$28:$F$33,2,FALSE)+1),1)</f>
        <v>0.64563779491789575</v>
      </c>
      <c r="AF669" s="41">
        <f>VLOOKUP(B669,'Player Data'!$A1:$AE734,20,FALSE)*$Q669</f>
        <v>5.6438539554973568</v>
      </c>
      <c r="AG669" s="41">
        <f>VLOOKUP(B669,'Player Data'!$A1:$AE734,21,FALSE)*$Q669</f>
        <v>9.7344561420309059</v>
      </c>
      <c r="AH669" s="42">
        <f>VLOOKUP(B669,'Player Data'!$A1:$AE734,22,FALSE)</f>
        <v>0.36700092010789198</v>
      </c>
      <c r="AI669" s="39"/>
      <c r="AJ669" s="43"/>
      <c r="AK669" s="41"/>
      <c r="AL669" s="41"/>
      <c r="AM669" s="41"/>
      <c r="AN669" s="41"/>
      <c r="AO669" s="41"/>
      <c r="AP669" s="41"/>
      <c r="AQ669" s="44"/>
      <c r="AR669" s="45"/>
      <c r="AS669" s="39"/>
    </row>
    <row r="670" spans="1:45" ht="21.25" customHeight="1" x14ac:dyDescent="0.15">
      <c r="A670" s="31">
        <f>RANK(K670,K$2:K$727)</f>
        <v>669</v>
      </c>
      <c r="B670" s="8" t="s">
        <v>774</v>
      </c>
      <c r="C670" s="32" t="s">
        <v>106</v>
      </c>
      <c r="D670" s="33" t="str">
        <f>VLOOKUP(B670,'Player Data'!A1:D734,4,FALSE)</f>
        <v>C</v>
      </c>
      <c r="E670" s="34">
        <f>VLOOKUP(B670,'C'!A1:C211,3,FALSE)</f>
        <v>172</v>
      </c>
      <c r="F670" s="35" t="str">
        <f>VLOOKUP(B670,'Player Data'!A1:B734,2,FALSE)</f>
        <v>DET</v>
      </c>
      <c r="G670" s="9">
        <f>VLOOKUP(B670,'Player Data'!A1:D734,3,FALSE)</f>
        <v>24</v>
      </c>
      <c r="H670" s="36">
        <f>IFERROR(VLOOKUP(B670,ADP!A1:G728,7,FALSE)/1000000,VLOOKUP(B670,ADP!A1:G728,7,FALSE))</f>
        <v>2</v>
      </c>
      <c r="I670" s="37">
        <f>IF(Settings!$E$15="POINTS",((R670*Q670)*Settings!$B$12)+(S670*Settings!$B$2)+(T670*Settings!$B$3)+(U670*Settings!$B$4)+(V670*Settings!$B$5)+(X670*Settings!$B$9)+(AA670*Settings!$B$6)+(W670*Settings!$B$8)+(AB670*Settings!$B$7)+(AC670*Settings!$B$14)+(AD670*Settings!$B$15)+(AE670*Settings!$B$16)+(AF670*Settings!$B$17)+(AG670*Settings!$B$18)+(Y670*Settings!$B$10)+(Z670*Settings!$B$11),VLOOKUP(B670,'Standard Deviations'!A1:C728,3,FALSE))</f>
        <v>109.55577630218318</v>
      </c>
      <c r="J670" s="38">
        <f>IF(D670="G",I670/AJ670,I670/Q670)</f>
        <v>1.7142100466955004</v>
      </c>
      <c r="K670" s="37">
        <f>IF(Settings!$E$18="C/LW/RW",VLOOKUP(B670,'C'!A1:F211,6,FALSE),VLOOKUP(B670,F!A1:F430,6,FALSE))</f>
        <v>-283.77302946402648</v>
      </c>
      <c r="L670" s="37">
        <f>IFERROR(K670/H670,"N/A")</f>
        <v>-141.88651473201324</v>
      </c>
      <c r="M670" s="53" t="str">
        <f>IF(Settings!$E$9="YAHOO",VLOOKUP(B670,ADP!A1:E728,2,FALSE),IF(Settings!$E$9="ESPN",VLOOKUP(B670,ADP!A1:E728,3,FALSE),IF(Settings!$E$9="FANTRAX",VLOOKUP(B670,ADP!A1:E728,4,FALSE),VLOOKUP(B670,ADP!A1:E728,5,FALSE))))</f>
        <v>-</v>
      </c>
      <c r="N670" s="53" t="str">
        <f>IFERROR(M670-A670,"N/A")</f>
        <v>N/A</v>
      </c>
      <c r="O670" s="39"/>
      <c r="P670" s="40" t="str">
        <f>IF(Settings!$E$27="ON",VLOOKUP(B670,ADP!A1:H728,8,FALSE)," ")</f>
        <v xml:space="preserve"> </v>
      </c>
      <c r="Q670" s="41">
        <f>IF(Settings!$E$12="YES",VLOOKUP(B670,'Player Data'!A1:E734,5,FALSE),82)</f>
        <v>63.910357142857102</v>
      </c>
      <c r="R670" s="39">
        <f>VLOOKUP(B670,'Player Data'!$A1:$AE734,6,FALSE)</f>
        <v>11.2179535886427</v>
      </c>
      <c r="S670" s="41">
        <f>VLOOKUP(B670,'Player Data'!$A1:$AE734,7,FALSE)*$Q670*IFERROR((VLOOKUP(P670,Settings!$E$28:$F$33,2,FALSE)+1),1)</f>
        <v>11.180325907363766</v>
      </c>
      <c r="T670" s="41">
        <f>VLOOKUP(B670,'Player Data'!$A1:$AE734,8,FALSE)*$Q670*IFERROR((VLOOKUP(P670,Settings!$E$28:$F$33,2,FALSE)+1),1)</f>
        <v>12.168381159443502</v>
      </c>
      <c r="U670" s="41">
        <f>SUM(S670:T670)</f>
        <v>23.348707066807268</v>
      </c>
      <c r="V670" s="41">
        <f>VLOOKUP(B670,'Player Data'!$A1:$AE734,10,FALSE)*$Q670*IFERROR(((VLOOKUP(P670,Settings!$E$28:$F$33,2,FALSE)/2)+1),1)</f>
        <v>70.436000544435288</v>
      </c>
      <c r="W670" s="41">
        <f>VLOOKUP(B670,'Player Data'!$A1:$AE734,11,FALSE)*$Q670*IFERROR((VLOOKUP(P670,Settings!$E$28:$F$33,2,FALSE)+1),1)</f>
        <v>5.4139039151427829E-2</v>
      </c>
      <c r="X670" s="41">
        <f>VLOOKUP(B670,'Player Data'!$A1:$AE734,12,FALSE)*$Q670*IFERROR((VLOOKUP(P670,Settings!$E$28:$F$33,2,FALSE)+1),1)</f>
        <v>0.13718905404944781</v>
      </c>
      <c r="Y670" s="41">
        <f>VLOOKUP(B670,'Player Data'!$A1:$AE734,13,FALSE)*$Q670</f>
        <v>4.7298687933116328E-4</v>
      </c>
      <c r="Z670" s="41">
        <f>VLOOKUP(B670,'Player Data'!$A1:$AE734,14,FALSE)*$Q670</f>
        <v>8.6638225606716808E-4</v>
      </c>
      <c r="AA670" s="41">
        <f>VLOOKUP(B670,'Player Data'!$A1:$AE734,15,FALSE)*$Q670</f>
        <v>20.077719784663383</v>
      </c>
      <c r="AB670" s="41">
        <f>VLOOKUP(B670,'Player Data'!$A1:$AE734,16,FALSE)*$Q670</f>
        <v>167.29427673515823</v>
      </c>
      <c r="AC670" s="41">
        <f>VLOOKUP(B670,'Player Data'!$A1:$AE734,17,FALSE)*$Q670*IFERROR((VLOOKUP(P670,Settings!$E$28:$F$33,2,FALSE)+1),1)</f>
        <v>-1.326422484688476</v>
      </c>
      <c r="AD670" s="41">
        <f>VLOOKUP(B670,'Player Data'!$A1:$AE734,18,FALSE)*$Q670</f>
        <v>44.17408938867532</v>
      </c>
      <c r="AE670" s="41">
        <f>VLOOKUP(B670,'Player Data'!$A1:$AE734,19,FALSE)*$Q670*IFERROR((VLOOKUP(P670,Settings!$E$28:$F$33,2,FALSE)+1),1)</f>
        <v>1.4435070405984205</v>
      </c>
      <c r="AF670" s="41">
        <f>VLOOKUP(B670,'Player Data'!$A1:$AE734,20,FALSE)*$Q670</f>
        <v>5.0640641277105249</v>
      </c>
      <c r="AG670" s="41">
        <f>VLOOKUP(B670,'Player Data'!$A1:$AE734,21,FALSE)*$Q670</f>
        <v>6.8137161143200267</v>
      </c>
      <c r="AH670" s="42">
        <f>VLOOKUP(B670,'Player Data'!$A1:$AE734,22,FALSE)</f>
        <v>0.426347686564439</v>
      </c>
      <c r="AI670" s="39"/>
      <c r="AJ670" s="43"/>
      <c r="AK670" s="41"/>
      <c r="AL670" s="41"/>
      <c r="AM670" s="41"/>
      <c r="AN670" s="41"/>
      <c r="AO670" s="41"/>
      <c r="AP670" s="41"/>
      <c r="AQ670" s="44"/>
      <c r="AR670" s="45"/>
      <c r="AS670" s="39"/>
    </row>
    <row r="671" spans="1:45" ht="21.25" customHeight="1" x14ac:dyDescent="0.15">
      <c r="A671" s="31">
        <f>RANK(K671,K$2:K$727)</f>
        <v>670</v>
      </c>
      <c r="B671" s="8" t="s">
        <v>775</v>
      </c>
      <c r="C671" s="32" t="s">
        <v>106</v>
      </c>
      <c r="D671" s="33" t="str">
        <f>VLOOKUP(B671,'Player Data'!A1:D734,4,FALSE)</f>
        <v>C</v>
      </c>
      <c r="E671" s="34">
        <f>VLOOKUP(B671,'C'!A1:C211,3,FALSE)</f>
        <v>173</v>
      </c>
      <c r="F671" s="35" t="str">
        <f>VLOOKUP(B671,'Player Data'!A1:B734,2,FALSE)</f>
        <v>NYR</v>
      </c>
      <c r="G671" s="9">
        <f>VLOOKUP(B671,'Player Data'!A1:D734,3,FALSE)</f>
        <v>35</v>
      </c>
      <c r="H671" s="36">
        <f>IFERROR(VLOOKUP(B671,ADP!A1:G728,7,FALSE)/1000000,VLOOKUP(B671,ADP!A1:G728,7,FALSE))</f>
        <v>0.8</v>
      </c>
      <c r="I671" s="37">
        <f>IF(Settings!$E$15="POINTS",((R671*Q671)*Settings!$B$12)+(S671*Settings!$B$2)+(T671*Settings!$B$3)+(U671*Settings!$B$4)+(V671*Settings!$B$5)+(X671*Settings!$B$9)+(AA671*Settings!$B$6)+(W671*Settings!$B$8)+(AB671*Settings!$B$7)+(AC671*Settings!$B$14)+(AD671*Settings!$B$15)+(AE671*Settings!$B$16)+(AF671*Settings!$B$17)+(AG671*Settings!$B$18)+(Y671*Settings!$B$10)+(Z671*Settings!$B$11),VLOOKUP(B671,'Standard Deviations'!A1:C728,3,FALSE))</f>
        <v>107.67552623249995</v>
      </c>
      <c r="J671" s="38">
        <f>IF(D671="G",I671/AJ671,I671/Q671)</f>
        <v>1.4954934198958325</v>
      </c>
      <c r="K671" s="37">
        <f>IF(Settings!$E$18="C/LW/RW",VLOOKUP(B671,'C'!A1:F211,6,FALSE),VLOOKUP(B671,F!A1:F430,6,FALSE))</f>
        <v>-285.65327953370968</v>
      </c>
      <c r="L671" s="37">
        <f>IFERROR(K671/H671,"N/A")</f>
        <v>-357.06659941713707</v>
      </c>
      <c r="M671" s="53" t="str">
        <f>IF(Settings!$E$9="YAHOO",VLOOKUP(B671,ADP!A1:E728,2,FALSE),IF(Settings!$E$9="ESPN",VLOOKUP(B671,ADP!A1:E728,3,FALSE),IF(Settings!$E$9="FANTRAX",VLOOKUP(B671,ADP!A1:E728,4,FALSE),VLOOKUP(B671,ADP!A1:E728,5,FALSE))))</f>
        <v>-</v>
      </c>
      <c r="N671" s="53" t="str">
        <f>IFERROR(M671-A671,"N/A")</f>
        <v>N/A</v>
      </c>
      <c r="O671" s="39"/>
      <c r="P671" s="40" t="str">
        <f>IF(Settings!$E$27="ON",VLOOKUP(B671,ADP!A1:H728,8,FALSE)," ")</f>
        <v xml:space="preserve"> </v>
      </c>
      <c r="Q671" s="41">
        <f>IF(Settings!$E$12="YES",VLOOKUP(B671,'Player Data'!A1:E734,5,FALSE),82)</f>
        <v>72</v>
      </c>
      <c r="R671" s="39">
        <f>VLOOKUP(B671,'Player Data'!$A1:$AE734,6,FALSE)</f>
        <v>12.9197530240193</v>
      </c>
      <c r="S671" s="41">
        <f>VLOOKUP(B671,'Player Data'!$A1:$AE734,7,FALSE)*$Q671*IFERROR((VLOOKUP(P671,Settings!$E$28:$F$33,2,FALSE)+1),1)</f>
        <v>8.6760634641045851</v>
      </c>
      <c r="T671" s="41">
        <f>VLOOKUP(B671,'Player Data'!$A1:$AE734,8,FALSE)*$Q671*IFERROR((VLOOKUP(P671,Settings!$E$28:$F$33,2,FALSE)+1),1)</f>
        <v>7.2657201360767765</v>
      </c>
      <c r="U671" s="41">
        <f>SUM(S671:T671)</f>
        <v>15.941783600181362</v>
      </c>
      <c r="V671" s="41">
        <f>VLOOKUP(B671,'Player Data'!$A1:$AE734,10,FALSE)*$Q671*IFERROR(((VLOOKUP(P671,Settings!$E$28:$F$33,2,FALSE)/2)+1),1)</f>
        <v>87.050583491021996</v>
      </c>
      <c r="W671" s="41">
        <f>VLOOKUP(B671,'Player Data'!$A1:$AE734,11,FALSE)*$Q671*IFERROR((VLOOKUP(P671,Settings!$E$28:$F$33,2,FALSE)+1),1)</f>
        <v>0.20689384128161473</v>
      </c>
      <c r="X671" s="41">
        <f>VLOOKUP(B671,'Player Data'!$A1:$AE734,12,FALSE)*$Q671*IFERROR((VLOOKUP(P671,Settings!$E$28:$F$33,2,FALSE)+1),1)</f>
        <v>0.52743230706913913</v>
      </c>
      <c r="Y671" s="41">
        <f>VLOOKUP(B671,'Player Data'!$A1:$AE734,13,FALSE)*$Q671</f>
        <v>0.30072033988565544</v>
      </c>
      <c r="Z671" s="41">
        <f>VLOOKUP(B671,'Player Data'!$A1:$AE734,14,FALSE)*$Q671</f>
        <v>0.36331769717158752</v>
      </c>
      <c r="AA671" s="41">
        <f>VLOOKUP(B671,'Player Data'!$A1:$AE734,15,FALSE)*$Q671</f>
        <v>72.716918389817039</v>
      </c>
      <c r="AB671" s="41">
        <f>VLOOKUP(B671,'Player Data'!$A1:$AE734,16,FALSE)*$Q671</f>
        <v>31.983830987358456</v>
      </c>
      <c r="AC671" s="41">
        <f>VLOOKUP(B671,'Player Data'!$A1:$AE734,17,FALSE)*$Q671*IFERROR((VLOOKUP(P671,Settings!$E$28:$F$33,2,FALSE)+1),1)</f>
        <v>3.4562721369828528</v>
      </c>
      <c r="AD671" s="41">
        <f>VLOOKUP(B671,'Player Data'!$A1:$AE734,18,FALSE)*$Q671</f>
        <v>16.942683293126496</v>
      </c>
      <c r="AE671" s="41">
        <f>VLOOKUP(B671,'Player Data'!$A1:$AE734,19,FALSE)*$Q671*IFERROR((VLOOKUP(P671,Settings!$E$28:$F$33,2,FALSE)+1),1)</f>
        <v>1.4783850128326896</v>
      </c>
      <c r="AF671" s="41">
        <f>VLOOKUP(B671,'Player Data'!$A1:$AE734,20,FALSE)*$Q671</f>
        <v>256.52497453074722</v>
      </c>
      <c r="AG671" s="41">
        <f>VLOOKUP(B671,'Player Data'!$A1:$AE734,21,FALSE)*$Q671</f>
        <v>252.1918273226004</v>
      </c>
      <c r="AH671" s="42">
        <f>VLOOKUP(B671,'Player Data'!$A1:$AE734,22,FALSE)</f>
        <v>0.50425889924645695</v>
      </c>
      <c r="AI671" s="39"/>
      <c r="AJ671" s="43"/>
      <c r="AK671" s="41"/>
      <c r="AL671" s="41"/>
      <c r="AM671" s="41"/>
      <c r="AN671" s="41"/>
      <c r="AO671" s="41"/>
      <c r="AP671" s="41"/>
      <c r="AQ671" s="44"/>
      <c r="AR671" s="45"/>
      <c r="AS671" s="39"/>
    </row>
    <row r="672" spans="1:45" ht="21.25" customHeight="1" x14ac:dyDescent="0.15">
      <c r="A672" s="31">
        <f>RANK(K672,K$2:K$727)</f>
        <v>671</v>
      </c>
      <c r="B672" s="8" t="s">
        <v>776</v>
      </c>
      <c r="C672" s="32" t="s">
        <v>106</v>
      </c>
      <c r="D672" s="33" t="str">
        <f>VLOOKUP(B672,'Player Data'!A1:D734,4,FALSE)</f>
        <v>C</v>
      </c>
      <c r="E672" s="34">
        <f>VLOOKUP(B672,'C'!A1:C211,3,FALSE)</f>
        <v>174</v>
      </c>
      <c r="F672" s="35" t="str">
        <f>VLOOKUP(B672,'Player Data'!A1:B734,2,FALSE)</f>
        <v>WSH</v>
      </c>
      <c r="G672" s="9">
        <f>VLOOKUP(B672,'Player Data'!A1:D734,3,FALSE)</f>
        <v>27</v>
      </c>
      <c r="H672" s="36">
        <f>IFERROR(VLOOKUP(B672,ADP!A1:G728,7,FALSE)/1000000,VLOOKUP(B672,ADP!A1:G728,7,FALSE))</f>
        <v>0</v>
      </c>
      <c r="I672" s="37">
        <f>IF(Settings!$E$15="POINTS",((R672*Q672)*Settings!$B$12)+(S672*Settings!$B$2)+(T672*Settings!$B$3)+(U672*Settings!$B$4)+(V672*Settings!$B$5)+(X672*Settings!$B$9)+(AA672*Settings!$B$6)+(W672*Settings!$B$8)+(AB672*Settings!$B$7)+(AC672*Settings!$B$14)+(AD672*Settings!$B$15)+(AE672*Settings!$B$16)+(AF672*Settings!$B$17)+(AG672*Settings!$B$18)+(Y672*Settings!$B$10)+(Z672*Settings!$B$11),VLOOKUP(B672,'Standard Deviations'!A1:C728,3,FALSE))</f>
        <v>106.91309596372173</v>
      </c>
      <c r="J672" s="38">
        <f>IF(D672="G",I672/AJ672,I672/Q672)</f>
        <v>1.8154711489849165</v>
      </c>
      <c r="K672" s="37">
        <f>IF(Settings!$E$18="C/LW/RW",VLOOKUP(B672,'C'!A1:F211,6,FALSE),VLOOKUP(B672,F!A1:F430,6,FALSE))</f>
        <v>-286.41570980248792</v>
      </c>
      <c r="L672" s="52" t="str">
        <f>IFERROR(K672/H672,"N/A")</f>
        <v>N/A</v>
      </c>
      <c r="M672" s="53" t="str">
        <f>IF(Settings!$E$9="YAHOO",VLOOKUP(B672,ADP!A1:E728,2,FALSE),IF(Settings!$E$9="ESPN",VLOOKUP(B672,ADP!A1:E728,3,FALSE),IF(Settings!$E$9="FANTRAX",VLOOKUP(B672,ADP!A1:E728,4,FALSE),VLOOKUP(B672,ADP!A1:E728,5,FALSE))))</f>
        <v>-</v>
      </c>
      <c r="N672" s="53" t="str">
        <f>IFERROR(M672-A672,"N/A")</f>
        <v>N/A</v>
      </c>
      <c r="O672" s="39"/>
      <c r="P672" s="40" t="str">
        <f>IF(Settings!$E$27="ON",VLOOKUP(B672,ADP!A1:H728,8,FALSE)," ")</f>
        <v xml:space="preserve"> </v>
      </c>
      <c r="Q672" s="41">
        <f>IF(Settings!$E$12="YES",VLOOKUP(B672,'Player Data'!A1:E734,5,FALSE),82)</f>
        <v>58.89</v>
      </c>
      <c r="R672" s="39">
        <f>VLOOKUP(B672,'Player Data'!$A1:$AE734,6,FALSE)</f>
        <v>12.0083198812089</v>
      </c>
      <c r="S672" s="41">
        <f>VLOOKUP(B672,'Player Data'!$A1:$AE734,7,FALSE)*$Q672*IFERROR((VLOOKUP(P672,Settings!$E$28:$F$33,2,FALSE)+1),1)</f>
        <v>9.468360962740114</v>
      </c>
      <c r="T672" s="41">
        <f>VLOOKUP(B672,'Player Data'!$A1:$AE734,8,FALSE)*$Q672*IFERROR((VLOOKUP(P672,Settings!$E$28:$F$33,2,FALSE)+1),1)</f>
        <v>11.177259723167728</v>
      </c>
      <c r="U672" s="41">
        <f>SUM(S672:T672)</f>
        <v>20.645620685907843</v>
      </c>
      <c r="V672" s="41">
        <f>VLOOKUP(B672,'Player Data'!$A1:$AE734,10,FALSE)*$Q672*IFERROR(((VLOOKUP(P672,Settings!$E$28:$F$33,2,FALSE)/2)+1),1)</f>
        <v>79.419606339092809</v>
      </c>
      <c r="W672" s="41">
        <f>VLOOKUP(B672,'Player Data'!$A1:$AE734,11,FALSE)*$Q672*IFERROR((VLOOKUP(P672,Settings!$E$28:$F$33,2,FALSE)+1),1)</f>
        <v>7.3655617893718342E-2</v>
      </c>
      <c r="X672" s="41">
        <f>VLOOKUP(B672,'Player Data'!$A1:$AE734,12,FALSE)*$Q672*IFERROR((VLOOKUP(P672,Settings!$E$28:$F$33,2,FALSE)+1),1)</f>
        <v>0.1454696990123921</v>
      </c>
      <c r="Y672" s="41">
        <f>VLOOKUP(B672,'Player Data'!$A1:$AE734,13,FALSE)*$Q672</f>
        <v>0</v>
      </c>
      <c r="Z672" s="41">
        <f>VLOOKUP(B672,'Player Data'!$A1:$AE734,14,FALSE)*$Q672</f>
        <v>0</v>
      </c>
      <c r="AA672" s="41">
        <f>VLOOKUP(B672,'Player Data'!$A1:$AE734,15,FALSE)*$Q672</f>
        <v>24.877456692135109</v>
      </c>
      <c r="AB672" s="41">
        <f>VLOOKUP(B672,'Player Data'!$A1:$AE734,16,FALSE)*$Q672</f>
        <v>48.863126453091297</v>
      </c>
      <c r="AC672" s="41">
        <f>VLOOKUP(B672,'Player Data'!$A1:$AE734,17,FALSE)*$Q672*IFERROR((VLOOKUP(P672,Settings!$E$28:$F$33,2,FALSE)+1),1)</f>
        <v>-1.7135314003670989</v>
      </c>
      <c r="AD672" s="41">
        <f>VLOOKUP(B672,'Player Data'!$A1:$AE734,18,FALSE)*$Q672</f>
        <v>13.565610358672707</v>
      </c>
      <c r="AE672" s="41">
        <f>VLOOKUP(B672,'Player Data'!$A1:$AE734,19,FALSE)*$Q672*IFERROR((VLOOKUP(P672,Settings!$E$28:$F$33,2,FALSE)+1),1)</f>
        <v>1.1646641357456571</v>
      </c>
      <c r="AF672" s="41">
        <f>VLOOKUP(B672,'Player Data'!$A1:$AE734,20,FALSE)*$Q672</f>
        <v>4.7759197861800962</v>
      </c>
      <c r="AG672" s="41">
        <f>VLOOKUP(B672,'Player Data'!$A1:$AE734,21,FALSE)*$Q672</f>
        <v>7.8397476504674346</v>
      </c>
      <c r="AH672" s="42">
        <f>VLOOKUP(B672,'Player Data'!$A1:$AE734,22,FALSE)</f>
        <v>0.37857052035998001</v>
      </c>
      <c r="AI672" s="39"/>
      <c r="AJ672" s="41"/>
      <c r="AK672" s="41"/>
      <c r="AL672" s="41"/>
      <c r="AM672" s="41"/>
      <c r="AN672" s="41"/>
      <c r="AO672" s="41"/>
      <c r="AP672" s="41"/>
      <c r="AQ672" s="44"/>
      <c r="AR672" s="45"/>
      <c r="AS672" s="39"/>
    </row>
    <row r="673" spans="1:45" ht="21.25" customHeight="1" x14ac:dyDescent="0.15">
      <c r="A673" s="31">
        <f>RANK(K673,K$2:K$727)</f>
        <v>672</v>
      </c>
      <c r="B673" s="8" t="s">
        <v>777</v>
      </c>
      <c r="C673" s="32" t="s">
        <v>106</v>
      </c>
      <c r="D673" s="33" t="str">
        <f>VLOOKUP(B673,'Player Data'!A1:D734,4,FALSE)</f>
        <v>G</v>
      </c>
      <c r="E673" s="50">
        <f>VLOOKUP(B673,G!A1:D75,3,FALSE)</f>
        <v>61</v>
      </c>
      <c r="F673" s="35" t="str">
        <f>VLOOKUP(B673,'Player Data'!A1:B734,2,FALSE)</f>
        <v>WPG</v>
      </c>
      <c r="G673" s="9">
        <f>VLOOKUP(B673,'Player Data'!A1:D734,3,FALSE)</f>
        <v>30</v>
      </c>
      <c r="H673" s="36">
        <f>IFERROR(VLOOKUP(B673,ADP!A1:G728,7,FALSE)/1000000,VLOOKUP(B673,ADP!A1:G728,7,FALSE))</f>
        <v>1.75</v>
      </c>
      <c r="I673" s="37">
        <f>IF(Settings!$E$15="POINTS",(AJ673*Settings!$B$29)+(AK673*Settings!$B$21)+(AL673*Settings!$B$22)+(AN673*Settings!$B$24)+(AO673*Settings!$B$25)+(AP673*Settings!$B$27)+(AM673*Settings!$B$23),VLOOKUP(B673,'Standard Deviations'!A1:C728,3,FALSE))</f>
        <v>112.20631821217751</v>
      </c>
      <c r="J673" s="38">
        <f>IF(D673="G",I673/AJ673,I673/Q673)</f>
        <v>6.2336843451209729</v>
      </c>
      <c r="K673" s="37">
        <f>VLOOKUP(B673,G!A1:F75,6,FALSE)</f>
        <v>-286.56934387713869</v>
      </c>
      <c r="L673" s="37">
        <f>IFERROR(K673/H673,"N/A")</f>
        <v>-163.75391078693639</v>
      </c>
      <c r="M673" s="53" t="str">
        <f>IF(Settings!$E$9="YAHOO",VLOOKUP(B673,ADP!A1:E728,2,FALSE),IF(Settings!$E$9="ESPN",VLOOKUP(B673,ADP!A1:E728,3,FALSE),IF(Settings!$E$9="FANTRAX",VLOOKUP(B673,ADP!A1:E728,4,FALSE),VLOOKUP(B673,ADP!A1:E728,5,FALSE))))</f>
        <v>-</v>
      </c>
      <c r="N673" s="53" t="str">
        <f>IFERROR(M673-A673,"N/A")</f>
        <v>N/A</v>
      </c>
      <c r="O673" s="39"/>
      <c r="P673" s="40" t="str">
        <f>IF(Settings!$E$27="ON",VLOOKUP(B673,ADP!A1:H728,8,FALSE)," ")</f>
        <v xml:space="preserve"> </v>
      </c>
      <c r="Q673" s="41"/>
      <c r="R673" s="5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2"/>
      <c r="AI673" s="39"/>
      <c r="AJ673" s="43">
        <f>VLOOKUP(B673,'Player Data'!$A1:$AE734,24,FALSE)</f>
        <v>18</v>
      </c>
      <c r="AK673" s="41">
        <f>VLOOKUP(B673,'Player Data'!$A1:$AE734,25,FALSE)*$AJ673*IFERROR((VLOOKUP(P673,Settings!$E$28:$F$33,2,FALSE)+1),1)</f>
        <v>8.7128884234542419</v>
      </c>
      <c r="AL673" s="41">
        <f>AJ673-AK673-AM673</f>
        <v>7.0371115765457581</v>
      </c>
      <c r="AM673" s="41">
        <f>VLOOKUP(B673,'Player Data'!$A1:$AE734,27,FALSE)*$AJ673</f>
        <v>2.25</v>
      </c>
      <c r="AN673" s="41">
        <f>VLOOKUP(B673,'Player Data'!$A1:$AE734,28,FALSE)*AJ673</f>
        <v>0.86717588323673345</v>
      </c>
      <c r="AO673" s="41">
        <f>VLOOKUP(B673,'Player Data'!$A1:$AE734,29,FALSE)*$AJ673*IFERROR((VLOOKUP(P673,Settings!$E$28:$F$33,2,FALSE)/4)+1,1)</f>
        <v>483.3700670179548</v>
      </c>
      <c r="AP673" s="41">
        <f>VLOOKUP(B673,'Player Data'!$A1:$AE734,31,FALSE)*$AJ673*(IFERROR(1-(VLOOKUP(P673,Settings!$E$28:$F$33,2,FALSE)/4),1))</f>
        <v>52.450577444545374</v>
      </c>
      <c r="AQ673" s="44">
        <f>1-(AP673/(AO673+AP673))</f>
        <v>0.90211168982270118</v>
      </c>
      <c r="AR673" s="45">
        <f>AP673/AJ673</f>
        <v>2.9139209691414099</v>
      </c>
      <c r="AS673" s="39"/>
    </row>
    <row r="674" spans="1:45" ht="21.25" customHeight="1" x14ac:dyDescent="0.15">
      <c r="A674" s="31">
        <f>RANK(K674,K$2:K$727)</f>
        <v>673</v>
      </c>
      <c r="B674" s="8" t="s">
        <v>778</v>
      </c>
      <c r="C674" s="32" t="s">
        <v>106</v>
      </c>
      <c r="D674" s="33" t="str">
        <f>VLOOKUP(B674,'Player Data'!A1:D734,4,FALSE)</f>
        <v>LW</v>
      </c>
      <c r="E674" s="47">
        <f>VLOOKUP(B674,LW!A1:C130,3,FALSE)</f>
        <v>122</v>
      </c>
      <c r="F674" s="35" t="str">
        <f>VLOOKUP(B674,'Player Data'!A1:B734,2,FALSE)</f>
        <v>PHI</v>
      </c>
      <c r="G674" s="9">
        <f>VLOOKUP(B674,'Player Data'!A1:D734,3,FALSE)</f>
        <v>32</v>
      </c>
      <c r="H674" s="36">
        <f>IFERROR(VLOOKUP(B674,ADP!A1:G728,7,FALSE)/1000000,VLOOKUP(B674,ADP!A1:G728,7,FALSE))</f>
        <v>1.75</v>
      </c>
      <c r="I674" s="37">
        <f>IF(Settings!$E$15="POINTS",((R674*Q674)*Settings!$B$12)+(S674*Settings!$B$2)+(T674*Settings!$B$3)+(U674*Settings!$B$4)+(V674*Settings!$B$5)+(X674*Settings!$B$9)+(AA674*Settings!$B$6)+(W674*Settings!$B$8)+(AB674*Settings!$B$7)+(AC674*Settings!$B$14)+(AD674*Settings!$B$15)+(AE674*Settings!$B$16)+(AF674*Settings!$B$17)+(AG674*Settings!$B$18)+(Y674*Settings!$B$10)+(Z674*Settings!$B$11),VLOOKUP(B674,'Standard Deviations'!A1:C728,3,FALSE))</f>
        <v>76.59540055135939</v>
      </c>
      <c r="J674" s="38">
        <f>IF(D674="G",I674/AJ674,I674/Q674)</f>
        <v>0.95134793418859664</v>
      </c>
      <c r="K674" s="37">
        <f>IF(Settings!$E$18="C/LW/RW",VLOOKUP(B674,LW!A1:F130,6,FALSE),VLOOKUP(B674,F!A1:F430,6,FALSE))</f>
        <v>-287.44520430629109</v>
      </c>
      <c r="L674" s="37">
        <f>IFERROR(K674/H674,"N/A")</f>
        <v>-164.25440246073777</v>
      </c>
      <c r="M674" s="53" t="str">
        <f>IF(Settings!$E$9="YAHOO",VLOOKUP(B674,ADP!A1:E728,2,FALSE),IF(Settings!$E$9="ESPN",VLOOKUP(B674,ADP!A1:E728,3,FALSE),IF(Settings!$E$9="FANTRAX",VLOOKUP(B674,ADP!A1:E728,4,FALSE),VLOOKUP(B674,ADP!A1:E728,5,FALSE))))</f>
        <v>-</v>
      </c>
      <c r="N674" s="53" t="str">
        <f>IFERROR(M674-A674,"N/A")</f>
        <v>N/A</v>
      </c>
      <c r="O674" s="39"/>
      <c r="P674" s="40" t="str">
        <f>IF(Settings!$E$27="ON",VLOOKUP(B674,ADP!A1:H728,8,FALSE)," ")</f>
        <v xml:space="preserve"> </v>
      </c>
      <c r="Q674" s="41">
        <f>IF(Settings!$E$12="YES",VLOOKUP(B674,'Player Data'!A1:E734,5,FALSE),82)</f>
        <v>80.512500000000003</v>
      </c>
      <c r="R674" s="39">
        <f>VLOOKUP(B674,'Player Data'!$A1:$AE734,6,FALSE)</f>
        <v>9.5094357328506103</v>
      </c>
      <c r="S674" s="41">
        <f>VLOOKUP(B674,'Player Data'!$A1:$AE734,7,FALSE)*$Q674*IFERROR((VLOOKUP(P674,Settings!$E$28:$F$33,2,FALSE)+1),1)</f>
        <v>5.5436518104811014</v>
      </c>
      <c r="T674" s="41">
        <f>VLOOKUP(B674,'Player Data'!$A1:$AE734,8,FALSE)*$Q674*IFERROR((VLOOKUP(P674,Settings!$E$28:$F$33,2,FALSE)+1),1)</f>
        <v>5.5618233877460348</v>
      </c>
      <c r="U674" s="41">
        <f>SUM(S674:T674)</f>
        <v>11.105475198227136</v>
      </c>
      <c r="V674" s="41">
        <f>VLOOKUP(B674,'Player Data'!$A1:$AE734,10,FALSE)*$Q674*IFERROR(((VLOOKUP(P674,Settings!$E$28:$F$33,2,FALSE)/2)+1),1)</f>
        <v>74.121250014489405</v>
      </c>
      <c r="W674" s="41">
        <f>VLOOKUP(B674,'Player Data'!$A1:$AE734,11,FALSE)*$Q674*IFERROR((VLOOKUP(P674,Settings!$E$28:$F$33,2,FALSE)+1),1)</f>
        <v>4.8741207197549041E-2</v>
      </c>
      <c r="X674" s="41">
        <f>VLOOKUP(B674,'Player Data'!$A1:$AE734,12,FALSE)*$Q674*IFERROR((VLOOKUP(P674,Settings!$E$28:$F$33,2,FALSE)+1),1)</f>
        <v>0.12452992198065921</v>
      </c>
      <c r="Y674" s="41">
        <f>VLOOKUP(B674,'Player Data'!$A1:$AE734,13,FALSE)*$Q674</f>
        <v>0.13130032056632401</v>
      </c>
      <c r="Z674" s="41">
        <f>VLOOKUP(B674,'Player Data'!$A1:$AE734,14,FALSE)*$Q674</f>
        <v>0.15268822947269761</v>
      </c>
      <c r="AA674" s="41">
        <f>VLOOKUP(B674,'Player Data'!$A1:$AE734,15,FALSE)*$Q674</f>
        <v>28.319568232632939</v>
      </c>
      <c r="AB674" s="41">
        <f>VLOOKUP(B674,'Player Data'!$A1:$AE734,16,FALSE)*$Q674</f>
        <v>252.70697919900164</v>
      </c>
      <c r="AC674" s="41">
        <f>VLOOKUP(B674,'Player Data'!$A1:$AE734,17,FALSE)*$Q674*IFERROR((VLOOKUP(P674,Settings!$E$28:$F$33,2,FALSE)+1),1)</f>
        <v>-6.986312574306405</v>
      </c>
      <c r="AD674" s="41">
        <f>VLOOKUP(B674,'Player Data'!$A1:$AE734,18,FALSE)*$Q674</f>
        <v>65.8248215098766</v>
      </c>
      <c r="AE674" s="41">
        <f>VLOOKUP(B674,'Player Data'!$A1:$AE734,19,FALSE)*$Q674*IFERROR((VLOOKUP(P674,Settings!$E$28:$F$33,2,FALSE)+1),1)</f>
        <v>0.65163211332019255</v>
      </c>
      <c r="AF674" s="41">
        <f>VLOOKUP(B674,'Player Data'!$A1:$AE734,20,FALSE)*$Q674</f>
        <v>2.2616760332392274</v>
      </c>
      <c r="AG674" s="41">
        <f>VLOOKUP(B674,'Player Data'!$A1:$AE734,21,FALSE)*$Q674</f>
        <v>6.4479176081182104</v>
      </c>
      <c r="AH674" s="42">
        <f>VLOOKUP(B674,'Player Data'!$A1:$AE734,22,FALSE)</f>
        <v>0.25967641274326198</v>
      </c>
      <c r="AI674" s="39"/>
      <c r="AJ674" s="43"/>
      <c r="AK674" s="41"/>
      <c r="AL674" s="41"/>
      <c r="AM674" s="41"/>
      <c r="AN674" s="41"/>
      <c r="AO674" s="41"/>
      <c r="AP674" s="41"/>
      <c r="AQ674" s="44"/>
      <c r="AR674" s="45"/>
      <c r="AS674" s="39"/>
    </row>
    <row r="675" spans="1:45" ht="21.25" customHeight="1" x14ac:dyDescent="0.15">
      <c r="A675" s="31">
        <f>RANK(K675,K$2:K$727)</f>
        <v>674</v>
      </c>
      <c r="B675" s="8" t="s">
        <v>779</v>
      </c>
      <c r="C675" s="32" t="s">
        <v>106</v>
      </c>
      <c r="D675" s="33" t="str">
        <f>VLOOKUP(B675,'Player Data'!A1:D734,4,FALSE)</f>
        <v>C</v>
      </c>
      <c r="E675" s="34">
        <f>VLOOKUP(B675,'C'!A1:C211,3,FALSE)</f>
        <v>175</v>
      </c>
      <c r="F675" s="35" t="str">
        <f>VLOOKUP(B675,'Player Data'!A1:B734,2,FALSE)</f>
        <v>FLA</v>
      </c>
      <c r="G675" s="9">
        <f>VLOOKUP(B675,'Player Data'!A1:D734,3,FALSE)</f>
        <v>27</v>
      </c>
      <c r="H675" s="36">
        <f>IFERROR(VLOOKUP(B675,ADP!A1:G728,7,FALSE)/1000000,VLOOKUP(B675,ADP!A1:G728,7,FALSE))</f>
        <v>1.05</v>
      </c>
      <c r="I675" s="37">
        <f>IF(Settings!$E$15="POINTS",((R675*Q675)*Settings!$B$12)+(S675*Settings!$B$2)+(T675*Settings!$B$3)+(U675*Settings!$B$4)+(V675*Settings!$B$5)+(X675*Settings!$B$9)+(AA675*Settings!$B$6)+(W675*Settings!$B$8)+(AB675*Settings!$B$7)+(AC675*Settings!$B$14)+(AD675*Settings!$B$15)+(AE675*Settings!$B$16)+(AF675*Settings!$B$17)+(AG675*Settings!$B$18)+(Y675*Settings!$B$10)+(Z675*Settings!$B$11),VLOOKUP(B675,'Standard Deviations'!A1:C728,3,FALSE))</f>
        <v>105.70738784978856</v>
      </c>
      <c r="J675" s="38">
        <f>IF(D675="G",I675/AJ675,I675/Q675)</f>
        <v>1.4094318379971809</v>
      </c>
      <c r="K675" s="37">
        <f>IF(Settings!$E$18="C/LW/RW",VLOOKUP(B675,'C'!A1:F211,6,FALSE),VLOOKUP(B675,F!A1:F430,6,FALSE))</f>
        <v>-287.62141791642108</v>
      </c>
      <c r="L675" s="37">
        <f>IFERROR(K675/H675,"N/A")</f>
        <v>-273.92515992040103</v>
      </c>
      <c r="M675" s="53" t="str">
        <f>IF(Settings!$E$9="YAHOO",VLOOKUP(B675,ADP!A1:E728,2,FALSE),IF(Settings!$E$9="ESPN",VLOOKUP(B675,ADP!A1:E728,3,FALSE),IF(Settings!$E$9="FANTRAX",VLOOKUP(B675,ADP!A1:E728,4,FALSE),VLOOKUP(B675,ADP!A1:E728,5,FALSE))))</f>
        <v>-</v>
      </c>
      <c r="N675" s="53" t="str">
        <f>IFERROR(M675-A675,"N/A")</f>
        <v>N/A</v>
      </c>
      <c r="O675" s="39"/>
      <c r="P675" s="40" t="str">
        <f>IF(Settings!$E$27="ON",VLOOKUP(B675,ADP!A1:H728,8,FALSE)," ")</f>
        <v xml:space="preserve"> </v>
      </c>
      <c r="Q675" s="41">
        <f>IF(Settings!$E$12="YES",VLOOKUP(B675,'Player Data'!A1:E734,5,FALSE),82)</f>
        <v>75</v>
      </c>
      <c r="R675" s="39">
        <f>VLOOKUP(B675,'Player Data'!$A1:$AE734,6,FALSE)</f>
        <v>11.308871135670699</v>
      </c>
      <c r="S675" s="41">
        <f>VLOOKUP(B675,'Player Data'!$A1:$AE734,7,FALSE)*$Q675*IFERROR((VLOOKUP(P675,Settings!$E$28:$F$33,2,FALSE)+1),1)</f>
        <v>7.9440639556023749</v>
      </c>
      <c r="T675" s="41">
        <f>VLOOKUP(B675,'Player Data'!$A1:$AE734,8,FALSE)*$Q675*IFERROR((VLOOKUP(P675,Settings!$E$28:$F$33,2,FALSE)+1),1)</f>
        <v>8.3651183132234248</v>
      </c>
      <c r="U675" s="41">
        <f>SUM(S675:T675)</f>
        <v>16.309182268825801</v>
      </c>
      <c r="V675" s="41">
        <f>VLOOKUP(B675,'Player Data'!$A1:$AE734,10,FALSE)*$Q675*IFERROR(((VLOOKUP(P675,Settings!$E$28:$F$33,2,FALSE)/2)+1),1)</f>
        <v>93.932544685074006</v>
      </c>
      <c r="W675" s="41">
        <f>VLOOKUP(B675,'Player Data'!$A1:$AE734,11,FALSE)*$Q675*IFERROR((VLOOKUP(P675,Settings!$E$28:$F$33,2,FALSE)+1),1)</f>
        <v>9.1235138494953752E-2</v>
      </c>
      <c r="X675" s="41">
        <f>VLOOKUP(B675,'Player Data'!$A1:$AE734,12,FALSE)*$Q675*IFERROR((VLOOKUP(P675,Settings!$E$28:$F$33,2,FALSE)+1),1)</f>
        <v>0.16190963797779301</v>
      </c>
      <c r="Y675" s="41">
        <f>VLOOKUP(B675,'Player Data'!$A1:$AE734,13,FALSE)*$Q675</f>
        <v>0.61375753166565827</v>
      </c>
      <c r="Z675" s="41">
        <f>VLOOKUP(B675,'Player Data'!$A1:$AE734,14,FALSE)*$Q675</f>
        <v>1.2275617702441126</v>
      </c>
      <c r="AA675" s="41">
        <f>VLOOKUP(B675,'Player Data'!$A1:$AE734,15,FALSE)*$Q675</f>
        <v>35.173129421651701</v>
      </c>
      <c r="AB675" s="41">
        <f>VLOOKUP(B675,'Player Data'!$A1:$AE734,16,FALSE)*$Q675</f>
        <v>111.35072440042801</v>
      </c>
      <c r="AC675" s="41">
        <f>VLOOKUP(B675,'Player Data'!$A1:$AE734,17,FALSE)*$Q675*IFERROR((VLOOKUP(P675,Settings!$E$28:$F$33,2,FALSE)+1),1)</f>
        <v>1.5395467643792176</v>
      </c>
      <c r="AD675" s="41">
        <f>VLOOKUP(B675,'Player Data'!$A1:$AE734,18,FALSE)*$Q675</f>
        <v>14.907362588166825</v>
      </c>
      <c r="AE675" s="41">
        <f>VLOOKUP(B675,'Player Data'!$A1:$AE734,19,FALSE)*$Q675*IFERROR((VLOOKUP(P675,Settings!$E$28:$F$33,2,FALSE)+1),1)</f>
        <v>1.1395940947040926</v>
      </c>
      <c r="AF675" s="41">
        <f>VLOOKUP(B675,'Player Data'!$A1:$AE734,20,FALSE)*$Q675</f>
        <v>214.35763954750274</v>
      </c>
      <c r="AG675" s="41">
        <f>VLOOKUP(B675,'Player Data'!$A1:$AE734,21,FALSE)*$Q675</f>
        <v>235.9279295996385</v>
      </c>
      <c r="AH675" s="42">
        <f>VLOOKUP(B675,'Player Data'!$A1:$AE734,22,FALSE)</f>
        <v>0.47604821081320498</v>
      </c>
      <c r="AI675" s="39"/>
      <c r="AJ675" s="41"/>
      <c r="AK675" s="41"/>
      <c r="AL675" s="41"/>
      <c r="AM675" s="41"/>
      <c r="AN675" s="41"/>
      <c r="AO675" s="41"/>
      <c r="AP675" s="41"/>
      <c r="AQ675" s="44"/>
      <c r="AR675" s="45"/>
      <c r="AS675" s="39"/>
    </row>
    <row r="676" spans="1:45" ht="21.25" customHeight="1" x14ac:dyDescent="0.15">
      <c r="A676" s="31">
        <f>RANK(K676,K$2:K$727)</f>
        <v>675</v>
      </c>
      <c r="B676" s="8" t="s">
        <v>780</v>
      </c>
      <c r="C676" s="32" t="s">
        <v>106</v>
      </c>
      <c r="D676" s="33" t="str">
        <f>VLOOKUP(B676,'Player Data'!A1:D734,4,FALSE)</f>
        <v>LW</v>
      </c>
      <c r="E676" s="47">
        <f>VLOOKUP(B676,LW!A1:C130,3,FALSE)</f>
        <v>123</v>
      </c>
      <c r="F676" s="35" t="str">
        <f>VLOOKUP(B676,'Player Data'!A1:B734,2,FALSE)</f>
        <v>STL</v>
      </c>
      <c r="G676" s="9">
        <f>VLOOKUP(B676,'Player Data'!A1:D734,3,FALSE)</f>
        <v>29</v>
      </c>
      <c r="H676" s="36">
        <f>IFERROR(VLOOKUP(B676,ADP!A1:G728,7,FALSE)/1000000,VLOOKUP(B676,ADP!A1:G728,7,FALSE))</f>
        <v>0.77500000000000002</v>
      </c>
      <c r="I676" s="37">
        <f>IF(Settings!$E$15="POINTS",((R676*Q676)*Settings!$B$12)+(S676*Settings!$B$2)+(T676*Settings!$B$3)+(U676*Settings!$B$4)+(V676*Settings!$B$5)+(X676*Settings!$B$9)+(AA676*Settings!$B$6)+(W676*Settings!$B$8)+(AB676*Settings!$B$7)+(AC676*Settings!$B$14)+(AD676*Settings!$B$15)+(AE676*Settings!$B$16)+(AF676*Settings!$B$17)+(AG676*Settings!$B$18)+(Y676*Settings!$B$10)+(Z676*Settings!$B$11),VLOOKUP(B676,'Standard Deviations'!A1:C728,3,FALSE))</f>
        <v>75.813651501836176</v>
      </c>
      <c r="J676" s="38">
        <f>IF(D676="G",I676/AJ676,I676/Q676)</f>
        <v>1.1988920502713243</v>
      </c>
      <c r="K676" s="37">
        <f>IF(Settings!$E$18="C/LW/RW",VLOOKUP(B676,LW!A1:F130,6,FALSE),VLOOKUP(B676,F!A1:F430,6,FALSE))</f>
        <v>-288.22695335581432</v>
      </c>
      <c r="L676" s="37">
        <f>IFERROR(K676/H676,"N/A")</f>
        <v>-371.90574626556685</v>
      </c>
      <c r="M676" s="53" t="str">
        <f>IF(Settings!$E$9="YAHOO",VLOOKUP(B676,ADP!A1:E728,2,FALSE),IF(Settings!$E$9="ESPN",VLOOKUP(B676,ADP!A1:E728,3,FALSE),IF(Settings!$E$9="FANTRAX",VLOOKUP(B676,ADP!A1:E728,4,FALSE),VLOOKUP(B676,ADP!A1:E728,5,FALSE))))</f>
        <v>-</v>
      </c>
      <c r="N676" s="53" t="str">
        <f>IFERROR(M676-A676,"N/A")</f>
        <v>N/A</v>
      </c>
      <c r="O676" s="39"/>
      <c r="P676" s="40" t="str">
        <f>IF(Settings!$E$27="ON",VLOOKUP(B676,ADP!A1:H728,8,FALSE)," ")</f>
        <v xml:space="preserve"> </v>
      </c>
      <c r="Q676" s="41">
        <f>IF(Settings!$E$12="YES",VLOOKUP(B676,'Player Data'!A1:E734,5,FALSE),82)</f>
        <v>63.236428571428597</v>
      </c>
      <c r="R676" s="39">
        <f>VLOOKUP(B676,'Player Data'!$A1:$AE734,6,FALSE)</f>
        <v>10.283349398339499</v>
      </c>
      <c r="S676" s="41">
        <f>VLOOKUP(B676,'Player Data'!$A1:$AE734,7,FALSE)*$Q676*IFERROR((VLOOKUP(P676,Settings!$E$28:$F$33,2,FALSE)+1),1)</f>
        <v>5.5285244758408707</v>
      </c>
      <c r="T676" s="41">
        <f>VLOOKUP(B676,'Player Data'!$A1:$AE734,8,FALSE)*$Q676*IFERROR((VLOOKUP(P676,Settings!$E$28:$F$33,2,FALSE)+1),1)</f>
        <v>7.8120134587483436</v>
      </c>
      <c r="U676" s="41">
        <f>SUM(S676:T676)</f>
        <v>13.340537934589214</v>
      </c>
      <c r="V676" s="41">
        <f>VLOOKUP(B676,'Player Data'!$A1:$AE734,10,FALSE)*$Q676*IFERROR(((VLOOKUP(P676,Settings!$E$28:$F$33,2,FALSE)/2)+1),1)</f>
        <v>55.629971431516758</v>
      </c>
      <c r="W676" s="41">
        <f>VLOOKUP(B676,'Player Data'!$A1:$AE734,11,FALSE)*$Q676*IFERROR((VLOOKUP(P676,Settings!$E$28:$F$33,2,FALSE)+1),1)</f>
        <v>4.580715124910234E-2</v>
      </c>
      <c r="X676" s="41">
        <f>VLOOKUP(B676,'Player Data'!$A1:$AE734,12,FALSE)*$Q676*IFERROR((VLOOKUP(P676,Settings!$E$28:$F$33,2,FALSE)+1),1)</f>
        <v>0.11794821227826585</v>
      </c>
      <c r="Y676" s="41">
        <f>VLOOKUP(B676,'Player Data'!$A1:$AE734,13,FALSE)*$Q676</f>
        <v>0.11924710038262842</v>
      </c>
      <c r="Z676" s="41">
        <f>VLOOKUP(B676,'Player Data'!$A1:$AE734,14,FALSE)*$Q676</f>
        <v>0.221951172811613</v>
      </c>
      <c r="AA676" s="41">
        <f>VLOOKUP(B676,'Player Data'!$A1:$AE734,15,FALSE)*$Q676</f>
        <v>36.486266060652028</v>
      </c>
      <c r="AB676" s="41">
        <f>VLOOKUP(B676,'Player Data'!$A1:$AE734,16,FALSE)*$Q676</f>
        <v>94.293897566473049</v>
      </c>
      <c r="AC676" s="41">
        <f>VLOOKUP(B676,'Player Data'!$A1:$AE734,17,FALSE)*$Q676*IFERROR((VLOOKUP(P676,Settings!$E$28:$F$33,2,FALSE)+1),1)</f>
        <v>-3.0518293257310645</v>
      </c>
      <c r="AD676" s="41">
        <f>VLOOKUP(B676,'Player Data'!$A1:$AE734,18,FALSE)*$Q676</f>
        <v>18.741665452414747</v>
      </c>
      <c r="AE676" s="41">
        <f>VLOOKUP(B676,'Player Data'!$A1:$AE734,19,FALSE)*$Q676*IFERROR((VLOOKUP(P676,Settings!$E$28:$F$33,2,FALSE)+1),1)</f>
        <v>0.63618241350664562</v>
      </c>
      <c r="AF676" s="41">
        <f>VLOOKUP(B676,'Player Data'!$A1:$AE734,20,FALSE)*$Q676</f>
        <v>83.223752916725118</v>
      </c>
      <c r="AG676" s="41">
        <f>VLOOKUP(B676,'Player Data'!$A1:$AE734,21,FALSE)*$Q676</f>
        <v>94.299114166403101</v>
      </c>
      <c r="AH676" s="42">
        <f>VLOOKUP(B676,'Player Data'!$A1:$AE734,22,FALSE)</f>
        <v>0.46880581800064403</v>
      </c>
      <c r="AI676" s="39"/>
      <c r="AJ676" s="43"/>
      <c r="AK676" s="41"/>
      <c r="AL676" s="41"/>
      <c r="AM676" s="41"/>
      <c r="AN676" s="41"/>
      <c r="AO676" s="41"/>
      <c r="AP676" s="41"/>
      <c r="AQ676" s="44"/>
      <c r="AR676" s="45"/>
      <c r="AS676" s="39"/>
    </row>
    <row r="677" spans="1:45" ht="21.25" customHeight="1" x14ac:dyDescent="0.15">
      <c r="A677" s="31">
        <f>RANK(K677,K$2:K$727)</f>
        <v>676</v>
      </c>
      <c r="B677" s="8" t="s">
        <v>781</v>
      </c>
      <c r="C677" s="32" t="s">
        <v>106</v>
      </c>
      <c r="D677" s="33" t="str">
        <f>VLOOKUP(B677,'Player Data'!A1:D734,4,FALSE)</f>
        <v>G</v>
      </c>
      <c r="E677" s="50">
        <f>VLOOKUP(B677,G!A1:D75,3,FALSE)</f>
        <v>62</v>
      </c>
      <c r="F677" s="35" t="str">
        <f>VLOOKUP(B677,'Player Data'!A1:B734,2,FALSE)</f>
        <v>DET</v>
      </c>
      <c r="G677" s="9">
        <f>VLOOKUP(B677,'Player Data'!A1:D734,3,FALSE)</f>
        <v>30</v>
      </c>
      <c r="H677" s="36">
        <f>IFERROR(VLOOKUP(B677,ADP!A1:G728,7,FALSE)/1000000,VLOOKUP(B677,ADP!A1:G728,7,FALSE))</f>
        <v>0.9</v>
      </c>
      <c r="I677" s="37">
        <f>IF(Settings!$E$15="POINTS",(AJ677*Settings!$B$29)+(AK677*Settings!$B$21)+(AL677*Settings!$B$22)+(AN677*Settings!$B$24)+(AO677*Settings!$B$25)+(AP677*Settings!$B$27)+(AM677*Settings!$B$23),VLOOKUP(B677,'Standard Deviations'!A1:C728,3,FALSE))</f>
        <v>110.02413271331292</v>
      </c>
      <c r="J677" s="38">
        <f>IF(D677="G",I677/AJ677,I677/Q677)</f>
        <v>6.1124518174062734</v>
      </c>
      <c r="K677" s="37">
        <f>VLOOKUP(B677,G!A1:F75,6,FALSE)</f>
        <v>-288.7515293760033</v>
      </c>
      <c r="L677" s="37">
        <f>IFERROR(K677/H677,"N/A")</f>
        <v>-320.83503264000365</v>
      </c>
      <c r="M677" s="53" t="str">
        <f>IF(Settings!$E$9="YAHOO",VLOOKUP(B677,ADP!A1:E728,2,FALSE),IF(Settings!$E$9="ESPN",VLOOKUP(B677,ADP!A1:E728,3,FALSE),IF(Settings!$E$9="FANTRAX",VLOOKUP(B677,ADP!A1:E728,4,FALSE),VLOOKUP(B677,ADP!A1:E728,5,FALSE))))</f>
        <v>-</v>
      </c>
      <c r="N677" s="53" t="str">
        <f>IFERROR(M677-A677,"N/A")</f>
        <v>N/A</v>
      </c>
      <c r="O677" s="39"/>
      <c r="P677" s="40" t="str">
        <f>IF(Settings!$E$27="ON",VLOOKUP(B677,ADP!A1:H728,8,FALSE)," ")</f>
        <v xml:space="preserve"> </v>
      </c>
      <c r="Q677" s="41"/>
      <c r="R677" s="5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2"/>
      <c r="AI677" s="39"/>
      <c r="AJ677" s="43">
        <f>VLOOKUP(B677,'Player Data'!$A1:$AE734,24,FALSE)</f>
        <v>18</v>
      </c>
      <c r="AK677" s="41">
        <f>VLOOKUP(B677,'Player Data'!$A1:$AE734,25,FALSE)*$AJ677*IFERROR((VLOOKUP(P677,Settings!$E$28:$F$33,2,FALSE)+1),1)</f>
        <v>8.1401776761839937</v>
      </c>
      <c r="AL677" s="41">
        <f>AJ677-AK677-AM677</f>
        <v>7.6098223238160063</v>
      </c>
      <c r="AM677" s="41">
        <f>VLOOKUP(B677,'Player Data'!$A1:$AE734,27,FALSE)*$AJ677</f>
        <v>2.25</v>
      </c>
      <c r="AN677" s="41">
        <f>VLOOKUP(B677,'Player Data'!$A1:$AE734,28,FALSE)*AJ677</f>
        <v>0.77305254403423329</v>
      </c>
      <c r="AO677" s="41">
        <f>VLOOKUP(B677,'Player Data'!$A1:$AE734,29,FALSE)*$AJ677*IFERROR((VLOOKUP(P677,Settings!$E$28:$F$33,2,FALSE)/4)+1,1)</f>
        <v>490.21033913834037</v>
      </c>
      <c r="AP677" s="41">
        <f>VLOOKUP(B677,'Player Data'!$A1:$AE734,31,FALSE)*$AJ677*(IFERROR(1-(VLOOKUP(P677,Settings!$E$28:$F$33,2,FALSE)/4),1))</f>
        <v>53.682558324159238</v>
      </c>
      <c r="AQ677" s="44">
        <f>1-(AP677/(AO677+AP677))</f>
        <v>0.90129939446789609</v>
      </c>
      <c r="AR677" s="45">
        <f>AP677/AJ677</f>
        <v>2.9823643513421798</v>
      </c>
      <c r="AS677" s="39"/>
    </row>
    <row r="678" spans="1:45" ht="21.25" customHeight="1" x14ac:dyDescent="0.15">
      <c r="A678" s="31">
        <f>RANK(K678,K$2:K$727)</f>
        <v>677</v>
      </c>
      <c r="B678" s="8" t="s">
        <v>782</v>
      </c>
      <c r="C678" s="32" t="s">
        <v>106</v>
      </c>
      <c r="D678" s="33" t="str">
        <f>VLOOKUP(B678,'Player Data'!A1:D734,4,FALSE)</f>
        <v>G</v>
      </c>
      <c r="E678" s="50">
        <f>VLOOKUP(B678,G!A1:D75,3,FALSE)</f>
        <v>63</v>
      </c>
      <c r="F678" s="35" t="str">
        <f>VLOOKUP(B678,'Player Data'!A1:B734,2,FALSE)</f>
        <v>TBL</v>
      </c>
      <c r="G678" s="9">
        <f>VLOOKUP(B678,'Player Data'!A1:D734,3,FALSE)</f>
        <v>27</v>
      </c>
      <c r="H678" s="36">
        <f>IFERROR(VLOOKUP(B678,ADP!A1:G728,7,FALSE)/1000000,VLOOKUP(B678,ADP!A1:G728,7,FALSE))</f>
        <v>0</v>
      </c>
      <c r="I678" s="37">
        <f>IF(Settings!$E$15="POINTS",(AJ678*Settings!$B$29)+(AK678*Settings!$B$21)+(AL678*Settings!$B$22)+(AN678*Settings!$B$24)+(AO678*Settings!$B$25)+(AP678*Settings!$B$27)+(AM678*Settings!$B$23),VLOOKUP(B678,'Standard Deviations'!A1:C728,3,FALSE))</f>
        <v>109.54989850482715</v>
      </c>
      <c r="J678" s="38">
        <f>IF(D678="G",I678/AJ678,I678/Q678)</f>
        <v>6.0861054724903978</v>
      </c>
      <c r="K678" s="37">
        <f>VLOOKUP(B678,G!A1:F75,6,FALSE)</f>
        <v>-289.22576358448907</v>
      </c>
      <c r="L678" s="52" t="str">
        <f>IFERROR(K678/H678,"N/A")</f>
        <v>N/A</v>
      </c>
      <c r="M678" s="53" t="str">
        <f>IF(Settings!$E$9="YAHOO",VLOOKUP(B678,ADP!A1:E728,2,FALSE),IF(Settings!$E$9="ESPN",VLOOKUP(B678,ADP!A1:E728,3,FALSE),IF(Settings!$E$9="FANTRAX",VLOOKUP(B678,ADP!A1:E728,4,FALSE),VLOOKUP(B678,ADP!A1:E728,5,FALSE))))</f>
        <v>-</v>
      </c>
      <c r="N678" s="53" t="str">
        <f>IFERROR(M678-A678,"N/A")</f>
        <v>N/A</v>
      </c>
      <c r="O678" s="39"/>
      <c r="P678" s="40" t="str">
        <f>IF(Settings!$E$27="ON",VLOOKUP(B678,ADP!A1:H728,8,FALSE)," ")</f>
        <v xml:space="preserve"> </v>
      </c>
      <c r="Q678" s="41"/>
      <c r="R678" s="5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2"/>
      <c r="AI678" s="39"/>
      <c r="AJ678" s="43">
        <f>VLOOKUP(B678,'Player Data'!$A1:$AE734,24,FALSE)</f>
        <v>18</v>
      </c>
      <c r="AK678" s="41">
        <f>VLOOKUP(B678,'Player Data'!$A1:$AE734,25,FALSE)*$AJ678*IFERROR((VLOOKUP(P678,Settings!$E$28:$F$33,2,FALSE)+1),1)</f>
        <v>8.7328915293641227</v>
      </c>
      <c r="AL678" s="41">
        <f>AJ678-AK678-AM678</f>
        <v>7.0171084706358773</v>
      </c>
      <c r="AM678" s="41">
        <f>VLOOKUP(B678,'Player Data'!$A1:$AE734,27,FALSE)*$AJ678</f>
        <v>2.25</v>
      </c>
      <c r="AN678" s="41">
        <f>VLOOKUP(B678,'Player Data'!$A1:$AE734,28,FALSE)*AJ678</f>
        <v>0.49681286307792544</v>
      </c>
      <c r="AO678" s="41">
        <f>VLOOKUP(B678,'Player Data'!$A1:$AE734,29,FALSE)*$AJ678*IFERROR((VLOOKUP(P678,Settings!$E$28:$F$33,2,FALSE)/4)+1,1)</f>
        <v>508.50476210802242</v>
      </c>
      <c r="AP678" s="41">
        <f>VLOOKUP(B678,'Player Data'!$A1:$AE734,31,FALSE)*$AJ678*(IFERROR(1-(VLOOKUP(P678,Settings!$E$28:$F$33,2,FALSE)/4),1))</f>
        <v>57.298260954477421</v>
      </c>
      <c r="AQ678" s="44">
        <f>1-(AP678/(AO678+AP678))</f>
        <v>0.89873108021879877</v>
      </c>
      <c r="AR678" s="45">
        <f>AP678/AJ678</f>
        <v>3.1832367196931899</v>
      </c>
      <c r="AS678" s="39"/>
    </row>
    <row r="679" spans="1:45" ht="21.25" customHeight="1" x14ac:dyDescent="0.15">
      <c r="A679" s="31">
        <f>RANK(K679,K$2:K$727)</f>
        <v>678</v>
      </c>
      <c r="B679" s="8" t="s">
        <v>783</v>
      </c>
      <c r="C679" s="32" t="s">
        <v>106</v>
      </c>
      <c r="D679" s="33" t="str">
        <f>VLOOKUP(B679,'Player Data'!A1:D734,4,FALSE)</f>
        <v>C</v>
      </c>
      <c r="E679" s="34">
        <f>VLOOKUP(B679,'C'!A1:C211,3,FALSE)</f>
        <v>176</v>
      </c>
      <c r="F679" s="35" t="str">
        <f>VLOOKUP(B679,'Player Data'!A1:B734,2,FALSE)</f>
        <v>COL</v>
      </c>
      <c r="G679" s="9">
        <f>VLOOKUP(B679,'Player Data'!A1:D734,3,FALSE)</f>
        <v>36</v>
      </c>
      <c r="H679" s="36">
        <f>IFERROR(VLOOKUP(B679,ADP!A1:G728,7,FALSE)/1000000,VLOOKUP(B679,ADP!A1:G728,7,FALSE))</f>
        <v>0.82499999999999996</v>
      </c>
      <c r="I679" s="37">
        <f>IF(Settings!$E$15="POINTS",((R679*Q679)*Settings!$B$12)+(S679*Settings!$B$2)+(T679*Settings!$B$3)+(U679*Settings!$B$4)+(V679*Settings!$B$5)+(X679*Settings!$B$9)+(AA679*Settings!$B$6)+(W679*Settings!$B$8)+(AB679*Settings!$B$7)+(AC679*Settings!$B$14)+(AD679*Settings!$B$15)+(AE679*Settings!$B$16)+(AF679*Settings!$B$17)+(AG679*Settings!$B$18)+(Y679*Settings!$B$10)+(Z679*Settings!$B$11),VLOOKUP(B679,'Standard Deviations'!A1:C728,3,FALSE))</f>
        <v>103.66372387794394</v>
      </c>
      <c r="J679" s="38">
        <f>IF(D679="G",I679/AJ679,I679/Q679)</f>
        <v>1.2941038144669823</v>
      </c>
      <c r="K679" s="37">
        <f>IF(Settings!$E$18="C/LW/RW",VLOOKUP(B679,'C'!A1:F211,6,FALSE),VLOOKUP(B679,F!A1:F430,6,FALSE))</f>
        <v>-289.66508188826572</v>
      </c>
      <c r="L679" s="37">
        <f>IFERROR(K679/H679,"N/A")</f>
        <v>-351.10919016759482</v>
      </c>
      <c r="M679" s="53" t="str">
        <f>IF(Settings!$E$9="YAHOO",VLOOKUP(B679,ADP!A1:E728,2,FALSE),IF(Settings!$E$9="ESPN",VLOOKUP(B679,ADP!A1:E728,3,FALSE),IF(Settings!$E$9="FANTRAX",VLOOKUP(B679,ADP!A1:E728,4,FALSE),VLOOKUP(B679,ADP!A1:E728,5,FALSE))))</f>
        <v>-</v>
      </c>
      <c r="N679" s="53" t="str">
        <f>IFERROR(M679-A679,"N/A")</f>
        <v>N/A</v>
      </c>
      <c r="O679" s="39"/>
      <c r="P679" s="40" t="str">
        <f>IF(Settings!$E$27="ON",VLOOKUP(B679,ADP!A1:H728,8,FALSE)," ")</f>
        <v xml:space="preserve"> </v>
      </c>
      <c r="Q679" s="41">
        <f>IF(Settings!$E$12="YES",VLOOKUP(B679,'Player Data'!A1:E734,5,FALSE),82)</f>
        <v>80.104642857142906</v>
      </c>
      <c r="R679" s="39">
        <f>VLOOKUP(B679,'Player Data'!$A1:$AE734,6,FALSE)</f>
        <v>12.5882683234694</v>
      </c>
      <c r="S679" s="41">
        <f>VLOOKUP(B679,'Player Data'!$A1:$AE734,7,FALSE)*$Q679*IFERROR((VLOOKUP(P679,Settings!$E$28:$F$33,2,FALSE)+1),1)</f>
        <v>6.2557317130497507</v>
      </c>
      <c r="T679" s="41">
        <f>VLOOKUP(B679,'Player Data'!$A1:$AE734,8,FALSE)*$Q679*IFERROR((VLOOKUP(P679,Settings!$E$28:$F$33,2,FALSE)+1),1)</f>
        <v>8.9847666357654195</v>
      </c>
      <c r="U679" s="41">
        <f>SUM(S679:T679)</f>
        <v>15.240498348815169</v>
      </c>
      <c r="V679" s="41">
        <f>VLOOKUP(B679,'Player Data'!$A1:$AE734,10,FALSE)*$Q679*IFERROR(((VLOOKUP(P679,Settings!$E$28:$F$33,2,FALSE)/2)+1),1)</f>
        <v>90.063241391685537</v>
      </c>
      <c r="W679" s="41">
        <f>VLOOKUP(B679,'Player Data'!$A1:$AE734,11,FALSE)*$Q679*IFERROR((VLOOKUP(P679,Settings!$E$28:$F$33,2,FALSE)+1),1)</f>
        <v>1.595656614435683E-2</v>
      </c>
      <c r="X679" s="41">
        <f>VLOOKUP(B679,'Player Data'!$A1:$AE734,12,FALSE)*$Q679*IFERROR((VLOOKUP(P679,Settings!$E$28:$F$33,2,FALSE)+1),1)</f>
        <v>4.2115962167135076E-2</v>
      </c>
      <c r="Y679" s="41">
        <f>VLOOKUP(B679,'Player Data'!$A1:$AE734,13,FALSE)*$Q679</f>
        <v>0.48802823637906823</v>
      </c>
      <c r="Z679" s="41">
        <f>VLOOKUP(B679,'Player Data'!$A1:$AE734,14,FALSE)*$Q679</f>
        <v>1.7140810127515458</v>
      </c>
      <c r="AA679" s="41">
        <f>VLOOKUP(B679,'Player Data'!$A1:$AE734,15,FALSE)*$Q679</f>
        <v>46.9910709290914</v>
      </c>
      <c r="AB679" s="41">
        <f>VLOOKUP(B679,'Player Data'!$A1:$AE734,16,FALSE)*$Q679</f>
        <v>81.424114577063321</v>
      </c>
      <c r="AC679" s="41">
        <f>VLOOKUP(B679,'Player Data'!$A1:$AE734,17,FALSE)*$Q679*IFERROR((VLOOKUP(P679,Settings!$E$28:$F$33,2,FALSE)+1),1)</f>
        <v>2.3610267902766959</v>
      </c>
      <c r="AD679" s="41">
        <f>VLOOKUP(B679,'Player Data'!$A1:$AE734,18,FALSE)*$Q679</f>
        <v>29.340011071851297</v>
      </c>
      <c r="AE679" s="41">
        <f>VLOOKUP(B679,'Player Data'!$A1:$AE734,19,FALSE)*$Q679*IFERROR((VLOOKUP(P679,Settings!$E$28:$F$33,2,FALSE)+1),1)</f>
        <v>0.98975101048698144</v>
      </c>
      <c r="AF679" s="41">
        <f>VLOOKUP(B679,'Player Data'!$A1:$AE734,20,FALSE)*$Q679</f>
        <v>23.152530377229489</v>
      </c>
      <c r="AG679" s="41">
        <f>VLOOKUP(B679,'Player Data'!$A1:$AE734,21,FALSE)*$Q679</f>
        <v>34.89864871036314</v>
      </c>
      <c r="AH679" s="42">
        <f>VLOOKUP(B679,'Player Data'!$A1:$AE734,22,FALSE)</f>
        <v>0.39882963173400798</v>
      </c>
      <c r="AI679" s="39"/>
      <c r="AJ679" s="41"/>
      <c r="AK679" s="41"/>
      <c r="AL679" s="41"/>
      <c r="AM679" s="41"/>
      <c r="AN679" s="41"/>
      <c r="AO679" s="41"/>
      <c r="AP679" s="41"/>
      <c r="AQ679" s="44"/>
      <c r="AR679" s="45"/>
      <c r="AS679" s="39"/>
    </row>
    <row r="680" spans="1:45" ht="21.25" customHeight="1" x14ac:dyDescent="0.15">
      <c r="A680" s="31">
        <f>RANK(K680,K$2:K$727)</f>
        <v>679</v>
      </c>
      <c r="B680" s="8" t="s">
        <v>784</v>
      </c>
      <c r="C680" s="32" t="s">
        <v>106</v>
      </c>
      <c r="D680" s="33" t="str">
        <f>VLOOKUP(B680,'Player Data'!A1:D734,4,FALSE)</f>
        <v>C</v>
      </c>
      <c r="E680" s="34">
        <f>VLOOKUP(B680,'C'!A1:C211,3,FALSE)</f>
        <v>177</v>
      </c>
      <c r="F680" s="35" t="str">
        <f>VLOOKUP(B680,'Player Data'!A1:B734,2,FALSE)</f>
        <v>EDM</v>
      </c>
      <c r="G680" s="9">
        <f>VLOOKUP(B680,'Player Data'!A1:D734,3,FALSE)</f>
        <v>36</v>
      </c>
      <c r="H680" s="36">
        <f>IFERROR(VLOOKUP(B680,ADP!A1:G728,7,FALSE)/1000000,VLOOKUP(B680,ADP!A1:G728,7,FALSE))</f>
        <v>0.9</v>
      </c>
      <c r="I680" s="37">
        <f>IF(Settings!$E$15="POINTS",((R680*Q680)*Settings!$B$12)+(S680*Settings!$B$2)+(T680*Settings!$B$3)+(U680*Settings!$B$4)+(V680*Settings!$B$5)+(X680*Settings!$B$9)+(AA680*Settings!$B$6)+(W680*Settings!$B$8)+(AB680*Settings!$B$7)+(AC680*Settings!$B$14)+(AD680*Settings!$B$15)+(AE680*Settings!$B$16)+(AF680*Settings!$B$17)+(AG680*Settings!$B$18)+(Y680*Settings!$B$10)+(Z680*Settings!$B$11),VLOOKUP(B680,'Standard Deviations'!A1:C728,3,FALSE))</f>
        <v>102.77119265047428</v>
      </c>
      <c r="J680" s="38">
        <f>IF(D680="G",I680/AJ680,I680/Q680)</f>
        <v>1.3040551941691156</v>
      </c>
      <c r="K680" s="37">
        <f>IF(Settings!$E$18="C/LW/RW",VLOOKUP(B680,'C'!A1:F211,6,FALSE),VLOOKUP(B680,F!A1:F430,6,FALSE))</f>
        <v>-290.55761311573536</v>
      </c>
      <c r="L680" s="37">
        <f>IFERROR(K680/H680,"N/A")</f>
        <v>-322.84179235081706</v>
      </c>
      <c r="M680" s="53" t="str">
        <f>IF(Settings!$E$9="YAHOO",VLOOKUP(B680,ADP!A1:E728,2,FALSE),IF(Settings!$E$9="ESPN",VLOOKUP(B680,ADP!A1:E728,3,FALSE),IF(Settings!$E$9="FANTRAX",VLOOKUP(B680,ADP!A1:E728,4,FALSE),VLOOKUP(B680,ADP!A1:E728,5,FALSE))))</f>
        <v>-</v>
      </c>
      <c r="N680" s="53" t="str">
        <f>IFERROR(M680-A680,"N/A")</f>
        <v>N/A</v>
      </c>
      <c r="O680" s="39"/>
      <c r="P680" s="40" t="str">
        <f>IF(Settings!$E$27="ON",VLOOKUP(B680,ADP!A1:H728,8,FALSE)," ")</f>
        <v xml:space="preserve"> </v>
      </c>
      <c r="Q680" s="41">
        <f>IF(Settings!$E$12="YES",VLOOKUP(B680,'Player Data'!A1:E734,5,FALSE),82)</f>
        <v>78.808928571428595</v>
      </c>
      <c r="R680" s="39">
        <f>VLOOKUP(B680,'Player Data'!$A1:$AE734,6,FALSE)</f>
        <v>10.6621497980183</v>
      </c>
      <c r="S680" s="41">
        <f>VLOOKUP(B680,'Player Data'!$A1:$AE734,7,FALSE)*$Q680*IFERROR((VLOOKUP(P680,Settings!$E$28:$F$33,2,FALSE)+1),1)</f>
        <v>8.9197130780713749</v>
      </c>
      <c r="T680" s="41">
        <f>VLOOKUP(B680,'Player Data'!$A1:$AE734,8,FALSE)*$Q680*IFERROR((VLOOKUP(P680,Settings!$E$28:$F$33,2,FALSE)+1),1)</f>
        <v>8.2729856181764898</v>
      </c>
      <c r="U680" s="41">
        <f>SUM(S680:T680)</f>
        <v>17.192698696247867</v>
      </c>
      <c r="V680" s="41">
        <f>VLOOKUP(B680,'Player Data'!$A1:$AE734,10,FALSE)*$Q680*IFERROR(((VLOOKUP(P680,Settings!$E$28:$F$33,2,FALSE)/2)+1),1)</f>
        <v>83.106014400580733</v>
      </c>
      <c r="W680" s="41">
        <f>VLOOKUP(B680,'Player Data'!$A1:$AE734,11,FALSE)*$Q680*IFERROR((VLOOKUP(P680,Settings!$E$28:$F$33,2,FALSE)+1),1)</f>
        <v>4.4735909532650914E-2</v>
      </c>
      <c r="X680" s="41">
        <f>VLOOKUP(B680,'Player Data'!$A1:$AE734,12,FALSE)*$Q680*IFERROR((VLOOKUP(P680,Settings!$E$28:$F$33,2,FALSE)+1),1)</f>
        <v>0.11258677779557069</v>
      </c>
      <c r="Y680" s="41">
        <f>VLOOKUP(B680,'Player Data'!$A1:$AE734,13,FALSE)*$Q680</f>
        <v>0.51513361769462362</v>
      </c>
      <c r="Z680" s="41">
        <f>VLOOKUP(B680,'Player Data'!$A1:$AE734,14,FALSE)*$Q680</f>
        <v>0.92354372210365276</v>
      </c>
      <c r="AA680" s="41">
        <f>VLOOKUP(B680,'Player Data'!$A1:$AE734,15,FALSE)*$Q680</f>
        <v>37.839141808209327</v>
      </c>
      <c r="AB680" s="41">
        <f>VLOOKUP(B680,'Player Data'!$A1:$AE734,16,FALSE)*$Q680</f>
        <v>58.684756267185072</v>
      </c>
      <c r="AC680" s="41">
        <f>VLOOKUP(B680,'Player Data'!$A1:$AE734,17,FALSE)*$Q680*IFERROR((VLOOKUP(P680,Settings!$E$28:$F$33,2,FALSE)+1),1)</f>
        <v>5.9812033213732683</v>
      </c>
      <c r="AD680" s="41">
        <f>VLOOKUP(B680,'Player Data'!$A1:$AE734,18,FALSE)*$Q680</f>
        <v>20.290356773134924</v>
      </c>
      <c r="AE680" s="41">
        <f>VLOOKUP(B680,'Player Data'!$A1:$AE734,19,FALSE)*$Q680*IFERROR((VLOOKUP(P680,Settings!$E$28:$F$33,2,FALSE)+1),1)</f>
        <v>1.4118948215823546</v>
      </c>
      <c r="AF680" s="41">
        <f>VLOOKUP(B680,'Player Data'!$A1:$AE734,20,FALSE)*$Q680</f>
        <v>225.27270498006405</v>
      </c>
      <c r="AG680" s="41">
        <f>VLOOKUP(B680,'Player Data'!$A1:$AE734,21,FALSE)*$Q680</f>
        <v>203.74296929181207</v>
      </c>
      <c r="AH680" s="42">
        <f>VLOOKUP(B680,'Player Data'!$A1:$AE734,22,FALSE)</f>
        <v>0.52509201525654403</v>
      </c>
      <c r="AI680" s="39"/>
      <c r="AJ680" s="43"/>
      <c r="AK680" s="41"/>
      <c r="AL680" s="41"/>
      <c r="AM680" s="41"/>
      <c r="AN680" s="41"/>
      <c r="AO680" s="41"/>
      <c r="AP680" s="41"/>
      <c r="AQ680" s="44"/>
      <c r="AR680" s="45"/>
      <c r="AS680" s="39"/>
    </row>
    <row r="681" spans="1:45" ht="21.25" customHeight="1" x14ac:dyDescent="0.15">
      <c r="A681" s="31">
        <f>RANK(K681,K$2:K$727)</f>
        <v>680</v>
      </c>
      <c r="B681" s="8" t="s">
        <v>785</v>
      </c>
      <c r="C681" s="32" t="s">
        <v>106</v>
      </c>
      <c r="D681" s="33" t="str">
        <f>VLOOKUP(B681,'Player Data'!A1:D734,4,FALSE)</f>
        <v>LW</v>
      </c>
      <c r="E681" s="47">
        <f>VLOOKUP(B681,LW!A1:C130,3,FALSE)</f>
        <v>124</v>
      </c>
      <c r="F681" s="35" t="str">
        <f>VLOOKUP(B681,'Player Data'!A1:B734,2,FALSE)</f>
        <v>SEA</v>
      </c>
      <c r="G681" s="9">
        <f>VLOOKUP(B681,'Player Data'!A1:D734,3,FALSE)</f>
        <v>38</v>
      </c>
      <c r="H681" s="36">
        <f>IFERROR(VLOOKUP(B681,ADP!A1:G728,7,FALSE)/1000000,VLOOKUP(B681,ADP!A1:G728,7,FALSE))</f>
        <v>0.77500000000000002</v>
      </c>
      <c r="I681" s="37">
        <f>IF(Settings!$E$15="POINTS",((R681*Q681)*Settings!$B$12)+(S681*Settings!$B$2)+(T681*Settings!$B$3)+(U681*Settings!$B$4)+(V681*Settings!$B$5)+(X681*Settings!$B$9)+(AA681*Settings!$B$6)+(W681*Settings!$B$8)+(AB681*Settings!$B$7)+(AC681*Settings!$B$14)+(AD681*Settings!$B$15)+(AE681*Settings!$B$16)+(AF681*Settings!$B$17)+(AG681*Settings!$B$18)+(Y681*Settings!$B$10)+(Z681*Settings!$B$11),VLOOKUP(B681,'Standard Deviations'!A1:C728,3,FALSE))</f>
        <v>69.795916072319059</v>
      </c>
      <c r="J681" s="38">
        <f>IF(D681="G",I681/AJ681,I681/Q681)</f>
        <v>0.99708451531884368</v>
      </c>
      <c r="K681" s="37">
        <f>IF(Settings!$E$18="C/LW/RW",VLOOKUP(B681,LW!A1:F130,6,FALSE),VLOOKUP(B681,F!A1:F430,6,FALSE))</f>
        <v>-294.24468878533139</v>
      </c>
      <c r="L681" s="37">
        <f>IFERROR(K681/H681,"N/A")</f>
        <v>-379.67056617462111</v>
      </c>
      <c r="M681" s="53" t="str">
        <f>IF(Settings!$E$9="YAHOO",VLOOKUP(B681,ADP!A1:E728,2,FALSE),IF(Settings!$E$9="ESPN",VLOOKUP(B681,ADP!A1:E728,3,FALSE),IF(Settings!$E$9="FANTRAX",VLOOKUP(B681,ADP!A1:E728,4,FALSE),VLOOKUP(B681,ADP!A1:E728,5,FALSE))))</f>
        <v>-</v>
      </c>
      <c r="N681" s="53" t="str">
        <f>IFERROR(M681-A681,"N/A")</f>
        <v>N/A</v>
      </c>
      <c r="O681" s="39"/>
      <c r="P681" s="40" t="str">
        <f>IF(Settings!$E$27="ON",VLOOKUP(B681,ADP!A1:H728,8,FALSE)," ")</f>
        <v xml:space="preserve"> </v>
      </c>
      <c r="Q681" s="41">
        <f>IF(Settings!$E$12="YES",VLOOKUP(B681,'Player Data'!A1:E734,5,FALSE),82)</f>
        <v>70</v>
      </c>
      <c r="R681" s="39">
        <f>VLOOKUP(B681,'Player Data'!$A1:$AE734,6,FALSE)</f>
        <v>11.2828767123288</v>
      </c>
      <c r="S681" s="41">
        <f>VLOOKUP(B681,'Player Data'!$A1:$AE734,7,FALSE)*$Q681*IFERROR((VLOOKUP(P681,Settings!$E$28:$F$33,2,FALSE)+1),1)</f>
        <v>4.260846794761382</v>
      </c>
      <c r="T681" s="41">
        <f>VLOOKUP(B681,'Player Data'!$A1:$AE734,8,FALSE)*$Q681*IFERROR((VLOOKUP(P681,Settings!$E$28:$F$33,2,FALSE)+1),1)</f>
        <v>6.4903935097421073</v>
      </c>
      <c r="U681" s="41">
        <f>SUM(S681:T681)</f>
        <v>10.75124030450349</v>
      </c>
      <c r="V681" s="41">
        <f>VLOOKUP(B681,'Player Data'!$A1:$AE734,10,FALSE)*$Q681*IFERROR(((VLOOKUP(P681,Settings!$E$28:$F$33,2,FALSE)/2)+1),1)</f>
        <v>55.954937810688001</v>
      </c>
      <c r="W681" s="41">
        <f>VLOOKUP(B681,'Player Data'!$A1:$AE734,11,FALSE)*$Q681*IFERROR((VLOOKUP(P681,Settings!$E$28:$F$33,2,FALSE)+1),1)</f>
        <v>1.248961899955882E-2</v>
      </c>
      <c r="X681" s="41">
        <f>VLOOKUP(B681,'Player Data'!$A1:$AE734,12,FALSE)*$Q681*IFERROR((VLOOKUP(P681,Settings!$E$28:$F$33,2,FALSE)+1),1)</f>
        <v>3.3255469726752279E-2</v>
      </c>
      <c r="Y681" s="41">
        <f>VLOOKUP(B681,'Player Data'!$A1:$AE734,13,FALSE)*$Q681</f>
        <v>0.24247824513607869</v>
      </c>
      <c r="Z681" s="41">
        <f>VLOOKUP(B681,'Player Data'!$A1:$AE734,14,FALSE)*$Q681</f>
        <v>0.66886177120356649</v>
      </c>
      <c r="AA681" s="41">
        <f>VLOOKUP(B681,'Player Data'!$A1:$AE734,15,FALSE)*$Q681</f>
        <v>40.80245885801974</v>
      </c>
      <c r="AB681" s="41">
        <f>VLOOKUP(B681,'Player Data'!$A1:$AE734,16,FALSE)*$Q681</f>
        <v>68.715890068908735</v>
      </c>
      <c r="AC681" s="41">
        <f>VLOOKUP(B681,'Player Data'!$A1:$AE734,17,FALSE)*$Q681*IFERROR((VLOOKUP(P681,Settings!$E$28:$F$33,2,FALSE)+1),1)</f>
        <v>-0.3688389023421319</v>
      </c>
      <c r="AD681" s="41">
        <f>VLOOKUP(B681,'Player Data'!$A1:$AE734,18,FALSE)*$Q681</f>
        <v>20.024287033505583</v>
      </c>
      <c r="AE681" s="41">
        <f>VLOOKUP(B681,'Player Data'!$A1:$AE734,19,FALSE)*$Q681*IFERROR((VLOOKUP(P681,Settings!$E$28:$F$33,2,FALSE)+1),1)</f>
        <v>0.59890878477028964</v>
      </c>
      <c r="AF681" s="41">
        <f>VLOOKUP(B681,'Player Data'!$A1:$AE734,20,FALSE)*$Q681</f>
        <v>322.3710551931415</v>
      </c>
      <c r="AG681" s="41">
        <f>VLOOKUP(B681,'Player Data'!$A1:$AE734,21,FALSE)*$Q681</f>
        <v>280.91045833072815</v>
      </c>
      <c r="AH681" s="42">
        <f>VLOOKUP(B681,'Player Data'!$A1:$AE734,22,FALSE)</f>
        <v>0.53436256203197297</v>
      </c>
      <c r="AI681" s="39"/>
      <c r="AJ681" s="43"/>
      <c r="AK681" s="41"/>
      <c r="AL681" s="41"/>
      <c r="AM681" s="41"/>
      <c r="AN681" s="41"/>
      <c r="AO681" s="41"/>
      <c r="AP681" s="41"/>
      <c r="AQ681" s="44"/>
      <c r="AR681" s="45"/>
      <c r="AS681" s="39"/>
    </row>
    <row r="682" spans="1:45" ht="21.25" customHeight="1" x14ac:dyDescent="0.15">
      <c r="A682" s="31">
        <f>RANK(K682,K$2:K$727)</f>
        <v>681</v>
      </c>
      <c r="B682" s="8" t="s">
        <v>786</v>
      </c>
      <c r="C682" s="32" t="s">
        <v>106</v>
      </c>
      <c r="D682" s="33" t="str">
        <f>VLOOKUP(B682,'Player Data'!A1:D734,4,FALSE)</f>
        <v>RW</v>
      </c>
      <c r="E682" s="46">
        <f>VLOOKUP(B682,RW!A1:F97,3,FALSE)</f>
        <v>95</v>
      </c>
      <c r="F682" s="35" t="str">
        <f>VLOOKUP(B682,'Player Data'!A1:B734,2,FALSE)</f>
        <v>SJS</v>
      </c>
      <c r="G682" s="9">
        <f>VLOOKUP(B682,'Player Data'!A1:D734,3,FALSE)</f>
        <v>25</v>
      </c>
      <c r="H682" s="36">
        <f>IFERROR(VLOOKUP(B682,ADP!A1:G728,7,FALSE)/1000000,VLOOKUP(B682,ADP!A1:G728,7,FALSE))</f>
        <v>0.8</v>
      </c>
      <c r="I682" s="37">
        <f>IF(Settings!$E$15="POINTS",((R682*Q682)*Settings!$B$12)+(S682*Settings!$B$2)+(T682*Settings!$B$3)+(U682*Settings!$B$4)+(V682*Settings!$B$5)+(X682*Settings!$B$9)+(AA682*Settings!$B$6)+(W682*Settings!$B$8)+(AB682*Settings!$B$7)+(AC682*Settings!$B$14)+(AD682*Settings!$B$15)+(AE682*Settings!$B$16)+(AF682*Settings!$B$17)+(AG682*Settings!$B$18)+(Y682*Settings!$B$10)+(Z682*Settings!$B$11),VLOOKUP(B682,'Standard Deviations'!A1:C728,3,FALSE))</f>
        <v>55.501407672484113</v>
      </c>
      <c r="J682" s="38">
        <f>IF(D682="G",I682/AJ682,I682/Q682)</f>
        <v>0.88016640887028696</v>
      </c>
      <c r="K682" s="37">
        <f>IF(Settings!$E$18="C/LW/RW",VLOOKUP(B682,RW!A1:F97,6,FALSE),VLOOKUP(B682,F!A1:F430,6,FALSE))</f>
        <v>-294.77013287540547</v>
      </c>
      <c r="L682" s="37">
        <f>IFERROR(K682/H682,"N/A")</f>
        <v>-368.4626660942568</v>
      </c>
      <c r="M682" s="53" t="str">
        <f>IF(Settings!$E$9="YAHOO",VLOOKUP(B682,ADP!A1:E728,2,FALSE),IF(Settings!$E$9="ESPN",VLOOKUP(B682,ADP!A1:E728,3,FALSE),IF(Settings!$E$9="FANTRAX",VLOOKUP(B682,ADP!A1:E728,4,FALSE),VLOOKUP(B682,ADP!A1:E728,5,FALSE))))</f>
        <v>-</v>
      </c>
      <c r="N682" s="53" t="str">
        <f>IFERROR(M682-A682,"N/A")</f>
        <v>N/A</v>
      </c>
      <c r="O682" s="39"/>
      <c r="P682" s="40" t="str">
        <f>IF(Settings!$E$27="ON",VLOOKUP(B682,ADP!A1:H728,8,FALSE)," ")</f>
        <v xml:space="preserve"> </v>
      </c>
      <c r="Q682" s="41">
        <f>IF(Settings!$E$12="YES",VLOOKUP(B682,'Player Data'!A1:E734,5,FALSE),82)</f>
        <v>63.057857142857102</v>
      </c>
      <c r="R682" s="39">
        <f>VLOOKUP(B682,'Player Data'!$A1:$AE734,6,FALSE)</f>
        <v>7.0133333333333301</v>
      </c>
      <c r="S682" s="41">
        <f>VLOOKUP(B682,'Player Data'!$A1:$AE734,7,FALSE)*$Q682*IFERROR((VLOOKUP(P682,Settings!$E$28:$F$33,2,FALSE)+1),1)</f>
        <v>3.7152819242329458</v>
      </c>
      <c r="T682" s="41">
        <f>VLOOKUP(B682,'Player Data'!$A1:$AE734,8,FALSE)*$Q682*IFERROR((VLOOKUP(P682,Settings!$E$28:$F$33,2,FALSE)+1),1)</f>
        <v>5.1379234696356813</v>
      </c>
      <c r="U682" s="41">
        <f>SUM(S682:T682)</f>
        <v>8.8532053938686275</v>
      </c>
      <c r="V682" s="41">
        <f>VLOOKUP(B682,'Player Data'!$A1:$AE734,10,FALSE)*$Q682*IFERROR(((VLOOKUP(P682,Settings!$E$28:$F$33,2,FALSE)/2)+1),1)</f>
        <v>50.58681505503943</v>
      </c>
      <c r="W682" s="41">
        <f>VLOOKUP(B682,'Player Data'!$A1:$AE734,11,FALSE)*$Q682*IFERROR((VLOOKUP(P682,Settings!$E$28:$F$33,2,FALSE)+1),1)</f>
        <v>4.4447764840751913E-2</v>
      </c>
      <c r="X682" s="41">
        <f>VLOOKUP(B682,'Player Data'!$A1:$AE734,12,FALSE)*$Q682*IFERROR((VLOOKUP(P682,Settings!$E$28:$F$33,2,FALSE)+1),1)</f>
        <v>0.11283880876279063</v>
      </c>
      <c r="Y682" s="41">
        <f>VLOOKUP(B682,'Player Data'!$A1:$AE734,13,FALSE)*$Q682</f>
        <v>3.8991373017237571E-3</v>
      </c>
      <c r="Z682" s="41">
        <f>VLOOKUP(B682,'Player Data'!$A1:$AE734,14,FALSE)*$Q682</f>
        <v>7.155312939776285E-3</v>
      </c>
      <c r="AA682" s="41">
        <f>VLOOKUP(B682,'Player Data'!$A1:$AE734,15,FALSE)*$Q682</f>
        <v>17.04197859976691</v>
      </c>
      <c r="AB682" s="41">
        <f>VLOOKUP(B682,'Player Data'!$A1:$AE734,16,FALSE)*$Q682</f>
        <v>94.050102940789074</v>
      </c>
      <c r="AC682" s="41">
        <f>VLOOKUP(B682,'Player Data'!$A1:$AE734,17,FALSE)*$Q682*IFERROR((VLOOKUP(P682,Settings!$E$28:$F$33,2,FALSE)+1),1)</f>
        <v>-0.3590940615641674</v>
      </c>
      <c r="AD682" s="41">
        <f>VLOOKUP(B682,'Player Data'!$A1:$AE734,18,FALSE)*$Q682</f>
        <v>50.059606358116199</v>
      </c>
      <c r="AE682" s="41">
        <f>VLOOKUP(B682,'Player Data'!$A1:$AE734,19,FALSE)*$Q682*IFERROR((VLOOKUP(P682,Settings!$E$28:$F$33,2,FALSE)+1),1)</f>
        <v>0.45111600920762424</v>
      </c>
      <c r="AF682" s="41">
        <f>VLOOKUP(B682,'Player Data'!$A1:$AE734,20,FALSE)*$Q682</f>
        <v>0.11856806542587646</v>
      </c>
      <c r="AG682" s="41">
        <f>VLOOKUP(B682,'Player Data'!$A1:$AE734,21,FALSE)*$Q682</f>
        <v>0.3768975497397824</v>
      </c>
      <c r="AH682" s="42">
        <f>VLOOKUP(B682,'Player Data'!$A1:$AE734,22,FALSE)</f>
        <v>0.239306344974581</v>
      </c>
      <c r="AI682" s="39"/>
      <c r="AJ682" s="43"/>
      <c r="AK682" s="41"/>
      <c r="AL682" s="41"/>
      <c r="AM682" s="41"/>
      <c r="AN682" s="41"/>
      <c r="AO682" s="41"/>
      <c r="AP682" s="41"/>
      <c r="AQ682" s="44"/>
      <c r="AR682" s="45"/>
      <c r="AS682" s="39"/>
    </row>
    <row r="683" spans="1:45" ht="21.25" customHeight="1" x14ac:dyDescent="0.15">
      <c r="A683" s="31">
        <f>RANK(K683,K$2:K$727)</f>
        <v>682</v>
      </c>
      <c r="B683" s="8" t="s">
        <v>787</v>
      </c>
      <c r="C683" s="32" t="s">
        <v>106</v>
      </c>
      <c r="D683" s="33" t="str">
        <f>VLOOKUP(B683,'Player Data'!A1:D734,4,FALSE)</f>
        <v>C</v>
      </c>
      <c r="E683" s="34">
        <f>VLOOKUP(B683,'C'!A1:C211,3,FALSE)</f>
        <v>178</v>
      </c>
      <c r="F683" s="35" t="str">
        <f>VLOOKUP(B683,'Player Data'!A1:B734,2,FALSE)</f>
        <v>MIN</v>
      </c>
      <c r="G683" s="9">
        <f>VLOOKUP(B683,'Player Data'!A1:D734,3,FALSE)</f>
        <v>24</v>
      </c>
      <c r="H683" s="36">
        <f>IFERROR(VLOOKUP(B683,ADP!A1:G728,7,FALSE)/1000000,VLOOKUP(B683,ADP!A1:G728,7,FALSE))</f>
        <v>0.8</v>
      </c>
      <c r="I683" s="37">
        <f>IF(Settings!$E$15="POINTS",((R683*Q683)*Settings!$B$12)+(S683*Settings!$B$2)+(T683*Settings!$B$3)+(U683*Settings!$B$4)+(V683*Settings!$B$5)+(X683*Settings!$B$9)+(AA683*Settings!$B$6)+(W683*Settings!$B$8)+(AB683*Settings!$B$7)+(AC683*Settings!$B$14)+(AD683*Settings!$B$15)+(AE683*Settings!$B$16)+(AF683*Settings!$B$17)+(AG683*Settings!$B$18)+(Y683*Settings!$B$10)+(Z683*Settings!$B$11),VLOOKUP(B683,'Standard Deviations'!A1:C728,3,FALSE))</f>
        <v>97.958024627907122</v>
      </c>
      <c r="J683" s="38">
        <f>IF(D683="G",I683/AJ683,I683/Q683)</f>
        <v>1.4579256530422253</v>
      </c>
      <c r="K683" s="37">
        <f>IF(Settings!$E$18="C/LW/RW",VLOOKUP(B683,'C'!A1:F211,6,FALSE),VLOOKUP(B683,F!A1:F430,6,FALSE))</f>
        <v>-295.3707811383025</v>
      </c>
      <c r="L683" s="37">
        <f>IFERROR(K683/H683,"N/A")</f>
        <v>-369.2134764228781</v>
      </c>
      <c r="M683" s="53" t="str">
        <f>IF(Settings!$E$9="YAHOO",VLOOKUP(B683,ADP!A1:E728,2,FALSE),IF(Settings!$E$9="ESPN",VLOOKUP(B683,ADP!A1:E728,3,FALSE),IF(Settings!$E$9="FANTRAX",VLOOKUP(B683,ADP!A1:E728,4,FALSE),VLOOKUP(B683,ADP!A1:E728,5,FALSE))))</f>
        <v>-</v>
      </c>
      <c r="N683" s="53" t="str">
        <f>IFERROR(M683-A683,"N/A")</f>
        <v>N/A</v>
      </c>
      <c r="O683" s="39"/>
      <c r="P683" s="40" t="str">
        <f>IF(Settings!$E$27="ON",VLOOKUP(B683,ADP!A1:H728,8,FALSE)," ")</f>
        <v xml:space="preserve"> </v>
      </c>
      <c r="Q683" s="41">
        <f>IF(Settings!$E$12="YES",VLOOKUP(B683,'Player Data'!A1:E734,5,FALSE),82)</f>
        <v>67.19</v>
      </c>
      <c r="R683" s="39">
        <f>VLOOKUP(B683,'Player Data'!$A1:$AE734,6,FALSE)</f>
        <v>10.907855957292099</v>
      </c>
      <c r="S683" s="41">
        <f>VLOOKUP(B683,'Player Data'!$A1:$AE734,7,FALSE)*$Q683*IFERROR((VLOOKUP(P683,Settings!$E$28:$F$33,2,FALSE)+1),1)</f>
        <v>5.9970577197977804</v>
      </c>
      <c r="T683" s="41">
        <f>VLOOKUP(B683,'Player Data'!$A1:$AE734,8,FALSE)*$Q683*IFERROR((VLOOKUP(P683,Settings!$E$28:$F$33,2,FALSE)+1),1)</f>
        <v>9.5399877586039921</v>
      </c>
      <c r="U683" s="41">
        <f>SUM(S683:T683)</f>
        <v>15.537045478401772</v>
      </c>
      <c r="V683" s="41">
        <f>VLOOKUP(B683,'Player Data'!$A1:$AE734,10,FALSE)*$Q683*IFERROR(((VLOOKUP(P683,Settings!$E$28:$F$33,2,FALSE)/2)+1),1)</f>
        <v>74.630170728646149</v>
      </c>
      <c r="W683" s="41">
        <f>VLOOKUP(B683,'Player Data'!$A1:$AE734,11,FALSE)*$Q683*IFERROR((VLOOKUP(P683,Settings!$E$28:$F$33,2,FALSE)+1),1)</f>
        <v>5.3830312192944249E-2</v>
      </c>
      <c r="X683" s="41">
        <f>VLOOKUP(B683,'Player Data'!$A1:$AE734,12,FALSE)*$Q683*IFERROR((VLOOKUP(P683,Settings!$E$28:$F$33,2,FALSE)+1),1)</f>
        <v>0.16707484455129085</v>
      </c>
      <c r="Y683" s="41">
        <f>VLOOKUP(B683,'Player Data'!$A1:$AE734,13,FALSE)*$Q683</f>
        <v>2.112199215765596</v>
      </c>
      <c r="Z683" s="41">
        <f>VLOOKUP(B683,'Player Data'!$A1:$AE734,14,FALSE)*$Q683</f>
        <v>2.8807332243157791</v>
      </c>
      <c r="AA683" s="41">
        <f>VLOOKUP(B683,'Player Data'!$A1:$AE734,15,FALSE)*$Q683</f>
        <v>39.680933453222913</v>
      </c>
      <c r="AB683" s="41">
        <f>VLOOKUP(B683,'Player Data'!$A1:$AE734,16,FALSE)*$Q683</f>
        <v>101.07056753726012</v>
      </c>
      <c r="AC683" s="41">
        <f>VLOOKUP(B683,'Player Data'!$A1:$AE734,17,FALSE)*$Q683*IFERROR((VLOOKUP(P683,Settings!$E$28:$F$33,2,FALSE)+1),1)</f>
        <v>0.47691289288389749</v>
      </c>
      <c r="AD683" s="41">
        <f>VLOOKUP(B683,'Player Data'!$A1:$AE734,18,FALSE)*$Q683</f>
        <v>23.736607771273572</v>
      </c>
      <c r="AE683" s="41">
        <f>VLOOKUP(B683,'Player Data'!$A1:$AE734,19,FALSE)*$Q683*IFERROR((VLOOKUP(P683,Settings!$E$28:$F$33,2,FALSE)+1),1)</f>
        <v>0.96298603239947145</v>
      </c>
      <c r="AF683" s="41">
        <f>VLOOKUP(B683,'Player Data'!$A1:$AE734,20,FALSE)*$Q683</f>
        <v>181.30961686294481</v>
      </c>
      <c r="AG683" s="41">
        <f>VLOOKUP(B683,'Player Data'!$A1:$AE734,21,FALSE)*$Q683</f>
        <v>223.92596188911511</v>
      </c>
      <c r="AH683" s="42">
        <f>VLOOKUP(B683,'Player Data'!$A1:$AE734,22,FALSE)</f>
        <v>0.44741781415465998</v>
      </c>
      <c r="AI683" s="39"/>
      <c r="AJ683" s="41"/>
      <c r="AK683" s="41"/>
      <c r="AL683" s="41"/>
      <c r="AM683" s="41"/>
      <c r="AN683" s="41"/>
      <c r="AO683" s="41"/>
      <c r="AP683" s="41"/>
      <c r="AQ683" s="44"/>
      <c r="AR683" s="45"/>
      <c r="AS683" s="39"/>
    </row>
    <row r="684" spans="1:45" ht="21.25" customHeight="1" x14ac:dyDescent="0.15">
      <c r="A684" s="31">
        <f>RANK(K684,K$2:K$727)</f>
        <v>683</v>
      </c>
      <c r="B684" s="8" t="s">
        <v>788</v>
      </c>
      <c r="C684" s="32" t="s">
        <v>106</v>
      </c>
      <c r="D684" s="33" t="str">
        <f>VLOOKUP(B684,'Player Data'!A1:D734,4,FALSE)</f>
        <v>G</v>
      </c>
      <c r="E684" s="50">
        <f>VLOOKUP(B684,G!A1:D75,3,FALSE)</f>
        <v>64</v>
      </c>
      <c r="F684" s="35" t="str">
        <f>VLOOKUP(B684,'Player Data'!A1:B734,2,FALSE)</f>
        <v>FLA</v>
      </c>
      <c r="G684" s="9">
        <f>VLOOKUP(B684,'Player Data'!A1:D734,3,FALSE)</f>
        <v>29</v>
      </c>
      <c r="H684" s="36">
        <f>IFERROR(VLOOKUP(B684,ADP!A1:G728,7,FALSE)/1000000,VLOOKUP(B684,ADP!A1:G728,7,FALSE))</f>
        <v>1.1000000000000001</v>
      </c>
      <c r="I684" s="37">
        <f>IF(Settings!$E$15="POINTS",(AJ684*Settings!$B$29)+(AK684*Settings!$B$21)+(AL684*Settings!$B$22)+(AN684*Settings!$B$24)+(AO684*Settings!$B$25)+(AP684*Settings!$B$27)+(AM684*Settings!$B$23),VLOOKUP(B684,'Standard Deviations'!A1:C728,3,FALSE))</f>
        <v>102.15025195158697</v>
      </c>
      <c r="J684" s="38">
        <f>IF(D684="G",I684/AJ684,I684/Q684)</f>
        <v>6.8100167967724641</v>
      </c>
      <c r="K684" s="37">
        <f>VLOOKUP(B684,G!A1:F75,6,FALSE)</f>
        <v>-296.6254101377292</v>
      </c>
      <c r="L684" s="37">
        <f>IFERROR(K684/H684,"N/A")</f>
        <v>-269.659463761572</v>
      </c>
      <c r="M684" s="53" t="str">
        <f>IF(Settings!$E$9="YAHOO",VLOOKUP(B684,ADP!A1:E728,2,FALSE),IF(Settings!$E$9="ESPN",VLOOKUP(B684,ADP!A1:E728,3,FALSE),IF(Settings!$E$9="FANTRAX",VLOOKUP(B684,ADP!A1:E728,4,FALSE),VLOOKUP(B684,ADP!A1:E728,5,FALSE))))</f>
        <v>-</v>
      </c>
      <c r="N684" s="53" t="str">
        <f>IFERROR(M684-A684,"N/A")</f>
        <v>N/A</v>
      </c>
      <c r="O684" s="39"/>
      <c r="P684" s="40" t="str">
        <f>IF(Settings!$E$27="ON",VLOOKUP(B684,ADP!A1:H728,8,FALSE)," ")</f>
        <v xml:space="preserve"> </v>
      </c>
      <c r="Q684" s="41"/>
      <c r="R684" s="5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2"/>
      <c r="AI684" s="39"/>
      <c r="AJ684" s="43">
        <f>VLOOKUP(B684,'Player Data'!$A1:$AE734,24,FALSE)</f>
        <v>15</v>
      </c>
      <c r="AK684" s="41">
        <f>VLOOKUP(B684,'Player Data'!$A1:$AE734,25,FALSE)*$AJ684*IFERROR((VLOOKUP(P684,Settings!$E$28:$F$33,2,FALSE)+1),1)</f>
        <v>8.2193132059462339</v>
      </c>
      <c r="AL684" s="41">
        <f>AJ684-AK684-AM684</f>
        <v>4.9056867940537661</v>
      </c>
      <c r="AM684" s="41">
        <f>VLOOKUP(B684,'Player Data'!$A1:$AE734,27,FALSE)*$AJ684</f>
        <v>1.875</v>
      </c>
      <c r="AN684" s="41">
        <f>VLOOKUP(B684,'Player Data'!$A1:$AE734,28,FALSE)*AJ684</f>
        <v>0.55633701545173952</v>
      </c>
      <c r="AO684" s="41">
        <f>VLOOKUP(B684,'Player Data'!$A1:$AE734,29,FALSE)*$AJ684*IFERROR((VLOOKUP(P684,Settings!$E$28:$F$33,2,FALSE)/4)+1,1)</f>
        <v>428.07312355974148</v>
      </c>
      <c r="AP684" s="41">
        <f>VLOOKUP(B684,'Player Data'!$A1:$AE734,31,FALSE)*$AJ684*(IFERROR(1-(VLOOKUP(P684,Settings!$E$28:$F$33,2,FALSE)/4),1))</f>
        <v>45.885641159008649</v>
      </c>
      <c r="AQ684" s="44">
        <f>1-(AP684/(AO684+AP684))</f>
        <v>0.90318642765001411</v>
      </c>
      <c r="AR684" s="45">
        <f>AP684/AJ684</f>
        <v>3.0590427439339098</v>
      </c>
      <c r="AS684" s="39"/>
    </row>
    <row r="685" spans="1:45" ht="21.25" customHeight="1" x14ac:dyDescent="0.15">
      <c r="A685" s="31">
        <f>RANK(K685,K$2:K$727)</f>
        <v>684</v>
      </c>
      <c r="B685" s="8" t="s">
        <v>789</v>
      </c>
      <c r="C685" s="32" t="s">
        <v>106</v>
      </c>
      <c r="D685" s="33" t="str">
        <f>VLOOKUP(B685,'Player Data'!A1:D734,4,FALSE)</f>
        <v>C</v>
      </c>
      <c r="E685" s="34">
        <f>VLOOKUP(B685,'C'!A1:C211,3,FALSE)</f>
        <v>179</v>
      </c>
      <c r="F685" s="35" t="str">
        <f>VLOOKUP(B685,'Player Data'!A1:B734,2,FALSE)</f>
        <v>VAN</v>
      </c>
      <c r="G685" s="9">
        <f>VLOOKUP(B685,'Player Data'!A1:D734,3,FALSE)</f>
        <v>27</v>
      </c>
      <c r="H685" s="36">
        <f>IFERROR(VLOOKUP(B685,ADP!A1:G728,7,FALSE)/1000000,VLOOKUP(B685,ADP!A1:G728,7,FALSE))</f>
        <v>0.82499999999999996</v>
      </c>
      <c r="I685" s="37">
        <f>IF(Settings!$E$15="POINTS",((R685*Q685)*Settings!$B$12)+(S685*Settings!$B$2)+(T685*Settings!$B$3)+(U685*Settings!$B$4)+(V685*Settings!$B$5)+(X685*Settings!$B$9)+(AA685*Settings!$B$6)+(W685*Settings!$B$8)+(AB685*Settings!$B$7)+(AC685*Settings!$B$14)+(AD685*Settings!$B$15)+(AE685*Settings!$B$16)+(AF685*Settings!$B$17)+(AG685*Settings!$B$18)+(Y685*Settings!$B$10)+(Z685*Settings!$B$11),VLOOKUP(B685,'Standard Deviations'!A1:C728,3,FALSE))</f>
        <v>95.234702791550021</v>
      </c>
      <c r="J685" s="38">
        <f>IF(D685="G",I685/AJ685,I685/Q685)</f>
        <v>1.4024770440499013</v>
      </c>
      <c r="K685" s="37">
        <f>IF(Settings!$E$18="C/LW/RW",VLOOKUP(B685,'C'!A1:F211,6,FALSE),VLOOKUP(B685,F!A1:F430,6,FALSE))</f>
        <v>-298.09410297465962</v>
      </c>
      <c r="L685" s="37">
        <f>IFERROR(K685/H685,"N/A")</f>
        <v>-361.32618542382988</v>
      </c>
      <c r="M685" s="53" t="str">
        <f>IF(Settings!$E$9="YAHOO",VLOOKUP(B685,ADP!A1:E728,2,FALSE),IF(Settings!$E$9="ESPN",VLOOKUP(B685,ADP!A1:E728,3,FALSE),IF(Settings!$E$9="FANTRAX",VLOOKUP(B685,ADP!A1:E728,4,FALSE),VLOOKUP(B685,ADP!A1:E728,5,FALSE))))</f>
        <v>-</v>
      </c>
      <c r="N685" s="53" t="str">
        <f>IFERROR(M685-A685,"N/A")</f>
        <v>N/A</v>
      </c>
      <c r="O685" s="39"/>
      <c r="P685" s="40" t="str">
        <f>IF(Settings!$E$27="ON",VLOOKUP(B685,ADP!A1:H728,8,FALSE)," ")</f>
        <v xml:space="preserve"> </v>
      </c>
      <c r="Q685" s="41">
        <f>IF(Settings!$E$12="YES",VLOOKUP(B685,'Player Data'!A1:E734,5,FALSE),82)</f>
        <v>67.904642857142903</v>
      </c>
      <c r="R685" s="39">
        <f>VLOOKUP(B685,'Player Data'!$A1:$AE734,6,FALSE)</f>
        <v>11.2480436828014</v>
      </c>
      <c r="S685" s="41">
        <f>VLOOKUP(B685,'Player Data'!$A1:$AE734,7,FALSE)*$Q685*IFERROR((VLOOKUP(P685,Settings!$E$28:$F$33,2,FALSE)+1),1)</f>
        <v>8.1650634943524452</v>
      </c>
      <c r="T685" s="41">
        <f>VLOOKUP(B685,'Player Data'!$A1:$AE734,8,FALSE)*$Q685*IFERROR((VLOOKUP(P685,Settings!$E$28:$F$33,2,FALSE)+1),1)</f>
        <v>10.330665223692725</v>
      </c>
      <c r="U685" s="41">
        <f>SUM(S685:T685)</f>
        <v>18.495728718045171</v>
      </c>
      <c r="V685" s="41">
        <f>VLOOKUP(B685,'Player Data'!$A1:$AE734,10,FALSE)*$Q685*IFERROR(((VLOOKUP(P685,Settings!$E$28:$F$33,2,FALSE)/2)+1),1)</f>
        <v>64.964062762454333</v>
      </c>
      <c r="W685" s="41">
        <f>VLOOKUP(B685,'Player Data'!$A1:$AE734,11,FALSE)*$Q685*IFERROR((VLOOKUP(P685,Settings!$E$28:$F$33,2,FALSE)+1),1)</f>
        <v>0.20221714625899137</v>
      </c>
      <c r="X685" s="41">
        <f>VLOOKUP(B685,'Player Data'!$A1:$AE734,12,FALSE)*$Q685*IFERROR((VLOOKUP(P685,Settings!$E$28:$F$33,2,FALSE)+1),1)</f>
        <v>0.35812690194307412</v>
      </c>
      <c r="Y685" s="41">
        <f>VLOOKUP(B685,'Player Data'!$A1:$AE734,13,FALSE)*$Q685</f>
        <v>0.53924016215556858</v>
      </c>
      <c r="Z685" s="41">
        <f>VLOOKUP(B685,'Player Data'!$A1:$AE734,14,FALSE)*$Q685</f>
        <v>0.62510885580950803</v>
      </c>
      <c r="AA685" s="41">
        <f>VLOOKUP(B685,'Player Data'!$A1:$AE734,15,FALSE)*$Q685</f>
        <v>26.495068703410958</v>
      </c>
      <c r="AB685" s="41">
        <f>VLOOKUP(B685,'Player Data'!$A1:$AE734,16,FALSE)*$Q685</f>
        <v>176.26911599367884</v>
      </c>
      <c r="AC685" s="41">
        <f>VLOOKUP(B685,'Player Data'!$A1:$AE734,17,FALSE)*$Q685*IFERROR((VLOOKUP(P685,Settings!$E$28:$F$33,2,FALSE)+1),1)</f>
        <v>-0.32160418204836905</v>
      </c>
      <c r="AD685" s="41">
        <f>VLOOKUP(B685,'Player Data'!$A1:$AE734,18,FALSE)*$Q685</f>
        <v>35.519911511246569</v>
      </c>
      <c r="AE685" s="41">
        <f>VLOOKUP(B685,'Player Data'!$A1:$AE734,19,FALSE)*$Q685*IFERROR((VLOOKUP(P685,Settings!$E$28:$F$33,2,FALSE)+1),1)</f>
        <v>1.1558435219475784</v>
      </c>
      <c r="AF685" s="41">
        <f>VLOOKUP(B685,'Player Data'!$A1:$AE734,20,FALSE)*$Q685</f>
        <v>29.823401671351469</v>
      </c>
      <c r="AG685" s="41">
        <f>VLOOKUP(B685,'Player Data'!$A1:$AE734,21,FALSE)*$Q685</f>
        <v>25.722186781609853</v>
      </c>
      <c r="AH685" s="42">
        <f>VLOOKUP(B685,'Player Data'!$A1:$AE734,22,FALSE)</f>
        <v>0.53691755730713597</v>
      </c>
      <c r="AI685" s="39"/>
      <c r="AJ685" s="41"/>
      <c r="AK685" s="41"/>
      <c r="AL685" s="41"/>
      <c r="AM685" s="41"/>
      <c r="AN685" s="41"/>
      <c r="AO685" s="41"/>
      <c r="AP685" s="41"/>
      <c r="AQ685" s="44"/>
      <c r="AR685" s="45"/>
      <c r="AS685" s="39"/>
    </row>
    <row r="686" spans="1:45" ht="21.25" customHeight="1" x14ac:dyDescent="0.15">
      <c r="A686" s="31">
        <f>RANK(K686,K$2:K$727)</f>
        <v>685</v>
      </c>
      <c r="B686" s="8" t="s">
        <v>790</v>
      </c>
      <c r="C686" s="32" t="s">
        <v>106</v>
      </c>
      <c r="D686" s="33" t="str">
        <f>VLOOKUP(B686,'Player Data'!A1:D734,4,FALSE)</f>
        <v>G</v>
      </c>
      <c r="E686" s="50">
        <f>VLOOKUP(B686,G!A1:D75,3,FALSE)</f>
        <v>65</v>
      </c>
      <c r="F686" s="35" t="str">
        <f>VLOOKUP(B686,'Player Data'!A1:B734,2,FALSE)</f>
        <v>FLA</v>
      </c>
      <c r="G686" s="9">
        <f>VLOOKUP(B686,'Player Data'!A1:D734,3,FALSE)</f>
        <v>22</v>
      </c>
      <c r="H686" s="36">
        <f>IFERROR(VLOOKUP(B686,ADP!A1:G728,7,FALSE)/1000000,VLOOKUP(B686,ADP!A1:G728,7,FALSE))</f>
        <v>0</v>
      </c>
      <c r="I686" s="37">
        <f>IF(Settings!$E$15="POINTS",(AJ686*Settings!$B$29)+(AK686*Settings!$B$21)+(AL686*Settings!$B$22)+(AN686*Settings!$B$24)+(AO686*Settings!$B$25)+(AP686*Settings!$B$27)+(AM686*Settings!$B$23),VLOOKUP(B686,'Standard Deviations'!A1:C728,3,FALSE))</f>
        <v>100.06409435146068</v>
      </c>
      <c r="J686" s="38">
        <f>IF(D686="G",I686/AJ686,I686/Q686)</f>
        <v>6.6709396234307121</v>
      </c>
      <c r="K686" s="37">
        <f>VLOOKUP(B686,G!A1:F75,6,FALSE)</f>
        <v>-298.71156773785549</v>
      </c>
      <c r="L686" s="52" t="str">
        <f>IFERROR(K686/H686,"N/A")</f>
        <v>N/A</v>
      </c>
      <c r="M686" s="53" t="str">
        <f>IF(Settings!$E$9="YAHOO",VLOOKUP(B686,ADP!A1:E728,2,FALSE),IF(Settings!$E$9="ESPN",VLOOKUP(B686,ADP!A1:E728,3,FALSE),IF(Settings!$E$9="FANTRAX",VLOOKUP(B686,ADP!A1:E728,4,FALSE),VLOOKUP(B686,ADP!A1:E728,5,FALSE))))</f>
        <v>-</v>
      </c>
      <c r="N686" s="53" t="str">
        <f>IFERROR(M686-A686,"N/A")</f>
        <v>N/A</v>
      </c>
      <c r="O686" s="39"/>
      <c r="P686" s="40" t="str">
        <f>IF(Settings!$E$27="ON",VLOOKUP(B686,ADP!A1:H728,8,FALSE)," ")</f>
        <v xml:space="preserve"> </v>
      </c>
      <c r="Q686" s="41"/>
      <c r="R686" s="5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2"/>
      <c r="AI686" s="39"/>
      <c r="AJ686" s="43">
        <f>VLOOKUP(B686,'Player Data'!$A1:$AE734,24,FALSE)</f>
        <v>15</v>
      </c>
      <c r="AK686" s="41">
        <f>VLOOKUP(B686,'Player Data'!$A1:$AE734,25,FALSE)*$AJ686*IFERROR((VLOOKUP(P686,Settings!$E$28:$F$33,2,FALSE)+1),1)</f>
        <v>8.0943791423665505</v>
      </c>
      <c r="AL686" s="41">
        <f>AJ686-AK686-AM686</f>
        <v>5.0306208576334495</v>
      </c>
      <c r="AM686" s="41">
        <f>VLOOKUP(B686,'Player Data'!$A1:$AE734,27,FALSE)*$AJ686</f>
        <v>1.875</v>
      </c>
      <c r="AN686" s="41">
        <f>VLOOKUP(B686,'Player Data'!$A1:$AE734,28,FALSE)*AJ686</f>
        <v>0.52054322622780891</v>
      </c>
      <c r="AO686" s="41">
        <f>VLOOKUP(B686,'Player Data'!$A1:$AE734,29,FALSE)*$AJ686*IFERROR((VLOOKUP(P686,Settings!$E$28:$F$33,2,FALSE)/4)+1,1)</f>
        <v>427.604618465187</v>
      </c>
      <c r="AP686" s="41">
        <f>VLOOKUP(B686,'Player Data'!$A1:$AE734,31,FALSE)*$AJ686*(IFERROR(1-(VLOOKUP(P686,Settings!$E$28:$F$33,2,FALSE)/4),1))</f>
        <v>46.354146253562696</v>
      </c>
      <c r="AQ686" s="44">
        <f>1-(AP686/(AO686+AP686))</f>
        <v>0.90219793428428408</v>
      </c>
      <c r="AR686" s="45">
        <f>AP686/AJ686</f>
        <v>3.0902764169041799</v>
      </c>
      <c r="AS686" s="39"/>
    </row>
    <row r="687" spans="1:45" ht="21.25" customHeight="1" x14ac:dyDescent="0.15">
      <c r="A687" s="31">
        <f>RANK(K687,K$2:K$727)</f>
        <v>686</v>
      </c>
      <c r="B687" s="8" t="s">
        <v>791</v>
      </c>
      <c r="C687" s="32" t="s">
        <v>106</v>
      </c>
      <c r="D687" s="33" t="str">
        <f>VLOOKUP(B687,'Player Data'!A1:D734,4,FALSE)</f>
        <v>C</v>
      </c>
      <c r="E687" s="34">
        <f>VLOOKUP(B687,'C'!A1:C211,3,FALSE)</f>
        <v>180</v>
      </c>
      <c r="F687" s="35" t="str">
        <f>VLOOKUP(B687,'Player Data'!A1:B734,2,FALSE)</f>
        <v>DET</v>
      </c>
      <c r="G687" s="9">
        <f>VLOOKUP(B687,'Player Data'!A1:D734,3,FALSE)</f>
        <v>23</v>
      </c>
      <c r="H687" s="36">
        <f>IFERROR(VLOOKUP(B687,ADP!A1:G728,7,FALSE)/1000000,VLOOKUP(B687,ADP!A1:G728,7,FALSE))</f>
        <v>0</v>
      </c>
      <c r="I687" s="37">
        <f>IF(Settings!$E$15="POINTS",((R687*Q687)*Settings!$B$12)+(S687*Settings!$B$2)+(T687*Settings!$B$3)+(U687*Settings!$B$4)+(V687*Settings!$B$5)+(X687*Settings!$B$9)+(AA687*Settings!$B$6)+(W687*Settings!$B$8)+(AB687*Settings!$B$7)+(AC687*Settings!$B$14)+(AD687*Settings!$B$15)+(AE687*Settings!$B$16)+(AF687*Settings!$B$17)+(AG687*Settings!$B$18)+(Y687*Settings!$B$10)+(Z687*Settings!$B$11),VLOOKUP(B687,'Standard Deviations'!A1:C728,3,FALSE))</f>
        <v>94.596032468761067</v>
      </c>
      <c r="J687" s="38">
        <f>IF(D687="G",I687/AJ687,I687/Q687)</f>
        <v>1.3138337842883481</v>
      </c>
      <c r="K687" s="37">
        <f>IF(Settings!$E$18="C/LW/RW",VLOOKUP(B687,'C'!A1:F211,6,FALSE),VLOOKUP(B687,F!A1:F430,6,FALSE))</f>
        <v>-298.7327732974486</v>
      </c>
      <c r="L687" s="52" t="str">
        <f>IFERROR(K687/H687,"N/A")</f>
        <v>N/A</v>
      </c>
      <c r="M687" s="53" t="str">
        <f>IF(Settings!$E$9="YAHOO",VLOOKUP(B687,ADP!A1:E728,2,FALSE),IF(Settings!$E$9="ESPN",VLOOKUP(B687,ADP!A1:E728,3,FALSE),IF(Settings!$E$9="FANTRAX",VLOOKUP(B687,ADP!A1:E728,4,FALSE),VLOOKUP(B687,ADP!A1:E728,5,FALSE))))</f>
        <v>-</v>
      </c>
      <c r="N687" s="53" t="str">
        <f>IFERROR(M687-A687,"N/A")</f>
        <v>N/A</v>
      </c>
      <c r="O687" s="39"/>
      <c r="P687" s="40" t="str">
        <f>IF(Settings!$E$27="ON",VLOOKUP(B687,ADP!A1:H728,8,FALSE)," ")</f>
        <v xml:space="preserve"> </v>
      </c>
      <c r="Q687" s="41">
        <f>IF(Settings!$E$12="YES",VLOOKUP(B687,'Player Data'!A1:E734,5,FALSE),82)</f>
        <v>72</v>
      </c>
      <c r="R687" s="39">
        <f>VLOOKUP(B687,'Player Data'!$A1:$AE734,6,FALSE)</f>
        <v>11.5508804716291</v>
      </c>
      <c r="S687" s="41">
        <f>VLOOKUP(B687,'Player Data'!$A1:$AE734,7,FALSE)*$Q687*IFERROR((VLOOKUP(P687,Settings!$E$28:$F$33,2,FALSE)+1),1)</f>
        <v>7.9854913853402403</v>
      </c>
      <c r="T687" s="41">
        <f>VLOOKUP(B687,'Player Data'!$A1:$AE734,8,FALSE)*$Q687*IFERROR((VLOOKUP(P687,Settings!$E$28:$F$33,2,FALSE)+1),1)</f>
        <v>8.6756024003598711</v>
      </c>
      <c r="U687" s="41">
        <f>SUM(S687:T687)</f>
        <v>16.66109378570011</v>
      </c>
      <c r="V687" s="41">
        <f>VLOOKUP(B687,'Player Data'!$A1:$AE734,10,FALSE)*$Q687*IFERROR(((VLOOKUP(P687,Settings!$E$28:$F$33,2,FALSE)/2)+1),1)</f>
        <v>70.228854222616363</v>
      </c>
      <c r="W687" s="41">
        <f>VLOOKUP(B687,'Player Data'!$A1:$AE734,11,FALSE)*$Q687*IFERROR((VLOOKUP(P687,Settings!$E$28:$F$33,2,FALSE)+1),1)</f>
        <v>0.43866948153546864</v>
      </c>
      <c r="X687" s="41">
        <f>VLOOKUP(B687,'Player Data'!$A1:$AE734,12,FALSE)*$Q687*IFERROR((VLOOKUP(P687,Settings!$E$28:$F$33,2,FALSE)+1),1)</f>
        <v>1.3042991982614256</v>
      </c>
      <c r="Y687" s="41">
        <f>VLOOKUP(B687,'Player Data'!$A1:$AE734,13,FALSE)*$Q687</f>
        <v>9.0653179184020091E-2</v>
      </c>
      <c r="Z687" s="41">
        <f>VLOOKUP(B687,'Player Data'!$A1:$AE734,14,FALSE)*$Q687</f>
        <v>0.16716084745599505</v>
      </c>
      <c r="AA687" s="41">
        <f>VLOOKUP(B687,'Player Data'!$A1:$AE734,15,FALSE)*$Q687</f>
        <v>32.777019544588562</v>
      </c>
      <c r="AB687" s="41">
        <f>VLOOKUP(B687,'Player Data'!$A1:$AE734,16,FALSE)*$Q687</f>
        <v>120.02452041279743</v>
      </c>
      <c r="AC687" s="41">
        <f>VLOOKUP(B687,'Player Data'!$A1:$AE734,17,FALSE)*$Q687*IFERROR((VLOOKUP(P687,Settings!$E$28:$F$33,2,FALSE)+1),1)</f>
        <v>-3.3418825142069664</v>
      </c>
      <c r="AD687" s="41">
        <f>VLOOKUP(B687,'Player Data'!$A1:$AE734,18,FALSE)*$Q687</f>
        <v>22.86210170318213</v>
      </c>
      <c r="AE687" s="41">
        <f>VLOOKUP(B687,'Player Data'!$A1:$AE734,19,FALSE)*$Q687*IFERROR((VLOOKUP(P687,Settings!$E$28:$F$33,2,FALSE)+1),1)</f>
        <v>1.0310176226423233</v>
      </c>
      <c r="AF687" s="41">
        <f>VLOOKUP(B687,'Player Data'!$A1:$AE734,20,FALSE)*$Q687</f>
        <v>228.70631458545336</v>
      </c>
      <c r="AG687" s="41">
        <f>VLOOKUP(B687,'Player Data'!$A1:$AE734,21,FALSE)*$Q687</f>
        <v>280.24177578727108</v>
      </c>
      <c r="AH687" s="42">
        <f>VLOOKUP(B687,'Player Data'!$A1:$AE734,22,FALSE)</f>
        <v>0.44937061148606</v>
      </c>
      <c r="AI687" s="39"/>
      <c r="AJ687" s="43"/>
      <c r="AK687" s="41"/>
      <c r="AL687" s="41"/>
      <c r="AM687" s="41"/>
      <c r="AN687" s="41"/>
      <c r="AO687" s="41"/>
      <c r="AP687" s="41"/>
      <c r="AQ687" s="44"/>
      <c r="AR687" s="45"/>
      <c r="AS687" s="39"/>
    </row>
    <row r="688" spans="1:45" ht="21.25" customHeight="1" x14ac:dyDescent="0.15">
      <c r="A688" s="31">
        <f>RANK(K688,K$2:K$727)</f>
        <v>687</v>
      </c>
      <c r="B688" s="8" t="s">
        <v>792</v>
      </c>
      <c r="C688" s="32" t="s">
        <v>106</v>
      </c>
      <c r="D688" s="33" t="str">
        <f>VLOOKUP(B688,'Player Data'!A1:D734,4,FALSE)</f>
        <v>C</v>
      </c>
      <c r="E688" s="34">
        <f>VLOOKUP(B688,'C'!A1:C211,3,FALSE)</f>
        <v>181</v>
      </c>
      <c r="F688" s="35" t="str">
        <f>VLOOKUP(B688,'Player Data'!A1:B734,2,FALSE)</f>
        <v>UFA</v>
      </c>
      <c r="G688" s="9">
        <f>VLOOKUP(B688,'Player Data'!A1:D734,3,FALSE)</f>
        <v>29</v>
      </c>
      <c r="H688" s="36">
        <f>IFERROR(VLOOKUP(B688,ADP!A1:G728,7,FALSE)/1000000,VLOOKUP(B688,ADP!A1:G728,7,FALSE))</f>
        <v>1.484</v>
      </c>
      <c r="I688" s="37">
        <f>IF(Settings!$E$15="POINTS",((R688*Q688)*Settings!$B$12)+(S688*Settings!$B$2)+(T688*Settings!$B$3)+(U688*Settings!$B$4)+(V688*Settings!$B$5)+(X688*Settings!$B$9)+(AA688*Settings!$B$6)+(W688*Settings!$B$8)+(AB688*Settings!$B$7)+(AC688*Settings!$B$14)+(AD688*Settings!$B$15)+(AE688*Settings!$B$16)+(AF688*Settings!$B$17)+(AG688*Settings!$B$18)+(Y688*Settings!$B$10)+(Z688*Settings!$B$11),VLOOKUP(B688,'Standard Deviations'!A1:C728,3,FALSE))</f>
        <v>94.290214014685063</v>
      </c>
      <c r="J688" s="38">
        <f>IF(D688="G",I688/AJ688,I688/Q688)</f>
        <v>1.212825008917138</v>
      </c>
      <c r="K688" s="37">
        <f>IF(Settings!$E$18="C/LW/RW",VLOOKUP(B688,'C'!A1:F211,6,FALSE),VLOOKUP(B688,F!A1:F430,6,FALSE))</f>
        <v>-299.03859175152456</v>
      </c>
      <c r="L688" s="37">
        <f>IFERROR(K688/H688,"N/A")</f>
        <v>-201.50848500776587</v>
      </c>
      <c r="M688" s="53" t="str">
        <f>IF(Settings!$E$9="YAHOO",VLOOKUP(B688,ADP!A1:E728,2,FALSE),IF(Settings!$E$9="ESPN",VLOOKUP(B688,ADP!A1:E728,3,FALSE),IF(Settings!$E$9="FANTRAX",VLOOKUP(B688,ADP!A1:E728,4,FALSE),VLOOKUP(B688,ADP!A1:E728,5,FALSE))))</f>
        <v>-</v>
      </c>
      <c r="N688" s="53" t="str">
        <f>IFERROR(M688-A688,"N/A")</f>
        <v>N/A</v>
      </c>
      <c r="O688" s="39"/>
      <c r="P688" s="40" t="str">
        <f>IF(Settings!$E$27="ON",VLOOKUP(B688,ADP!A1:H728,8,FALSE)," ")</f>
        <v xml:space="preserve"> </v>
      </c>
      <c r="Q688" s="41">
        <f>IF(Settings!$E$12="YES",VLOOKUP(B688,'Player Data'!A1:E734,5,FALSE),82)</f>
        <v>77.744285714285695</v>
      </c>
      <c r="R688" s="39">
        <f>VLOOKUP(B688,'Player Data'!$A1:$AE734,6,FALSE)</f>
        <v>10.085870754751401</v>
      </c>
      <c r="S688" s="41">
        <f>VLOOKUP(B688,'Player Data'!$A1:$AE734,7,FALSE)*$Q688*IFERROR((VLOOKUP(P688,Settings!$E$28:$F$33,2,FALSE)+1),1)</f>
        <v>7.850501252880858</v>
      </c>
      <c r="T688" s="41">
        <f>VLOOKUP(B688,'Player Data'!$A1:$AE734,8,FALSE)*$Q688*IFERROR((VLOOKUP(P688,Settings!$E$28:$F$33,2,FALSE)+1),1)</f>
        <v>6.9643927838077975</v>
      </c>
      <c r="U688" s="41">
        <f>SUM(S688:T688)</f>
        <v>14.814894036688656</v>
      </c>
      <c r="V688" s="41">
        <f>VLOOKUP(B688,'Player Data'!$A1:$AE734,10,FALSE)*$Q688*IFERROR(((VLOOKUP(P688,Settings!$E$28:$F$33,2,FALSE)/2)+1),1)</f>
        <v>84.741403500225786</v>
      </c>
      <c r="W688" s="41">
        <f>VLOOKUP(B688,'Player Data'!$A1:$AE734,11,FALSE)*$Q688*IFERROR((VLOOKUP(P688,Settings!$E$28:$F$33,2,FALSE)+1),1)</f>
        <v>4.3943695024321425E-2</v>
      </c>
      <c r="X688" s="41">
        <f>VLOOKUP(B688,'Player Data'!$A1:$AE734,12,FALSE)*$Q688*IFERROR((VLOOKUP(P688,Settings!$E$28:$F$33,2,FALSE)+1),1)</f>
        <v>0.11166475032715935</v>
      </c>
      <c r="Y688" s="41">
        <f>VLOOKUP(B688,'Player Data'!$A1:$AE734,13,FALSE)*$Q688</f>
        <v>0</v>
      </c>
      <c r="Z688" s="41">
        <f>VLOOKUP(B688,'Player Data'!$A1:$AE734,14,FALSE)*$Q688</f>
        <v>0</v>
      </c>
      <c r="AA688" s="41">
        <f>VLOOKUP(B688,'Player Data'!$A1:$AE734,15,FALSE)*$Q688</f>
        <v>36.257503269259459</v>
      </c>
      <c r="AB688" s="41">
        <f>VLOOKUP(B688,'Player Data'!$A1:$AE734,16,FALSE)*$Q688</f>
        <v>166.94676506294877</v>
      </c>
      <c r="AC688" s="41">
        <f>VLOOKUP(B688,'Player Data'!$A1:$AE734,17,FALSE)*$Q688*IFERROR((VLOOKUP(P688,Settings!$E$28:$F$33,2,FALSE)+1),1)</f>
        <v>-0.39169821941060584</v>
      </c>
      <c r="AD688" s="41">
        <f>VLOOKUP(B688,'Player Data'!$A1:$AE734,18,FALSE)*$Q688</f>
        <v>21.939027282119223</v>
      </c>
      <c r="AE688" s="41">
        <f>VLOOKUP(B688,'Player Data'!$A1:$AE734,19,FALSE)*$Q688*IFERROR((VLOOKUP(P688,Settings!$E$28:$F$33,2,FALSE)+1),1)</f>
        <v>0</v>
      </c>
      <c r="AF688" s="41">
        <f>VLOOKUP(B688,'Player Data'!$A1:$AE734,20,FALSE)*$Q688</f>
        <v>6.2452688362188242</v>
      </c>
      <c r="AG688" s="41">
        <f>VLOOKUP(B688,'Player Data'!$A1:$AE734,21,FALSE)*$Q688</f>
        <v>6.8138025314830735</v>
      </c>
      <c r="AH688" s="42">
        <f>VLOOKUP(B688,'Player Data'!$A1:$AE734,22,FALSE)</f>
        <v>0.478232231096065</v>
      </c>
      <c r="AI688" s="39"/>
      <c r="AJ688" s="43"/>
      <c r="AK688" s="41"/>
      <c r="AL688" s="41"/>
      <c r="AM688" s="41"/>
      <c r="AN688" s="41"/>
      <c r="AO688" s="41"/>
      <c r="AP688" s="41"/>
      <c r="AQ688" s="44"/>
      <c r="AR688" s="45"/>
      <c r="AS688" s="39"/>
    </row>
    <row r="689" spans="1:45" ht="21.25" customHeight="1" x14ac:dyDescent="0.15">
      <c r="A689" s="31">
        <f>RANK(K689,K$2:K$727)</f>
        <v>688</v>
      </c>
      <c r="B689" s="8" t="s">
        <v>793</v>
      </c>
      <c r="C689" s="32" t="s">
        <v>106</v>
      </c>
      <c r="D689" s="33" t="str">
        <f>VLOOKUP(B689,'Player Data'!A1:D734,4,FALSE)</f>
        <v>G</v>
      </c>
      <c r="E689" s="50">
        <f>VLOOKUP(B689,G!A1:D75,3,FALSE)</f>
        <v>66</v>
      </c>
      <c r="F689" s="35" t="str">
        <f>VLOOKUP(B689,'Player Data'!A1:B734,2,FALSE)</f>
        <v>CGY</v>
      </c>
      <c r="G689" s="9">
        <f>VLOOKUP(B689,'Player Data'!A1:D734,3,FALSE)</f>
        <v>26</v>
      </c>
      <c r="H689" s="36">
        <f>IFERROR(VLOOKUP(B689,ADP!A1:G728,7,FALSE)/1000000,VLOOKUP(B689,ADP!A1:G728,7,FALSE))</f>
        <v>0</v>
      </c>
      <c r="I689" s="37">
        <f>IF(Settings!$E$15="POINTS",(AJ689*Settings!$B$29)+(AK689*Settings!$B$21)+(AL689*Settings!$B$22)+(AN689*Settings!$B$24)+(AO689*Settings!$B$25)+(AP689*Settings!$B$27)+(AM689*Settings!$B$23),VLOOKUP(B689,'Standard Deviations'!A1:C728,3,FALSE))</f>
        <v>99.643522809495806</v>
      </c>
      <c r="J689" s="38">
        <f>IF(D689="G",I689/AJ689,I689/Q689)</f>
        <v>6.2277201755934879</v>
      </c>
      <c r="K689" s="37">
        <f>VLOOKUP(B689,G!A1:F75,6,FALSE)</f>
        <v>-299.13213927982042</v>
      </c>
      <c r="L689" s="52" t="str">
        <f>IFERROR(K689/H689,"N/A")</f>
        <v>N/A</v>
      </c>
      <c r="M689" s="53" t="str">
        <f>IF(Settings!$E$9="YAHOO",VLOOKUP(B689,ADP!A1:E728,2,FALSE),IF(Settings!$E$9="ESPN",VLOOKUP(B689,ADP!A1:E728,3,FALSE),IF(Settings!$E$9="FANTRAX",VLOOKUP(B689,ADP!A1:E728,4,FALSE),VLOOKUP(B689,ADP!A1:E728,5,FALSE))))</f>
        <v>-</v>
      </c>
      <c r="N689" s="53" t="str">
        <f>IFERROR(M689-A689,"N/A")</f>
        <v>N/A</v>
      </c>
      <c r="O689" s="39"/>
      <c r="P689" s="40" t="str">
        <f>IF(Settings!$E$27="ON",VLOOKUP(B689,ADP!A1:H728,8,FALSE)," ")</f>
        <v xml:space="preserve"> </v>
      </c>
      <c r="Q689" s="41"/>
      <c r="R689" s="5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2"/>
      <c r="AI689" s="39"/>
      <c r="AJ689" s="43">
        <f>VLOOKUP(B689,'Player Data'!$A1:$AE734,24,FALSE)</f>
        <v>16</v>
      </c>
      <c r="AK689" s="41">
        <f>VLOOKUP(B689,'Player Data'!$A1:$AE734,25,FALSE)*$AJ689*IFERROR((VLOOKUP(P689,Settings!$E$28:$F$33,2,FALSE)+1),1)</f>
        <v>8.1243476724206563</v>
      </c>
      <c r="AL689" s="41">
        <f>AJ689-AK689-AM689</f>
        <v>5.8756523275793437</v>
      </c>
      <c r="AM689" s="41">
        <f>VLOOKUP(B689,'Player Data'!$A1:$AE734,27,FALSE)*$AJ689</f>
        <v>2</v>
      </c>
      <c r="AN689" s="41">
        <f>VLOOKUP(B689,'Player Data'!$A1:$AE734,28,FALSE)*AJ689</f>
        <v>0.75652147027668482</v>
      </c>
      <c r="AO689" s="41">
        <f>VLOOKUP(B689,'Player Data'!$A1:$AE734,29,FALSE)*$AJ689*IFERROR((VLOOKUP(P689,Settings!$E$28:$F$33,2,FALSE)/4)+1,1)</f>
        <v>428.37444410047999</v>
      </c>
      <c r="AP689" s="41">
        <f>VLOOKUP(B689,'Player Data'!$A1:$AE734,31,FALSE)*$AJ689*(IFERROR(1-(VLOOKUP(P689,Settings!$E$28:$F$33,2,FALSE)/4),1))</f>
        <v>46.809928399519841</v>
      </c>
      <c r="AQ689" s="44">
        <f>1-(AP689/(AO689+AP689))</f>
        <v>0.90149101883707283</v>
      </c>
      <c r="AR689" s="45">
        <f>AP689/AJ689</f>
        <v>2.92562052496999</v>
      </c>
      <c r="AS689" s="39"/>
    </row>
    <row r="690" spans="1:45" ht="21.25" customHeight="1" x14ac:dyDescent="0.15">
      <c r="A690" s="31">
        <f>RANK(K690,K$2:K$727)</f>
        <v>689</v>
      </c>
      <c r="B690" s="8" t="s">
        <v>794</v>
      </c>
      <c r="C690" s="32" t="s">
        <v>106</v>
      </c>
      <c r="D690" s="33" t="str">
        <f>VLOOKUP(B690,'Player Data'!A1:D734,4,FALSE)</f>
        <v>C</v>
      </c>
      <c r="E690" s="34">
        <f>VLOOKUP(B690,'C'!A1:C211,3,FALSE)</f>
        <v>182</v>
      </c>
      <c r="F690" s="35" t="str">
        <f>VLOOKUP(B690,'Player Data'!A1:B734,2,FALSE)</f>
        <v>VAN</v>
      </c>
      <c r="G690" s="9">
        <f>VLOOKUP(B690,'Player Data'!A1:D734,3,FALSE)</f>
        <v>29</v>
      </c>
      <c r="H690" s="36">
        <f>IFERROR(VLOOKUP(B690,ADP!A1:G728,7,FALSE)/1000000,VLOOKUP(B690,ADP!A1:G728,7,FALSE))</f>
        <v>0.76249999999999996</v>
      </c>
      <c r="I690" s="37">
        <f>IF(Settings!$E$15="POINTS",((R690*Q690)*Settings!$B$12)+(S690*Settings!$B$2)+(T690*Settings!$B$3)+(U690*Settings!$B$4)+(V690*Settings!$B$5)+(X690*Settings!$B$9)+(AA690*Settings!$B$6)+(W690*Settings!$B$8)+(AB690*Settings!$B$7)+(AC690*Settings!$B$14)+(AD690*Settings!$B$15)+(AE690*Settings!$B$16)+(AF690*Settings!$B$17)+(AG690*Settings!$B$18)+(Y690*Settings!$B$10)+(Z690*Settings!$B$11),VLOOKUP(B690,'Standard Deviations'!A1:C728,3,FALSE))</f>
        <v>93.744245868429232</v>
      </c>
      <c r="J690" s="38">
        <f>IF(D690="G",I690/AJ690,I690/Q690)</f>
        <v>1.5334152476492142</v>
      </c>
      <c r="K690" s="37">
        <f>IF(Settings!$E$18="C/LW/RW",VLOOKUP(B690,'C'!A1:F211,6,FALSE),VLOOKUP(B690,F!A1:F430,6,FALSE))</f>
        <v>-299.58455989778042</v>
      </c>
      <c r="L690" s="37">
        <f>IFERROR(K690/H690,"N/A")</f>
        <v>-392.89778347249893</v>
      </c>
      <c r="M690" s="53" t="str">
        <f>IF(Settings!$E$9="YAHOO",VLOOKUP(B690,ADP!A1:E728,2,FALSE),IF(Settings!$E$9="ESPN",VLOOKUP(B690,ADP!A1:E728,3,FALSE),IF(Settings!$E$9="FANTRAX",VLOOKUP(B690,ADP!A1:E728,4,FALSE),VLOOKUP(B690,ADP!A1:E728,5,FALSE))))</f>
        <v>-</v>
      </c>
      <c r="N690" s="53" t="str">
        <f>IFERROR(M690-A690,"N/A")</f>
        <v>N/A</v>
      </c>
      <c r="O690" s="39"/>
      <c r="P690" s="40" t="str">
        <f>IF(Settings!$E$27="ON",VLOOKUP(B690,ADP!A1:H728,8,FALSE)," ")</f>
        <v xml:space="preserve"> </v>
      </c>
      <c r="Q690" s="41">
        <f>IF(Settings!$E$12="YES",VLOOKUP(B690,'Player Data'!A1:E734,5,FALSE),82)</f>
        <v>61.134285714285703</v>
      </c>
      <c r="R690" s="39">
        <f>VLOOKUP(B690,'Player Data'!$A1:$AE734,6,FALSE)</f>
        <v>10.7086024399318</v>
      </c>
      <c r="S690" s="41">
        <f>VLOOKUP(B690,'Player Data'!$A1:$AE734,7,FALSE)*$Q690*IFERROR((VLOOKUP(P690,Settings!$E$28:$F$33,2,FALSE)+1),1)</f>
        <v>7.346727432873978</v>
      </c>
      <c r="T690" s="41">
        <f>VLOOKUP(B690,'Player Data'!$A1:$AE734,8,FALSE)*$Q690*IFERROR((VLOOKUP(P690,Settings!$E$28:$F$33,2,FALSE)+1),1)</f>
        <v>6.2390450825659398</v>
      </c>
      <c r="U690" s="41">
        <f>SUM(S690:T690)</f>
        <v>13.585772515439917</v>
      </c>
      <c r="V690" s="41">
        <f>VLOOKUP(B690,'Player Data'!$A1:$AE734,10,FALSE)*$Q690*IFERROR(((VLOOKUP(P690,Settings!$E$28:$F$33,2,FALSE)/2)+1),1)</f>
        <v>81.428036467820192</v>
      </c>
      <c r="W690" s="41">
        <f>VLOOKUP(B690,'Player Data'!$A1:$AE734,11,FALSE)*$Q690*IFERROR((VLOOKUP(P690,Settings!$E$28:$F$33,2,FALSE)+1),1)</f>
        <v>1.6203783442919388</v>
      </c>
      <c r="X690" s="41">
        <f>VLOOKUP(B690,'Player Data'!$A1:$AE734,12,FALSE)*$Q690*IFERROR((VLOOKUP(P690,Settings!$E$28:$F$33,2,FALSE)+1),1)</f>
        <v>2.3664164520230067</v>
      </c>
      <c r="Y690" s="41">
        <f>VLOOKUP(B690,'Player Data'!$A1:$AE734,13,FALSE)*$Q690</f>
        <v>0.31023395753152067</v>
      </c>
      <c r="Z690" s="41">
        <f>VLOOKUP(B690,'Player Data'!$A1:$AE734,14,FALSE)*$Q690</f>
        <v>0.35808245630510915</v>
      </c>
      <c r="AA690" s="41">
        <f>VLOOKUP(B690,'Player Data'!$A1:$AE734,15,FALSE)*$Q690</f>
        <v>34.11956135771576</v>
      </c>
      <c r="AB690" s="41">
        <f>VLOOKUP(B690,'Player Data'!$A1:$AE734,16,FALSE)*$Q690</f>
        <v>81.105540999826786</v>
      </c>
      <c r="AC690" s="41">
        <f>VLOOKUP(B690,'Player Data'!$A1:$AE734,17,FALSE)*$Q690*IFERROR((VLOOKUP(P690,Settings!$E$28:$F$33,2,FALSE)+1),1)</f>
        <v>-0.30266414045274309</v>
      </c>
      <c r="AD690" s="41">
        <f>VLOOKUP(B690,'Player Data'!$A1:$AE734,18,FALSE)*$Q690</f>
        <v>21.553500891566049</v>
      </c>
      <c r="AE690" s="41">
        <f>VLOOKUP(B690,'Player Data'!$A1:$AE734,19,FALSE)*$Q690*IFERROR((VLOOKUP(P690,Settings!$E$28:$F$33,2,FALSE)+1),1)</f>
        <v>1.0400001563582866</v>
      </c>
      <c r="AF690" s="41">
        <f>VLOOKUP(B690,'Player Data'!$A1:$AE734,20,FALSE)*$Q690</f>
        <v>194.73960159843182</v>
      </c>
      <c r="AG690" s="41">
        <f>VLOOKUP(B690,'Player Data'!$A1:$AE734,21,FALSE)*$Q690</f>
        <v>217.80985608438178</v>
      </c>
      <c r="AH690" s="42">
        <f>VLOOKUP(B690,'Player Data'!$A1:$AE734,22,FALSE)</f>
        <v>0.47203940757124102</v>
      </c>
      <c r="AI690" s="39"/>
      <c r="AJ690" s="43"/>
      <c r="AK690" s="41"/>
      <c r="AL690" s="41"/>
      <c r="AM690" s="41"/>
      <c r="AN690" s="41"/>
      <c r="AO690" s="41"/>
      <c r="AP690" s="41"/>
      <c r="AQ690" s="44"/>
      <c r="AR690" s="45"/>
      <c r="AS690" s="39"/>
    </row>
    <row r="691" spans="1:45" ht="21.25" customHeight="1" x14ac:dyDescent="0.15">
      <c r="A691" s="31">
        <f>RANK(K691,K$2:K$727)</f>
        <v>690</v>
      </c>
      <c r="B691" s="8" t="s">
        <v>795</v>
      </c>
      <c r="C691" s="32" t="s">
        <v>106</v>
      </c>
      <c r="D691" s="33" t="str">
        <f>VLOOKUP(B691,'Player Data'!A1:D734,4,FALSE)</f>
        <v>LW</v>
      </c>
      <c r="E691" s="47">
        <f>VLOOKUP(B691,LW!A1:C130,3,FALSE)</f>
        <v>125</v>
      </c>
      <c r="F691" s="35" t="str">
        <f>VLOOKUP(B691,'Player Data'!A1:B734,2,FALSE)</f>
        <v>COL</v>
      </c>
      <c r="G691" s="9">
        <f>VLOOKUP(B691,'Player Data'!A1:D734,3,FALSE)</f>
        <v>27</v>
      </c>
      <c r="H691" s="36">
        <f>IFERROR(VLOOKUP(B691,ADP!A1:G728,7,FALSE)/1000000,VLOOKUP(B691,ADP!A1:G728,7,FALSE))</f>
        <v>0.79400000000000004</v>
      </c>
      <c r="I691" s="37">
        <f>IF(Settings!$E$15="POINTS",((R691*Q691)*Settings!$B$12)+(S691*Settings!$B$2)+(T691*Settings!$B$3)+(U691*Settings!$B$4)+(V691*Settings!$B$5)+(X691*Settings!$B$9)+(AA691*Settings!$B$6)+(W691*Settings!$B$8)+(AB691*Settings!$B$7)+(AC691*Settings!$B$14)+(AD691*Settings!$B$15)+(AE691*Settings!$B$16)+(AF691*Settings!$B$17)+(AG691*Settings!$B$18)+(Y691*Settings!$B$10)+(Z691*Settings!$B$11),VLOOKUP(B691,'Standard Deviations'!A1:C728,3,FALSE))</f>
        <v>64.081858180406456</v>
      </c>
      <c r="J691" s="38">
        <f>IF(D691="G",I691/AJ691,I691/Q691)</f>
        <v>1.2097764428998765</v>
      </c>
      <c r="K691" s="37">
        <f>IF(Settings!$E$18="C/LW/RW",VLOOKUP(B691,LW!A1:F130,6,FALSE),VLOOKUP(B691,F!A1:F430,6,FALSE))</f>
        <v>-299.95874667724399</v>
      </c>
      <c r="L691" s="37">
        <f>IFERROR(K691/H691,"N/A")</f>
        <v>-377.78179682272543</v>
      </c>
      <c r="M691" s="53" t="str">
        <f>IF(Settings!$E$9="YAHOO",VLOOKUP(B691,ADP!A1:E728,2,FALSE),IF(Settings!$E$9="ESPN",VLOOKUP(B691,ADP!A1:E728,3,FALSE),IF(Settings!$E$9="FANTRAX",VLOOKUP(B691,ADP!A1:E728,4,FALSE),VLOOKUP(B691,ADP!A1:E728,5,FALSE))))</f>
        <v>-</v>
      </c>
      <c r="N691" s="53" t="str">
        <f>IFERROR(M691-A691,"N/A")</f>
        <v>N/A</v>
      </c>
      <c r="O691" s="39"/>
      <c r="P691" s="40" t="str">
        <f>IF(Settings!$E$27="ON",VLOOKUP(B691,ADP!A1:H728,8,FALSE)," ")</f>
        <v xml:space="preserve"> </v>
      </c>
      <c r="Q691" s="41">
        <f>IF(Settings!$E$12="YES",VLOOKUP(B691,'Player Data'!A1:E734,5,FALSE),82)</f>
        <v>52.97</v>
      </c>
      <c r="R691" s="39">
        <f>VLOOKUP(B691,'Player Data'!$A1:$AE734,6,FALSE)</f>
        <v>10.207489294185599</v>
      </c>
      <c r="S691" s="41">
        <f>VLOOKUP(B691,'Player Data'!$A1:$AE734,7,FALSE)*$Q691*IFERROR((VLOOKUP(P691,Settings!$E$28:$F$33,2,FALSE)+1),1)</f>
        <v>3.6077770153943205</v>
      </c>
      <c r="T691" s="41">
        <f>VLOOKUP(B691,'Player Data'!$A1:$AE734,8,FALSE)*$Q691*IFERROR((VLOOKUP(P691,Settings!$E$28:$F$33,2,FALSE)+1),1)</f>
        <v>6.2234063202781256</v>
      </c>
      <c r="U691" s="41">
        <f>SUM(S691:T691)</f>
        <v>9.8311833356724456</v>
      </c>
      <c r="V691" s="41">
        <f>VLOOKUP(B691,'Player Data'!$A1:$AE734,10,FALSE)*$Q691*IFERROR(((VLOOKUP(P691,Settings!$E$28:$F$33,2,FALSE)/2)+1),1)</f>
        <v>61.819010534137107</v>
      </c>
      <c r="W691" s="41">
        <f>VLOOKUP(B691,'Player Data'!$A1:$AE734,11,FALSE)*$Q691*IFERROR((VLOOKUP(P691,Settings!$E$28:$F$33,2,FALSE)+1),1)</f>
        <v>3.2948616275438769E-2</v>
      </c>
      <c r="X691" s="41">
        <f>VLOOKUP(B691,'Player Data'!$A1:$AE734,12,FALSE)*$Q691*IFERROR((VLOOKUP(P691,Settings!$E$28:$F$33,2,FALSE)+1),1)</f>
        <v>8.4628142181844043E-2</v>
      </c>
      <c r="Y691" s="41">
        <f>VLOOKUP(B691,'Player Data'!$A1:$AE734,13,FALSE)*$Q691</f>
        <v>0</v>
      </c>
      <c r="Z691" s="41">
        <f>VLOOKUP(B691,'Player Data'!$A1:$AE734,14,FALSE)*$Q691</f>
        <v>0</v>
      </c>
      <c r="AA691" s="41">
        <f>VLOOKUP(B691,'Player Data'!$A1:$AE734,15,FALSE)*$Q691</f>
        <v>17.547733109784406</v>
      </c>
      <c r="AB691" s="41">
        <f>VLOOKUP(B691,'Player Data'!$A1:$AE734,16,FALSE)*$Q691</f>
        <v>69.140232255304596</v>
      </c>
      <c r="AC691" s="41">
        <f>VLOOKUP(B691,'Player Data'!$A1:$AE734,17,FALSE)*$Q691*IFERROR((VLOOKUP(P691,Settings!$E$28:$F$33,2,FALSE)+1),1)</f>
        <v>2.6024267178908524</v>
      </c>
      <c r="AD691" s="41">
        <f>VLOOKUP(B691,'Player Data'!$A1:$AE734,18,FALSE)*$Q691</f>
        <v>10.304559303584847</v>
      </c>
      <c r="AE691" s="41">
        <f>VLOOKUP(B691,'Player Data'!$A1:$AE734,19,FALSE)*$Q691*IFERROR((VLOOKUP(P691,Settings!$E$28:$F$33,2,FALSE)+1),1)</f>
        <v>0.57080468127323569</v>
      </c>
      <c r="AF691" s="41">
        <f>VLOOKUP(B691,'Player Data'!$A1:$AE734,20,FALSE)*$Q691</f>
        <v>5.6765428652284591</v>
      </c>
      <c r="AG691" s="41">
        <f>VLOOKUP(B691,'Player Data'!$A1:$AE734,21,FALSE)*$Q691</f>
        <v>9.4609047753807491</v>
      </c>
      <c r="AH691" s="42">
        <f>VLOOKUP(B691,'Player Data'!$A1:$AE734,22,FALSE)</f>
        <v>0.375</v>
      </c>
      <c r="AI691" s="39"/>
      <c r="AJ691" s="43"/>
      <c r="AK691" s="41"/>
      <c r="AL691" s="41"/>
      <c r="AM691" s="41"/>
      <c r="AN691" s="41"/>
      <c r="AO691" s="41"/>
      <c r="AP691" s="41"/>
      <c r="AQ691" s="44"/>
      <c r="AR691" s="45"/>
      <c r="AS691" s="39"/>
    </row>
    <row r="692" spans="1:45" ht="21.25" customHeight="1" x14ac:dyDescent="0.15">
      <c r="A692" s="31">
        <f>RANK(K692,K$2:K$727)</f>
        <v>691</v>
      </c>
      <c r="B692" s="8" t="s">
        <v>796</v>
      </c>
      <c r="C692" s="32" t="s">
        <v>106</v>
      </c>
      <c r="D692" s="33" t="str">
        <f>VLOOKUP(B692,'Player Data'!A1:D734,4,FALSE)</f>
        <v>C,LW</v>
      </c>
      <c r="E692" s="48">
        <f>VLOOKUP(B692,LW!A1:C130,3,FALSE)</f>
        <v>126</v>
      </c>
      <c r="F692" s="35" t="str">
        <f>VLOOKUP(B692,'Player Data'!A1:B734,2,FALSE)</f>
        <v>CGY</v>
      </c>
      <c r="G692" s="9">
        <f>VLOOKUP(B692,'Player Data'!A1:D734,3,FALSE)</f>
        <v>30</v>
      </c>
      <c r="H692" s="36">
        <f>IFERROR(VLOOKUP(B692,ADP!A1:G728,7,FALSE)/1000000,VLOOKUP(B692,ADP!A1:G728,7,FALSE))</f>
        <v>1.3</v>
      </c>
      <c r="I692" s="37">
        <f>IF(Settings!$E$15="POINTS",((R692*Q692)*Settings!$B$12)+(S692*Settings!$B$2)+(T692*Settings!$B$3)+(U692*Settings!$B$4)+(V692*Settings!$B$5)+(X692*Settings!$B$9)+(AA692*Settings!$B$6)+(W692*Settings!$B$8)+(AB692*Settings!$B$7)+(AC692*Settings!$B$14)+(AD692*Settings!$B$15)+(AE692*Settings!$B$16)+(AF692*Settings!$B$17)+(AG692*Settings!$B$18)+(Y692*Settings!$B$10)+(Z692*Settings!$B$11),VLOOKUP(B692,'Standard Deviations'!A1:C728,3,FALSE))</f>
        <v>63.505571470031263</v>
      </c>
      <c r="J692" s="38">
        <f>IF(D692="G",I692/AJ692,I692/Q692)</f>
        <v>0.94344896439873627</v>
      </c>
      <c r="K692" s="37">
        <f>IF(Settings!$E$18="C/LW/RW",VLOOKUP(B692,LW!A1:F130,6,FALSE),VLOOKUP(B692,F!A1:F430,6,FALSE))</f>
        <v>-300.53503338761919</v>
      </c>
      <c r="L692" s="37">
        <f>IFERROR(K692/H692,"N/A")</f>
        <v>-231.18079491355323</v>
      </c>
      <c r="M692" s="53" t="str">
        <f>IF(Settings!$E$9="YAHOO",VLOOKUP(B692,ADP!A1:E728,2,FALSE),IF(Settings!$E$9="ESPN",VLOOKUP(B692,ADP!A1:E728,3,FALSE),IF(Settings!$E$9="FANTRAX",VLOOKUP(B692,ADP!A1:E728,4,FALSE),VLOOKUP(B692,ADP!A1:E728,5,FALSE))))</f>
        <v>-</v>
      </c>
      <c r="N692" s="53" t="str">
        <f>IFERROR(M692-A692,"N/A")</f>
        <v>N/A</v>
      </c>
      <c r="O692" s="39"/>
      <c r="P692" s="40" t="str">
        <f>IF(Settings!$E$27="ON",VLOOKUP(B692,ADP!A1:H728,8,FALSE)," ")</f>
        <v xml:space="preserve"> </v>
      </c>
      <c r="Q692" s="41">
        <f>IF(Settings!$E$12="YES",VLOOKUP(B692,'Player Data'!A1:E734,5,FALSE),82)</f>
        <v>67.312142857142902</v>
      </c>
      <c r="R692" s="39">
        <f>VLOOKUP(B692,'Player Data'!$A1:$AE734,6,FALSE)</f>
        <v>8.7664395912549296</v>
      </c>
      <c r="S692" s="41">
        <f>VLOOKUP(B692,'Player Data'!$A1:$AE734,7,FALSE)*$Q692*IFERROR((VLOOKUP(P692,Settings!$E$28:$F$33,2,FALSE)+1),1)</f>
        <v>4.4726958793859701</v>
      </c>
      <c r="T692" s="41">
        <f>VLOOKUP(B692,'Player Data'!$A1:$AE734,8,FALSE)*$Q692*IFERROR((VLOOKUP(P692,Settings!$E$28:$F$33,2,FALSE)+1),1)</f>
        <v>5.3700319623282056</v>
      </c>
      <c r="U692" s="41">
        <f>SUM(S692:T692)</f>
        <v>9.8427278417141757</v>
      </c>
      <c r="V692" s="41">
        <f>VLOOKUP(B692,'Player Data'!$A1:$AE734,10,FALSE)*$Q692*IFERROR(((VLOOKUP(P692,Settings!$E$28:$F$33,2,FALSE)/2)+1),1)</f>
        <v>55.708549284772936</v>
      </c>
      <c r="W692" s="41">
        <f>VLOOKUP(B692,'Player Data'!$A1:$AE734,11,FALSE)*$Q692*IFERROR((VLOOKUP(P692,Settings!$E$28:$F$33,2,FALSE)+1),1)</f>
        <v>4.7859667659031047E-2</v>
      </c>
      <c r="X692" s="41">
        <f>VLOOKUP(B692,'Player Data'!$A1:$AE734,12,FALSE)*$Q692*IFERROR((VLOOKUP(P692,Settings!$E$28:$F$33,2,FALSE)+1),1)</f>
        <v>0.12324971913681365</v>
      </c>
      <c r="Y692" s="41">
        <f>VLOOKUP(B692,'Player Data'!$A1:$AE734,13,FALSE)*$Q692</f>
        <v>4.5595652575920714E-2</v>
      </c>
      <c r="Z692" s="41">
        <f>VLOOKUP(B692,'Player Data'!$A1:$AE734,14,FALSE)*$Q692</f>
        <v>6.1238950814572923E-2</v>
      </c>
      <c r="AA692" s="41">
        <f>VLOOKUP(B692,'Player Data'!$A1:$AE734,15,FALSE)*$Q692</f>
        <v>28.770679812997471</v>
      </c>
      <c r="AB692" s="41">
        <f>VLOOKUP(B692,'Player Data'!$A1:$AE734,16,FALSE)*$Q692</f>
        <v>82.454216442917911</v>
      </c>
      <c r="AC692" s="41">
        <f>VLOOKUP(B692,'Player Data'!$A1:$AE734,17,FALSE)*$Q692*IFERROR((VLOOKUP(P692,Settings!$E$28:$F$33,2,FALSE)+1),1)</f>
        <v>0.72469797001080372</v>
      </c>
      <c r="AD692" s="41">
        <f>VLOOKUP(B692,'Player Data'!$A1:$AE734,18,FALSE)*$Q692</f>
        <v>18.632912441932131</v>
      </c>
      <c r="AE692" s="41">
        <f>VLOOKUP(B692,'Player Data'!$A1:$AE734,19,FALSE)*$Q692*IFERROR((VLOOKUP(P692,Settings!$E$28:$F$33,2,FALSE)+1),1)</f>
        <v>0.74737965449878452</v>
      </c>
      <c r="AF692" s="41">
        <f>VLOOKUP(B692,'Player Data'!$A1:$AE734,20,FALSE)*$Q692</f>
        <v>158.25130529826751</v>
      </c>
      <c r="AG692" s="41">
        <f>VLOOKUP(B692,'Player Data'!$A1:$AE734,21,FALSE)*$Q692</f>
        <v>197.31944813795624</v>
      </c>
      <c r="AH692" s="42">
        <f>VLOOKUP(B692,'Player Data'!$A1:$AE734,22,FALSE)</f>
        <v>0.44506277237070901</v>
      </c>
      <c r="AI692" s="39"/>
      <c r="AJ692" s="43"/>
      <c r="AK692" s="41"/>
      <c r="AL692" s="41"/>
      <c r="AM692" s="41"/>
      <c r="AN692" s="41"/>
      <c r="AO692" s="41"/>
      <c r="AP692" s="41"/>
      <c r="AQ692" s="44"/>
      <c r="AR692" s="45"/>
      <c r="AS692" s="39"/>
    </row>
    <row r="693" spans="1:45" ht="21.25" customHeight="1" x14ac:dyDescent="0.15">
      <c r="A693" s="31">
        <f>RANK(K693,K$2:K$727)</f>
        <v>692</v>
      </c>
      <c r="B693" s="8" t="s">
        <v>797</v>
      </c>
      <c r="C693" s="32" t="s">
        <v>106</v>
      </c>
      <c r="D693" s="33" t="str">
        <f>VLOOKUP(B693,'Player Data'!A1:D734,4,FALSE)</f>
        <v>LW</v>
      </c>
      <c r="E693" s="47">
        <f>VLOOKUP(B693,LW!A1:C130,3,FALSE)</f>
        <v>127</v>
      </c>
      <c r="F693" s="35" t="str">
        <f>VLOOKUP(B693,'Player Data'!A1:B734,2,FALSE)</f>
        <v>FLA</v>
      </c>
      <c r="G693" s="9">
        <f>VLOOKUP(B693,'Player Data'!A1:D734,3,FALSE)</f>
        <v>23</v>
      </c>
      <c r="H693" s="36">
        <f>IFERROR(VLOOKUP(B693,ADP!A1:G728,7,FALSE)/1000000,VLOOKUP(B693,ADP!A1:G728,7,FALSE))</f>
        <v>0</v>
      </c>
      <c r="I693" s="37">
        <f>IF(Settings!$E$15="POINTS",((R693*Q693)*Settings!$B$12)+(S693*Settings!$B$2)+(T693*Settings!$B$3)+(U693*Settings!$B$4)+(V693*Settings!$B$5)+(X693*Settings!$B$9)+(AA693*Settings!$B$6)+(W693*Settings!$B$8)+(AB693*Settings!$B$7)+(AC693*Settings!$B$14)+(AD693*Settings!$B$15)+(AE693*Settings!$B$16)+(AF693*Settings!$B$17)+(AG693*Settings!$B$18)+(Y693*Settings!$B$10)+(Z693*Settings!$B$11),VLOOKUP(B693,'Standard Deviations'!A1:C728,3,FALSE))</f>
        <v>63.31772953181612</v>
      </c>
      <c r="J693" s="38">
        <f>IF(D693="G",I693/AJ693,I693/Q693)</f>
        <v>1.2093344703589002</v>
      </c>
      <c r="K693" s="37">
        <f>IF(Settings!$E$18="C/LW/RW",VLOOKUP(B693,LW!A1:F130,6,FALSE),VLOOKUP(B693,F!A1:F430,6,FALSE))</f>
        <v>-300.72287532583437</v>
      </c>
      <c r="L693" s="52" t="str">
        <f>IFERROR(K693/H693,"N/A")</f>
        <v>N/A</v>
      </c>
      <c r="M693" s="53" t="str">
        <f>IF(Settings!$E$9="YAHOO",VLOOKUP(B693,ADP!A1:E728,2,FALSE),IF(Settings!$E$9="ESPN",VLOOKUP(B693,ADP!A1:E728,3,FALSE),IF(Settings!$E$9="FANTRAX",VLOOKUP(B693,ADP!A1:E728,4,FALSE),VLOOKUP(B693,ADP!A1:E728,5,FALSE))))</f>
        <v>-</v>
      </c>
      <c r="N693" s="53" t="str">
        <f>IFERROR(M693-A693,"N/A")</f>
        <v>N/A</v>
      </c>
      <c r="O693" s="39"/>
      <c r="P693" s="40" t="str">
        <f>IF(Settings!$E$27="ON",VLOOKUP(B693,ADP!A1:H728,8,FALSE)," ")</f>
        <v xml:space="preserve"> </v>
      </c>
      <c r="Q693" s="41">
        <f>IF(Settings!$E$12="YES",VLOOKUP(B693,'Player Data'!A1:E734,5,FALSE),82)</f>
        <v>52.357500000000002</v>
      </c>
      <c r="R693" s="39">
        <f>VLOOKUP(B693,'Player Data'!$A1:$AE734,6,FALSE)</f>
        <v>9.6011754183604392</v>
      </c>
      <c r="S693" s="41">
        <f>VLOOKUP(B693,'Player Data'!$A1:$AE734,7,FALSE)*$Q693*IFERROR((VLOOKUP(P693,Settings!$E$28:$F$33,2,FALSE)+1),1)</f>
        <v>3.3485709060574522</v>
      </c>
      <c r="T693" s="41">
        <f>VLOOKUP(B693,'Player Data'!$A1:$AE734,8,FALSE)*$Q693*IFERROR((VLOOKUP(P693,Settings!$E$28:$F$33,2,FALSE)+1),1)</f>
        <v>8.0819764732142687</v>
      </c>
      <c r="U693" s="41">
        <f>SUM(S693:T693)</f>
        <v>11.43054737927172</v>
      </c>
      <c r="V693" s="41">
        <f>VLOOKUP(B693,'Player Data'!$A1:$AE734,10,FALSE)*$Q693*IFERROR(((VLOOKUP(P693,Settings!$E$28:$F$33,2,FALSE)/2)+1),1)</f>
        <v>48.553473415200919</v>
      </c>
      <c r="W693" s="41">
        <f>VLOOKUP(B693,'Player Data'!$A1:$AE734,11,FALSE)*$Q693*IFERROR((VLOOKUP(P693,Settings!$E$28:$F$33,2,FALSE)+1),1)</f>
        <v>9.299404536836503E-2</v>
      </c>
      <c r="X693" s="41">
        <f>VLOOKUP(B693,'Player Data'!$A1:$AE734,12,FALSE)*$Q693*IFERROR((VLOOKUP(P693,Settings!$E$28:$F$33,2,FALSE)+1),1)</f>
        <v>0.22662695568400407</v>
      </c>
      <c r="Y693" s="41">
        <f>VLOOKUP(B693,'Player Data'!$A1:$AE734,13,FALSE)*$Q693</f>
        <v>0</v>
      </c>
      <c r="Z693" s="41">
        <f>VLOOKUP(B693,'Player Data'!$A1:$AE734,14,FALSE)*$Q693</f>
        <v>0</v>
      </c>
      <c r="AA693" s="41">
        <f>VLOOKUP(B693,'Player Data'!$A1:$AE734,15,FALSE)*$Q693</f>
        <v>21.480483875162427</v>
      </c>
      <c r="AB693" s="41">
        <f>VLOOKUP(B693,'Player Data'!$A1:$AE734,16,FALSE)*$Q693</f>
        <v>67.178068543518762</v>
      </c>
      <c r="AC693" s="41">
        <f>VLOOKUP(B693,'Player Data'!$A1:$AE734,17,FALSE)*$Q693*IFERROR((VLOOKUP(P693,Settings!$E$28:$F$33,2,FALSE)+1),1)</f>
        <v>1.045496710500446</v>
      </c>
      <c r="AD693" s="41">
        <f>VLOOKUP(B693,'Player Data'!$A1:$AE734,18,FALSE)*$Q693</f>
        <v>13.073457207521768</v>
      </c>
      <c r="AE693" s="41">
        <f>VLOOKUP(B693,'Player Data'!$A1:$AE734,19,FALSE)*$Q693*IFERROR((VLOOKUP(P693,Settings!$E$28:$F$33,2,FALSE)+1),1)</f>
        <v>0.48036013450645115</v>
      </c>
      <c r="AF693" s="41">
        <f>VLOOKUP(B693,'Player Data'!$A1:$AE734,20,FALSE)*$Q693</f>
        <v>0.10683315526594039</v>
      </c>
      <c r="AG693" s="41">
        <f>VLOOKUP(B693,'Player Data'!$A1:$AE734,21,FALSE)*$Q693</f>
        <v>0.93636799576167884</v>
      </c>
      <c r="AH693" s="42">
        <f>VLOOKUP(B693,'Player Data'!$A1:$AE734,22,FALSE)</f>
        <v>0.10240896989109299</v>
      </c>
      <c r="AI693" s="39"/>
      <c r="AJ693" s="43"/>
      <c r="AK693" s="41"/>
      <c r="AL693" s="41"/>
      <c r="AM693" s="41"/>
      <c r="AN693" s="41"/>
      <c r="AO693" s="41"/>
      <c r="AP693" s="41"/>
      <c r="AQ693" s="44"/>
      <c r="AR693" s="45"/>
      <c r="AS693" s="39"/>
    </row>
    <row r="694" spans="1:45" ht="21.25" customHeight="1" x14ac:dyDescent="0.15">
      <c r="A694" s="31">
        <f>RANK(K694,K$2:K$727)</f>
        <v>693</v>
      </c>
      <c r="B694" s="8" t="s">
        <v>798</v>
      </c>
      <c r="C694" s="32" t="s">
        <v>106</v>
      </c>
      <c r="D694" s="33" t="str">
        <f>VLOOKUP(B694,'Player Data'!A1:D734,4,FALSE)</f>
        <v>C</v>
      </c>
      <c r="E694" s="34">
        <f>VLOOKUP(B694,'C'!A1:C211,3,FALSE)</f>
        <v>183</v>
      </c>
      <c r="F694" s="35" t="str">
        <f>VLOOKUP(B694,'Player Data'!A1:B734,2,FALSE)</f>
        <v>OTT</v>
      </c>
      <c r="G694" s="9">
        <f>VLOOKUP(B694,'Player Data'!A1:D734,3,FALSE)</f>
        <v>27</v>
      </c>
      <c r="H694" s="36">
        <f>IFERROR(VLOOKUP(B694,ADP!A1:G728,7,FALSE)/1000000,VLOOKUP(B694,ADP!A1:G728,7,FALSE))</f>
        <v>0.79579999999999995</v>
      </c>
      <c r="I694" s="37">
        <f>IF(Settings!$E$15="POINTS",((R694*Q694)*Settings!$B$12)+(S694*Settings!$B$2)+(T694*Settings!$B$3)+(U694*Settings!$B$4)+(V694*Settings!$B$5)+(X694*Settings!$B$9)+(AA694*Settings!$B$6)+(W694*Settings!$B$8)+(AB694*Settings!$B$7)+(AC694*Settings!$B$14)+(AD694*Settings!$B$15)+(AE694*Settings!$B$16)+(AF694*Settings!$B$17)+(AG694*Settings!$B$18)+(Y694*Settings!$B$10)+(Z694*Settings!$B$11),VLOOKUP(B694,'Standard Deviations'!A1:C728,3,FALSE))</f>
        <v>91.268250565853322</v>
      </c>
      <c r="J694" s="38">
        <f>IF(D694="G",I694/AJ694,I694/Q694)</f>
        <v>1.5003822220261931</v>
      </c>
      <c r="K694" s="37">
        <f>IF(Settings!$E$18="C/LW/RW",VLOOKUP(B694,'C'!A1:F211,6,FALSE),VLOOKUP(B694,F!A1:F430,6,FALSE))</f>
        <v>-302.06055520035636</v>
      </c>
      <c r="L694" s="37">
        <f>IFERROR(K694/H694,"N/A")</f>
        <v>-379.56842824875145</v>
      </c>
      <c r="M694" s="53" t="str">
        <f>IF(Settings!$E$9="YAHOO",VLOOKUP(B694,ADP!A1:E728,2,FALSE),IF(Settings!$E$9="ESPN",VLOOKUP(B694,ADP!A1:E728,3,FALSE),IF(Settings!$E$9="FANTRAX",VLOOKUP(B694,ADP!A1:E728,4,FALSE),VLOOKUP(B694,ADP!A1:E728,5,FALSE))))</f>
        <v>-</v>
      </c>
      <c r="N694" s="53" t="str">
        <f>IFERROR(M694-A694,"N/A")</f>
        <v>N/A</v>
      </c>
      <c r="O694" s="39"/>
      <c r="P694" s="40" t="str">
        <f>IF(Settings!$E$27="ON",VLOOKUP(B694,ADP!A1:H728,8,FALSE)," ")</f>
        <v xml:space="preserve"> </v>
      </c>
      <c r="Q694" s="41">
        <f>IF(Settings!$E$12="YES",VLOOKUP(B694,'Player Data'!A1:E734,5,FALSE),82)</f>
        <v>60.83</v>
      </c>
      <c r="R694" s="39">
        <f>VLOOKUP(B694,'Player Data'!$A1:$AE734,6,FALSE)</f>
        <v>10.75</v>
      </c>
      <c r="S694" s="41">
        <f>VLOOKUP(B694,'Player Data'!$A1:$AE734,7,FALSE)*$Q694*IFERROR((VLOOKUP(P694,Settings!$E$28:$F$33,2,FALSE)+1),1)</f>
        <v>6.276329683318524</v>
      </c>
      <c r="T694" s="41">
        <f>VLOOKUP(B694,'Player Data'!$A1:$AE734,8,FALSE)*$Q694*IFERROR((VLOOKUP(P694,Settings!$E$28:$F$33,2,FALSE)+1),1)</f>
        <v>8.5055095650365633</v>
      </c>
      <c r="U694" s="41">
        <f>SUM(S694:T694)</f>
        <v>14.781839248355087</v>
      </c>
      <c r="V694" s="41">
        <f>VLOOKUP(B694,'Player Data'!$A1:$AE734,10,FALSE)*$Q694*IFERROR(((VLOOKUP(P694,Settings!$E$28:$F$33,2,FALSE)/2)+1),1)</f>
        <v>68.733830610970955</v>
      </c>
      <c r="W694" s="41">
        <f>VLOOKUP(B694,'Player Data'!$A1:$AE734,11,FALSE)*$Q694*IFERROR((VLOOKUP(P694,Settings!$E$28:$F$33,2,FALSE)+1),1)</f>
        <v>1.6727506052528498</v>
      </c>
      <c r="X694" s="41">
        <f>VLOOKUP(B694,'Player Data'!$A1:$AE734,12,FALSE)*$Q694*IFERROR((VLOOKUP(P694,Settings!$E$28:$F$33,2,FALSE)+1),1)</f>
        <v>3.3184700190639895</v>
      </c>
      <c r="Y694" s="41">
        <f>VLOOKUP(B694,'Player Data'!$A1:$AE734,13,FALSE)*$Q694</f>
        <v>0</v>
      </c>
      <c r="Z694" s="41">
        <f>VLOOKUP(B694,'Player Data'!$A1:$AE734,14,FALSE)*$Q694</f>
        <v>0</v>
      </c>
      <c r="AA694" s="41">
        <f>VLOOKUP(B694,'Player Data'!$A1:$AE734,15,FALSE)*$Q694</f>
        <v>29.594387385873052</v>
      </c>
      <c r="AB694" s="41">
        <f>VLOOKUP(B694,'Player Data'!$A1:$AE734,16,FALSE)*$Q694</f>
        <v>68.432333753397302</v>
      </c>
      <c r="AC694" s="41">
        <f>VLOOKUP(B694,'Player Data'!$A1:$AE734,17,FALSE)*$Q694*IFERROR((VLOOKUP(P694,Settings!$E$28:$F$33,2,FALSE)+1),1)</f>
        <v>-1.0488885664089904E-2</v>
      </c>
      <c r="AD694" s="41">
        <f>VLOOKUP(B694,'Player Data'!$A1:$AE734,18,FALSE)*$Q694</f>
        <v>14.673577852515427</v>
      </c>
      <c r="AE694" s="41">
        <f>VLOOKUP(B694,'Player Data'!$A1:$AE734,19,FALSE)*$Q694*IFERROR((VLOOKUP(P694,Settings!$E$28:$F$33,2,FALSE)+1),1)</f>
        <v>0.87178809053171469</v>
      </c>
      <c r="AF694" s="41">
        <f>VLOOKUP(B694,'Player Data'!$A1:$AE734,20,FALSE)*$Q694</f>
        <v>4.1015332895948449</v>
      </c>
      <c r="AG694" s="41">
        <f>VLOOKUP(B694,'Player Data'!$A1:$AE734,21,FALSE)*$Q694</f>
        <v>5.899221908546652</v>
      </c>
      <c r="AH694" s="42">
        <f>VLOOKUP(B694,'Player Data'!$A1:$AE734,22,FALSE)</f>
        <v>0.41012235659533602</v>
      </c>
      <c r="AI694" s="39"/>
      <c r="AJ694" s="41"/>
      <c r="AK694" s="41"/>
      <c r="AL694" s="41"/>
      <c r="AM694" s="41"/>
      <c r="AN694" s="41"/>
      <c r="AO694" s="41"/>
      <c r="AP694" s="41"/>
      <c r="AQ694" s="44"/>
      <c r="AR694" s="45"/>
      <c r="AS694" s="39"/>
    </row>
    <row r="695" spans="1:45" ht="21.25" customHeight="1" x14ac:dyDescent="0.15">
      <c r="A695" s="31">
        <f>RANK(K695,K$2:K$727)</f>
        <v>694</v>
      </c>
      <c r="B695" s="8" t="s">
        <v>799</v>
      </c>
      <c r="C695" s="32" t="s">
        <v>106</v>
      </c>
      <c r="D695" s="33" t="str">
        <f>VLOOKUP(B695,'Player Data'!A1:D734,4,FALSE)</f>
        <v>C</v>
      </c>
      <c r="E695" s="34">
        <f>VLOOKUP(B695,'C'!A1:C211,3,FALSE)</f>
        <v>184</v>
      </c>
      <c r="F695" s="35" t="str">
        <f>VLOOKUP(B695,'Player Data'!A1:B734,2,FALSE)</f>
        <v>BOS</v>
      </c>
      <c r="G695" s="9">
        <f>VLOOKUP(B695,'Player Data'!A1:D734,3,FALSE)</f>
        <v>31</v>
      </c>
      <c r="H695" s="36">
        <f>IFERROR(VLOOKUP(B695,ADP!A1:G728,7,FALSE)/1000000,VLOOKUP(B695,ADP!A1:G728,7,FALSE))</f>
        <v>0.8</v>
      </c>
      <c r="I695" s="37">
        <f>IF(Settings!$E$15="POINTS",((R695*Q695)*Settings!$B$12)+(S695*Settings!$B$2)+(T695*Settings!$B$3)+(U695*Settings!$B$4)+(V695*Settings!$B$5)+(X695*Settings!$B$9)+(AA695*Settings!$B$6)+(W695*Settings!$B$8)+(AB695*Settings!$B$7)+(AC695*Settings!$B$14)+(AD695*Settings!$B$15)+(AE695*Settings!$B$16)+(AF695*Settings!$B$17)+(AG695*Settings!$B$18)+(Y695*Settings!$B$10)+(Z695*Settings!$B$11),VLOOKUP(B695,'Standard Deviations'!A1:C728,3,FALSE))</f>
        <v>90.448259692776972</v>
      </c>
      <c r="J695" s="38">
        <f>IF(D695="G",I695/AJ695,I695/Q695)</f>
        <v>1.3816654235463508</v>
      </c>
      <c r="K695" s="37">
        <f>IF(Settings!$E$18="C/LW/RW",VLOOKUP(B695,'C'!A1:F211,6,FALSE),VLOOKUP(B695,F!A1:F430,6,FALSE))</f>
        <v>-302.8805460734327</v>
      </c>
      <c r="L695" s="37">
        <f>IFERROR(K695/H695,"N/A")</f>
        <v>-378.60068259179087</v>
      </c>
      <c r="M695" s="53" t="str">
        <f>IF(Settings!$E$9="YAHOO",VLOOKUP(B695,ADP!A1:E728,2,FALSE),IF(Settings!$E$9="ESPN",VLOOKUP(B695,ADP!A1:E728,3,FALSE),IF(Settings!$E$9="FANTRAX",VLOOKUP(B695,ADP!A1:E728,4,FALSE),VLOOKUP(B695,ADP!A1:E728,5,FALSE))))</f>
        <v>-</v>
      </c>
      <c r="N695" s="53" t="str">
        <f>IFERROR(M695-A695,"N/A")</f>
        <v>N/A</v>
      </c>
      <c r="O695" s="39"/>
      <c r="P695" s="40" t="str">
        <f>IF(Settings!$E$27="ON",VLOOKUP(B695,ADP!A1:H728,8,FALSE)," ")</f>
        <v xml:space="preserve"> </v>
      </c>
      <c r="Q695" s="41">
        <f>IF(Settings!$E$12="YES",VLOOKUP(B695,'Player Data'!A1:E734,5,FALSE),82)</f>
        <v>65.463214285714301</v>
      </c>
      <c r="R695" s="39">
        <f>VLOOKUP(B695,'Player Data'!$A1:$AE734,6,FALSE)</f>
        <v>12.319388809884501</v>
      </c>
      <c r="S695" s="41">
        <f>VLOOKUP(B695,'Player Data'!$A1:$AE734,7,FALSE)*$Q695*IFERROR((VLOOKUP(P695,Settings!$E$28:$F$33,2,FALSE)+1),1)</f>
        <v>5.2949844854201196</v>
      </c>
      <c r="T695" s="41">
        <f>VLOOKUP(B695,'Player Data'!$A1:$AE734,8,FALSE)*$Q695*IFERROR((VLOOKUP(P695,Settings!$E$28:$F$33,2,FALSE)+1),1)</f>
        <v>9.030204563405972</v>
      </c>
      <c r="U695" s="41">
        <f>SUM(S695:T695)</f>
        <v>14.325189048826092</v>
      </c>
      <c r="V695" s="41">
        <f>VLOOKUP(B695,'Player Data'!$A1:$AE734,10,FALSE)*$Q695*IFERROR(((VLOOKUP(P695,Settings!$E$28:$F$33,2,FALSE)/2)+1),1)</f>
        <v>73.99312718520774</v>
      </c>
      <c r="W695" s="41">
        <f>VLOOKUP(B695,'Player Data'!$A1:$AE734,11,FALSE)*$Q695*IFERROR((VLOOKUP(P695,Settings!$E$28:$F$33,2,FALSE)+1),1)</f>
        <v>4.5865681787074265E-2</v>
      </c>
      <c r="X695" s="41">
        <f>VLOOKUP(B695,'Player Data'!$A1:$AE734,12,FALSE)*$Q695*IFERROR((VLOOKUP(P695,Settings!$E$28:$F$33,2,FALSE)+1),1)</f>
        <v>0.12106763408287158</v>
      </c>
      <c r="Y695" s="41">
        <f>VLOOKUP(B695,'Player Data'!$A1:$AE734,13,FALSE)*$Q695</f>
        <v>0.49399685334323412</v>
      </c>
      <c r="Z695" s="41">
        <f>VLOOKUP(B695,'Player Data'!$A1:$AE734,14,FALSE)*$Q695</f>
        <v>0.59350819853592041</v>
      </c>
      <c r="AA695" s="41">
        <f>VLOOKUP(B695,'Player Data'!$A1:$AE734,15,FALSE)*$Q695</f>
        <v>45.234886442286246</v>
      </c>
      <c r="AB695" s="41">
        <f>VLOOKUP(B695,'Player Data'!$A1:$AE734,16,FALSE)*$Q695</f>
        <v>167.08749624672214</v>
      </c>
      <c r="AC695" s="41">
        <f>VLOOKUP(B695,'Player Data'!$A1:$AE734,17,FALSE)*$Q695*IFERROR((VLOOKUP(P695,Settings!$E$28:$F$33,2,FALSE)+1),1)</f>
        <v>1.4891260886373143</v>
      </c>
      <c r="AD695" s="41">
        <f>VLOOKUP(B695,'Player Data'!$A1:$AE734,18,FALSE)*$Q695</f>
        <v>27.655212707125774</v>
      </c>
      <c r="AE695" s="41">
        <f>VLOOKUP(B695,'Player Data'!$A1:$AE734,19,FALSE)*$Q695*IFERROR((VLOOKUP(P695,Settings!$E$28:$F$33,2,FALSE)+1),1)</f>
        <v>0.88892369308811636</v>
      </c>
      <c r="AF695" s="41">
        <f>VLOOKUP(B695,'Player Data'!$A1:$AE734,20,FALSE)*$Q695</f>
        <v>234.24807218182772</v>
      </c>
      <c r="AG695" s="41">
        <f>VLOOKUP(B695,'Player Data'!$A1:$AE734,21,FALSE)*$Q695</f>
        <v>190.67240717429576</v>
      </c>
      <c r="AH695" s="42">
        <f>VLOOKUP(B695,'Player Data'!$A1:$AE734,22,FALSE)</f>
        <v>0.55127508219133303</v>
      </c>
      <c r="AI695" s="39"/>
      <c r="AJ695" s="43"/>
      <c r="AK695" s="41"/>
      <c r="AL695" s="41"/>
      <c r="AM695" s="41"/>
      <c r="AN695" s="41"/>
      <c r="AO695" s="41"/>
      <c r="AP695" s="41"/>
      <c r="AQ695" s="44"/>
      <c r="AR695" s="45"/>
      <c r="AS695" s="39"/>
    </row>
    <row r="696" spans="1:45" ht="21.25" customHeight="1" x14ac:dyDescent="0.15">
      <c r="A696" s="31">
        <f>RANK(K696,K$2:K$727)</f>
        <v>695</v>
      </c>
      <c r="B696" s="8" t="s">
        <v>800</v>
      </c>
      <c r="C696" s="32" t="s">
        <v>106</v>
      </c>
      <c r="D696" s="33" t="str">
        <f>VLOOKUP(B696,'Player Data'!A1:D734,4,FALSE)</f>
        <v>C</v>
      </c>
      <c r="E696" s="34">
        <f>VLOOKUP(B696,'C'!A1:C211,3,FALSE)</f>
        <v>185</v>
      </c>
      <c r="F696" s="35" t="str">
        <f>VLOOKUP(B696,'Player Data'!A1:B734,2,FALSE)</f>
        <v>CAR</v>
      </c>
      <c r="G696" s="9">
        <f>VLOOKUP(B696,'Player Data'!A1:D734,3,FALSE)</f>
        <v>23</v>
      </c>
      <c r="H696" s="36">
        <f>IFERROR(VLOOKUP(B696,ADP!A1:G728,7,FALSE)/1000000,VLOOKUP(B696,ADP!A1:G728,7,FALSE))</f>
        <v>0.92500000000000004</v>
      </c>
      <c r="I696" s="37">
        <f>IF(Settings!$E$15="POINTS",((R696*Q696)*Settings!$B$12)+(S696*Settings!$B$2)+(T696*Settings!$B$3)+(U696*Settings!$B$4)+(V696*Settings!$B$5)+(X696*Settings!$B$9)+(AA696*Settings!$B$6)+(W696*Settings!$B$8)+(AB696*Settings!$B$7)+(AC696*Settings!$B$14)+(AD696*Settings!$B$15)+(AE696*Settings!$B$16)+(AF696*Settings!$B$17)+(AG696*Settings!$B$18)+(Y696*Settings!$B$10)+(Z696*Settings!$B$11),VLOOKUP(B696,'Standard Deviations'!A1:C728,3,FALSE))</f>
        <v>89.617887956225601</v>
      </c>
      <c r="J696" s="38">
        <f>IF(D696="G",I696/AJ696,I696/Q696)</f>
        <v>1.6288238450786185</v>
      </c>
      <c r="K696" s="37">
        <f>IF(Settings!$E$18="C/LW/RW",VLOOKUP(B696,'C'!A1:F211,6,FALSE),VLOOKUP(B696,F!A1:F430,6,FALSE))</f>
        <v>-303.71091780998404</v>
      </c>
      <c r="L696" s="37">
        <f>IFERROR(K696/H696,"N/A")</f>
        <v>-328.33612736214491</v>
      </c>
      <c r="M696" s="53" t="str">
        <f>IF(Settings!$E$9="YAHOO",VLOOKUP(B696,ADP!A1:E728,2,FALSE),IF(Settings!$E$9="ESPN",VLOOKUP(B696,ADP!A1:E728,3,FALSE),IF(Settings!$E$9="FANTRAX",VLOOKUP(B696,ADP!A1:E728,4,FALSE),VLOOKUP(B696,ADP!A1:E728,5,FALSE))))</f>
        <v>-</v>
      </c>
      <c r="N696" s="53" t="str">
        <f>IFERROR(M696-A696,"N/A")</f>
        <v>N/A</v>
      </c>
      <c r="O696" s="39"/>
      <c r="P696" s="40" t="str">
        <f>IF(Settings!$E$27="ON",VLOOKUP(B696,ADP!A1:H728,8,FALSE)," ")</f>
        <v xml:space="preserve"> </v>
      </c>
      <c r="Q696" s="41">
        <f>IF(Settings!$E$12="YES",VLOOKUP(B696,'Player Data'!A1:E734,5,FALSE),82)</f>
        <v>55.02</v>
      </c>
      <c r="R696" s="39">
        <f>VLOOKUP(B696,'Player Data'!$A1:$AE734,6,FALSE)</f>
        <v>10.370621475443301</v>
      </c>
      <c r="S696" s="41">
        <f>VLOOKUP(B696,'Player Data'!$A1:$AE734,7,FALSE)*$Q696*IFERROR((VLOOKUP(P696,Settings!$E$28:$F$33,2,FALSE)+1),1)</f>
        <v>5.6039702678482692</v>
      </c>
      <c r="T696" s="41">
        <f>VLOOKUP(B696,'Player Data'!$A1:$AE734,8,FALSE)*$Q696*IFERROR((VLOOKUP(P696,Settings!$E$28:$F$33,2,FALSE)+1),1)</f>
        <v>7.9063785908067379</v>
      </c>
      <c r="U696" s="41">
        <f>SUM(S696:T696)</f>
        <v>13.510348858655007</v>
      </c>
      <c r="V696" s="41">
        <f>VLOOKUP(B696,'Player Data'!$A1:$AE734,10,FALSE)*$Q696*IFERROR(((VLOOKUP(P696,Settings!$E$28:$F$33,2,FALSE)/2)+1),1)</f>
        <v>84.758544113105742</v>
      </c>
      <c r="W696" s="41">
        <f>VLOOKUP(B696,'Player Data'!$A1:$AE734,11,FALSE)*$Q696*IFERROR((VLOOKUP(P696,Settings!$E$28:$F$33,2,FALSE)+1),1)</f>
        <v>0.26325504907066455</v>
      </c>
      <c r="X696" s="41">
        <f>VLOOKUP(B696,'Player Data'!$A1:$AE734,12,FALSE)*$Q696*IFERROR((VLOOKUP(P696,Settings!$E$28:$F$33,2,FALSE)+1),1)</f>
        <v>0.93394672150690339</v>
      </c>
      <c r="Y696" s="41">
        <f>VLOOKUP(B696,'Player Data'!$A1:$AE734,13,FALSE)*$Q696</f>
        <v>7.3935311252666336E-2</v>
      </c>
      <c r="Z696" s="41">
        <f>VLOOKUP(B696,'Player Data'!$A1:$AE734,14,FALSE)*$Q696</f>
        <v>0.13461626017926306</v>
      </c>
      <c r="AA696" s="41">
        <f>VLOOKUP(B696,'Player Data'!$A1:$AE734,15,FALSE)*$Q696</f>
        <v>22.852216801676839</v>
      </c>
      <c r="AB696" s="41">
        <f>VLOOKUP(B696,'Player Data'!$A1:$AE734,16,FALSE)*$Q696</f>
        <v>41.522487464039095</v>
      </c>
      <c r="AC696" s="41">
        <f>VLOOKUP(B696,'Player Data'!$A1:$AE734,17,FALSE)*$Q696*IFERROR((VLOOKUP(P696,Settings!$E$28:$F$33,2,FALSE)+1),1)</f>
        <v>4.596793037089081</v>
      </c>
      <c r="AD696" s="41">
        <f>VLOOKUP(B696,'Player Data'!$A1:$AE734,18,FALSE)*$Q696</f>
        <v>17.009780585238929</v>
      </c>
      <c r="AE696" s="41">
        <f>VLOOKUP(B696,'Player Data'!$A1:$AE734,19,FALSE)*$Q696*IFERROR((VLOOKUP(P696,Settings!$E$28:$F$33,2,FALSE)+1),1)</f>
        <v>1.0054777484357231</v>
      </c>
      <c r="AF696" s="41">
        <f>VLOOKUP(B696,'Player Data'!$A1:$AE734,20,FALSE)*$Q696</f>
        <v>96.939303179721264</v>
      </c>
      <c r="AG696" s="41">
        <f>VLOOKUP(B696,'Player Data'!$A1:$AE734,21,FALSE)*$Q696</f>
        <v>79.949453372911407</v>
      </c>
      <c r="AH696" s="42">
        <f>VLOOKUP(B696,'Player Data'!$A1:$AE734,22,FALSE)</f>
        <v>0.54802410887476005</v>
      </c>
      <c r="AI696" s="39"/>
      <c r="AJ696" s="43"/>
      <c r="AK696" s="41"/>
      <c r="AL696" s="41"/>
      <c r="AM696" s="41"/>
      <c r="AN696" s="41"/>
      <c r="AO696" s="41"/>
      <c r="AP696" s="41"/>
      <c r="AQ696" s="44"/>
      <c r="AR696" s="45"/>
      <c r="AS696" s="39"/>
    </row>
    <row r="697" spans="1:45" ht="21.25" customHeight="1" x14ac:dyDescent="0.15">
      <c r="A697" s="31">
        <f>RANK(K697,K$2:K$727)</f>
        <v>696</v>
      </c>
      <c r="B697" s="8" t="s">
        <v>801</v>
      </c>
      <c r="C697" s="32" t="s">
        <v>106</v>
      </c>
      <c r="D697" s="33" t="str">
        <f>VLOOKUP(B697,'Player Data'!A1:D734,4,FALSE)</f>
        <v>C</v>
      </c>
      <c r="E697" s="34">
        <f>VLOOKUP(B697,'C'!A1:C211,3,FALSE)</f>
        <v>186</v>
      </c>
      <c r="F697" s="35" t="str">
        <f>VLOOKUP(B697,'Player Data'!A1:B734,2,FALSE)</f>
        <v>PIT</v>
      </c>
      <c r="G697" s="9">
        <f>VLOOKUP(B697,'Player Data'!A1:D734,3,FALSE)</f>
        <v>29</v>
      </c>
      <c r="H697" s="36">
        <f>IFERROR(VLOOKUP(B697,ADP!A1:G728,7,FALSE)/1000000,VLOOKUP(B697,ADP!A1:G728,7,FALSE))</f>
        <v>1.115</v>
      </c>
      <c r="I697" s="37">
        <f>IF(Settings!$E$15="POINTS",((R697*Q697)*Settings!$B$12)+(S697*Settings!$B$2)+(T697*Settings!$B$3)+(U697*Settings!$B$4)+(V697*Settings!$B$5)+(X697*Settings!$B$9)+(AA697*Settings!$B$6)+(W697*Settings!$B$8)+(AB697*Settings!$B$7)+(AC697*Settings!$B$14)+(AD697*Settings!$B$15)+(AE697*Settings!$B$16)+(AF697*Settings!$B$17)+(AG697*Settings!$B$18)+(Y697*Settings!$B$10)+(Z697*Settings!$B$11),VLOOKUP(B697,'Standard Deviations'!A1:C728,3,FALSE))</f>
        <v>87.43968222903851</v>
      </c>
      <c r="J697" s="38">
        <f>IF(D697="G",I697/AJ697,I697/Q697)</f>
        <v>1.5898124041643364</v>
      </c>
      <c r="K697" s="37">
        <f>IF(Settings!$E$18="C/LW/RW",VLOOKUP(B697,'C'!A1:F211,6,FALSE),VLOOKUP(B697,F!A1:F430,6,FALSE))</f>
        <v>-305.88912353717114</v>
      </c>
      <c r="L697" s="37">
        <f>IFERROR(K697/H697,"N/A")</f>
        <v>-274.34002110957056</v>
      </c>
      <c r="M697" s="53" t="str">
        <f>IF(Settings!$E$9="YAHOO",VLOOKUP(B697,ADP!A1:E728,2,FALSE),IF(Settings!$E$9="ESPN",VLOOKUP(B697,ADP!A1:E728,3,FALSE),IF(Settings!$E$9="FANTRAX",VLOOKUP(B697,ADP!A1:E728,4,FALSE),VLOOKUP(B697,ADP!A1:E728,5,FALSE))))</f>
        <v>-</v>
      </c>
      <c r="N697" s="53" t="str">
        <f>IFERROR(M697-A697,"N/A")</f>
        <v>N/A</v>
      </c>
      <c r="O697" s="39"/>
      <c r="P697" s="40" t="str">
        <f>IF(Settings!$E$27="ON",VLOOKUP(B697,ADP!A1:H728,8,FALSE)," ")</f>
        <v xml:space="preserve"> </v>
      </c>
      <c r="Q697" s="41">
        <f>IF(Settings!$E$12="YES",VLOOKUP(B697,'Player Data'!A1:E734,5,FALSE),82)</f>
        <v>55</v>
      </c>
      <c r="R697" s="39">
        <f>VLOOKUP(B697,'Player Data'!$A1:$AE734,6,FALSE)</f>
        <v>11.0089701779689</v>
      </c>
      <c r="S697" s="41">
        <f>VLOOKUP(B697,'Player Data'!$A1:$AE734,7,FALSE)*$Q697*IFERROR((VLOOKUP(P697,Settings!$E$28:$F$33,2,FALSE)+1),1)</f>
        <v>6.2509310822534951</v>
      </c>
      <c r="T697" s="41">
        <f>VLOOKUP(B697,'Player Data'!$A1:$AE734,8,FALSE)*$Q697*IFERROR((VLOOKUP(P697,Settings!$E$28:$F$33,2,FALSE)+1),1)</f>
        <v>10.485683786503859</v>
      </c>
      <c r="U697" s="41">
        <f>SUM(S697:T697)</f>
        <v>16.736614868757353</v>
      </c>
      <c r="V697" s="41">
        <f>VLOOKUP(B697,'Player Data'!$A1:$AE734,10,FALSE)*$Q697*IFERROR(((VLOOKUP(P697,Settings!$E$28:$F$33,2,FALSE)/2)+1),1)</f>
        <v>66.731278946544293</v>
      </c>
      <c r="W697" s="41">
        <f>VLOOKUP(B697,'Player Data'!$A1:$AE734,11,FALSE)*$Q697*IFERROR((VLOOKUP(P697,Settings!$E$28:$F$33,2,FALSE)+1),1)</f>
        <v>5.5885586769269947E-2</v>
      </c>
      <c r="X697" s="41">
        <f>VLOOKUP(B697,'Player Data'!$A1:$AE734,12,FALSE)*$Q697*IFERROR((VLOOKUP(P697,Settings!$E$28:$F$33,2,FALSE)+1),1)</f>
        <v>0.11180065634290245</v>
      </c>
      <c r="Y697" s="41">
        <f>VLOOKUP(B697,'Player Data'!$A1:$AE734,13,FALSE)*$Q697</f>
        <v>6.2935315331141009E-2</v>
      </c>
      <c r="Z697" s="41">
        <f>VLOOKUP(B697,'Player Data'!$A1:$AE734,14,FALSE)*$Q697</f>
        <v>0.42065578712205343</v>
      </c>
      <c r="AA697" s="41">
        <f>VLOOKUP(B697,'Player Data'!$A1:$AE734,15,FALSE)*$Q697</f>
        <v>13.996426312821974</v>
      </c>
      <c r="AB697" s="41">
        <f>VLOOKUP(B697,'Player Data'!$A1:$AE734,16,FALSE)*$Q697</f>
        <v>30.94195521935254</v>
      </c>
      <c r="AC697" s="41">
        <f>VLOOKUP(B697,'Player Data'!$A1:$AE734,17,FALSE)*$Q697*IFERROR((VLOOKUP(P697,Settings!$E$28:$F$33,2,FALSE)+1),1)</f>
        <v>0.48477928010059185</v>
      </c>
      <c r="AD697" s="41">
        <f>VLOOKUP(B697,'Player Data'!$A1:$AE734,18,FALSE)*$Q697</f>
        <v>15.046229050698395</v>
      </c>
      <c r="AE697" s="41">
        <f>VLOOKUP(B697,'Player Data'!$A1:$AE734,19,FALSE)*$Q697*IFERROR((VLOOKUP(P697,Settings!$E$28:$F$33,2,FALSE)+1),1)</f>
        <v>0.994831699332416</v>
      </c>
      <c r="AF697" s="41">
        <f>VLOOKUP(B697,'Player Data'!$A1:$AE734,20,FALSE)*$Q697</f>
        <v>4.9862014462626085</v>
      </c>
      <c r="AG697" s="41">
        <f>VLOOKUP(B697,'Player Data'!$A1:$AE734,21,FALSE)*$Q697</f>
        <v>9.7450892365556392</v>
      </c>
      <c r="AH697" s="42">
        <f>VLOOKUP(B697,'Player Data'!$A1:$AE734,22,FALSE)</f>
        <v>0.33847688933857201</v>
      </c>
      <c r="AI697" s="39"/>
      <c r="AJ697" s="41"/>
      <c r="AK697" s="41"/>
      <c r="AL697" s="41"/>
      <c r="AM697" s="41"/>
      <c r="AN697" s="41"/>
      <c r="AO697" s="41"/>
      <c r="AP697" s="41"/>
      <c r="AQ697" s="44"/>
      <c r="AR697" s="45"/>
      <c r="AS697" s="39"/>
    </row>
    <row r="698" spans="1:45" ht="21.25" customHeight="1" x14ac:dyDescent="0.15">
      <c r="A698" s="31">
        <f>RANK(K698,K$2:K$727)</f>
        <v>697</v>
      </c>
      <c r="B698" s="8" t="s">
        <v>802</v>
      </c>
      <c r="C698" s="32" t="s">
        <v>106</v>
      </c>
      <c r="D698" s="33" t="str">
        <f>VLOOKUP(B698,'Player Data'!A1:D734,4,FALSE)</f>
        <v>C</v>
      </c>
      <c r="E698" s="34">
        <f>VLOOKUP(B698,'C'!A1:C211,3,FALSE)</f>
        <v>187</v>
      </c>
      <c r="F698" s="35" t="str">
        <f>VLOOKUP(B698,'Player Data'!A1:B734,2,FALSE)</f>
        <v>OTT</v>
      </c>
      <c r="G698" s="9">
        <f>VLOOKUP(B698,'Player Data'!A1:D734,3,FALSE)</f>
        <v>27</v>
      </c>
      <c r="H698" s="36">
        <f>IFERROR(VLOOKUP(B698,ADP!A1:G728,7,FALSE)/1000000,VLOOKUP(B698,ADP!A1:G728,7,FALSE))</f>
        <v>0.77500000000000002</v>
      </c>
      <c r="I698" s="37">
        <f>IF(Settings!$E$15="POINTS",((R698*Q698)*Settings!$B$12)+(S698*Settings!$B$2)+(T698*Settings!$B$3)+(U698*Settings!$B$4)+(V698*Settings!$B$5)+(X698*Settings!$B$9)+(AA698*Settings!$B$6)+(W698*Settings!$B$8)+(AB698*Settings!$B$7)+(AC698*Settings!$B$14)+(AD698*Settings!$B$15)+(AE698*Settings!$B$16)+(AF698*Settings!$B$17)+(AG698*Settings!$B$18)+(Y698*Settings!$B$10)+(Z698*Settings!$B$11),VLOOKUP(B698,'Standard Deviations'!A1:C728,3,FALSE))</f>
        <v>87.285641677943559</v>
      </c>
      <c r="J698" s="38">
        <f>IF(D698="G",I698/AJ698,I698/Q698)</f>
        <v>1.1919208605746101</v>
      </c>
      <c r="K698" s="37">
        <f>IF(Settings!$E$18="C/LW/RW",VLOOKUP(B698,'C'!A1:F211,6,FALSE),VLOOKUP(B698,F!A1:F430,6,FALSE))</f>
        <v>-306.04316408826611</v>
      </c>
      <c r="L698" s="37">
        <f>IFERROR(K698/H698,"N/A")</f>
        <v>-394.89440527518207</v>
      </c>
      <c r="M698" s="53" t="str">
        <f>IF(Settings!$E$9="YAHOO",VLOOKUP(B698,ADP!A1:E728,2,FALSE),IF(Settings!$E$9="ESPN",VLOOKUP(B698,ADP!A1:E728,3,FALSE),IF(Settings!$E$9="FANTRAX",VLOOKUP(B698,ADP!A1:E728,4,FALSE),VLOOKUP(B698,ADP!A1:E728,5,FALSE))))</f>
        <v>-</v>
      </c>
      <c r="N698" s="53" t="str">
        <f>IFERROR(M698-A698,"N/A")</f>
        <v>N/A</v>
      </c>
      <c r="O698" s="39"/>
      <c r="P698" s="40" t="str">
        <f>IF(Settings!$E$27="ON",VLOOKUP(B698,ADP!A1:H728,8,FALSE)," ")</f>
        <v xml:space="preserve"> </v>
      </c>
      <c r="Q698" s="41">
        <f>IF(Settings!$E$12="YES",VLOOKUP(B698,'Player Data'!A1:E734,5,FALSE),82)</f>
        <v>73.231071428571397</v>
      </c>
      <c r="R698" s="39">
        <f>VLOOKUP(B698,'Player Data'!$A1:$AE734,6,FALSE)</f>
        <v>10.558119996872399</v>
      </c>
      <c r="S698" s="41">
        <f>VLOOKUP(B698,'Player Data'!$A1:$AE734,7,FALSE)*$Q698*IFERROR((VLOOKUP(P698,Settings!$E$28:$F$33,2,FALSE)+1),1)</f>
        <v>4.7475958646542864</v>
      </c>
      <c r="T698" s="41">
        <f>VLOOKUP(B698,'Player Data'!$A1:$AE734,8,FALSE)*$Q698*IFERROR((VLOOKUP(P698,Settings!$E$28:$F$33,2,FALSE)+1),1)</f>
        <v>7.3981100321839488</v>
      </c>
      <c r="U698" s="41">
        <f>SUM(S698:T698)</f>
        <v>12.145705896838235</v>
      </c>
      <c r="V698" s="41">
        <f>VLOOKUP(B698,'Player Data'!$A1:$AE734,10,FALSE)*$Q698*IFERROR(((VLOOKUP(P698,Settings!$E$28:$F$33,2,FALSE)/2)+1),1)</f>
        <v>87.85910113416756</v>
      </c>
      <c r="W698" s="41">
        <f>VLOOKUP(B698,'Player Data'!$A1:$AE734,11,FALSE)*$Q698*IFERROR((VLOOKUP(P698,Settings!$E$28:$F$33,2,FALSE)+1),1)</f>
        <v>3.9654034066668092E-2</v>
      </c>
      <c r="X698" s="41">
        <f>VLOOKUP(B698,'Player Data'!$A1:$AE734,12,FALSE)*$Q698*IFERROR((VLOOKUP(P698,Settings!$E$28:$F$33,2,FALSE)+1),1)</f>
        <v>0.10205328247446117</v>
      </c>
      <c r="Y698" s="41">
        <f>VLOOKUP(B698,'Player Data'!$A1:$AE734,13,FALSE)*$Q698</f>
        <v>1.2072730477792493E-2</v>
      </c>
      <c r="Z698" s="41">
        <f>VLOOKUP(B698,'Player Data'!$A1:$AE734,14,FALSE)*$Q698</f>
        <v>2.2459322204942823E-2</v>
      </c>
      <c r="AA698" s="41">
        <f>VLOOKUP(B698,'Player Data'!$A1:$AE734,15,FALSE)*$Q698</f>
        <v>33.349741054931314</v>
      </c>
      <c r="AB698" s="41">
        <f>VLOOKUP(B698,'Player Data'!$A1:$AE734,16,FALSE)*$Q698</f>
        <v>167.62740540303676</v>
      </c>
      <c r="AC698" s="41">
        <f>VLOOKUP(B698,'Player Data'!$A1:$AE734,17,FALSE)*$Q698*IFERROR((VLOOKUP(P698,Settings!$E$28:$F$33,2,FALSE)+1),1)</f>
        <v>-0.16485762761682005</v>
      </c>
      <c r="AD698" s="41">
        <f>VLOOKUP(B698,'Player Data'!$A1:$AE734,18,FALSE)*$Q698</f>
        <v>73.017343281203395</v>
      </c>
      <c r="AE698" s="41">
        <f>VLOOKUP(B698,'Player Data'!$A1:$AE734,19,FALSE)*$Q698*IFERROR((VLOOKUP(P698,Settings!$E$28:$F$33,2,FALSE)+1),1)</f>
        <v>0.65944552665290124</v>
      </c>
      <c r="AF698" s="41">
        <f>VLOOKUP(B698,'Player Data'!$A1:$AE734,20,FALSE)*$Q698</f>
        <v>16.709131542608063</v>
      </c>
      <c r="AG698" s="41">
        <f>VLOOKUP(B698,'Player Data'!$A1:$AE734,21,FALSE)*$Q698</f>
        <v>17.409112781243572</v>
      </c>
      <c r="AH698" s="42">
        <f>VLOOKUP(B698,'Player Data'!$A1:$AE734,22,FALSE)</f>
        <v>0.489741833841284</v>
      </c>
      <c r="AI698" s="39"/>
      <c r="AJ698" s="43"/>
      <c r="AK698" s="41"/>
      <c r="AL698" s="41"/>
      <c r="AM698" s="41"/>
      <c r="AN698" s="41"/>
      <c r="AO698" s="41"/>
      <c r="AP698" s="41"/>
      <c r="AQ698" s="44"/>
      <c r="AR698" s="45"/>
      <c r="AS698" s="39"/>
    </row>
    <row r="699" spans="1:45" ht="21.25" customHeight="1" x14ac:dyDescent="0.15">
      <c r="A699" s="31">
        <f>RANK(K699,K$2:K$727)</f>
        <v>698</v>
      </c>
      <c r="B699" s="8" t="s">
        <v>803</v>
      </c>
      <c r="C699" s="32" t="s">
        <v>106</v>
      </c>
      <c r="D699" s="33" t="str">
        <f>VLOOKUP(B699,'Player Data'!A1:D734,4,FALSE)</f>
        <v>G</v>
      </c>
      <c r="E699" s="50">
        <f>VLOOKUP(B699,G!A1:D75,3,FALSE)</f>
        <v>67</v>
      </c>
      <c r="F699" s="35" t="str">
        <f>VLOOKUP(B699,'Player Data'!A1:B734,2,FALSE)</f>
        <v>BUF</v>
      </c>
      <c r="G699" s="9">
        <f>VLOOKUP(B699,'Player Data'!A1:D734,3,FALSE)</f>
        <v>24</v>
      </c>
      <c r="H699" s="36">
        <f>IFERROR(VLOOKUP(B699,ADP!A1:G728,7,FALSE)/1000000,VLOOKUP(B699,ADP!A1:G728,7,FALSE))</f>
        <v>0.83750000000000002</v>
      </c>
      <c r="I699" s="37">
        <f>IF(Settings!$E$15="POINTS",(AJ699*Settings!$B$29)+(AK699*Settings!$B$21)+(AL699*Settings!$B$22)+(AN699*Settings!$B$24)+(AO699*Settings!$B$25)+(AP699*Settings!$B$27)+(AM699*Settings!$B$23),VLOOKUP(B699,'Standard Deviations'!A1:C728,3,FALSE))</f>
        <v>91.908531849019624</v>
      </c>
      <c r="J699" s="38">
        <f>IF(D699="G",I699/AJ699,I699/Q699)</f>
        <v>6.1272354566013085</v>
      </c>
      <c r="K699" s="37">
        <f>VLOOKUP(B699,G!A1:F75,6,FALSE)</f>
        <v>-306.86713024029655</v>
      </c>
      <c r="L699" s="37">
        <f>IFERROR(K699/H699,"N/A")</f>
        <v>-366.40851371975708</v>
      </c>
      <c r="M699" s="53" t="str">
        <f>IF(Settings!$E$9="YAHOO",VLOOKUP(B699,ADP!A1:E728,2,FALSE),IF(Settings!$E$9="ESPN",VLOOKUP(B699,ADP!A1:E728,3,FALSE),IF(Settings!$E$9="FANTRAX",VLOOKUP(B699,ADP!A1:E728,4,FALSE),VLOOKUP(B699,ADP!A1:E728,5,FALSE))))</f>
        <v>-</v>
      </c>
      <c r="N699" s="53" t="str">
        <f>IFERROR(M699-A699,"N/A")</f>
        <v>N/A</v>
      </c>
      <c r="O699" s="39"/>
      <c r="P699" s="40" t="str">
        <f>IF(Settings!$E$27="ON",VLOOKUP(B699,ADP!A1:H728,8,FALSE)," ")</f>
        <v xml:space="preserve"> </v>
      </c>
      <c r="Q699" s="41"/>
      <c r="R699" s="5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2"/>
      <c r="AI699" s="39"/>
      <c r="AJ699" s="43">
        <f>VLOOKUP(B699,'Player Data'!$A1:$AE734,24,FALSE)</f>
        <v>15</v>
      </c>
      <c r="AK699" s="41">
        <f>VLOOKUP(B699,'Player Data'!$A1:$AE734,25,FALSE)*$AJ699*IFERROR((VLOOKUP(P699,Settings!$E$28:$F$33,2,FALSE)+1),1)</f>
        <v>6.7252035394889251</v>
      </c>
      <c r="AL699" s="41">
        <f>AJ699-AK699-AM699</f>
        <v>6.3997964605110749</v>
      </c>
      <c r="AM699" s="41">
        <f>VLOOKUP(B699,'Player Data'!$A1:$AE734,27,FALSE)*$AJ699</f>
        <v>1.875</v>
      </c>
      <c r="AN699" s="41">
        <f>VLOOKUP(B699,'Player Data'!$A1:$AE734,28,FALSE)*AJ699</f>
        <v>0.48724477117772697</v>
      </c>
      <c r="AO699" s="41">
        <f>VLOOKUP(B699,'Player Data'!$A1:$AE734,29,FALSE)*$AJ699*IFERROR((VLOOKUP(P699,Settings!$E$28:$F$33,2,FALSE)/4)+1,1)</f>
        <v>422.25680281269899</v>
      </c>
      <c r="AP699" s="41">
        <f>VLOOKUP(B699,'Player Data'!$A1:$AE734,31,FALSE)*$AJ699*(IFERROR(1-(VLOOKUP(P699,Settings!$E$28:$F$33,2,FALSE)/4),1))</f>
        <v>46.7899899060507</v>
      </c>
      <c r="AQ699" s="44">
        <f>1-(AP699/(AO699+AP699))</f>
        <v>0.90024451582998677</v>
      </c>
      <c r="AR699" s="45">
        <f>AP699/AJ699</f>
        <v>3.11933266040338</v>
      </c>
      <c r="AS699" s="39"/>
    </row>
    <row r="700" spans="1:45" ht="21.25" customHeight="1" x14ac:dyDescent="0.15">
      <c r="A700" s="31">
        <f>RANK(K700,K$2:K$727)</f>
        <v>699</v>
      </c>
      <c r="B700" s="8" t="s">
        <v>804</v>
      </c>
      <c r="C700" s="32" t="s">
        <v>106</v>
      </c>
      <c r="D700" s="33" t="str">
        <f>VLOOKUP(B700,'Player Data'!A1:D734,4,FALSE)</f>
        <v>C</v>
      </c>
      <c r="E700" s="34">
        <f>VLOOKUP(B700,'C'!A1:C211,3,FALSE)</f>
        <v>188</v>
      </c>
      <c r="F700" s="35" t="str">
        <f>VLOOKUP(B700,'Player Data'!A1:B734,2,FALSE)</f>
        <v>LAK</v>
      </c>
      <c r="G700" s="9">
        <f>VLOOKUP(B700,'Player Data'!A1:D734,3,FALSE)</f>
        <v>23</v>
      </c>
      <c r="H700" s="36">
        <f>IFERROR(VLOOKUP(B700,ADP!A1:G728,7,FALSE)/1000000,VLOOKUP(B700,ADP!A1:G728,7,FALSE))</f>
        <v>0.77500000000000002</v>
      </c>
      <c r="I700" s="37">
        <f>IF(Settings!$E$15="POINTS",((R700*Q700)*Settings!$B$12)+(S700*Settings!$B$2)+(T700*Settings!$B$3)+(U700*Settings!$B$4)+(V700*Settings!$B$5)+(X700*Settings!$B$9)+(AA700*Settings!$B$6)+(W700*Settings!$B$8)+(AB700*Settings!$B$7)+(AC700*Settings!$B$14)+(AD700*Settings!$B$15)+(AE700*Settings!$B$16)+(AF700*Settings!$B$17)+(AG700*Settings!$B$18)+(Y700*Settings!$B$10)+(Z700*Settings!$B$11),VLOOKUP(B700,'Standard Deviations'!A1:C728,3,FALSE))</f>
        <v>86.398081059313313</v>
      </c>
      <c r="J700" s="38">
        <f>IF(D700="G",I700/AJ700,I700/Q700)</f>
        <v>1.391137437483553</v>
      </c>
      <c r="K700" s="37">
        <f>IF(Settings!$E$18="C/LW/RW",VLOOKUP(B700,'C'!A1:F211,6,FALSE),VLOOKUP(B700,F!A1:F430,6,FALSE))</f>
        <v>-306.93072470689634</v>
      </c>
      <c r="L700" s="37">
        <f>IFERROR(K700/H700,"N/A")</f>
        <v>-396.03964478309206</v>
      </c>
      <c r="M700" s="53" t="str">
        <f>IF(Settings!$E$9="YAHOO",VLOOKUP(B700,ADP!A1:E728,2,FALSE),IF(Settings!$E$9="ESPN",VLOOKUP(B700,ADP!A1:E728,3,FALSE),IF(Settings!$E$9="FANTRAX",VLOOKUP(B700,ADP!A1:E728,4,FALSE),VLOOKUP(B700,ADP!A1:E728,5,FALSE))))</f>
        <v>-</v>
      </c>
      <c r="N700" s="53" t="str">
        <f>IFERROR(M700-A700,"N/A")</f>
        <v>N/A</v>
      </c>
      <c r="O700" s="39"/>
      <c r="P700" s="40" t="str">
        <f>IF(Settings!$E$27="ON",VLOOKUP(B700,ADP!A1:H728,8,FALSE)," ")</f>
        <v xml:space="preserve"> </v>
      </c>
      <c r="Q700" s="41">
        <f>IF(Settings!$E$12="YES",VLOOKUP(B700,'Player Data'!A1:E734,5,FALSE),82)</f>
        <v>62.106071428571397</v>
      </c>
      <c r="R700" s="39">
        <f>VLOOKUP(B700,'Player Data'!$A1:$AE734,6,FALSE)</f>
        <v>10.404411525343001</v>
      </c>
      <c r="S700" s="41">
        <f>VLOOKUP(B700,'Player Data'!$A1:$AE734,7,FALSE)*$Q700*IFERROR((VLOOKUP(P700,Settings!$E$28:$F$33,2,FALSE)+1),1)</f>
        <v>8.2327761672161337</v>
      </c>
      <c r="T700" s="41">
        <f>VLOOKUP(B700,'Player Data'!$A1:$AE734,8,FALSE)*$Q700*IFERROR((VLOOKUP(P700,Settings!$E$28:$F$33,2,FALSE)+1),1)</f>
        <v>6.8227473756145622</v>
      </c>
      <c r="U700" s="41">
        <f>SUM(S700:T700)</f>
        <v>15.055523542830695</v>
      </c>
      <c r="V700" s="41">
        <f>VLOOKUP(B700,'Player Data'!$A1:$AE734,10,FALSE)*$Q700*IFERROR(((VLOOKUP(P700,Settings!$E$28:$F$33,2,FALSE)/2)+1),1)</f>
        <v>66.830978873223046</v>
      </c>
      <c r="W700" s="41">
        <f>VLOOKUP(B700,'Player Data'!$A1:$AE734,11,FALSE)*$Q700*IFERROR((VLOOKUP(P700,Settings!$E$28:$F$33,2,FALSE)+1),1)</f>
        <v>0.1504653320026656</v>
      </c>
      <c r="X700" s="41">
        <f>VLOOKUP(B700,'Player Data'!$A1:$AE734,12,FALSE)*$Q700*IFERROR((VLOOKUP(P700,Settings!$E$28:$F$33,2,FALSE)+1),1)</f>
        <v>0.44135018858130354</v>
      </c>
      <c r="Y700" s="41">
        <f>VLOOKUP(B700,'Player Data'!$A1:$AE734,13,FALSE)*$Q700</f>
        <v>4.4534073315531733E-2</v>
      </c>
      <c r="Z700" s="41">
        <f>VLOOKUP(B700,'Player Data'!$A1:$AE734,14,FALSE)*$Q700</f>
        <v>8.2584752676981871E-2</v>
      </c>
      <c r="AA700" s="41">
        <f>VLOOKUP(B700,'Player Data'!$A1:$AE734,15,FALSE)*$Q700</f>
        <v>33.840755558465702</v>
      </c>
      <c r="AB700" s="41">
        <f>VLOOKUP(B700,'Player Data'!$A1:$AE734,16,FALSE)*$Q700</f>
        <v>85.828372743962007</v>
      </c>
      <c r="AC700" s="41">
        <f>VLOOKUP(B700,'Player Data'!$A1:$AE734,17,FALSE)*$Q700*IFERROR((VLOOKUP(P700,Settings!$E$28:$F$33,2,FALSE)+1),1)</f>
        <v>-0.65100699897807668</v>
      </c>
      <c r="AD700" s="41">
        <f>VLOOKUP(B700,'Player Data'!$A1:$AE734,18,FALSE)*$Q700</f>
        <v>10.488470727737038</v>
      </c>
      <c r="AE700" s="41">
        <f>VLOOKUP(B700,'Player Data'!$A1:$AE734,19,FALSE)*$Q700*IFERROR((VLOOKUP(P700,Settings!$E$28:$F$33,2,FALSE)+1),1)</f>
        <v>1.2222694894056485</v>
      </c>
      <c r="AF700" s="41">
        <f>VLOOKUP(B700,'Player Data'!$A1:$AE734,20,FALSE)*$Q700</f>
        <v>60.241046456740293</v>
      </c>
      <c r="AG700" s="41">
        <f>VLOOKUP(B700,'Player Data'!$A1:$AE734,21,FALSE)*$Q700</f>
        <v>51.739389504944192</v>
      </c>
      <c r="AH700" s="42">
        <f>VLOOKUP(B700,'Player Data'!$A1:$AE734,22,FALSE)</f>
        <v>0.53796045656897196</v>
      </c>
      <c r="AI700" s="39"/>
      <c r="AJ700" s="43"/>
      <c r="AK700" s="41"/>
      <c r="AL700" s="41"/>
      <c r="AM700" s="41"/>
      <c r="AN700" s="41"/>
      <c r="AO700" s="41"/>
      <c r="AP700" s="41"/>
      <c r="AQ700" s="44"/>
      <c r="AR700" s="45"/>
      <c r="AS700" s="39"/>
    </row>
    <row r="701" spans="1:45" ht="21.25" customHeight="1" x14ac:dyDescent="0.15">
      <c r="A701" s="31">
        <f>RANK(K701,K$2:K$727)</f>
        <v>700</v>
      </c>
      <c r="B701" s="8" t="s">
        <v>805</v>
      </c>
      <c r="C701" s="32" t="s">
        <v>106</v>
      </c>
      <c r="D701" s="33" t="str">
        <f>VLOOKUP(B701,'Player Data'!A1:D734,4,FALSE)</f>
        <v>G</v>
      </c>
      <c r="E701" s="50">
        <f>VLOOKUP(B701,G!A1:D75,3,FALSE)</f>
        <v>68</v>
      </c>
      <c r="F701" s="35" t="str">
        <f>VLOOKUP(B701,'Player Data'!A1:B734,2,FALSE)</f>
        <v>SEA</v>
      </c>
      <c r="G701" s="9">
        <f>VLOOKUP(B701,'Player Data'!A1:D734,3,FALSE)</f>
        <v>29</v>
      </c>
      <c r="H701" s="36">
        <f>IFERROR(VLOOKUP(B701,ADP!A1:G728,7,FALSE)/1000000,VLOOKUP(B701,ADP!A1:G728,7,FALSE))</f>
        <v>3.5</v>
      </c>
      <c r="I701" s="37">
        <f>IF(Settings!$E$15="POINTS",(AJ701*Settings!$B$29)+(AK701*Settings!$B$21)+(AL701*Settings!$B$22)+(AN701*Settings!$B$24)+(AO701*Settings!$B$25)+(AP701*Settings!$B$27)+(AM701*Settings!$B$23),VLOOKUP(B701,'Standard Deviations'!A1:C728,3,FALSE))</f>
        <v>90.483972280414577</v>
      </c>
      <c r="J701" s="38">
        <f>IF(D701="G",I701/AJ701,I701/Q701)</f>
        <v>6.0322648186943049</v>
      </c>
      <c r="K701" s="37">
        <f>VLOOKUP(B701,G!A1:F75,6,FALSE)</f>
        <v>-308.29168980890165</v>
      </c>
      <c r="L701" s="37">
        <f>IFERROR(K701/H701,"N/A")</f>
        <v>-88.083339945400468</v>
      </c>
      <c r="M701" s="53" t="str">
        <f>IF(Settings!$E$9="YAHOO",VLOOKUP(B701,ADP!A1:E728,2,FALSE),IF(Settings!$E$9="ESPN",VLOOKUP(B701,ADP!A1:E728,3,FALSE),IF(Settings!$E$9="FANTRAX",VLOOKUP(B701,ADP!A1:E728,4,FALSE),VLOOKUP(B701,ADP!A1:E728,5,FALSE))))</f>
        <v>-</v>
      </c>
      <c r="N701" s="53" t="str">
        <f>IFERROR(M701-A701,"N/A")</f>
        <v>N/A</v>
      </c>
      <c r="O701" s="39"/>
      <c r="P701" s="40" t="str">
        <f>IF(Settings!$E$27="ON",VLOOKUP(B701,ADP!A1:H728,8,FALSE)," ")</f>
        <v xml:space="preserve"> </v>
      </c>
      <c r="Q701" s="41"/>
      <c r="R701" s="5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2"/>
      <c r="AI701" s="39"/>
      <c r="AJ701" s="43">
        <f>VLOOKUP(B701,'Player Data'!$A1:$AE734,24,FALSE)</f>
        <v>15</v>
      </c>
      <c r="AK701" s="41">
        <f>VLOOKUP(B701,'Player Data'!$A1:$AE734,25,FALSE)*$AJ701*IFERROR((VLOOKUP(P701,Settings!$E$28:$F$33,2,FALSE)+1),1)</f>
        <v>7.2747990041048993</v>
      </c>
      <c r="AL701" s="41">
        <f>AJ701-AK701-AM701</f>
        <v>5.8502009958951007</v>
      </c>
      <c r="AM701" s="41">
        <f>VLOOKUP(B701,'Player Data'!$A1:$AE734,27,FALSE)*$AJ701</f>
        <v>1.875</v>
      </c>
      <c r="AN701" s="41">
        <f>VLOOKUP(B701,'Player Data'!$A1:$AE734,28,FALSE)*AJ701</f>
        <v>0.7287057661866434</v>
      </c>
      <c r="AO701" s="41">
        <f>VLOOKUP(B701,'Player Data'!$A1:$AE734,29,FALSE)*$AJ701*IFERROR((VLOOKUP(P701,Settings!$E$28:$F$33,2,FALSE)/4)+1,1)</f>
        <v>396.18136154056504</v>
      </c>
      <c r="AP701" s="41">
        <f>VLOOKUP(B701,'Player Data'!$A1:$AE734,31,FALSE)*$AJ701*(IFERROR(1-(VLOOKUP(P701,Settings!$E$28:$F$33,2,FALSE)/4),1))</f>
        <v>43.629505678185303</v>
      </c>
      <c r="AQ701" s="44">
        <f>1-(AP701/(AO701+AP701))</f>
        <v>0.900799391442765</v>
      </c>
      <c r="AR701" s="45">
        <f>AP701/AJ701</f>
        <v>2.9086337118790202</v>
      </c>
      <c r="AS701" s="39"/>
    </row>
    <row r="702" spans="1:45" ht="21.25" customHeight="1" x14ac:dyDescent="0.15">
      <c r="A702" s="31">
        <f>RANK(K702,K$2:K$727)</f>
        <v>701</v>
      </c>
      <c r="B702" s="8" t="s">
        <v>806</v>
      </c>
      <c r="C702" s="32" t="s">
        <v>106</v>
      </c>
      <c r="D702" s="33" t="str">
        <f>VLOOKUP(B702,'Player Data'!A1:D734,4,FALSE)</f>
        <v>C</v>
      </c>
      <c r="E702" s="34">
        <f>VLOOKUP(B702,'C'!A1:C211,3,FALSE)</f>
        <v>189</v>
      </c>
      <c r="F702" s="35" t="str">
        <f>VLOOKUP(B702,'Player Data'!A1:B734,2,FALSE)</f>
        <v>VAN</v>
      </c>
      <c r="G702" s="9">
        <f>VLOOKUP(B702,'Player Data'!A1:D734,3,FALSE)</f>
        <v>23</v>
      </c>
      <c r="H702" s="36">
        <f>IFERROR(VLOOKUP(B702,ADP!A1:G728,7,FALSE)/1000000,VLOOKUP(B702,ADP!A1:G728,7,FALSE))</f>
        <v>0.88375000000000004</v>
      </c>
      <c r="I702" s="37">
        <f>IF(Settings!$E$15="POINTS",((R702*Q702)*Settings!$B$12)+(S702*Settings!$B$2)+(T702*Settings!$B$3)+(U702*Settings!$B$4)+(V702*Settings!$B$5)+(X702*Settings!$B$9)+(AA702*Settings!$B$6)+(W702*Settings!$B$8)+(AB702*Settings!$B$7)+(AC702*Settings!$B$14)+(AD702*Settings!$B$15)+(AE702*Settings!$B$16)+(AF702*Settings!$B$17)+(AG702*Settings!$B$18)+(Y702*Settings!$B$10)+(Z702*Settings!$B$11),VLOOKUP(B702,'Standard Deviations'!A1:C728,3,FALSE))</f>
        <v>84.833013483339101</v>
      </c>
      <c r="J702" s="38">
        <f>IF(D702="G",I702/AJ702,I702/Q702)</f>
        <v>1.4122359494479624</v>
      </c>
      <c r="K702" s="37">
        <f>IF(Settings!$E$18="C/LW/RW",VLOOKUP(B702,'C'!A1:F211,6,FALSE),VLOOKUP(B702,F!A1:F430,6,FALSE))</f>
        <v>-308.49579228287053</v>
      </c>
      <c r="L702" s="37">
        <f>IFERROR(K702/H702,"N/A")</f>
        <v>-349.07586114044756</v>
      </c>
      <c r="M702" s="53" t="str">
        <f>IF(Settings!$E$9="YAHOO",VLOOKUP(B702,ADP!A1:E728,2,FALSE),IF(Settings!$E$9="ESPN",VLOOKUP(B702,ADP!A1:E728,3,FALSE),IF(Settings!$E$9="FANTRAX",VLOOKUP(B702,ADP!A1:E728,4,FALSE),VLOOKUP(B702,ADP!A1:E728,5,FALSE))))</f>
        <v>-</v>
      </c>
      <c r="N702" s="53" t="str">
        <f>IFERROR(M702-A702,"N/A")</f>
        <v>N/A</v>
      </c>
      <c r="O702" s="39"/>
      <c r="P702" s="40" t="str">
        <f>IF(Settings!$E$27="ON",VLOOKUP(B702,ADP!A1:H728,8,FALSE)," ")</f>
        <v xml:space="preserve"> </v>
      </c>
      <c r="Q702" s="41">
        <f>IF(Settings!$E$12="YES",VLOOKUP(B702,'Player Data'!A1:E734,5,FALSE),82)</f>
        <v>60.07</v>
      </c>
      <c r="R702" s="39">
        <f>VLOOKUP(B702,'Player Data'!$A1:$AE734,6,FALSE)</f>
        <v>12.424576644996399</v>
      </c>
      <c r="S702" s="41">
        <f>VLOOKUP(B702,'Player Data'!$A1:$AE734,7,FALSE)*$Q702*IFERROR((VLOOKUP(P702,Settings!$E$28:$F$33,2,FALSE)+1),1)</f>
        <v>5.492329472663843</v>
      </c>
      <c r="T702" s="41">
        <f>VLOOKUP(B702,'Player Data'!$A1:$AE734,8,FALSE)*$Q702*IFERROR((VLOOKUP(P702,Settings!$E$28:$F$33,2,FALSE)+1),1)</f>
        <v>11.23464065636804</v>
      </c>
      <c r="U702" s="41">
        <f>SUM(S702:T702)</f>
        <v>16.726970129031884</v>
      </c>
      <c r="V702" s="41">
        <f>VLOOKUP(B702,'Player Data'!$A1:$AE734,10,FALSE)*$Q702*IFERROR(((VLOOKUP(P702,Settings!$E$28:$F$33,2,FALSE)/2)+1),1)</f>
        <v>50.158160546725753</v>
      </c>
      <c r="W702" s="41">
        <f>VLOOKUP(B702,'Player Data'!$A1:$AE734,11,FALSE)*$Q702*IFERROR((VLOOKUP(P702,Settings!$E$28:$F$33,2,FALSE)+1),1)</f>
        <v>5.3253128770285763E-2</v>
      </c>
      <c r="X702" s="41">
        <f>VLOOKUP(B702,'Player Data'!$A1:$AE734,12,FALSE)*$Q702*IFERROR((VLOOKUP(P702,Settings!$E$28:$F$33,2,FALSE)+1),1)</f>
        <v>0.13134756404409209</v>
      </c>
      <c r="Y702" s="41">
        <f>VLOOKUP(B702,'Player Data'!$A1:$AE734,13,FALSE)*$Q702</f>
        <v>0.12089705891032487</v>
      </c>
      <c r="Z702" s="41">
        <f>VLOOKUP(B702,'Player Data'!$A1:$AE734,14,FALSE)*$Q702</f>
        <v>1.3340162091329595</v>
      </c>
      <c r="AA702" s="41">
        <f>VLOOKUP(B702,'Player Data'!$A1:$AE734,15,FALSE)*$Q702</f>
        <v>33.211476382632327</v>
      </c>
      <c r="AB702" s="41">
        <f>VLOOKUP(B702,'Player Data'!$A1:$AE734,16,FALSE)*$Q702</f>
        <v>47.230319792762053</v>
      </c>
      <c r="AC702" s="41">
        <f>VLOOKUP(B702,'Player Data'!$A1:$AE734,17,FALSE)*$Q702*IFERROR((VLOOKUP(P702,Settings!$E$28:$F$33,2,FALSE)+1),1)</f>
        <v>-1.1827676540302394</v>
      </c>
      <c r="AD702" s="41">
        <f>VLOOKUP(B702,'Player Data'!$A1:$AE734,18,FALSE)*$Q702</f>
        <v>16.84292317705669</v>
      </c>
      <c r="AE702" s="41">
        <f>VLOOKUP(B702,'Player Data'!$A1:$AE734,19,FALSE)*$Q702*IFERROR((VLOOKUP(P702,Settings!$E$28:$F$33,2,FALSE)+1),1)</f>
        <v>0.77749223208995188</v>
      </c>
      <c r="AF702" s="41">
        <f>VLOOKUP(B702,'Player Data'!$A1:$AE734,20,FALSE)*$Q702</f>
        <v>156.39747814848332</v>
      </c>
      <c r="AG702" s="41">
        <f>VLOOKUP(B702,'Player Data'!$A1:$AE734,21,FALSE)*$Q702</f>
        <v>253.1738182182639</v>
      </c>
      <c r="AH702" s="42">
        <f>VLOOKUP(B702,'Player Data'!$A1:$AE734,22,FALSE)</f>
        <v>0.38185654008438802</v>
      </c>
      <c r="AI702" s="39"/>
      <c r="AJ702" s="43"/>
      <c r="AK702" s="41"/>
      <c r="AL702" s="41"/>
      <c r="AM702" s="41"/>
      <c r="AN702" s="41"/>
      <c r="AO702" s="41"/>
      <c r="AP702" s="41"/>
      <c r="AQ702" s="44"/>
      <c r="AR702" s="45"/>
      <c r="AS702" s="39"/>
    </row>
    <row r="703" spans="1:45" ht="21.25" customHeight="1" x14ac:dyDescent="0.15">
      <c r="A703" s="31">
        <f>RANK(K703,K$2:K$727)</f>
        <v>702</v>
      </c>
      <c r="B703" s="8" t="s">
        <v>807</v>
      </c>
      <c r="C703" s="32" t="s">
        <v>106</v>
      </c>
      <c r="D703" s="33" t="str">
        <f>VLOOKUP(B703,'Player Data'!A1:D734,4,FALSE)</f>
        <v>C</v>
      </c>
      <c r="E703" s="34">
        <f>VLOOKUP(B703,'C'!A1:C211,3,FALSE)</f>
        <v>190</v>
      </c>
      <c r="F703" s="35" t="str">
        <f>VLOOKUP(B703,'Player Data'!A1:B734,2,FALSE)</f>
        <v>LAK</v>
      </c>
      <c r="G703" s="9">
        <f>VLOOKUP(B703,'Player Data'!A1:D734,3,FALSE)</f>
        <v>36</v>
      </c>
      <c r="H703" s="36">
        <f>IFERROR(VLOOKUP(B703,ADP!A1:G728,7,FALSE)/1000000,VLOOKUP(B703,ADP!A1:G728,7,FALSE))</f>
        <v>0.77500000000000002</v>
      </c>
      <c r="I703" s="37">
        <f>IF(Settings!$E$15="POINTS",((R703*Q703)*Settings!$B$12)+(S703*Settings!$B$2)+(T703*Settings!$B$3)+(U703*Settings!$B$4)+(V703*Settings!$B$5)+(X703*Settings!$B$9)+(AA703*Settings!$B$6)+(W703*Settings!$B$8)+(AB703*Settings!$B$7)+(AC703*Settings!$B$14)+(AD703*Settings!$B$15)+(AE703*Settings!$B$16)+(AF703*Settings!$B$17)+(AG703*Settings!$B$18)+(Y703*Settings!$B$10)+(Z703*Settings!$B$11),VLOOKUP(B703,'Standard Deviations'!A1:C728,3,FALSE))</f>
        <v>82.683436033160405</v>
      </c>
      <c r="J703" s="38">
        <f>IF(D703="G",I703/AJ703,I703/Q703)</f>
        <v>1.2720528620486216</v>
      </c>
      <c r="K703" s="37">
        <f>IF(Settings!$E$18="C/LW/RW",VLOOKUP(B703,'C'!A1:F211,6,FALSE),VLOOKUP(B703,F!A1:F430,6,FALSE))</f>
        <v>-310.64536973304928</v>
      </c>
      <c r="L703" s="37">
        <f>IFERROR(K703/H703,"N/A")</f>
        <v>-400.83273513941839</v>
      </c>
      <c r="M703" s="53" t="str">
        <f>IF(Settings!$E$9="YAHOO",VLOOKUP(B703,ADP!A1:E728,2,FALSE),IF(Settings!$E$9="ESPN",VLOOKUP(B703,ADP!A1:E728,3,FALSE),IF(Settings!$E$9="FANTRAX",VLOOKUP(B703,ADP!A1:E728,4,FALSE),VLOOKUP(B703,ADP!A1:E728,5,FALSE))))</f>
        <v>-</v>
      </c>
      <c r="N703" s="53" t="str">
        <f>IFERROR(M703-A703,"N/A")</f>
        <v>N/A</v>
      </c>
      <c r="O703" s="39"/>
      <c r="P703" s="40" t="str">
        <f>IF(Settings!$E$27="ON",VLOOKUP(B703,ADP!A1:H728,8,FALSE)," ")</f>
        <v xml:space="preserve"> </v>
      </c>
      <c r="Q703" s="41">
        <f>IF(Settings!$E$12="YES",VLOOKUP(B703,'Player Data'!A1:E734,5,FALSE),82)</f>
        <v>65</v>
      </c>
      <c r="R703" s="39">
        <f>VLOOKUP(B703,'Player Data'!$A1:$AE734,6,FALSE)</f>
        <v>10.7458775203646</v>
      </c>
      <c r="S703" s="41">
        <f>VLOOKUP(B703,'Player Data'!$A1:$AE734,7,FALSE)*$Q703*IFERROR((VLOOKUP(P703,Settings!$E$28:$F$33,2,FALSE)+1),1)</f>
        <v>4.3424620792193611</v>
      </c>
      <c r="T703" s="41">
        <f>VLOOKUP(B703,'Player Data'!$A1:$AE734,8,FALSE)*$Q703*IFERROR((VLOOKUP(P703,Settings!$E$28:$F$33,2,FALSE)+1),1)</f>
        <v>5.8223734061606622</v>
      </c>
      <c r="U703" s="41">
        <f>SUM(S703:T703)</f>
        <v>10.164835485380024</v>
      </c>
      <c r="V703" s="41">
        <f>VLOOKUP(B703,'Player Data'!$A1:$AE734,10,FALSE)*$Q703*IFERROR(((VLOOKUP(P703,Settings!$E$28:$F$33,2,FALSE)/2)+1),1)</f>
        <v>90.010070478952002</v>
      </c>
      <c r="W703" s="41">
        <f>VLOOKUP(B703,'Player Data'!$A1:$AE734,11,FALSE)*$Q703*IFERROR((VLOOKUP(P703,Settings!$E$28:$F$33,2,FALSE)+1),1)</f>
        <v>0.13259035675783171</v>
      </c>
      <c r="X703" s="41">
        <f>VLOOKUP(B703,'Player Data'!$A1:$AE734,12,FALSE)*$Q703*IFERROR((VLOOKUP(P703,Settings!$E$28:$F$33,2,FALSE)+1),1)</f>
        <v>0.28159533654901353</v>
      </c>
      <c r="Y703" s="41">
        <f>VLOOKUP(B703,'Player Data'!$A1:$AE734,13,FALSE)*$Q703</f>
        <v>0.71703317844283443</v>
      </c>
      <c r="Z703" s="41">
        <f>VLOOKUP(B703,'Player Data'!$A1:$AE734,14,FALSE)*$Q703</f>
        <v>0.79996926917967148</v>
      </c>
      <c r="AA703" s="41">
        <f>VLOOKUP(B703,'Player Data'!$A1:$AE734,15,FALSE)*$Q703</f>
        <v>25.103825630434851</v>
      </c>
      <c r="AB703" s="41">
        <f>VLOOKUP(B703,'Player Data'!$A1:$AE734,16,FALSE)*$Q703</f>
        <v>108.99601073960039</v>
      </c>
      <c r="AC703" s="41">
        <f>VLOOKUP(B703,'Player Data'!$A1:$AE734,17,FALSE)*$Q703*IFERROR((VLOOKUP(P703,Settings!$E$28:$F$33,2,FALSE)+1),1)</f>
        <v>-0.74123001838247049</v>
      </c>
      <c r="AD703" s="41">
        <f>VLOOKUP(B703,'Player Data'!$A1:$AE734,18,FALSE)*$Q703</f>
        <v>11.198212206160395</v>
      </c>
      <c r="AE703" s="41">
        <f>VLOOKUP(B703,'Player Data'!$A1:$AE734,19,FALSE)*$Q703*IFERROR((VLOOKUP(P703,Settings!$E$28:$F$33,2,FALSE)+1),1)</f>
        <v>0.64469855617677896</v>
      </c>
      <c r="AF703" s="41">
        <f>VLOOKUP(B703,'Player Data'!$A1:$AE734,20,FALSE)*$Q703</f>
        <v>82.921869870973907</v>
      </c>
      <c r="AG703" s="41">
        <f>VLOOKUP(B703,'Player Data'!$A1:$AE734,21,FALSE)*$Q703</f>
        <v>102.69879293376364</v>
      </c>
      <c r="AH703" s="42">
        <f>VLOOKUP(B703,'Player Data'!$A1:$AE734,22,FALSE)</f>
        <v>0.446727582037583</v>
      </c>
      <c r="AI703" s="39"/>
      <c r="AJ703" s="43"/>
      <c r="AK703" s="41"/>
      <c r="AL703" s="41"/>
      <c r="AM703" s="41"/>
      <c r="AN703" s="41"/>
      <c r="AO703" s="41"/>
      <c r="AP703" s="41"/>
      <c r="AQ703" s="44"/>
      <c r="AR703" s="45"/>
      <c r="AS703" s="39"/>
    </row>
    <row r="704" spans="1:45" ht="21.25" customHeight="1" x14ac:dyDescent="0.15">
      <c r="A704" s="31">
        <f>RANK(K704,K$2:K$727)</f>
        <v>703</v>
      </c>
      <c r="B704" s="8" t="s">
        <v>808</v>
      </c>
      <c r="C704" s="32" t="s">
        <v>106</v>
      </c>
      <c r="D704" s="33" t="str">
        <f>VLOOKUP(B704,'Player Data'!A1:D734,4,FALSE)</f>
        <v>C</v>
      </c>
      <c r="E704" s="34">
        <f>VLOOKUP(B704,'C'!A1:C211,3,FALSE)</f>
        <v>191</v>
      </c>
      <c r="F704" s="35" t="str">
        <f>VLOOKUP(B704,'Player Data'!A1:B734,2,FALSE)</f>
        <v>ANA</v>
      </c>
      <c r="G704" s="9">
        <f>VLOOKUP(B704,'Player Data'!A1:D734,3,FALSE)</f>
        <v>31</v>
      </c>
      <c r="H704" s="36">
        <f>IFERROR(VLOOKUP(B704,ADP!A1:G728,7,FALSE)/1000000,VLOOKUP(B704,ADP!A1:G728,7,FALSE))</f>
        <v>0.85</v>
      </c>
      <c r="I704" s="37">
        <f>IF(Settings!$E$15="POINTS",((R704*Q704)*Settings!$B$12)+(S704*Settings!$B$2)+(T704*Settings!$B$3)+(U704*Settings!$B$4)+(V704*Settings!$B$5)+(X704*Settings!$B$9)+(AA704*Settings!$B$6)+(W704*Settings!$B$8)+(AB704*Settings!$B$7)+(AC704*Settings!$B$14)+(AD704*Settings!$B$15)+(AE704*Settings!$B$16)+(AF704*Settings!$B$17)+(AG704*Settings!$B$18)+(Y704*Settings!$B$10)+(Z704*Settings!$B$11),VLOOKUP(B704,'Standard Deviations'!A1:C728,3,FALSE))</f>
        <v>82.681931148804168</v>
      </c>
      <c r="J704" s="38">
        <f>IF(D704="G",I704/AJ704,I704/Q704)</f>
        <v>1.2170997256597926</v>
      </c>
      <c r="K704" s="37">
        <f>IF(Settings!$E$18="C/LW/RW",VLOOKUP(B704,'C'!A1:F211,6,FALSE),VLOOKUP(B704,F!A1:F430,6,FALSE))</f>
        <v>-310.6468746174055</v>
      </c>
      <c r="L704" s="37">
        <f>IFERROR(K704/H704,"N/A")</f>
        <v>-365.46691131459471</v>
      </c>
      <c r="M704" s="53" t="str">
        <f>IF(Settings!$E$9="YAHOO",VLOOKUP(B704,ADP!A1:E728,2,FALSE),IF(Settings!$E$9="ESPN",VLOOKUP(B704,ADP!A1:E728,3,FALSE),IF(Settings!$E$9="FANTRAX",VLOOKUP(B704,ADP!A1:E728,4,FALSE),VLOOKUP(B704,ADP!A1:E728,5,FALSE))))</f>
        <v>-</v>
      </c>
      <c r="N704" s="53" t="str">
        <f>IFERROR(M704-A704,"N/A")</f>
        <v>N/A</v>
      </c>
      <c r="O704" s="39"/>
      <c r="P704" s="40" t="str">
        <f>IF(Settings!$E$27="ON",VLOOKUP(B704,ADP!A1:H728,8,FALSE)," ")</f>
        <v xml:space="preserve"> </v>
      </c>
      <c r="Q704" s="41">
        <f>IF(Settings!$E$12="YES",VLOOKUP(B704,'Player Data'!A1:E734,5,FALSE),82)</f>
        <v>67.933571428571398</v>
      </c>
      <c r="R704" s="39">
        <f>VLOOKUP(B704,'Player Data'!$A1:$AE734,6,FALSE)</f>
        <v>10.545349719204401</v>
      </c>
      <c r="S704" s="41">
        <f>VLOOKUP(B704,'Player Data'!$A1:$AE734,7,FALSE)*$Q704*IFERROR((VLOOKUP(P704,Settings!$E$28:$F$33,2,FALSE)+1),1)</f>
        <v>6.4607727986327417</v>
      </c>
      <c r="T704" s="41">
        <f>VLOOKUP(B704,'Player Data'!$A1:$AE734,8,FALSE)*$Q704*IFERROR((VLOOKUP(P704,Settings!$E$28:$F$33,2,FALSE)+1),1)</f>
        <v>6.9598143628282712</v>
      </c>
      <c r="U704" s="41">
        <f>SUM(S704:T704)</f>
        <v>13.420587161461013</v>
      </c>
      <c r="V704" s="41">
        <f>VLOOKUP(B704,'Player Data'!$A1:$AE734,10,FALSE)*$Q704*IFERROR(((VLOOKUP(P704,Settings!$E$28:$F$33,2,FALSE)/2)+1),1)</f>
        <v>71.411673725302663</v>
      </c>
      <c r="W704" s="41">
        <f>VLOOKUP(B704,'Player Data'!$A1:$AE734,11,FALSE)*$Q704*IFERROR((VLOOKUP(P704,Settings!$E$28:$F$33,2,FALSE)+1),1)</f>
        <v>0.15233876770780505</v>
      </c>
      <c r="X704" s="41">
        <f>VLOOKUP(B704,'Player Data'!$A1:$AE734,12,FALSE)*$Q704*IFERROR((VLOOKUP(P704,Settings!$E$28:$F$33,2,FALSE)+1),1)</f>
        <v>0.44467687970459252</v>
      </c>
      <c r="Y704" s="41">
        <f>VLOOKUP(B704,'Player Data'!$A1:$AE734,13,FALSE)*$Q704</f>
        <v>9.273933515028146E-2</v>
      </c>
      <c r="Z704" s="41">
        <f>VLOOKUP(B704,'Player Data'!$A1:$AE734,14,FALSE)*$Q704</f>
        <v>0.17139204846759196</v>
      </c>
      <c r="AA704" s="41">
        <f>VLOOKUP(B704,'Player Data'!$A1:$AE734,15,FALSE)*$Q704</f>
        <v>27.410974727127126</v>
      </c>
      <c r="AB704" s="41">
        <f>VLOOKUP(B704,'Player Data'!$A1:$AE734,16,FALSE)*$Q704</f>
        <v>118.62073025623843</v>
      </c>
      <c r="AC704" s="41">
        <f>VLOOKUP(B704,'Player Data'!$A1:$AE734,17,FALSE)*$Q704*IFERROR((VLOOKUP(P704,Settings!$E$28:$F$33,2,FALSE)+1),1)</f>
        <v>-7.7072720745647194</v>
      </c>
      <c r="AD704" s="41">
        <f>VLOOKUP(B704,'Player Data'!$A1:$AE734,18,FALSE)*$Q704</f>
        <v>62.770309874918759</v>
      </c>
      <c r="AE704" s="41">
        <f>VLOOKUP(B704,'Player Data'!$A1:$AE734,19,FALSE)*$Q704*IFERROR((VLOOKUP(P704,Settings!$E$28:$F$33,2,FALSE)+1),1)</f>
        <v>0.70040872374118612</v>
      </c>
      <c r="AF704" s="41">
        <f>VLOOKUP(B704,'Player Data'!$A1:$AE734,20,FALSE)*$Q704</f>
        <v>225.72932354665687</v>
      </c>
      <c r="AG704" s="41">
        <f>VLOOKUP(B704,'Player Data'!$A1:$AE734,21,FALSE)*$Q704</f>
        <v>229.38953156662703</v>
      </c>
      <c r="AH704" s="42">
        <f>VLOOKUP(B704,'Player Data'!$A1:$AE734,22,FALSE)</f>
        <v>0.49597884379119</v>
      </c>
      <c r="AI704" s="39"/>
      <c r="AJ704" s="43"/>
      <c r="AK704" s="41"/>
      <c r="AL704" s="41"/>
      <c r="AM704" s="41"/>
      <c r="AN704" s="41"/>
      <c r="AO704" s="41"/>
      <c r="AP704" s="41"/>
      <c r="AQ704" s="44"/>
      <c r="AR704" s="45"/>
      <c r="AS704" s="39"/>
    </row>
    <row r="705" spans="1:45" ht="21.25" customHeight="1" x14ac:dyDescent="0.15">
      <c r="A705" s="31">
        <f>RANK(K705,K$2:K$727)</f>
        <v>704</v>
      </c>
      <c r="B705" s="8" t="s">
        <v>809</v>
      </c>
      <c r="C705" s="32" t="s">
        <v>106</v>
      </c>
      <c r="D705" s="33" t="str">
        <f>VLOOKUP(B705,'Player Data'!A1:D734,4,FALSE)</f>
        <v>C</v>
      </c>
      <c r="E705" s="34">
        <f>VLOOKUP(B705,'C'!A1:C211,3,FALSE)</f>
        <v>192</v>
      </c>
      <c r="F705" s="35" t="str">
        <f>VLOOKUP(B705,'Player Data'!A1:B734,2,FALSE)</f>
        <v>WPG</v>
      </c>
      <c r="G705" s="9">
        <f>VLOOKUP(B705,'Player Data'!A1:D734,3,FALSE)</f>
        <v>23</v>
      </c>
      <c r="H705" s="36">
        <f>IFERROR(VLOOKUP(B705,ADP!A1:G728,7,FALSE)/1000000,VLOOKUP(B705,ADP!A1:G728,7,FALSE))</f>
        <v>0</v>
      </c>
      <c r="I705" s="37">
        <f>IF(Settings!$E$15="POINTS",((R705*Q705)*Settings!$B$12)+(S705*Settings!$B$2)+(T705*Settings!$B$3)+(U705*Settings!$B$4)+(V705*Settings!$B$5)+(X705*Settings!$B$9)+(AA705*Settings!$B$6)+(W705*Settings!$B$8)+(AB705*Settings!$B$7)+(AC705*Settings!$B$14)+(AD705*Settings!$B$15)+(AE705*Settings!$B$16)+(AF705*Settings!$B$17)+(AG705*Settings!$B$18)+(Y705*Settings!$B$10)+(Z705*Settings!$B$11),VLOOKUP(B705,'Standard Deviations'!A1:C728,3,FALSE))</f>
        <v>82.202850203211227</v>
      </c>
      <c r="J705" s="38">
        <f>IF(D705="G",I705/AJ705,I705/Q705)</f>
        <v>1.1986854318575513</v>
      </c>
      <c r="K705" s="37">
        <f>IF(Settings!$E$18="C/LW/RW",VLOOKUP(B705,'C'!A1:F211,6,FALSE),VLOOKUP(B705,F!A1:F430,6,FALSE))</f>
        <v>-311.12595556299846</v>
      </c>
      <c r="L705" s="52" t="str">
        <f>IFERROR(K705/H705,"N/A")</f>
        <v>N/A</v>
      </c>
      <c r="M705" s="53" t="str">
        <f>IF(Settings!$E$9="YAHOO",VLOOKUP(B705,ADP!A1:E728,2,FALSE),IF(Settings!$E$9="ESPN",VLOOKUP(B705,ADP!A1:E728,3,FALSE),IF(Settings!$E$9="FANTRAX",VLOOKUP(B705,ADP!A1:E728,4,FALSE),VLOOKUP(B705,ADP!A1:E728,5,FALSE))))</f>
        <v>-</v>
      </c>
      <c r="N705" s="53" t="str">
        <f>IFERROR(M705-A705,"N/A")</f>
        <v>N/A</v>
      </c>
      <c r="O705" s="39"/>
      <c r="P705" s="40" t="str">
        <f>IF(Settings!$E$27="ON",VLOOKUP(B705,ADP!A1:H728,8,FALSE)," ")</f>
        <v xml:space="preserve"> </v>
      </c>
      <c r="Q705" s="41">
        <f>IF(Settings!$E$12="YES",VLOOKUP(B705,'Player Data'!A1:E734,5,FALSE),82)</f>
        <v>68.577500000000001</v>
      </c>
      <c r="R705" s="39">
        <f>VLOOKUP(B705,'Player Data'!$A1:$AE734,6,FALSE)</f>
        <v>10.069278592017699</v>
      </c>
      <c r="S705" s="41">
        <f>VLOOKUP(B705,'Player Data'!$A1:$AE734,7,FALSE)*$Q705*IFERROR((VLOOKUP(P705,Settings!$E$28:$F$33,2,FALSE)+1),1)</f>
        <v>4.8228502214983271</v>
      </c>
      <c r="T705" s="41">
        <f>VLOOKUP(B705,'Player Data'!$A1:$AE734,8,FALSE)*$Q705*IFERROR((VLOOKUP(P705,Settings!$E$28:$F$33,2,FALSE)+1),1)</f>
        <v>10.091482439682181</v>
      </c>
      <c r="U705" s="41">
        <f>SUM(S705:T705)</f>
        <v>14.914332661180509</v>
      </c>
      <c r="V705" s="41">
        <f>VLOOKUP(B705,'Player Data'!$A1:$AE734,10,FALSE)*$Q705*IFERROR(((VLOOKUP(P705,Settings!$E$28:$F$33,2,FALSE)/2)+1),1)</f>
        <v>56.686911831849869</v>
      </c>
      <c r="W705" s="41">
        <f>VLOOKUP(B705,'Player Data'!$A1:$AE734,11,FALSE)*$Q705*IFERROR((VLOOKUP(P705,Settings!$E$28:$F$33,2,FALSE)+1),1)</f>
        <v>7.6740712969230213E-2</v>
      </c>
      <c r="X705" s="41">
        <f>VLOOKUP(B705,'Player Data'!$A1:$AE734,12,FALSE)*$Q705*IFERROR((VLOOKUP(P705,Settings!$E$28:$F$33,2,FALSE)+1),1)</f>
        <v>0.20242781040155683</v>
      </c>
      <c r="Y705" s="41">
        <f>VLOOKUP(B705,'Player Data'!$A1:$AE734,13,FALSE)*$Q705</f>
        <v>0.53233582172575056</v>
      </c>
      <c r="Z705" s="41">
        <f>VLOOKUP(B705,'Player Data'!$A1:$AE734,14,FALSE)*$Q705</f>
        <v>1.3025453078079017</v>
      </c>
      <c r="AA705" s="41">
        <f>VLOOKUP(B705,'Player Data'!$A1:$AE734,15,FALSE)*$Q705</f>
        <v>30.532250336629211</v>
      </c>
      <c r="AB705" s="41">
        <f>VLOOKUP(B705,'Player Data'!$A1:$AE734,16,FALSE)*$Q705</f>
        <v>82.068619166521714</v>
      </c>
      <c r="AC705" s="41">
        <f>VLOOKUP(B705,'Player Data'!$A1:$AE734,17,FALSE)*$Q705*IFERROR((VLOOKUP(P705,Settings!$E$28:$F$33,2,FALSE)+1),1)</f>
        <v>0.45158049540664869</v>
      </c>
      <c r="AD705" s="41">
        <f>VLOOKUP(B705,'Player Data'!$A1:$AE734,18,FALSE)*$Q705</f>
        <v>15.819092823852301</v>
      </c>
      <c r="AE705" s="41">
        <f>VLOOKUP(B705,'Player Data'!$A1:$AE734,19,FALSE)*$Q705*IFERROR((VLOOKUP(P705,Settings!$E$28:$F$33,2,FALSE)+1),1)</f>
        <v>0.7523807775112803</v>
      </c>
      <c r="AF705" s="41">
        <f>VLOOKUP(B705,'Player Data'!$A1:$AE734,20,FALSE)*$Q705</f>
        <v>199.68439339657618</v>
      </c>
      <c r="AG705" s="41">
        <f>VLOOKUP(B705,'Player Data'!$A1:$AE734,21,FALSE)*$Q705</f>
        <v>204.47185068131233</v>
      </c>
      <c r="AH705" s="42">
        <f>VLOOKUP(B705,'Player Data'!$A1:$AE734,22,FALSE)</f>
        <v>0.49407721969549201</v>
      </c>
      <c r="AI705" s="39"/>
      <c r="AJ705" s="43"/>
      <c r="AK705" s="41"/>
      <c r="AL705" s="41"/>
      <c r="AM705" s="41"/>
      <c r="AN705" s="41"/>
      <c r="AO705" s="41"/>
      <c r="AP705" s="41"/>
      <c r="AQ705" s="44"/>
      <c r="AR705" s="45"/>
      <c r="AS705" s="39"/>
    </row>
    <row r="706" spans="1:45" ht="21.25" customHeight="1" x14ac:dyDescent="0.15">
      <c r="A706" s="31">
        <f>RANK(K706,K$2:K$727)</f>
        <v>705</v>
      </c>
      <c r="B706" s="8" t="s">
        <v>810</v>
      </c>
      <c r="C706" s="32" t="s">
        <v>106</v>
      </c>
      <c r="D706" s="33" t="str">
        <f>VLOOKUP(B706,'Player Data'!A1:D734,4,FALSE)</f>
        <v>G</v>
      </c>
      <c r="E706" s="50">
        <f>VLOOKUP(B706,G!A1:D75,3,FALSE)</f>
        <v>69</v>
      </c>
      <c r="F706" s="35" t="str">
        <f>VLOOKUP(B706,'Player Data'!A1:B734,2,FALSE)</f>
        <v>NSH</v>
      </c>
      <c r="G706" s="9">
        <f>VLOOKUP(B706,'Player Data'!A1:D734,3,FALSE)</f>
        <v>28</v>
      </c>
      <c r="H706" s="36">
        <f>IFERROR(VLOOKUP(B706,ADP!A1:G728,7,FALSE)/1000000,VLOOKUP(B706,ADP!A1:G728,7,FALSE))</f>
        <v>0</v>
      </c>
      <c r="I706" s="37">
        <f>IF(Settings!$E$15="POINTS",(AJ706*Settings!$B$29)+(AK706*Settings!$B$21)+(AL706*Settings!$B$22)+(AN706*Settings!$B$24)+(AO706*Settings!$B$25)+(AP706*Settings!$B$27)+(AM706*Settings!$B$23),VLOOKUP(B706,'Standard Deviations'!A1:C728,3,FALSE))</f>
        <v>87.558740183334265</v>
      </c>
      <c r="J706" s="38">
        <f>IF(D706="G",I706/AJ706,I706/Q706)</f>
        <v>6.2541957273810187</v>
      </c>
      <c r="K706" s="37">
        <f>VLOOKUP(B706,G!A1:F75,6,FALSE)</f>
        <v>-311.21692190598196</v>
      </c>
      <c r="L706" s="52" t="str">
        <f>IFERROR(K706/H706,"N/A")</f>
        <v>N/A</v>
      </c>
      <c r="M706" s="53" t="str">
        <f>IF(Settings!$E$9="YAHOO",VLOOKUP(B706,ADP!A1:E728,2,FALSE),IF(Settings!$E$9="ESPN",VLOOKUP(B706,ADP!A1:E728,3,FALSE),IF(Settings!$E$9="FANTRAX",VLOOKUP(B706,ADP!A1:E728,4,FALSE),VLOOKUP(B706,ADP!A1:E728,5,FALSE))))</f>
        <v>-</v>
      </c>
      <c r="N706" s="53" t="str">
        <f>IFERROR(M706-A706,"N/A")</f>
        <v>N/A</v>
      </c>
      <c r="O706" s="39"/>
      <c r="P706" s="40" t="str">
        <f>IF(Settings!$E$27="ON",VLOOKUP(B706,ADP!A1:H728,8,FALSE)," ")</f>
        <v xml:space="preserve"> </v>
      </c>
      <c r="Q706" s="41"/>
      <c r="R706" s="5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2"/>
      <c r="AI706" s="39"/>
      <c r="AJ706" s="43">
        <f>VLOOKUP(B706,'Player Data'!$A1:$AE734,24,FALSE)</f>
        <v>14</v>
      </c>
      <c r="AK706" s="41">
        <f>VLOOKUP(B706,'Player Data'!$A1:$AE734,25,FALSE)*$AJ706*IFERROR((VLOOKUP(P706,Settings!$E$28:$F$33,2,FALSE)+1),1)</f>
        <v>5.7942778270220057</v>
      </c>
      <c r="AL706" s="41">
        <f>AJ706-AK706-AM706</f>
        <v>6.4557221729779943</v>
      </c>
      <c r="AM706" s="41">
        <f>VLOOKUP(B706,'Player Data'!$A1:$AE734,27,FALSE)*$AJ706</f>
        <v>1.75</v>
      </c>
      <c r="AN706" s="41">
        <f>VLOOKUP(B706,'Player Data'!$A1:$AE734,28,FALSE)*AJ706</f>
        <v>0.46709131164059842</v>
      </c>
      <c r="AO706" s="41">
        <f>VLOOKUP(B706,'Player Data'!$A1:$AE734,29,FALSE)*$AJ706*IFERROR((VLOOKUP(P706,Settings!$E$28:$F$33,2,FALSE)/4)+1,1)</f>
        <v>399.53910431185381</v>
      </c>
      <c r="AP706" s="41">
        <f>VLOOKUP(B706,'Player Data'!$A1:$AE734,31,FALSE)*$AJ706*(IFERROR(1-(VLOOKUP(P706,Settings!$E$28:$F$33,2,FALSE)/4),1))</f>
        <v>43.509276025646614</v>
      </c>
      <c r="AQ706" s="44">
        <f>1-(AP706/(AO706+AP706))</f>
        <v>0.9017956549293723</v>
      </c>
      <c r="AR706" s="45">
        <f>AP706/AJ706</f>
        <v>3.1078054304033293</v>
      </c>
      <c r="AS706" s="39"/>
    </row>
    <row r="707" spans="1:45" ht="21.25" customHeight="1" x14ac:dyDescent="0.15">
      <c r="A707" s="31">
        <f>RANK(K707,K$2:K$727)</f>
        <v>706</v>
      </c>
      <c r="B707" s="8" t="s">
        <v>811</v>
      </c>
      <c r="C707" s="32" t="s">
        <v>106</v>
      </c>
      <c r="D707" s="33" t="str">
        <f>VLOOKUP(B707,'Player Data'!A1:D734,4,FALSE)</f>
        <v>C</v>
      </c>
      <c r="E707" s="34">
        <f>VLOOKUP(B707,'C'!A1:C211,3,FALSE)</f>
        <v>193</v>
      </c>
      <c r="F707" s="35" t="str">
        <f>VLOOKUP(B707,'Player Data'!A1:B734,2,FALSE)</f>
        <v>FLA</v>
      </c>
      <c r="G707" s="9">
        <f>VLOOKUP(B707,'Player Data'!A1:D734,3,FALSE)</f>
        <v>25</v>
      </c>
      <c r="H707" s="36">
        <f>IFERROR(VLOOKUP(B707,ADP!A1:G728,7,FALSE)/1000000,VLOOKUP(B707,ADP!A1:G728,7,FALSE))</f>
        <v>0</v>
      </c>
      <c r="I707" s="37">
        <f>IF(Settings!$E$15="POINTS",((R707*Q707)*Settings!$B$12)+(S707*Settings!$B$2)+(T707*Settings!$B$3)+(U707*Settings!$B$4)+(V707*Settings!$B$5)+(X707*Settings!$B$9)+(AA707*Settings!$B$6)+(W707*Settings!$B$8)+(AB707*Settings!$B$7)+(AC707*Settings!$B$14)+(AD707*Settings!$B$15)+(AE707*Settings!$B$16)+(AF707*Settings!$B$17)+(AG707*Settings!$B$18)+(Y707*Settings!$B$10)+(Z707*Settings!$B$11),VLOOKUP(B707,'Standard Deviations'!A1:C728,3,FALSE))</f>
        <v>81.177589882080866</v>
      </c>
      <c r="J707" s="38">
        <f>IF(D707="G",I707/AJ707,I707/Q707)</f>
        <v>1.3529598313680145</v>
      </c>
      <c r="K707" s="37">
        <f>IF(Settings!$E$18="C/LW/RW",VLOOKUP(B707,'C'!A1:F211,6,FALSE),VLOOKUP(B707,F!A1:F430,6,FALSE))</f>
        <v>-312.15121588412876</v>
      </c>
      <c r="L707" s="52" t="str">
        <f>IFERROR(K707/H707,"N/A")</f>
        <v>N/A</v>
      </c>
      <c r="M707" s="53" t="str">
        <f>IF(Settings!$E$9="YAHOO",VLOOKUP(B707,ADP!A1:E728,2,FALSE),IF(Settings!$E$9="ESPN",VLOOKUP(B707,ADP!A1:E728,3,FALSE),IF(Settings!$E$9="FANTRAX",VLOOKUP(B707,ADP!A1:E728,4,FALSE),VLOOKUP(B707,ADP!A1:E728,5,FALSE))))</f>
        <v>-</v>
      </c>
      <c r="N707" s="53" t="str">
        <f>IFERROR(M707-A707,"N/A")</f>
        <v>N/A</v>
      </c>
      <c r="O707" s="39"/>
      <c r="P707" s="40" t="str">
        <f>IF(Settings!$E$27="ON",VLOOKUP(B707,ADP!A1:H728,8,FALSE)," ")</f>
        <v xml:space="preserve"> </v>
      </c>
      <c r="Q707" s="41">
        <f>IF(Settings!$E$12="YES",VLOOKUP(B707,'Player Data'!A1:E734,5,FALSE),82)</f>
        <v>60</v>
      </c>
      <c r="R707" s="39">
        <f>VLOOKUP(B707,'Player Data'!$A1:$AE734,6,FALSE)</f>
        <v>10.877065152404199</v>
      </c>
      <c r="S707" s="41">
        <f>VLOOKUP(B707,'Player Data'!$A1:$AE734,7,FALSE)*$Q707*IFERROR((VLOOKUP(P707,Settings!$E$28:$F$33,2,FALSE)+1),1)</f>
        <v>4.63161519319842</v>
      </c>
      <c r="T707" s="41">
        <f>VLOOKUP(B707,'Player Data'!$A1:$AE734,8,FALSE)*$Q707*IFERROR((VLOOKUP(P707,Settings!$E$28:$F$33,2,FALSE)+1),1)</f>
        <v>9.2959984922596188</v>
      </c>
      <c r="U707" s="41">
        <f>SUM(S707:T707)</f>
        <v>13.927613685458038</v>
      </c>
      <c r="V707" s="41">
        <f>VLOOKUP(B707,'Player Data'!$A1:$AE734,10,FALSE)*$Q707*IFERROR(((VLOOKUP(P707,Settings!$E$28:$F$33,2,FALSE)/2)+1),1)</f>
        <v>68.874965918845803</v>
      </c>
      <c r="W707" s="41">
        <f>VLOOKUP(B707,'Player Data'!$A1:$AE734,11,FALSE)*$Q707*IFERROR((VLOOKUP(P707,Settings!$E$28:$F$33,2,FALSE)+1),1)</f>
        <v>6.1478535036163205E-2</v>
      </c>
      <c r="X707" s="41">
        <f>VLOOKUP(B707,'Player Data'!$A1:$AE734,12,FALSE)*$Q707*IFERROR((VLOOKUP(P707,Settings!$E$28:$F$33,2,FALSE)+1),1)</f>
        <v>0.13766502015999421</v>
      </c>
      <c r="Y707" s="41">
        <f>VLOOKUP(B707,'Player Data'!$A1:$AE734,13,FALSE)*$Q707</f>
        <v>0.81668951313123594</v>
      </c>
      <c r="Z707" s="41">
        <f>VLOOKUP(B707,'Player Data'!$A1:$AE734,14,FALSE)*$Q707</f>
        <v>0.89757976242825599</v>
      </c>
      <c r="AA707" s="41">
        <f>VLOOKUP(B707,'Player Data'!$A1:$AE734,15,FALSE)*$Q707</f>
        <v>14.433881505536759</v>
      </c>
      <c r="AB707" s="41">
        <f>VLOOKUP(B707,'Player Data'!$A1:$AE734,16,FALSE)*$Q707</f>
        <v>37.608240039458458</v>
      </c>
      <c r="AC707" s="41">
        <f>VLOOKUP(B707,'Player Data'!$A1:$AE734,17,FALSE)*$Q707*IFERROR((VLOOKUP(P707,Settings!$E$28:$F$33,2,FALSE)+1),1)</f>
        <v>1.3685825760042059</v>
      </c>
      <c r="AD707" s="41">
        <f>VLOOKUP(B707,'Player Data'!$A1:$AE734,18,FALSE)*$Q707</f>
        <v>7.8571188250096808</v>
      </c>
      <c r="AE707" s="41">
        <f>VLOOKUP(B707,'Player Data'!$A1:$AE734,19,FALSE)*$Q707*IFERROR((VLOOKUP(P707,Settings!$E$28:$F$33,2,FALSE)+1),1)</f>
        <v>0.66441576409872005</v>
      </c>
      <c r="AF707" s="41">
        <f>VLOOKUP(B707,'Player Data'!$A1:$AE734,20,FALSE)*$Q707</f>
        <v>23.65223416376304</v>
      </c>
      <c r="AG707" s="41">
        <f>VLOOKUP(B707,'Player Data'!$A1:$AE734,21,FALSE)*$Q707</f>
        <v>33.440854444593661</v>
      </c>
      <c r="AH707" s="42">
        <f>VLOOKUP(B707,'Player Data'!$A1:$AE734,22,FALSE)</f>
        <v>0.414274910331284</v>
      </c>
      <c r="AI707" s="39"/>
      <c r="AJ707" s="43"/>
      <c r="AK707" s="41"/>
      <c r="AL707" s="41"/>
      <c r="AM707" s="41"/>
      <c r="AN707" s="41"/>
      <c r="AO707" s="41"/>
      <c r="AP707" s="41"/>
      <c r="AQ707" s="44"/>
      <c r="AR707" s="45"/>
      <c r="AS707" s="39"/>
    </row>
    <row r="708" spans="1:45" ht="21.25" customHeight="1" x14ac:dyDescent="0.15">
      <c r="A708" s="31">
        <f>RANK(K708,K$2:K$727)</f>
        <v>707</v>
      </c>
      <c r="B708" s="8" t="s">
        <v>812</v>
      </c>
      <c r="C708" s="32" t="s">
        <v>106</v>
      </c>
      <c r="D708" s="33" t="str">
        <f>VLOOKUP(B708,'Player Data'!A1:D734,4,FALSE)</f>
        <v>C</v>
      </c>
      <c r="E708" s="34">
        <f>VLOOKUP(B708,'C'!A1:C211,3,FALSE)</f>
        <v>194</v>
      </c>
      <c r="F708" s="35" t="str">
        <f>VLOOKUP(B708,'Player Data'!A1:B734,2,FALSE)</f>
        <v>TBL</v>
      </c>
      <c r="G708" s="9">
        <f>VLOOKUP(B708,'Player Data'!A1:D734,3,FALSE)</f>
        <v>34</v>
      </c>
      <c r="H708" s="36">
        <f>IFERROR(VLOOKUP(B708,ADP!A1:G728,7,FALSE)/1000000,VLOOKUP(B708,ADP!A1:G728,7,FALSE))</f>
        <v>0.8</v>
      </c>
      <c r="I708" s="37">
        <f>IF(Settings!$E$15="POINTS",((R708*Q708)*Settings!$B$12)+(S708*Settings!$B$2)+(T708*Settings!$B$3)+(U708*Settings!$B$4)+(V708*Settings!$B$5)+(X708*Settings!$B$9)+(AA708*Settings!$B$6)+(W708*Settings!$B$8)+(AB708*Settings!$B$7)+(AC708*Settings!$B$14)+(AD708*Settings!$B$15)+(AE708*Settings!$B$16)+(AF708*Settings!$B$17)+(AG708*Settings!$B$18)+(Y708*Settings!$B$10)+(Z708*Settings!$B$11),VLOOKUP(B708,'Standard Deviations'!A1:C728,3,FALSE))</f>
        <v>81.053084039968795</v>
      </c>
      <c r="J708" s="38">
        <f>IF(D708="G",I708/AJ708,I708/Q708)</f>
        <v>1.0181634603495402</v>
      </c>
      <c r="K708" s="37">
        <f>IF(Settings!$E$18="C/LW/RW",VLOOKUP(B708,'C'!A1:F211,6,FALSE),VLOOKUP(B708,F!A1:F430,6,FALSE))</f>
        <v>-312.27572172624087</v>
      </c>
      <c r="L708" s="37">
        <f>IFERROR(K708/H708,"N/A")</f>
        <v>-390.34465215780108</v>
      </c>
      <c r="M708" s="53" t="str">
        <f>IF(Settings!$E$9="YAHOO",VLOOKUP(B708,ADP!A1:E728,2,FALSE),IF(Settings!$E$9="ESPN",VLOOKUP(B708,ADP!A1:E728,3,FALSE),IF(Settings!$E$9="FANTRAX",VLOOKUP(B708,ADP!A1:E728,4,FALSE),VLOOKUP(B708,ADP!A1:E728,5,FALSE))))</f>
        <v>-</v>
      </c>
      <c r="N708" s="53" t="str">
        <f>IFERROR(M708-A708,"N/A")</f>
        <v>N/A</v>
      </c>
      <c r="O708" s="39"/>
      <c r="P708" s="40" t="str">
        <f>IF(Settings!$E$27="ON",VLOOKUP(B708,ADP!A1:H728,8,FALSE)," ")</f>
        <v xml:space="preserve"> </v>
      </c>
      <c r="Q708" s="41">
        <f>IF(Settings!$E$12="YES",VLOOKUP(B708,'Player Data'!A1:E734,5,FALSE),82)</f>
        <v>79.607142857142904</v>
      </c>
      <c r="R708" s="39">
        <f>VLOOKUP(B708,'Player Data'!$A1:$AE734,6,FALSE)</f>
        <v>11.5499818994991</v>
      </c>
      <c r="S708" s="41">
        <f>VLOOKUP(B708,'Player Data'!$A1:$AE734,7,FALSE)*$Q708*IFERROR((VLOOKUP(P708,Settings!$E$28:$F$33,2,FALSE)+1),1)</f>
        <v>4.5385746677063636</v>
      </c>
      <c r="T708" s="41">
        <f>VLOOKUP(B708,'Player Data'!$A1:$AE734,8,FALSE)*$Q708*IFERROR((VLOOKUP(P708,Settings!$E$28:$F$33,2,FALSE)+1),1)</f>
        <v>4.728954931027423</v>
      </c>
      <c r="U708" s="41">
        <f>SUM(S708:T708)</f>
        <v>9.2675295987337876</v>
      </c>
      <c r="V708" s="41">
        <f>VLOOKUP(B708,'Player Data'!$A1:$AE734,10,FALSE)*$Q708*IFERROR(((VLOOKUP(P708,Settings!$E$28:$F$33,2,FALSE)/2)+1),1)</f>
        <v>79.1068868230372</v>
      </c>
      <c r="W708" s="41">
        <f>VLOOKUP(B708,'Player Data'!$A1:$AE734,11,FALSE)*$Q708*IFERROR((VLOOKUP(P708,Settings!$E$28:$F$33,2,FALSE)+1),1)</f>
        <v>4.6971676003343212E-2</v>
      </c>
      <c r="X708" s="41">
        <f>VLOOKUP(B708,'Player Data'!$A1:$AE734,12,FALSE)*$Q708*IFERROR((VLOOKUP(P708,Settings!$E$28:$F$33,2,FALSE)+1),1)</f>
        <v>0.12083135412341148</v>
      </c>
      <c r="Y708" s="41">
        <f>VLOOKUP(B708,'Player Data'!$A1:$AE734,13,FALSE)*$Q708</f>
        <v>0.71983738177006973</v>
      </c>
      <c r="Z708" s="41">
        <f>VLOOKUP(B708,'Player Data'!$A1:$AE734,14,FALSE)*$Q708</f>
        <v>1.1683840509265389</v>
      </c>
      <c r="AA708" s="41">
        <f>VLOOKUP(B708,'Player Data'!$A1:$AE734,15,FALSE)*$Q708</f>
        <v>55.593105110744666</v>
      </c>
      <c r="AB708" s="41">
        <f>VLOOKUP(B708,'Player Data'!$A1:$AE734,16,FALSE)*$Q708</f>
        <v>128.79445827918434</v>
      </c>
      <c r="AC708" s="41">
        <f>VLOOKUP(B708,'Player Data'!$A1:$AE734,17,FALSE)*$Q708*IFERROR((VLOOKUP(P708,Settings!$E$28:$F$33,2,FALSE)+1),1)</f>
        <v>-1.2547089621035146</v>
      </c>
      <c r="AD708" s="41">
        <f>VLOOKUP(B708,'Player Data'!$A1:$AE734,18,FALSE)*$Q708</f>
        <v>22.636757889182491</v>
      </c>
      <c r="AE708" s="41">
        <f>VLOOKUP(B708,'Player Data'!$A1:$AE734,19,FALSE)*$Q708*IFERROR((VLOOKUP(P708,Settings!$E$28:$F$33,2,FALSE)+1),1)</f>
        <v>0.7102885841361295</v>
      </c>
      <c r="AF708" s="41">
        <f>VLOOKUP(B708,'Player Data'!$A1:$AE734,20,FALSE)*$Q708</f>
        <v>408.124167797589</v>
      </c>
      <c r="AG708" s="41">
        <f>VLOOKUP(B708,'Player Data'!$A1:$AE734,21,FALSE)*$Q708</f>
        <v>280.33492268037435</v>
      </c>
      <c r="AH708" s="42">
        <f>VLOOKUP(B708,'Player Data'!$A1:$AE734,22,FALSE)</f>
        <v>0.59280816165016903</v>
      </c>
      <c r="AI708" s="39"/>
      <c r="AJ708" s="43"/>
      <c r="AK708" s="41"/>
      <c r="AL708" s="41"/>
      <c r="AM708" s="41"/>
      <c r="AN708" s="41"/>
      <c r="AO708" s="41"/>
      <c r="AP708" s="41"/>
      <c r="AQ708" s="44"/>
      <c r="AR708" s="45"/>
      <c r="AS708" s="39"/>
    </row>
    <row r="709" spans="1:45" ht="21.25" customHeight="1" x14ac:dyDescent="0.15">
      <c r="A709" s="31">
        <f>RANK(K709,K$2:K$727)</f>
        <v>708</v>
      </c>
      <c r="B709" s="8" t="s">
        <v>813</v>
      </c>
      <c r="C709" s="32" t="s">
        <v>106</v>
      </c>
      <c r="D709" s="33" t="str">
        <f>VLOOKUP(B709,'Player Data'!A1:D734,4,FALSE)</f>
        <v>C</v>
      </c>
      <c r="E709" s="34">
        <f>VLOOKUP(B709,'C'!A1:C211,3,FALSE)</f>
        <v>195</v>
      </c>
      <c r="F709" s="35" t="str">
        <f>VLOOKUP(B709,'Player Data'!A1:B734,2,FALSE)</f>
        <v>STL</v>
      </c>
      <c r="G709" s="9">
        <f>VLOOKUP(B709,'Player Data'!A1:D734,3,FALSE)</f>
        <v>22</v>
      </c>
      <c r="H709" s="36">
        <f>IFERROR(VLOOKUP(B709,ADP!A1:G728,7,FALSE)/1000000,VLOOKUP(B709,ADP!A1:G728,7,FALSE))</f>
        <v>0</v>
      </c>
      <c r="I709" s="37">
        <f>IF(Settings!$E$15="POINTS",((R709*Q709)*Settings!$B$12)+(S709*Settings!$B$2)+(T709*Settings!$B$3)+(U709*Settings!$B$4)+(V709*Settings!$B$5)+(X709*Settings!$B$9)+(AA709*Settings!$B$6)+(W709*Settings!$B$8)+(AB709*Settings!$B$7)+(AC709*Settings!$B$14)+(AD709*Settings!$B$15)+(AE709*Settings!$B$16)+(AF709*Settings!$B$17)+(AG709*Settings!$B$18)+(Y709*Settings!$B$10)+(Z709*Settings!$B$11),VLOOKUP(B709,'Standard Deviations'!A1:C728,3,FALSE))</f>
        <v>78.634348169884433</v>
      </c>
      <c r="J709" s="38">
        <f>IF(D709="G",I709/AJ709,I709/Q709)</f>
        <v>1.3189256653788064</v>
      </c>
      <c r="K709" s="37">
        <f>IF(Settings!$E$18="C/LW/RW",VLOOKUP(B709,'C'!A1:F211,6,FALSE),VLOOKUP(B709,F!A1:F430,6,FALSE))</f>
        <v>-314.69445759632521</v>
      </c>
      <c r="L709" s="52" t="str">
        <f>IFERROR(K709/H709,"N/A")</f>
        <v>N/A</v>
      </c>
      <c r="M709" s="53" t="str">
        <f>IF(Settings!$E$9="YAHOO",VLOOKUP(B709,ADP!A1:E728,2,FALSE),IF(Settings!$E$9="ESPN",VLOOKUP(B709,ADP!A1:E728,3,FALSE),IF(Settings!$E$9="FANTRAX",VLOOKUP(B709,ADP!A1:E728,4,FALSE),VLOOKUP(B709,ADP!A1:E728,5,FALSE))))</f>
        <v>-</v>
      </c>
      <c r="N709" s="53" t="str">
        <f>IFERROR(M709-A709,"N/A")</f>
        <v>N/A</v>
      </c>
      <c r="O709" s="39"/>
      <c r="P709" s="40" t="str">
        <f>IF(Settings!$E$27="ON",VLOOKUP(B709,ADP!A1:H728,8,FALSE)," ")</f>
        <v xml:space="preserve"> </v>
      </c>
      <c r="Q709" s="41">
        <f>IF(Settings!$E$12="YES",VLOOKUP(B709,'Player Data'!A1:E734,5,FALSE),82)</f>
        <v>59.62</v>
      </c>
      <c r="R709" s="39">
        <f>VLOOKUP(B709,'Player Data'!$A1:$AE734,6,FALSE)</f>
        <v>9.6253540182709099</v>
      </c>
      <c r="S709" s="41">
        <f>VLOOKUP(B709,'Player Data'!$A1:$AE734,7,FALSE)*$Q709*IFERROR((VLOOKUP(P709,Settings!$E$28:$F$33,2,FALSE)+1),1)</f>
        <v>6.3922951323043078</v>
      </c>
      <c r="T709" s="41">
        <f>VLOOKUP(B709,'Player Data'!$A1:$AE734,8,FALSE)*$Q709*IFERROR((VLOOKUP(P709,Settings!$E$28:$F$33,2,FALSE)+1),1)</f>
        <v>8.3440223850668378</v>
      </c>
      <c r="U709" s="41">
        <f>SUM(S709:T709)</f>
        <v>14.736317517371145</v>
      </c>
      <c r="V709" s="41">
        <f>VLOOKUP(B709,'Player Data'!$A1:$AE734,10,FALSE)*$Q709*IFERROR(((VLOOKUP(P709,Settings!$E$28:$F$33,2,FALSE)/2)+1),1)</f>
        <v>57.934974589537838</v>
      </c>
      <c r="W709" s="41">
        <f>VLOOKUP(B709,'Player Data'!$A1:$AE734,11,FALSE)*$Q709*IFERROR((VLOOKUP(P709,Settings!$E$28:$F$33,2,FALSE)+1),1)</f>
        <v>4.89481499914559E-2</v>
      </c>
      <c r="X709" s="41">
        <f>VLOOKUP(B709,'Player Data'!$A1:$AE734,12,FALSE)*$Q709*IFERROR((VLOOKUP(P709,Settings!$E$28:$F$33,2,FALSE)+1),1)</f>
        <v>0.1234886847037535</v>
      </c>
      <c r="Y709" s="41">
        <f>VLOOKUP(B709,'Player Data'!$A1:$AE734,13,FALSE)*$Q709</f>
        <v>3.9986828016319809E-2</v>
      </c>
      <c r="Z709" s="41">
        <f>VLOOKUP(B709,'Player Data'!$A1:$AE734,14,FALSE)*$Q709</f>
        <v>7.2922134988529327E-2</v>
      </c>
      <c r="AA709" s="41">
        <f>VLOOKUP(B709,'Player Data'!$A1:$AE734,15,FALSE)*$Q709</f>
        <v>25.32543341808757</v>
      </c>
      <c r="AB709" s="41">
        <f>VLOOKUP(B709,'Player Data'!$A1:$AE734,16,FALSE)*$Q709</f>
        <v>70.926299902733902</v>
      </c>
      <c r="AC709" s="41">
        <f>VLOOKUP(B709,'Player Data'!$A1:$AE734,17,FALSE)*$Q709*IFERROR((VLOOKUP(P709,Settings!$E$28:$F$33,2,FALSE)+1),1)</f>
        <v>-2.5213161383502802</v>
      </c>
      <c r="AD709" s="41">
        <f>VLOOKUP(B709,'Player Data'!$A1:$AE734,18,FALSE)*$Q709</f>
        <v>15.222408924966894</v>
      </c>
      <c r="AE709" s="41">
        <f>VLOOKUP(B709,'Player Data'!$A1:$AE734,19,FALSE)*$Q709*IFERROR((VLOOKUP(P709,Settings!$E$28:$F$33,2,FALSE)+1),1)</f>
        <v>0.73557886247715853</v>
      </c>
      <c r="AF709" s="41">
        <f>VLOOKUP(B709,'Player Data'!$A1:$AE734,20,FALSE)*$Q709</f>
        <v>110.69174636304335</v>
      </c>
      <c r="AG709" s="41">
        <f>VLOOKUP(B709,'Player Data'!$A1:$AE734,21,FALSE)*$Q709</f>
        <v>202.58678107953298</v>
      </c>
      <c r="AH709" s="42">
        <f>VLOOKUP(B709,'Player Data'!$A1:$AE734,22,FALSE)</f>
        <v>0.353333333333333</v>
      </c>
      <c r="AI709" s="39"/>
      <c r="AJ709" s="43"/>
      <c r="AK709" s="41"/>
      <c r="AL709" s="41"/>
      <c r="AM709" s="41"/>
      <c r="AN709" s="41"/>
      <c r="AO709" s="41"/>
      <c r="AP709" s="41"/>
      <c r="AQ709" s="44"/>
      <c r="AR709" s="45"/>
      <c r="AS709" s="39"/>
    </row>
    <row r="710" spans="1:45" ht="21.25" customHeight="1" x14ac:dyDescent="0.15">
      <c r="A710" s="31">
        <f>RANK(K710,K$2:K$727)</f>
        <v>709</v>
      </c>
      <c r="B710" s="8" t="s">
        <v>814</v>
      </c>
      <c r="C710" s="32" t="s">
        <v>106</v>
      </c>
      <c r="D710" s="33" t="str">
        <f>VLOOKUP(B710,'Player Data'!A1:D734,4,FALSE)</f>
        <v>C</v>
      </c>
      <c r="E710" s="34">
        <f>VLOOKUP(B710,'C'!A1:C211,3,FALSE)</f>
        <v>196</v>
      </c>
      <c r="F710" s="35" t="str">
        <f>VLOOKUP(B710,'Player Data'!A1:B734,2,FALSE)</f>
        <v>MIN</v>
      </c>
      <c r="G710" s="9">
        <f>VLOOKUP(B710,'Player Data'!A1:D734,3,FALSE)</f>
        <v>21</v>
      </c>
      <c r="H710" s="36">
        <f>IFERROR(VLOOKUP(B710,ADP!A1:G728,7,FALSE)/1000000,VLOOKUP(B710,ADP!A1:G728,7,FALSE))</f>
        <v>0.86333300000000002</v>
      </c>
      <c r="I710" s="37">
        <f>IF(Settings!$E$15="POINTS",((R710*Q710)*Settings!$B$12)+(S710*Settings!$B$2)+(T710*Settings!$B$3)+(U710*Settings!$B$4)+(V710*Settings!$B$5)+(X710*Settings!$B$9)+(AA710*Settings!$B$6)+(W710*Settings!$B$8)+(AB710*Settings!$B$7)+(AC710*Settings!$B$14)+(AD710*Settings!$B$15)+(AE710*Settings!$B$16)+(AF710*Settings!$B$17)+(AG710*Settings!$B$18)+(Y710*Settings!$B$10)+(Z710*Settings!$B$11),VLOOKUP(B710,'Standard Deviations'!A1:C728,3,FALSE))</f>
        <v>77.456546722325498</v>
      </c>
      <c r="J710" s="38">
        <f>IF(D710="G",I710/AJ710,I710/Q710)</f>
        <v>1.4997153148230891</v>
      </c>
      <c r="K710" s="37">
        <f>IF(Settings!$E$18="C/LW/RW",VLOOKUP(B710,'C'!A1:F211,6,FALSE),VLOOKUP(B710,F!A1:F430,6,FALSE))</f>
        <v>-315.87225904388413</v>
      </c>
      <c r="L710" s="37">
        <f>IFERROR(K710/H710,"N/A")</f>
        <v>-365.87534479034639</v>
      </c>
      <c r="M710" s="53" t="str">
        <f>IF(Settings!$E$9="YAHOO",VLOOKUP(B710,ADP!A1:E728,2,FALSE),IF(Settings!$E$9="ESPN",VLOOKUP(B710,ADP!A1:E728,3,FALSE),IF(Settings!$E$9="FANTRAX",VLOOKUP(B710,ADP!A1:E728,4,FALSE),VLOOKUP(B710,ADP!A1:E728,5,FALSE))))</f>
        <v>-</v>
      </c>
      <c r="N710" s="53" t="str">
        <f>IFERROR(M710-A710,"N/A")</f>
        <v>N/A</v>
      </c>
      <c r="O710" s="39"/>
      <c r="P710" s="40" t="str">
        <f>IF(Settings!$E$27="ON",VLOOKUP(B710,ADP!A1:H728,8,FALSE)," ")</f>
        <v xml:space="preserve"> </v>
      </c>
      <c r="Q710" s="41">
        <f>IF(Settings!$E$12="YES",VLOOKUP(B710,'Player Data'!A1:E734,5,FALSE),82)</f>
        <v>51.647500000000001</v>
      </c>
      <c r="R710" s="39">
        <f>VLOOKUP(B710,'Player Data'!$A1:$AE734,6,FALSE)</f>
        <v>12.886467260524</v>
      </c>
      <c r="S710" s="41">
        <f>VLOOKUP(B710,'Player Data'!$A1:$AE734,7,FALSE)*$Q710*IFERROR((VLOOKUP(P710,Settings!$E$28:$F$33,2,FALSE)+1),1)</f>
        <v>5.4324129033696513</v>
      </c>
      <c r="T710" s="41">
        <f>VLOOKUP(B710,'Player Data'!$A1:$AE734,8,FALSE)*$Q710*IFERROR((VLOOKUP(P710,Settings!$E$28:$F$33,2,FALSE)+1),1)</f>
        <v>8.3599429570149368</v>
      </c>
      <c r="U710" s="41">
        <f>SUM(S710:T710)</f>
        <v>13.792355860384589</v>
      </c>
      <c r="V710" s="41">
        <f>VLOOKUP(B710,'Player Data'!$A1:$AE734,10,FALSE)*$Q710*IFERROR(((VLOOKUP(P710,Settings!$E$28:$F$33,2,FALSE)/2)+1),1)</f>
        <v>55.695422935300719</v>
      </c>
      <c r="W710" s="41">
        <f>VLOOKUP(B710,'Player Data'!$A1:$AE734,11,FALSE)*$Q710*IFERROR((VLOOKUP(P710,Settings!$E$28:$F$33,2,FALSE)+1),1)</f>
        <v>0.6867815639162812</v>
      </c>
      <c r="X710" s="41">
        <f>VLOOKUP(B710,'Player Data'!$A1:$AE734,12,FALSE)*$Q710*IFERROR((VLOOKUP(P710,Settings!$E$28:$F$33,2,FALSE)+1),1)</f>
        <v>1.7108158144507384</v>
      </c>
      <c r="Y710" s="41">
        <f>VLOOKUP(B710,'Player Data'!$A1:$AE734,13,FALSE)*$Q710</f>
        <v>5.8767649918389273E-2</v>
      </c>
      <c r="Z710" s="41">
        <f>VLOOKUP(B710,'Player Data'!$A1:$AE734,14,FALSE)*$Q710</f>
        <v>0.10582164038595671</v>
      </c>
      <c r="AA710" s="41">
        <f>VLOOKUP(B710,'Player Data'!$A1:$AE734,15,FALSE)*$Q710</f>
        <v>22.992463819239909</v>
      </c>
      <c r="AB710" s="41">
        <f>VLOOKUP(B710,'Player Data'!$A1:$AE734,16,FALSE)*$Q710</f>
        <v>43.357775907849749</v>
      </c>
      <c r="AC710" s="41">
        <f>VLOOKUP(B710,'Player Data'!$A1:$AE734,17,FALSE)*$Q710*IFERROR((VLOOKUP(P710,Settings!$E$28:$F$33,2,FALSE)+1),1)</f>
        <v>0.17964310224042321</v>
      </c>
      <c r="AD710" s="41">
        <f>VLOOKUP(B710,'Player Data'!$A1:$AE734,18,FALSE)*$Q710</f>
        <v>20.316726024670963</v>
      </c>
      <c r="AE710" s="41">
        <f>VLOOKUP(B710,'Player Data'!$A1:$AE734,19,FALSE)*$Q710*IFERROR((VLOOKUP(P710,Settings!$E$28:$F$33,2,FALSE)+1),1)</f>
        <v>0.87231739172722123</v>
      </c>
      <c r="AF710" s="41">
        <f>VLOOKUP(B710,'Player Data'!$A1:$AE734,20,FALSE)*$Q710</f>
        <v>187.55271553328177</v>
      </c>
      <c r="AG710" s="41">
        <f>VLOOKUP(B710,'Player Data'!$A1:$AE734,21,FALSE)*$Q710</f>
        <v>222.42638228084644</v>
      </c>
      <c r="AH710" s="42">
        <f>VLOOKUP(B710,'Player Data'!$A1:$AE734,22,FALSE)</f>
        <v>0.45746896984078</v>
      </c>
      <c r="AI710" s="39"/>
      <c r="AJ710" s="43"/>
      <c r="AK710" s="41"/>
      <c r="AL710" s="41"/>
      <c r="AM710" s="41"/>
      <c r="AN710" s="41"/>
      <c r="AO710" s="41"/>
      <c r="AP710" s="41"/>
      <c r="AQ710" s="44"/>
      <c r="AR710" s="45"/>
      <c r="AS710" s="39"/>
    </row>
    <row r="711" spans="1:45" ht="21.25" customHeight="1" x14ac:dyDescent="0.15">
      <c r="A711" s="31">
        <f>RANK(K711,K$2:K$727)</f>
        <v>710</v>
      </c>
      <c r="B711" s="8" t="s">
        <v>815</v>
      </c>
      <c r="C711" s="32" t="s">
        <v>106</v>
      </c>
      <c r="D711" s="33" t="str">
        <f>VLOOKUP(B711,'Player Data'!A1:D734,4,FALSE)</f>
        <v>C</v>
      </c>
      <c r="E711" s="34">
        <f>VLOOKUP(B711,'C'!A1:C211,3,FALSE)</f>
        <v>197</v>
      </c>
      <c r="F711" s="35" t="str">
        <f>VLOOKUP(B711,'Player Data'!A1:B734,2,FALSE)</f>
        <v>OTT</v>
      </c>
      <c r="G711" s="9">
        <f>VLOOKUP(B711,'Player Data'!A1:D734,3,FALSE)</f>
        <v>24</v>
      </c>
      <c r="H711" s="36">
        <f>IFERROR(VLOOKUP(B711,ADP!A1:G728,7,FALSE)/1000000,VLOOKUP(B711,ADP!A1:G728,7,FALSE))</f>
        <v>0.83499999999999996</v>
      </c>
      <c r="I711" s="37">
        <f>IF(Settings!$E$15="POINTS",((R711*Q711)*Settings!$B$12)+(S711*Settings!$B$2)+(T711*Settings!$B$3)+(U711*Settings!$B$4)+(V711*Settings!$B$5)+(X711*Settings!$B$9)+(AA711*Settings!$B$6)+(W711*Settings!$B$8)+(AB711*Settings!$B$7)+(AC711*Settings!$B$14)+(AD711*Settings!$B$15)+(AE711*Settings!$B$16)+(AF711*Settings!$B$17)+(AG711*Settings!$B$18)+(Y711*Settings!$B$10)+(Z711*Settings!$B$11),VLOOKUP(B711,'Standard Deviations'!A1:C728,3,FALSE))</f>
        <v>76.980455060115403</v>
      </c>
      <c r="J711" s="38">
        <f>IF(D711="G",I711/AJ711,I711/Q711)</f>
        <v>1.2154009087841391</v>
      </c>
      <c r="K711" s="37">
        <f>IF(Settings!$E$18="C/LW/RW",VLOOKUP(B711,'C'!A1:F211,6,FALSE),VLOOKUP(B711,F!A1:F430,6,FALSE))</f>
        <v>-316.34835070609427</v>
      </c>
      <c r="L711" s="37">
        <f>IFERROR(K711/H711,"N/A")</f>
        <v>-378.86030024681952</v>
      </c>
      <c r="M711" s="53" t="str">
        <f>IF(Settings!$E$9="YAHOO",VLOOKUP(B711,ADP!A1:E728,2,FALSE),IF(Settings!$E$9="ESPN",VLOOKUP(B711,ADP!A1:E728,3,FALSE),IF(Settings!$E$9="FANTRAX",VLOOKUP(B711,ADP!A1:E728,4,FALSE),VLOOKUP(B711,ADP!A1:E728,5,FALSE))))</f>
        <v>-</v>
      </c>
      <c r="N711" s="53" t="str">
        <f>IFERROR(M711-A711,"N/A")</f>
        <v>N/A</v>
      </c>
      <c r="O711" s="39"/>
      <c r="P711" s="40" t="str">
        <f>IF(Settings!$E$27="ON",VLOOKUP(B711,ADP!A1:H728,8,FALSE)," ")</f>
        <v xml:space="preserve"> </v>
      </c>
      <c r="Q711" s="41">
        <f>IF(Settings!$E$12="YES",VLOOKUP(B711,'Player Data'!A1:E734,5,FALSE),82)</f>
        <v>63.337499999999999</v>
      </c>
      <c r="R711" s="39">
        <f>VLOOKUP(B711,'Player Data'!$A1:$AE734,6,FALSE)</f>
        <v>8.7474233384146292</v>
      </c>
      <c r="S711" s="41">
        <f>VLOOKUP(B711,'Player Data'!$A1:$AE734,7,FALSE)*$Q711*IFERROR((VLOOKUP(P711,Settings!$E$28:$F$33,2,FALSE)+1),1)</f>
        <v>6.6402379949047914</v>
      </c>
      <c r="T711" s="41">
        <f>VLOOKUP(B711,'Player Data'!$A1:$AE734,8,FALSE)*$Q711*IFERROR((VLOOKUP(P711,Settings!$E$28:$F$33,2,FALSE)+1),1)</f>
        <v>5.6611012252195243</v>
      </c>
      <c r="U711" s="41">
        <f>SUM(S711:T711)</f>
        <v>12.301339220124316</v>
      </c>
      <c r="V711" s="41">
        <f>VLOOKUP(B711,'Player Data'!$A1:$AE734,10,FALSE)*$Q711*IFERROR(((VLOOKUP(P711,Settings!$E$28:$F$33,2,FALSE)/2)+1),1)</f>
        <v>65.578859654079707</v>
      </c>
      <c r="W711" s="41">
        <f>VLOOKUP(B711,'Player Data'!$A1:$AE734,11,FALSE)*$Q711*IFERROR((VLOOKUP(P711,Settings!$E$28:$F$33,2,FALSE)+1),1)</f>
        <v>4.4119966798229951E-2</v>
      </c>
      <c r="X711" s="41">
        <f>VLOOKUP(B711,'Player Data'!$A1:$AE734,12,FALSE)*$Q711*IFERROR((VLOOKUP(P711,Settings!$E$28:$F$33,2,FALSE)+1),1)</f>
        <v>0.11292344288711187</v>
      </c>
      <c r="Y711" s="41">
        <f>VLOOKUP(B711,'Player Data'!$A1:$AE734,13,FALSE)*$Q711</f>
        <v>0.13571986296920263</v>
      </c>
      <c r="Z711" s="41">
        <f>VLOOKUP(B711,'Player Data'!$A1:$AE734,14,FALSE)*$Q711</f>
        <v>0.25109836452904644</v>
      </c>
      <c r="AA711" s="41">
        <f>VLOOKUP(B711,'Player Data'!$A1:$AE734,15,FALSE)*$Q711</f>
        <v>32.794819789351457</v>
      </c>
      <c r="AB711" s="41">
        <f>VLOOKUP(B711,'Player Data'!$A1:$AE734,16,FALSE)*$Q711</f>
        <v>131.73154619379949</v>
      </c>
      <c r="AC711" s="41">
        <f>VLOOKUP(B711,'Player Data'!$A1:$AE734,17,FALSE)*$Q711*IFERROR((VLOOKUP(P711,Settings!$E$28:$F$33,2,FALSE)+1),1)</f>
        <v>0.63035399399219161</v>
      </c>
      <c r="AD711" s="41">
        <f>VLOOKUP(B711,'Player Data'!$A1:$AE734,18,FALSE)*$Q711</f>
        <v>38.493056058467353</v>
      </c>
      <c r="AE711" s="41">
        <f>VLOOKUP(B711,'Player Data'!$A1:$AE734,19,FALSE)*$Q711*IFERROR((VLOOKUP(P711,Settings!$E$28:$F$33,2,FALSE)+1),1)</f>
        <v>0.92233529695549576</v>
      </c>
      <c r="AF711" s="41">
        <f>VLOOKUP(B711,'Player Data'!$A1:$AE734,20,FALSE)*$Q711</f>
        <v>319.66633458874321</v>
      </c>
      <c r="AG711" s="41">
        <f>VLOOKUP(B711,'Player Data'!$A1:$AE734,21,FALSE)*$Q711</f>
        <v>239.87536234465117</v>
      </c>
      <c r="AH711" s="42">
        <f>VLOOKUP(B711,'Player Data'!$A1:$AE734,22,FALSE)</f>
        <v>0.571300291543411</v>
      </c>
      <c r="AI711" s="39"/>
      <c r="AJ711" s="43"/>
      <c r="AK711" s="41"/>
      <c r="AL711" s="41"/>
      <c r="AM711" s="41"/>
      <c r="AN711" s="41"/>
      <c r="AO711" s="41"/>
      <c r="AP711" s="41"/>
      <c r="AQ711" s="44"/>
      <c r="AR711" s="45"/>
      <c r="AS711" s="39"/>
    </row>
    <row r="712" spans="1:45" ht="21.25" customHeight="1" x14ac:dyDescent="0.15">
      <c r="A712" s="31">
        <f>RANK(K712,K$2:K$727)</f>
        <v>711</v>
      </c>
      <c r="B712" s="8" t="s">
        <v>816</v>
      </c>
      <c r="C712" s="32" t="s">
        <v>106</v>
      </c>
      <c r="D712" s="33" t="str">
        <f>VLOOKUP(B712,'Player Data'!A1:D734,4,FALSE)</f>
        <v>G</v>
      </c>
      <c r="E712" s="50">
        <f>VLOOKUP(B712,G!A1:D75,3,FALSE)</f>
        <v>70</v>
      </c>
      <c r="F712" s="35" t="str">
        <f>VLOOKUP(B712,'Player Data'!A1:B734,2,FALSE)</f>
        <v>MTL</v>
      </c>
      <c r="G712" s="9">
        <f>VLOOKUP(B712,'Player Data'!A1:D734,3,FALSE)</f>
        <v>32</v>
      </c>
      <c r="H712" s="36">
        <f>IFERROR(VLOOKUP(B712,ADP!A1:G728,7,FALSE)/1000000,VLOOKUP(B712,ADP!A1:G728,7,FALSE))</f>
        <v>1.8</v>
      </c>
      <c r="I712" s="37">
        <f>IF(Settings!$E$15="POINTS",(AJ712*Settings!$B$29)+(AK712*Settings!$B$21)+(AL712*Settings!$B$22)+(AN712*Settings!$B$24)+(AO712*Settings!$B$25)+(AP712*Settings!$B$27)+(AM712*Settings!$B$23),VLOOKUP(B712,'Standard Deviations'!A1:C728,3,FALSE))</f>
        <v>81.915688384978125</v>
      </c>
      <c r="J712" s="38">
        <f>IF(D712="G",I712/AJ712,I712/Q712)</f>
        <v>5.8511205989270092</v>
      </c>
      <c r="K712" s="37">
        <f>VLOOKUP(B712,G!A1:F75,6,FALSE)</f>
        <v>-316.85997370433807</v>
      </c>
      <c r="L712" s="37">
        <f>IFERROR(K712/H712,"N/A")</f>
        <v>-176.03331872463227</v>
      </c>
      <c r="M712" s="53" t="str">
        <f>IF(Settings!$E$9="YAHOO",VLOOKUP(B712,ADP!A1:E728,2,FALSE),IF(Settings!$E$9="ESPN",VLOOKUP(B712,ADP!A1:E728,3,FALSE),IF(Settings!$E$9="FANTRAX",VLOOKUP(B712,ADP!A1:E728,4,FALSE),VLOOKUP(B712,ADP!A1:E728,5,FALSE))))</f>
        <v>-</v>
      </c>
      <c r="N712" s="53" t="str">
        <f>IFERROR(M712-A712,"N/A")</f>
        <v>N/A</v>
      </c>
      <c r="O712" s="39"/>
      <c r="P712" s="40" t="str">
        <f>IF(Settings!$E$27="ON",VLOOKUP(B712,ADP!A1:H728,8,FALSE)," ")</f>
        <v xml:space="preserve"> </v>
      </c>
      <c r="Q712" s="41"/>
      <c r="R712" s="5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2"/>
      <c r="AI712" s="39"/>
      <c r="AJ712" s="43">
        <f>VLOOKUP(B712,'Player Data'!$A1:$AE734,24,FALSE)</f>
        <v>14</v>
      </c>
      <c r="AK712" s="41">
        <f>VLOOKUP(B712,'Player Data'!$A1:$AE734,25,FALSE)*$AJ712*IFERROR((VLOOKUP(P712,Settings!$E$28:$F$33,2,FALSE)+1),1)</f>
        <v>4.8390127682700861</v>
      </c>
      <c r="AL712" s="41">
        <f>AJ712-AK712-AM712</f>
        <v>7.4109872317299139</v>
      </c>
      <c r="AM712" s="41">
        <f>VLOOKUP(B712,'Player Data'!$A1:$AE734,27,FALSE)*$AJ712</f>
        <v>1.75</v>
      </c>
      <c r="AN712" s="41">
        <f>VLOOKUP(B712,'Player Data'!$A1:$AE734,28,FALSE)*AJ712</f>
        <v>0.42181089809250705</v>
      </c>
      <c r="AO712" s="41">
        <f>VLOOKUP(B712,'Player Data'!$A1:$AE734,29,FALSE)*$AJ712*IFERROR((VLOOKUP(P712,Settings!$E$28:$F$33,2,FALSE)/4)+1,1)</f>
        <v>397.72176614185264</v>
      </c>
      <c r="AP712" s="41">
        <f>VLOOKUP(B712,'Player Data'!$A1:$AE734,31,FALSE)*$AJ712*(IFERROR(1-(VLOOKUP(P712,Settings!$E$28:$F$33,2,FALSE)/4),1))</f>
        <v>44.101951595647819</v>
      </c>
      <c r="AQ712" s="44">
        <f>1-(AP712/(AO712+AP712))</f>
        <v>0.90018201869857517</v>
      </c>
      <c r="AR712" s="45">
        <f>AP712/AJ712</f>
        <v>3.15013939968913</v>
      </c>
      <c r="AS712" s="39"/>
    </row>
    <row r="713" spans="1:45" ht="21.25" customHeight="1" x14ac:dyDescent="0.15">
      <c r="A713" s="31">
        <f>RANK(K713,K$2:K$727)</f>
        <v>712</v>
      </c>
      <c r="B713" s="8" t="s">
        <v>817</v>
      </c>
      <c r="C713" s="32" t="s">
        <v>106</v>
      </c>
      <c r="D713" s="33" t="str">
        <f>VLOOKUP(B713,'Player Data'!A1:D734,4,FALSE)</f>
        <v>C</v>
      </c>
      <c r="E713" s="34">
        <f>VLOOKUP(B713,'C'!A1:C211,3,FALSE)</f>
        <v>198</v>
      </c>
      <c r="F713" s="35" t="str">
        <f>VLOOKUP(B713,'Player Data'!A1:B734,2,FALSE)</f>
        <v>BOS</v>
      </c>
      <c r="G713" s="9">
        <f>VLOOKUP(B713,'Player Data'!A1:D734,3,FALSE)</f>
        <v>23</v>
      </c>
      <c r="H713" s="36">
        <f>IFERROR(VLOOKUP(B713,ADP!A1:G728,7,FALSE)/1000000,VLOOKUP(B713,ADP!A1:G728,7,FALSE))</f>
        <v>0</v>
      </c>
      <c r="I713" s="37">
        <f>IF(Settings!$E$15="POINTS",((R713*Q713)*Settings!$B$12)+(S713*Settings!$B$2)+(T713*Settings!$B$3)+(U713*Settings!$B$4)+(V713*Settings!$B$5)+(X713*Settings!$B$9)+(AA713*Settings!$B$6)+(W713*Settings!$B$8)+(AB713*Settings!$B$7)+(AC713*Settings!$B$14)+(AD713*Settings!$B$15)+(AE713*Settings!$B$16)+(AF713*Settings!$B$17)+(AG713*Settings!$B$18)+(Y713*Settings!$B$10)+(Z713*Settings!$B$11),VLOOKUP(B713,'Standard Deviations'!A1:C728,3,FALSE))</f>
        <v>75.280642100190647</v>
      </c>
      <c r="J713" s="38">
        <f>IF(D713="G",I713/AJ713,I713/Q713)</f>
        <v>1.4454114549069388</v>
      </c>
      <c r="K713" s="37">
        <f>IF(Settings!$E$18="C/LW/RW",VLOOKUP(B713,'C'!A1:F211,6,FALSE),VLOOKUP(B713,F!A1:F430,6,FALSE))</f>
        <v>-318.04816366601904</v>
      </c>
      <c r="L713" s="52" t="str">
        <f>IFERROR(K713/H713,"N/A")</f>
        <v>N/A</v>
      </c>
      <c r="M713" s="53" t="str">
        <f>IF(Settings!$E$9="YAHOO",VLOOKUP(B713,ADP!A1:E728,2,FALSE),IF(Settings!$E$9="ESPN",VLOOKUP(B713,ADP!A1:E728,3,FALSE),IF(Settings!$E$9="FANTRAX",VLOOKUP(B713,ADP!A1:E728,4,FALSE),VLOOKUP(B713,ADP!A1:E728,5,FALSE))))</f>
        <v>-</v>
      </c>
      <c r="N713" s="53" t="str">
        <f>IFERROR(M713-A713,"N/A")</f>
        <v>N/A</v>
      </c>
      <c r="O713" s="39"/>
      <c r="P713" s="40" t="str">
        <f>IF(Settings!$E$27="ON",VLOOKUP(B713,ADP!A1:H728,8,FALSE)," ")</f>
        <v xml:space="preserve"> </v>
      </c>
      <c r="Q713" s="41">
        <f>IF(Settings!$E$12="YES",VLOOKUP(B713,'Player Data'!A1:E734,5,FALSE),82)</f>
        <v>52.082500000000003</v>
      </c>
      <c r="R713" s="39">
        <f>VLOOKUP(B713,'Player Data'!$A1:$AE734,6,FALSE)</f>
        <v>10.4881712267675</v>
      </c>
      <c r="S713" s="41">
        <f>VLOOKUP(B713,'Player Data'!$A1:$AE734,7,FALSE)*$Q713*IFERROR((VLOOKUP(P713,Settings!$E$28:$F$33,2,FALSE)+1),1)</f>
        <v>7.6453877811547093</v>
      </c>
      <c r="T713" s="41">
        <f>VLOOKUP(B713,'Player Data'!$A1:$AE734,8,FALSE)*$Q713*IFERROR((VLOOKUP(P713,Settings!$E$28:$F$33,2,FALSE)+1),1)</f>
        <v>7.6466097596789906</v>
      </c>
      <c r="U713" s="41">
        <f>SUM(S713:T713)</f>
        <v>15.2919975408337</v>
      </c>
      <c r="V713" s="41">
        <f>VLOOKUP(B713,'Player Data'!$A1:$AE734,10,FALSE)*$Q713*IFERROR(((VLOOKUP(P713,Settings!$E$28:$F$33,2,FALSE)/2)+1),1)</f>
        <v>50.386954197036083</v>
      </c>
      <c r="W713" s="41">
        <f>VLOOKUP(B713,'Player Data'!$A1:$AE734,11,FALSE)*$Q713*IFERROR((VLOOKUP(P713,Settings!$E$28:$F$33,2,FALSE)+1),1)</f>
        <v>1.0566061299024314E-2</v>
      </c>
      <c r="X713" s="41">
        <f>VLOOKUP(B713,'Player Data'!$A1:$AE734,12,FALSE)*$Q713*IFERROR((VLOOKUP(P713,Settings!$E$28:$F$33,2,FALSE)+1),1)</f>
        <v>2.6884082130234573E-2</v>
      </c>
      <c r="Y713" s="41">
        <f>VLOOKUP(B713,'Player Data'!$A1:$AE734,13,FALSE)*$Q713</f>
        <v>9.374587960344942E-2</v>
      </c>
      <c r="Z713" s="41">
        <f>VLOOKUP(B713,'Player Data'!$A1:$AE734,14,FALSE)*$Q713</f>
        <v>0.17241927463259241</v>
      </c>
      <c r="AA713" s="41">
        <f>VLOOKUP(B713,'Player Data'!$A1:$AE734,15,FALSE)*$Q713</f>
        <v>19.062828328229191</v>
      </c>
      <c r="AB713" s="41">
        <f>VLOOKUP(B713,'Player Data'!$A1:$AE734,16,FALSE)*$Q713</f>
        <v>98.723010712794164</v>
      </c>
      <c r="AC713" s="41">
        <f>VLOOKUP(B713,'Player Data'!$A1:$AE734,17,FALSE)*$Q713*IFERROR((VLOOKUP(P713,Settings!$E$28:$F$33,2,FALSE)+1),1)</f>
        <v>1.9397520319258423</v>
      </c>
      <c r="AD713" s="41">
        <f>VLOOKUP(B713,'Player Data'!$A1:$AE734,18,FALSE)*$Q713</f>
        <v>17.996374859340314</v>
      </c>
      <c r="AE713" s="41">
        <f>VLOOKUP(B713,'Player Data'!$A1:$AE734,19,FALSE)*$Q713*IFERROR((VLOOKUP(P713,Settings!$E$28:$F$33,2,FALSE)+1),1)</f>
        <v>1.2835101519613963</v>
      </c>
      <c r="AF713" s="41">
        <f>VLOOKUP(B713,'Player Data'!$A1:$AE734,20,FALSE)*$Q713</f>
        <v>0</v>
      </c>
      <c r="AG713" s="41">
        <f>VLOOKUP(B713,'Player Data'!$A1:$AE734,21,FALSE)*$Q713</f>
        <v>10.719720903068655</v>
      </c>
      <c r="AH713" s="42">
        <f>VLOOKUP(B713,'Player Data'!$A1:$AE734,22,FALSE)</f>
        <v>0</v>
      </c>
      <c r="AI713" s="39"/>
      <c r="AJ713" s="43"/>
      <c r="AK713" s="41"/>
      <c r="AL713" s="41"/>
      <c r="AM713" s="41"/>
      <c r="AN713" s="41"/>
      <c r="AO713" s="41"/>
      <c r="AP713" s="41"/>
      <c r="AQ713" s="44"/>
      <c r="AR713" s="45"/>
      <c r="AS713" s="39"/>
    </row>
    <row r="714" spans="1:45" ht="21.25" customHeight="1" x14ac:dyDescent="0.15">
      <c r="A714" s="31">
        <f>RANK(K714,K$2:K$727)</f>
        <v>713</v>
      </c>
      <c r="B714" s="8" t="s">
        <v>818</v>
      </c>
      <c r="C714" s="32" t="s">
        <v>106</v>
      </c>
      <c r="D714" s="33" t="str">
        <f>VLOOKUP(B714,'Player Data'!A1:D734,4,FALSE)</f>
        <v>G</v>
      </c>
      <c r="E714" s="50">
        <f>VLOOKUP(B714,G!A1:D75,3,FALSE)</f>
        <v>71</v>
      </c>
      <c r="F714" s="35" t="str">
        <f>VLOOKUP(B714,'Player Data'!A1:B734,2,FALSE)</f>
        <v>CGY</v>
      </c>
      <c r="G714" s="9">
        <f>VLOOKUP(B714,'Player Data'!A1:D734,3,FALSE)</f>
        <v>22</v>
      </c>
      <c r="H714" s="36">
        <f>IFERROR(VLOOKUP(B714,ADP!A1:G728,7,FALSE)/1000000,VLOOKUP(B714,ADP!A1:G728,7,FALSE))</f>
        <v>0</v>
      </c>
      <c r="I714" s="37">
        <f>IF(Settings!$E$15="POINTS",(AJ714*Settings!$B$29)+(AK714*Settings!$B$21)+(AL714*Settings!$B$22)+(AN714*Settings!$B$24)+(AO714*Settings!$B$25)+(AP714*Settings!$B$27)+(AM714*Settings!$B$23),VLOOKUP(B714,'Standard Deviations'!A1:C728,3,FALSE))</f>
        <v>80.085747691552427</v>
      </c>
      <c r="J714" s="38">
        <f>IF(D714="G",I714/AJ714,I714/Q714)</f>
        <v>6.6738123076293689</v>
      </c>
      <c r="K714" s="37">
        <f>VLOOKUP(B714,G!A1:F75,6,FALSE)</f>
        <v>-318.6899143977638</v>
      </c>
      <c r="L714" s="52" t="str">
        <f>IFERROR(K714/H714,"N/A")</f>
        <v>N/A</v>
      </c>
      <c r="M714" s="53" t="str">
        <f>IF(Settings!$E$9="YAHOO",VLOOKUP(B714,ADP!A1:E728,2,FALSE),IF(Settings!$E$9="ESPN",VLOOKUP(B714,ADP!A1:E728,3,FALSE),IF(Settings!$E$9="FANTRAX",VLOOKUP(B714,ADP!A1:E728,4,FALSE),VLOOKUP(B714,ADP!A1:E728,5,FALSE))))</f>
        <v>-</v>
      </c>
      <c r="N714" s="53" t="str">
        <f>IFERROR(M714-A714,"N/A")</f>
        <v>N/A</v>
      </c>
      <c r="O714" s="39"/>
      <c r="P714" s="40" t="str">
        <f>IF(Settings!$E$27="ON",VLOOKUP(B714,ADP!A1:H728,8,FALSE)," ")</f>
        <v xml:space="preserve"> </v>
      </c>
      <c r="Q714" s="41"/>
      <c r="R714" s="5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2"/>
      <c r="AI714" s="39"/>
      <c r="AJ714" s="43">
        <f>VLOOKUP(B714,'Player Data'!$A1:$AE734,24,FALSE)</f>
        <v>12</v>
      </c>
      <c r="AK714" s="41">
        <f>VLOOKUP(B714,'Player Data'!$A1:$AE734,25,FALSE)*$AJ714*IFERROR((VLOOKUP(P714,Settings!$E$28:$F$33,2,FALSE)+1),1)</f>
        <v>6.4079026761761764</v>
      </c>
      <c r="AL714" s="41">
        <f>AJ714-AK714-AM714</f>
        <v>4.0920973238238236</v>
      </c>
      <c r="AM714" s="41">
        <f>VLOOKUP(B714,'Player Data'!$A1:$AE734,27,FALSE)*$AJ714</f>
        <v>1.5</v>
      </c>
      <c r="AN714" s="41">
        <f>VLOOKUP(B714,'Player Data'!$A1:$AE734,28,FALSE)*AJ714</f>
        <v>0.65961113615035805</v>
      </c>
      <c r="AO714" s="41">
        <f>VLOOKUP(B714,'Player Data'!$A1:$AE734,29,FALSE)*$AJ714*IFERROR((VLOOKUP(P714,Settings!$E$28:$F$33,2,FALSE)/4)+1,1)</f>
        <v>322.48790157592083</v>
      </c>
      <c r="AP714" s="41">
        <f>VLOOKUP(B714,'Player Data'!$A1:$AE734,31,FALSE)*$AJ714*(IFERROR(1-(VLOOKUP(P714,Settings!$E$28:$F$33,2,FALSE)/4),1))</f>
        <v>33.900377799079081</v>
      </c>
      <c r="AQ714" s="44">
        <f>1-(AP714/(AO714+AP714))</f>
        <v>0.90487796664208386</v>
      </c>
      <c r="AR714" s="45">
        <f>AP714/AJ714</f>
        <v>2.8250314832565899</v>
      </c>
      <c r="AS714" s="39"/>
    </row>
    <row r="715" spans="1:45" ht="21.25" customHeight="1" x14ac:dyDescent="0.15">
      <c r="A715" s="31">
        <f>RANK(K715,K$2:K$727)</f>
        <v>714</v>
      </c>
      <c r="B715" s="8" t="s">
        <v>819</v>
      </c>
      <c r="C715" s="32" t="s">
        <v>106</v>
      </c>
      <c r="D715" s="33" t="str">
        <f>VLOOKUP(B715,'Player Data'!A1:D734,4,FALSE)</f>
        <v>C</v>
      </c>
      <c r="E715" s="34">
        <f>VLOOKUP(B715,'C'!A1:C211,3,FALSE)</f>
        <v>199</v>
      </c>
      <c r="F715" s="35" t="str">
        <f>VLOOKUP(B715,'Player Data'!A1:B734,2,FALSE)</f>
        <v>NYR</v>
      </c>
      <c r="G715" s="9">
        <f>VLOOKUP(B715,'Player Data'!A1:D734,3,FALSE)</f>
        <v>31</v>
      </c>
      <c r="H715" s="36">
        <f>IFERROR(VLOOKUP(B715,ADP!A1:G728,7,FALSE)/1000000,VLOOKUP(B715,ADP!A1:G728,7,FALSE))</f>
        <v>0.78749999999999998</v>
      </c>
      <c r="I715" s="37">
        <f>IF(Settings!$E$15="POINTS",((R715*Q715)*Settings!$B$12)+(S715*Settings!$B$2)+(T715*Settings!$B$3)+(U715*Settings!$B$4)+(V715*Settings!$B$5)+(X715*Settings!$B$9)+(AA715*Settings!$B$6)+(W715*Settings!$B$8)+(AB715*Settings!$B$7)+(AC715*Settings!$B$14)+(AD715*Settings!$B$15)+(AE715*Settings!$B$16)+(AF715*Settings!$B$17)+(AG715*Settings!$B$18)+(Y715*Settings!$B$10)+(Z715*Settings!$B$11),VLOOKUP(B715,'Standard Deviations'!A1:C728,3,FALSE))</f>
        <v>71.94915654708646</v>
      </c>
      <c r="J715" s="38">
        <f>IF(D715="G",I715/AJ715,I715/Q715)</f>
        <v>1.1604702668884912</v>
      </c>
      <c r="K715" s="37">
        <f>IF(Settings!$E$18="C/LW/RW",VLOOKUP(B715,'C'!A1:F211,6,FALSE),VLOOKUP(B715,F!A1:F430,6,FALSE))</f>
        <v>-321.37964921912317</v>
      </c>
      <c r="L715" s="37">
        <f>IFERROR(K715/H715,"N/A")</f>
        <v>-408.10114186555325</v>
      </c>
      <c r="M715" s="53" t="str">
        <f>IF(Settings!$E$9="YAHOO",VLOOKUP(B715,ADP!A1:E728,2,FALSE),IF(Settings!$E$9="ESPN",VLOOKUP(B715,ADP!A1:E728,3,FALSE),IF(Settings!$E$9="FANTRAX",VLOOKUP(B715,ADP!A1:E728,4,FALSE),VLOOKUP(B715,ADP!A1:E728,5,FALSE))))</f>
        <v>-</v>
      </c>
      <c r="N715" s="53" t="str">
        <f>IFERROR(M715-A715,"N/A")</f>
        <v>N/A</v>
      </c>
      <c r="O715" s="39"/>
      <c r="P715" s="40" t="str">
        <f>IF(Settings!$E$27="ON",VLOOKUP(B715,ADP!A1:H728,8,FALSE)," ")</f>
        <v xml:space="preserve"> </v>
      </c>
      <c r="Q715" s="41">
        <f>IF(Settings!$E$12="YES",VLOOKUP(B715,'Player Data'!A1:E734,5,FALSE),82)</f>
        <v>62</v>
      </c>
      <c r="R715" s="39">
        <f>VLOOKUP(B715,'Player Data'!$A1:$AE734,6,FALSE)</f>
        <v>10.0809893441686</v>
      </c>
      <c r="S715" s="41">
        <f>VLOOKUP(B715,'Player Data'!$A1:$AE734,7,FALSE)*$Q715*IFERROR((VLOOKUP(P715,Settings!$E$28:$F$33,2,FALSE)+1),1)</f>
        <v>5.1531019769963526</v>
      </c>
      <c r="T715" s="41">
        <f>VLOOKUP(B715,'Player Data'!$A1:$AE734,8,FALSE)*$Q715*IFERROR((VLOOKUP(P715,Settings!$E$28:$F$33,2,FALSE)+1),1)</f>
        <v>7.2395520669959916</v>
      </c>
      <c r="U715" s="41">
        <f>SUM(S715:T715)</f>
        <v>12.392654043992344</v>
      </c>
      <c r="V715" s="41">
        <f>VLOOKUP(B715,'Player Data'!$A1:$AE734,10,FALSE)*$Q715*IFERROR(((VLOOKUP(P715,Settings!$E$28:$F$33,2,FALSE)/2)+1),1)</f>
        <v>56.707721864622023</v>
      </c>
      <c r="W715" s="41">
        <f>VLOOKUP(B715,'Player Data'!$A1:$AE734,11,FALSE)*$Q715*IFERROR((VLOOKUP(P715,Settings!$E$28:$F$33,2,FALSE)+1),1)</f>
        <v>3.0321748334922995E-2</v>
      </c>
      <c r="X715" s="41">
        <f>VLOOKUP(B715,'Player Data'!$A1:$AE734,12,FALSE)*$Q715*IFERROR((VLOOKUP(P715,Settings!$E$28:$F$33,2,FALSE)+1),1)</f>
        <v>8.9744618646038915E-2</v>
      </c>
      <c r="Y715" s="41">
        <f>VLOOKUP(B715,'Player Data'!$A1:$AE734,13,FALSE)*$Q715</f>
        <v>7.7377009816249939E-2</v>
      </c>
      <c r="Z715" s="41">
        <f>VLOOKUP(B715,'Player Data'!$A1:$AE734,14,FALSE)*$Q715</f>
        <v>0.10461530087086894</v>
      </c>
      <c r="AA715" s="41">
        <f>VLOOKUP(B715,'Player Data'!$A1:$AE734,15,FALSE)*$Q715</f>
        <v>30.143068218822972</v>
      </c>
      <c r="AB715" s="41">
        <f>VLOOKUP(B715,'Player Data'!$A1:$AE734,16,FALSE)*$Q715</f>
        <v>101.76513155768434</v>
      </c>
      <c r="AC715" s="41">
        <f>VLOOKUP(B715,'Player Data'!$A1:$AE734,17,FALSE)*$Q715*IFERROR((VLOOKUP(P715,Settings!$E$28:$F$33,2,FALSE)+1),1)</f>
        <v>2.7198369750462139</v>
      </c>
      <c r="AD715" s="41">
        <f>VLOOKUP(B715,'Player Data'!$A1:$AE734,18,FALSE)*$Q715</f>
        <v>14.159945372011634</v>
      </c>
      <c r="AE715" s="41">
        <f>VLOOKUP(B715,'Player Data'!$A1:$AE734,19,FALSE)*$Q715*IFERROR((VLOOKUP(P715,Settings!$E$28:$F$33,2,FALSE)+1),1)</f>
        <v>0.87807895411426307</v>
      </c>
      <c r="AF715" s="41">
        <f>VLOOKUP(B715,'Player Data'!$A1:$AE734,20,FALSE)*$Q715</f>
        <v>3.0716860250031699</v>
      </c>
      <c r="AG715" s="41">
        <f>VLOOKUP(B715,'Player Data'!$A1:$AE734,21,FALSE)*$Q715</f>
        <v>3.8142160299600798</v>
      </c>
      <c r="AH715" s="42">
        <f>VLOOKUP(B715,'Player Data'!$A1:$AE734,22,FALSE)</f>
        <v>0.44608331638832199</v>
      </c>
      <c r="AI715" s="39"/>
      <c r="AJ715" s="41"/>
      <c r="AK715" s="41"/>
      <c r="AL715" s="41"/>
      <c r="AM715" s="41"/>
      <c r="AN715" s="41"/>
      <c r="AO715" s="41"/>
      <c r="AP715" s="41"/>
      <c r="AQ715" s="44"/>
      <c r="AR715" s="45"/>
      <c r="AS715" s="39"/>
    </row>
    <row r="716" spans="1:45" ht="21.25" customHeight="1" x14ac:dyDescent="0.15">
      <c r="A716" s="31">
        <f>RANK(K716,K$2:K$727)</f>
        <v>715</v>
      </c>
      <c r="B716" s="8" t="s">
        <v>820</v>
      </c>
      <c r="C716" s="32" t="s">
        <v>106</v>
      </c>
      <c r="D716" s="33" t="str">
        <f>VLOOKUP(B716,'Player Data'!A1:D734,4,FALSE)</f>
        <v>LW</v>
      </c>
      <c r="E716" s="47">
        <f>VLOOKUP(B716,LW!A1:C130,3,FALSE)</f>
        <v>128</v>
      </c>
      <c r="F716" s="35" t="str">
        <f>VLOOKUP(B716,'Player Data'!A1:B734,2,FALSE)</f>
        <v>NYI</v>
      </c>
      <c r="G716" s="9">
        <f>VLOOKUP(B716,'Player Data'!A1:D734,3,FALSE)</f>
        <v>29</v>
      </c>
      <c r="H716" s="36">
        <f>IFERROR(VLOOKUP(B716,ADP!A1:G728,7,FALSE)/1000000,VLOOKUP(B716,ADP!A1:G728,7,FALSE))</f>
        <v>1.1000000000000001</v>
      </c>
      <c r="I716" s="37">
        <f>IF(Settings!$E$15="POINTS",((R716*Q716)*Settings!$B$12)+(S716*Settings!$B$2)+(T716*Settings!$B$3)+(U716*Settings!$B$4)+(V716*Settings!$B$5)+(X716*Settings!$B$9)+(AA716*Settings!$B$6)+(W716*Settings!$B$8)+(AB716*Settings!$B$7)+(AC716*Settings!$B$14)+(AD716*Settings!$B$15)+(AE716*Settings!$B$16)+(AF716*Settings!$B$17)+(AG716*Settings!$B$18)+(Y716*Settings!$B$10)+(Z716*Settings!$B$11),VLOOKUP(B716,'Standard Deviations'!A1:C728,3,FALSE))</f>
        <v>41.598750312903341</v>
      </c>
      <c r="J716" s="38">
        <f>IF(D716="G",I716/AJ716,I716/Q716)</f>
        <v>0.7298392204880525</v>
      </c>
      <c r="K716" s="37">
        <f>IF(Settings!$E$18="C/LW/RW",VLOOKUP(B716,LW!A1:F130,6,FALSE),VLOOKUP(B716,F!A1:F430,6,FALSE))</f>
        <v>-322.44185454474712</v>
      </c>
      <c r="L716" s="37">
        <f>IFERROR(K716/H716,"N/A")</f>
        <v>-293.12895867704282</v>
      </c>
      <c r="M716" s="53" t="str">
        <f>IF(Settings!$E$9="YAHOO",VLOOKUP(B716,ADP!A1:E728,2,FALSE),IF(Settings!$E$9="ESPN",VLOOKUP(B716,ADP!A1:E728,3,FALSE),IF(Settings!$E$9="FANTRAX",VLOOKUP(B716,ADP!A1:E728,4,FALSE),VLOOKUP(B716,ADP!A1:E728,5,FALSE))))</f>
        <v>-</v>
      </c>
      <c r="N716" s="53" t="str">
        <f>IFERROR(M716-A716,"N/A")</f>
        <v>N/A</v>
      </c>
      <c r="O716" s="39"/>
      <c r="P716" s="40" t="str">
        <f>IF(Settings!$E$27="ON",VLOOKUP(B716,ADP!A1:H728,8,FALSE)," ")</f>
        <v xml:space="preserve"> </v>
      </c>
      <c r="Q716" s="41">
        <f>IF(Settings!$E$12="YES",VLOOKUP(B716,'Player Data'!A1:E734,5,FALSE),82)</f>
        <v>56.997142857142897</v>
      </c>
      <c r="R716" s="39">
        <f>VLOOKUP(B716,'Player Data'!$A1:$AE734,6,FALSE)</f>
        <v>7.8000427177591503</v>
      </c>
      <c r="S716" s="41">
        <f>VLOOKUP(B716,'Player Data'!$A1:$AE734,7,FALSE)*$Q716*IFERROR((VLOOKUP(P716,Settings!$E$28:$F$33,2,FALSE)+1),1)</f>
        <v>2.5672378920763443</v>
      </c>
      <c r="T716" s="41">
        <f>VLOOKUP(B716,'Player Data'!$A1:$AE734,8,FALSE)*$Q716*IFERROR((VLOOKUP(P716,Settings!$E$28:$F$33,2,FALSE)+1),1)</f>
        <v>5.8800253443137818</v>
      </c>
      <c r="U716" s="41">
        <f>SUM(S716:T716)</f>
        <v>8.4472632363901266</v>
      </c>
      <c r="V716" s="41">
        <f>VLOOKUP(B716,'Player Data'!$A1:$AE734,10,FALSE)*$Q716*IFERROR(((VLOOKUP(P716,Settings!$E$28:$F$33,2,FALSE)/2)+1),1)</f>
        <v>24.857833988372608</v>
      </c>
      <c r="W716" s="41">
        <f>VLOOKUP(B716,'Player Data'!$A1:$AE734,11,FALSE)*$Q716*IFERROR((VLOOKUP(P716,Settings!$E$28:$F$33,2,FALSE)+1),1)</f>
        <v>1.6371989076394245E-2</v>
      </c>
      <c r="X716" s="41">
        <f>VLOOKUP(B716,'Player Data'!$A1:$AE734,12,FALSE)*$Q716*IFERROR((VLOOKUP(P716,Settings!$E$28:$F$33,2,FALSE)+1),1)</f>
        <v>4.3297629354768108E-2</v>
      </c>
      <c r="Y716" s="41">
        <f>VLOOKUP(B716,'Player Data'!$A1:$AE734,13,FALSE)*$Q716</f>
        <v>0</v>
      </c>
      <c r="Z716" s="41">
        <f>VLOOKUP(B716,'Player Data'!$A1:$AE734,14,FALSE)*$Q716</f>
        <v>0</v>
      </c>
      <c r="AA716" s="41">
        <f>VLOOKUP(B716,'Player Data'!$A1:$AE734,15,FALSE)*$Q716</f>
        <v>18.707241754185617</v>
      </c>
      <c r="AB716" s="41">
        <f>VLOOKUP(B716,'Player Data'!$A1:$AE734,16,FALSE)*$Q716</f>
        <v>98.222002270078065</v>
      </c>
      <c r="AC716" s="41">
        <f>VLOOKUP(B716,'Player Data'!$A1:$AE734,17,FALSE)*$Q716*IFERROR((VLOOKUP(P716,Settings!$E$28:$F$33,2,FALSE)+1),1)</f>
        <v>-0.4037206441644372</v>
      </c>
      <c r="AD716" s="41">
        <f>VLOOKUP(B716,'Player Data'!$A1:$AE734,18,FALSE)*$Q716</f>
        <v>33.734378327352658</v>
      </c>
      <c r="AE716" s="41">
        <f>VLOOKUP(B716,'Player Data'!$A1:$AE734,19,FALSE)*$Q716*IFERROR((VLOOKUP(P716,Settings!$E$28:$F$33,2,FALSE)+1),1)</f>
        <v>0.39669436732390778</v>
      </c>
      <c r="AF716" s="41">
        <f>VLOOKUP(B716,'Player Data'!$A1:$AE734,20,FALSE)*$Q716</f>
        <v>1.2872762976260981</v>
      </c>
      <c r="AG716" s="41">
        <f>VLOOKUP(B716,'Player Data'!$A1:$AE734,21,FALSE)*$Q716</f>
        <v>2.9280710425037486</v>
      </c>
      <c r="AH716" s="42">
        <f>VLOOKUP(B716,'Player Data'!$A1:$AE734,22,FALSE)</f>
        <v>0.30537846439635202</v>
      </c>
      <c r="AI716" s="39"/>
      <c r="AJ716" s="43"/>
      <c r="AK716" s="41"/>
      <c r="AL716" s="41"/>
      <c r="AM716" s="41"/>
      <c r="AN716" s="41"/>
      <c r="AO716" s="41"/>
      <c r="AP716" s="41"/>
      <c r="AQ716" s="44"/>
      <c r="AR716" s="45"/>
      <c r="AS716" s="39"/>
    </row>
    <row r="717" spans="1:45" ht="21.25" customHeight="1" x14ac:dyDescent="0.15">
      <c r="A717" s="31">
        <f>RANK(K717,K$2:K$727)</f>
        <v>716</v>
      </c>
      <c r="B717" s="8" t="s">
        <v>821</v>
      </c>
      <c r="C717" s="32" t="s">
        <v>106</v>
      </c>
      <c r="D717" s="33" t="str">
        <f>VLOOKUP(B717,'Player Data'!A1:D734,4,FALSE)</f>
        <v>C</v>
      </c>
      <c r="E717" s="34">
        <f>VLOOKUP(B717,'C'!A1:C211,3,FALSE)</f>
        <v>200</v>
      </c>
      <c r="F717" s="35" t="str">
        <f>VLOOKUP(B717,'Player Data'!A1:B734,2,FALSE)</f>
        <v>TBL</v>
      </c>
      <c r="G717" s="9">
        <f>VLOOKUP(B717,'Player Data'!A1:D734,3,FALSE)</f>
        <v>25</v>
      </c>
      <c r="H717" s="36">
        <f>IFERROR(VLOOKUP(B717,ADP!A1:G728,7,FALSE)/1000000,VLOOKUP(B717,ADP!A1:G728,7,FALSE))</f>
        <v>0</v>
      </c>
      <c r="I717" s="37">
        <f>IF(Settings!$E$15="POINTS",((R717*Q717)*Settings!$B$12)+(S717*Settings!$B$2)+(T717*Settings!$B$3)+(U717*Settings!$B$4)+(V717*Settings!$B$5)+(X717*Settings!$B$9)+(AA717*Settings!$B$6)+(W717*Settings!$B$8)+(AB717*Settings!$B$7)+(AC717*Settings!$B$14)+(AD717*Settings!$B$15)+(AE717*Settings!$B$16)+(AF717*Settings!$B$17)+(AG717*Settings!$B$18)+(Y717*Settings!$B$10)+(Z717*Settings!$B$11),VLOOKUP(B717,'Standard Deviations'!A1:C728,3,FALSE))</f>
        <v>68.580728865866377</v>
      </c>
      <c r="J717" s="38">
        <f>IF(D717="G",I717/AJ717,I717/Q717)</f>
        <v>1.165666317567158</v>
      </c>
      <c r="K717" s="37">
        <f>IF(Settings!$E$18="C/LW/RW",VLOOKUP(B717,'C'!A1:F211,6,FALSE),VLOOKUP(B717,F!A1:F430,6,FALSE))</f>
        <v>-324.74807690034328</v>
      </c>
      <c r="L717" s="52" t="str">
        <f>IFERROR(K717/H717,"N/A")</f>
        <v>N/A</v>
      </c>
      <c r="M717" s="53" t="str">
        <f>IF(Settings!$E$9="YAHOO",VLOOKUP(B717,ADP!A1:E728,2,FALSE),IF(Settings!$E$9="ESPN",VLOOKUP(B717,ADP!A1:E728,3,FALSE),IF(Settings!$E$9="FANTRAX",VLOOKUP(B717,ADP!A1:E728,4,FALSE),VLOOKUP(B717,ADP!A1:E728,5,FALSE))))</f>
        <v>-</v>
      </c>
      <c r="N717" s="53" t="str">
        <f>IFERROR(M717-A717,"N/A")</f>
        <v>N/A</v>
      </c>
      <c r="O717" s="39"/>
      <c r="P717" s="40" t="str">
        <f>IF(Settings!$E$27="ON",VLOOKUP(B717,ADP!A1:H728,8,FALSE)," ")</f>
        <v xml:space="preserve"> </v>
      </c>
      <c r="Q717" s="41">
        <f>IF(Settings!$E$12="YES",VLOOKUP(B717,'Player Data'!A1:E734,5,FALSE),82)</f>
        <v>58.833928571428601</v>
      </c>
      <c r="R717" s="39">
        <f>VLOOKUP(B717,'Player Data'!$A1:$AE734,6,FALSE)</f>
        <v>9.8003265705411593</v>
      </c>
      <c r="S717" s="41">
        <f>VLOOKUP(B717,'Player Data'!$A1:$AE734,7,FALSE)*$Q717*IFERROR((VLOOKUP(P717,Settings!$E$28:$F$33,2,FALSE)+1),1)</f>
        <v>5.368786908140053</v>
      </c>
      <c r="T717" s="41">
        <f>VLOOKUP(B717,'Player Data'!$A1:$AE734,8,FALSE)*$Q717*IFERROR((VLOOKUP(P717,Settings!$E$28:$F$33,2,FALSE)+1),1)</f>
        <v>8.4001139450969848</v>
      </c>
      <c r="U717" s="41">
        <f>SUM(S717:T717)</f>
        <v>13.768900853237039</v>
      </c>
      <c r="V717" s="41">
        <f>VLOOKUP(B717,'Player Data'!$A1:$AE734,10,FALSE)*$Q717*IFERROR(((VLOOKUP(P717,Settings!$E$28:$F$33,2,FALSE)/2)+1),1)</f>
        <v>45.424527527303034</v>
      </c>
      <c r="W717" s="41">
        <f>VLOOKUP(B717,'Player Data'!$A1:$AE734,11,FALSE)*$Q717*IFERROR((VLOOKUP(P717,Settings!$E$28:$F$33,2,FALSE)+1),1)</f>
        <v>0.1643799491192981</v>
      </c>
      <c r="X717" s="41">
        <f>VLOOKUP(B717,'Player Data'!$A1:$AE734,12,FALSE)*$Q717*IFERROR((VLOOKUP(P717,Settings!$E$28:$F$33,2,FALSE)+1),1)</f>
        <v>0.51262855349431902</v>
      </c>
      <c r="Y717" s="41">
        <f>VLOOKUP(B717,'Player Data'!$A1:$AE734,13,FALSE)*$Q717</f>
        <v>3.5616463265630582E-3</v>
      </c>
      <c r="Z717" s="41">
        <f>VLOOKUP(B717,'Player Data'!$A1:$AE734,14,FALSE)*$Q717</f>
        <v>6.5094740261122368E-3</v>
      </c>
      <c r="AA717" s="41">
        <f>VLOOKUP(B717,'Player Data'!$A1:$AE734,15,FALSE)*$Q717</f>
        <v>17.617432437314463</v>
      </c>
      <c r="AB717" s="41">
        <f>VLOOKUP(B717,'Player Data'!$A1:$AE734,16,FALSE)*$Q717</f>
        <v>53.878026594266352</v>
      </c>
      <c r="AC717" s="41">
        <f>VLOOKUP(B717,'Player Data'!$A1:$AE734,17,FALSE)*$Q717*IFERROR((VLOOKUP(P717,Settings!$E$28:$F$33,2,FALSE)+1),1)</f>
        <v>-0.37547735471988142</v>
      </c>
      <c r="AD717" s="41">
        <f>VLOOKUP(B717,'Player Data'!$A1:$AE734,18,FALSE)*$Q717</f>
        <v>14.39683563113396</v>
      </c>
      <c r="AE717" s="41">
        <f>VLOOKUP(B717,'Player Data'!$A1:$AE734,19,FALSE)*$Q717*IFERROR((VLOOKUP(P717,Settings!$E$28:$F$33,2,FALSE)+1),1)</f>
        <v>0.84021710133911709</v>
      </c>
      <c r="AF717" s="41">
        <f>VLOOKUP(B717,'Player Data'!$A1:$AE734,20,FALSE)*$Q717</f>
        <v>108.55759820996755</v>
      </c>
      <c r="AG717" s="41">
        <f>VLOOKUP(B717,'Player Data'!$A1:$AE734,21,FALSE)*$Q717</f>
        <v>187.68410657321246</v>
      </c>
      <c r="AH717" s="42">
        <f>VLOOKUP(B717,'Player Data'!$A1:$AE734,22,FALSE)</f>
        <v>0.36644941092754402</v>
      </c>
      <c r="AI717" s="39"/>
      <c r="AJ717" s="43"/>
      <c r="AK717" s="41"/>
      <c r="AL717" s="41"/>
      <c r="AM717" s="41"/>
      <c r="AN717" s="41"/>
      <c r="AO717" s="41"/>
      <c r="AP717" s="41"/>
      <c r="AQ717" s="44"/>
      <c r="AR717" s="45"/>
      <c r="AS717" s="43"/>
    </row>
    <row r="718" spans="1:45" ht="21.25" customHeight="1" x14ac:dyDescent="0.15">
      <c r="A718" s="31">
        <f>RANK(K718,K$2:K$727)</f>
        <v>717</v>
      </c>
      <c r="B718" s="8" t="s">
        <v>822</v>
      </c>
      <c r="C718" s="32" t="s">
        <v>106</v>
      </c>
      <c r="D718" s="33" t="str">
        <f>VLOOKUP(B718,'Player Data'!A1:D734,4,FALSE)</f>
        <v>C</v>
      </c>
      <c r="E718" s="34">
        <f>VLOOKUP(B718,'C'!A1:C211,3,FALSE)</f>
        <v>201</v>
      </c>
      <c r="F718" s="35" t="str">
        <f>VLOOKUP(B718,'Player Data'!A1:B734,2,FALSE)</f>
        <v>NJD</v>
      </c>
      <c r="G718" s="9">
        <f>VLOOKUP(B718,'Player Data'!A1:D734,3,FALSE)</f>
        <v>28</v>
      </c>
      <c r="H718" s="36">
        <f>IFERROR(VLOOKUP(B718,ADP!A1:G728,7,FALSE)/1000000,VLOOKUP(B718,ADP!A1:G728,7,FALSE))</f>
        <v>1</v>
      </c>
      <c r="I718" s="37">
        <f>IF(Settings!$E$15="POINTS",((R718*Q718)*Settings!$B$12)+(S718*Settings!$B$2)+(T718*Settings!$B$3)+(U718*Settings!$B$4)+(V718*Settings!$B$5)+(X718*Settings!$B$9)+(AA718*Settings!$B$6)+(W718*Settings!$B$8)+(AB718*Settings!$B$7)+(AC718*Settings!$B$14)+(AD718*Settings!$B$15)+(AE718*Settings!$B$16)+(AF718*Settings!$B$17)+(AG718*Settings!$B$18)+(Y718*Settings!$B$10)+(Z718*Settings!$B$11),VLOOKUP(B718,'Standard Deviations'!A1:C728,3,FALSE))</f>
        <v>67.508630451357277</v>
      </c>
      <c r="J718" s="38">
        <f>IF(D718="G",I718/AJ718,I718/Q718)</f>
        <v>1.2982428932953323</v>
      </c>
      <c r="K718" s="37">
        <f>IF(Settings!$E$18="C/LW/RW",VLOOKUP(B718,'C'!A1:F211,6,FALSE),VLOOKUP(B718,F!A1:F430,6,FALSE))</f>
        <v>-325.82017531485235</v>
      </c>
      <c r="L718" s="37">
        <f>IFERROR(K718/H718,"N/A")</f>
        <v>-325.82017531485235</v>
      </c>
      <c r="M718" s="53" t="str">
        <f>IF(Settings!$E$9="YAHOO",VLOOKUP(B718,ADP!A1:E728,2,FALSE),IF(Settings!$E$9="ESPN",VLOOKUP(B718,ADP!A1:E728,3,FALSE),IF(Settings!$E$9="FANTRAX",VLOOKUP(B718,ADP!A1:E728,4,FALSE),VLOOKUP(B718,ADP!A1:E728,5,FALSE))))</f>
        <v>-</v>
      </c>
      <c r="N718" s="53" t="str">
        <f>IFERROR(M718-A718,"N/A")</f>
        <v>N/A</v>
      </c>
      <c r="O718" s="39"/>
      <c r="P718" s="40" t="str">
        <f>IF(Settings!$E$27="ON",VLOOKUP(B718,ADP!A1:H728,8,FALSE)," ")</f>
        <v xml:space="preserve"> </v>
      </c>
      <c r="Q718" s="41">
        <f>IF(Settings!$E$12="YES",VLOOKUP(B718,'Player Data'!A1:E734,5,FALSE),82)</f>
        <v>52</v>
      </c>
      <c r="R718" s="39">
        <f>VLOOKUP(B718,'Player Data'!$A1:$AE734,6,FALSE)</f>
        <v>11.682841037407201</v>
      </c>
      <c r="S718" s="41">
        <f>VLOOKUP(B718,'Player Data'!$A1:$AE734,7,FALSE)*$Q718*IFERROR((VLOOKUP(P718,Settings!$E$28:$F$33,2,FALSE)+1),1)</f>
        <v>4.7506035198715235</v>
      </c>
      <c r="T718" s="41">
        <f>VLOOKUP(B718,'Player Data'!$A1:$AE734,8,FALSE)*$Q718*IFERROR((VLOOKUP(P718,Settings!$E$28:$F$33,2,FALSE)+1),1)</f>
        <v>4.7569459150908857</v>
      </c>
      <c r="U718" s="41">
        <f>SUM(S718:T718)</f>
        <v>9.5075494349624101</v>
      </c>
      <c r="V718" s="41">
        <f>VLOOKUP(B718,'Player Data'!$A1:$AE734,10,FALSE)*$Q718*IFERROR(((VLOOKUP(P718,Settings!$E$28:$F$33,2,FALSE)/2)+1),1)</f>
        <v>59.194643116009956</v>
      </c>
      <c r="W718" s="41">
        <f>VLOOKUP(B718,'Player Data'!$A1:$AE734,11,FALSE)*$Q718*IFERROR((VLOOKUP(P718,Settings!$E$28:$F$33,2,FALSE)+1),1)</f>
        <v>3.7211882664573662E-2</v>
      </c>
      <c r="X718" s="41">
        <f>VLOOKUP(B718,'Player Data'!$A1:$AE734,12,FALSE)*$Q718*IFERROR((VLOOKUP(P718,Settings!$E$28:$F$33,2,FALSE)+1),1)</f>
        <v>9.5214237048570641E-2</v>
      </c>
      <c r="Y718" s="41">
        <f>VLOOKUP(B718,'Player Data'!$A1:$AE734,13,FALSE)*$Q718</f>
        <v>7.695928982092469E-2</v>
      </c>
      <c r="Z718" s="41">
        <f>VLOOKUP(B718,'Player Data'!$A1:$AE734,14,FALSE)*$Q718</f>
        <v>0.35337192081295676</v>
      </c>
      <c r="AA718" s="41">
        <f>VLOOKUP(B718,'Player Data'!$A1:$AE734,15,FALSE)*$Q718</f>
        <v>42.457441363710153</v>
      </c>
      <c r="AB718" s="41">
        <f>VLOOKUP(B718,'Player Data'!$A1:$AE734,16,FALSE)*$Q718</f>
        <v>124.9116948078142</v>
      </c>
      <c r="AC718" s="41">
        <f>VLOOKUP(B718,'Player Data'!$A1:$AE734,17,FALSE)*$Q718*IFERROR((VLOOKUP(P718,Settings!$E$28:$F$33,2,FALSE)+1),1)</f>
        <v>-0.27383488138597711</v>
      </c>
      <c r="AD718" s="41">
        <f>VLOOKUP(B718,'Player Data'!$A1:$AE734,18,FALSE)*$Q718</f>
        <v>14.251551439065718</v>
      </c>
      <c r="AE718" s="41">
        <f>VLOOKUP(B718,'Player Data'!$A1:$AE734,19,FALSE)*$Q718*IFERROR((VLOOKUP(P718,Settings!$E$28:$F$33,2,FALSE)+1),1)</f>
        <v>0.69924420323521397</v>
      </c>
      <c r="AF718" s="41">
        <f>VLOOKUP(B718,'Player Data'!$A1:$AE734,20,FALSE)*$Q718</f>
        <v>133.842936456736</v>
      </c>
      <c r="AG718" s="41">
        <f>VLOOKUP(B718,'Player Data'!$A1:$AE734,21,FALSE)*$Q718</f>
        <v>136.7257274146634</v>
      </c>
      <c r="AH718" s="42">
        <f>VLOOKUP(B718,'Player Data'!$A1:$AE734,22,FALSE)</f>
        <v>0.49467271834683402</v>
      </c>
      <c r="AI718" s="39"/>
      <c r="AJ718" s="43"/>
      <c r="AK718" s="41"/>
      <c r="AL718" s="41"/>
      <c r="AM718" s="41"/>
      <c r="AN718" s="41"/>
      <c r="AO718" s="41"/>
      <c r="AP718" s="41"/>
      <c r="AQ718" s="44"/>
      <c r="AR718" s="45"/>
      <c r="AS718" s="39"/>
    </row>
    <row r="719" spans="1:45" ht="21.25" customHeight="1" x14ac:dyDescent="0.15">
      <c r="A719" s="31">
        <f>RANK(K719,K$2:K$727)</f>
        <v>718</v>
      </c>
      <c r="B719" s="8" t="s">
        <v>823</v>
      </c>
      <c r="C719" s="32" t="s">
        <v>106</v>
      </c>
      <c r="D719" s="33" t="str">
        <f>VLOOKUP(B719,'Player Data'!A1:D734,4,FALSE)</f>
        <v>C</v>
      </c>
      <c r="E719" s="34">
        <f>VLOOKUP(B719,'C'!A1:C211,3,FALSE)</f>
        <v>202</v>
      </c>
      <c r="F719" s="35" t="str">
        <f>VLOOKUP(B719,'Player Data'!A1:B734,2,FALSE)</f>
        <v>MIN</v>
      </c>
      <c r="G719" s="9">
        <f>VLOOKUP(B719,'Player Data'!A1:D734,3,FALSE)</f>
        <v>28</v>
      </c>
      <c r="H719" s="36">
        <f>IFERROR(VLOOKUP(B719,ADP!A1:G728,7,FALSE)/1000000,VLOOKUP(B719,ADP!A1:G728,7,FALSE))</f>
        <v>0</v>
      </c>
      <c r="I719" s="37">
        <f>IF(Settings!$E$15="POINTS",((R719*Q719)*Settings!$B$12)+(S719*Settings!$B$2)+(T719*Settings!$B$3)+(U719*Settings!$B$4)+(V719*Settings!$B$5)+(X719*Settings!$B$9)+(AA719*Settings!$B$6)+(W719*Settings!$B$8)+(AB719*Settings!$B$7)+(AC719*Settings!$B$14)+(AD719*Settings!$B$15)+(AE719*Settings!$B$16)+(AF719*Settings!$B$17)+(AG719*Settings!$B$18)+(Y719*Settings!$B$10)+(Z719*Settings!$B$11),VLOOKUP(B719,'Standard Deviations'!A1:C728,3,FALSE))</f>
        <v>67.135825616221084</v>
      </c>
      <c r="J719" s="38">
        <f>IF(D719="G",I719/AJ719,I719/Q719)</f>
        <v>1.2601750467615407</v>
      </c>
      <c r="K719" s="37">
        <f>IF(Settings!$E$18="C/LW/RW",VLOOKUP(B719,'C'!A1:F211,6,FALSE),VLOOKUP(B719,F!A1:F430,6,FALSE))</f>
        <v>-326.19298014998856</v>
      </c>
      <c r="L719" s="52" t="str">
        <f>IFERROR(K719/H719,"N/A")</f>
        <v>N/A</v>
      </c>
      <c r="M719" s="53" t="str">
        <f>IF(Settings!$E$9="YAHOO",VLOOKUP(B719,ADP!A1:E728,2,FALSE),IF(Settings!$E$9="ESPN",VLOOKUP(B719,ADP!A1:E728,3,FALSE),IF(Settings!$E$9="FANTRAX",VLOOKUP(B719,ADP!A1:E728,4,FALSE),VLOOKUP(B719,ADP!A1:E728,5,FALSE))))</f>
        <v>-</v>
      </c>
      <c r="N719" s="53" t="str">
        <f>IFERROR(M719-A719,"N/A")</f>
        <v>N/A</v>
      </c>
      <c r="O719" s="39"/>
      <c r="P719" s="40" t="str">
        <f>IF(Settings!$E$27="ON",VLOOKUP(B719,ADP!A1:H728,8,FALSE)," ")</f>
        <v xml:space="preserve"> </v>
      </c>
      <c r="Q719" s="41">
        <f>IF(Settings!$E$12="YES",VLOOKUP(B719,'Player Data'!A1:E734,5,FALSE),82)</f>
        <v>53.274999999999999</v>
      </c>
      <c r="R719" s="39">
        <f>VLOOKUP(B719,'Player Data'!$A1:$AE734,6,FALSE)</f>
        <v>10.9014661127914</v>
      </c>
      <c r="S719" s="41">
        <f>VLOOKUP(B719,'Player Data'!$A1:$AE734,7,FALSE)*$Q719*IFERROR((VLOOKUP(P719,Settings!$E$28:$F$33,2,FALSE)+1),1)</f>
        <v>4.013903465147072</v>
      </c>
      <c r="T719" s="41">
        <f>VLOOKUP(B719,'Player Data'!$A1:$AE734,8,FALSE)*$Q719*IFERROR((VLOOKUP(P719,Settings!$E$28:$F$33,2,FALSE)+1),1)</f>
        <v>7.056073800116458</v>
      </c>
      <c r="U719" s="41">
        <f>SUM(S719:T719)</f>
        <v>11.06997726526353</v>
      </c>
      <c r="V719" s="41">
        <f>VLOOKUP(B719,'Player Data'!$A1:$AE734,10,FALSE)*$Q719*IFERROR(((VLOOKUP(P719,Settings!$E$28:$F$33,2,FALSE)/2)+1),1)</f>
        <v>58.576353102398485</v>
      </c>
      <c r="W719" s="41">
        <f>VLOOKUP(B719,'Player Data'!$A1:$AE734,11,FALSE)*$Q719*IFERROR((VLOOKUP(P719,Settings!$E$28:$F$33,2,FALSE)+1),1)</f>
        <v>6.857012670483778E-2</v>
      </c>
      <c r="X719" s="41">
        <f>VLOOKUP(B719,'Player Data'!$A1:$AE734,12,FALSE)*$Q719*IFERROR((VLOOKUP(P719,Settings!$E$28:$F$33,2,FALSE)+1),1)</f>
        <v>0.21873380062288603</v>
      </c>
      <c r="Y719" s="41">
        <f>VLOOKUP(B719,'Player Data'!$A1:$AE734,13,FALSE)*$Q719</f>
        <v>0</v>
      </c>
      <c r="Z719" s="41">
        <f>VLOOKUP(B719,'Player Data'!$A1:$AE734,14,FALSE)*$Q719</f>
        <v>0</v>
      </c>
      <c r="AA719" s="41">
        <f>VLOOKUP(B719,'Player Data'!$A1:$AE734,15,FALSE)*$Q719</f>
        <v>21.001248339927422</v>
      </c>
      <c r="AB719" s="41">
        <f>VLOOKUP(B719,'Player Data'!$A1:$AE734,16,FALSE)*$Q719</f>
        <v>55.964879297378438</v>
      </c>
      <c r="AC719" s="41">
        <f>VLOOKUP(B719,'Player Data'!$A1:$AE734,17,FALSE)*$Q719*IFERROR((VLOOKUP(P719,Settings!$E$28:$F$33,2,FALSE)+1),1)</f>
        <v>0.94503478645132788</v>
      </c>
      <c r="AD719" s="41">
        <f>VLOOKUP(B719,'Player Data'!$A1:$AE734,18,FALSE)*$Q719</f>
        <v>14.565995642544227</v>
      </c>
      <c r="AE719" s="41">
        <f>VLOOKUP(B719,'Player Data'!$A1:$AE734,19,FALSE)*$Q719*IFERROR((VLOOKUP(P719,Settings!$E$28:$F$33,2,FALSE)+1),1)</f>
        <v>0.64453823073539096</v>
      </c>
      <c r="AF719" s="41">
        <f>VLOOKUP(B719,'Player Data'!$A1:$AE734,20,FALSE)*$Q719</f>
        <v>11.741673427357274</v>
      </c>
      <c r="AG719" s="41">
        <f>VLOOKUP(B719,'Player Data'!$A1:$AE734,21,FALSE)*$Q719</f>
        <v>31.136092026714238</v>
      </c>
      <c r="AH719" s="42">
        <f>VLOOKUP(B719,'Player Data'!$A1:$AE734,22,FALSE)</f>
        <v>0.27384060953303002</v>
      </c>
      <c r="AI719" s="39"/>
      <c r="AJ719" s="43"/>
      <c r="AK719" s="41"/>
      <c r="AL719" s="41"/>
      <c r="AM719" s="41"/>
      <c r="AN719" s="41"/>
      <c r="AO719" s="41"/>
      <c r="AP719" s="41"/>
      <c r="AQ719" s="44"/>
      <c r="AR719" s="45"/>
      <c r="AS719" s="43"/>
    </row>
    <row r="720" spans="1:45" ht="21.25" customHeight="1" x14ac:dyDescent="0.15">
      <c r="A720" s="31">
        <f>RANK(K720,K$2:K$727)</f>
        <v>719</v>
      </c>
      <c r="B720" s="8" t="s">
        <v>824</v>
      </c>
      <c r="C720" s="32" t="s">
        <v>106</v>
      </c>
      <c r="D720" s="33" t="str">
        <f>VLOOKUP(B720,'Player Data'!A1:D734,4,FALSE)</f>
        <v>C</v>
      </c>
      <c r="E720" s="34">
        <f>VLOOKUP(B720,'C'!A1:C211,3,FALSE)</f>
        <v>204</v>
      </c>
      <c r="F720" s="35" t="str">
        <f>VLOOKUP(B720,'Player Data'!A1:B734,2,FALSE)</f>
        <v>WPG</v>
      </c>
      <c r="G720" s="9">
        <f>VLOOKUP(B720,'Player Data'!A1:D734,3,FALSE)</f>
        <v>23</v>
      </c>
      <c r="H720" s="36">
        <f>IFERROR(VLOOKUP(B720,ADP!A1:G728,7,FALSE)/1000000,VLOOKUP(B720,ADP!A1:G728,7,FALSE))</f>
        <v>0</v>
      </c>
      <c r="I720" s="37">
        <f>IF(Settings!$E$15="POINTS",((R720*Q720)*Settings!$B$12)+(S720*Settings!$B$2)+(T720*Settings!$B$3)+(U720*Settings!$B$4)+(V720*Settings!$B$5)+(X720*Settings!$B$9)+(AA720*Settings!$B$6)+(W720*Settings!$B$8)+(AB720*Settings!$B$7)+(AC720*Settings!$B$14)+(AD720*Settings!$B$15)+(AE720*Settings!$B$16)+(AF720*Settings!$B$17)+(AG720*Settings!$B$18)+(Y720*Settings!$B$10)+(Z720*Settings!$B$11),VLOOKUP(B720,'Standard Deviations'!A1:C728,3,FALSE))</f>
        <v>62.866183250184406</v>
      </c>
      <c r="J720" s="38">
        <f>IF(D720="G",I720/AJ720,I720/Q720)</f>
        <v>1.1024181641146618</v>
      </c>
      <c r="K720" s="37">
        <f>IF(Settings!$E$18="C/LW/RW",VLOOKUP(B720,'C'!A1:F211,6,FALSE),VLOOKUP(B720,F!A1:F430,6,FALSE))</f>
        <v>-330.46262251602525</v>
      </c>
      <c r="L720" s="52" t="str">
        <f>IFERROR(K720/H720,"N/A")</f>
        <v>N/A</v>
      </c>
      <c r="M720" s="53" t="str">
        <f>IF(Settings!$E$9="YAHOO",VLOOKUP(B720,ADP!A1:E728,2,FALSE),IF(Settings!$E$9="ESPN",VLOOKUP(B720,ADP!A1:E728,3,FALSE),IF(Settings!$E$9="FANTRAX",VLOOKUP(B720,ADP!A1:E728,4,FALSE),VLOOKUP(B720,ADP!A1:E728,5,FALSE))))</f>
        <v>-</v>
      </c>
      <c r="N720" s="53" t="str">
        <f>IFERROR(M720-A720,"N/A")</f>
        <v>N/A</v>
      </c>
      <c r="O720" s="39"/>
      <c r="P720" s="40" t="str">
        <f>IF(Settings!$E$27="ON",VLOOKUP(B720,ADP!A1:H728,8,FALSE)," ")</f>
        <v xml:space="preserve"> </v>
      </c>
      <c r="Q720" s="41">
        <f>IF(Settings!$E$12="YES",VLOOKUP(B720,'Player Data'!A1:E734,5,FALSE),82)</f>
        <v>57.025714285714301</v>
      </c>
      <c r="R720" s="39">
        <f>VLOOKUP(B720,'Player Data'!$A1:$AE734,6,FALSE)</f>
        <v>9.5327868117046695</v>
      </c>
      <c r="S720" s="41">
        <f>VLOOKUP(B720,'Player Data'!$A1:$AE734,7,FALSE)*$Q720*IFERROR((VLOOKUP(P720,Settings!$E$28:$F$33,2,FALSE)+1),1)</f>
        <v>2.6254565597023873</v>
      </c>
      <c r="T720" s="41">
        <f>VLOOKUP(B720,'Player Data'!$A1:$AE734,8,FALSE)*$Q720*IFERROR((VLOOKUP(P720,Settings!$E$28:$F$33,2,FALSE)+1),1)</f>
        <v>7.2343247787737921</v>
      </c>
      <c r="U720" s="41">
        <f>SUM(S720:T720)</f>
        <v>9.8597813384761785</v>
      </c>
      <c r="V720" s="41">
        <f>VLOOKUP(B720,'Player Data'!$A1:$AE734,10,FALSE)*$Q720*IFERROR(((VLOOKUP(P720,Settings!$E$28:$F$33,2,FALSE)/2)+1),1)</f>
        <v>54.15698898834026</v>
      </c>
      <c r="W720" s="41">
        <f>VLOOKUP(B720,'Player Data'!$A1:$AE734,11,FALSE)*$Q720*IFERROR((VLOOKUP(P720,Settings!$E$28:$F$33,2,FALSE)+1),1)</f>
        <v>5.4003525167625431E-2</v>
      </c>
      <c r="X720" s="41">
        <f>VLOOKUP(B720,'Player Data'!$A1:$AE734,12,FALSE)*$Q720*IFERROR((VLOOKUP(P720,Settings!$E$28:$F$33,2,FALSE)+1),1)</f>
        <v>0.12855501859560134</v>
      </c>
      <c r="Y720" s="41">
        <f>VLOOKUP(B720,'Player Data'!$A1:$AE734,13,FALSE)*$Q720</f>
        <v>0.14251048305582686</v>
      </c>
      <c r="Z720" s="41">
        <f>VLOOKUP(B720,'Player Data'!$A1:$AE734,14,FALSE)*$Q720</f>
        <v>0.88145615087006823</v>
      </c>
      <c r="AA720" s="41">
        <f>VLOOKUP(B720,'Player Data'!$A1:$AE734,15,FALSE)*$Q720</f>
        <v>20.941612008271996</v>
      </c>
      <c r="AB720" s="41">
        <f>VLOOKUP(B720,'Player Data'!$A1:$AE734,16,FALSE)*$Q720</f>
        <v>44.887034550535212</v>
      </c>
      <c r="AC720" s="41">
        <f>VLOOKUP(B720,'Player Data'!$A1:$AE734,17,FALSE)*$Q720*IFERROR((VLOOKUP(P720,Settings!$E$28:$F$33,2,FALSE)+1),1)</f>
        <v>0.76319183940839685</v>
      </c>
      <c r="AD720" s="41">
        <f>VLOOKUP(B720,'Player Data'!$A1:$AE734,18,FALSE)*$Q720</f>
        <v>10.499249350191134</v>
      </c>
      <c r="AE720" s="41">
        <f>VLOOKUP(B720,'Player Data'!$A1:$AE734,19,FALSE)*$Q720*IFERROR((VLOOKUP(P720,Settings!$E$28:$F$33,2,FALSE)+1),1)</f>
        <v>0.40958001119456044</v>
      </c>
      <c r="AF720" s="41">
        <f>VLOOKUP(B720,'Player Data'!$A1:$AE734,20,FALSE)*$Q720</f>
        <v>121.14883273052457</v>
      </c>
      <c r="AG720" s="41">
        <f>VLOOKUP(B720,'Player Data'!$A1:$AE734,21,FALSE)*$Q720</f>
        <v>125.1855714114522</v>
      </c>
      <c r="AH720" s="42">
        <f>VLOOKUP(B720,'Player Data'!$A1:$AE734,22,FALSE)</f>
        <v>0.49180638470905402</v>
      </c>
      <c r="AI720" s="39"/>
      <c r="AJ720" s="41"/>
      <c r="AK720" s="41"/>
      <c r="AL720" s="41"/>
      <c r="AM720" s="41"/>
      <c r="AN720" s="41"/>
      <c r="AO720" s="41"/>
      <c r="AP720" s="41"/>
      <c r="AQ720" s="44"/>
      <c r="AR720" s="45"/>
      <c r="AS720" s="39"/>
    </row>
    <row r="721" spans="1:45" ht="21.25" customHeight="1" x14ac:dyDescent="0.15">
      <c r="A721" s="31">
        <f>RANK(K721,K$2:K$727)</f>
        <v>720</v>
      </c>
      <c r="B721" s="8" t="s">
        <v>825</v>
      </c>
      <c r="C721" s="32" t="s">
        <v>106</v>
      </c>
      <c r="D721" s="33" t="str">
        <f>VLOOKUP(B721,'Player Data'!A1:D734,4,FALSE)</f>
        <v>C</v>
      </c>
      <c r="E721" s="34">
        <f>VLOOKUP(B721,'C'!A1:C211,3,FALSE)</f>
        <v>205</v>
      </c>
      <c r="F721" s="35" t="str">
        <f>VLOOKUP(B721,'Player Data'!A1:B734,2,FALSE)</f>
        <v>EDM</v>
      </c>
      <c r="G721" s="9">
        <f>VLOOKUP(B721,'Player Data'!A1:D734,3,FALSE)</f>
        <v>26</v>
      </c>
      <c r="H721" s="36">
        <f>IFERROR(VLOOKUP(B721,ADP!A1:G728,7,FALSE)/1000000,VLOOKUP(B721,ADP!A1:G728,7,FALSE))</f>
        <v>0.83130000000000004</v>
      </c>
      <c r="I721" s="37">
        <f>IF(Settings!$E$15="POINTS",((R721*Q721)*Settings!$B$12)+(S721*Settings!$B$2)+(T721*Settings!$B$3)+(U721*Settings!$B$4)+(V721*Settings!$B$5)+(X721*Settings!$B$9)+(AA721*Settings!$B$6)+(W721*Settings!$B$8)+(AB721*Settings!$B$7)+(AC721*Settings!$B$14)+(AD721*Settings!$B$15)+(AE721*Settings!$B$16)+(AF721*Settings!$B$17)+(AG721*Settings!$B$18)+(Y721*Settings!$B$10)+(Z721*Settings!$B$11),VLOOKUP(B721,'Standard Deviations'!A1:C728,3,FALSE))</f>
        <v>62.613099357259095</v>
      </c>
      <c r="J721" s="38">
        <f>IF(D721="G",I721/AJ721,I721/Q721)</f>
        <v>1.0616631232836689</v>
      </c>
      <c r="K721" s="37">
        <f>IF(Settings!$E$18="C/LW/RW",VLOOKUP(B721,'C'!A1:F211,6,FALSE),VLOOKUP(B721,F!A1:F430,6,FALSE))</f>
        <v>-330.71570640895055</v>
      </c>
      <c r="L721" s="37">
        <f>IFERROR(K721/H721,"N/A")</f>
        <v>-397.82955179712565</v>
      </c>
      <c r="M721" s="53" t="str">
        <f>IF(Settings!$E$9="YAHOO",VLOOKUP(B721,ADP!A1:E728,2,FALSE),IF(Settings!$E$9="ESPN",VLOOKUP(B721,ADP!A1:E728,3,FALSE),IF(Settings!$E$9="FANTRAX",VLOOKUP(B721,ADP!A1:E728,4,FALSE),VLOOKUP(B721,ADP!A1:E728,5,FALSE))))</f>
        <v>-</v>
      </c>
      <c r="N721" s="53" t="str">
        <f>IFERROR(M721-A721,"N/A")</f>
        <v>N/A</v>
      </c>
      <c r="O721" s="39"/>
      <c r="P721" s="40" t="str">
        <f>IF(Settings!$E$27="ON",VLOOKUP(B721,ADP!A1:H728,8,FALSE)," ")</f>
        <v xml:space="preserve"> </v>
      </c>
      <c r="Q721" s="41">
        <f>IF(Settings!$E$12="YES",VLOOKUP(B721,'Player Data'!A1:E734,5,FALSE),82)</f>
        <v>58.976428571428599</v>
      </c>
      <c r="R721" s="39">
        <f>VLOOKUP(B721,'Player Data'!$A1:$AE734,6,FALSE)</f>
        <v>9.8493333717385507</v>
      </c>
      <c r="S721" s="41">
        <f>VLOOKUP(B721,'Player Data'!$A1:$AE734,7,FALSE)*$Q721*IFERROR((VLOOKUP(P721,Settings!$E$28:$F$33,2,FALSE)+1),1)</f>
        <v>4.4426362649140207</v>
      </c>
      <c r="T721" s="41">
        <f>VLOOKUP(B721,'Player Data'!$A1:$AE734,8,FALSE)*$Q721*IFERROR((VLOOKUP(P721,Settings!$E$28:$F$33,2,FALSE)+1),1)</f>
        <v>6.0798128492002421</v>
      </c>
      <c r="U721" s="41">
        <f>SUM(S721:T721)</f>
        <v>10.522449114114263</v>
      </c>
      <c r="V721" s="41">
        <f>VLOOKUP(B721,'Player Data'!$A1:$AE734,10,FALSE)*$Q721*IFERROR(((VLOOKUP(P721,Settings!$E$28:$F$33,2,FALSE)/2)+1),1)</f>
        <v>51.417676345272845</v>
      </c>
      <c r="W721" s="41">
        <f>VLOOKUP(B721,'Player Data'!$A1:$AE734,11,FALSE)*$Q721*IFERROR((VLOOKUP(P721,Settings!$E$28:$F$33,2,FALSE)+1),1)</f>
        <v>0.15668879288324411</v>
      </c>
      <c r="X721" s="41">
        <f>VLOOKUP(B721,'Player Data'!$A1:$AE734,12,FALSE)*$Q721*IFERROR((VLOOKUP(P721,Settings!$E$28:$F$33,2,FALSE)+1),1)</f>
        <v>0.45648791478179429</v>
      </c>
      <c r="Y721" s="41">
        <f>VLOOKUP(B721,'Player Data'!$A1:$AE734,13,FALSE)*$Q721</f>
        <v>7.2182589378626066E-2</v>
      </c>
      <c r="Z721" s="41">
        <f>VLOOKUP(B721,'Player Data'!$A1:$AE734,14,FALSE)*$Q721</f>
        <v>0.13314240173171432</v>
      </c>
      <c r="AA721" s="41">
        <f>VLOOKUP(B721,'Player Data'!$A1:$AE734,15,FALSE)*$Q721</f>
        <v>20.788266046264361</v>
      </c>
      <c r="AB721" s="41">
        <f>VLOOKUP(B721,'Player Data'!$A1:$AE734,16,FALSE)*$Q721</f>
        <v>108.16084726086977</v>
      </c>
      <c r="AC721" s="41">
        <f>VLOOKUP(B721,'Player Data'!$A1:$AE734,17,FALSE)*$Q721*IFERROR((VLOOKUP(P721,Settings!$E$28:$F$33,2,FALSE)+1),1)</f>
        <v>3.1602818375144466</v>
      </c>
      <c r="AD721" s="41">
        <f>VLOOKUP(B721,'Player Data'!$A1:$AE734,18,FALSE)*$Q721</f>
        <v>23.530140118115899</v>
      </c>
      <c r="AE721" s="41">
        <f>VLOOKUP(B721,'Player Data'!$A1:$AE734,19,FALSE)*$Q721*IFERROR((VLOOKUP(P721,Settings!$E$28:$F$33,2,FALSE)+1),1)</f>
        <v>0.70322162626808948</v>
      </c>
      <c r="AF721" s="41">
        <f>VLOOKUP(B721,'Player Data'!$A1:$AE734,20,FALSE)*$Q721</f>
        <v>124.38742502765321</v>
      </c>
      <c r="AG721" s="41">
        <f>VLOOKUP(B721,'Player Data'!$A1:$AE734,21,FALSE)*$Q721</f>
        <v>133.20867533326634</v>
      </c>
      <c r="AH721" s="42">
        <f>VLOOKUP(B721,'Player Data'!$A1:$AE734,22,FALSE)</f>
        <v>0.48287774874453998</v>
      </c>
      <c r="AI721" s="39"/>
      <c r="AJ721" s="43"/>
      <c r="AK721" s="41"/>
      <c r="AL721" s="41"/>
      <c r="AM721" s="41"/>
      <c r="AN721" s="41"/>
      <c r="AO721" s="41"/>
      <c r="AP721" s="41"/>
      <c r="AQ721" s="44"/>
      <c r="AR721" s="45"/>
      <c r="AS721" s="39"/>
    </row>
    <row r="722" spans="1:45" ht="21.25" customHeight="1" x14ac:dyDescent="0.15">
      <c r="A722" s="31">
        <f>RANK(K722,K$2:K$727)</f>
        <v>721</v>
      </c>
      <c r="B722" s="8" t="s">
        <v>826</v>
      </c>
      <c r="C722" s="32" t="s">
        <v>106</v>
      </c>
      <c r="D722" s="33" t="str">
        <f>VLOOKUP(B722,'Player Data'!A1:D734,4,FALSE)</f>
        <v>C</v>
      </c>
      <c r="E722" s="34">
        <f>VLOOKUP(B722,'C'!A1:C211,3,FALSE)</f>
        <v>206</v>
      </c>
      <c r="F722" s="35" t="str">
        <f>VLOOKUP(B722,'Player Data'!A1:B734,2,FALSE)</f>
        <v>BOS</v>
      </c>
      <c r="G722" s="9">
        <f>VLOOKUP(B722,'Player Data'!A1:D734,3,FALSE)</f>
        <v>33</v>
      </c>
      <c r="H722" s="36">
        <f>IFERROR(VLOOKUP(B722,ADP!A1:G728,7,FALSE)/1000000,VLOOKUP(B722,ADP!A1:G728,7,FALSE))</f>
        <v>0.86770000000000003</v>
      </c>
      <c r="I722" s="37">
        <f>IF(Settings!$E$15="POINTS",((R722*Q722)*Settings!$B$12)+(S722*Settings!$B$2)+(T722*Settings!$B$3)+(U722*Settings!$B$4)+(V722*Settings!$B$5)+(X722*Settings!$B$9)+(AA722*Settings!$B$6)+(W722*Settings!$B$8)+(AB722*Settings!$B$7)+(AC722*Settings!$B$14)+(AD722*Settings!$B$15)+(AE722*Settings!$B$16)+(AF722*Settings!$B$17)+(AG722*Settings!$B$18)+(Y722*Settings!$B$10)+(Z722*Settings!$B$11),VLOOKUP(B722,'Standard Deviations'!A1:C728,3,FALSE))</f>
        <v>61.641313391744184</v>
      </c>
      <c r="J722" s="38">
        <f>IF(D722="G",I722/AJ722,I722/Q722)</f>
        <v>1.0016869939751238</v>
      </c>
      <c r="K722" s="37">
        <f>IF(Settings!$E$18="C/LW/RW",VLOOKUP(B722,'C'!A1:F211,6,FALSE),VLOOKUP(B722,F!A1:F430,6,FALSE))</f>
        <v>-331.68749237446548</v>
      </c>
      <c r="L722" s="37">
        <f>IFERROR(K722/H722,"N/A")</f>
        <v>-382.26056514286671</v>
      </c>
      <c r="M722" s="53" t="str">
        <f>IF(Settings!$E$9="YAHOO",VLOOKUP(B722,ADP!A1:E728,2,FALSE),IF(Settings!$E$9="ESPN",VLOOKUP(B722,ADP!A1:E728,3,FALSE),IF(Settings!$E$9="FANTRAX",VLOOKUP(B722,ADP!A1:E728,4,FALSE),VLOOKUP(B722,ADP!A1:E728,5,FALSE))))</f>
        <v>-</v>
      </c>
      <c r="N722" s="53" t="str">
        <f>IFERROR(M722-A722,"N/A")</f>
        <v>N/A</v>
      </c>
      <c r="O722" s="39"/>
      <c r="P722" s="40" t="str">
        <f>IF(Settings!$E$27="ON",VLOOKUP(B722,ADP!A1:H728,8,FALSE)," ")</f>
        <v xml:space="preserve"> </v>
      </c>
      <c r="Q722" s="41">
        <f>IF(Settings!$E$12="YES",VLOOKUP(B722,'Player Data'!A1:E734,5,FALSE),82)</f>
        <v>61.537500000000001</v>
      </c>
      <c r="R722" s="39">
        <f>VLOOKUP(B722,'Player Data'!$A1:$AE734,6,FALSE)</f>
        <v>10.7685301689509</v>
      </c>
      <c r="S722" s="41">
        <f>VLOOKUP(B722,'Player Data'!$A1:$AE734,7,FALSE)*$Q722*IFERROR((VLOOKUP(P722,Settings!$E$28:$F$33,2,FALSE)+1),1)</f>
        <v>2.4957988022193276</v>
      </c>
      <c r="T722" s="41">
        <f>VLOOKUP(B722,'Player Data'!$A1:$AE734,8,FALSE)*$Q722*IFERROR((VLOOKUP(P722,Settings!$E$28:$F$33,2,FALSE)+1),1)</f>
        <v>7.384781325972706</v>
      </c>
      <c r="U722" s="41">
        <f>SUM(S722:T722)</f>
        <v>9.8805801281920331</v>
      </c>
      <c r="V722" s="41">
        <f>VLOOKUP(B722,'Player Data'!$A1:$AE734,10,FALSE)*$Q722*IFERROR(((VLOOKUP(P722,Settings!$E$28:$F$33,2,FALSE)/2)+1),1)</f>
        <v>52.495091485126792</v>
      </c>
      <c r="W722" s="41">
        <f>VLOOKUP(B722,'Player Data'!$A1:$AE734,11,FALSE)*$Q722*IFERROR((VLOOKUP(P722,Settings!$E$28:$F$33,2,FALSE)+1),1)</f>
        <v>1.1922697341175183E-2</v>
      </c>
      <c r="X722" s="41">
        <f>VLOOKUP(B722,'Player Data'!$A1:$AE734,12,FALSE)*$Q722*IFERROR((VLOOKUP(P722,Settings!$E$28:$F$33,2,FALSE)+1),1)</f>
        <v>3.4986564882965317E-2</v>
      </c>
      <c r="Y722" s="41">
        <f>VLOOKUP(B722,'Player Data'!$A1:$AE734,13,FALSE)*$Q722</f>
        <v>5.8682625039448044E-2</v>
      </c>
      <c r="Z722" s="41">
        <f>VLOOKUP(B722,'Player Data'!$A1:$AE734,14,FALSE)*$Q722</f>
        <v>0.12447663944698051</v>
      </c>
      <c r="AA722" s="41">
        <f>VLOOKUP(B722,'Player Data'!$A1:$AE734,15,FALSE)*$Q722</f>
        <v>27.165504279723937</v>
      </c>
      <c r="AB722" s="41">
        <f>VLOOKUP(B722,'Player Data'!$A1:$AE734,16,FALSE)*$Q722</f>
        <v>72.156741686596021</v>
      </c>
      <c r="AC722" s="41">
        <f>VLOOKUP(B722,'Player Data'!$A1:$AE734,17,FALSE)*$Q722*IFERROR((VLOOKUP(P722,Settings!$E$28:$F$33,2,FALSE)+1),1)</f>
        <v>0.76571400774137044</v>
      </c>
      <c r="AD722" s="41">
        <f>VLOOKUP(B722,'Player Data'!$A1:$AE734,18,FALSE)*$Q722</f>
        <v>11.716640649108998</v>
      </c>
      <c r="AE722" s="41">
        <f>VLOOKUP(B722,'Player Data'!$A1:$AE734,19,FALSE)*$Q722*IFERROR((VLOOKUP(P722,Settings!$E$28:$F$33,2,FALSE)+1),1)</f>
        <v>0.41899550311858619</v>
      </c>
      <c r="AF722" s="41">
        <f>VLOOKUP(B722,'Player Data'!$A1:$AE734,20,FALSE)*$Q722</f>
        <v>172.84991974453598</v>
      </c>
      <c r="AG722" s="41">
        <f>VLOOKUP(B722,'Player Data'!$A1:$AE734,21,FALSE)*$Q722</f>
        <v>162.491005623436</v>
      </c>
      <c r="AH722" s="42">
        <f>VLOOKUP(B722,'Player Data'!$A1:$AE734,22,FALSE)</f>
        <v>0.51544534731293801</v>
      </c>
      <c r="AI722" s="39"/>
      <c r="AJ722" s="43"/>
      <c r="AK722" s="41"/>
      <c r="AL722" s="41"/>
      <c r="AM722" s="41"/>
      <c r="AN722" s="41"/>
      <c r="AO722" s="41"/>
      <c r="AP722" s="41"/>
      <c r="AQ722" s="44"/>
      <c r="AR722" s="45"/>
      <c r="AS722" s="39"/>
    </row>
    <row r="723" spans="1:45" ht="21.25" customHeight="1" x14ac:dyDescent="0.15">
      <c r="A723" s="31">
        <f>RANK(K723,K$2:K$727)</f>
        <v>722</v>
      </c>
      <c r="B723" s="8" t="s">
        <v>827</v>
      </c>
      <c r="C723" s="32" t="s">
        <v>106</v>
      </c>
      <c r="D723" s="33" t="str">
        <f>VLOOKUP(B723,'Player Data'!A1:D734,4,FALSE)</f>
        <v>G</v>
      </c>
      <c r="E723" s="50">
        <f>VLOOKUP(B723,G!A1:D75,3,FALSE)</f>
        <v>72</v>
      </c>
      <c r="F723" s="35" t="str">
        <f>VLOOKUP(B723,'Player Data'!A1:B734,2,FALSE)</f>
        <v>TOR</v>
      </c>
      <c r="G723" s="9">
        <f>VLOOKUP(B723,'Player Data'!A1:D734,3,FALSE)</f>
        <v>29</v>
      </c>
      <c r="H723" s="36">
        <f>IFERROR(VLOOKUP(B723,ADP!A1:G728,7,FALSE)/1000000,VLOOKUP(B723,ADP!A1:G728,7,FALSE))</f>
        <v>4.6875</v>
      </c>
      <c r="I723" s="37">
        <f>IF(Settings!$E$15="POINTS",(AJ723*Settings!$B$29)+(AK723*Settings!$B$21)+(AL723*Settings!$B$22)+(AN723*Settings!$B$24)+(AO723*Settings!$B$25)+(AP723*Settings!$B$27)+(AM723*Settings!$B$23),VLOOKUP(B723,'Standard Deviations'!A1:C728,3,FALSE))</f>
        <v>66.177233619182914</v>
      </c>
      <c r="J723" s="38">
        <f>IF(D723="G",I723/AJ723,I723/Q723)</f>
        <v>6.6177233619182916</v>
      </c>
      <c r="K723" s="37">
        <f>VLOOKUP(B723,G!A1:F75,6,FALSE)</f>
        <v>-332.59842847013329</v>
      </c>
      <c r="L723" s="37">
        <f>IFERROR(K723/H723,"N/A")</f>
        <v>-70.954331406961771</v>
      </c>
      <c r="M723" s="53" t="str">
        <f>IF(Settings!$E$9="YAHOO",VLOOKUP(B723,ADP!A1:E728,2,FALSE),IF(Settings!$E$9="ESPN",VLOOKUP(B723,ADP!A1:E728,3,FALSE),IF(Settings!$E$9="FANTRAX",VLOOKUP(B723,ADP!A1:E728,4,FALSE),VLOOKUP(B723,ADP!A1:E728,5,FALSE))))</f>
        <v>-</v>
      </c>
      <c r="N723" s="53" t="str">
        <f>IFERROR(M723-A723,"N/A")</f>
        <v>N/A</v>
      </c>
      <c r="O723" s="39"/>
      <c r="P723" s="40" t="str">
        <f>IF(Settings!$E$27="ON",VLOOKUP(B723,ADP!A1:H728,8,FALSE)," ")</f>
        <v xml:space="preserve"> </v>
      </c>
      <c r="Q723" s="41"/>
      <c r="R723" s="5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2"/>
      <c r="AI723" s="39"/>
      <c r="AJ723" s="43">
        <f>VLOOKUP(B723,'Player Data'!$A1:$AE734,24,FALSE)</f>
        <v>10</v>
      </c>
      <c r="AK723" s="41">
        <f>VLOOKUP(B723,'Player Data'!$A1:$AE734,25,FALSE)*$AJ723*IFERROR((VLOOKUP(P723,Settings!$E$28:$F$33,2,FALSE)+1),1)</f>
        <v>5.6985406815688204</v>
      </c>
      <c r="AL723" s="41">
        <f>AJ723-AK723-AM723</f>
        <v>3.0514593184311796</v>
      </c>
      <c r="AM723" s="41">
        <f>VLOOKUP(B723,'Player Data'!$A1:$AE734,27,FALSE)*$AJ723</f>
        <v>1.25</v>
      </c>
      <c r="AN723" s="41">
        <f>VLOOKUP(B723,'Player Data'!$A1:$AE734,28,FALSE)*AJ723</f>
        <v>0.34774891854262402</v>
      </c>
      <c r="AO723" s="41">
        <f>VLOOKUP(B723,'Player Data'!$A1:$AE734,29,FALSE)*$AJ723*IFERROR((VLOOKUP(P723,Settings!$E$28:$F$33,2,FALSE)/4)+1,1)</f>
        <v>282.13226004996903</v>
      </c>
      <c r="AP723" s="41">
        <f>VLOOKUP(B723,'Player Data'!$A1:$AE734,31,FALSE)*$AJ723*(IFERROR(1-(VLOOKUP(P723,Settings!$E$28:$F$33,2,FALSE)/4),1))</f>
        <v>30.893338762531101</v>
      </c>
      <c r="AQ723" s="44">
        <f>1-(AP723/(AO723+AP723))</f>
        <v>0.90130730879605803</v>
      </c>
      <c r="AR723" s="45">
        <f>AP723/AJ723</f>
        <v>3.08933387625311</v>
      </c>
      <c r="AS723" s="39"/>
    </row>
    <row r="724" spans="1:45" ht="21.25" customHeight="1" x14ac:dyDescent="0.15">
      <c r="A724" s="31">
        <f>RANK(K724,K$2:K$727)</f>
        <v>723</v>
      </c>
      <c r="B724" s="8" t="s">
        <v>828</v>
      </c>
      <c r="C724" s="32" t="s">
        <v>106</v>
      </c>
      <c r="D724" s="33" t="str">
        <f>VLOOKUP(B724,'Player Data'!A1:D734,4,FALSE)</f>
        <v>C</v>
      </c>
      <c r="E724" s="34">
        <f>VLOOKUP(B724,'C'!A1:C211,3,FALSE)</f>
        <v>207</v>
      </c>
      <c r="F724" s="35" t="str">
        <f>VLOOKUP(B724,'Player Data'!A1:B734,2,FALSE)</f>
        <v>SJS</v>
      </c>
      <c r="G724" s="9">
        <f>VLOOKUP(B724,'Player Data'!A1:D734,3,FALSE)</f>
        <v>32</v>
      </c>
      <c r="H724" s="36">
        <f>IFERROR(VLOOKUP(B724,ADP!A1:G728,7,FALSE)/1000000,VLOOKUP(B724,ADP!A1:G728,7,FALSE))</f>
        <v>0.82279999999999998</v>
      </c>
      <c r="I724" s="37">
        <f>IF(Settings!$E$15="POINTS",((R724*Q724)*Settings!$B$12)+(S724*Settings!$B$2)+(T724*Settings!$B$3)+(U724*Settings!$B$4)+(V724*Settings!$B$5)+(X724*Settings!$B$9)+(AA724*Settings!$B$6)+(W724*Settings!$B$8)+(AB724*Settings!$B$7)+(AC724*Settings!$B$14)+(AD724*Settings!$B$15)+(AE724*Settings!$B$16)+(AF724*Settings!$B$17)+(AG724*Settings!$B$18)+(Y724*Settings!$B$10)+(Z724*Settings!$B$11),VLOOKUP(B724,'Standard Deviations'!A1:C728,3,FALSE))</f>
        <v>59.655132627619295</v>
      </c>
      <c r="J724" s="38">
        <f>IF(D724="G",I724/AJ724,I724/Q724)</f>
        <v>0.89071221708287218</v>
      </c>
      <c r="K724" s="37">
        <f>IF(Settings!$E$18="C/LW/RW",VLOOKUP(B724,'C'!A1:F211,6,FALSE),VLOOKUP(B724,F!A1:F430,6,FALSE))</f>
        <v>-333.67367313859035</v>
      </c>
      <c r="L724" s="37">
        <f>IFERROR(K724/H724,"N/A")</f>
        <v>-405.53436210329409</v>
      </c>
      <c r="M724" s="53" t="str">
        <f>IF(Settings!$E$9="YAHOO",VLOOKUP(B724,ADP!A1:E728,2,FALSE),IF(Settings!$E$9="ESPN",VLOOKUP(B724,ADP!A1:E728,3,FALSE),IF(Settings!$E$9="FANTRAX",VLOOKUP(B724,ADP!A1:E728,4,FALSE),VLOOKUP(B724,ADP!A1:E728,5,FALSE))))</f>
        <v>-</v>
      </c>
      <c r="N724" s="53" t="str">
        <f>IFERROR(M724-A724,"N/A")</f>
        <v>N/A</v>
      </c>
      <c r="O724" s="39"/>
      <c r="P724" s="40" t="str">
        <f>IF(Settings!$E$27="ON",VLOOKUP(B724,ADP!A1:H728,8,FALSE)," ")</f>
        <v xml:space="preserve"> </v>
      </c>
      <c r="Q724" s="41">
        <f>IF(Settings!$E$12="YES",VLOOKUP(B724,'Player Data'!A1:E734,5,FALSE),82)</f>
        <v>66.974642857142896</v>
      </c>
      <c r="R724" s="39">
        <f>VLOOKUP(B724,'Player Data'!$A1:$AE734,6,FALSE)</f>
        <v>9.1511688311688406</v>
      </c>
      <c r="S724" s="41">
        <f>VLOOKUP(B724,'Player Data'!$A1:$AE734,7,FALSE)*$Q724*IFERROR((VLOOKUP(P724,Settings!$E$28:$F$33,2,FALSE)+1),1)</f>
        <v>2.942142526683285</v>
      </c>
      <c r="T724" s="41">
        <f>VLOOKUP(B724,'Player Data'!$A1:$AE734,8,FALSE)*$Q724*IFERROR((VLOOKUP(P724,Settings!$E$28:$F$33,2,FALSE)+1),1)</f>
        <v>5.5332484990255386</v>
      </c>
      <c r="U724" s="41">
        <f>SUM(S724:T724)</f>
        <v>8.4753910257088236</v>
      </c>
      <c r="V724" s="41">
        <f>VLOOKUP(B724,'Player Data'!$A1:$AE734,10,FALSE)*$Q724*IFERROR(((VLOOKUP(P724,Settings!$E$28:$F$33,2,FALSE)/2)+1),1)</f>
        <v>54.990228986887153</v>
      </c>
      <c r="W724" s="41">
        <f>VLOOKUP(B724,'Player Data'!$A1:$AE734,11,FALSE)*$Q724*IFERROR((VLOOKUP(P724,Settings!$E$28:$F$33,2,FALSE)+1),1)</f>
        <v>4.6196904361184427E-2</v>
      </c>
      <c r="X724" s="41">
        <f>VLOOKUP(B724,'Player Data'!$A1:$AE734,12,FALSE)*$Q724*IFERROR((VLOOKUP(P724,Settings!$E$28:$F$33,2,FALSE)+1),1)</f>
        <v>0.1274756434295245</v>
      </c>
      <c r="Y724" s="41">
        <f>VLOOKUP(B724,'Player Data'!$A1:$AE734,13,FALSE)*$Q724</f>
        <v>0.19547432534847989</v>
      </c>
      <c r="Z724" s="41">
        <f>VLOOKUP(B724,'Player Data'!$A1:$AE734,14,FALSE)*$Q724</f>
        <v>0.27735956419430108</v>
      </c>
      <c r="AA724" s="41">
        <f>VLOOKUP(B724,'Player Data'!$A1:$AE734,15,FALSE)*$Q724</f>
        <v>29.620873209007993</v>
      </c>
      <c r="AB724" s="41">
        <f>VLOOKUP(B724,'Player Data'!$A1:$AE734,16,FALSE)*$Q724</f>
        <v>98.960590083077861</v>
      </c>
      <c r="AC724" s="41">
        <f>VLOOKUP(B724,'Player Data'!$A1:$AE734,17,FALSE)*$Q724*IFERROR((VLOOKUP(P724,Settings!$E$28:$F$33,2,FALSE)+1),1)</f>
        <v>-0.47994808156635732</v>
      </c>
      <c r="AD724" s="41">
        <f>VLOOKUP(B724,'Player Data'!$A1:$AE734,18,FALSE)*$Q724</f>
        <v>19.872006708143527</v>
      </c>
      <c r="AE724" s="41">
        <f>VLOOKUP(B724,'Player Data'!$A1:$AE734,19,FALSE)*$Q724*IFERROR((VLOOKUP(P724,Settings!$E$28:$F$33,2,FALSE)+1),1)</f>
        <v>0.35724007551093795</v>
      </c>
      <c r="AF724" s="41">
        <f>VLOOKUP(B724,'Player Data'!$A1:$AE734,20,FALSE)*$Q724</f>
        <v>150.40540973908298</v>
      </c>
      <c r="AG724" s="41">
        <f>VLOOKUP(B724,'Player Data'!$A1:$AE734,21,FALSE)*$Q724</f>
        <v>143.45132251441328</v>
      </c>
      <c r="AH724" s="42">
        <f>VLOOKUP(B724,'Player Data'!$A1:$AE734,22,FALSE)</f>
        <v>0.51183244496619396</v>
      </c>
      <c r="AI724" s="39"/>
      <c r="AJ724" s="41"/>
      <c r="AK724" s="41"/>
      <c r="AL724" s="41"/>
      <c r="AM724" s="41"/>
      <c r="AN724" s="41"/>
      <c r="AO724" s="41"/>
      <c r="AP724" s="41"/>
      <c r="AQ724" s="44"/>
      <c r="AR724" s="45"/>
      <c r="AS724" s="39"/>
    </row>
    <row r="725" spans="1:45" ht="21.25" customHeight="1" x14ac:dyDescent="0.15">
      <c r="A725" s="31">
        <f>RANK(K725,K$2:K$727)</f>
        <v>724</v>
      </c>
      <c r="B725" s="8" t="s">
        <v>829</v>
      </c>
      <c r="C725" s="32" t="s">
        <v>106</v>
      </c>
      <c r="D725" s="33" t="str">
        <f>VLOOKUP(B725,'Player Data'!A1:D734,4,FALSE)</f>
        <v>C</v>
      </c>
      <c r="E725" s="34">
        <f>VLOOKUP(B725,'C'!A1:C211,3,FALSE)</f>
        <v>208</v>
      </c>
      <c r="F725" s="35" t="str">
        <f>VLOOKUP(B725,'Player Data'!A1:B734,2,FALSE)</f>
        <v>COL</v>
      </c>
      <c r="G725" s="9">
        <f>VLOOKUP(B725,'Player Data'!A1:D734,3,FALSE)</f>
        <v>24</v>
      </c>
      <c r="H725" s="36">
        <f>IFERROR(VLOOKUP(B725,ADP!A1:G728,7,FALSE)/1000000,VLOOKUP(B725,ADP!A1:G728,7,FALSE))</f>
        <v>0.77500000000000002</v>
      </c>
      <c r="I725" s="37">
        <f>IF(Settings!$E$15="POINTS",((R725*Q725)*Settings!$B$12)+(S725*Settings!$B$2)+(T725*Settings!$B$3)+(U725*Settings!$B$4)+(V725*Settings!$B$5)+(X725*Settings!$B$9)+(AA725*Settings!$B$6)+(W725*Settings!$B$8)+(AB725*Settings!$B$7)+(AC725*Settings!$B$14)+(AD725*Settings!$B$15)+(AE725*Settings!$B$16)+(AF725*Settings!$B$17)+(AG725*Settings!$B$18)+(Y725*Settings!$B$10)+(Z725*Settings!$B$11),VLOOKUP(B725,'Standard Deviations'!A1:C728,3,FALSE))</f>
        <v>57.514239561641723</v>
      </c>
      <c r="J725" s="38">
        <f>IF(D725="G",I725/AJ725,I725/Q725)</f>
        <v>1.0342427542104249</v>
      </c>
      <c r="K725" s="37">
        <f>IF(Settings!$E$18="C/LW/RW",VLOOKUP(B725,'C'!A1:F211,6,FALSE),VLOOKUP(B725,F!A1:F430,6,FALSE))</f>
        <v>-335.81456620456794</v>
      </c>
      <c r="L725" s="37">
        <f>IFERROR(K725/H725,"N/A")</f>
        <v>-433.30911768331345</v>
      </c>
      <c r="M725" s="53" t="str">
        <f>IF(Settings!$E$9="YAHOO",VLOOKUP(B725,ADP!A1:E728,2,FALSE),IF(Settings!$E$9="ESPN",VLOOKUP(B725,ADP!A1:E728,3,FALSE),IF(Settings!$E$9="FANTRAX",VLOOKUP(B725,ADP!A1:E728,4,FALSE),VLOOKUP(B725,ADP!A1:E728,5,FALSE))))</f>
        <v>-</v>
      </c>
      <c r="N725" s="53" t="str">
        <f>IFERROR(M725-A725,"N/A")</f>
        <v>N/A</v>
      </c>
      <c r="O725" s="39"/>
      <c r="P725" s="40" t="str">
        <f>IF(Settings!$E$27="ON",VLOOKUP(B725,ADP!A1:H728,8,FALSE)," ")</f>
        <v xml:space="preserve"> </v>
      </c>
      <c r="Q725" s="41">
        <f>IF(Settings!$E$12="YES",VLOOKUP(B725,'Player Data'!A1:E734,5,FALSE),82)</f>
        <v>55.61</v>
      </c>
      <c r="R725" s="39">
        <f>VLOOKUP(B725,'Player Data'!$A1:$AE734,6,FALSE)</f>
        <v>9.4200220422236605</v>
      </c>
      <c r="S725" s="41">
        <f>VLOOKUP(B725,'Player Data'!$A1:$AE734,7,FALSE)*$Q725*IFERROR((VLOOKUP(P725,Settings!$E$28:$F$33,2,FALSE)+1),1)</f>
        <v>5.8954631524836749</v>
      </c>
      <c r="T725" s="41">
        <f>VLOOKUP(B725,'Player Data'!$A1:$AE734,8,FALSE)*$Q725*IFERROR((VLOOKUP(P725,Settings!$E$28:$F$33,2,FALSE)+1),1)</f>
        <v>3.3171777092880639</v>
      </c>
      <c r="U725" s="41">
        <f>SUM(S725:T725)</f>
        <v>9.2126408617717388</v>
      </c>
      <c r="V725" s="41">
        <f>VLOOKUP(B725,'Player Data'!$A1:$AE734,10,FALSE)*$Q725*IFERROR(((VLOOKUP(P725,Settings!$E$28:$F$33,2,FALSE)/2)+1),1)</f>
        <v>51.714269237017284</v>
      </c>
      <c r="W725" s="41">
        <f>VLOOKUP(B725,'Player Data'!$A1:$AE734,11,FALSE)*$Q725*IFERROR((VLOOKUP(P725,Settings!$E$28:$F$33,2,FALSE)+1),1)</f>
        <v>4.3538218535512922E-2</v>
      </c>
      <c r="X725" s="41">
        <f>VLOOKUP(B725,'Player Data'!$A1:$AE734,12,FALSE)*$Q725*IFERROR((VLOOKUP(P725,Settings!$E$28:$F$33,2,FALSE)+1),1)</f>
        <v>0.11298926238294874</v>
      </c>
      <c r="Y725" s="41">
        <f>VLOOKUP(B725,'Player Data'!$A1:$AE734,13,FALSE)*$Q725</f>
        <v>5.4473373125304226E-3</v>
      </c>
      <c r="Z725" s="41">
        <f>VLOOKUP(B725,'Player Data'!$A1:$AE734,14,FALSE)*$Q725</f>
        <v>1.0218857075798326E-2</v>
      </c>
      <c r="AA725" s="41">
        <f>VLOOKUP(B725,'Player Data'!$A1:$AE734,15,FALSE)*$Q725</f>
        <v>18.86383059450181</v>
      </c>
      <c r="AB725" s="41">
        <f>VLOOKUP(B725,'Player Data'!$A1:$AE734,16,FALSE)*$Q725</f>
        <v>49.962335155002997</v>
      </c>
      <c r="AC725" s="41">
        <f>VLOOKUP(B725,'Player Data'!$A1:$AE734,17,FALSE)*$Q725*IFERROR((VLOOKUP(P725,Settings!$E$28:$F$33,2,FALSE)+1),1)</f>
        <v>2.3476784679232003</v>
      </c>
      <c r="AD725" s="41">
        <f>VLOOKUP(B725,'Player Data'!$A1:$AE734,18,FALSE)*$Q725</f>
        <v>10.865534694835793</v>
      </c>
      <c r="AE725" s="41">
        <f>VLOOKUP(B725,'Player Data'!$A1:$AE734,19,FALSE)*$Q725*IFERROR((VLOOKUP(P725,Settings!$E$28:$F$33,2,FALSE)+1),1)</f>
        <v>0.93275109613273466</v>
      </c>
      <c r="AF725" s="41">
        <f>VLOOKUP(B725,'Player Data'!$A1:$AE734,20,FALSE)*$Q725</f>
        <v>132.80560531836906</v>
      </c>
      <c r="AG725" s="41">
        <f>VLOOKUP(B725,'Player Data'!$A1:$AE734,21,FALSE)*$Q725</f>
        <v>128.67111155724231</v>
      </c>
      <c r="AH725" s="42">
        <f>VLOOKUP(B725,'Player Data'!$A1:$AE734,22,FALSE)</f>
        <v>0.50790604572852605</v>
      </c>
      <c r="AI725" s="39"/>
      <c r="AJ725" s="41"/>
      <c r="AK725" s="41"/>
      <c r="AL725" s="41"/>
      <c r="AM725" s="41"/>
      <c r="AN725" s="41"/>
      <c r="AO725" s="41"/>
      <c r="AP725" s="41"/>
      <c r="AQ725" s="44"/>
      <c r="AR725" s="45"/>
      <c r="AS725" s="39"/>
    </row>
    <row r="726" spans="1:45" ht="21.25" customHeight="1" x14ac:dyDescent="0.15">
      <c r="A726" s="31">
        <f>RANK(K726,K$2:K$727)</f>
        <v>725</v>
      </c>
      <c r="B726" s="8" t="s">
        <v>830</v>
      </c>
      <c r="C726" s="32" t="s">
        <v>106</v>
      </c>
      <c r="D726" s="33" t="str">
        <f>VLOOKUP(B726,'Player Data'!A1:D734,4,FALSE)</f>
        <v>C</v>
      </c>
      <c r="E726" s="34">
        <f>VLOOKUP(B726,'C'!A1:C211,3,FALSE)</f>
        <v>209</v>
      </c>
      <c r="F726" s="35" t="str">
        <f>VLOOKUP(B726,'Player Data'!A1:B734,2,FALSE)</f>
        <v>PHI</v>
      </c>
      <c r="G726" s="9">
        <f>VLOOKUP(B726,'Player Data'!A1:D734,3,FALSE)</f>
        <v>26</v>
      </c>
      <c r="H726" s="36">
        <f>IFERROR(VLOOKUP(B726,ADP!A1:G728,7,FALSE)/1000000,VLOOKUP(B726,ADP!A1:G728,7,FALSE))</f>
        <v>0.76249999999999996</v>
      </c>
      <c r="I726" s="37">
        <f>IF(Settings!$E$15="POINTS",((R726*Q726)*Settings!$B$12)+(S726*Settings!$B$2)+(T726*Settings!$B$3)+(U726*Settings!$B$4)+(V726*Settings!$B$5)+(X726*Settings!$B$9)+(AA726*Settings!$B$6)+(W726*Settings!$B$8)+(AB726*Settings!$B$7)+(AC726*Settings!$B$14)+(AD726*Settings!$B$15)+(AE726*Settings!$B$16)+(AF726*Settings!$B$17)+(AG726*Settings!$B$18)+(Y726*Settings!$B$10)+(Z726*Settings!$B$11),VLOOKUP(B726,'Standard Deviations'!A1:C728,3,FALSE))</f>
        <v>54.998261270650765</v>
      </c>
      <c r="J726" s="38">
        <f>IF(D726="G",I726/AJ726,I726/Q726)</f>
        <v>1.0082240394255693</v>
      </c>
      <c r="K726" s="37">
        <f>IF(Settings!$E$18="C/LW/RW",VLOOKUP(B726,'C'!A1:F211,6,FALSE),VLOOKUP(B726,F!A1:F430,6,FALSE))</f>
        <v>-338.33054449555891</v>
      </c>
      <c r="L726" s="37">
        <f>IFERROR(K726/H726,"N/A")</f>
        <v>-443.71218950237238</v>
      </c>
      <c r="M726" s="53" t="str">
        <f>IF(Settings!$E$9="YAHOO",VLOOKUP(B726,ADP!A1:E728,2,FALSE),IF(Settings!$E$9="ESPN",VLOOKUP(B726,ADP!A1:E728,3,FALSE),IF(Settings!$E$9="FANTRAX",VLOOKUP(B726,ADP!A1:E728,4,FALSE),VLOOKUP(B726,ADP!A1:E728,5,FALSE))))</f>
        <v>-</v>
      </c>
      <c r="N726" s="53" t="str">
        <f>IFERROR(M726-A726,"N/A")</f>
        <v>N/A</v>
      </c>
      <c r="O726" s="39"/>
      <c r="P726" s="40" t="str">
        <f>IF(Settings!$E$27="ON",VLOOKUP(B726,ADP!A1:H728,8,FALSE)," ")</f>
        <v xml:space="preserve"> </v>
      </c>
      <c r="Q726" s="41">
        <f>IF(Settings!$E$12="YES",VLOOKUP(B726,'Player Data'!A1:E734,5,FALSE),82)</f>
        <v>54.549642857142899</v>
      </c>
      <c r="R726" s="39">
        <f>VLOOKUP(B726,'Player Data'!$A1:$AE734,6,FALSE)</f>
        <v>9.4527941134146296</v>
      </c>
      <c r="S726" s="41">
        <f>VLOOKUP(B726,'Player Data'!$A1:$AE734,7,FALSE)*$Q726*IFERROR((VLOOKUP(P726,Settings!$E$28:$F$33,2,FALSE)+1),1)</f>
        <v>4.1866566316550822</v>
      </c>
      <c r="T726" s="41">
        <f>VLOOKUP(B726,'Player Data'!$A1:$AE734,8,FALSE)*$Q726*IFERROR((VLOOKUP(P726,Settings!$E$28:$F$33,2,FALSE)+1),1)</f>
        <v>5.0446536346330424</v>
      </c>
      <c r="U726" s="41">
        <f>SUM(S726:T726)</f>
        <v>9.2313102662881246</v>
      </c>
      <c r="V726" s="41">
        <f>VLOOKUP(B726,'Player Data'!$A1:$AE734,10,FALSE)*$Q726*IFERROR(((VLOOKUP(P726,Settings!$E$28:$F$33,2,FALSE)/2)+1),1)</f>
        <v>45.609490343783413</v>
      </c>
      <c r="W726" s="41">
        <f>VLOOKUP(B726,'Player Data'!$A1:$AE734,11,FALSE)*$Q726*IFERROR((VLOOKUP(P726,Settings!$E$28:$F$33,2,FALSE)+1),1)</f>
        <v>0.12054491559811437</v>
      </c>
      <c r="X726" s="41">
        <f>VLOOKUP(B726,'Player Data'!$A1:$AE734,12,FALSE)*$Q726*IFERROR((VLOOKUP(P726,Settings!$E$28:$F$33,2,FALSE)+1),1)</f>
        <v>0.30784800270794449</v>
      </c>
      <c r="Y726" s="41">
        <f>VLOOKUP(B726,'Player Data'!$A1:$AE734,13,FALSE)*$Q726</f>
        <v>4.7152305390317437E-2</v>
      </c>
      <c r="Z726" s="41">
        <f>VLOOKUP(B726,'Player Data'!$A1:$AE734,14,FALSE)*$Q726</f>
        <v>8.7044615679028603E-2</v>
      </c>
      <c r="AA726" s="41">
        <f>VLOOKUP(B726,'Player Data'!$A1:$AE734,15,FALSE)*$Q726</f>
        <v>18.549000315603667</v>
      </c>
      <c r="AB726" s="41">
        <f>VLOOKUP(B726,'Player Data'!$A1:$AE734,16,FALSE)*$Q726</f>
        <v>62.102330400647134</v>
      </c>
      <c r="AC726" s="41">
        <f>VLOOKUP(B726,'Player Data'!$A1:$AE734,17,FALSE)*$Q726*IFERROR((VLOOKUP(P726,Settings!$E$28:$F$33,2,FALSE)+1),1)</f>
        <v>-4.1731594448108904</v>
      </c>
      <c r="AD726" s="41">
        <f>VLOOKUP(B726,'Player Data'!$A1:$AE734,18,FALSE)*$Q726</f>
        <v>9.2257906865407975</v>
      </c>
      <c r="AE726" s="41">
        <f>VLOOKUP(B726,'Player Data'!$A1:$AE734,19,FALSE)*$Q726*IFERROR((VLOOKUP(P726,Settings!$E$28:$F$33,2,FALSE)+1),1)</f>
        <v>0.49212324328764784</v>
      </c>
      <c r="AF726" s="41">
        <f>VLOOKUP(B726,'Player Data'!$A1:$AE734,20,FALSE)*$Q726</f>
        <v>84.857377644243769</v>
      </c>
      <c r="AG726" s="41">
        <f>VLOOKUP(B726,'Player Data'!$A1:$AE734,21,FALSE)*$Q726</f>
        <v>83.662676307891587</v>
      </c>
      <c r="AH726" s="42">
        <f>VLOOKUP(B726,'Player Data'!$A1:$AE734,22,FALSE)</f>
        <v>0.50354468595378998</v>
      </c>
      <c r="AI726" s="39"/>
      <c r="AJ726" s="43"/>
      <c r="AK726" s="41"/>
      <c r="AL726" s="41"/>
      <c r="AM726" s="41"/>
      <c r="AN726" s="41"/>
      <c r="AO726" s="41"/>
      <c r="AP726" s="41"/>
      <c r="AQ726" s="44"/>
      <c r="AR726" s="45"/>
      <c r="AS726" s="39"/>
    </row>
    <row r="727" spans="1:45" ht="21.25" customHeight="1" x14ac:dyDescent="0.15">
      <c r="A727" s="31">
        <f>RANK(K727,K$2:K$727)</f>
        <v>726</v>
      </c>
      <c r="B727" s="8" t="s">
        <v>831</v>
      </c>
      <c r="C727" s="32" t="s">
        <v>106</v>
      </c>
      <c r="D727" s="33" t="str">
        <f>VLOOKUP(B727,'Player Data'!A1:D734,4,FALSE)</f>
        <v>G</v>
      </c>
      <c r="E727" s="50">
        <f>VLOOKUP(B727,G!A1:D75,3,FALSE)</f>
        <v>73</v>
      </c>
      <c r="F727" s="35" t="str">
        <f>VLOOKUP(B727,'Player Data'!A1:B734,2,FALSE)</f>
        <v>PHI</v>
      </c>
      <c r="G727" s="9">
        <f>VLOOKUP(B727,'Player Data'!A1:D734,3,FALSE)</f>
        <v>26</v>
      </c>
      <c r="H727" s="36">
        <f>IFERROR(VLOOKUP(B727,ADP!A1:G728,7,FALSE)/1000000,VLOOKUP(B727,ADP!A1:G728,7,FALSE))</f>
        <v>0.77500000000000002</v>
      </c>
      <c r="I727" s="37">
        <f>IF(Settings!$E$15="POINTS",(AJ727*Settings!$B$29)+(AK727*Settings!$B$21)+(AL727*Settings!$B$22)+(AN727*Settings!$B$24)+(AO727*Settings!$B$25)+(AP727*Settings!$B$27)+(AM727*Settings!$B$23),VLOOKUP(B727,'Standard Deviations'!A1:C728,3,FALSE))</f>
        <v>55.964847273731223</v>
      </c>
      <c r="J727" s="38">
        <f>IF(D727="G",I727/AJ727,I727/Q727)</f>
        <v>5.596484727373122</v>
      </c>
      <c r="K727" s="37">
        <f>VLOOKUP(B727,G!A1:F75,6,FALSE)</f>
        <v>-342.81081481558499</v>
      </c>
      <c r="L727" s="37">
        <f>IFERROR(K727/H727,"N/A")</f>
        <v>-442.33653524591608</v>
      </c>
      <c r="M727" s="53" t="str">
        <f>IF(Settings!$E$9="YAHOO",VLOOKUP(B727,ADP!A1:E728,2,FALSE),IF(Settings!$E$9="ESPN",VLOOKUP(B727,ADP!A1:E728,3,FALSE),IF(Settings!$E$9="FANTRAX",VLOOKUP(B727,ADP!A1:E728,4,FALSE),VLOOKUP(B727,ADP!A1:E728,5,FALSE))))</f>
        <v>-</v>
      </c>
      <c r="N727" s="53" t="str">
        <f>IFERROR(M727-A727,"N/A")</f>
        <v>N/A</v>
      </c>
      <c r="O727" s="54"/>
      <c r="P727" s="40" t="str">
        <f>IF(Settings!$E$27="ON",VLOOKUP(B727,ADP!A1:H728,8,FALSE)," ")</f>
        <v xml:space="preserve"> </v>
      </c>
      <c r="Q727" s="41"/>
      <c r="R727" s="5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2"/>
      <c r="AI727" s="54"/>
      <c r="AJ727" s="43">
        <f>VLOOKUP(B727,'Player Data'!$A1:$AE734,24,FALSE)</f>
        <v>10</v>
      </c>
      <c r="AK727" s="41">
        <f>VLOOKUP(B727,'Player Data'!$A1:$AE734,25,FALSE)*$AJ727*IFERROR((VLOOKUP(P727,Settings!$E$28:$F$33,2,FALSE)+1),1)</f>
        <v>3.4734596543021001</v>
      </c>
      <c r="AL727" s="41">
        <f>AJ727-AK727-AM727</f>
        <v>5.2765403456978994</v>
      </c>
      <c r="AM727" s="41">
        <f>VLOOKUP(B727,'Player Data'!$A1:$AE734,27,FALSE)*$AJ727</f>
        <v>1.25</v>
      </c>
      <c r="AN727" s="41">
        <f>VLOOKUP(B727,'Player Data'!$A1:$AE734,28,FALSE)*AJ727</f>
        <v>0.23702369062350401</v>
      </c>
      <c r="AO727" s="41">
        <f>VLOOKUP(B727,'Player Data'!$A1:$AE734,29,FALSE)*$AJ727*IFERROR((VLOOKUP(P727,Settings!$E$28:$F$33,2,FALSE)/4)+1,1)</f>
        <v>284.196572962022</v>
      </c>
      <c r="AP727" s="41">
        <f>VLOOKUP(B727,'Player Data'!$A1:$AE734,31,FALSE)*$AJ727*(IFERROR(1-(VLOOKUP(P727,Settings!$E$28:$F$33,2,FALSE)/4),1))</f>
        <v>32.342621850477698</v>
      </c>
      <c r="AQ727" s="44">
        <f>1-(AP727/(AO727+AP727))</f>
        <v>0.89782427459059</v>
      </c>
      <c r="AR727" s="45">
        <f>AP727/AJ727</f>
        <v>3.2342621850477697</v>
      </c>
      <c r="AS727" s="39"/>
    </row>
  </sheetData>
  <autoFilter ref="A1:AR727" xr:uid="{00000000-0001-0000-0100-000000000000}">
    <filterColumn colId="3" showButton="0"/>
    <sortState xmlns:xlrd2="http://schemas.microsoft.com/office/spreadsheetml/2017/richdata2" ref="A2:AR727">
      <sortCondition descending="1" ref="K1:K727"/>
    </sortState>
  </autoFilter>
  <mergeCells count="1">
    <mergeCell ref="D1:E1"/>
  </mergeCells>
  <conditionalFormatting sqref="D2:D727">
    <cfRule type="containsText" dxfId="58" priority="1" stopIfTrue="1" operator="containsText" text=",">
      <formula>NOT(ISERROR(FIND(UPPER(","),UPPER(D2))))</formula>
      <formula>","</formula>
    </cfRule>
    <cfRule type="containsText" dxfId="57" priority="2" stopIfTrue="1" operator="containsText" text="C">
      <formula>NOT(ISERROR(FIND(UPPER("C"),UPPER(D2))))</formula>
      <formula>"C"</formula>
    </cfRule>
    <cfRule type="containsText" dxfId="56" priority="3" stopIfTrue="1" operator="containsText" text="D">
      <formula>NOT(ISERROR(FIND(UPPER("D"),UPPER(D2))))</formula>
      <formula>"D"</formula>
    </cfRule>
    <cfRule type="containsText" dxfId="55" priority="4" stopIfTrue="1" operator="containsText" text="LW">
      <formula>NOT(ISERROR(FIND(UPPER("LW"),UPPER(D2))))</formula>
      <formula>"LW"</formula>
    </cfRule>
    <cfRule type="containsText" dxfId="54" priority="5" stopIfTrue="1" operator="containsText" text="RW">
      <formula>NOT(ISERROR(FIND(UPPER("RW"),UPPER(D2))))</formula>
      <formula>"RW"</formula>
    </cfRule>
    <cfRule type="containsText" dxfId="53" priority="6" stopIfTrue="1" operator="containsText" text="G">
      <formula>NOT(ISERROR(FIND(UPPER("G"),UPPER(D2))))</formula>
      <formula>"G"</formula>
    </cfRule>
  </conditionalFormatting>
  <conditionalFormatting sqref="E2:E727">
    <cfRule type="containsText" dxfId="52" priority="7" stopIfTrue="1" operator="containsText" text="/">
      <formula>NOT(ISERROR(FIND(UPPER("/"),UPPER(E2))))</formula>
      <formula>"/"</formula>
    </cfRule>
    <cfRule type="containsText" dxfId="51" priority="7" stopIfTrue="1" operator="containsText" text="C">
      <formula>NOT(ISERROR(FIND(UPPER("C"),UPPER(E2))))</formula>
      <formula>"C"</formula>
    </cfRule>
    <cfRule type="containsText" dxfId="50" priority="7" stopIfTrue="1" operator="containsText" text="D">
      <formula>NOT(ISERROR(FIND(UPPER("D"),UPPER(E2))))</formula>
      <formula>"D"</formula>
    </cfRule>
    <cfRule type="containsText" dxfId="49" priority="7" stopIfTrue="1" operator="containsText" text="LW">
      <formula>NOT(ISERROR(FIND(UPPER("LW"),UPPER(E2))))</formula>
      <formula>"LW"</formula>
    </cfRule>
    <cfRule type="containsText" dxfId="48" priority="7" stopIfTrue="1" operator="containsText" text="RW">
      <formula>NOT(ISERROR(FIND(UPPER("RW"),UPPER(E2))))</formula>
      <formula>"RW"</formula>
    </cfRule>
    <cfRule type="containsText" dxfId="47" priority="7" stopIfTrue="1" operator="containsText" text="G">
      <formula>NOT(ISERROR(FIND(UPPER("G"),UPPER(E2))))</formula>
      <formula>"G"</formula>
    </cfRule>
  </conditionalFormatting>
  <conditionalFormatting sqref="N2:N727">
    <cfRule type="cellIs" dxfId="46" priority="8" stopIfTrue="1" operator="between">
      <formula>1</formula>
      <formula>10</formula>
    </cfRule>
    <cfRule type="cellIs" dxfId="45" priority="8" stopIfTrue="1" operator="between">
      <formula>-1</formula>
      <formula>-10</formula>
    </cfRule>
    <cfRule type="cellIs" dxfId="44" priority="8" stopIfTrue="1" operator="greaterThanOrEqual">
      <formula>10</formula>
    </cfRule>
    <cfRule type="cellIs" dxfId="43" priority="8" stopIfTrue="1" operator="lessThanOrEqual">
      <formula>-10</formula>
    </cfRule>
    <cfRule type="cellIs" dxfId="42" priority="8" stopIfTrue="1" operator="between">
      <formula>-1</formula>
      <formula>1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F464"/>
  <sheetViews>
    <sheetView showGridLines="0" workbookViewId="0">
      <pane ySplit="1" topLeftCell="A2" activePane="bottomLeft" state="frozen"/>
      <selection pane="bottomLeft"/>
    </sheetView>
  </sheetViews>
  <sheetFormatPr baseColWidth="10" defaultColWidth="8" defaultRowHeight="16.25" customHeight="1" x14ac:dyDescent="0.15"/>
  <cols>
    <col min="1" max="1" width="28.33203125" style="1" customWidth="1"/>
    <col min="2" max="2" width="7.1640625" style="1" customWidth="1"/>
    <col min="3" max="3" width="6" style="1" customWidth="1"/>
    <col min="4" max="7" width="8.33203125" style="1" customWidth="1"/>
    <col min="8" max="8" width="3.5" style="1" customWidth="1"/>
    <col min="9" max="29" width="7.1640625" style="1" customWidth="1"/>
    <col min="30" max="30" width="18.83203125" style="1" customWidth="1"/>
    <col min="31" max="32" width="11.83203125" style="1" customWidth="1"/>
    <col min="33" max="33" width="8" style="1" customWidth="1"/>
    <col min="34" max="16384" width="8" style="1"/>
  </cols>
  <sheetData>
    <row r="1" spans="1:32" ht="21.25" customHeight="1" x14ac:dyDescent="0.15">
      <c r="A1" s="25" t="s">
        <v>832</v>
      </c>
      <c r="B1" s="173" t="s">
        <v>68</v>
      </c>
      <c r="C1" s="170"/>
      <c r="D1" s="26" t="s">
        <v>69</v>
      </c>
      <c r="E1" s="26" t="s">
        <v>70</v>
      </c>
      <c r="F1" s="27" t="s">
        <v>72</v>
      </c>
      <c r="G1" s="27" t="s">
        <v>74</v>
      </c>
      <c r="H1" s="28"/>
      <c r="I1" s="30" t="s">
        <v>79</v>
      </c>
      <c r="J1" s="30" t="s">
        <v>80</v>
      </c>
      <c r="K1" s="30" t="s">
        <v>81</v>
      </c>
      <c r="L1" s="30" t="s">
        <v>82</v>
      </c>
      <c r="M1" s="30" t="s">
        <v>83</v>
      </c>
      <c r="N1" s="30" t="s">
        <v>84</v>
      </c>
      <c r="O1" s="30" t="s">
        <v>85</v>
      </c>
      <c r="P1" s="30" t="s">
        <v>86</v>
      </c>
      <c r="Q1" s="30" t="s">
        <v>87</v>
      </c>
      <c r="R1" s="30" t="s">
        <v>88</v>
      </c>
      <c r="S1" s="30" t="s">
        <v>89</v>
      </c>
      <c r="T1" s="30" t="s">
        <v>90</v>
      </c>
      <c r="U1" s="30" t="s">
        <v>91</v>
      </c>
      <c r="V1" s="30" t="s">
        <v>92</v>
      </c>
      <c r="W1" s="30" t="s">
        <v>93</v>
      </c>
      <c r="X1" s="30" t="s">
        <v>94</v>
      </c>
      <c r="Y1" s="30" t="s">
        <v>95</v>
      </c>
      <c r="Z1" s="30" t="s">
        <v>96</v>
      </c>
      <c r="AA1" s="55"/>
      <c r="AB1" s="56"/>
      <c r="AC1" s="56"/>
      <c r="AD1" s="25" t="s">
        <v>833</v>
      </c>
      <c r="AE1" s="27" t="s">
        <v>72</v>
      </c>
      <c r="AF1" s="27" t="s">
        <v>74</v>
      </c>
    </row>
    <row r="2" spans="1:32" ht="21.25" customHeight="1" x14ac:dyDescent="0.15">
      <c r="A2" s="8" t="s">
        <v>105</v>
      </c>
      <c r="B2" s="57" t="str">
        <f>IFERROR(VLOOKUP($A2,'The List'!$B1:$AS727,3,FALSE)," ")</f>
        <v>C</v>
      </c>
      <c r="C2" s="58">
        <f>IFERROR(VLOOKUP($A2,'The List'!$B1:$AS727,4,FALSE)," ")</f>
        <v>1</v>
      </c>
      <c r="D2" s="35" t="str">
        <f>IFERROR(VLOOKUP($A2,'The List'!$B1:$AS727,5,FALSE)," ")</f>
        <v>EDM</v>
      </c>
      <c r="E2" s="59">
        <f>IFERROR(VLOOKUP($A2,'The List'!$B1:$AS727,6,FALSE)," ")</f>
        <v>26</v>
      </c>
      <c r="F2" s="37">
        <f>IFERROR(VLOOKUP($A2,'The List'!$B1:$AS727,8,FALSE)," ")</f>
        <v>725.95094051984688</v>
      </c>
      <c r="G2" s="37">
        <f>IFERROR(VLOOKUP($A2,'The List'!$B1:$AS727,10,FALSE)," ")</f>
        <v>332.62213475363723</v>
      </c>
      <c r="H2" s="39"/>
      <c r="I2" s="41">
        <f>IFERROR(VLOOKUP($A2,'The List'!$B1:$AS727,16,FALSE)," ")</f>
        <v>81.754999999999995</v>
      </c>
      <c r="J2" s="41">
        <f>IFERROR(VLOOKUP($A2,'The List'!$B1:$AS727,17,FALSE)," ")</f>
        <v>22.290784001524401</v>
      </c>
      <c r="K2" s="41">
        <f>IFERROR(VLOOKUP($A2,'The List'!$B1:$AS727,18,FALSE)," ")</f>
        <v>54.34279070224791</v>
      </c>
      <c r="L2" s="41">
        <f>IFERROR(VLOOKUP($A2,'The List'!$B1:$AS727,19,FALSE)," ")</f>
        <v>87.235733973821723</v>
      </c>
      <c r="M2" s="41">
        <f>IFERROR(VLOOKUP($A2,'The List'!$B1:$AS727,20,FALSE)," ")</f>
        <v>141.57852467606963</v>
      </c>
      <c r="N2" s="41">
        <f>IFERROR(VLOOKUP($A2,'The List'!$B1:$AS727,21,FALSE)," ")</f>
        <v>333.40571183661382</v>
      </c>
      <c r="O2" s="41">
        <f>IFERROR(VLOOKUP($A2,'The List'!$B1:$AS727,22,FALSE)," ")</f>
        <v>16.212496604277177</v>
      </c>
      <c r="P2" s="41">
        <f>IFERROR(VLOOKUP($A2,'The List'!$B1:$AS727,23,FALSE)," ")</f>
        <v>59.420431388116839</v>
      </c>
      <c r="Q2" s="41">
        <f>IFERROR(VLOOKUP($A2,'The List'!$B1:$AS727,24,FALSE)," ")</f>
        <v>1.9156006035245863</v>
      </c>
      <c r="R2" s="41">
        <f>IFERROR(VLOOKUP($A2,'The List'!$B1:$AS727,25,FALSE)," ")</f>
        <v>4.1631685212186227</v>
      </c>
      <c r="S2" s="41">
        <f>IFERROR(VLOOKUP($A2,'The List'!$B1:$AS727,26,FALSE)," ")</f>
        <v>36.726553773300765</v>
      </c>
      <c r="T2" s="41">
        <f>IFERROR(VLOOKUP($A2,'The List'!$B1:$AS727,27,FALSE)," ")</f>
        <v>82.840771319752051</v>
      </c>
      <c r="U2" s="41">
        <f>IFERROR(VLOOKUP($A2,'The List'!$B1:$AS727,28,FALSE)," ")</f>
        <v>10.972176215301213</v>
      </c>
      <c r="V2" s="41">
        <f>IFERROR(VLOOKUP($A2,'The List'!$B1:$AS727,29,FALSE)," ")</f>
        <v>36.107811529274159</v>
      </c>
      <c r="W2" s="41">
        <f>IFERROR(VLOOKUP($A2,'The List'!$B1:$AS727,30,FALSE)," ")</f>
        <v>8.6018803644553667</v>
      </c>
      <c r="X2" s="41">
        <f>IFERROR(VLOOKUP($A2,'The List'!$B1:$AS727,31,FALSE)," ")</f>
        <v>525.23182439395316</v>
      </c>
      <c r="Y2" s="41">
        <f>IFERROR(VLOOKUP($A2,'The List'!$B1:$AS727,32,FALSE)," ")</f>
        <v>482.82853526363789</v>
      </c>
      <c r="Z2" s="42">
        <f>IFERROR(VLOOKUP($A2,'The List'!$B1:$AS727,33,FALSE)," ")</f>
        <v>0.521032118128679</v>
      </c>
      <c r="AA2" s="55"/>
      <c r="AB2" s="60"/>
      <c r="AC2" s="60"/>
      <c r="AD2" s="8" t="s">
        <v>832</v>
      </c>
      <c r="AE2" s="37">
        <f>VLOOKUP(AD2,T1:Y464,2,FALSE)</f>
        <v>2802.4546196732381</v>
      </c>
      <c r="AF2" s="37">
        <f>VLOOKUP(AD2,T1:AA464,5,FALSE)</f>
        <v>984.47252478424502</v>
      </c>
    </row>
    <row r="3" spans="1:32" ht="21.25" customHeight="1" x14ac:dyDescent="0.15">
      <c r="A3" s="23"/>
      <c r="B3" s="57" t="str">
        <f>IFERROR(VLOOKUP($A3,'The List'!$B1:$AS727,3,FALSE)," ")</f>
        <v xml:space="preserve"> </v>
      </c>
      <c r="C3" s="61" t="str">
        <f>IFERROR(VLOOKUP($A3,'The List'!$B1:$AS727,4,FALSE)," ")</f>
        <v xml:space="preserve"> </v>
      </c>
      <c r="D3" s="35" t="str">
        <f>IFERROR(VLOOKUP($A3,'The List'!$B1:$AS727,5,FALSE)," ")</f>
        <v xml:space="preserve"> </v>
      </c>
      <c r="E3" s="35" t="str">
        <f>IFERROR(VLOOKUP($A3,'The List'!$B1:$AS727,6,FALSE)," ")</f>
        <v xml:space="preserve"> </v>
      </c>
      <c r="F3" s="52" t="str">
        <f>IFERROR(VLOOKUP($A3,'The List'!$B1:$AS727,8,FALSE)," ")</f>
        <v xml:space="preserve"> </v>
      </c>
      <c r="G3" s="52" t="str">
        <f>IFERROR(VLOOKUP($A3,'The List'!$B1:$AS727,10,FALSE)," ")</f>
        <v xml:space="preserve"> </v>
      </c>
      <c r="H3" s="39"/>
      <c r="I3" s="53" t="str">
        <f>IFERROR(VLOOKUP($A3,'The List'!$B1:$AS727,16,FALSE)," ")</f>
        <v xml:space="preserve"> </v>
      </c>
      <c r="J3" s="53" t="str">
        <f>IFERROR(VLOOKUP($A3,'The List'!$B1:$AS727,17,FALSE)," ")</f>
        <v xml:space="preserve"> </v>
      </c>
      <c r="K3" s="53" t="str">
        <f>IFERROR(VLOOKUP($A3,'The List'!$B1:$AS727,18,FALSE)," ")</f>
        <v xml:space="preserve"> </v>
      </c>
      <c r="L3" s="53" t="str">
        <f>IFERROR(VLOOKUP($A3,'The List'!$B1:$AS727,19,FALSE)," ")</f>
        <v xml:space="preserve"> </v>
      </c>
      <c r="M3" s="53" t="str">
        <f>IFERROR(VLOOKUP($A3,'The List'!$B1:$AS727,20,FALSE)," ")</f>
        <v xml:space="preserve"> </v>
      </c>
      <c r="N3" s="53" t="str">
        <f>IFERROR(VLOOKUP($A3,'The List'!$B1:$AS727,21,FALSE)," ")</f>
        <v xml:space="preserve"> </v>
      </c>
      <c r="O3" s="53" t="str">
        <f>IFERROR(VLOOKUP($A3,'The List'!$B1:$AS727,22,FALSE)," ")</f>
        <v xml:space="preserve"> </v>
      </c>
      <c r="P3" s="53" t="str">
        <f>IFERROR(VLOOKUP($A3,'The List'!$B1:$AS727,23,FALSE)," ")</f>
        <v xml:space="preserve"> </v>
      </c>
      <c r="Q3" s="53" t="str">
        <f>IFERROR(VLOOKUP($A3,'The List'!$B1:$AS727,24,FALSE)," ")</f>
        <v xml:space="preserve"> </v>
      </c>
      <c r="R3" s="53" t="str">
        <f>IFERROR(VLOOKUP($A3,'The List'!$B1:$AS727,25,FALSE)," ")</f>
        <v xml:space="preserve"> </v>
      </c>
      <c r="S3" s="53" t="str">
        <f>IFERROR(VLOOKUP($A3,'The List'!$B1:$AS727,26,FALSE)," ")</f>
        <v xml:space="preserve"> </v>
      </c>
      <c r="T3" s="53" t="str">
        <f>IFERROR(VLOOKUP($A3,'The List'!$B1:$AS727,27,FALSE)," ")</f>
        <v xml:space="preserve"> </v>
      </c>
      <c r="U3" s="53" t="str">
        <f>IFERROR(VLOOKUP($A3,'The List'!$B1:$AS727,28,FALSE)," ")</f>
        <v xml:space="preserve"> </v>
      </c>
      <c r="V3" s="53" t="str">
        <f>IFERROR(VLOOKUP($A3,'The List'!$B1:$AS727,29,FALSE)," ")</f>
        <v xml:space="preserve"> </v>
      </c>
      <c r="W3" s="53" t="str">
        <f>IFERROR(VLOOKUP($A3,'The List'!$B1:$AS727,30,FALSE)," ")</f>
        <v xml:space="preserve"> </v>
      </c>
      <c r="X3" s="53" t="str">
        <f>IFERROR(VLOOKUP($A3,'The List'!$B1:$AS727,31,FALSE)," ")</f>
        <v xml:space="preserve"> </v>
      </c>
      <c r="Y3" s="53" t="str">
        <f>IFERROR(VLOOKUP($A3,'The List'!$B1:$AS727,32,FALSE)," ")</f>
        <v xml:space="preserve"> </v>
      </c>
      <c r="Z3" s="53" t="str">
        <f>IFERROR(VLOOKUP($A3,'The List'!$B1:$AS727,33,FALSE)," ")</f>
        <v xml:space="preserve"> </v>
      </c>
      <c r="AA3" s="55"/>
      <c r="AB3" s="60"/>
      <c r="AC3" s="60"/>
      <c r="AD3" s="8" t="s">
        <v>835</v>
      </c>
      <c r="AE3" s="37">
        <f>VLOOKUP(AD3,T1:Y464,2,FALSE)</f>
        <v>0</v>
      </c>
      <c r="AF3" s="37">
        <f>VLOOKUP(AD3,T1:AA464,5,FALSE)</f>
        <v>0</v>
      </c>
    </row>
    <row r="4" spans="1:32" ht="21.25" customHeight="1" x14ac:dyDescent="0.15">
      <c r="A4" s="23"/>
      <c r="B4" s="57" t="str">
        <f>IFERROR(VLOOKUP($A4,'The List'!$B1:$AS727,3,FALSE)," ")</f>
        <v xml:space="preserve"> </v>
      </c>
      <c r="C4" s="61" t="str">
        <f>IFERROR(VLOOKUP($A4,'The List'!$B1:$AS727,4,FALSE)," ")</f>
        <v xml:space="preserve"> </v>
      </c>
      <c r="D4" s="35" t="str">
        <f>IFERROR(VLOOKUP($A4,'The List'!$B1:$AS727,5,FALSE)," ")</f>
        <v xml:space="preserve"> </v>
      </c>
      <c r="E4" s="35" t="str">
        <f>IFERROR(VLOOKUP($A4,'The List'!$B1:$AS727,6,FALSE)," ")</f>
        <v xml:space="preserve"> </v>
      </c>
      <c r="F4" s="52" t="str">
        <f>IFERROR(VLOOKUP($A4,'The List'!$B1:$AS727,8,FALSE)," ")</f>
        <v xml:space="preserve"> </v>
      </c>
      <c r="G4" s="52" t="str">
        <f>IFERROR(VLOOKUP($A4,'The List'!$B1:$AS727,10,FALSE)," ")</f>
        <v xml:space="preserve"> </v>
      </c>
      <c r="H4" s="39"/>
      <c r="I4" s="53" t="str">
        <f>IFERROR(VLOOKUP($A4,'The List'!$B1:$AS727,16,FALSE)," ")</f>
        <v xml:space="preserve"> </v>
      </c>
      <c r="J4" s="53" t="str">
        <f>IFERROR(VLOOKUP($A4,'The List'!$B1:$AS727,17,FALSE)," ")</f>
        <v xml:space="preserve"> </v>
      </c>
      <c r="K4" s="53" t="str">
        <f>IFERROR(VLOOKUP($A4,'The List'!$B1:$AS727,18,FALSE)," ")</f>
        <v xml:space="preserve"> </v>
      </c>
      <c r="L4" s="53" t="str">
        <f>IFERROR(VLOOKUP($A4,'The List'!$B1:$AS727,19,FALSE)," ")</f>
        <v xml:space="preserve"> </v>
      </c>
      <c r="M4" s="53" t="str">
        <f>IFERROR(VLOOKUP($A4,'The List'!$B1:$AS727,20,FALSE)," ")</f>
        <v xml:space="preserve"> </v>
      </c>
      <c r="N4" s="53" t="str">
        <f>IFERROR(VLOOKUP($A4,'The List'!$B1:$AS727,21,FALSE)," ")</f>
        <v xml:space="preserve"> </v>
      </c>
      <c r="O4" s="53" t="str">
        <f>IFERROR(VLOOKUP($A4,'The List'!$B1:$AS727,22,FALSE)," ")</f>
        <v xml:space="preserve"> </v>
      </c>
      <c r="P4" s="53" t="str">
        <f>IFERROR(VLOOKUP($A4,'The List'!$B1:$AS727,23,FALSE)," ")</f>
        <v xml:space="preserve"> </v>
      </c>
      <c r="Q4" s="53" t="str">
        <f>IFERROR(VLOOKUP($A4,'The List'!$B1:$AS727,24,FALSE)," ")</f>
        <v xml:space="preserve"> </v>
      </c>
      <c r="R4" s="53" t="str">
        <f>IFERROR(VLOOKUP($A4,'The List'!$B1:$AS727,25,FALSE)," ")</f>
        <v xml:space="preserve"> </v>
      </c>
      <c r="S4" s="53" t="str">
        <f>IFERROR(VLOOKUP($A4,'The List'!$B1:$AS727,26,FALSE)," ")</f>
        <v xml:space="preserve"> </v>
      </c>
      <c r="T4" s="53" t="str">
        <f>IFERROR(VLOOKUP($A4,'The List'!$B1:$AS727,27,FALSE)," ")</f>
        <v xml:space="preserve"> </v>
      </c>
      <c r="U4" s="53" t="str">
        <f>IFERROR(VLOOKUP($A4,'The List'!$B1:$AS727,28,FALSE)," ")</f>
        <v xml:space="preserve"> </v>
      </c>
      <c r="V4" s="53" t="str">
        <f>IFERROR(VLOOKUP($A4,'The List'!$B1:$AS727,29,FALSE)," ")</f>
        <v xml:space="preserve"> </v>
      </c>
      <c r="W4" s="53" t="str">
        <f>IFERROR(VLOOKUP($A4,'The List'!$B1:$AS727,30,FALSE)," ")</f>
        <v xml:space="preserve"> </v>
      </c>
      <c r="X4" s="53" t="str">
        <f>IFERROR(VLOOKUP($A4,'The List'!$B1:$AS727,31,FALSE)," ")</f>
        <v xml:space="preserve"> </v>
      </c>
      <c r="Y4" s="53" t="str">
        <f>IFERROR(VLOOKUP($A4,'The List'!$B1:$AS727,32,FALSE)," ")</f>
        <v xml:space="preserve"> </v>
      </c>
      <c r="Z4" s="53" t="str">
        <f>IFERROR(VLOOKUP($A4,'The List'!$B1:$AS727,33,FALSE)," ")</f>
        <v xml:space="preserve"> </v>
      </c>
      <c r="AA4" s="55"/>
      <c r="AB4" s="60"/>
      <c r="AC4" s="60"/>
      <c r="AD4" s="8" t="s">
        <v>836</v>
      </c>
      <c r="AE4" s="37">
        <f>VLOOKUP(AD4,T1:Y464,2,FALSE)</f>
        <v>0</v>
      </c>
      <c r="AF4" s="37">
        <f>VLOOKUP(AD4,T1:AA464,5,FALSE)</f>
        <v>0</v>
      </c>
    </row>
    <row r="5" spans="1:32" ht="21.25" customHeight="1" x14ac:dyDescent="0.15">
      <c r="A5" s="23"/>
      <c r="B5" s="57" t="str">
        <f>IFERROR(VLOOKUP($A5,'The List'!$B1:$AS727,3,FALSE)," ")</f>
        <v xml:space="preserve"> </v>
      </c>
      <c r="C5" s="61" t="str">
        <f>IFERROR(VLOOKUP($A5,'The List'!$B1:$AS727,4,FALSE)," ")</f>
        <v xml:space="preserve"> </v>
      </c>
      <c r="D5" s="35" t="str">
        <f>IFERROR(VLOOKUP($A5,'The List'!$B1:$AS727,5,FALSE)," ")</f>
        <v xml:space="preserve"> </v>
      </c>
      <c r="E5" s="35" t="str">
        <f>IFERROR(VLOOKUP($A5,'The List'!$B1:$AS727,6,FALSE)," ")</f>
        <v xml:space="preserve"> </v>
      </c>
      <c r="F5" s="52" t="str">
        <f>IFERROR(VLOOKUP($A5,'The List'!$B1:$AS727,8,FALSE)," ")</f>
        <v xml:space="preserve"> </v>
      </c>
      <c r="G5" s="52" t="str">
        <f>IFERROR(VLOOKUP($A5,'The List'!$B1:$AS727,10,FALSE)," ")</f>
        <v xml:space="preserve"> </v>
      </c>
      <c r="H5" s="39"/>
      <c r="I5" s="53" t="str">
        <f>IFERROR(VLOOKUP($A5,'The List'!$B1:$AS727,16,FALSE)," ")</f>
        <v xml:space="preserve"> </v>
      </c>
      <c r="J5" s="53" t="str">
        <f>IFERROR(VLOOKUP($A5,'The List'!$B1:$AS727,17,FALSE)," ")</f>
        <v xml:space="preserve"> </v>
      </c>
      <c r="K5" s="53" t="str">
        <f>IFERROR(VLOOKUP($A5,'The List'!$B1:$AS727,18,FALSE)," ")</f>
        <v xml:space="preserve"> </v>
      </c>
      <c r="L5" s="53" t="str">
        <f>IFERROR(VLOOKUP($A5,'The List'!$B1:$AS727,19,FALSE)," ")</f>
        <v xml:space="preserve"> </v>
      </c>
      <c r="M5" s="53" t="str">
        <f>IFERROR(VLOOKUP($A5,'The List'!$B1:$AS727,20,FALSE)," ")</f>
        <v xml:space="preserve"> </v>
      </c>
      <c r="N5" s="53" t="str">
        <f>IFERROR(VLOOKUP($A5,'The List'!$B1:$AS727,21,FALSE)," ")</f>
        <v xml:space="preserve"> </v>
      </c>
      <c r="O5" s="53" t="str">
        <f>IFERROR(VLOOKUP($A5,'The List'!$B1:$AS727,22,FALSE)," ")</f>
        <v xml:space="preserve"> </v>
      </c>
      <c r="P5" s="53" t="str">
        <f>IFERROR(VLOOKUP($A5,'The List'!$B1:$AS727,23,FALSE)," ")</f>
        <v xml:space="preserve"> </v>
      </c>
      <c r="Q5" s="53" t="str">
        <f>IFERROR(VLOOKUP($A5,'The List'!$B1:$AS727,24,FALSE)," ")</f>
        <v xml:space="preserve"> </v>
      </c>
      <c r="R5" s="53" t="str">
        <f>IFERROR(VLOOKUP($A5,'The List'!$B1:$AS727,25,FALSE)," ")</f>
        <v xml:space="preserve"> </v>
      </c>
      <c r="S5" s="53" t="str">
        <f>IFERROR(VLOOKUP($A5,'The List'!$B1:$AS727,26,FALSE)," ")</f>
        <v xml:space="preserve"> </v>
      </c>
      <c r="T5" s="53" t="str">
        <f>IFERROR(VLOOKUP($A5,'The List'!$B1:$AS727,27,FALSE)," ")</f>
        <v xml:space="preserve"> </v>
      </c>
      <c r="U5" s="53" t="str">
        <f>IFERROR(VLOOKUP($A5,'The List'!$B1:$AS727,28,FALSE)," ")</f>
        <v xml:space="preserve"> </v>
      </c>
      <c r="V5" s="53" t="str">
        <f>IFERROR(VLOOKUP($A5,'The List'!$B1:$AS727,29,FALSE)," ")</f>
        <v xml:space="preserve"> </v>
      </c>
      <c r="W5" s="53" t="str">
        <f>IFERROR(VLOOKUP($A5,'The List'!$B1:$AS727,30,FALSE)," ")</f>
        <v xml:space="preserve"> </v>
      </c>
      <c r="X5" s="53" t="str">
        <f>IFERROR(VLOOKUP($A5,'The List'!$B1:$AS727,31,FALSE)," ")</f>
        <v xml:space="preserve"> </v>
      </c>
      <c r="Y5" s="53" t="str">
        <f>IFERROR(VLOOKUP($A5,'The List'!$B1:$AS727,32,FALSE)," ")</f>
        <v xml:space="preserve"> </v>
      </c>
      <c r="Z5" s="53" t="str">
        <f>IFERROR(VLOOKUP($A5,'The List'!$B1:$AS727,33,FALSE)," ")</f>
        <v xml:space="preserve"> </v>
      </c>
      <c r="AA5" s="55"/>
      <c r="AB5" s="60"/>
      <c r="AC5" s="60"/>
      <c r="AD5" s="8" t="s">
        <v>837</v>
      </c>
      <c r="AE5" s="37">
        <f>VLOOKUP(AD5,T1:Y464,2,FALSE)</f>
        <v>0</v>
      </c>
      <c r="AF5" s="37">
        <f>VLOOKUP(AD5,T1:AA464,5,FALSE)</f>
        <v>0</v>
      </c>
    </row>
    <row r="6" spans="1:32" ht="21.25" customHeight="1" x14ac:dyDescent="0.15">
      <c r="A6" s="8" t="s">
        <v>111</v>
      </c>
      <c r="B6" s="62" t="str">
        <f>IFERROR(VLOOKUP($A6,'The List'!$B1:$AS727,3,FALSE)," ")</f>
        <v>LW</v>
      </c>
      <c r="C6" s="63">
        <f>IFERROR(VLOOKUP($A6,'The List'!$B1:$AS727,4,FALSE)," ")</f>
        <v>1</v>
      </c>
      <c r="D6" s="35" t="str">
        <f>IFERROR(VLOOKUP($A6,'The List'!$B1:$AS727,5,FALSE)," ")</f>
        <v>FLA</v>
      </c>
      <c r="E6" s="59">
        <f>IFERROR(VLOOKUP($A6,'The List'!$B1:$AS727,6,FALSE)," ")</f>
        <v>25</v>
      </c>
      <c r="F6" s="37">
        <f>IFERROR(VLOOKUP($A6,'The List'!$B1:$AS727,8,FALSE)," ")</f>
        <v>553.02647887611465</v>
      </c>
      <c r="G6" s="37">
        <f>IFERROR(VLOOKUP($A6,'The List'!$B1:$AS727,10,FALSE)," ")</f>
        <v>188.98587401846419</v>
      </c>
      <c r="H6" s="39"/>
      <c r="I6" s="41">
        <f>IFERROR(VLOOKUP($A6,'The List'!$B1:$AS727,16,FALSE)," ")</f>
        <v>81.497500000000002</v>
      </c>
      <c r="J6" s="41">
        <f>IFERROR(VLOOKUP($A6,'The List'!$B1:$AS727,17,FALSE)," ")</f>
        <v>20.124918332980801</v>
      </c>
      <c r="K6" s="41">
        <f>IFERROR(VLOOKUP($A6,'The List'!$B1:$AS727,18,FALSE)," ")</f>
        <v>41.190988171039919</v>
      </c>
      <c r="L6" s="41">
        <f>IFERROR(VLOOKUP($A6,'The List'!$B1:$AS727,19,FALSE)," ")</f>
        <v>66.218295391950704</v>
      </c>
      <c r="M6" s="41">
        <f>IFERROR(VLOOKUP($A6,'The List'!$B1:$AS727,20,FALSE)," ")</f>
        <v>107.40928356299062</v>
      </c>
      <c r="N6" s="41">
        <f>IFERROR(VLOOKUP($A6,'The List'!$B1:$AS727,21,FALSE)," ")</f>
        <v>306.76677740534365</v>
      </c>
      <c r="O6" s="41">
        <f>IFERROR(VLOOKUP($A6,'The List'!$B1:$AS727,22,FALSE)," ")</f>
        <v>13.333453903891165</v>
      </c>
      <c r="P6" s="41">
        <f>IFERROR(VLOOKUP($A6,'The List'!$B1:$AS727,23,FALSE)," ")</f>
        <v>35.141260643277342</v>
      </c>
      <c r="Q6" s="41">
        <f>IFERROR(VLOOKUP($A6,'The List'!$B1:$AS727,24,FALSE)," ")</f>
        <v>9.8152182548921732E-2</v>
      </c>
      <c r="R6" s="41">
        <f>IFERROR(VLOOKUP($A6,'The List'!$B1:$AS727,25,FALSE)," ")</f>
        <v>0.64177347317823041</v>
      </c>
      <c r="S6" s="41">
        <f>IFERROR(VLOOKUP($A6,'The List'!$B1:$AS727,26,FALSE)," ")</f>
        <v>29.245856257799115</v>
      </c>
      <c r="T6" s="41">
        <f>IFERROR(VLOOKUP($A6,'The List'!$B1:$AS727,27,FALSE)," ")</f>
        <v>83.492283495069458</v>
      </c>
      <c r="U6" s="41">
        <f>IFERROR(VLOOKUP($A6,'The List'!$B1:$AS727,28,FALSE)," ")</f>
        <v>11.303303599129922</v>
      </c>
      <c r="V6" s="41">
        <f>IFERROR(VLOOKUP($A6,'The List'!$B1:$AS727,29,FALSE)," ")</f>
        <v>72.1574745794954</v>
      </c>
      <c r="W6" s="41">
        <f>IFERROR(VLOOKUP($A6,'The List'!$B1:$AS727,30,FALSE)," ")</f>
        <v>5.9089412090695905</v>
      </c>
      <c r="X6" s="41">
        <f>IFERROR(VLOOKUP($A6,'The List'!$B1:$AS727,31,FALSE)," ")</f>
        <v>13.666397076167714</v>
      </c>
      <c r="Y6" s="41">
        <f>IFERROR(VLOOKUP($A6,'The List'!$B1:$AS727,32,FALSE)," ")</f>
        <v>16.648322653921678</v>
      </c>
      <c r="Z6" s="42">
        <f>IFERROR(VLOOKUP($A6,'The List'!$B1:$AS727,33,FALSE)," ")</f>
        <v>0.45081720028580602</v>
      </c>
      <c r="AA6" s="55"/>
      <c r="AB6" s="60"/>
      <c r="AC6" s="60"/>
      <c r="AD6" s="8" t="s">
        <v>838</v>
      </c>
      <c r="AE6" s="37">
        <f>VLOOKUP(AD6,T1:Y464,2,FALSE)</f>
        <v>0</v>
      </c>
      <c r="AF6" s="37">
        <f>VLOOKUP(AD6,T1:AA464,5,FALSE)</f>
        <v>0</v>
      </c>
    </row>
    <row r="7" spans="1:32" ht="21.25" customHeight="1" x14ac:dyDescent="0.15">
      <c r="A7" s="23"/>
      <c r="B7" s="62" t="str">
        <f>IFERROR(VLOOKUP($A7,'The List'!$B1:$AS727,3,FALSE)," ")</f>
        <v xml:space="preserve"> </v>
      </c>
      <c r="C7" s="64" t="str">
        <f>IFERROR(VLOOKUP($A7,'The List'!$B1:$AS727,4,FALSE)," ")</f>
        <v xml:space="preserve"> </v>
      </c>
      <c r="D7" s="35" t="str">
        <f>IFERROR(VLOOKUP($A7,'The List'!$B1:$AS727,5,FALSE)," ")</f>
        <v xml:space="preserve"> </v>
      </c>
      <c r="E7" s="35" t="str">
        <f>IFERROR(VLOOKUP($A7,'The List'!$B1:$AS727,6,FALSE)," ")</f>
        <v xml:space="preserve"> </v>
      </c>
      <c r="F7" s="52" t="str">
        <f>IFERROR(VLOOKUP($A7,'The List'!$B1:$AS727,8,FALSE)," ")</f>
        <v xml:space="preserve"> </v>
      </c>
      <c r="G7" s="52" t="str">
        <f>IFERROR(VLOOKUP($A7,'The List'!$B1:$AS727,10,FALSE)," ")</f>
        <v xml:space="preserve"> </v>
      </c>
      <c r="H7" s="39"/>
      <c r="I7" s="53" t="str">
        <f>IFERROR(VLOOKUP($A7,'The List'!$B1:$AS727,16,FALSE)," ")</f>
        <v xml:space="preserve"> </v>
      </c>
      <c r="J7" s="53" t="str">
        <f>IFERROR(VLOOKUP($A7,'The List'!$B1:$AS727,17,FALSE)," ")</f>
        <v xml:space="preserve"> </v>
      </c>
      <c r="K7" s="53" t="str">
        <f>IFERROR(VLOOKUP($A7,'The List'!$B1:$AS727,18,FALSE)," ")</f>
        <v xml:space="preserve"> </v>
      </c>
      <c r="L7" s="53" t="str">
        <f>IFERROR(VLOOKUP($A7,'The List'!$B1:$AS727,19,FALSE)," ")</f>
        <v xml:space="preserve"> </v>
      </c>
      <c r="M7" s="53" t="str">
        <f>IFERROR(VLOOKUP($A7,'The List'!$B1:$AS727,20,FALSE)," ")</f>
        <v xml:space="preserve"> </v>
      </c>
      <c r="N7" s="53" t="str">
        <f>IFERROR(VLOOKUP($A7,'The List'!$B1:$AS727,21,FALSE)," ")</f>
        <v xml:space="preserve"> </v>
      </c>
      <c r="O7" s="53" t="str">
        <f>IFERROR(VLOOKUP($A7,'The List'!$B1:$AS727,22,FALSE)," ")</f>
        <v xml:space="preserve"> </v>
      </c>
      <c r="P7" s="53" t="str">
        <f>IFERROR(VLOOKUP($A7,'The List'!$B1:$AS727,23,FALSE)," ")</f>
        <v xml:space="preserve"> </v>
      </c>
      <c r="Q7" s="53" t="str">
        <f>IFERROR(VLOOKUP($A7,'The List'!$B1:$AS727,24,FALSE)," ")</f>
        <v xml:space="preserve"> </v>
      </c>
      <c r="R7" s="53" t="str">
        <f>IFERROR(VLOOKUP($A7,'The List'!$B1:$AS727,25,FALSE)," ")</f>
        <v xml:space="preserve"> </v>
      </c>
      <c r="S7" s="53" t="str">
        <f>IFERROR(VLOOKUP($A7,'The List'!$B1:$AS727,26,FALSE)," ")</f>
        <v xml:space="preserve"> </v>
      </c>
      <c r="T7" s="53" t="str">
        <f>IFERROR(VLOOKUP($A7,'The List'!$B1:$AS727,27,FALSE)," ")</f>
        <v xml:space="preserve"> </v>
      </c>
      <c r="U7" s="53" t="str">
        <f>IFERROR(VLOOKUP($A7,'The List'!$B1:$AS727,28,FALSE)," ")</f>
        <v xml:space="preserve"> </v>
      </c>
      <c r="V7" s="53" t="str">
        <f>IFERROR(VLOOKUP($A7,'The List'!$B1:$AS727,29,FALSE)," ")</f>
        <v xml:space="preserve"> </v>
      </c>
      <c r="W7" s="53" t="str">
        <f>IFERROR(VLOOKUP($A7,'The List'!$B1:$AS727,30,FALSE)," ")</f>
        <v xml:space="preserve"> </v>
      </c>
      <c r="X7" s="53" t="str">
        <f>IFERROR(VLOOKUP($A7,'The List'!$B1:$AS727,31,FALSE)," ")</f>
        <v xml:space="preserve"> </v>
      </c>
      <c r="Y7" s="53" t="str">
        <f>IFERROR(VLOOKUP($A7,'The List'!$B1:$AS727,32,FALSE)," ")</f>
        <v xml:space="preserve"> </v>
      </c>
      <c r="Z7" s="53" t="str">
        <f>IFERROR(VLOOKUP($A7,'The List'!$B1:$AS727,33,FALSE)," ")</f>
        <v xml:space="preserve"> </v>
      </c>
      <c r="AA7" s="55"/>
      <c r="AB7" s="60"/>
      <c r="AC7" s="60"/>
      <c r="AD7" s="8" t="s">
        <v>839</v>
      </c>
      <c r="AE7" s="37">
        <f>VLOOKUP(AD7,T1:Y464,2,FALSE)</f>
        <v>0</v>
      </c>
      <c r="AF7" s="37">
        <f>VLOOKUP(AD7,T1:AA464,5,FALSE)</f>
        <v>0</v>
      </c>
    </row>
    <row r="8" spans="1:32" ht="21.25" customHeight="1" x14ac:dyDescent="0.15">
      <c r="A8" s="23"/>
      <c r="B8" s="62" t="str">
        <f>IFERROR(VLOOKUP($A8,'The List'!$B1:$AS727,3,FALSE)," ")</f>
        <v xml:space="preserve"> </v>
      </c>
      <c r="C8" s="64" t="str">
        <f>IFERROR(VLOOKUP($A8,'The List'!$B1:$AS727,4,FALSE)," ")</f>
        <v xml:space="preserve"> </v>
      </c>
      <c r="D8" s="35" t="str">
        <f>IFERROR(VLOOKUP($A8,'The List'!$B1:$AS727,5,FALSE)," ")</f>
        <v xml:space="preserve"> </v>
      </c>
      <c r="E8" s="35" t="str">
        <f>IFERROR(VLOOKUP($A8,'The List'!$B1:$AS727,6,FALSE)," ")</f>
        <v xml:space="preserve"> </v>
      </c>
      <c r="F8" s="52" t="str">
        <f>IFERROR(VLOOKUP($A8,'The List'!$B1:$AS727,8,FALSE)," ")</f>
        <v xml:space="preserve"> </v>
      </c>
      <c r="G8" s="52" t="str">
        <f>IFERROR(VLOOKUP($A8,'The List'!$B1:$AS727,10,FALSE)," ")</f>
        <v xml:space="preserve"> </v>
      </c>
      <c r="H8" s="39"/>
      <c r="I8" s="53" t="str">
        <f>IFERROR(VLOOKUP($A8,'The List'!$B1:$AS727,16,FALSE)," ")</f>
        <v xml:space="preserve"> </v>
      </c>
      <c r="J8" s="53" t="str">
        <f>IFERROR(VLOOKUP($A8,'The List'!$B1:$AS727,17,FALSE)," ")</f>
        <v xml:space="preserve"> </v>
      </c>
      <c r="K8" s="53" t="str">
        <f>IFERROR(VLOOKUP($A8,'The List'!$B1:$AS727,18,FALSE)," ")</f>
        <v xml:space="preserve"> </v>
      </c>
      <c r="L8" s="53" t="str">
        <f>IFERROR(VLOOKUP($A8,'The List'!$B1:$AS727,19,FALSE)," ")</f>
        <v xml:space="preserve"> </v>
      </c>
      <c r="M8" s="53" t="str">
        <f>IFERROR(VLOOKUP($A8,'The List'!$B1:$AS727,20,FALSE)," ")</f>
        <v xml:space="preserve"> </v>
      </c>
      <c r="N8" s="53" t="str">
        <f>IFERROR(VLOOKUP($A8,'The List'!$B1:$AS727,21,FALSE)," ")</f>
        <v xml:space="preserve"> </v>
      </c>
      <c r="O8" s="53" t="str">
        <f>IFERROR(VLOOKUP($A8,'The List'!$B1:$AS727,22,FALSE)," ")</f>
        <v xml:space="preserve"> </v>
      </c>
      <c r="P8" s="53" t="str">
        <f>IFERROR(VLOOKUP($A8,'The List'!$B1:$AS727,23,FALSE)," ")</f>
        <v xml:space="preserve"> </v>
      </c>
      <c r="Q8" s="53" t="str">
        <f>IFERROR(VLOOKUP($A8,'The List'!$B1:$AS727,24,FALSE)," ")</f>
        <v xml:space="preserve"> </v>
      </c>
      <c r="R8" s="53" t="str">
        <f>IFERROR(VLOOKUP($A8,'The List'!$B1:$AS727,25,FALSE)," ")</f>
        <v xml:space="preserve"> </v>
      </c>
      <c r="S8" s="53" t="str">
        <f>IFERROR(VLOOKUP($A8,'The List'!$B1:$AS727,26,FALSE)," ")</f>
        <v xml:space="preserve"> </v>
      </c>
      <c r="T8" s="53" t="str">
        <f>IFERROR(VLOOKUP($A8,'The List'!$B1:$AS727,27,FALSE)," ")</f>
        <v xml:space="preserve"> </v>
      </c>
      <c r="U8" s="53" t="str">
        <f>IFERROR(VLOOKUP($A8,'The List'!$B1:$AS727,28,FALSE)," ")</f>
        <v xml:space="preserve"> </v>
      </c>
      <c r="V8" s="53" t="str">
        <f>IFERROR(VLOOKUP($A8,'The List'!$B1:$AS727,29,FALSE)," ")</f>
        <v xml:space="preserve"> </v>
      </c>
      <c r="W8" s="53" t="str">
        <f>IFERROR(VLOOKUP($A8,'The List'!$B1:$AS727,30,FALSE)," ")</f>
        <v xml:space="preserve"> </v>
      </c>
      <c r="X8" s="53" t="str">
        <f>IFERROR(VLOOKUP($A8,'The List'!$B1:$AS727,31,FALSE)," ")</f>
        <v xml:space="preserve"> </v>
      </c>
      <c r="Y8" s="53" t="str">
        <f>IFERROR(VLOOKUP($A8,'The List'!$B1:$AS727,32,FALSE)," ")</f>
        <v xml:space="preserve"> </v>
      </c>
      <c r="Z8" s="53" t="str">
        <f>IFERROR(VLOOKUP($A8,'The List'!$B1:$AS727,33,FALSE)," ")</f>
        <v xml:space="preserve"> </v>
      </c>
      <c r="AA8" s="55"/>
      <c r="AB8" s="60"/>
      <c r="AC8" s="60"/>
      <c r="AD8" s="8" t="s">
        <v>840</v>
      </c>
      <c r="AE8" s="37">
        <f>VLOOKUP(AD8,T1:Y464,2,FALSE)</f>
        <v>0</v>
      </c>
      <c r="AF8" s="37">
        <f>VLOOKUP(AD8,T1:AA464,5,FALSE)</f>
        <v>0</v>
      </c>
    </row>
    <row r="9" spans="1:32" ht="21.25" customHeight="1" x14ac:dyDescent="0.15">
      <c r="A9" s="23"/>
      <c r="B9" s="62" t="str">
        <f>IFERROR(VLOOKUP($A9,'The List'!$B1:$AS727,3,FALSE)," ")</f>
        <v xml:space="preserve"> </v>
      </c>
      <c r="C9" s="64" t="str">
        <f>IFERROR(VLOOKUP($A9,'The List'!$B1:$AS727,4,FALSE)," ")</f>
        <v xml:space="preserve"> </v>
      </c>
      <c r="D9" s="35" t="str">
        <f>IFERROR(VLOOKUP($A9,'The List'!$B1:$AS727,5,FALSE)," ")</f>
        <v xml:space="preserve"> </v>
      </c>
      <c r="E9" s="35" t="str">
        <f>IFERROR(VLOOKUP($A9,'The List'!$B1:$AS727,6,FALSE)," ")</f>
        <v xml:space="preserve"> </v>
      </c>
      <c r="F9" s="52" t="str">
        <f>IFERROR(VLOOKUP($A9,'The List'!$B1:$AS727,8,FALSE)," ")</f>
        <v xml:space="preserve"> </v>
      </c>
      <c r="G9" s="52" t="str">
        <f>IFERROR(VLOOKUP($A9,'The List'!$B1:$AS727,10,FALSE)," ")</f>
        <v xml:space="preserve"> </v>
      </c>
      <c r="H9" s="39"/>
      <c r="I9" s="53" t="str">
        <f>IFERROR(VLOOKUP($A9,'The List'!$B1:$AS727,16,FALSE)," ")</f>
        <v xml:space="preserve"> </v>
      </c>
      <c r="J9" s="53" t="str">
        <f>IFERROR(VLOOKUP($A9,'The List'!$B1:$AS727,17,FALSE)," ")</f>
        <v xml:space="preserve"> </v>
      </c>
      <c r="K9" s="53" t="str">
        <f>IFERROR(VLOOKUP($A9,'The List'!$B1:$AS727,18,FALSE)," ")</f>
        <v xml:space="preserve"> </v>
      </c>
      <c r="L9" s="53" t="str">
        <f>IFERROR(VLOOKUP($A9,'The List'!$B1:$AS727,19,FALSE)," ")</f>
        <v xml:space="preserve"> </v>
      </c>
      <c r="M9" s="53" t="str">
        <f>IFERROR(VLOOKUP($A9,'The List'!$B1:$AS727,20,FALSE)," ")</f>
        <v xml:space="preserve"> </v>
      </c>
      <c r="N9" s="53" t="str">
        <f>IFERROR(VLOOKUP($A9,'The List'!$B1:$AS727,21,FALSE)," ")</f>
        <v xml:space="preserve"> </v>
      </c>
      <c r="O9" s="53" t="str">
        <f>IFERROR(VLOOKUP($A9,'The List'!$B1:$AS727,22,FALSE)," ")</f>
        <v xml:space="preserve"> </v>
      </c>
      <c r="P9" s="53" t="str">
        <f>IFERROR(VLOOKUP($A9,'The List'!$B1:$AS727,23,FALSE)," ")</f>
        <v xml:space="preserve"> </v>
      </c>
      <c r="Q9" s="53" t="str">
        <f>IFERROR(VLOOKUP($A9,'The List'!$B1:$AS727,24,FALSE)," ")</f>
        <v xml:space="preserve"> </v>
      </c>
      <c r="R9" s="53" t="str">
        <f>IFERROR(VLOOKUP($A9,'The List'!$B1:$AS727,25,FALSE)," ")</f>
        <v xml:space="preserve"> </v>
      </c>
      <c r="S9" s="53" t="str">
        <f>IFERROR(VLOOKUP($A9,'The List'!$B1:$AS727,26,FALSE)," ")</f>
        <v xml:space="preserve"> </v>
      </c>
      <c r="T9" s="53" t="str">
        <f>IFERROR(VLOOKUP($A9,'The List'!$B1:$AS727,27,FALSE)," ")</f>
        <v xml:space="preserve"> </v>
      </c>
      <c r="U9" s="53" t="str">
        <f>IFERROR(VLOOKUP($A9,'The List'!$B1:$AS727,28,FALSE)," ")</f>
        <v xml:space="preserve"> </v>
      </c>
      <c r="V9" s="53" t="str">
        <f>IFERROR(VLOOKUP($A9,'The List'!$B1:$AS727,29,FALSE)," ")</f>
        <v xml:space="preserve"> </v>
      </c>
      <c r="W9" s="53" t="str">
        <f>IFERROR(VLOOKUP($A9,'The List'!$B1:$AS727,30,FALSE)," ")</f>
        <v xml:space="preserve"> </v>
      </c>
      <c r="X9" s="53" t="str">
        <f>IFERROR(VLOOKUP($A9,'The List'!$B1:$AS727,31,FALSE)," ")</f>
        <v xml:space="preserve"> </v>
      </c>
      <c r="Y9" s="53" t="str">
        <f>IFERROR(VLOOKUP($A9,'The List'!$B1:$AS727,32,FALSE)," ")</f>
        <v xml:space="preserve"> </v>
      </c>
      <c r="Z9" s="53" t="str">
        <f>IFERROR(VLOOKUP($A9,'The List'!$B1:$AS727,33,FALSE)," ")</f>
        <v xml:space="preserve"> </v>
      </c>
      <c r="AA9" s="55"/>
      <c r="AB9" s="60"/>
      <c r="AC9" s="60"/>
      <c r="AD9" s="8" t="s">
        <v>841</v>
      </c>
      <c r="AE9" s="37">
        <f>VLOOKUP(AD9,T1:Y464,2,FALSE)</f>
        <v>0</v>
      </c>
      <c r="AF9" s="37">
        <f>VLOOKUP(AD9,T1:AA464,5,FALSE)</f>
        <v>0</v>
      </c>
    </row>
    <row r="10" spans="1:32" ht="21.25" customHeight="1" x14ac:dyDescent="0.15">
      <c r="A10" s="8" t="s">
        <v>109</v>
      </c>
      <c r="B10" s="65" t="str">
        <f>IFERROR(VLOOKUP($A10,'The List'!$B1:$AS727,3,FALSE)," ")</f>
        <v>RW</v>
      </c>
      <c r="C10" s="66">
        <f>IFERROR(VLOOKUP($A10,'The List'!$B1:$AS727,4,FALSE)," ")</f>
        <v>1</v>
      </c>
      <c r="D10" s="35" t="str">
        <f>IFERROR(VLOOKUP($A10,'The List'!$B1:$AS727,5,FALSE)," ")</f>
        <v>BOS</v>
      </c>
      <c r="E10" s="59">
        <f>IFERROR(VLOOKUP($A10,'The List'!$B1:$AS727,6,FALSE)," ")</f>
        <v>27</v>
      </c>
      <c r="F10" s="37">
        <f>IFERROR(VLOOKUP($A10,'The List'!$B1:$AS727,8,FALSE)," ")</f>
        <v>542.24474228245947</v>
      </c>
      <c r="G10" s="37">
        <f>IFERROR(VLOOKUP($A10,'The List'!$B1:$AS727,10,FALSE)," ")</f>
        <v>191.9732017345699</v>
      </c>
      <c r="H10" s="39"/>
      <c r="I10" s="41">
        <f>IFERROR(VLOOKUP($A10,'The List'!$B1:$AS727,16,FALSE)," ")</f>
        <v>79.483571428571395</v>
      </c>
      <c r="J10" s="41">
        <f>IFERROR(VLOOKUP($A10,'The List'!$B1:$AS727,17,FALSE)," ")</f>
        <v>19.436139692225598</v>
      </c>
      <c r="K10" s="41">
        <f>IFERROR(VLOOKUP($A10,'The List'!$B1:$AS727,18,FALSE)," ")</f>
        <v>49.303318276599128</v>
      </c>
      <c r="L10" s="41">
        <f>IFERROR(VLOOKUP($A10,'The List'!$B1:$AS727,19,FALSE)," ")</f>
        <v>47.573987819250711</v>
      </c>
      <c r="M10" s="41">
        <f>IFERROR(VLOOKUP($A10,'The List'!$B1:$AS727,20,FALSE)," ")</f>
        <v>96.877306095849832</v>
      </c>
      <c r="N10" s="41">
        <f>IFERROR(VLOOKUP($A10,'The List'!$B1:$AS727,21,FALSE)," ")</f>
        <v>365.59935013315845</v>
      </c>
      <c r="O10" s="41">
        <f>IFERROR(VLOOKUP($A10,'The List'!$B1:$AS727,22,FALSE)," ")</f>
        <v>15.346102422061474</v>
      </c>
      <c r="P10" s="41">
        <f>IFERROR(VLOOKUP($A10,'The List'!$B1:$AS727,23,FALSE)," ")</f>
        <v>31.447485830160389</v>
      </c>
      <c r="Q10" s="41">
        <f>IFERROR(VLOOKUP($A10,'The List'!$B1:$AS727,24,FALSE)," ")</f>
        <v>3.0575691473994769E-2</v>
      </c>
      <c r="R10" s="41">
        <f>IFERROR(VLOOKUP($A10,'The List'!$B1:$AS727,25,FALSE)," ")</f>
        <v>5.5759075431208206E-2</v>
      </c>
      <c r="S10" s="41">
        <f>IFERROR(VLOOKUP($A10,'The List'!$B1:$AS727,26,FALSE)," ")</f>
        <v>29.033295585738507</v>
      </c>
      <c r="T10" s="41">
        <f>IFERROR(VLOOKUP($A10,'The List'!$B1:$AS727,27,FALSE)," ")</f>
        <v>82.890934956718496</v>
      </c>
      <c r="U10" s="41">
        <f>IFERROR(VLOOKUP($A10,'The List'!$B1:$AS727,28,FALSE)," ")</f>
        <v>6.8832013084328612</v>
      </c>
      <c r="V10" s="41">
        <f>IFERROR(VLOOKUP($A10,'The List'!$B1:$AS727,29,FALSE)," ")</f>
        <v>34.078675334381735</v>
      </c>
      <c r="W10" s="41">
        <f>IFERROR(VLOOKUP($A10,'The List'!$B1:$AS727,30,FALSE)," ")</f>
        <v>8.2770568798854818</v>
      </c>
      <c r="X10" s="41">
        <f>IFERROR(VLOOKUP($A10,'The List'!$B1:$AS727,31,FALSE)," ")</f>
        <v>6.8412851710602363</v>
      </c>
      <c r="Y10" s="41">
        <f>IFERROR(VLOOKUP($A10,'The List'!$B1:$AS727,32,FALSE)," ")</f>
        <v>11.697293974593713</v>
      </c>
      <c r="Z10" s="42">
        <f>IFERROR(VLOOKUP($A10,'The List'!$B1:$AS727,33,FALSE)," ")</f>
        <v>0.369029639073719</v>
      </c>
      <c r="AA10" s="55"/>
      <c r="AB10" s="60"/>
      <c r="AC10" s="60"/>
      <c r="AD10" s="8" t="s">
        <v>842</v>
      </c>
      <c r="AE10" s="37">
        <f>VLOOKUP(AD10,T1:Y464,2,FALSE)</f>
        <v>0</v>
      </c>
      <c r="AF10" s="37">
        <f>VLOOKUP(AD10,T1:AA464,5,FALSE)</f>
        <v>0</v>
      </c>
    </row>
    <row r="11" spans="1:32" ht="21.25" customHeight="1" x14ac:dyDescent="0.15">
      <c r="A11" s="23"/>
      <c r="B11" s="65" t="str">
        <f>IFERROR(VLOOKUP($A11,'The List'!$B1:$AS727,3,FALSE)," ")</f>
        <v xml:space="preserve"> </v>
      </c>
      <c r="C11" s="67" t="str">
        <f>IFERROR(VLOOKUP($A11,'The List'!$B1:$AS727,4,FALSE)," ")</f>
        <v xml:space="preserve"> </v>
      </c>
      <c r="D11" s="35" t="str">
        <f>IFERROR(VLOOKUP($A11,'The List'!$B1:$AS727,5,FALSE)," ")</f>
        <v xml:space="preserve"> </v>
      </c>
      <c r="E11" s="35" t="str">
        <f>IFERROR(VLOOKUP($A11,'The List'!$B1:$AS727,6,FALSE)," ")</f>
        <v xml:space="preserve"> </v>
      </c>
      <c r="F11" s="52" t="str">
        <f>IFERROR(VLOOKUP($A11,'The List'!$B1:$AS727,8,FALSE)," ")</f>
        <v xml:space="preserve"> </v>
      </c>
      <c r="G11" s="52" t="str">
        <f>IFERROR(VLOOKUP($A11,'The List'!$B1:$AS727,10,FALSE)," ")</f>
        <v xml:space="preserve"> </v>
      </c>
      <c r="H11" s="39"/>
      <c r="I11" s="53" t="str">
        <f>IFERROR(VLOOKUP($A11,'The List'!$B1:$AS727,16,FALSE)," ")</f>
        <v xml:space="preserve"> </v>
      </c>
      <c r="J11" s="53" t="str">
        <f>IFERROR(VLOOKUP($A11,'The List'!$B1:$AS727,17,FALSE)," ")</f>
        <v xml:space="preserve"> </v>
      </c>
      <c r="K11" s="53" t="str">
        <f>IFERROR(VLOOKUP($A11,'The List'!$B1:$AS727,18,FALSE)," ")</f>
        <v xml:space="preserve"> </v>
      </c>
      <c r="L11" s="53" t="str">
        <f>IFERROR(VLOOKUP($A11,'The List'!$B1:$AS727,19,FALSE)," ")</f>
        <v xml:space="preserve"> </v>
      </c>
      <c r="M11" s="53" t="str">
        <f>IFERROR(VLOOKUP($A11,'The List'!$B1:$AS727,20,FALSE)," ")</f>
        <v xml:space="preserve"> </v>
      </c>
      <c r="N11" s="53" t="str">
        <f>IFERROR(VLOOKUP($A11,'The List'!$B1:$AS727,21,FALSE)," ")</f>
        <v xml:space="preserve"> </v>
      </c>
      <c r="O11" s="53" t="str">
        <f>IFERROR(VLOOKUP($A11,'The List'!$B1:$AS727,22,FALSE)," ")</f>
        <v xml:space="preserve"> </v>
      </c>
      <c r="P11" s="53" t="str">
        <f>IFERROR(VLOOKUP($A11,'The List'!$B1:$AS727,23,FALSE)," ")</f>
        <v xml:space="preserve"> </v>
      </c>
      <c r="Q11" s="53" t="str">
        <f>IFERROR(VLOOKUP($A11,'The List'!$B1:$AS727,24,FALSE)," ")</f>
        <v xml:space="preserve"> </v>
      </c>
      <c r="R11" s="53" t="str">
        <f>IFERROR(VLOOKUP($A11,'The List'!$B1:$AS727,25,FALSE)," ")</f>
        <v xml:space="preserve"> </v>
      </c>
      <c r="S11" s="53" t="str">
        <f>IFERROR(VLOOKUP($A11,'The List'!$B1:$AS727,26,FALSE)," ")</f>
        <v xml:space="preserve"> </v>
      </c>
      <c r="T11" s="53" t="str">
        <f>IFERROR(VLOOKUP($A11,'The List'!$B1:$AS727,27,FALSE)," ")</f>
        <v xml:space="preserve"> </v>
      </c>
      <c r="U11" s="53" t="str">
        <f>IFERROR(VLOOKUP($A11,'The List'!$B1:$AS727,28,FALSE)," ")</f>
        <v xml:space="preserve"> </v>
      </c>
      <c r="V11" s="53" t="str">
        <f>IFERROR(VLOOKUP($A11,'The List'!$B1:$AS727,29,FALSE)," ")</f>
        <v xml:space="preserve"> </v>
      </c>
      <c r="W11" s="53" t="str">
        <f>IFERROR(VLOOKUP($A11,'The List'!$B1:$AS727,30,FALSE)," ")</f>
        <v xml:space="preserve"> </v>
      </c>
      <c r="X11" s="53" t="str">
        <f>IFERROR(VLOOKUP($A11,'The List'!$B1:$AS727,31,FALSE)," ")</f>
        <v xml:space="preserve"> </v>
      </c>
      <c r="Y11" s="53" t="str">
        <f>IFERROR(VLOOKUP($A11,'The List'!$B1:$AS727,32,FALSE)," ")</f>
        <v xml:space="preserve"> </v>
      </c>
      <c r="Z11" s="53" t="str">
        <f>IFERROR(VLOOKUP($A11,'The List'!$B1:$AS727,33,FALSE)," ")</f>
        <v xml:space="preserve"> </v>
      </c>
      <c r="AA11" s="55"/>
      <c r="AB11" s="60"/>
      <c r="AC11" s="60"/>
      <c r="AD11" s="8" t="s">
        <v>843</v>
      </c>
      <c r="AE11" s="37">
        <f>VLOOKUP(AD11,T1:Y464,2,FALSE)</f>
        <v>0</v>
      </c>
      <c r="AF11" s="37">
        <f>VLOOKUP(AD11,T1:AA464,5,FALSE)</f>
        <v>0</v>
      </c>
    </row>
    <row r="12" spans="1:32" ht="21.25" customHeight="1" x14ac:dyDescent="0.15">
      <c r="A12" s="23"/>
      <c r="B12" s="65" t="str">
        <f>IFERROR(VLOOKUP($A12,'The List'!$B1:$AS727,3,FALSE)," ")</f>
        <v xml:space="preserve"> </v>
      </c>
      <c r="C12" s="67" t="str">
        <f>IFERROR(VLOOKUP($A12,'The List'!$B1:$AS727,4,FALSE)," ")</f>
        <v xml:space="preserve"> </v>
      </c>
      <c r="D12" s="35" t="str">
        <f>IFERROR(VLOOKUP($A12,'The List'!$B1:$AS727,5,FALSE)," ")</f>
        <v xml:space="preserve"> </v>
      </c>
      <c r="E12" s="35" t="str">
        <f>IFERROR(VLOOKUP($A12,'The List'!$B1:$AS727,6,FALSE)," ")</f>
        <v xml:space="preserve"> </v>
      </c>
      <c r="F12" s="52" t="str">
        <f>IFERROR(VLOOKUP($A12,'The List'!$B1:$AS727,8,FALSE)," ")</f>
        <v xml:space="preserve"> </v>
      </c>
      <c r="G12" s="52" t="str">
        <f>IFERROR(VLOOKUP($A12,'The List'!$B1:$AS727,10,FALSE)," ")</f>
        <v xml:space="preserve"> </v>
      </c>
      <c r="H12" s="39"/>
      <c r="I12" s="53" t="str">
        <f>IFERROR(VLOOKUP($A12,'The List'!$B1:$AS727,16,FALSE)," ")</f>
        <v xml:space="preserve"> </v>
      </c>
      <c r="J12" s="53" t="str">
        <f>IFERROR(VLOOKUP($A12,'The List'!$B1:$AS727,17,FALSE)," ")</f>
        <v xml:space="preserve"> </v>
      </c>
      <c r="K12" s="53" t="str">
        <f>IFERROR(VLOOKUP($A12,'The List'!$B1:$AS727,18,FALSE)," ")</f>
        <v xml:space="preserve"> </v>
      </c>
      <c r="L12" s="53" t="str">
        <f>IFERROR(VLOOKUP($A12,'The List'!$B1:$AS727,19,FALSE)," ")</f>
        <v xml:space="preserve"> </v>
      </c>
      <c r="M12" s="53" t="str">
        <f>IFERROR(VLOOKUP($A12,'The List'!$B1:$AS727,20,FALSE)," ")</f>
        <v xml:space="preserve"> </v>
      </c>
      <c r="N12" s="53" t="str">
        <f>IFERROR(VLOOKUP($A12,'The List'!$B1:$AS727,21,FALSE)," ")</f>
        <v xml:space="preserve"> </v>
      </c>
      <c r="O12" s="53" t="str">
        <f>IFERROR(VLOOKUP($A12,'The List'!$B1:$AS727,22,FALSE)," ")</f>
        <v xml:space="preserve"> </v>
      </c>
      <c r="P12" s="53" t="str">
        <f>IFERROR(VLOOKUP($A12,'The List'!$B1:$AS727,23,FALSE)," ")</f>
        <v xml:space="preserve"> </v>
      </c>
      <c r="Q12" s="53" t="str">
        <f>IFERROR(VLOOKUP($A12,'The List'!$B1:$AS727,24,FALSE)," ")</f>
        <v xml:space="preserve"> </v>
      </c>
      <c r="R12" s="53" t="str">
        <f>IFERROR(VLOOKUP($A12,'The List'!$B1:$AS727,25,FALSE)," ")</f>
        <v xml:space="preserve"> </v>
      </c>
      <c r="S12" s="53" t="str">
        <f>IFERROR(VLOOKUP($A12,'The List'!$B1:$AS727,26,FALSE)," ")</f>
        <v xml:space="preserve"> </v>
      </c>
      <c r="T12" s="53" t="str">
        <f>IFERROR(VLOOKUP($A12,'The List'!$B1:$AS727,27,FALSE)," ")</f>
        <v xml:space="preserve"> </v>
      </c>
      <c r="U12" s="53" t="str">
        <f>IFERROR(VLOOKUP($A12,'The List'!$B1:$AS727,28,FALSE)," ")</f>
        <v xml:space="preserve"> </v>
      </c>
      <c r="V12" s="53" t="str">
        <f>IFERROR(VLOOKUP($A12,'The List'!$B1:$AS727,29,FALSE)," ")</f>
        <v xml:space="preserve"> </v>
      </c>
      <c r="W12" s="53" t="str">
        <f>IFERROR(VLOOKUP($A12,'The List'!$B1:$AS727,30,FALSE)," ")</f>
        <v xml:space="preserve"> </v>
      </c>
      <c r="X12" s="53" t="str">
        <f>IFERROR(VLOOKUP($A12,'The List'!$B1:$AS727,31,FALSE)," ")</f>
        <v xml:space="preserve"> </v>
      </c>
      <c r="Y12" s="53" t="str">
        <f>IFERROR(VLOOKUP($A12,'The List'!$B1:$AS727,32,FALSE)," ")</f>
        <v xml:space="preserve"> </v>
      </c>
      <c r="Z12" s="53" t="str">
        <f>IFERROR(VLOOKUP($A12,'The List'!$B1:$AS727,33,FALSE)," ")</f>
        <v xml:space="preserve"> </v>
      </c>
      <c r="AA12" s="55"/>
      <c r="AB12" s="60"/>
      <c r="AC12" s="60"/>
      <c r="AD12" s="8" t="s">
        <v>844</v>
      </c>
      <c r="AE12" s="37">
        <f>VLOOKUP(AD12,T1:Y464,2,FALSE)</f>
        <v>0</v>
      </c>
      <c r="AF12" s="37">
        <f>VLOOKUP(AD12,T1:AA464,5,FALSE)</f>
        <v>0</v>
      </c>
    </row>
    <row r="13" spans="1:32" ht="21.25" customHeight="1" x14ac:dyDescent="0.15">
      <c r="A13" s="23"/>
      <c r="B13" s="65" t="str">
        <f>IFERROR(VLOOKUP($A13,'The List'!$B1:$AS727,3,FALSE)," ")</f>
        <v xml:space="preserve"> </v>
      </c>
      <c r="C13" s="67" t="str">
        <f>IFERROR(VLOOKUP($A13,'The List'!$B1:$AS727,4,FALSE)," ")</f>
        <v xml:space="preserve"> </v>
      </c>
      <c r="D13" s="35" t="str">
        <f>IFERROR(VLOOKUP($A13,'The List'!$B1:$AS727,5,FALSE)," ")</f>
        <v xml:space="preserve"> </v>
      </c>
      <c r="E13" s="35" t="str">
        <f>IFERROR(VLOOKUP($A13,'The List'!$B1:$AS727,6,FALSE)," ")</f>
        <v xml:space="preserve"> </v>
      </c>
      <c r="F13" s="52" t="str">
        <f>IFERROR(VLOOKUP($A13,'The List'!$B1:$AS727,8,FALSE)," ")</f>
        <v xml:space="preserve"> </v>
      </c>
      <c r="G13" s="52" t="str">
        <f>IFERROR(VLOOKUP($A13,'The List'!$B1:$AS727,10,FALSE)," ")</f>
        <v xml:space="preserve"> </v>
      </c>
      <c r="H13" s="39"/>
      <c r="I13" s="53" t="str">
        <f>IFERROR(VLOOKUP($A13,'The List'!$B1:$AS727,16,FALSE)," ")</f>
        <v xml:space="preserve"> </v>
      </c>
      <c r="J13" s="53" t="str">
        <f>IFERROR(VLOOKUP($A13,'The List'!$B1:$AS727,17,FALSE)," ")</f>
        <v xml:space="preserve"> </v>
      </c>
      <c r="K13" s="53" t="str">
        <f>IFERROR(VLOOKUP($A13,'The List'!$B1:$AS727,18,FALSE)," ")</f>
        <v xml:space="preserve"> </v>
      </c>
      <c r="L13" s="53" t="str">
        <f>IFERROR(VLOOKUP($A13,'The List'!$B1:$AS727,19,FALSE)," ")</f>
        <v xml:space="preserve"> </v>
      </c>
      <c r="M13" s="53" t="str">
        <f>IFERROR(VLOOKUP($A13,'The List'!$B1:$AS727,20,FALSE)," ")</f>
        <v xml:space="preserve"> </v>
      </c>
      <c r="N13" s="53" t="str">
        <f>IFERROR(VLOOKUP($A13,'The List'!$B1:$AS727,21,FALSE)," ")</f>
        <v xml:space="preserve"> </v>
      </c>
      <c r="O13" s="53" t="str">
        <f>IFERROR(VLOOKUP($A13,'The List'!$B1:$AS727,22,FALSE)," ")</f>
        <v xml:space="preserve"> </v>
      </c>
      <c r="P13" s="53" t="str">
        <f>IFERROR(VLOOKUP($A13,'The List'!$B1:$AS727,23,FALSE)," ")</f>
        <v xml:space="preserve"> </v>
      </c>
      <c r="Q13" s="53" t="str">
        <f>IFERROR(VLOOKUP($A13,'The List'!$B1:$AS727,24,FALSE)," ")</f>
        <v xml:space="preserve"> </v>
      </c>
      <c r="R13" s="53" t="str">
        <f>IFERROR(VLOOKUP($A13,'The List'!$B1:$AS727,25,FALSE)," ")</f>
        <v xml:space="preserve"> </v>
      </c>
      <c r="S13" s="53" t="str">
        <f>IFERROR(VLOOKUP($A13,'The List'!$B1:$AS727,26,FALSE)," ")</f>
        <v xml:space="preserve"> </v>
      </c>
      <c r="T13" s="53" t="str">
        <f>IFERROR(VLOOKUP($A13,'The List'!$B1:$AS727,27,FALSE)," ")</f>
        <v xml:space="preserve"> </v>
      </c>
      <c r="U13" s="53" t="str">
        <f>IFERROR(VLOOKUP($A13,'The List'!$B1:$AS727,28,FALSE)," ")</f>
        <v xml:space="preserve"> </v>
      </c>
      <c r="V13" s="53" t="str">
        <f>IFERROR(VLOOKUP($A13,'The List'!$B1:$AS727,29,FALSE)," ")</f>
        <v xml:space="preserve"> </v>
      </c>
      <c r="W13" s="53" t="str">
        <f>IFERROR(VLOOKUP($A13,'The List'!$B1:$AS727,30,FALSE)," ")</f>
        <v xml:space="preserve"> </v>
      </c>
      <c r="X13" s="53" t="str">
        <f>IFERROR(VLOOKUP($A13,'The List'!$B1:$AS727,31,FALSE)," ")</f>
        <v xml:space="preserve"> </v>
      </c>
      <c r="Y13" s="53" t="str">
        <f>IFERROR(VLOOKUP($A13,'The List'!$B1:$AS727,32,FALSE)," ")</f>
        <v xml:space="preserve"> </v>
      </c>
      <c r="Z13" s="53" t="str">
        <f>IFERROR(VLOOKUP($A13,'The List'!$B1:$AS727,33,FALSE)," ")</f>
        <v xml:space="preserve"> </v>
      </c>
      <c r="AA13" s="55"/>
      <c r="AB13" s="60"/>
      <c r="AC13" s="60"/>
      <c r="AD13" s="8" t="s">
        <v>845</v>
      </c>
      <c r="AE13" s="37">
        <f>VLOOKUP(AD13,T1:Y464,2,FALSE)</f>
        <v>0</v>
      </c>
      <c r="AF13" s="37">
        <f>VLOOKUP(AD13,T1:AA464,5,FALSE)</f>
        <v>0</v>
      </c>
    </row>
    <row r="14" spans="1:32" ht="21.25" customHeight="1" x14ac:dyDescent="0.15">
      <c r="A14" s="8" t="s">
        <v>116</v>
      </c>
      <c r="B14" s="68" t="str">
        <f>IFERROR(VLOOKUP($A14,'The List'!$B1:$AS727,3,FALSE)," ")</f>
        <v>D</v>
      </c>
      <c r="C14" s="69">
        <f>IFERROR(VLOOKUP($A14,'The List'!$B1:$AS727,4,FALSE)," ")</f>
        <v>1</v>
      </c>
      <c r="D14" s="35" t="str">
        <f>IFERROR(VLOOKUP($A14,'The List'!$B1:$AS727,5,FALSE)," ")</f>
        <v>COL</v>
      </c>
      <c r="E14" s="59">
        <f>IFERROR(VLOOKUP($A14,'The List'!$B1:$AS727,6,FALSE)," ")</f>
        <v>24</v>
      </c>
      <c r="F14" s="37">
        <f>IFERROR(VLOOKUP($A14,'The List'!$B1:$AS727,8,FALSE)," ")</f>
        <v>459.88618683927103</v>
      </c>
      <c r="G14" s="37">
        <f>IFERROR(VLOOKUP($A14,'The List'!$B1:$AS727,10,FALSE)," ")</f>
        <v>148.32070521134358</v>
      </c>
      <c r="H14" s="39"/>
      <c r="I14" s="41">
        <f>IFERROR(VLOOKUP($A14,'The List'!$B1:$AS727,16,FALSE)," ")</f>
        <v>75.680357142857105</v>
      </c>
      <c r="J14" s="41">
        <f>IFERROR(VLOOKUP($A14,'The List'!$B1:$AS727,17,FALSE)," ")</f>
        <v>26.22436151969</v>
      </c>
      <c r="K14" s="41">
        <f>IFERROR(VLOOKUP($A14,'The List'!$B1:$AS727,18,FALSE)," ")</f>
        <v>22.253032788823642</v>
      </c>
      <c r="L14" s="41">
        <f>IFERROR(VLOOKUP($A14,'The List'!$B1:$AS727,19,FALSE)," ")</f>
        <v>61.87856987740134</v>
      </c>
      <c r="M14" s="41">
        <f>IFERROR(VLOOKUP($A14,'The List'!$B1:$AS727,20,FALSE)," ")</f>
        <v>84.131602666224978</v>
      </c>
      <c r="N14" s="41">
        <f>IFERROR(VLOOKUP($A14,'The List'!$B1:$AS727,21,FALSE)," ")</f>
        <v>221.65630954372551</v>
      </c>
      <c r="O14" s="41">
        <f>IFERROR(VLOOKUP($A14,'The List'!$B1:$AS727,22,FALSE)," ")</f>
        <v>7.4866069245510092</v>
      </c>
      <c r="P14" s="41">
        <f>IFERROR(VLOOKUP($A14,'The List'!$B1:$AS727,23,FALSE)," ")</f>
        <v>37.307842841044405</v>
      </c>
      <c r="Q14" s="41">
        <f>IFERROR(VLOOKUP($A14,'The List'!$B1:$AS727,24,FALSE)," ")</f>
        <v>3.420435449446315E-2</v>
      </c>
      <c r="R14" s="41">
        <f>IFERROR(VLOOKUP($A14,'The List'!$B1:$AS727,25,FALSE)," ")</f>
        <v>0.18052515165290609</v>
      </c>
      <c r="S14" s="41">
        <f>IFERROR(VLOOKUP($A14,'The List'!$B1:$AS727,26,FALSE)," ")</f>
        <v>108.43244041669318</v>
      </c>
      <c r="T14" s="41">
        <f>IFERROR(VLOOKUP($A14,'The List'!$B1:$AS727,27,FALSE)," ")</f>
        <v>89.732859073576833</v>
      </c>
      <c r="U14" s="41">
        <f>IFERROR(VLOOKUP($A14,'The List'!$B1:$AS727,28,FALSE)," ")</f>
        <v>9.2466511551516337</v>
      </c>
      <c r="V14" s="41">
        <f>IFERROR(VLOOKUP($A14,'The List'!$B1:$AS727,29,FALSE)," ")</f>
        <v>33.071797265648826</v>
      </c>
      <c r="W14" s="41">
        <f>IFERROR(VLOOKUP($A14,'The List'!$B1:$AS727,30,FALSE)," ")</f>
        <v>3.5207650678485893</v>
      </c>
      <c r="X14" s="41">
        <f>IFERROR(VLOOKUP($A14,'The List'!$B1:$AS727,31,FALSE)," ")</f>
        <v>0</v>
      </c>
      <c r="Y14" s="41">
        <f>IFERROR(VLOOKUP($A14,'The List'!$B1:$AS727,32,FALSE)," ")</f>
        <v>0</v>
      </c>
      <c r="Z14" s="42">
        <f>IFERROR(VLOOKUP($A14,'The List'!$B1:$AS727,33,FALSE)," ")</f>
        <v>0</v>
      </c>
      <c r="AA14" s="55"/>
      <c r="AB14" s="60"/>
      <c r="AC14" s="60"/>
      <c r="AD14" s="8" t="s">
        <v>846</v>
      </c>
      <c r="AE14" s="37">
        <f>VLOOKUP(AD14,T1:Y464,2,FALSE)</f>
        <v>0</v>
      </c>
      <c r="AF14" s="37">
        <f>VLOOKUP(AD14,T1:AA464,5,FALSE)</f>
        <v>0</v>
      </c>
    </row>
    <row r="15" spans="1:32" ht="21.25" customHeight="1" x14ac:dyDescent="0.15">
      <c r="A15" s="23"/>
      <c r="B15" s="68" t="str">
        <f>IFERROR(VLOOKUP($A15,'The List'!$B1:$AS727,3,FALSE)," ")</f>
        <v xml:space="preserve"> </v>
      </c>
      <c r="C15" s="70" t="str">
        <f>IFERROR(VLOOKUP($A15,'The List'!$B1:$AS727,4,FALSE)," ")</f>
        <v xml:space="preserve"> </v>
      </c>
      <c r="D15" s="35" t="str">
        <f>IFERROR(VLOOKUP($A15,'The List'!$B1:$AS727,5,FALSE)," ")</f>
        <v xml:space="preserve"> </v>
      </c>
      <c r="E15" s="35" t="str">
        <f>IFERROR(VLOOKUP($A15,'The List'!$B1:$AS727,6,FALSE)," ")</f>
        <v xml:space="preserve"> </v>
      </c>
      <c r="F15" s="52" t="str">
        <f>IFERROR(VLOOKUP($A15,'The List'!$B1:$AS727,8,FALSE)," ")</f>
        <v xml:space="preserve"> </v>
      </c>
      <c r="G15" s="52" t="str">
        <f>IFERROR(VLOOKUP($A15,'The List'!$B1:$AS727,10,FALSE)," ")</f>
        <v xml:space="preserve"> </v>
      </c>
      <c r="H15" s="39"/>
      <c r="I15" s="53" t="str">
        <f>IFERROR(VLOOKUP($A15,'The List'!$B1:$AS727,16,FALSE)," ")</f>
        <v xml:space="preserve"> </v>
      </c>
      <c r="J15" s="53" t="str">
        <f>IFERROR(VLOOKUP($A15,'The List'!$B1:$AS727,17,FALSE)," ")</f>
        <v xml:space="preserve"> </v>
      </c>
      <c r="K15" s="53" t="str">
        <f>IFERROR(VLOOKUP($A15,'The List'!$B1:$AS727,18,FALSE)," ")</f>
        <v xml:space="preserve"> </v>
      </c>
      <c r="L15" s="53" t="str">
        <f>IFERROR(VLOOKUP($A15,'The List'!$B1:$AS727,19,FALSE)," ")</f>
        <v xml:space="preserve"> </v>
      </c>
      <c r="M15" s="53" t="str">
        <f>IFERROR(VLOOKUP($A15,'The List'!$B1:$AS727,20,FALSE)," ")</f>
        <v xml:space="preserve"> </v>
      </c>
      <c r="N15" s="53" t="str">
        <f>IFERROR(VLOOKUP($A15,'The List'!$B1:$AS727,21,FALSE)," ")</f>
        <v xml:space="preserve"> </v>
      </c>
      <c r="O15" s="53" t="str">
        <f>IFERROR(VLOOKUP($A15,'The List'!$B1:$AS727,22,FALSE)," ")</f>
        <v xml:space="preserve"> </v>
      </c>
      <c r="P15" s="53" t="str">
        <f>IFERROR(VLOOKUP($A15,'The List'!$B1:$AS727,23,FALSE)," ")</f>
        <v xml:space="preserve"> </v>
      </c>
      <c r="Q15" s="53" t="str">
        <f>IFERROR(VLOOKUP($A15,'The List'!$B1:$AS727,24,FALSE)," ")</f>
        <v xml:space="preserve"> </v>
      </c>
      <c r="R15" s="53" t="str">
        <f>IFERROR(VLOOKUP($A15,'The List'!$B1:$AS727,25,FALSE)," ")</f>
        <v xml:space="preserve"> </v>
      </c>
      <c r="S15" s="53" t="str">
        <f>IFERROR(VLOOKUP($A15,'The List'!$B1:$AS727,26,FALSE)," ")</f>
        <v xml:space="preserve"> </v>
      </c>
      <c r="T15" s="53" t="str">
        <f>IFERROR(VLOOKUP($A15,'The List'!$B1:$AS727,27,FALSE)," ")</f>
        <v xml:space="preserve"> </v>
      </c>
      <c r="U15" s="53" t="str">
        <f>IFERROR(VLOOKUP($A15,'The List'!$B1:$AS727,28,FALSE)," ")</f>
        <v xml:space="preserve"> </v>
      </c>
      <c r="V15" s="53" t="str">
        <f>IFERROR(VLOOKUP($A15,'The List'!$B1:$AS727,29,FALSE)," ")</f>
        <v xml:space="preserve"> </v>
      </c>
      <c r="W15" s="53" t="str">
        <f>IFERROR(VLOOKUP($A15,'The List'!$B1:$AS727,30,FALSE)," ")</f>
        <v xml:space="preserve"> </v>
      </c>
      <c r="X15" s="53" t="str">
        <f>IFERROR(VLOOKUP($A15,'The List'!$B1:$AS727,31,FALSE)," ")</f>
        <v xml:space="preserve"> </v>
      </c>
      <c r="Y15" s="53" t="str">
        <f>IFERROR(VLOOKUP($A15,'The List'!$B1:$AS727,32,FALSE)," ")</f>
        <v xml:space="preserve"> </v>
      </c>
      <c r="Z15" s="53" t="str">
        <f>IFERROR(VLOOKUP($A15,'The List'!$B1:$AS727,33,FALSE)," ")</f>
        <v xml:space="preserve"> </v>
      </c>
      <c r="AA15" s="55"/>
      <c r="AB15" s="60"/>
      <c r="AC15" s="60"/>
      <c r="AD15" s="8" t="s">
        <v>847</v>
      </c>
      <c r="AE15" s="37">
        <f>VLOOKUP(AD15,T1:Y464,2,FALSE)</f>
        <v>0</v>
      </c>
      <c r="AF15" s="37">
        <f>VLOOKUP(AD15,T1:AA464,5,FALSE)</f>
        <v>0</v>
      </c>
    </row>
    <row r="16" spans="1:32" ht="21.25" customHeight="1" x14ac:dyDescent="0.15">
      <c r="A16" s="23"/>
      <c r="B16" s="68" t="str">
        <f>IFERROR(VLOOKUP($A16,'The List'!$B1:$AS727,3,FALSE)," ")</f>
        <v xml:space="preserve"> </v>
      </c>
      <c r="C16" s="70" t="str">
        <f>IFERROR(VLOOKUP($A16,'The List'!$B1:$AS727,4,FALSE)," ")</f>
        <v xml:space="preserve"> </v>
      </c>
      <c r="D16" s="35" t="str">
        <f>IFERROR(VLOOKUP($A16,'The List'!$B1:$AS727,5,FALSE)," ")</f>
        <v xml:space="preserve"> </v>
      </c>
      <c r="E16" s="35" t="str">
        <f>IFERROR(VLOOKUP($A16,'The List'!$B1:$AS727,6,FALSE)," ")</f>
        <v xml:space="preserve"> </v>
      </c>
      <c r="F16" s="52" t="str">
        <f>IFERROR(VLOOKUP($A16,'The List'!$B1:$AS727,8,FALSE)," ")</f>
        <v xml:space="preserve"> </v>
      </c>
      <c r="G16" s="52" t="str">
        <f>IFERROR(VLOOKUP($A16,'The List'!$B1:$AS727,10,FALSE)," ")</f>
        <v xml:space="preserve"> </v>
      </c>
      <c r="H16" s="39"/>
      <c r="I16" s="53" t="str">
        <f>IFERROR(VLOOKUP($A16,'The List'!$B1:$AS727,16,FALSE)," ")</f>
        <v xml:space="preserve"> </v>
      </c>
      <c r="J16" s="53" t="str">
        <f>IFERROR(VLOOKUP($A16,'The List'!$B1:$AS727,17,FALSE)," ")</f>
        <v xml:space="preserve"> </v>
      </c>
      <c r="K16" s="53" t="str">
        <f>IFERROR(VLOOKUP($A16,'The List'!$B1:$AS727,18,FALSE)," ")</f>
        <v xml:space="preserve"> </v>
      </c>
      <c r="L16" s="53" t="str">
        <f>IFERROR(VLOOKUP($A16,'The List'!$B1:$AS727,19,FALSE)," ")</f>
        <v xml:space="preserve"> </v>
      </c>
      <c r="M16" s="53" t="str">
        <f>IFERROR(VLOOKUP($A16,'The List'!$B1:$AS727,20,FALSE)," ")</f>
        <v xml:space="preserve"> </v>
      </c>
      <c r="N16" s="53" t="str">
        <f>IFERROR(VLOOKUP($A16,'The List'!$B1:$AS727,21,FALSE)," ")</f>
        <v xml:space="preserve"> </v>
      </c>
      <c r="O16" s="53" t="str">
        <f>IFERROR(VLOOKUP($A16,'The List'!$B1:$AS727,22,FALSE)," ")</f>
        <v xml:space="preserve"> </v>
      </c>
      <c r="P16" s="53" t="str">
        <f>IFERROR(VLOOKUP($A16,'The List'!$B1:$AS727,23,FALSE)," ")</f>
        <v xml:space="preserve"> </v>
      </c>
      <c r="Q16" s="53" t="str">
        <f>IFERROR(VLOOKUP($A16,'The List'!$B1:$AS727,24,FALSE)," ")</f>
        <v xml:space="preserve"> </v>
      </c>
      <c r="R16" s="53" t="str">
        <f>IFERROR(VLOOKUP($A16,'The List'!$B1:$AS727,25,FALSE)," ")</f>
        <v xml:space="preserve"> </v>
      </c>
      <c r="S16" s="53" t="str">
        <f>IFERROR(VLOOKUP($A16,'The List'!$B1:$AS727,26,FALSE)," ")</f>
        <v xml:space="preserve"> </v>
      </c>
      <c r="T16" s="53" t="str">
        <f>IFERROR(VLOOKUP($A16,'The List'!$B1:$AS727,27,FALSE)," ")</f>
        <v xml:space="preserve"> </v>
      </c>
      <c r="U16" s="53" t="str">
        <f>IFERROR(VLOOKUP($A16,'The List'!$B1:$AS727,28,FALSE)," ")</f>
        <v xml:space="preserve"> </v>
      </c>
      <c r="V16" s="53" t="str">
        <f>IFERROR(VLOOKUP($A16,'The List'!$B1:$AS727,29,FALSE)," ")</f>
        <v xml:space="preserve"> </v>
      </c>
      <c r="W16" s="53" t="str">
        <f>IFERROR(VLOOKUP($A16,'The List'!$B1:$AS727,30,FALSE)," ")</f>
        <v xml:space="preserve"> </v>
      </c>
      <c r="X16" s="53" t="str">
        <f>IFERROR(VLOOKUP($A16,'The List'!$B1:$AS727,31,FALSE)," ")</f>
        <v xml:space="preserve"> </v>
      </c>
      <c r="Y16" s="53" t="str">
        <f>IFERROR(VLOOKUP($A16,'The List'!$B1:$AS727,32,FALSE)," ")</f>
        <v xml:space="preserve"> </v>
      </c>
      <c r="Z16" s="53" t="str">
        <f>IFERROR(VLOOKUP($A16,'The List'!$B1:$AS727,33,FALSE)," ")</f>
        <v xml:space="preserve"> </v>
      </c>
      <c r="AA16" s="55"/>
      <c r="AB16" s="60"/>
      <c r="AC16" s="60"/>
      <c r="AD16" s="8" t="s">
        <v>848</v>
      </c>
      <c r="AE16" s="37">
        <f>VLOOKUP(AD16,T1:Y464,2,FALSE)</f>
        <v>0</v>
      </c>
      <c r="AF16" s="37">
        <f>VLOOKUP(AD16,T1:AA464,5,FALSE)</f>
        <v>0</v>
      </c>
    </row>
    <row r="17" spans="1:32" ht="21.25" customHeight="1" x14ac:dyDescent="0.15">
      <c r="A17" s="23"/>
      <c r="B17" s="68" t="str">
        <f>IFERROR(VLOOKUP($A17,'The List'!$B1:$AS727,3,FALSE)," ")</f>
        <v xml:space="preserve"> </v>
      </c>
      <c r="C17" s="70" t="str">
        <f>IFERROR(VLOOKUP($A17,'The List'!$B1:$AS727,4,FALSE)," ")</f>
        <v xml:space="preserve"> </v>
      </c>
      <c r="D17" s="35" t="str">
        <f>IFERROR(VLOOKUP($A17,'The List'!$B1:$AS727,5,FALSE)," ")</f>
        <v xml:space="preserve"> </v>
      </c>
      <c r="E17" s="35" t="str">
        <f>IFERROR(VLOOKUP($A17,'The List'!$B1:$AS727,6,FALSE)," ")</f>
        <v xml:space="preserve"> </v>
      </c>
      <c r="F17" s="52" t="str">
        <f>IFERROR(VLOOKUP($A17,'The List'!$B1:$AS727,8,FALSE)," ")</f>
        <v xml:space="preserve"> </v>
      </c>
      <c r="G17" s="52" t="str">
        <f>IFERROR(VLOOKUP($A17,'The List'!$B1:$AS727,10,FALSE)," ")</f>
        <v xml:space="preserve"> </v>
      </c>
      <c r="H17" s="39"/>
      <c r="I17" s="53" t="str">
        <f>IFERROR(VLOOKUP($A17,'The List'!$B1:$AS727,16,FALSE)," ")</f>
        <v xml:space="preserve"> </v>
      </c>
      <c r="J17" s="53" t="str">
        <f>IFERROR(VLOOKUP($A17,'The List'!$B1:$AS727,17,FALSE)," ")</f>
        <v xml:space="preserve"> </v>
      </c>
      <c r="K17" s="53" t="str">
        <f>IFERROR(VLOOKUP($A17,'The List'!$B1:$AS727,18,FALSE)," ")</f>
        <v xml:space="preserve"> </v>
      </c>
      <c r="L17" s="53" t="str">
        <f>IFERROR(VLOOKUP($A17,'The List'!$B1:$AS727,19,FALSE)," ")</f>
        <v xml:space="preserve"> </v>
      </c>
      <c r="M17" s="53" t="str">
        <f>IFERROR(VLOOKUP($A17,'The List'!$B1:$AS727,20,FALSE)," ")</f>
        <v xml:space="preserve"> </v>
      </c>
      <c r="N17" s="53" t="str">
        <f>IFERROR(VLOOKUP($A17,'The List'!$B1:$AS727,21,FALSE)," ")</f>
        <v xml:space="preserve"> </v>
      </c>
      <c r="O17" s="53" t="str">
        <f>IFERROR(VLOOKUP($A17,'The List'!$B1:$AS727,22,FALSE)," ")</f>
        <v xml:space="preserve"> </v>
      </c>
      <c r="P17" s="53" t="str">
        <f>IFERROR(VLOOKUP($A17,'The List'!$B1:$AS727,23,FALSE)," ")</f>
        <v xml:space="preserve"> </v>
      </c>
      <c r="Q17" s="53" t="str">
        <f>IFERROR(VLOOKUP($A17,'The List'!$B1:$AS727,24,FALSE)," ")</f>
        <v xml:space="preserve"> </v>
      </c>
      <c r="R17" s="53" t="str">
        <f>IFERROR(VLOOKUP($A17,'The List'!$B1:$AS727,25,FALSE)," ")</f>
        <v xml:space="preserve"> </v>
      </c>
      <c r="S17" s="53" t="str">
        <f>IFERROR(VLOOKUP($A17,'The List'!$B1:$AS727,26,FALSE)," ")</f>
        <v xml:space="preserve"> </v>
      </c>
      <c r="T17" s="53" t="str">
        <f>IFERROR(VLOOKUP($A17,'The List'!$B1:$AS727,27,FALSE)," ")</f>
        <v xml:space="preserve"> </v>
      </c>
      <c r="U17" s="53" t="str">
        <f>IFERROR(VLOOKUP($A17,'The List'!$B1:$AS727,28,FALSE)," ")</f>
        <v xml:space="preserve"> </v>
      </c>
      <c r="V17" s="53" t="str">
        <f>IFERROR(VLOOKUP($A17,'The List'!$B1:$AS727,29,FALSE)," ")</f>
        <v xml:space="preserve"> </v>
      </c>
      <c r="W17" s="53" t="str">
        <f>IFERROR(VLOOKUP($A17,'The List'!$B1:$AS727,30,FALSE)," ")</f>
        <v xml:space="preserve"> </v>
      </c>
      <c r="X17" s="53" t="str">
        <f>IFERROR(VLOOKUP($A17,'The List'!$B1:$AS727,31,FALSE)," ")</f>
        <v xml:space="preserve"> </v>
      </c>
      <c r="Y17" s="53" t="str">
        <f>IFERROR(VLOOKUP($A17,'The List'!$B1:$AS727,32,FALSE)," ")</f>
        <v xml:space="preserve"> </v>
      </c>
      <c r="Z17" s="53" t="str">
        <f>IFERROR(VLOOKUP($A17,'The List'!$B1:$AS727,33,FALSE)," ")</f>
        <v xml:space="preserve"> </v>
      </c>
      <c r="AA17" s="55"/>
      <c r="AB17" s="60"/>
      <c r="AC17" s="60"/>
      <c r="AD17" s="8" t="s">
        <v>849</v>
      </c>
      <c r="AE17" s="37">
        <f>VLOOKUP(AD17,T1:Y464,2,FALSE)</f>
        <v>0</v>
      </c>
      <c r="AF17" s="37">
        <f>VLOOKUP(AD17,T1:AA464,5,FALSE)</f>
        <v>0</v>
      </c>
    </row>
    <row r="18" spans="1:32" ht="21.25" customHeight="1" x14ac:dyDescent="0.15">
      <c r="A18" s="23"/>
      <c r="B18" s="68" t="str">
        <f>IFERROR(VLOOKUP($A18,'The List'!$B1:$AS727,3,FALSE)," ")</f>
        <v xml:space="preserve"> </v>
      </c>
      <c r="C18" s="70" t="str">
        <f>IFERROR(VLOOKUP($A18,'The List'!$B1:$AS727,4,FALSE)," ")</f>
        <v xml:space="preserve"> </v>
      </c>
      <c r="D18" s="35" t="str">
        <f>IFERROR(VLOOKUP($A18,'The List'!$B1:$AS727,5,FALSE)," ")</f>
        <v xml:space="preserve"> </v>
      </c>
      <c r="E18" s="35" t="str">
        <f>IFERROR(VLOOKUP($A18,'The List'!$B1:$AS727,6,FALSE)," ")</f>
        <v xml:space="preserve"> </v>
      </c>
      <c r="F18" s="52" t="str">
        <f>IFERROR(VLOOKUP($A18,'The List'!$B1:$AS727,8,FALSE)," ")</f>
        <v xml:space="preserve"> </v>
      </c>
      <c r="G18" s="52" t="str">
        <f>IFERROR(VLOOKUP($A18,'The List'!$B1:$AS727,10,FALSE)," ")</f>
        <v xml:space="preserve"> </v>
      </c>
      <c r="H18" s="39"/>
      <c r="I18" s="53" t="str">
        <f>IFERROR(VLOOKUP($A18,'The List'!$B1:$AS727,16,FALSE)," ")</f>
        <v xml:space="preserve"> </v>
      </c>
      <c r="J18" s="53" t="str">
        <f>IFERROR(VLOOKUP($A18,'The List'!$B1:$AS727,17,FALSE)," ")</f>
        <v xml:space="preserve"> </v>
      </c>
      <c r="K18" s="53" t="str">
        <f>IFERROR(VLOOKUP($A18,'The List'!$B1:$AS727,18,FALSE)," ")</f>
        <v xml:space="preserve"> </v>
      </c>
      <c r="L18" s="53" t="str">
        <f>IFERROR(VLOOKUP($A18,'The List'!$B1:$AS727,19,FALSE)," ")</f>
        <v xml:space="preserve"> </v>
      </c>
      <c r="M18" s="53" t="str">
        <f>IFERROR(VLOOKUP($A18,'The List'!$B1:$AS727,20,FALSE)," ")</f>
        <v xml:space="preserve"> </v>
      </c>
      <c r="N18" s="53" t="str">
        <f>IFERROR(VLOOKUP($A18,'The List'!$B1:$AS727,21,FALSE)," ")</f>
        <v xml:space="preserve"> </v>
      </c>
      <c r="O18" s="53" t="str">
        <f>IFERROR(VLOOKUP($A18,'The List'!$B1:$AS727,22,FALSE)," ")</f>
        <v xml:space="preserve"> </v>
      </c>
      <c r="P18" s="53" t="str">
        <f>IFERROR(VLOOKUP($A18,'The List'!$B1:$AS727,23,FALSE)," ")</f>
        <v xml:space="preserve"> </v>
      </c>
      <c r="Q18" s="53" t="str">
        <f>IFERROR(VLOOKUP($A18,'The List'!$B1:$AS727,24,FALSE)," ")</f>
        <v xml:space="preserve"> </v>
      </c>
      <c r="R18" s="53" t="str">
        <f>IFERROR(VLOOKUP($A18,'The List'!$B1:$AS727,25,FALSE)," ")</f>
        <v xml:space="preserve"> </v>
      </c>
      <c r="S18" s="53" t="str">
        <f>IFERROR(VLOOKUP($A18,'The List'!$B1:$AS727,26,FALSE)," ")</f>
        <v xml:space="preserve"> </v>
      </c>
      <c r="T18" s="53" t="str">
        <f>IFERROR(VLOOKUP($A18,'The List'!$B1:$AS727,27,FALSE)," ")</f>
        <v xml:space="preserve"> </v>
      </c>
      <c r="U18" s="53" t="str">
        <f>IFERROR(VLOOKUP($A18,'The List'!$B1:$AS727,28,FALSE)," ")</f>
        <v xml:space="preserve"> </v>
      </c>
      <c r="V18" s="53" t="str">
        <f>IFERROR(VLOOKUP($A18,'The List'!$B1:$AS727,29,FALSE)," ")</f>
        <v xml:space="preserve"> </v>
      </c>
      <c r="W18" s="53" t="str">
        <f>IFERROR(VLOOKUP($A18,'The List'!$B1:$AS727,30,FALSE)," ")</f>
        <v xml:space="preserve"> </v>
      </c>
      <c r="X18" s="53" t="str">
        <f>IFERROR(VLOOKUP($A18,'The List'!$B1:$AS727,31,FALSE)," ")</f>
        <v xml:space="preserve"> </v>
      </c>
      <c r="Y18" s="53" t="str">
        <f>IFERROR(VLOOKUP($A18,'The List'!$B1:$AS727,32,FALSE)," ")</f>
        <v xml:space="preserve"> </v>
      </c>
      <c r="Z18" s="53" t="str">
        <f>IFERROR(VLOOKUP($A18,'The List'!$B1:$AS727,33,FALSE)," ")</f>
        <v xml:space="preserve"> </v>
      </c>
      <c r="AA18" s="55"/>
      <c r="AB18" s="60"/>
      <c r="AC18" s="60"/>
      <c r="AD18" s="23"/>
      <c r="AE18" s="37">
        <f>VLOOKUP(AD18,T1:Y464,2,FALSE)</f>
        <v>0</v>
      </c>
      <c r="AF18" s="37">
        <f>VLOOKUP(AD18,T1:AA464,5,FALSE)</f>
        <v>0</v>
      </c>
    </row>
    <row r="19" spans="1:32" ht="21.25" customHeight="1" x14ac:dyDescent="0.15">
      <c r="A19" s="23"/>
      <c r="B19" s="68" t="str">
        <f>IFERROR(VLOOKUP($A19,'The List'!$B1:$AS727,3,FALSE)," ")</f>
        <v xml:space="preserve"> </v>
      </c>
      <c r="C19" s="70" t="str">
        <f>IFERROR(VLOOKUP($A19,'The List'!$B1:$AS727,4,FALSE)," ")</f>
        <v xml:space="preserve"> </v>
      </c>
      <c r="D19" s="35" t="str">
        <f>IFERROR(VLOOKUP($A19,'The List'!$B1:$AS727,5,FALSE)," ")</f>
        <v xml:space="preserve"> </v>
      </c>
      <c r="E19" s="35" t="str">
        <f>IFERROR(VLOOKUP($A19,'The List'!$B1:$AS727,6,FALSE)," ")</f>
        <v xml:space="preserve"> </v>
      </c>
      <c r="F19" s="52" t="str">
        <f>IFERROR(VLOOKUP($A19,'The List'!$B1:$AS727,8,FALSE)," ")</f>
        <v xml:space="preserve"> </v>
      </c>
      <c r="G19" s="52" t="str">
        <f>IFERROR(VLOOKUP($A19,'The List'!$B1:$AS727,10,FALSE)," ")</f>
        <v xml:space="preserve"> </v>
      </c>
      <c r="H19" s="39"/>
      <c r="I19" s="53" t="str">
        <f>IFERROR(VLOOKUP($A19,'The List'!$B1:$AS727,16,FALSE)," ")</f>
        <v xml:space="preserve"> </v>
      </c>
      <c r="J19" s="53" t="str">
        <f>IFERROR(VLOOKUP($A19,'The List'!$B1:$AS727,17,FALSE)," ")</f>
        <v xml:space="preserve"> </v>
      </c>
      <c r="K19" s="53" t="str">
        <f>IFERROR(VLOOKUP($A19,'The List'!$B1:$AS727,18,FALSE)," ")</f>
        <v xml:space="preserve"> </v>
      </c>
      <c r="L19" s="53" t="str">
        <f>IFERROR(VLOOKUP($A19,'The List'!$B1:$AS727,19,FALSE)," ")</f>
        <v xml:space="preserve"> </v>
      </c>
      <c r="M19" s="53" t="str">
        <f>IFERROR(VLOOKUP($A19,'The List'!$B1:$AS727,20,FALSE)," ")</f>
        <v xml:space="preserve"> </v>
      </c>
      <c r="N19" s="53" t="str">
        <f>IFERROR(VLOOKUP($A19,'The List'!$B1:$AS727,21,FALSE)," ")</f>
        <v xml:space="preserve"> </v>
      </c>
      <c r="O19" s="53" t="str">
        <f>IFERROR(VLOOKUP($A19,'The List'!$B1:$AS727,22,FALSE)," ")</f>
        <v xml:space="preserve"> </v>
      </c>
      <c r="P19" s="53" t="str">
        <f>IFERROR(VLOOKUP($A19,'The List'!$B1:$AS727,23,FALSE)," ")</f>
        <v xml:space="preserve"> </v>
      </c>
      <c r="Q19" s="53" t="str">
        <f>IFERROR(VLOOKUP($A19,'The List'!$B1:$AS727,24,FALSE)," ")</f>
        <v xml:space="preserve"> </v>
      </c>
      <c r="R19" s="53" t="str">
        <f>IFERROR(VLOOKUP($A19,'The List'!$B1:$AS727,25,FALSE)," ")</f>
        <v xml:space="preserve"> </v>
      </c>
      <c r="S19" s="53" t="str">
        <f>IFERROR(VLOOKUP($A19,'The List'!$B1:$AS727,26,FALSE)," ")</f>
        <v xml:space="preserve"> </v>
      </c>
      <c r="T19" s="53" t="str">
        <f>IFERROR(VLOOKUP($A19,'The List'!$B1:$AS727,27,FALSE)," ")</f>
        <v xml:space="preserve"> </v>
      </c>
      <c r="U19" s="53" t="str">
        <f>IFERROR(VLOOKUP($A19,'The List'!$B1:$AS727,28,FALSE)," ")</f>
        <v xml:space="preserve"> </v>
      </c>
      <c r="V19" s="53" t="str">
        <f>IFERROR(VLOOKUP($A19,'The List'!$B1:$AS727,29,FALSE)," ")</f>
        <v xml:space="preserve"> </v>
      </c>
      <c r="W19" s="53" t="str">
        <f>IFERROR(VLOOKUP($A19,'The List'!$B1:$AS727,30,FALSE)," ")</f>
        <v xml:space="preserve"> </v>
      </c>
      <c r="X19" s="53" t="str">
        <f>IFERROR(VLOOKUP($A19,'The List'!$B1:$AS727,31,FALSE)," ")</f>
        <v xml:space="preserve"> </v>
      </c>
      <c r="Y19" s="53" t="str">
        <f>IFERROR(VLOOKUP($A19,'The List'!$B1:$AS727,32,FALSE)," ")</f>
        <v xml:space="preserve"> </v>
      </c>
      <c r="Z19" s="53" t="str">
        <f>IFERROR(VLOOKUP($A19,'The List'!$B1:$AS727,33,FALSE)," ")</f>
        <v xml:space="preserve"> </v>
      </c>
      <c r="AA19" s="55"/>
      <c r="AB19" s="60"/>
      <c r="AC19" s="60"/>
      <c r="AD19" s="23"/>
      <c r="AE19" s="37">
        <f>VLOOKUP(AD19,T1:Y464,2,FALSE)</f>
        <v>0</v>
      </c>
      <c r="AF19" s="37">
        <f>VLOOKUP(AD19,T1:AA464,5,FALSE)</f>
        <v>0</v>
      </c>
    </row>
    <row r="20" spans="1:32" ht="21.25" customHeight="1" x14ac:dyDescent="0.15">
      <c r="A20" s="23"/>
      <c r="B20" s="68" t="str">
        <f>IFERROR(VLOOKUP($A20,'The List'!$B1:$AS727,3,FALSE)," ")</f>
        <v xml:space="preserve"> </v>
      </c>
      <c r="C20" s="70" t="str">
        <f>IFERROR(VLOOKUP($A20,'The List'!$B1:$AS727,4,FALSE)," ")</f>
        <v xml:space="preserve"> </v>
      </c>
      <c r="D20" s="35" t="str">
        <f>IFERROR(VLOOKUP($A20,'The List'!$B1:$AS727,5,FALSE)," ")</f>
        <v xml:space="preserve"> </v>
      </c>
      <c r="E20" s="35" t="str">
        <f>IFERROR(VLOOKUP($A20,'The List'!$B1:$AS727,6,FALSE)," ")</f>
        <v xml:space="preserve"> </v>
      </c>
      <c r="F20" s="52" t="str">
        <f>IFERROR(VLOOKUP($A20,'The List'!$B1:$AS727,8,FALSE)," ")</f>
        <v xml:space="preserve"> </v>
      </c>
      <c r="G20" s="52" t="str">
        <f>IFERROR(VLOOKUP($A20,'The List'!$B1:$AS727,10,FALSE)," ")</f>
        <v xml:space="preserve"> </v>
      </c>
      <c r="H20" s="39"/>
      <c r="I20" s="53" t="str">
        <f>IFERROR(VLOOKUP($A20,'The List'!$B1:$AS727,16,FALSE)," ")</f>
        <v xml:space="preserve"> </v>
      </c>
      <c r="J20" s="53" t="str">
        <f>IFERROR(VLOOKUP($A20,'The List'!$B1:$AS727,17,FALSE)," ")</f>
        <v xml:space="preserve"> </v>
      </c>
      <c r="K20" s="53" t="str">
        <f>IFERROR(VLOOKUP($A20,'The List'!$B1:$AS727,18,FALSE)," ")</f>
        <v xml:space="preserve"> </v>
      </c>
      <c r="L20" s="53" t="str">
        <f>IFERROR(VLOOKUP($A20,'The List'!$B1:$AS727,19,FALSE)," ")</f>
        <v xml:space="preserve"> </v>
      </c>
      <c r="M20" s="53" t="str">
        <f>IFERROR(VLOOKUP($A20,'The List'!$B1:$AS727,20,FALSE)," ")</f>
        <v xml:space="preserve"> </v>
      </c>
      <c r="N20" s="53" t="str">
        <f>IFERROR(VLOOKUP($A20,'The List'!$B1:$AS727,21,FALSE)," ")</f>
        <v xml:space="preserve"> </v>
      </c>
      <c r="O20" s="53" t="str">
        <f>IFERROR(VLOOKUP($A20,'The List'!$B1:$AS727,22,FALSE)," ")</f>
        <v xml:space="preserve"> </v>
      </c>
      <c r="P20" s="53" t="str">
        <f>IFERROR(VLOOKUP($A20,'The List'!$B1:$AS727,23,FALSE)," ")</f>
        <v xml:space="preserve"> </v>
      </c>
      <c r="Q20" s="53" t="str">
        <f>IFERROR(VLOOKUP($A20,'The List'!$B1:$AS727,24,FALSE)," ")</f>
        <v xml:space="preserve"> </v>
      </c>
      <c r="R20" s="53" t="str">
        <f>IFERROR(VLOOKUP($A20,'The List'!$B1:$AS727,25,FALSE)," ")</f>
        <v xml:space="preserve"> </v>
      </c>
      <c r="S20" s="53" t="str">
        <f>IFERROR(VLOOKUP($A20,'The List'!$B1:$AS727,26,FALSE)," ")</f>
        <v xml:space="preserve"> </v>
      </c>
      <c r="T20" s="53" t="str">
        <f>IFERROR(VLOOKUP($A20,'The List'!$B1:$AS727,27,FALSE)," ")</f>
        <v xml:space="preserve"> </v>
      </c>
      <c r="U20" s="53" t="str">
        <f>IFERROR(VLOOKUP($A20,'The List'!$B1:$AS727,28,FALSE)," ")</f>
        <v xml:space="preserve"> </v>
      </c>
      <c r="V20" s="53" t="str">
        <f>IFERROR(VLOOKUP($A20,'The List'!$B1:$AS727,29,FALSE)," ")</f>
        <v xml:space="preserve"> </v>
      </c>
      <c r="W20" s="53" t="str">
        <f>IFERROR(VLOOKUP($A20,'The List'!$B1:$AS727,30,FALSE)," ")</f>
        <v xml:space="preserve"> </v>
      </c>
      <c r="X20" s="53" t="str">
        <f>IFERROR(VLOOKUP($A20,'The List'!$B1:$AS727,31,FALSE)," ")</f>
        <v xml:space="preserve"> </v>
      </c>
      <c r="Y20" s="53" t="str">
        <f>IFERROR(VLOOKUP($A20,'The List'!$B1:$AS727,32,FALSE)," ")</f>
        <v xml:space="preserve"> </v>
      </c>
      <c r="Z20" s="53" t="str">
        <f>IFERROR(VLOOKUP($A20,'The List'!$B1:$AS727,33,FALSE)," ")</f>
        <v xml:space="preserve"> </v>
      </c>
      <c r="AA20" s="55"/>
      <c r="AB20" s="60"/>
      <c r="AC20" s="60"/>
      <c r="AD20" s="71"/>
      <c r="AE20" s="71"/>
      <c r="AF20" s="71"/>
    </row>
    <row r="21" spans="1:32" ht="21.25" customHeight="1" x14ac:dyDescent="0.15">
      <c r="A21" s="72"/>
      <c r="B21" s="73" t="str">
        <f>IFERROR(VLOOKUP($A21,'The List'!$B1:$AS727,3,FALSE)," ")</f>
        <v xml:space="preserve"> </v>
      </c>
      <c r="C21" s="74" t="str">
        <f>IFERROR(VLOOKUP($A21,'The List'!$B1:$AS727,4,FALSE)," ")</f>
        <v xml:space="preserve"> </v>
      </c>
      <c r="D21" s="75" t="str">
        <f>IFERROR(VLOOKUP($A21,'The List'!$B1:$AS727,5,FALSE)," ")</f>
        <v xml:space="preserve"> </v>
      </c>
      <c r="E21" s="75" t="str">
        <f>IFERROR(VLOOKUP($A21,'The List'!$B1:$AS727,6,FALSE)," ")</f>
        <v xml:space="preserve"> </v>
      </c>
      <c r="F21" s="76" t="str">
        <f>IFERROR(VLOOKUP($A21,'The List'!$B1:$AS727,8,FALSE)," ")</f>
        <v xml:space="preserve"> </v>
      </c>
      <c r="G21" s="76" t="str">
        <f>IFERROR(VLOOKUP($A21,'The List'!$B1:$AS727,10,FALSE)," ")</f>
        <v xml:space="preserve"> </v>
      </c>
      <c r="H21" s="77"/>
      <c r="I21" s="78" t="str">
        <f>IFERROR(VLOOKUP($A21,'The List'!$B1:$AS727,16,FALSE)," ")</f>
        <v xml:space="preserve"> </v>
      </c>
      <c r="J21" s="78" t="str">
        <f>IFERROR(VLOOKUP($A21,'The List'!$B1:$AS727,17,FALSE)," ")</f>
        <v xml:space="preserve"> </v>
      </c>
      <c r="K21" s="78" t="str">
        <f>IFERROR(VLOOKUP($A21,'The List'!$B1:$AS727,18,FALSE)," ")</f>
        <v xml:space="preserve"> </v>
      </c>
      <c r="L21" s="78" t="str">
        <f>IFERROR(VLOOKUP($A21,'The List'!$B1:$AS727,19,FALSE)," ")</f>
        <v xml:space="preserve"> </v>
      </c>
      <c r="M21" s="78" t="str">
        <f>IFERROR(VLOOKUP($A21,'The List'!$B1:$AS727,20,FALSE)," ")</f>
        <v xml:space="preserve"> </v>
      </c>
      <c r="N21" s="78" t="str">
        <f>IFERROR(VLOOKUP($A21,'The List'!$B1:$AS727,21,FALSE)," ")</f>
        <v xml:space="preserve"> </v>
      </c>
      <c r="O21" s="78" t="str">
        <f>IFERROR(VLOOKUP($A21,'The List'!$B1:$AS727,22,FALSE)," ")</f>
        <v xml:space="preserve"> </v>
      </c>
      <c r="P21" s="78" t="str">
        <f>IFERROR(VLOOKUP($A21,'The List'!$B1:$AS727,23,FALSE)," ")</f>
        <v xml:space="preserve"> </v>
      </c>
      <c r="Q21" s="78" t="str">
        <f>IFERROR(VLOOKUP($A21,'The List'!$B1:$AS727,24,FALSE)," ")</f>
        <v xml:space="preserve"> </v>
      </c>
      <c r="R21" s="78" t="str">
        <f>IFERROR(VLOOKUP($A21,'The List'!$B1:$AS727,25,FALSE)," ")</f>
        <v xml:space="preserve"> </v>
      </c>
      <c r="S21" s="78" t="str">
        <f>IFERROR(VLOOKUP($A21,'The List'!$B1:$AS727,26,FALSE)," ")</f>
        <v xml:space="preserve"> </v>
      </c>
      <c r="T21" s="78" t="str">
        <f>IFERROR(VLOOKUP($A21,'The List'!$B1:$AS727,27,FALSE)," ")</f>
        <v xml:space="preserve"> </v>
      </c>
      <c r="U21" s="78" t="str">
        <f>IFERROR(VLOOKUP($A21,'The List'!$B1:$AS727,28,FALSE)," ")</f>
        <v xml:space="preserve"> </v>
      </c>
      <c r="V21" s="78" t="str">
        <f>IFERROR(VLOOKUP($A21,'The List'!$B1:$AS727,29,FALSE)," ")</f>
        <v xml:space="preserve"> </v>
      </c>
      <c r="W21" s="78" t="str">
        <f>IFERROR(VLOOKUP($A21,'The List'!$B1:$AS727,30,FALSE)," ")</f>
        <v xml:space="preserve"> </v>
      </c>
      <c r="X21" s="78" t="str">
        <f>IFERROR(VLOOKUP($A21,'The List'!$B1:$AS727,31,FALSE)," ")</f>
        <v xml:space="preserve"> </v>
      </c>
      <c r="Y21" s="78" t="str">
        <f>IFERROR(VLOOKUP($A21,'The List'!$B1:$AS727,32,FALSE)," ")</f>
        <v xml:space="preserve"> </v>
      </c>
      <c r="Z21" s="78" t="str">
        <f>IFERROR(VLOOKUP($A21,'The List'!$B1:$AS727,33,FALSE)," ")</f>
        <v xml:space="preserve"> </v>
      </c>
      <c r="AA21" s="55"/>
      <c r="AB21" s="60"/>
      <c r="AC21" s="60"/>
      <c r="AD21" s="60"/>
      <c r="AE21" s="60"/>
      <c r="AF21" s="60"/>
    </row>
    <row r="22" spans="1:32" ht="21.25" customHeight="1" x14ac:dyDescent="0.15">
      <c r="A22" s="79"/>
      <c r="B22" s="80"/>
      <c r="C22" s="81"/>
      <c r="D22" s="82"/>
      <c r="E22" s="83">
        <f>IFERROR(AVERAGE(E2:E21)," ")</f>
        <v>25.5</v>
      </c>
      <c r="F22" s="84">
        <f>SUM(F2:F21)</f>
        <v>2281.1083485176919</v>
      </c>
      <c r="G22" s="84">
        <f>SUM(G2:G21)</f>
        <v>861.90191571801483</v>
      </c>
      <c r="H22" s="85"/>
      <c r="I22" s="86">
        <f>SUM(I2:I21)</f>
        <v>318.41642857142847</v>
      </c>
      <c r="J22" s="85">
        <f>AVERAGE(J2:J21)</f>
        <v>22.0190508866052</v>
      </c>
      <c r="K22" s="86">
        <f t="shared" ref="K22:Y22" si="0">SUM(K2:K21)</f>
        <v>167.09012993871062</v>
      </c>
      <c r="L22" s="86">
        <f t="shared" si="0"/>
        <v>262.90658706242448</v>
      </c>
      <c r="M22" s="86">
        <f t="shared" si="0"/>
        <v>429.9967170011351</v>
      </c>
      <c r="N22" s="86">
        <f t="shared" si="0"/>
        <v>1227.4281489188413</v>
      </c>
      <c r="O22" s="86">
        <f t="shared" si="0"/>
        <v>52.378659854780828</v>
      </c>
      <c r="P22" s="86">
        <f t="shared" si="0"/>
        <v>163.317020702599</v>
      </c>
      <c r="Q22" s="86">
        <f t="shared" si="0"/>
        <v>2.0785328320419656</v>
      </c>
      <c r="R22" s="86">
        <f t="shared" si="0"/>
        <v>5.0412262214809678</v>
      </c>
      <c r="S22" s="86">
        <f t="shared" si="0"/>
        <v>203.43814603353155</v>
      </c>
      <c r="T22" s="86">
        <f t="shared" si="0"/>
        <v>338.95684884511684</v>
      </c>
      <c r="U22" s="86">
        <f t="shared" si="0"/>
        <v>38.405332278015628</v>
      </c>
      <c r="V22" s="86">
        <f t="shared" si="0"/>
        <v>175.41575870880013</v>
      </c>
      <c r="W22" s="86">
        <f t="shared" si="0"/>
        <v>26.308643521259029</v>
      </c>
      <c r="X22" s="86">
        <f t="shared" si="0"/>
        <v>545.73950664118115</v>
      </c>
      <c r="Y22" s="86">
        <f t="shared" si="0"/>
        <v>511.1741518921533</v>
      </c>
      <c r="Z22" s="87">
        <f>IFERROR(X22/(X22+Y22),0)</f>
        <v>0.5163520238715591</v>
      </c>
      <c r="AA22" s="55"/>
      <c r="AB22" s="88"/>
      <c r="AC22" s="88"/>
      <c r="AD22" s="88"/>
      <c r="AE22" s="88"/>
      <c r="AF22" s="88"/>
    </row>
    <row r="23" spans="1:32" ht="21.25" customHeight="1" x14ac:dyDescent="0.15">
      <c r="A23" s="89"/>
      <c r="B23" s="90"/>
      <c r="C23" s="91"/>
      <c r="D23" s="11"/>
      <c r="E23" s="11"/>
      <c r="F23" s="92"/>
      <c r="G23" s="93"/>
      <c r="H23" s="94"/>
      <c r="I23" s="9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60"/>
      <c r="AC23" s="60"/>
      <c r="AD23" s="60"/>
      <c r="AE23" s="60"/>
      <c r="AF23" s="60"/>
    </row>
    <row r="24" spans="1:32" ht="21.25" customHeight="1" x14ac:dyDescent="0.15">
      <c r="A24" s="24" t="s">
        <v>66</v>
      </c>
      <c r="B24" s="174" t="s">
        <v>68</v>
      </c>
      <c r="C24" s="165"/>
      <c r="D24" s="96" t="s">
        <v>69</v>
      </c>
      <c r="E24" s="96" t="s">
        <v>70</v>
      </c>
      <c r="F24" s="97" t="s">
        <v>72</v>
      </c>
      <c r="G24" s="97" t="s">
        <v>74</v>
      </c>
      <c r="H24" s="98"/>
      <c r="I24" s="99" t="s">
        <v>79</v>
      </c>
      <c r="J24" s="99" t="s">
        <v>97</v>
      </c>
      <c r="K24" s="99" t="s">
        <v>98</v>
      </c>
      <c r="L24" s="99" t="s">
        <v>99</v>
      </c>
      <c r="M24" s="99" t="s">
        <v>100</v>
      </c>
      <c r="N24" s="99" t="s">
        <v>101</v>
      </c>
      <c r="O24" s="99" t="s">
        <v>102</v>
      </c>
      <c r="P24" s="99" t="s">
        <v>103</v>
      </c>
      <c r="Q24" s="99" t="s">
        <v>104</v>
      </c>
      <c r="R24" s="55"/>
      <c r="S24" s="55"/>
      <c r="T24" s="55"/>
      <c r="U24" s="174" t="s">
        <v>850</v>
      </c>
      <c r="V24" s="175"/>
      <c r="W24" s="175"/>
      <c r="X24" s="174" t="s">
        <v>851</v>
      </c>
      <c r="Y24" s="175"/>
      <c r="Z24" s="175"/>
      <c r="AA24" s="55"/>
      <c r="AB24" s="55"/>
      <c r="AC24" s="55"/>
      <c r="AD24" s="55"/>
      <c r="AE24" s="55"/>
      <c r="AF24" s="55"/>
    </row>
    <row r="25" spans="1:32" ht="21.25" customHeight="1" x14ac:dyDescent="0.15">
      <c r="A25" s="100" t="s">
        <v>120</v>
      </c>
      <c r="B25" s="101" t="str">
        <f>IFERROR(VLOOKUP($A25,'The List'!$B1:$AS727,3,FALSE)," ")</f>
        <v>G</v>
      </c>
      <c r="C25" s="102">
        <f>IFERROR(VLOOKUP($A25,'The List'!$B1:$AS727,4,FALSE)," ")</f>
        <v>1</v>
      </c>
      <c r="D25" s="103" t="str">
        <f>IFERROR(VLOOKUP($A25,'The List'!$B1:$AS727,5,FALSE)," ")</f>
        <v>TBL</v>
      </c>
      <c r="E25" s="104">
        <f>IFERROR(VLOOKUP($A25,'The List'!$B1:$AS727,6,FALSE)," ")</f>
        <v>29</v>
      </c>
      <c r="F25" s="105">
        <f>IFERROR(VLOOKUP($A25,'The List'!$B1:$AS727,8,FALSE)," ")</f>
        <v>521.34627115554633</v>
      </c>
      <c r="G25" s="105">
        <f>IFERROR(VLOOKUP($A25,'The List'!$B1:$AS727,10,FALSE)," ")</f>
        <v>122.57060906623013</v>
      </c>
      <c r="H25" s="106"/>
      <c r="I25" s="107">
        <f>IFERROR(VLOOKUP($A25,'The List'!$B1:$AS727,35,FALSE)," ")</f>
        <v>62</v>
      </c>
      <c r="J25" s="107">
        <f>IFERROR(VLOOKUP($A25,'The List'!$B1:$AS727,36,FALSE)," ")</f>
        <v>35.251981208591658</v>
      </c>
      <c r="K25" s="107">
        <f>IFERROR(VLOOKUP($A25,'The List'!$B1:$AS727,37,FALSE)," ")</f>
        <v>18.998018791408342</v>
      </c>
      <c r="L25" s="107">
        <f>IFERROR(VLOOKUP($A25,'The List'!$B1:$AS727,38,FALSE)," ")</f>
        <v>7.75</v>
      </c>
      <c r="M25" s="107">
        <f>IFERROR(VLOOKUP($A25,'The List'!$B1:$AS727,39,FALSE)," ")</f>
        <v>4.3987069066913334</v>
      </c>
      <c r="N25" s="107">
        <f>IFERROR(VLOOKUP($A25,'The List'!$B1:$AS727,40,FALSE)," ")</f>
        <v>1786.6926148653952</v>
      </c>
      <c r="O25" s="107">
        <f>IFERROR(VLOOKUP($A25,'The List'!$B1:$AS727,41,FALSE)," ")</f>
        <v>162.18446457210294</v>
      </c>
      <c r="P25" s="108">
        <f>IFERROR(VLOOKUP($A25,'The List'!$B1:$AS727,42,FALSE)," ")</f>
        <v>0.91678055723303287</v>
      </c>
      <c r="Q25" s="109">
        <f>IFERROR(VLOOKUP($A25,'The List'!$B1:$AS727,43,FALSE)," ")</f>
        <v>2.6158784608403698</v>
      </c>
      <c r="R25" s="55"/>
      <c r="S25" s="55"/>
      <c r="T25" s="110" t="str">
        <f>A$1</f>
        <v>TEAM 1</v>
      </c>
      <c r="U25" s="176">
        <f>F22+F28</f>
        <v>2802.4546196732381</v>
      </c>
      <c r="V25" s="165"/>
      <c r="W25" s="165"/>
      <c r="X25" s="176">
        <f>G28+G22</f>
        <v>984.47252478424502</v>
      </c>
      <c r="Y25" s="165"/>
      <c r="Z25" s="165"/>
      <c r="AA25" s="55"/>
      <c r="AB25" s="55"/>
      <c r="AC25" s="55"/>
      <c r="AD25" s="55"/>
      <c r="AE25" s="55"/>
      <c r="AF25" s="55"/>
    </row>
    <row r="26" spans="1:32" ht="21.25" customHeight="1" x14ac:dyDescent="0.15">
      <c r="A26" s="23"/>
      <c r="B26" s="111" t="str">
        <f>IFERROR(VLOOKUP($A26,'The List'!$B1:$AS727,3,FALSE)," ")</f>
        <v xml:space="preserve"> </v>
      </c>
      <c r="C26" s="112" t="str">
        <f>IFERROR(VLOOKUP($A26,'The List'!$B1:$AS727,4,FALSE)," ")</f>
        <v xml:space="preserve"> </v>
      </c>
      <c r="D26" s="35" t="str">
        <f>IFERROR(VLOOKUP($A26,'The List'!$B1:$AS727,5,FALSE)," ")</f>
        <v xml:space="preserve"> </v>
      </c>
      <c r="E26" s="35" t="str">
        <f>IFERROR(VLOOKUP($A26,'The List'!$B1:$AS727,6,FALSE)," ")</f>
        <v xml:space="preserve"> </v>
      </c>
      <c r="F26" s="52" t="str">
        <f>IFERROR(VLOOKUP($A26,'The List'!$B1:$AS727,8,FALSE)," ")</f>
        <v xml:space="preserve"> </v>
      </c>
      <c r="G26" s="52" t="str">
        <f>IFERROR(VLOOKUP($A26,'The List'!$B1:$AS727,10,FALSE)," ")</f>
        <v xml:space="preserve"> </v>
      </c>
      <c r="H26" s="39"/>
      <c r="I26" s="53" t="str">
        <f>IFERROR(VLOOKUP($A26,'The List'!$B1:$AS727,35,FALSE)," ")</f>
        <v xml:space="preserve"> </v>
      </c>
      <c r="J26" s="53" t="str">
        <f>IFERROR(VLOOKUP($A26,'The List'!$B1:$AS727,36,FALSE)," ")</f>
        <v xml:space="preserve"> </v>
      </c>
      <c r="K26" s="53" t="str">
        <f>IFERROR(VLOOKUP($A26,'The List'!$B1:$AS727,37,FALSE)," ")</f>
        <v xml:space="preserve"> </v>
      </c>
      <c r="L26" s="53" t="str">
        <f>IFERROR(VLOOKUP($A26,'The List'!$B1:$AS727,38,FALSE)," ")</f>
        <v xml:space="preserve"> </v>
      </c>
      <c r="M26" s="53" t="str">
        <f>IFERROR(VLOOKUP($A26,'The List'!$B1:$AS727,39,FALSE)," ")</f>
        <v xml:space="preserve"> </v>
      </c>
      <c r="N26" s="53" t="str">
        <f>IFERROR(VLOOKUP($A26,'The List'!$B1:$AS727,40,FALSE)," ")</f>
        <v xml:space="preserve"> </v>
      </c>
      <c r="O26" s="53" t="str">
        <f>IFERROR(VLOOKUP($A26,'The List'!$B1:$AS727,41,FALSE)," ")</f>
        <v xml:space="preserve"> </v>
      </c>
      <c r="P26" s="53" t="str">
        <f>IFERROR(VLOOKUP($A26,'The List'!$B1:$AS727,42,FALSE)," ")</f>
        <v xml:space="preserve"> </v>
      </c>
      <c r="Q26" s="53" t="str">
        <f>IFERROR(VLOOKUP($A26,'The List'!$B1:$AS727,43,FALSE)," ")</f>
        <v xml:space="preserve"> </v>
      </c>
      <c r="R26" s="55"/>
      <c r="S26" s="55"/>
      <c r="T26" s="55"/>
      <c r="U26" s="165"/>
      <c r="V26" s="165"/>
      <c r="W26" s="165"/>
      <c r="X26" s="165"/>
      <c r="Y26" s="165"/>
      <c r="Z26" s="165"/>
      <c r="AA26" s="55"/>
      <c r="AB26" s="55"/>
      <c r="AC26" s="55"/>
      <c r="AD26" s="55"/>
      <c r="AE26" s="55"/>
      <c r="AF26" s="55"/>
    </row>
    <row r="27" spans="1:32" ht="21.25" customHeight="1" x14ac:dyDescent="0.15">
      <c r="A27" s="72"/>
      <c r="B27" s="113" t="str">
        <f>IFERROR(VLOOKUP($A27,'The List'!$B1:$AS727,3,FALSE)," ")</f>
        <v xml:space="preserve"> </v>
      </c>
      <c r="C27" s="114" t="str">
        <f>IFERROR(VLOOKUP($A27,'The List'!$B1:$AS727,4,FALSE)," ")</f>
        <v xml:space="preserve"> </v>
      </c>
      <c r="D27" s="75" t="str">
        <f>IFERROR(VLOOKUP($A27,'The List'!$B1:$AS727,5,FALSE)," ")</f>
        <v xml:space="preserve"> </v>
      </c>
      <c r="E27" s="75" t="str">
        <f>IFERROR(VLOOKUP($A27,'The List'!$B1:$AS727,6,FALSE)," ")</f>
        <v xml:space="preserve"> </v>
      </c>
      <c r="F27" s="76" t="str">
        <f>IFERROR(VLOOKUP($A27,'The List'!$B1:$AS727,8,FALSE)," ")</f>
        <v xml:space="preserve"> </v>
      </c>
      <c r="G27" s="76" t="str">
        <f>IFERROR(VLOOKUP($A27,'The List'!$B1:$AS727,10,FALSE)," ")</f>
        <v xml:space="preserve"> </v>
      </c>
      <c r="H27" s="77"/>
      <c r="I27" s="78" t="str">
        <f>IFERROR(VLOOKUP($A27,'The List'!$B1:$AS727,35,FALSE)," ")</f>
        <v xml:space="preserve"> </v>
      </c>
      <c r="J27" s="78" t="str">
        <f>IFERROR(VLOOKUP($A27,'The List'!$B1:$AS727,36,FALSE)," ")</f>
        <v xml:space="preserve"> </v>
      </c>
      <c r="K27" s="78" t="str">
        <f>IFERROR(VLOOKUP($A27,'The List'!$B1:$AS727,37,FALSE)," ")</f>
        <v xml:space="preserve"> </v>
      </c>
      <c r="L27" s="78" t="str">
        <f>IFERROR(VLOOKUP($A27,'The List'!$B1:$AS727,38,FALSE)," ")</f>
        <v xml:space="preserve"> </v>
      </c>
      <c r="M27" s="78" t="str">
        <f>IFERROR(VLOOKUP($A27,'The List'!$B1:$AS727,39,FALSE)," ")</f>
        <v xml:space="preserve"> </v>
      </c>
      <c r="N27" s="78" t="str">
        <f>IFERROR(VLOOKUP($A27,'The List'!$B1:$AS727,40,FALSE)," ")</f>
        <v xml:space="preserve"> </v>
      </c>
      <c r="O27" s="78" t="str">
        <f>IFERROR(VLOOKUP($A27,'The List'!$B1:$AS727,41,FALSE)," ")</f>
        <v xml:space="preserve"> </v>
      </c>
      <c r="P27" s="78" t="str">
        <f>IFERROR(VLOOKUP($A27,'The List'!$B1:$AS727,42,FALSE)," ")</f>
        <v xml:space="preserve"> </v>
      </c>
      <c r="Q27" s="78" t="str">
        <f>IFERROR(VLOOKUP($A27,'The List'!$B1:$AS727,43,FALSE)," ")</f>
        <v xml:space="preserve"> </v>
      </c>
      <c r="R27" s="55"/>
      <c r="S27" s="55"/>
      <c r="T27" s="55"/>
      <c r="U27" s="165"/>
      <c r="V27" s="165"/>
      <c r="W27" s="165"/>
      <c r="X27" s="165"/>
      <c r="Y27" s="165"/>
      <c r="Z27" s="165"/>
      <c r="AA27" s="55"/>
      <c r="AB27" s="55"/>
      <c r="AC27" s="55"/>
      <c r="AD27" s="55"/>
      <c r="AE27" s="55"/>
      <c r="AF27" s="55"/>
    </row>
    <row r="28" spans="1:32" ht="21.25" customHeight="1" x14ac:dyDescent="0.15">
      <c r="A28" s="79"/>
      <c r="B28" s="80"/>
      <c r="C28" s="81"/>
      <c r="D28" s="82"/>
      <c r="E28" s="83">
        <f>IFERROR(AVERAGE(E25:E27)," ")</f>
        <v>29</v>
      </c>
      <c r="F28" s="84">
        <f>SUM(F25:F27)</f>
        <v>521.34627115554633</v>
      </c>
      <c r="G28" s="84">
        <f>SUM(G25:G27)</f>
        <v>122.57060906623013</v>
      </c>
      <c r="H28" s="85"/>
      <c r="I28" s="86">
        <f t="shared" ref="I28:O28" si="1">SUM(I25:I27)</f>
        <v>62</v>
      </c>
      <c r="J28" s="85">
        <f t="shared" si="1"/>
        <v>35.251981208591658</v>
      </c>
      <c r="K28" s="86">
        <f t="shared" si="1"/>
        <v>18.998018791408342</v>
      </c>
      <c r="L28" s="86">
        <f t="shared" si="1"/>
        <v>7.75</v>
      </c>
      <c r="M28" s="86">
        <f t="shared" si="1"/>
        <v>4.3987069066913334</v>
      </c>
      <c r="N28" s="86">
        <f t="shared" si="1"/>
        <v>1786.6926148653952</v>
      </c>
      <c r="O28" s="86">
        <f t="shared" si="1"/>
        <v>162.18446457210294</v>
      </c>
      <c r="P28" s="115">
        <f>1-(O28/(N28+O28))</f>
        <v>0.91678055723303287</v>
      </c>
      <c r="Q28" s="116">
        <f>O28/I28</f>
        <v>2.6158784608403698</v>
      </c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</row>
    <row r="29" spans="1:32" ht="70.75" customHeight="1" x14ac:dyDescent="0.15">
      <c r="A29" s="89"/>
      <c r="B29" s="90"/>
      <c r="C29" s="91"/>
      <c r="D29" s="11"/>
      <c r="E29" s="11"/>
      <c r="F29" s="92"/>
      <c r="G29" s="93"/>
      <c r="H29" s="94"/>
      <c r="I29" s="9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60"/>
      <c r="AB29" s="60"/>
      <c r="AC29" s="60"/>
      <c r="AD29" s="60"/>
      <c r="AE29" s="60"/>
      <c r="AF29" s="60"/>
    </row>
    <row r="30" spans="1:32" ht="21.25" customHeight="1" x14ac:dyDescent="0.15">
      <c r="A30" s="25" t="s">
        <v>835</v>
      </c>
      <c r="B30" s="173" t="s">
        <v>68</v>
      </c>
      <c r="C30" s="170"/>
      <c r="D30" s="26" t="s">
        <v>69</v>
      </c>
      <c r="E30" s="26" t="s">
        <v>70</v>
      </c>
      <c r="F30" s="27" t="s">
        <v>72</v>
      </c>
      <c r="G30" s="27" t="s">
        <v>74</v>
      </c>
      <c r="H30" s="28"/>
      <c r="I30" s="30" t="s">
        <v>79</v>
      </c>
      <c r="J30" s="30" t="s">
        <v>80</v>
      </c>
      <c r="K30" s="30" t="s">
        <v>81</v>
      </c>
      <c r="L30" s="30" t="s">
        <v>82</v>
      </c>
      <c r="M30" s="30" t="s">
        <v>83</v>
      </c>
      <c r="N30" s="30" t="s">
        <v>84</v>
      </c>
      <c r="O30" s="30" t="s">
        <v>85</v>
      </c>
      <c r="P30" s="30" t="s">
        <v>86</v>
      </c>
      <c r="Q30" s="30" t="s">
        <v>87</v>
      </c>
      <c r="R30" s="30" t="s">
        <v>88</v>
      </c>
      <c r="S30" s="30" t="s">
        <v>89</v>
      </c>
      <c r="T30" s="30" t="s">
        <v>90</v>
      </c>
      <c r="U30" s="30" t="s">
        <v>91</v>
      </c>
      <c r="V30" s="30" t="s">
        <v>92</v>
      </c>
      <c r="W30" s="30" t="s">
        <v>93</v>
      </c>
      <c r="X30" s="30" t="s">
        <v>94</v>
      </c>
      <c r="Y30" s="30" t="s">
        <v>95</v>
      </c>
      <c r="Z30" s="30" t="s">
        <v>96</v>
      </c>
      <c r="AA30" s="55"/>
      <c r="AB30" s="60"/>
      <c r="AC30" s="56"/>
      <c r="AD30" s="56"/>
      <c r="AE30" s="56"/>
      <c r="AF30" s="56"/>
    </row>
    <row r="31" spans="1:32" ht="21.25" customHeight="1" x14ac:dyDescent="0.15">
      <c r="A31" s="23"/>
      <c r="B31" s="57" t="str">
        <f>IFERROR(VLOOKUP($A31,'The List'!$B1:$AS727,3,FALSE)," ")</f>
        <v xml:space="preserve"> </v>
      </c>
      <c r="C31" s="61" t="str">
        <f>IFERROR(VLOOKUP($A31,'The List'!$B1:$AS727,4,FALSE)," ")</f>
        <v xml:space="preserve"> </v>
      </c>
      <c r="D31" s="35" t="str">
        <f>IFERROR(VLOOKUP($A31,'The List'!$B1:$AS727,5,FALSE)," ")</f>
        <v xml:space="preserve"> </v>
      </c>
      <c r="E31" s="35" t="str">
        <f>IFERROR(VLOOKUP($A31,'The List'!$B1:$AS727,6,FALSE)," ")</f>
        <v xml:space="preserve"> </v>
      </c>
      <c r="F31" s="52" t="str">
        <f>IFERROR(VLOOKUP($A31,'The List'!$B1:$AS727,8,FALSE)," ")</f>
        <v xml:space="preserve"> </v>
      </c>
      <c r="G31" s="52" t="str">
        <f>IFERROR(VLOOKUP($A31,'The List'!$B1:$AS727,10,FALSE)," ")</f>
        <v xml:space="preserve"> </v>
      </c>
      <c r="H31" s="39"/>
      <c r="I31" s="53" t="str">
        <f>IFERROR(VLOOKUP($A31,'The List'!$B1:$AS727,16,FALSE)," ")</f>
        <v xml:space="preserve"> </v>
      </c>
      <c r="J31" s="53" t="str">
        <f>IFERROR(VLOOKUP($A31,'The List'!$B1:$AS727,17,FALSE)," ")</f>
        <v xml:space="preserve"> </v>
      </c>
      <c r="K31" s="53" t="str">
        <f>IFERROR(VLOOKUP($A31,'The List'!$B1:$AS727,18,FALSE)," ")</f>
        <v xml:space="preserve"> </v>
      </c>
      <c r="L31" s="53" t="str">
        <f>IFERROR(VLOOKUP($A31,'The List'!$B1:$AS727,19,FALSE)," ")</f>
        <v xml:space="preserve"> </v>
      </c>
      <c r="M31" s="53" t="str">
        <f>IFERROR(VLOOKUP($A31,'The List'!$B1:$AS727,20,FALSE)," ")</f>
        <v xml:space="preserve"> </v>
      </c>
      <c r="N31" s="53" t="str">
        <f>IFERROR(VLOOKUP($A31,'The List'!$B1:$AS727,21,FALSE)," ")</f>
        <v xml:space="preserve"> </v>
      </c>
      <c r="O31" s="53" t="str">
        <f>IFERROR(VLOOKUP($A31,'The List'!$B1:$AS727,22,FALSE)," ")</f>
        <v xml:space="preserve"> </v>
      </c>
      <c r="P31" s="53" t="str">
        <f>IFERROR(VLOOKUP($A31,'The List'!$B1:$AS727,23,FALSE)," ")</f>
        <v xml:space="preserve"> </v>
      </c>
      <c r="Q31" s="53" t="str">
        <f>IFERROR(VLOOKUP($A31,'The List'!$B1:$AS727,24,FALSE)," ")</f>
        <v xml:space="preserve"> </v>
      </c>
      <c r="R31" s="53" t="str">
        <f>IFERROR(VLOOKUP($A31,'The List'!$B1:$AS727,25,FALSE)," ")</f>
        <v xml:space="preserve"> </v>
      </c>
      <c r="S31" s="53" t="str">
        <f>IFERROR(VLOOKUP($A31,'The List'!$B1:$AS727,26,FALSE)," ")</f>
        <v xml:space="preserve"> </v>
      </c>
      <c r="T31" s="53" t="str">
        <f>IFERROR(VLOOKUP($A31,'The List'!$B1:$AS727,27,FALSE)," ")</f>
        <v xml:space="preserve"> </v>
      </c>
      <c r="U31" s="53" t="str">
        <f>IFERROR(VLOOKUP($A31,'The List'!$B1:$AS727,28,FALSE)," ")</f>
        <v xml:space="preserve"> </v>
      </c>
      <c r="V31" s="53" t="str">
        <f>IFERROR(VLOOKUP($A31,'The List'!$B1:$AS727,29,FALSE)," ")</f>
        <v xml:space="preserve"> </v>
      </c>
      <c r="W31" s="53" t="str">
        <f>IFERROR(VLOOKUP($A31,'The List'!$B1:$AS727,30,FALSE)," ")</f>
        <v xml:space="preserve"> </v>
      </c>
      <c r="X31" s="53" t="str">
        <f>IFERROR(VLOOKUP($A31,'The List'!$B1:$AS727,31,FALSE)," ")</f>
        <v xml:space="preserve"> </v>
      </c>
      <c r="Y31" s="53" t="str">
        <f>IFERROR(VLOOKUP($A31,'The List'!$B1:$AS727,32,FALSE)," ")</f>
        <v xml:space="preserve"> </v>
      </c>
      <c r="Z31" s="53" t="str">
        <f>IFERROR(VLOOKUP($A31,'The List'!$B1:$AS727,33,FALSE)," ")</f>
        <v xml:space="preserve"> </v>
      </c>
      <c r="AA31" s="55"/>
      <c r="AB31" s="60"/>
      <c r="AC31" s="60"/>
      <c r="AD31" s="60"/>
      <c r="AE31" s="60"/>
      <c r="AF31" s="60"/>
    </row>
    <row r="32" spans="1:32" ht="21.25" customHeight="1" x14ac:dyDescent="0.15">
      <c r="A32" s="23"/>
      <c r="B32" s="57" t="str">
        <f>IFERROR(VLOOKUP($A32,'The List'!$B1:$AS727,3,FALSE)," ")</f>
        <v xml:space="preserve"> </v>
      </c>
      <c r="C32" s="61" t="str">
        <f>IFERROR(VLOOKUP($A32,'The List'!$B1:$AS727,4,FALSE)," ")</f>
        <v xml:space="preserve"> </v>
      </c>
      <c r="D32" s="35" t="str">
        <f>IFERROR(VLOOKUP($A32,'The List'!$B1:$AS727,5,FALSE)," ")</f>
        <v xml:space="preserve"> </v>
      </c>
      <c r="E32" s="35" t="str">
        <f>IFERROR(VLOOKUP($A32,'The List'!$B1:$AS727,6,FALSE)," ")</f>
        <v xml:space="preserve"> </v>
      </c>
      <c r="F32" s="52" t="str">
        <f>IFERROR(VLOOKUP($A32,'The List'!$B1:$AS727,8,FALSE)," ")</f>
        <v xml:space="preserve"> </v>
      </c>
      <c r="G32" s="52" t="str">
        <f>IFERROR(VLOOKUP($A32,'The List'!$B1:$AS727,10,FALSE)," ")</f>
        <v xml:space="preserve"> </v>
      </c>
      <c r="H32" s="39"/>
      <c r="I32" s="53" t="str">
        <f>IFERROR(VLOOKUP($A32,'The List'!$B1:$AS727,16,FALSE)," ")</f>
        <v xml:space="preserve"> </v>
      </c>
      <c r="J32" s="53" t="str">
        <f>IFERROR(VLOOKUP($A32,'The List'!$B1:$AS727,17,FALSE)," ")</f>
        <v xml:space="preserve"> </v>
      </c>
      <c r="K32" s="53" t="str">
        <f>IFERROR(VLOOKUP($A32,'The List'!$B1:$AS727,18,FALSE)," ")</f>
        <v xml:space="preserve"> </v>
      </c>
      <c r="L32" s="53" t="str">
        <f>IFERROR(VLOOKUP($A32,'The List'!$B1:$AS727,19,FALSE)," ")</f>
        <v xml:space="preserve"> </v>
      </c>
      <c r="M32" s="53" t="str">
        <f>IFERROR(VLOOKUP($A32,'The List'!$B1:$AS727,20,FALSE)," ")</f>
        <v xml:space="preserve"> </v>
      </c>
      <c r="N32" s="53" t="str">
        <f>IFERROR(VLOOKUP($A32,'The List'!$B1:$AS727,21,FALSE)," ")</f>
        <v xml:space="preserve"> </v>
      </c>
      <c r="O32" s="53" t="str">
        <f>IFERROR(VLOOKUP($A32,'The List'!$B1:$AS727,22,FALSE)," ")</f>
        <v xml:space="preserve"> </v>
      </c>
      <c r="P32" s="53" t="str">
        <f>IFERROR(VLOOKUP($A32,'The List'!$B1:$AS727,23,FALSE)," ")</f>
        <v xml:space="preserve"> </v>
      </c>
      <c r="Q32" s="53" t="str">
        <f>IFERROR(VLOOKUP($A32,'The List'!$B1:$AS727,24,FALSE)," ")</f>
        <v xml:space="preserve"> </v>
      </c>
      <c r="R32" s="53" t="str">
        <f>IFERROR(VLOOKUP($A32,'The List'!$B1:$AS727,25,FALSE)," ")</f>
        <v xml:space="preserve"> </v>
      </c>
      <c r="S32" s="53" t="str">
        <f>IFERROR(VLOOKUP($A32,'The List'!$B1:$AS727,26,FALSE)," ")</f>
        <v xml:space="preserve"> </v>
      </c>
      <c r="T32" s="53" t="str">
        <f>IFERROR(VLOOKUP($A32,'The List'!$B1:$AS727,27,FALSE)," ")</f>
        <v xml:space="preserve"> </v>
      </c>
      <c r="U32" s="53" t="str">
        <f>IFERROR(VLOOKUP($A32,'The List'!$B1:$AS727,28,FALSE)," ")</f>
        <v xml:space="preserve"> </v>
      </c>
      <c r="V32" s="53" t="str">
        <f>IFERROR(VLOOKUP($A32,'The List'!$B1:$AS727,29,FALSE)," ")</f>
        <v xml:space="preserve"> </v>
      </c>
      <c r="W32" s="53" t="str">
        <f>IFERROR(VLOOKUP($A32,'The List'!$B1:$AS727,30,FALSE)," ")</f>
        <v xml:space="preserve"> </v>
      </c>
      <c r="X32" s="53" t="str">
        <f>IFERROR(VLOOKUP($A32,'The List'!$B1:$AS727,31,FALSE)," ")</f>
        <v xml:space="preserve"> </v>
      </c>
      <c r="Y32" s="53" t="str">
        <f>IFERROR(VLOOKUP($A32,'The List'!$B1:$AS727,32,FALSE)," ")</f>
        <v xml:space="preserve"> </v>
      </c>
      <c r="Z32" s="53" t="str">
        <f>IFERROR(VLOOKUP($A32,'The List'!$B1:$AS727,33,FALSE)," ")</f>
        <v xml:space="preserve"> </v>
      </c>
      <c r="AA32" s="55"/>
      <c r="AB32" s="60"/>
      <c r="AC32" s="60"/>
      <c r="AD32" s="60"/>
      <c r="AE32" s="60"/>
      <c r="AF32" s="60"/>
    </row>
    <row r="33" spans="1:32" ht="21.25" customHeight="1" x14ac:dyDescent="0.15">
      <c r="A33" s="23"/>
      <c r="B33" s="57" t="str">
        <f>IFERROR(VLOOKUP($A33,'The List'!$B1:$AS727,3,FALSE)," ")</f>
        <v xml:space="preserve"> </v>
      </c>
      <c r="C33" s="61" t="str">
        <f>IFERROR(VLOOKUP($A33,'The List'!$B1:$AS727,4,FALSE)," ")</f>
        <v xml:space="preserve"> </v>
      </c>
      <c r="D33" s="35" t="str">
        <f>IFERROR(VLOOKUP($A33,'The List'!$B1:$AS727,5,FALSE)," ")</f>
        <v xml:space="preserve"> </v>
      </c>
      <c r="E33" s="35" t="str">
        <f>IFERROR(VLOOKUP($A33,'The List'!$B1:$AS727,6,FALSE)," ")</f>
        <v xml:space="preserve"> </v>
      </c>
      <c r="F33" s="52" t="str">
        <f>IFERROR(VLOOKUP($A33,'The List'!$B1:$AS727,8,FALSE)," ")</f>
        <v xml:space="preserve"> </v>
      </c>
      <c r="G33" s="52" t="str">
        <f>IFERROR(VLOOKUP($A33,'The List'!$B1:$AS727,10,FALSE)," ")</f>
        <v xml:space="preserve"> </v>
      </c>
      <c r="H33" s="39"/>
      <c r="I33" s="53" t="str">
        <f>IFERROR(VLOOKUP($A33,'The List'!$B1:$AS727,16,FALSE)," ")</f>
        <v xml:space="preserve"> </v>
      </c>
      <c r="J33" s="53" t="str">
        <f>IFERROR(VLOOKUP($A33,'The List'!$B1:$AS727,17,FALSE)," ")</f>
        <v xml:space="preserve"> </v>
      </c>
      <c r="K33" s="53" t="str">
        <f>IFERROR(VLOOKUP($A33,'The List'!$B1:$AS727,18,FALSE)," ")</f>
        <v xml:space="preserve"> </v>
      </c>
      <c r="L33" s="53" t="str">
        <f>IFERROR(VLOOKUP($A33,'The List'!$B1:$AS727,19,FALSE)," ")</f>
        <v xml:space="preserve"> </v>
      </c>
      <c r="M33" s="53" t="str">
        <f>IFERROR(VLOOKUP($A33,'The List'!$B1:$AS727,20,FALSE)," ")</f>
        <v xml:space="preserve"> </v>
      </c>
      <c r="N33" s="53" t="str">
        <f>IFERROR(VLOOKUP($A33,'The List'!$B1:$AS727,21,FALSE)," ")</f>
        <v xml:space="preserve"> </v>
      </c>
      <c r="O33" s="53" t="str">
        <f>IFERROR(VLOOKUP($A33,'The List'!$B1:$AS727,22,FALSE)," ")</f>
        <v xml:space="preserve"> </v>
      </c>
      <c r="P33" s="53" t="str">
        <f>IFERROR(VLOOKUP($A33,'The List'!$B1:$AS727,23,FALSE)," ")</f>
        <v xml:space="preserve"> </v>
      </c>
      <c r="Q33" s="53" t="str">
        <f>IFERROR(VLOOKUP($A33,'The List'!$B1:$AS727,24,FALSE)," ")</f>
        <v xml:space="preserve"> </v>
      </c>
      <c r="R33" s="53" t="str">
        <f>IFERROR(VLOOKUP($A33,'The List'!$B1:$AS727,25,FALSE)," ")</f>
        <v xml:space="preserve"> </v>
      </c>
      <c r="S33" s="53" t="str">
        <f>IFERROR(VLOOKUP($A33,'The List'!$B1:$AS727,26,FALSE)," ")</f>
        <v xml:space="preserve"> </v>
      </c>
      <c r="T33" s="53" t="str">
        <f>IFERROR(VLOOKUP($A33,'The List'!$B1:$AS727,27,FALSE)," ")</f>
        <v xml:space="preserve"> </v>
      </c>
      <c r="U33" s="53" t="str">
        <f>IFERROR(VLOOKUP($A33,'The List'!$B1:$AS727,28,FALSE)," ")</f>
        <v xml:space="preserve"> </v>
      </c>
      <c r="V33" s="53" t="str">
        <f>IFERROR(VLOOKUP($A33,'The List'!$B1:$AS727,29,FALSE)," ")</f>
        <v xml:space="preserve"> </v>
      </c>
      <c r="W33" s="53" t="str">
        <f>IFERROR(VLOOKUP($A33,'The List'!$B1:$AS727,30,FALSE)," ")</f>
        <v xml:space="preserve"> </v>
      </c>
      <c r="X33" s="53" t="str">
        <f>IFERROR(VLOOKUP($A33,'The List'!$B1:$AS727,31,FALSE)," ")</f>
        <v xml:space="preserve"> </v>
      </c>
      <c r="Y33" s="53" t="str">
        <f>IFERROR(VLOOKUP($A33,'The List'!$B1:$AS727,32,FALSE)," ")</f>
        <v xml:space="preserve"> </v>
      </c>
      <c r="Z33" s="53" t="str">
        <f>IFERROR(VLOOKUP($A33,'The List'!$B1:$AS727,33,FALSE)," ")</f>
        <v xml:space="preserve"> </v>
      </c>
      <c r="AA33" s="55"/>
      <c r="AB33" s="60"/>
      <c r="AC33" s="60"/>
      <c r="AD33" s="60"/>
      <c r="AE33" s="60"/>
      <c r="AF33" s="60"/>
    </row>
    <row r="34" spans="1:32" ht="21.25" customHeight="1" x14ac:dyDescent="0.15">
      <c r="A34" s="23"/>
      <c r="B34" s="57" t="str">
        <f>IFERROR(VLOOKUP($A34,'The List'!$B1:$AS727,3,FALSE)," ")</f>
        <v xml:space="preserve"> </v>
      </c>
      <c r="C34" s="61" t="str">
        <f>IFERROR(VLOOKUP($A34,'The List'!$B1:$AS727,4,FALSE)," ")</f>
        <v xml:space="preserve"> </v>
      </c>
      <c r="D34" s="35" t="str">
        <f>IFERROR(VLOOKUP($A34,'The List'!$B1:$AS727,5,FALSE)," ")</f>
        <v xml:space="preserve"> </v>
      </c>
      <c r="E34" s="35" t="str">
        <f>IFERROR(VLOOKUP($A34,'The List'!$B1:$AS727,6,FALSE)," ")</f>
        <v xml:space="preserve"> </v>
      </c>
      <c r="F34" s="52" t="str">
        <f>IFERROR(VLOOKUP($A34,'The List'!$B1:$AS727,8,FALSE)," ")</f>
        <v xml:space="preserve"> </v>
      </c>
      <c r="G34" s="52" t="str">
        <f>IFERROR(VLOOKUP($A34,'The List'!$B1:$AS727,10,FALSE)," ")</f>
        <v xml:space="preserve"> </v>
      </c>
      <c r="H34" s="39"/>
      <c r="I34" s="53" t="str">
        <f>IFERROR(VLOOKUP($A34,'The List'!$B1:$AS727,16,FALSE)," ")</f>
        <v xml:space="preserve"> </v>
      </c>
      <c r="J34" s="53" t="str">
        <f>IFERROR(VLOOKUP($A34,'The List'!$B1:$AS727,17,FALSE)," ")</f>
        <v xml:space="preserve"> </v>
      </c>
      <c r="K34" s="53" t="str">
        <f>IFERROR(VLOOKUP($A34,'The List'!$B1:$AS727,18,FALSE)," ")</f>
        <v xml:space="preserve"> </v>
      </c>
      <c r="L34" s="53" t="str">
        <f>IFERROR(VLOOKUP($A34,'The List'!$B1:$AS727,19,FALSE)," ")</f>
        <v xml:space="preserve"> </v>
      </c>
      <c r="M34" s="53" t="str">
        <f>IFERROR(VLOOKUP($A34,'The List'!$B1:$AS727,20,FALSE)," ")</f>
        <v xml:space="preserve"> </v>
      </c>
      <c r="N34" s="53" t="str">
        <f>IFERROR(VLOOKUP($A34,'The List'!$B1:$AS727,21,FALSE)," ")</f>
        <v xml:space="preserve"> </v>
      </c>
      <c r="O34" s="53" t="str">
        <f>IFERROR(VLOOKUP($A34,'The List'!$B1:$AS727,22,FALSE)," ")</f>
        <v xml:space="preserve"> </v>
      </c>
      <c r="P34" s="53" t="str">
        <f>IFERROR(VLOOKUP($A34,'The List'!$B1:$AS727,23,FALSE)," ")</f>
        <v xml:space="preserve"> </v>
      </c>
      <c r="Q34" s="53" t="str">
        <f>IFERROR(VLOOKUP($A34,'The List'!$B1:$AS727,24,FALSE)," ")</f>
        <v xml:space="preserve"> </v>
      </c>
      <c r="R34" s="53" t="str">
        <f>IFERROR(VLOOKUP($A34,'The List'!$B1:$AS727,25,FALSE)," ")</f>
        <v xml:space="preserve"> </v>
      </c>
      <c r="S34" s="53" t="str">
        <f>IFERROR(VLOOKUP($A34,'The List'!$B1:$AS727,26,FALSE)," ")</f>
        <v xml:space="preserve"> </v>
      </c>
      <c r="T34" s="53" t="str">
        <f>IFERROR(VLOOKUP($A34,'The List'!$B1:$AS727,27,FALSE)," ")</f>
        <v xml:space="preserve"> </v>
      </c>
      <c r="U34" s="53" t="str">
        <f>IFERROR(VLOOKUP($A34,'The List'!$B1:$AS727,28,FALSE)," ")</f>
        <v xml:space="preserve"> </v>
      </c>
      <c r="V34" s="53" t="str">
        <f>IFERROR(VLOOKUP($A34,'The List'!$B1:$AS727,29,FALSE)," ")</f>
        <v xml:space="preserve"> </v>
      </c>
      <c r="W34" s="53" t="str">
        <f>IFERROR(VLOOKUP($A34,'The List'!$B1:$AS727,30,FALSE)," ")</f>
        <v xml:space="preserve"> </v>
      </c>
      <c r="X34" s="53" t="str">
        <f>IFERROR(VLOOKUP($A34,'The List'!$B1:$AS727,31,FALSE)," ")</f>
        <v xml:space="preserve"> </v>
      </c>
      <c r="Y34" s="53" t="str">
        <f>IFERROR(VLOOKUP($A34,'The List'!$B1:$AS727,32,FALSE)," ")</f>
        <v xml:space="preserve"> </v>
      </c>
      <c r="Z34" s="53" t="str">
        <f>IFERROR(VLOOKUP($A34,'The List'!$B1:$AS727,33,FALSE)," ")</f>
        <v xml:space="preserve"> </v>
      </c>
      <c r="AA34" s="55"/>
      <c r="AB34" s="60"/>
      <c r="AC34" s="60"/>
      <c r="AD34" s="60"/>
      <c r="AE34" s="60"/>
      <c r="AF34" s="60"/>
    </row>
    <row r="35" spans="1:32" ht="21.25" customHeight="1" x14ac:dyDescent="0.15">
      <c r="A35" s="23"/>
      <c r="B35" s="62" t="str">
        <f>IFERROR(VLOOKUP($A35,'The List'!$B1:$AS727,3,FALSE)," ")</f>
        <v xml:space="preserve"> </v>
      </c>
      <c r="C35" s="64" t="str">
        <f>IFERROR(VLOOKUP($A35,'The List'!$B1:$AS727,4,FALSE)," ")</f>
        <v xml:space="preserve"> </v>
      </c>
      <c r="D35" s="35" t="str">
        <f>IFERROR(VLOOKUP($A35,'The List'!$B1:$AS727,5,FALSE)," ")</f>
        <v xml:space="preserve"> </v>
      </c>
      <c r="E35" s="35" t="str">
        <f>IFERROR(VLOOKUP($A35,'The List'!$B1:$AS727,6,FALSE)," ")</f>
        <v xml:space="preserve"> </v>
      </c>
      <c r="F35" s="52" t="str">
        <f>IFERROR(VLOOKUP($A35,'The List'!$B1:$AS727,8,FALSE)," ")</f>
        <v xml:space="preserve"> </v>
      </c>
      <c r="G35" s="52" t="str">
        <f>IFERROR(VLOOKUP($A35,'The List'!$B1:$AS727,10,FALSE)," ")</f>
        <v xml:space="preserve"> </v>
      </c>
      <c r="H35" s="39"/>
      <c r="I35" s="53" t="str">
        <f>IFERROR(VLOOKUP($A35,'The List'!$B1:$AS727,16,FALSE)," ")</f>
        <v xml:space="preserve"> </v>
      </c>
      <c r="J35" s="53" t="str">
        <f>IFERROR(VLOOKUP($A35,'The List'!$B1:$AS727,17,FALSE)," ")</f>
        <v xml:space="preserve"> </v>
      </c>
      <c r="K35" s="53" t="str">
        <f>IFERROR(VLOOKUP($A35,'The List'!$B1:$AS727,18,FALSE)," ")</f>
        <v xml:space="preserve"> </v>
      </c>
      <c r="L35" s="53" t="str">
        <f>IFERROR(VLOOKUP($A35,'The List'!$B1:$AS727,19,FALSE)," ")</f>
        <v xml:space="preserve"> </v>
      </c>
      <c r="M35" s="53" t="str">
        <f>IFERROR(VLOOKUP($A35,'The List'!$B1:$AS727,20,FALSE)," ")</f>
        <v xml:space="preserve"> </v>
      </c>
      <c r="N35" s="53" t="str">
        <f>IFERROR(VLOOKUP($A35,'The List'!$B1:$AS727,21,FALSE)," ")</f>
        <v xml:space="preserve"> </v>
      </c>
      <c r="O35" s="53" t="str">
        <f>IFERROR(VLOOKUP($A35,'The List'!$B1:$AS727,22,FALSE)," ")</f>
        <v xml:space="preserve"> </v>
      </c>
      <c r="P35" s="53" t="str">
        <f>IFERROR(VLOOKUP($A35,'The List'!$B1:$AS727,23,FALSE)," ")</f>
        <v xml:space="preserve"> </v>
      </c>
      <c r="Q35" s="53" t="str">
        <f>IFERROR(VLOOKUP($A35,'The List'!$B1:$AS727,24,FALSE)," ")</f>
        <v xml:space="preserve"> </v>
      </c>
      <c r="R35" s="53" t="str">
        <f>IFERROR(VLOOKUP($A35,'The List'!$B1:$AS727,25,FALSE)," ")</f>
        <v xml:space="preserve"> </v>
      </c>
      <c r="S35" s="53" t="str">
        <f>IFERROR(VLOOKUP($A35,'The List'!$B1:$AS727,26,FALSE)," ")</f>
        <v xml:space="preserve"> </v>
      </c>
      <c r="T35" s="53" t="str">
        <f>IFERROR(VLOOKUP($A35,'The List'!$B1:$AS727,27,FALSE)," ")</f>
        <v xml:space="preserve"> </v>
      </c>
      <c r="U35" s="53" t="str">
        <f>IFERROR(VLOOKUP($A35,'The List'!$B1:$AS727,28,FALSE)," ")</f>
        <v xml:space="preserve"> </v>
      </c>
      <c r="V35" s="53" t="str">
        <f>IFERROR(VLOOKUP($A35,'The List'!$B1:$AS727,29,FALSE)," ")</f>
        <v xml:space="preserve"> </v>
      </c>
      <c r="W35" s="53" t="str">
        <f>IFERROR(VLOOKUP($A35,'The List'!$B1:$AS727,30,FALSE)," ")</f>
        <v xml:space="preserve"> </v>
      </c>
      <c r="X35" s="53" t="str">
        <f>IFERROR(VLOOKUP($A35,'The List'!$B1:$AS727,31,FALSE)," ")</f>
        <v xml:space="preserve"> </v>
      </c>
      <c r="Y35" s="53" t="str">
        <f>IFERROR(VLOOKUP($A35,'The List'!$B1:$AS727,32,FALSE)," ")</f>
        <v xml:space="preserve"> </v>
      </c>
      <c r="Z35" s="53" t="str">
        <f>IFERROR(VLOOKUP($A35,'The List'!$B1:$AS727,33,FALSE)," ")</f>
        <v xml:space="preserve"> </v>
      </c>
      <c r="AA35" s="55"/>
      <c r="AB35" s="60"/>
      <c r="AC35" s="60"/>
      <c r="AD35" s="60"/>
      <c r="AE35" s="60"/>
      <c r="AF35" s="60"/>
    </row>
    <row r="36" spans="1:32" ht="21.25" customHeight="1" x14ac:dyDescent="0.15">
      <c r="A36" s="23"/>
      <c r="B36" s="62" t="str">
        <f>IFERROR(VLOOKUP($A36,'The List'!$B1:$AS727,3,FALSE)," ")</f>
        <v xml:space="preserve"> </v>
      </c>
      <c r="C36" s="64" t="str">
        <f>IFERROR(VLOOKUP($A36,'The List'!$B1:$AS727,4,FALSE)," ")</f>
        <v xml:space="preserve"> </v>
      </c>
      <c r="D36" s="35" t="str">
        <f>IFERROR(VLOOKUP($A36,'The List'!$B1:$AS727,5,FALSE)," ")</f>
        <v xml:space="preserve"> </v>
      </c>
      <c r="E36" s="35" t="str">
        <f>IFERROR(VLOOKUP($A36,'The List'!$B1:$AS727,6,FALSE)," ")</f>
        <v xml:space="preserve"> </v>
      </c>
      <c r="F36" s="52" t="str">
        <f>IFERROR(VLOOKUP($A36,'The List'!$B1:$AS727,8,FALSE)," ")</f>
        <v xml:space="preserve"> </v>
      </c>
      <c r="G36" s="52" t="str">
        <f>IFERROR(VLOOKUP($A36,'The List'!$B1:$AS727,10,FALSE)," ")</f>
        <v xml:space="preserve"> </v>
      </c>
      <c r="H36" s="39"/>
      <c r="I36" s="53" t="str">
        <f>IFERROR(VLOOKUP($A36,'The List'!$B1:$AS727,16,FALSE)," ")</f>
        <v xml:space="preserve"> </v>
      </c>
      <c r="J36" s="53" t="str">
        <f>IFERROR(VLOOKUP($A36,'The List'!$B1:$AS727,17,FALSE)," ")</f>
        <v xml:space="preserve"> </v>
      </c>
      <c r="K36" s="53" t="str">
        <f>IFERROR(VLOOKUP($A36,'The List'!$B1:$AS727,18,FALSE)," ")</f>
        <v xml:space="preserve"> </v>
      </c>
      <c r="L36" s="53" t="str">
        <f>IFERROR(VLOOKUP($A36,'The List'!$B1:$AS727,19,FALSE)," ")</f>
        <v xml:space="preserve"> </v>
      </c>
      <c r="M36" s="53" t="str">
        <f>IFERROR(VLOOKUP($A36,'The List'!$B1:$AS727,20,FALSE)," ")</f>
        <v xml:space="preserve"> </v>
      </c>
      <c r="N36" s="53" t="str">
        <f>IFERROR(VLOOKUP($A36,'The List'!$B1:$AS727,21,FALSE)," ")</f>
        <v xml:space="preserve"> </v>
      </c>
      <c r="O36" s="53" t="str">
        <f>IFERROR(VLOOKUP($A36,'The List'!$B1:$AS727,22,FALSE)," ")</f>
        <v xml:space="preserve"> </v>
      </c>
      <c r="P36" s="53" t="str">
        <f>IFERROR(VLOOKUP($A36,'The List'!$B1:$AS727,23,FALSE)," ")</f>
        <v xml:space="preserve"> </v>
      </c>
      <c r="Q36" s="53" t="str">
        <f>IFERROR(VLOOKUP($A36,'The List'!$B1:$AS727,24,FALSE)," ")</f>
        <v xml:space="preserve"> </v>
      </c>
      <c r="R36" s="53" t="str">
        <f>IFERROR(VLOOKUP($A36,'The List'!$B1:$AS727,25,FALSE)," ")</f>
        <v xml:space="preserve"> </v>
      </c>
      <c r="S36" s="53" t="str">
        <f>IFERROR(VLOOKUP($A36,'The List'!$B1:$AS727,26,FALSE)," ")</f>
        <v xml:space="preserve"> </v>
      </c>
      <c r="T36" s="53" t="str">
        <f>IFERROR(VLOOKUP($A36,'The List'!$B1:$AS727,27,FALSE)," ")</f>
        <v xml:space="preserve"> </v>
      </c>
      <c r="U36" s="53" t="str">
        <f>IFERROR(VLOOKUP($A36,'The List'!$B1:$AS727,28,FALSE)," ")</f>
        <v xml:space="preserve"> </v>
      </c>
      <c r="V36" s="53" t="str">
        <f>IFERROR(VLOOKUP($A36,'The List'!$B1:$AS727,29,FALSE)," ")</f>
        <v xml:space="preserve"> </v>
      </c>
      <c r="W36" s="53" t="str">
        <f>IFERROR(VLOOKUP($A36,'The List'!$B1:$AS727,30,FALSE)," ")</f>
        <v xml:space="preserve"> </v>
      </c>
      <c r="X36" s="53" t="str">
        <f>IFERROR(VLOOKUP($A36,'The List'!$B1:$AS727,31,FALSE)," ")</f>
        <v xml:space="preserve"> </v>
      </c>
      <c r="Y36" s="53" t="str">
        <f>IFERROR(VLOOKUP($A36,'The List'!$B1:$AS727,32,FALSE)," ")</f>
        <v xml:space="preserve"> </v>
      </c>
      <c r="Z36" s="53" t="str">
        <f>IFERROR(VLOOKUP($A36,'The List'!$B1:$AS727,33,FALSE)," ")</f>
        <v xml:space="preserve"> </v>
      </c>
      <c r="AA36" s="55"/>
      <c r="AB36" s="60"/>
      <c r="AC36" s="60"/>
      <c r="AD36" s="60"/>
      <c r="AE36" s="60"/>
      <c r="AF36" s="60"/>
    </row>
    <row r="37" spans="1:32" ht="21.25" customHeight="1" x14ac:dyDescent="0.15">
      <c r="A37" s="23"/>
      <c r="B37" s="62" t="str">
        <f>IFERROR(VLOOKUP($A37,'The List'!$B1:$AS727,3,FALSE)," ")</f>
        <v xml:space="preserve"> </v>
      </c>
      <c r="C37" s="64" t="str">
        <f>IFERROR(VLOOKUP($A37,'The List'!$B1:$AS727,4,FALSE)," ")</f>
        <v xml:space="preserve"> </v>
      </c>
      <c r="D37" s="35" t="str">
        <f>IFERROR(VLOOKUP($A37,'The List'!$B1:$AS727,5,FALSE)," ")</f>
        <v xml:space="preserve"> </v>
      </c>
      <c r="E37" s="35" t="str">
        <f>IFERROR(VLOOKUP($A37,'The List'!$B1:$AS727,6,FALSE)," ")</f>
        <v xml:space="preserve"> </v>
      </c>
      <c r="F37" s="52" t="str">
        <f>IFERROR(VLOOKUP($A37,'The List'!$B1:$AS727,8,FALSE)," ")</f>
        <v xml:space="preserve"> </v>
      </c>
      <c r="G37" s="52" t="str">
        <f>IFERROR(VLOOKUP($A37,'The List'!$B1:$AS727,10,FALSE)," ")</f>
        <v xml:space="preserve"> </v>
      </c>
      <c r="H37" s="39"/>
      <c r="I37" s="53" t="str">
        <f>IFERROR(VLOOKUP($A37,'The List'!$B1:$AS727,16,FALSE)," ")</f>
        <v xml:space="preserve"> </v>
      </c>
      <c r="J37" s="53" t="str">
        <f>IFERROR(VLOOKUP($A37,'The List'!$B1:$AS727,17,FALSE)," ")</f>
        <v xml:space="preserve"> </v>
      </c>
      <c r="K37" s="53" t="str">
        <f>IFERROR(VLOOKUP($A37,'The List'!$B1:$AS727,18,FALSE)," ")</f>
        <v xml:space="preserve"> </v>
      </c>
      <c r="L37" s="53" t="str">
        <f>IFERROR(VLOOKUP($A37,'The List'!$B1:$AS727,19,FALSE)," ")</f>
        <v xml:space="preserve"> </v>
      </c>
      <c r="M37" s="53" t="str">
        <f>IFERROR(VLOOKUP($A37,'The List'!$B1:$AS727,20,FALSE)," ")</f>
        <v xml:space="preserve"> </v>
      </c>
      <c r="N37" s="53" t="str">
        <f>IFERROR(VLOOKUP($A37,'The List'!$B1:$AS727,21,FALSE)," ")</f>
        <v xml:space="preserve"> </v>
      </c>
      <c r="O37" s="53" t="str">
        <f>IFERROR(VLOOKUP($A37,'The List'!$B1:$AS727,22,FALSE)," ")</f>
        <v xml:space="preserve"> </v>
      </c>
      <c r="P37" s="53" t="str">
        <f>IFERROR(VLOOKUP($A37,'The List'!$B1:$AS727,23,FALSE)," ")</f>
        <v xml:space="preserve"> </v>
      </c>
      <c r="Q37" s="53" t="str">
        <f>IFERROR(VLOOKUP($A37,'The List'!$B1:$AS727,24,FALSE)," ")</f>
        <v xml:space="preserve"> </v>
      </c>
      <c r="R37" s="53" t="str">
        <f>IFERROR(VLOOKUP($A37,'The List'!$B1:$AS727,25,FALSE)," ")</f>
        <v xml:space="preserve"> </v>
      </c>
      <c r="S37" s="53" t="str">
        <f>IFERROR(VLOOKUP($A37,'The List'!$B1:$AS727,26,FALSE)," ")</f>
        <v xml:space="preserve"> </v>
      </c>
      <c r="T37" s="53" t="str">
        <f>IFERROR(VLOOKUP($A37,'The List'!$B1:$AS727,27,FALSE)," ")</f>
        <v xml:space="preserve"> </v>
      </c>
      <c r="U37" s="53" t="str">
        <f>IFERROR(VLOOKUP($A37,'The List'!$B1:$AS727,28,FALSE)," ")</f>
        <v xml:space="preserve"> </v>
      </c>
      <c r="V37" s="53" t="str">
        <f>IFERROR(VLOOKUP($A37,'The List'!$B1:$AS727,29,FALSE)," ")</f>
        <v xml:space="preserve"> </v>
      </c>
      <c r="W37" s="53" t="str">
        <f>IFERROR(VLOOKUP($A37,'The List'!$B1:$AS727,30,FALSE)," ")</f>
        <v xml:space="preserve"> </v>
      </c>
      <c r="X37" s="53" t="str">
        <f>IFERROR(VLOOKUP($A37,'The List'!$B1:$AS727,31,FALSE)," ")</f>
        <v xml:space="preserve"> </v>
      </c>
      <c r="Y37" s="53" t="str">
        <f>IFERROR(VLOOKUP($A37,'The List'!$B1:$AS727,32,FALSE)," ")</f>
        <v xml:space="preserve"> </v>
      </c>
      <c r="Z37" s="53" t="str">
        <f>IFERROR(VLOOKUP($A37,'The List'!$B1:$AS727,33,FALSE)," ")</f>
        <v xml:space="preserve"> </v>
      </c>
      <c r="AA37" s="55"/>
      <c r="AB37" s="60"/>
      <c r="AC37" s="60"/>
      <c r="AD37" s="60"/>
      <c r="AE37" s="60"/>
      <c r="AF37" s="60"/>
    </row>
    <row r="38" spans="1:32" ht="21.25" customHeight="1" x14ac:dyDescent="0.15">
      <c r="A38" s="23"/>
      <c r="B38" s="62" t="str">
        <f>IFERROR(VLOOKUP($A38,'The List'!$B1:$AS727,3,FALSE)," ")</f>
        <v xml:space="preserve"> </v>
      </c>
      <c r="C38" s="64" t="str">
        <f>IFERROR(VLOOKUP($A38,'The List'!$B1:$AS727,4,FALSE)," ")</f>
        <v xml:space="preserve"> </v>
      </c>
      <c r="D38" s="35" t="str">
        <f>IFERROR(VLOOKUP($A38,'The List'!$B1:$AS727,5,FALSE)," ")</f>
        <v xml:space="preserve"> </v>
      </c>
      <c r="E38" s="35" t="str">
        <f>IFERROR(VLOOKUP($A38,'The List'!$B1:$AS727,6,FALSE)," ")</f>
        <v xml:space="preserve"> </v>
      </c>
      <c r="F38" s="52" t="str">
        <f>IFERROR(VLOOKUP($A38,'The List'!$B1:$AS727,8,FALSE)," ")</f>
        <v xml:space="preserve"> </v>
      </c>
      <c r="G38" s="52" t="str">
        <f>IFERROR(VLOOKUP($A38,'The List'!$B1:$AS727,10,FALSE)," ")</f>
        <v xml:space="preserve"> </v>
      </c>
      <c r="H38" s="39"/>
      <c r="I38" s="53" t="str">
        <f>IFERROR(VLOOKUP($A38,'The List'!$B1:$AS727,16,FALSE)," ")</f>
        <v xml:space="preserve"> </v>
      </c>
      <c r="J38" s="53" t="str">
        <f>IFERROR(VLOOKUP($A38,'The List'!$B1:$AS727,17,FALSE)," ")</f>
        <v xml:space="preserve"> </v>
      </c>
      <c r="K38" s="53" t="str">
        <f>IFERROR(VLOOKUP($A38,'The List'!$B1:$AS727,18,FALSE)," ")</f>
        <v xml:space="preserve"> </v>
      </c>
      <c r="L38" s="53" t="str">
        <f>IFERROR(VLOOKUP($A38,'The List'!$B1:$AS727,19,FALSE)," ")</f>
        <v xml:space="preserve"> </v>
      </c>
      <c r="M38" s="53" t="str">
        <f>IFERROR(VLOOKUP($A38,'The List'!$B1:$AS727,20,FALSE)," ")</f>
        <v xml:space="preserve"> </v>
      </c>
      <c r="N38" s="53" t="str">
        <f>IFERROR(VLOOKUP($A38,'The List'!$B1:$AS727,21,FALSE)," ")</f>
        <v xml:space="preserve"> </v>
      </c>
      <c r="O38" s="53" t="str">
        <f>IFERROR(VLOOKUP($A38,'The List'!$B1:$AS727,22,FALSE)," ")</f>
        <v xml:space="preserve"> </v>
      </c>
      <c r="P38" s="53" t="str">
        <f>IFERROR(VLOOKUP($A38,'The List'!$B1:$AS727,23,FALSE)," ")</f>
        <v xml:space="preserve"> </v>
      </c>
      <c r="Q38" s="53" t="str">
        <f>IFERROR(VLOOKUP($A38,'The List'!$B1:$AS727,24,FALSE)," ")</f>
        <v xml:space="preserve"> </v>
      </c>
      <c r="R38" s="53" t="str">
        <f>IFERROR(VLOOKUP($A38,'The List'!$B1:$AS727,25,FALSE)," ")</f>
        <v xml:space="preserve"> </v>
      </c>
      <c r="S38" s="53" t="str">
        <f>IFERROR(VLOOKUP($A38,'The List'!$B1:$AS727,26,FALSE)," ")</f>
        <v xml:space="preserve"> </v>
      </c>
      <c r="T38" s="53" t="str">
        <f>IFERROR(VLOOKUP($A38,'The List'!$B1:$AS727,27,FALSE)," ")</f>
        <v xml:space="preserve"> </v>
      </c>
      <c r="U38" s="53" t="str">
        <f>IFERROR(VLOOKUP($A38,'The List'!$B1:$AS727,28,FALSE)," ")</f>
        <v xml:space="preserve"> </v>
      </c>
      <c r="V38" s="53" t="str">
        <f>IFERROR(VLOOKUP($A38,'The List'!$B1:$AS727,29,FALSE)," ")</f>
        <v xml:space="preserve"> </v>
      </c>
      <c r="W38" s="53" t="str">
        <f>IFERROR(VLOOKUP($A38,'The List'!$B1:$AS727,30,FALSE)," ")</f>
        <v xml:space="preserve"> </v>
      </c>
      <c r="X38" s="53" t="str">
        <f>IFERROR(VLOOKUP($A38,'The List'!$B1:$AS727,31,FALSE)," ")</f>
        <v xml:space="preserve"> </v>
      </c>
      <c r="Y38" s="53" t="str">
        <f>IFERROR(VLOOKUP($A38,'The List'!$B1:$AS727,32,FALSE)," ")</f>
        <v xml:space="preserve"> </v>
      </c>
      <c r="Z38" s="53" t="str">
        <f>IFERROR(VLOOKUP($A38,'The List'!$B1:$AS727,33,FALSE)," ")</f>
        <v xml:space="preserve"> </v>
      </c>
      <c r="AA38" s="55"/>
      <c r="AB38" s="60"/>
      <c r="AC38" s="60"/>
      <c r="AD38" s="60"/>
      <c r="AE38" s="60"/>
      <c r="AF38" s="60"/>
    </row>
    <row r="39" spans="1:32" ht="21.25" customHeight="1" x14ac:dyDescent="0.15">
      <c r="A39" s="23"/>
      <c r="B39" s="65" t="str">
        <f>IFERROR(VLOOKUP($A39,'The List'!$B1:$AS727,3,FALSE)," ")</f>
        <v xml:space="preserve"> </v>
      </c>
      <c r="C39" s="67" t="str">
        <f>IFERROR(VLOOKUP($A39,'The List'!$B1:$AS727,4,FALSE)," ")</f>
        <v xml:space="preserve"> </v>
      </c>
      <c r="D39" s="35" t="str">
        <f>IFERROR(VLOOKUP($A39,'The List'!$B1:$AS727,5,FALSE)," ")</f>
        <v xml:space="preserve"> </v>
      </c>
      <c r="E39" s="35" t="str">
        <f>IFERROR(VLOOKUP($A39,'The List'!$B1:$AS727,6,FALSE)," ")</f>
        <v xml:space="preserve"> </v>
      </c>
      <c r="F39" s="52" t="str">
        <f>IFERROR(VLOOKUP($A39,'The List'!$B1:$AS727,8,FALSE)," ")</f>
        <v xml:space="preserve"> </v>
      </c>
      <c r="G39" s="52" t="str">
        <f>IFERROR(VLOOKUP($A39,'The List'!$B1:$AS727,10,FALSE)," ")</f>
        <v xml:space="preserve"> </v>
      </c>
      <c r="H39" s="39"/>
      <c r="I39" s="53" t="str">
        <f>IFERROR(VLOOKUP($A39,'The List'!$B1:$AS727,16,FALSE)," ")</f>
        <v xml:space="preserve"> </v>
      </c>
      <c r="J39" s="53" t="str">
        <f>IFERROR(VLOOKUP($A39,'The List'!$B1:$AS727,17,FALSE)," ")</f>
        <v xml:space="preserve"> </v>
      </c>
      <c r="K39" s="53" t="str">
        <f>IFERROR(VLOOKUP($A39,'The List'!$B1:$AS727,18,FALSE)," ")</f>
        <v xml:space="preserve"> </v>
      </c>
      <c r="L39" s="53" t="str">
        <f>IFERROR(VLOOKUP($A39,'The List'!$B1:$AS727,19,FALSE)," ")</f>
        <v xml:space="preserve"> </v>
      </c>
      <c r="M39" s="53" t="str">
        <f>IFERROR(VLOOKUP($A39,'The List'!$B1:$AS727,20,FALSE)," ")</f>
        <v xml:space="preserve"> </v>
      </c>
      <c r="N39" s="53" t="str">
        <f>IFERROR(VLOOKUP($A39,'The List'!$B1:$AS727,21,FALSE)," ")</f>
        <v xml:space="preserve"> </v>
      </c>
      <c r="O39" s="53" t="str">
        <f>IFERROR(VLOOKUP($A39,'The List'!$B1:$AS727,22,FALSE)," ")</f>
        <v xml:space="preserve"> </v>
      </c>
      <c r="P39" s="53" t="str">
        <f>IFERROR(VLOOKUP($A39,'The List'!$B1:$AS727,23,FALSE)," ")</f>
        <v xml:space="preserve"> </v>
      </c>
      <c r="Q39" s="53" t="str">
        <f>IFERROR(VLOOKUP($A39,'The List'!$B1:$AS727,24,FALSE)," ")</f>
        <v xml:space="preserve"> </v>
      </c>
      <c r="R39" s="53" t="str">
        <f>IFERROR(VLOOKUP($A39,'The List'!$B1:$AS727,25,FALSE)," ")</f>
        <v xml:space="preserve"> </v>
      </c>
      <c r="S39" s="53" t="str">
        <f>IFERROR(VLOOKUP($A39,'The List'!$B1:$AS727,26,FALSE)," ")</f>
        <v xml:space="preserve"> </v>
      </c>
      <c r="T39" s="53" t="str">
        <f>IFERROR(VLOOKUP($A39,'The List'!$B1:$AS727,27,FALSE)," ")</f>
        <v xml:space="preserve"> </v>
      </c>
      <c r="U39" s="53" t="str">
        <f>IFERROR(VLOOKUP($A39,'The List'!$B1:$AS727,28,FALSE)," ")</f>
        <v xml:space="preserve"> </v>
      </c>
      <c r="V39" s="53" t="str">
        <f>IFERROR(VLOOKUP($A39,'The List'!$B1:$AS727,29,FALSE)," ")</f>
        <v xml:space="preserve"> </v>
      </c>
      <c r="W39" s="53" t="str">
        <f>IFERROR(VLOOKUP($A39,'The List'!$B1:$AS727,30,FALSE)," ")</f>
        <v xml:space="preserve"> </v>
      </c>
      <c r="X39" s="53" t="str">
        <f>IFERROR(VLOOKUP($A39,'The List'!$B1:$AS727,31,FALSE)," ")</f>
        <v xml:space="preserve"> </v>
      </c>
      <c r="Y39" s="53" t="str">
        <f>IFERROR(VLOOKUP($A39,'The List'!$B1:$AS727,32,FALSE)," ")</f>
        <v xml:space="preserve"> </v>
      </c>
      <c r="Z39" s="53" t="str">
        <f>IFERROR(VLOOKUP($A39,'The List'!$B1:$AS727,33,FALSE)," ")</f>
        <v xml:space="preserve"> </v>
      </c>
      <c r="AA39" s="55"/>
      <c r="AB39" s="60"/>
      <c r="AC39" s="60"/>
      <c r="AD39" s="60"/>
      <c r="AE39" s="60"/>
      <c r="AF39" s="60"/>
    </row>
    <row r="40" spans="1:32" ht="21.25" customHeight="1" x14ac:dyDescent="0.15">
      <c r="A40" s="23"/>
      <c r="B40" s="65" t="str">
        <f>IFERROR(VLOOKUP($A40,'The List'!$B1:$AS727,3,FALSE)," ")</f>
        <v xml:space="preserve"> </v>
      </c>
      <c r="C40" s="67" t="str">
        <f>IFERROR(VLOOKUP($A40,'The List'!$B1:$AS727,4,FALSE)," ")</f>
        <v xml:space="preserve"> </v>
      </c>
      <c r="D40" s="35" t="str">
        <f>IFERROR(VLOOKUP($A40,'The List'!$B1:$AS727,5,FALSE)," ")</f>
        <v xml:space="preserve"> </v>
      </c>
      <c r="E40" s="35" t="str">
        <f>IFERROR(VLOOKUP($A40,'The List'!$B1:$AS727,6,FALSE)," ")</f>
        <v xml:space="preserve"> </v>
      </c>
      <c r="F40" s="52" t="str">
        <f>IFERROR(VLOOKUP($A40,'The List'!$B1:$AS727,8,FALSE)," ")</f>
        <v xml:space="preserve"> </v>
      </c>
      <c r="G40" s="52" t="str">
        <f>IFERROR(VLOOKUP($A40,'The List'!$B1:$AS727,10,FALSE)," ")</f>
        <v xml:space="preserve"> </v>
      </c>
      <c r="H40" s="39"/>
      <c r="I40" s="53" t="str">
        <f>IFERROR(VLOOKUP($A40,'The List'!$B1:$AS727,16,FALSE)," ")</f>
        <v xml:space="preserve"> </v>
      </c>
      <c r="J40" s="53" t="str">
        <f>IFERROR(VLOOKUP($A40,'The List'!$B1:$AS727,17,FALSE)," ")</f>
        <v xml:space="preserve"> </v>
      </c>
      <c r="K40" s="53" t="str">
        <f>IFERROR(VLOOKUP($A40,'The List'!$B1:$AS727,18,FALSE)," ")</f>
        <v xml:space="preserve"> </v>
      </c>
      <c r="L40" s="53" t="str">
        <f>IFERROR(VLOOKUP($A40,'The List'!$B1:$AS727,19,FALSE)," ")</f>
        <v xml:space="preserve"> </v>
      </c>
      <c r="M40" s="53" t="str">
        <f>IFERROR(VLOOKUP($A40,'The List'!$B1:$AS727,20,FALSE)," ")</f>
        <v xml:space="preserve"> </v>
      </c>
      <c r="N40" s="53" t="str">
        <f>IFERROR(VLOOKUP($A40,'The List'!$B1:$AS727,21,FALSE)," ")</f>
        <v xml:space="preserve"> </v>
      </c>
      <c r="O40" s="53" t="str">
        <f>IFERROR(VLOOKUP($A40,'The List'!$B1:$AS727,22,FALSE)," ")</f>
        <v xml:space="preserve"> </v>
      </c>
      <c r="P40" s="53" t="str">
        <f>IFERROR(VLOOKUP($A40,'The List'!$B1:$AS727,23,FALSE)," ")</f>
        <v xml:space="preserve"> </v>
      </c>
      <c r="Q40" s="53" t="str">
        <f>IFERROR(VLOOKUP($A40,'The List'!$B1:$AS727,24,FALSE)," ")</f>
        <v xml:space="preserve"> </v>
      </c>
      <c r="R40" s="53" t="str">
        <f>IFERROR(VLOOKUP($A40,'The List'!$B1:$AS727,25,FALSE)," ")</f>
        <v xml:space="preserve"> </v>
      </c>
      <c r="S40" s="53" t="str">
        <f>IFERROR(VLOOKUP($A40,'The List'!$B1:$AS727,26,FALSE)," ")</f>
        <v xml:space="preserve"> </v>
      </c>
      <c r="T40" s="53" t="str">
        <f>IFERROR(VLOOKUP($A40,'The List'!$B1:$AS727,27,FALSE)," ")</f>
        <v xml:space="preserve"> </v>
      </c>
      <c r="U40" s="53" t="str">
        <f>IFERROR(VLOOKUP($A40,'The List'!$B1:$AS727,28,FALSE)," ")</f>
        <v xml:space="preserve"> </v>
      </c>
      <c r="V40" s="53" t="str">
        <f>IFERROR(VLOOKUP($A40,'The List'!$B1:$AS727,29,FALSE)," ")</f>
        <v xml:space="preserve"> </v>
      </c>
      <c r="W40" s="53" t="str">
        <f>IFERROR(VLOOKUP($A40,'The List'!$B1:$AS727,30,FALSE)," ")</f>
        <v xml:space="preserve"> </v>
      </c>
      <c r="X40" s="53" t="str">
        <f>IFERROR(VLOOKUP($A40,'The List'!$B1:$AS727,31,FALSE)," ")</f>
        <v xml:space="preserve"> </v>
      </c>
      <c r="Y40" s="53" t="str">
        <f>IFERROR(VLOOKUP($A40,'The List'!$B1:$AS727,32,FALSE)," ")</f>
        <v xml:space="preserve"> </v>
      </c>
      <c r="Z40" s="53" t="str">
        <f>IFERROR(VLOOKUP($A40,'The List'!$B1:$AS727,33,FALSE)," ")</f>
        <v xml:space="preserve"> </v>
      </c>
      <c r="AA40" s="55"/>
      <c r="AB40" s="60"/>
      <c r="AC40" s="60"/>
      <c r="AD40" s="60"/>
      <c r="AE40" s="60"/>
      <c r="AF40" s="60"/>
    </row>
    <row r="41" spans="1:32" ht="21.25" customHeight="1" x14ac:dyDescent="0.15">
      <c r="A41" s="23"/>
      <c r="B41" s="65" t="str">
        <f>IFERROR(VLOOKUP($A41,'The List'!$B1:$AS727,3,FALSE)," ")</f>
        <v xml:space="preserve"> </v>
      </c>
      <c r="C41" s="67" t="str">
        <f>IFERROR(VLOOKUP($A41,'The List'!$B1:$AS727,4,FALSE)," ")</f>
        <v xml:space="preserve"> </v>
      </c>
      <c r="D41" s="35" t="str">
        <f>IFERROR(VLOOKUP($A41,'The List'!$B1:$AS727,5,FALSE)," ")</f>
        <v xml:space="preserve"> </v>
      </c>
      <c r="E41" s="35" t="str">
        <f>IFERROR(VLOOKUP($A41,'The List'!$B1:$AS727,6,FALSE)," ")</f>
        <v xml:space="preserve"> </v>
      </c>
      <c r="F41" s="52" t="str">
        <f>IFERROR(VLOOKUP($A41,'The List'!$B1:$AS727,8,FALSE)," ")</f>
        <v xml:space="preserve"> </v>
      </c>
      <c r="G41" s="52" t="str">
        <f>IFERROR(VLOOKUP($A41,'The List'!$B1:$AS727,10,FALSE)," ")</f>
        <v xml:space="preserve"> </v>
      </c>
      <c r="H41" s="39"/>
      <c r="I41" s="53" t="str">
        <f>IFERROR(VLOOKUP($A41,'The List'!$B1:$AS727,16,FALSE)," ")</f>
        <v xml:space="preserve"> </v>
      </c>
      <c r="J41" s="53" t="str">
        <f>IFERROR(VLOOKUP($A41,'The List'!$B1:$AS727,17,FALSE)," ")</f>
        <v xml:space="preserve"> </v>
      </c>
      <c r="K41" s="53" t="str">
        <f>IFERROR(VLOOKUP($A41,'The List'!$B1:$AS727,18,FALSE)," ")</f>
        <v xml:space="preserve"> </v>
      </c>
      <c r="L41" s="53" t="str">
        <f>IFERROR(VLOOKUP($A41,'The List'!$B1:$AS727,19,FALSE)," ")</f>
        <v xml:space="preserve"> </v>
      </c>
      <c r="M41" s="53" t="str">
        <f>IFERROR(VLOOKUP($A41,'The List'!$B1:$AS727,20,FALSE)," ")</f>
        <v xml:space="preserve"> </v>
      </c>
      <c r="N41" s="53" t="str">
        <f>IFERROR(VLOOKUP($A41,'The List'!$B1:$AS727,21,FALSE)," ")</f>
        <v xml:space="preserve"> </v>
      </c>
      <c r="O41" s="53" t="str">
        <f>IFERROR(VLOOKUP($A41,'The List'!$B1:$AS727,22,FALSE)," ")</f>
        <v xml:space="preserve"> </v>
      </c>
      <c r="P41" s="53" t="str">
        <f>IFERROR(VLOOKUP($A41,'The List'!$B1:$AS727,23,FALSE)," ")</f>
        <v xml:space="preserve"> </v>
      </c>
      <c r="Q41" s="53" t="str">
        <f>IFERROR(VLOOKUP($A41,'The List'!$B1:$AS727,24,FALSE)," ")</f>
        <v xml:space="preserve"> </v>
      </c>
      <c r="R41" s="53" t="str">
        <f>IFERROR(VLOOKUP($A41,'The List'!$B1:$AS727,25,FALSE)," ")</f>
        <v xml:space="preserve"> </v>
      </c>
      <c r="S41" s="53" t="str">
        <f>IFERROR(VLOOKUP($A41,'The List'!$B1:$AS727,26,FALSE)," ")</f>
        <v xml:space="preserve"> </v>
      </c>
      <c r="T41" s="53" t="str">
        <f>IFERROR(VLOOKUP($A41,'The List'!$B1:$AS727,27,FALSE)," ")</f>
        <v xml:space="preserve"> </v>
      </c>
      <c r="U41" s="53" t="str">
        <f>IFERROR(VLOOKUP($A41,'The List'!$B1:$AS727,28,FALSE)," ")</f>
        <v xml:space="preserve"> </v>
      </c>
      <c r="V41" s="53" t="str">
        <f>IFERROR(VLOOKUP($A41,'The List'!$B1:$AS727,29,FALSE)," ")</f>
        <v xml:space="preserve"> </v>
      </c>
      <c r="W41" s="53" t="str">
        <f>IFERROR(VLOOKUP($A41,'The List'!$B1:$AS727,30,FALSE)," ")</f>
        <v xml:space="preserve"> </v>
      </c>
      <c r="X41" s="53" t="str">
        <f>IFERROR(VLOOKUP($A41,'The List'!$B1:$AS727,31,FALSE)," ")</f>
        <v xml:space="preserve"> </v>
      </c>
      <c r="Y41" s="53" t="str">
        <f>IFERROR(VLOOKUP($A41,'The List'!$B1:$AS727,32,FALSE)," ")</f>
        <v xml:space="preserve"> </v>
      </c>
      <c r="Z41" s="53" t="str">
        <f>IFERROR(VLOOKUP($A41,'The List'!$B1:$AS727,33,FALSE)," ")</f>
        <v xml:space="preserve"> </v>
      </c>
      <c r="AA41" s="55"/>
      <c r="AB41" s="60"/>
      <c r="AC41" s="60"/>
      <c r="AD41" s="60"/>
      <c r="AE41" s="60"/>
      <c r="AF41" s="60"/>
    </row>
    <row r="42" spans="1:32" ht="21.25" customHeight="1" x14ac:dyDescent="0.15">
      <c r="A42" s="23"/>
      <c r="B42" s="65" t="str">
        <f>IFERROR(VLOOKUP($A42,'The List'!$B1:$AS727,3,FALSE)," ")</f>
        <v xml:space="preserve"> </v>
      </c>
      <c r="C42" s="67" t="str">
        <f>IFERROR(VLOOKUP($A42,'The List'!$B1:$AS727,4,FALSE)," ")</f>
        <v xml:space="preserve"> </v>
      </c>
      <c r="D42" s="35" t="str">
        <f>IFERROR(VLOOKUP($A42,'The List'!$B1:$AS727,5,FALSE)," ")</f>
        <v xml:space="preserve"> </v>
      </c>
      <c r="E42" s="35" t="str">
        <f>IFERROR(VLOOKUP($A42,'The List'!$B1:$AS727,6,FALSE)," ")</f>
        <v xml:space="preserve"> </v>
      </c>
      <c r="F42" s="52" t="str">
        <f>IFERROR(VLOOKUP($A42,'The List'!$B1:$AS727,8,FALSE)," ")</f>
        <v xml:space="preserve"> </v>
      </c>
      <c r="G42" s="52" t="str">
        <f>IFERROR(VLOOKUP($A42,'The List'!$B1:$AS727,10,FALSE)," ")</f>
        <v xml:space="preserve"> </v>
      </c>
      <c r="H42" s="39"/>
      <c r="I42" s="53" t="str">
        <f>IFERROR(VLOOKUP($A42,'The List'!$B1:$AS727,16,FALSE)," ")</f>
        <v xml:space="preserve"> </v>
      </c>
      <c r="J42" s="53" t="str">
        <f>IFERROR(VLOOKUP($A42,'The List'!$B1:$AS727,17,FALSE)," ")</f>
        <v xml:space="preserve"> </v>
      </c>
      <c r="K42" s="53" t="str">
        <f>IFERROR(VLOOKUP($A42,'The List'!$B1:$AS727,18,FALSE)," ")</f>
        <v xml:space="preserve"> </v>
      </c>
      <c r="L42" s="53" t="str">
        <f>IFERROR(VLOOKUP($A42,'The List'!$B1:$AS727,19,FALSE)," ")</f>
        <v xml:space="preserve"> </v>
      </c>
      <c r="M42" s="53" t="str">
        <f>IFERROR(VLOOKUP($A42,'The List'!$B1:$AS727,20,FALSE)," ")</f>
        <v xml:space="preserve"> </v>
      </c>
      <c r="N42" s="53" t="str">
        <f>IFERROR(VLOOKUP($A42,'The List'!$B1:$AS727,21,FALSE)," ")</f>
        <v xml:space="preserve"> </v>
      </c>
      <c r="O42" s="53" t="str">
        <f>IFERROR(VLOOKUP($A42,'The List'!$B1:$AS727,22,FALSE)," ")</f>
        <v xml:space="preserve"> </v>
      </c>
      <c r="P42" s="53" t="str">
        <f>IFERROR(VLOOKUP($A42,'The List'!$B1:$AS727,23,FALSE)," ")</f>
        <v xml:space="preserve"> </v>
      </c>
      <c r="Q42" s="53" t="str">
        <f>IFERROR(VLOOKUP($A42,'The List'!$B1:$AS727,24,FALSE)," ")</f>
        <v xml:space="preserve"> </v>
      </c>
      <c r="R42" s="53" t="str">
        <f>IFERROR(VLOOKUP($A42,'The List'!$B1:$AS727,25,FALSE)," ")</f>
        <v xml:space="preserve"> </v>
      </c>
      <c r="S42" s="53" t="str">
        <f>IFERROR(VLOOKUP($A42,'The List'!$B1:$AS727,26,FALSE)," ")</f>
        <v xml:space="preserve"> </v>
      </c>
      <c r="T42" s="53" t="str">
        <f>IFERROR(VLOOKUP($A42,'The List'!$B1:$AS727,27,FALSE)," ")</f>
        <v xml:space="preserve"> </v>
      </c>
      <c r="U42" s="53" t="str">
        <f>IFERROR(VLOOKUP($A42,'The List'!$B1:$AS727,28,FALSE)," ")</f>
        <v xml:space="preserve"> </v>
      </c>
      <c r="V42" s="53" t="str">
        <f>IFERROR(VLOOKUP($A42,'The List'!$B1:$AS727,29,FALSE)," ")</f>
        <v xml:space="preserve"> </v>
      </c>
      <c r="W42" s="53" t="str">
        <f>IFERROR(VLOOKUP($A42,'The List'!$B1:$AS727,30,FALSE)," ")</f>
        <v xml:space="preserve"> </v>
      </c>
      <c r="X42" s="53" t="str">
        <f>IFERROR(VLOOKUP($A42,'The List'!$B1:$AS727,31,FALSE)," ")</f>
        <v xml:space="preserve"> </v>
      </c>
      <c r="Y42" s="53" t="str">
        <f>IFERROR(VLOOKUP($A42,'The List'!$B1:$AS727,32,FALSE)," ")</f>
        <v xml:space="preserve"> </v>
      </c>
      <c r="Z42" s="53" t="str">
        <f>IFERROR(VLOOKUP($A42,'The List'!$B1:$AS727,33,FALSE)," ")</f>
        <v xml:space="preserve"> </v>
      </c>
      <c r="AA42" s="55"/>
      <c r="AB42" s="60"/>
      <c r="AC42" s="60"/>
      <c r="AD42" s="60"/>
      <c r="AE42" s="60"/>
      <c r="AF42" s="60"/>
    </row>
    <row r="43" spans="1:32" ht="21.25" customHeight="1" x14ac:dyDescent="0.15">
      <c r="A43" s="23"/>
      <c r="B43" s="68" t="str">
        <f>IFERROR(VLOOKUP($A43,'The List'!$B1:$AS727,3,FALSE)," ")</f>
        <v xml:space="preserve"> </v>
      </c>
      <c r="C43" s="70" t="str">
        <f>IFERROR(VLOOKUP($A43,'The List'!$B1:$AS727,4,FALSE)," ")</f>
        <v xml:space="preserve"> </v>
      </c>
      <c r="D43" s="35" t="str">
        <f>IFERROR(VLOOKUP($A43,'The List'!$B1:$AS727,5,FALSE)," ")</f>
        <v xml:space="preserve"> </v>
      </c>
      <c r="E43" s="35" t="str">
        <f>IFERROR(VLOOKUP($A43,'The List'!$B1:$AS727,6,FALSE)," ")</f>
        <v xml:space="preserve"> </v>
      </c>
      <c r="F43" s="52" t="str">
        <f>IFERROR(VLOOKUP($A43,'The List'!$B1:$AS727,8,FALSE)," ")</f>
        <v xml:space="preserve"> </v>
      </c>
      <c r="G43" s="52" t="str">
        <f>IFERROR(VLOOKUP($A43,'The List'!$B1:$AS727,10,FALSE)," ")</f>
        <v xml:space="preserve"> </v>
      </c>
      <c r="H43" s="39"/>
      <c r="I43" s="53" t="str">
        <f>IFERROR(VLOOKUP($A43,'The List'!$B1:$AS727,16,FALSE)," ")</f>
        <v xml:space="preserve"> </v>
      </c>
      <c r="J43" s="53" t="str">
        <f>IFERROR(VLOOKUP($A43,'The List'!$B1:$AS727,17,FALSE)," ")</f>
        <v xml:space="preserve"> </v>
      </c>
      <c r="K43" s="53" t="str">
        <f>IFERROR(VLOOKUP($A43,'The List'!$B1:$AS727,18,FALSE)," ")</f>
        <v xml:space="preserve"> </v>
      </c>
      <c r="L43" s="53" t="str">
        <f>IFERROR(VLOOKUP($A43,'The List'!$B1:$AS727,19,FALSE)," ")</f>
        <v xml:space="preserve"> </v>
      </c>
      <c r="M43" s="53" t="str">
        <f>IFERROR(VLOOKUP($A43,'The List'!$B1:$AS727,20,FALSE)," ")</f>
        <v xml:space="preserve"> </v>
      </c>
      <c r="N43" s="53" t="str">
        <f>IFERROR(VLOOKUP($A43,'The List'!$B1:$AS727,21,FALSE)," ")</f>
        <v xml:space="preserve"> </v>
      </c>
      <c r="O43" s="53" t="str">
        <f>IFERROR(VLOOKUP($A43,'The List'!$B1:$AS727,22,FALSE)," ")</f>
        <v xml:space="preserve"> </v>
      </c>
      <c r="P43" s="53" t="str">
        <f>IFERROR(VLOOKUP($A43,'The List'!$B1:$AS727,23,FALSE)," ")</f>
        <v xml:space="preserve"> </v>
      </c>
      <c r="Q43" s="53" t="str">
        <f>IFERROR(VLOOKUP($A43,'The List'!$B1:$AS727,24,FALSE)," ")</f>
        <v xml:space="preserve"> </v>
      </c>
      <c r="R43" s="53" t="str">
        <f>IFERROR(VLOOKUP($A43,'The List'!$B1:$AS727,25,FALSE)," ")</f>
        <v xml:space="preserve"> </v>
      </c>
      <c r="S43" s="53" t="str">
        <f>IFERROR(VLOOKUP($A43,'The List'!$B1:$AS727,26,FALSE)," ")</f>
        <v xml:space="preserve"> </v>
      </c>
      <c r="T43" s="53" t="str">
        <f>IFERROR(VLOOKUP($A43,'The List'!$B1:$AS727,27,FALSE)," ")</f>
        <v xml:space="preserve"> </v>
      </c>
      <c r="U43" s="53" t="str">
        <f>IFERROR(VLOOKUP($A43,'The List'!$B1:$AS727,28,FALSE)," ")</f>
        <v xml:space="preserve"> </v>
      </c>
      <c r="V43" s="53" t="str">
        <f>IFERROR(VLOOKUP($A43,'The List'!$B1:$AS727,29,FALSE)," ")</f>
        <v xml:space="preserve"> </v>
      </c>
      <c r="W43" s="53" t="str">
        <f>IFERROR(VLOOKUP($A43,'The List'!$B1:$AS727,30,FALSE)," ")</f>
        <v xml:space="preserve"> </v>
      </c>
      <c r="X43" s="53" t="str">
        <f>IFERROR(VLOOKUP($A43,'The List'!$B1:$AS727,31,FALSE)," ")</f>
        <v xml:space="preserve"> </v>
      </c>
      <c r="Y43" s="53" t="str">
        <f>IFERROR(VLOOKUP($A43,'The List'!$B1:$AS727,32,FALSE)," ")</f>
        <v xml:space="preserve"> </v>
      </c>
      <c r="Z43" s="53" t="str">
        <f>IFERROR(VLOOKUP($A43,'The List'!$B1:$AS727,33,FALSE)," ")</f>
        <v xml:space="preserve"> </v>
      </c>
      <c r="AA43" s="55"/>
      <c r="AB43" s="60"/>
      <c r="AC43" s="60"/>
      <c r="AD43" s="60"/>
      <c r="AE43" s="60"/>
      <c r="AF43" s="60"/>
    </row>
    <row r="44" spans="1:32" ht="21.25" customHeight="1" x14ac:dyDescent="0.15">
      <c r="A44" s="23"/>
      <c r="B44" s="68" t="str">
        <f>IFERROR(VLOOKUP($A44,'The List'!$B1:$AS727,3,FALSE)," ")</f>
        <v xml:space="preserve"> </v>
      </c>
      <c r="C44" s="70" t="str">
        <f>IFERROR(VLOOKUP($A44,'The List'!$B1:$AS727,4,FALSE)," ")</f>
        <v xml:space="preserve"> </v>
      </c>
      <c r="D44" s="35" t="str">
        <f>IFERROR(VLOOKUP($A44,'The List'!$B1:$AS727,5,FALSE)," ")</f>
        <v xml:space="preserve"> </v>
      </c>
      <c r="E44" s="35" t="str">
        <f>IFERROR(VLOOKUP($A44,'The List'!$B1:$AS727,6,FALSE)," ")</f>
        <v xml:space="preserve"> </v>
      </c>
      <c r="F44" s="52" t="str">
        <f>IFERROR(VLOOKUP($A44,'The List'!$B1:$AS727,8,FALSE)," ")</f>
        <v xml:space="preserve"> </v>
      </c>
      <c r="G44" s="52" t="str">
        <f>IFERROR(VLOOKUP($A44,'The List'!$B1:$AS727,10,FALSE)," ")</f>
        <v xml:space="preserve"> </v>
      </c>
      <c r="H44" s="39"/>
      <c r="I44" s="53" t="str">
        <f>IFERROR(VLOOKUP($A44,'The List'!$B1:$AS727,16,FALSE)," ")</f>
        <v xml:space="preserve"> </v>
      </c>
      <c r="J44" s="53" t="str">
        <f>IFERROR(VLOOKUP($A44,'The List'!$B1:$AS727,17,FALSE)," ")</f>
        <v xml:space="preserve"> </v>
      </c>
      <c r="K44" s="53" t="str">
        <f>IFERROR(VLOOKUP($A44,'The List'!$B1:$AS727,18,FALSE)," ")</f>
        <v xml:space="preserve"> </v>
      </c>
      <c r="L44" s="53" t="str">
        <f>IFERROR(VLOOKUP($A44,'The List'!$B1:$AS727,19,FALSE)," ")</f>
        <v xml:space="preserve"> </v>
      </c>
      <c r="M44" s="53" t="str">
        <f>IFERROR(VLOOKUP($A44,'The List'!$B1:$AS727,20,FALSE)," ")</f>
        <v xml:space="preserve"> </v>
      </c>
      <c r="N44" s="53" t="str">
        <f>IFERROR(VLOOKUP($A44,'The List'!$B1:$AS727,21,FALSE)," ")</f>
        <v xml:space="preserve"> </v>
      </c>
      <c r="O44" s="53" t="str">
        <f>IFERROR(VLOOKUP($A44,'The List'!$B1:$AS727,22,FALSE)," ")</f>
        <v xml:space="preserve"> </v>
      </c>
      <c r="P44" s="53" t="str">
        <f>IFERROR(VLOOKUP($A44,'The List'!$B1:$AS727,23,FALSE)," ")</f>
        <v xml:space="preserve"> </v>
      </c>
      <c r="Q44" s="53" t="str">
        <f>IFERROR(VLOOKUP($A44,'The List'!$B1:$AS727,24,FALSE)," ")</f>
        <v xml:space="preserve"> </v>
      </c>
      <c r="R44" s="53" t="str">
        <f>IFERROR(VLOOKUP($A44,'The List'!$B1:$AS727,25,FALSE)," ")</f>
        <v xml:space="preserve"> </v>
      </c>
      <c r="S44" s="53" t="str">
        <f>IFERROR(VLOOKUP($A44,'The List'!$B1:$AS727,26,FALSE)," ")</f>
        <v xml:space="preserve"> </v>
      </c>
      <c r="T44" s="53" t="str">
        <f>IFERROR(VLOOKUP($A44,'The List'!$B1:$AS727,27,FALSE)," ")</f>
        <v xml:space="preserve"> </v>
      </c>
      <c r="U44" s="53" t="str">
        <f>IFERROR(VLOOKUP($A44,'The List'!$B1:$AS727,28,FALSE)," ")</f>
        <v xml:space="preserve"> </v>
      </c>
      <c r="V44" s="53" t="str">
        <f>IFERROR(VLOOKUP($A44,'The List'!$B1:$AS727,29,FALSE)," ")</f>
        <v xml:space="preserve"> </v>
      </c>
      <c r="W44" s="53" t="str">
        <f>IFERROR(VLOOKUP($A44,'The List'!$B1:$AS727,30,FALSE)," ")</f>
        <v xml:space="preserve"> </v>
      </c>
      <c r="X44" s="53" t="str">
        <f>IFERROR(VLOOKUP($A44,'The List'!$B1:$AS727,31,FALSE)," ")</f>
        <v xml:space="preserve"> </v>
      </c>
      <c r="Y44" s="53" t="str">
        <f>IFERROR(VLOOKUP($A44,'The List'!$B1:$AS727,32,FALSE)," ")</f>
        <v xml:space="preserve"> </v>
      </c>
      <c r="Z44" s="53" t="str">
        <f>IFERROR(VLOOKUP($A44,'The List'!$B1:$AS727,33,FALSE)," ")</f>
        <v xml:space="preserve"> </v>
      </c>
      <c r="AA44" s="55"/>
      <c r="AB44" s="60"/>
      <c r="AC44" s="60"/>
      <c r="AD44" s="60"/>
      <c r="AE44" s="60"/>
      <c r="AF44" s="60"/>
    </row>
    <row r="45" spans="1:32" ht="21.25" customHeight="1" x14ac:dyDescent="0.15">
      <c r="A45" s="23"/>
      <c r="B45" s="68" t="str">
        <f>IFERROR(VLOOKUP($A45,'The List'!$B1:$AS727,3,FALSE)," ")</f>
        <v xml:space="preserve"> </v>
      </c>
      <c r="C45" s="70" t="str">
        <f>IFERROR(VLOOKUP($A45,'The List'!$B1:$AS727,4,FALSE)," ")</f>
        <v xml:space="preserve"> </v>
      </c>
      <c r="D45" s="35" t="str">
        <f>IFERROR(VLOOKUP($A45,'The List'!$B1:$AS727,5,FALSE)," ")</f>
        <v xml:space="preserve"> </v>
      </c>
      <c r="E45" s="35" t="str">
        <f>IFERROR(VLOOKUP($A45,'The List'!$B1:$AS727,6,FALSE)," ")</f>
        <v xml:space="preserve"> </v>
      </c>
      <c r="F45" s="52" t="str">
        <f>IFERROR(VLOOKUP($A45,'The List'!$B1:$AS727,8,FALSE)," ")</f>
        <v xml:space="preserve"> </v>
      </c>
      <c r="G45" s="52" t="str">
        <f>IFERROR(VLOOKUP($A45,'The List'!$B1:$AS727,10,FALSE)," ")</f>
        <v xml:space="preserve"> </v>
      </c>
      <c r="H45" s="39"/>
      <c r="I45" s="53" t="str">
        <f>IFERROR(VLOOKUP($A45,'The List'!$B1:$AS727,16,FALSE)," ")</f>
        <v xml:space="preserve"> </v>
      </c>
      <c r="J45" s="53" t="str">
        <f>IFERROR(VLOOKUP($A45,'The List'!$B1:$AS727,17,FALSE)," ")</f>
        <v xml:space="preserve"> </v>
      </c>
      <c r="K45" s="53" t="str">
        <f>IFERROR(VLOOKUP($A45,'The List'!$B1:$AS727,18,FALSE)," ")</f>
        <v xml:space="preserve"> </v>
      </c>
      <c r="L45" s="53" t="str">
        <f>IFERROR(VLOOKUP($A45,'The List'!$B1:$AS727,19,FALSE)," ")</f>
        <v xml:space="preserve"> </v>
      </c>
      <c r="M45" s="53" t="str">
        <f>IFERROR(VLOOKUP($A45,'The List'!$B1:$AS727,20,FALSE)," ")</f>
        <v xml:space="preserve"> </v>
      </c>
      <c r="N45" s="53" t="str">
        <f>IFERROR(VLOOKUP($A45,'The List'!$B1:$AS727,21,FALSE)," ")</f>
        <v xml:space="preserve"> </v>
      </c>
      <c r="O45" s="53" t="str">
        <f>IFERROR(VLOOKUP($A45,'The List'!$B1:$AS727,22,FALSE)," ")</f>
        <v xml:space="preserve"> </v>
      </c>
      <c r="P45" s="53" t="str">
        <f>IFERROR(VLOOKUP($A45,'The List'!$B1:$AS727,23,FALSE)," ")</f>
        <v xml:space="preserve"> </v>
      </c>
      <c r="Q45" s="53" t="str">
        <f>IFERROR(VLOOKUP($A45,'The List'!$B1:$AS727,24,FALSE)," ")</f>
        <v xml:space="preserve"> </v>
      </c>
      <c r="R45" s="53" t="str">
        <f>IFERROR(VLOOKUP($A45,'The List'!$B1:$AS727,25,FALSE)," ")</f>
        <v xml:space="preserve"> </v>
      </c>
      <c r="S45" s="53" t="str">
        <f>IFERROR(VLOOKUP($A45,'The List'!$B1:$AS727,26,FALSE)," ")</f>
        <v xml:space="preserve"> </v>
      </c>
      <c r="T45" s="53" t="str">
        <f>IFERROR(VLOOKUP($A45,'The List'!$B1:$AS727,27,FALSE)," ")</f>
        <v xml:space="preserve"> </v>
      </c>
      <c r="U45" s="53" t="str">
        <f>IFERROR(VLOOKUP($A45,'The List'!$B1:$AS727,28,FALSE)," ")</f>
        <v xml:space="preserve"> </v>
      </c>
      <c r="V45" s="53" t="str">
        <f>IFERROR(VLOOKUP($A45,'The List'!$B1:$AS727,29,FALSE)," ")</f>
        <v xml:space="preserve"> </v>
      </c>
      <c r="W45" s="53" t="str">
        <f>IFERROR(VLOOKUP($A45,'The List'!$B1:$AS727,30,FALSE)," ")</f>
        <v xml:space="preserve"> </v>
      </c>
      <c r="X45" s="53" t="str">
        <f>IFERROR(VLOOKUP($A45,'The List'!$B1:$AS727,31,FALSE)," ")</f>
        <v xml:space="preserve"> </v>
      </c>
      <c r="Y45" s="53" t="str">
        <f>IFERROR(VLOOKUP($A45,'The List'!$B1:$AS727,32,FALSE)," ")</f>
        <v xml:space="preserve"> </v>
      </c>
      <c r="Z45" s="53" t="str">
        <f>IFERROR(VLOOKUP($A45,'The List'!$B1:$AS727,33,FALSE)," ")</f>
        <v xml:space="preserve"> </v>
      </c>
      <c r="AA45" s="55"/>
      <c r="AB45" s="60"/>
      <c r="AC45" s="60"/>
      <c r="AD45" s="60"/>
      <c r="AE45" s="60"/>
      <c r="AF45" s="60"/>
    </row>
    <row r="46" spans="1:32" ht="21.25" customHeight="1" x14ac:dyDescent="0.15">
      <c r="A46" s="23"/>
      <c r="B46" s="68" t="str">
        <f>IFERROR(VLOOKUP($A46,'The List'!$B1:$AS727,3,FALSE)," ")</f>
        <v xml:space="preserve"> </v>
      </c>
      <c r="C46" s="70" t="str">
        <f>IFERROR(VLOOKUP($A46,'The List'!$B1:$AS727,4,FALSE)," ")</f>
        <v xml:space="preserve"> </v>
      </c>
      <c r="D46" s="35" t="str">
        <f>IFERROR(VLOOKUP($A46,'The List'!$B1:$AS727,5,FALSE)," ")</f>
        <v xml:space="preserve"> </v>
      </c>
      <c r="E46" s="35" t="str">
        <f>IFERROR(VLOOKUP($A46,'The List'!$B1:$AS727,6,FALSE)," ")</f>
        <v xml:space="preserve"> </v>
      </c>
      <c r="F46" s="52" t="str">
        <f>IFERROR(VLOOKUP($A46,'The List'!$B1:$AS727,8,FALSE)," ")</f>
        <v xml:space="preserve"> </v>
      </c>
      <c r="G46" s="52" t="str">
        <f>IFERROR(VLOOKUP($A46,'The List'!$B1:$AS727,10,FALSE)," ")</f>
        <v xml:space="preserve"> </v>
      </c>
      <c r="H46" s="39"/>
      <c r="I46" s="53" t="str">
        <f>IFERROR(VLOOKUP($A46,'The List'!$B1:$AS727,16,FALSE)," ")</f>
        <v xml:space="preserve"> </v>
      </c>
      <c r="J46" s="53" t="str">
        <f>IFERROR(VLOOKUP($A46,'The List'!$B1:$AS727,17,FALSE)," ")</f>
        <v xml:space="preserve"> </v>
      </c>
      <c r="K46" s="53" t="str">
        <f>IFERROR(VLOOKUP($A46,'The List'!$B1:$AS727,18,FALSE)," ")</f>
        <v xml:space="preserve"> </v>
      </c>
      <c r="L46" s="53" t="str">
        <f>IFERROR(VLOOKUP($A46,'The List'!$B1:$AS727,19,FALSE)," ")</f>
        <v xml:space="preserve"> </v>
      </c>
      <c r="M46" s="53" t="str">
        <f>IFERROR(VLOOKUP($A46,'The List'!$B1:$AS727,20,FALSE)," ")</f>
        <v xml:space="preserve"> </v>
      </c>
      <c r="N46" s="53" t="str">
        <f>IFERROR(VLOOKUP($A46,'The List'!$B1:$AS727,21,FALSE)," ")</f>
        <v xml:space="preserve"> </v>
      </c>
      <c r="O46" s="53" t="str">
        <f>IFERROR(VLOOKUP($A46,'The List'!$B1:$AS727,22,FALSE)," ")</f>
        <v xml:space="preserve"> </v>
      </c>
      <c r="P46" s="53" t="str">
        <f>IFERROR(VLOOKUP($A46,'The List'!$B1:$AS727,23,FALSE)," ")</f>
        <v xml:space="preserve"> </v>
      </c>
      <c r="Q46" s="53" t="str">
        <f>IFERROR(VLOOKUP($A46,'The List'!$B1:$AS727,24,FALSE)," ")</f>
        <v xml:space="preserve"> </v>
      </c>
      <c r="R46" s="53" t="str">
        <f>IFERROR(VLOOKUP($A46,'The List'!$B1:$AS727,25,FALSE)," ")</f>
        <v xml:space="preserve"> </v>
      </c>
      <c r="S46" s="53" t="str">
        <f>IFERROR(VLOOKUP($A46,'The List'!$B1:$AS727,26,FALSE)," ")</f>
        <v xml:space="preserve"> </v>
      </c>
      <c r="T46" s="53" t="str">
        <f>IFERROR(VLOOKUP($A46,'The List'!$B1:$AS727,27,FALSE)," ")</f>
        <v xml:space="preserve"> </v>
      </c>
      <c r="U46" s="53" t="str">
        <f>IFERROR(VLOOKUP($A46,'The List'!$B1:$AS727,28,FALSE)," ")</f>
        <v xml:space="preserve"> </v>
      </c>
      <c r="V46" s="53" t="str">
        <f>IFERROR(VLOOKUP($A46,'The List'!$B1:$AS727,29,FALSE)," ")</f>
        <v xml:space="preserve"> </v>
      </c>
      <c r="W46" s="53" t="str">
        <f>IFERROR(VLOOKUP($A46,'The List'!$B1:$AS727,30,FALSE)," ")</f>
        <v xml:space="preserve"> </v>
      </c>
      <c r="X46" s="53" t="str">
        <f>IFERROR(VLOOKUP($A46,'The List'!$B1:$AS727,31,FALSE)," ")</f>
        <v xml:space="preserve"> </v>
      </c>
      <c r="Y46" s="53" t="str">
        <f>IFERROR(VLOOKUP($A46,'The List'!$B1:$AS727,32,FALSE)," ")</f>
        <v xml:space="preserve"> </v>
      </c>
      <c r="Z46" s="53" t="str">
        <f>IFERROR(VLOOKUP($A46,'The List'!$B1:$AS727,33,FALSE)," ")</f>
        <v xml:space="preserve"> </v>
      </c>
      <c r="AA46" s="55"/>
      <c r="AB46" s="60"/>
      <c r="AC46" s="60"/>
      <c r="AD46" s="60"/>
      <c r="AE46" s="60"/>
      <c r="AF46" s="60"/>
    </row>
    <row r="47" spans="1:32" ht="21.25" customHeight="1" x14ac:dyDescent="0.15">
      <c r="A47" s="23"/>
      <c r="B47" s="68" t="str">
        <f>IFERROR(VLOOKUP($A47,'The List'!$B1:$AS727,3,FALSE)," ")</f>
        <v xml:space="preserve"> </v>
      </c>
      <c r="C47" s="70" t="str">
        <f>IFERROR(VLOOKUP($A47,'The List'!$B1:$AS727,4,FALSE)," ")</f>
        <v xml:space="preserve"> </v>
      </c>
      <c r="D47" s="35" t="str">
        <f>IFERROR(VLOOKUP($A47,'The List'!$B1:$AS727,5,FALSE)," ")</f>
        <v xml:space="preserve"> </v>
      </c>
      <c r="E47" s="35" t="str">
        <f>IFERROR(VLOOKUP($A47,'The List'!$B1:$AS727,6,FALSE)," ")</f>
        <v xml:space="preserve"> </v>
      </c>
      <c r="F47" s="52" t="str">
        <f>IFERROR(VLOOKUP($A47,'The List'!$B1:$AS727,8,FALSE)," ")</f>
        <v xml:space="preserve"> </v>
      </c>
      <c r="G47" s="52" t="str">
        <f>IFERROR(VLOOKUP($A47,'The List'!$B1:$AS727,10,FALSE)," ")</f>
        <v xml:space="preserve"> </v>
      </c>
      <c r="H47" s="39"/>
      <c r="I47" s="53" t="str">
        <f>IFERROR(VLOOKUP($A47,'The List'!$B1:$AS727,16,FALSE)," ")</f>
        <v xml:space="preserve"> </v>
      </c>
      <c r="J47" s="53" t="str">
        <f>IFERROR(VLOOKUP($A47,'The List'!$B1:$AS727,17,FALSE)," ")</f>
        <v xml:space="preserve"> </v>
      </c>
      <c r="K47" s="53" t="str">
        <f>IFERROR(VLOOKUP($A47,'The List'!$B1:$AS727,18,FALSE)," ")</f>
        <v xml:space="preserve"> </v>
      </c>
      <c r="L47" s="53" t="str">
        <f>IFERROR(VLOOKUP($A47,'The List'!$B1:$AS727,19,FALSE)," ")</f>
        <v xml:space="preserve"> </v>
      </c>
      <c r="M47" s="53" t="str">
        <f>IFERROR(VLOOKUP($A47,'The List'!$B1:$AS727,20,FALSE)," ")</f>
        <v xml:space="preserve"> </v>
      </c>
      <c r="N47" s="53" t="str">
        <f>IFERROR(VLOOKUP($A47,'The List'!$B1:$AS727,21,FALSE)," ")</f>
        <v xml:space="preserve"> </v>
      </c>
      <c r="O47" s="53" t="str">
        <f>IFERROR(VLOOKUP($A47,'The List'!$B1:$AS727,22,FALSE)," ")</f>
        <v xml:space="preserve"> </v>
      </c>
      <c r="P47" s="53" t="str">
        <f>IFERROR(VLOOKUP($A47,'The List'!$B1:$AS727,23,FALSE)," ")</f>
        <v xml:space="preserve"> </v>
      </c>
      <c r="Q47" s="53" t="str">
        <f>IFERROR(VLOOKUP($A47,'The List'!$B1:$AS727,24,FALSE)," ")</f>
        <v xml:space="preserve"> </v>
      </c>
      <c r="R47" s="53" t="str">
        <f>IFERROR(VLOOKUP($A47,'The List'!$B1:$AS727,25,FALSE)," ")</f>
        <v xml:space="preserve"> </v>
      </c>
      <c r="S47" s="53" t="str">
        <f>IFERROR(VLOOKUP($A47,'The List'!$B1:$AS727,26,FALSE)," ")</f>
        <v xml:space="preserve"> </v>
      </c>
      <c r="T47" s="53" t="str">
        <f>IFERROR(VLOOKUP($A47,'The List'!$B1:$AS727,27,FALSE)," ")</f>
        <v xml:space="preserve"> </v>
      </c>
      <c r="U47" s="53" t="str">
        <f>IFERROR(VLOOKUP($A47,'The List'!$B1:$AS727,28,FALSE)," ")</f>
        <v xml:space="preserve"> </v>
      </c>
      <c r="V47" s="53" t="str">
        <f>IFERROR(VLOOKUP($A47,'The List'!$B1:$AS727,29,FALSE)," ")</f>
        <v xml:space="preserve"> </v>
      </c>
      <c r="W47" s="53" t="str">
        <f>IFERROR(VLOOKUP($A47,'The List'!$B1:$AS727,30,FALSE)," ")</f>
        <v xml:space="preserve"> </v>
      </c>
      <c r="X47" s="53" t="str">
        <f>IFERROR(VLOOKUP($A47,'The List'!$B1:$AS727,31,FALSE)," ")</f>
        <v xml:space="preserve"> </v>
      </c>
      <c r="Y47" s="53" t="str">
        <f>IFERROR(VLOOKUP($A47,'The List'!$B1:$AS727,32,FALSE)," ")</f>
        <v xml:space="preserve"> </v>
      </c>
      <c r="Z47" s="53" t="str">
        <f>IFERROR(VLOOKUP($A47,'The List'!$B1:$AS727,33,FALSE)," ")</f>
        <v xml:space="preserve"> </v>
      </c>
      <c r="AA47" s="55"/>
      <c r="AB47" s="60"/>
      <c r="AC47" s="60"/>
      <c r="AD47" s="60"/>
      <c r="AE47" s="60"/>
      <c r="AF47" s="60"/>
    </row>
    <row r="48" spans="1:32" ht="21.25" customHeight="1" x14ac:dyDescent="0.15">
      <c r="A48" s="23"/>
      <c r="B48" s="68" t="str">
        <f>IFERROR(VLOOKUP($A48,'The List'!$B1:$AS727,3,FALSE)," ")</f>
        <v xml:space="preserve"> </v>
      </c>
      <c r="C48" s="70" t="str">
        <f>IFERROR(VLOOKUP($A48,'The List'!$B1:$AS727,4,FALSE)," ")</f>
        <v xml:space="preserve"> </v>
      </c>
      <c r="D48" s="35" t="str">
        <f>IFERROR(VLOOKUP($A48,'The List'!$B1:$AS727,5,FALSE)," ")</f>
        <v xml:space="preserve"> </v>
      </c>
      <c r="E48" s="35" t="str">
        <f>IFERROR(VLOOKUP($A48,'The List'!$B1:$AS727,6,FALSE)," ")</f>
        <v xml:space="preserve"> </v>
      </c>
      <c r="F48" s="52" t="str">
        <f>IFERROR(VLOOKUP($A48,'The List'!$B1:$AS727,8,FALSE)," ")</f>
        <v xml:space="preserve"> </v>
      </c>
      <c r="G48" s="52" t="str">
        <f>IFERROR(VLOOKUP($A48,'The List'!$B1:$AS727,10,FALSE)," ")</f>
        <v xml:space="preserve"> </v>
      </c>
      <c r="H48" s="39"/>
      <c r="I48" s="53" t="str">
        <f>IFERROR(VLOOKUP($A48,'The List'!$B1:$AS727,16,FALSE)," ")</f>
        <v xml:space="preserve"> </v>
      </c>
      <c r="J48" s="53" t="str">
        <f>IFERROR(VLOOKUP($A48,'The List'!$B1:$AS727,17,FALSE)," ")</f>
        <v xml:space="preserve"> </v>
      </c>
      <c r="K48" s="53" t="str">
        <f>IFERROR(VLOOKUP($A48,'The List'!$B1:$AS727,18,FALSE)," ")</f>
        <v xml:space="preserve"> </v>
      </c>
      <c r="L48" s="53" t="str">
        <f>IFERROR(VLOOKUP($A48,'The List'!$B1:$AS727,19,FALSE)," ")</f>
        <v xml:space="preserve"> </v>
      </c>
      <c r="M48" s="53" t="str">
        <f>IFERROR(VLOOKUP($A48,'The List'!$B1:$AS727,20,FALSE)," ")</f>
        <v xml:space="preserve"> </v>
      </c>
      <c r="N48" s="53" t="str">
        <f>IFERROR(VLOOKUP($A48,'The List'!$B1:$AS727,21,FALSE)," ")</f>
        <v xml:space="preserve"> </v>
      </c>
      <c r="O48" s="53" t="str">
        <f>IFERROR(VLOOKUP($A48,'The List'!$B1:$AS727,22,FALSE)," ")</f>
        <v xml:space="preserve"> </v>
      </c>
      <c r="P48" s="53" t="str">
        <f>IFERROR(VLOOKUP($A48,'The List'!$B1:$AS727,23,FALSE)," ")</f>
        <v xml:space="preserve"> </v>
      </c>
      <c r="Q48" s="53" t="str">
        <f>IFERROR(VLOOKUP($A48,'The List'!$B1:$AS727,24,FALSE)," ")</f>
        <v xml:space="preserve"> </v>
      </c>
      <c r="R48" s="53" t="str">
        <f>IFERROR(VLOOKUP($A48,'The List'!$B1:$AS727,25,FALSE)," ")</f>
        <v xml:space="preserve"> </v>
      </c>
      <c r="S48" s="53" t="str">
        <f>IFERROR(VLOOKUP($A48,'The List'!$B1:$AS727,26,FALSE)," ")</f>
        <v xml:space="preserve"> </v>
      </c>
      <c r="T48" s="53" t="str">
        <f>IFERROR(VLOOKUP($A48,'The List'!$B1:$AS727,27,FALSE)," ")</f>
        <v xml:space="preserve"> </v>
      </c>
      <c r="U48" s="53" t="str">
        <f>IFERROR(VLOOKUP($A48,'The List'!$B1:$AS727,28,FALSE)," ")</f>
        <v xml:space="preserve"> </v>
      </c>
      <c r="V48" s="53" t="str">
        <f>IFERROR(VLOOKUP($A48,'The List'!$B1:$AS727,29,FALSE)," ")</f>
        <v xml:space="preserve"> </v>
      </c>
      <c r="W48" s="53" t="str">
        <f>IFERROR(VLOOKUP($A48,'The List'!$B1:$AS727,30,FALSE)," ")</f>
        <v xml:space="preserve"> </v>
      </c>
      <c r="X48" s="53" t="str">
        <f>IFERROR(VLOOKUP($A48,'The List'!$B1:$AS727,31,FALSE)," ")</f>
        <v xml:space="preserve"> </v>
      </c>
      <c r="Y48" s="53" t="str">
        <f>IFERROR(VLOOKUP($A48,'The List'!$B1:$AS727,32,FALSE)," ")</f>
        <v xml:space="preserve"> </v>
      </c>
      <c r="Z48" s="53" t="str">
        <f>IFERROR(VLOOKUP($A48,'The List'!$B1:$AS727,33,FALSE)," ")</f>
        <v xml:space="preserve"> </v>
      </c>
      <c r="AA48" s="55"/>
      <c r="AB48" s="60"/>
      <c r="AC48" s="60"/>
      <c r="AD48" s="60"/>
      <c r="AE48" s="60"/>
      <c r="AF48" s="60"/>
    </row>
    <row r="49" spans="1:32" ht="21.25" customHeight="1" x14ac:dyDescent="0.15">
      <c r="A49" s="23"/>
      <c r="B49" s="68" t="str">
        <f>IFERROR(VLOOKUP($A49,'The List'!$B1:$AS727,3,FALSE)," ")</f>
        <v xml:space="preserve"> </v>
      </c>
      <c r="C49" s="70" t="str">
        <f>IFERROR(VLOOKUP($A49,'The List'!$B1:$AS727,4,FALSE)," ")</f>
        <v xml:space="preserve"> </v>
      </c>
      <c r="D49" s="35" t="str">
        <f>IFERROR(VLOOKUP($A49,'The List'!$B1:$AS727,5,FALSE)," ")</f>
        <v xml:space="preserve"> </v>
      </c>
      <c r="E49" s="35" t="str">
        <f>IFERROR(VLOOKUP($A49,'The List'!$B1:$AS727,6,FALSE)," ")</f>
        <v xml:space="preserve"> </v>
      </c>
      <c r="F49" s="52" t="str">
        <f>IFERROR(VLOOKUP($A49,'The List'!$B1:$AS727,8,FALSE)," ")</f>
        <v xml:space="preserve"> </v>
      </c>
      <c r="G49" s="52" t="str">
        <f>IFERROR(VLOOKUP($A49,'The List'!$B1:$AS727,10,FALSE)," ")</f>
        <v xml:space="preserve"> </v>
      </c>
      <c r="H49" s="39"/>
      <c r="I49" s="53" t="str">
        <f>IFERROR(VLOOKUP($A49,'The List'!$B1:$AS727,16,FALSE)," ")</f>
        <v xml:space="preserve"> </v>
      </c>
      <c r="J49" s="53" t="str">
        <f>IFERROR(VLOOKUP($A49,'The List'!$B1:$AS727,17,FALSE)," ")</f>
        <v xml:space="preserve"> </v>
      </c>
      <c r="K49" s="53" t="str">
        <f>IFERROR(VLOOKUP($A49,'The List'!$B1:$AS727,18,FALSE)," ")</f>
        <v xml:space="preserve"> </v>
      </c>
      <c r="L49" s="53" t="str">
        <f>IFERROR(VLOOKUP($A49,'The List'!$B1:$AS727,19,FALSE)," ")</f>
        <v xml:space="preserve"> </v>
      </c>
      <c r="M49" s="53" t="str">
        <f>IFERROR(VLOOKUP($A49,'The List'!$B1:$AS727,20,FALSE)," ")</f>
        <v xml:space="preserve"> </v>
      </c>
      <c r="N49" s="53" t="str">
        <f>IFERROR(VLOOKUP($A49,'The List'!$B1:$AS727,21,FALSE)," ")</f>
        <v xml:space="preserve"> </v>
      </c>
      <c r="O49" s="53" t="str">
        <f>IFERROR(VLOOKUP($A49,'The List'!$B1:$AS727,22,FALSE)," ")</f>
        <v xml:space="preserve"> </v>
      </c>
      <c r="P49" s="53" t="str">
        <f>IFERROR(VLOOKUP($A49,'The List'!$B1:$AS727,23,FALSE)," ")</f>
        <v xml:space="preserve"> </v>
      </c>
      <c r="Q49" s="53" t="str">
        <f>IFERROR(VLOOKUP($A49,'The List'!$B1:$AS727,24,FALSE)," ")</f>
        <v xml:space="preserve"> </v>
      </c>
      <c r="R49" s="53" t="str">
        <f>IFERROR(VLOOKUP($A49,'The List'!$B1:$AS727,25,FALSE)," ")</f>
        <v xml:space="preserve"> </v>
      </c>
      <c r="S49" s="53" t="str">
        <f>IFERROR(VLOOKUP($A49,'The List'!$B1:$AS727,26,FALSE)," ")</f>
        <v xml:space="preserve"> </v>
      </c>
      <c r="T49" s="53" t="str">
        <f>IFERROR(VLOOKUP($A49,'The List'!$B1:$AS727,27,FALSE)," ")</f>
        <v xml:space="preserve"> </v>
      </c>
      <c r="U49" s="53" t="str">
        <f>IFERROR(VLOOKUP($A49,'The List'!$B1:$AS727,28,FALSE)," ")</f>
        <v xml:space="preserve"> </v>
      </c>
      <c r="V49" s="53" t="str">
        <f>IFERROR(VLOOKUP($A49,'The List'!$B1:$AS727,29,FALSE)," ")</f>
        <v xml:space="preserve"> </v>
      </c>
      <c r="W49" s="53" t="str">
        <f>IFERROR(VLOOKUP($A49,'The List'!$B1:$AS727,30,FALSE)," ")</f>
        <v xml:space="preserve"> </v>
      </c>
      <c r="X49" s="53" t="str">
        <f>IFERROR(VLOOKUP($A49,'The List'!$B1:$AS727,31,FALSE)," ")</f>
        <v xml:space="preserve"> </v>
      </c>
      <c r="Y49" s="53" t="str">
        <f>IFERROR(VLOOKUP($A49,'The List'!$B1:$AS727,32,FALSE)," ")</f>
        <v xml:space="preserve"> </v>
      </c>
      <c r="Z49" s="53" t="str">
        <f>IFERROR(VLOOKUP($A49,'The List'!$B1:$AS727,33,FALSE)," ")</f>
        <v xml:space="preserve"> </v>
      </c>
      <c r="AA49" s="55"/>
      <c r="AB49" s="60"/>
      <c r="AC49" s="60"/>
      <c r="AD49" s="60"/>
      <c r="AE49" s="60"/>
      <c r="AF49" s="60"/>
    </row>
    <row r="50" spans="1:32" ht="21.25" customHeight="1" x14ac:dyDescent="0.15">
      <c r="A50" s="72"/>
      <c r="B50" s="73" t="str">
        <f>IFERROR(VLOOKUP($A50,'The List'!$B1:$AS727,3,FALSE)," ")</f>
        <v xml:space="preserve"> </v>
      </c>
      <c r="C50" s="74" t="str">
        <f>IFERROR(VLOOKUP($A50,'The List'!$B1:$AS727,4,FALSE)," ")</f>
        <v xml:space="preserve"> </v>
      </c>
      <c r="D50" s="75" t="str">
        <f>IFERROR(VLOOKUP($A50,'The List'!$B1:$AS727,5,FALSE)," ")</f>
        <v xml:space="preserve"> </v>
      </c>
      <c r="E50" s="75" t="str">
        <f>IFERROR(VLOOKUP($A50,'The List'!$B1:$AS727,6,FALSE)," ")</f>
        <v xml:space="preserve"> </v>
      </c>
      <c r="F50" s="76" t="str">
        <f>IFERROR(VLOOKUP($A50,'The List'!$B1:$AS727,8,FALSE)," ")</f>
        <v xml:space="preserve"> </v>
      </c>
      <c r="G50" s="76" t="str">
        <f>IFERROR(VLOOKUP($A50,'The List'!$B1:$AS727,10,FALSE)," ")</f>
        <v xml:space="preserve"> </v>
      </c>
      <c r="H50" s="77"/>
      <c r="I50" s="78" t="str">
        <f>IFERROR(VLOOKUP($A50,'The List'!$B1:$AS727,16,FALSE)," ")</f>
        <v xml:space="preserve"> </v>
      </c>
      <c r="J50" s="78" t="str">
        <f>IFERROR(VLOOKUP($A50,'The List'!$B1:$AS727,17,FALSE)," ")</f>
        <v xml:space="preserve"> </v>
      </c>
      <c r="K50" s="78" t="str">
        <f>IFERROR(VLOOKUP($A50,'The List'!$B1:$AS727,18,FALSE)," ")</f>
        <v xml:space="preserve"> </v>
      </c>
      <c r="L50" s="78" t="str">
        <f>IFERROR(VLOOKUP($A50,'The List'!$B1:$AS727,19,FALSE)," ")</f>
        <v xml:space="preserve"> </v>
      </c>
      <c r="M50" s="78" t="str">
        <f>IFERROR(VLOOKUP($A50,'The List'!$B1:$AS727,20,FALSE)," ")</f>
        <v xml:space="preserve"> </v>
      </c>
      <c r="N50" s="78" t="str">
        <f>IFERROR(VLOOKUP($A50,'The List'!$B1:$AS727,21,FALSE)," ")</f>
        <v xml:space="preserve"> </v>
      </c>
      <c r="O50" s="78" t="str">
        <f>IFERROR(VLOOKUP($A50,'The List'!$B1:$AS727,22,FALSE)," ")</f>
        <v xml:space="preserve"> </v>
      </c>
      <c r="P50" s="78" t="str">
        <f>IFERROR(VLOOKUP($A50,'The List'!$B1:$AS727,23,FALSE)," ")</f>
        <v xml:space="preserve"> </v>
      </c>
      <c r="Q50" s="78" t="str">
        <f>IFERROR(VLOOKUP($A50,'The List'!$B1:$AS727,24,FALSE)," ")</f>
        <v xml:space="preserve"> </v>
      </c>
      <c r="R50" s="78" t="str">
        <f>IFERROR(VLOOKUP($A50,'The List'!$B1:$AS727,25,FALSE)," ")</f>
        <v xml:space="preserve"> </v>
      </c>
      <c r="S50" s="78" t="str">
        <f>IFERROR(VLOOKUP($A50,'The List'!$B1:$AS727,26,FALSE)," ")</f>
        <v xml:space="preserve"> </v>
      </c>
      <c r="T50" s="78" t="str">
        <f>IFERROR(VLOOKUP($A50,'The List'!$B1:$AS727,27,FALSE)," ")</f>
        <v xml:space="preserve"> </v>
      </c>
      <c r="U50" s="78" t="str">
        <f>IFERROR(VLOOKUP($A50,'The List'!$B1:$AS727,28,FALSE)," ")</f>
        <v xml:space="preserve"> </v>
      </c>
      <c r="V50" s="78" t="str">
        <f>IFERROR(VLOOKUP($A50,'The List'!$B1:$AS727,29,FALSE)," ")</f>
        <v xml:space="preserve"> </v>
      </c>
      <c r="W50" s="78" t="str">
        <f>IFERROR(VLOOKUP($A50,'The List'!$B1:$AS727,30,FALSE)," ")</f>
        <v xml:space="preserve"> </v>
      </c>
      <c r="X50" s="78" t="str">
        <f>IFERROR(VLOOKUP($A50,'The List'!$B1:$AS727,31,FALSE)," ")</f>
        <v xml:space="preserve"> </v>
      </c>
      <c r="Y50" s="78" t="str">
        <f>IFERROR(VLOOKUP($A50,'The List'!$B1:$AS727,32,FALSE)," ")</f>
        <v xml:space="preserve"> </v>
      </c>
      <c r="Z50" s="78" t="str">
        <f>IFERROR(VLOOKUP($A50,'The List'!$B1:$AS727,33,FALSE)," ")</f>
        <v xml:space="preserve"> </v>
      </c>
      <c r="AA50" s="55"/>
      <c r="AB50" s="60"/>
      <c r="AC50" s="60"/>
      <c r="AD50" s="60"/>
      <c r="AE50" s="60"/>
      <c r="AF50" s="60"/>
    </row>
    <row r="51" spans="1:32" ht="21.25" customHeight="1" x14ac:dyDescent="0.15">
      <c r="A51" s="79"/>
      <c r="B51" s="80"/>
      <c r="C51" s="81"/>
      <c r="D51" s="82"/>
      <c r="E51" s="117" t="str">
        <f>IFERROR(AVERAGE(E31:E50)," ")</f>
        <v xml:space="preserve"> </v>
      </c>
      <c r="F51" s="84">
        <f>SUM(F31:F50)</f>
        <v>0</v>
      </c>
      <c r="G51" s="84">
        <f>SUM(G31:G50)</f>
        <v>0</v>
      </c>
      <c r="H51" s="85"/>
      <c r="I51" s="86">
        <f>SUM(I31:I50)</f>
        <v>0</v>
      </c>
      <c r="J51" s="85" t="e">
        <f>AVERAGE(J31:J50)</f>
        <v>#DIV/0!</v>
      </c>
      <c r="K51" s="86">
        <f t="shared" ref="K51:Y51" si="2">SUM(K31:K50)</f>
        <v>0</v>
      </c>
      <c r="L51" s="86">
        <f t="shared" si="2"/>
        <v>0</v>
      </c>
      <c r="M51" s="86">
        <f t="shared" si="2"/>
        <v>0</v>
      </c>
      <c r="N51" s="86">
        <f t="shared" si="2"/>
        <v>0</v>
      </c>
      <c r="O51" s="86">
        <f t="shared" si="2"/>
        <v>0</v>
      </c>
      <c r="P51" s="86">
        <f t="shared" si="2"/>
        <v>0</v>
      </c>
      <c r="Q51" s="86">
        <f t="shared" si="2"/>
        <v>0</v>
      </c>
      <c r="R51" s="86">
        <f t="shared" si="2"/>
        <v>0</v>
      </c>
      <c r="S51" s="86">
        <f t="shared" si="2"/>
        <v>0</v>
      </c>
      <c r="T51" s="86">
        <f t="shared" si="2"/>
        <v>0</v>
      </c>
      <c r="U51" s="86">
        <f t="shared" si="2"/>
        <v>0</v>
      </c>
      <c r="V51" s="86">
        <f t="shared" si="2"/>
        <v>0</v>
      </c>
      <c r="W51" s="86">
        <f t="shared" si="2"/>
        <v>0</v>
      </c>
      <c r="X51" s="86">
        <f t="shared" si="2"/>
        <v>0</v>
      </c>
      <c r="Y51" s="86">
        <f t="shared" si="2"/>
        <v>0</v>
      </c>
      <c r="Z51" s="87">
        <f>IFERROR(X51/(X51+Y51),0)</f>
        <v>0</v>
      </c>
      <c r="AA51" s="55"/>
      <c r="AB51" s="60"/>
      <c r="AC51" s="88"/>
      <c r="AD51" s="88"/>
      <c r="AE51" s="88"/>
      <c r="AF51" s="88"/>
    </row>
    <row r="52" spans="1:32" ht="21.25" customHeight="1" x14ac:dyDescent="0.15">
      <c r="A52" s="89"/>
      <c r="B52" s="90"/>
      <c r="C52" s="91"/>
      <c r="D52" s="11"/>
      <c r="E52" s="11"/>
      <c r="F52" s="92"/>
      <c r="G52" s="93"/>
      <c r="H52" s="94"/>
      <c r="I52" s="9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60"/>
      <c r="AC52" s="60"/>
      <c r="AD52" s="60"/>
      <c r="AE52" s="60"/>
      <c r="AF52" s="60"/>
    </row>
    <row r="53" spans="1:32" ht="21.25" customHeight="1" x14ac:dyDescent="0.15">
      <c r="A53" s="24" t="s">
        <v>66</v>
      </c>
      <c r="B53" s="174" t="s">
        <v>68</v>
      </c>
      <c r="C53" s="165"/>
      <c r="D53" s="96" t="s">
        <v>69</v>
      </c>
      <c r="E53" s="96" t="s">
        <v>70</v>
      </c>
      <c r="F53" s="97" t="s">
        <v>72</v>
      </c>
      <c r="G53" s="97" t="s">
        <v>74</v>
      </c>
      <c r="H53" s="98"/>
      <c r="I53" s="99" t="s">
        <v>79</v>
      </c>
      <c r="J53" s="99" t="s">
        <v>97</v>
      </c>
      <c r="K53" s="99" t="s">
        <v>98</v>
      </c>
      <c r="L53" s="99" t="s">
        <v>99</v>
      </c>
      <c r="M53" s="99" t="s">
        <v>100</v>
      </c>
      <c r="N53" s="99" t="s">
        <v>101</v>
      </c>
      <c r="O53" s="99" t="s">
        <v>102</v>
      </c>
      <c r="P53" s="99" t="s">
        <v>103</v>
      </c>
      <c r="Q53" s="99" t="s">
        <v>104</v>
      </c>
      <c r="R53" s="55"/>
      <c r="S53" s="55"/>
      <c r="T53" s="55"/>
      <c r="U53" s="174" t="s">
        <v>850</v>
      </c>
      <c r="V53" s="175"/>
      <c r="W53" s="175"/>
      <c r="X53" s="174" t="s">
        <v>851</v>
      </c>
      <c r="Y53" s="175"/>
      <c r="Z53" s="175"/>
      <c r="AA53" s="55"/>
      <c r="AB53" s="60"/>
      <c r="AC53" s="55"/>
      <c r="AD53" s="55"/>
      <c r="AE53" s="55"/>
      <c r="AF53" s="55"/>
    </row>
    <row r="54" spans="1:32" ht="21.25" customHeight="1" x14ac:dyDescent="0.15">
      <c r="A54" s="118"/>
      <c r="B54" s="101" t="str">
        <f>IFERROR(VLOOKUP($A54,'The List'!$B1:$AS727,3,FALSE)," ")</f>
        <v xml:space="preserve"> </v>
      </c>
      <c r="C54" s="119" t="str">
        <f>IFERROR(VLOOKUP($A54,'The List'!$B1:$AS727,4,FALSE)," ")</f>
        <v xml:space="preserve"> </v>
      </c>
      <c r="D54" s="103" t="str">
        <f>IFERROR(VLOOKUP($A54,'The List'!$B1:$AS727,5,FALSE)," ")</f>
        <v xml:space="preserve"> </v>
      </c>
      <c r="E54" s="103" t="str">
        <f>IFERROR(VLOOKUP($A54,'The List'!$B1:$AS727,6,FALSE)," ")</f>
        <v xml:space="preserve"> </v>
      </c>
      <c r="F54" s="120" t="str">
        <f>IFERROR(VLOOKUP($A54,'The List'!$B1:$AS727,8,FALSE)," ")</f>
        <v xml:space="preserve"> </v>
      </c>
      <c r="G54" s="120" t="str">
        <f>IFERROR(VLOOKUP($A54,'The List'!$B1:$AS727,10,FALSE)," ")</f>
        <v xml:space="preserve"> </v>
      </c>
      <c r="H54" s="106"/>
      <c r="I54" s="121" t="str">
        <f>IFERROR(VLOOKUP($A54,'The List'!$B1:$AS727,35,FALSE)," ")</f>
        <v xml:space="preserve"> </v>
      </c>
      <c r="J54" s="121" t="str">
        <f>IFERROR(VLOOKUP($A54,'The List'!$B1:$AS727,36,FALSE)," ")</f>
        <v xml:space="preserve"> </v>
      </c>
      <c r="K54" s="121" t="str">
        <f>IFERROR(VLOOKUP($A54,'The List'!$B1:$AS727,37,FALSE)," ")</f>
        <v xml:space="preserve"> </v>
      </c>
      <c r="L54" s="121" t="str">
        <f>IFERROR(VLOOKUP($A54,'The List'!$B1:$AS727,38,FALSE)," ")</f>
        <v xml:space="preserve"> </v>
      </c>
      <c r="M54" s="121" t="str">
        <f>IFERROR(VLOOKUP($A54,'The List'!$B1:$AS727,39,FALSE)," ")</f>
        <v xml:space="preserve"> </v>
      </c>
      <c r="N54" s="121" t="str">
        <f>IFERROR(VLOOKUP($A54,'The List'!$B1:$AS727,40,FALSE)," ")</f>
        <v xml:space="preserve"> </v>
      </c>
      <c r="O54" s="121" t="str">
        <f>IFERROR(VLOOKUP($A54,'The List'!$B1:$AS727,41,FALSE)," ")</f>
        <v xml:space="preserve"> </v>
      </c>
      <c r="P54" s="121" t="str">
        <f>IFERROR(VLOOKUP($A54,'The List'!$B1:$AS727,42,FALSE)," ")</f>
        <v xml:space="preserve"> </v>
      </c>
      <c r="Q54" s="121" t="str">
        <f>IFERROR(VLOOKUP($A54,'The List'!$B1:$AS727,43,FALSE)," ")</f>
        <v xml:space="preserve"> </v>
      </c>
      <c r="R54" s="55"/>
      <c r="S54" s="55"/>
      <c r="T54" s="110" t="str">
        <f>A30</f>
        <v>TEAM 2</v>
      </c>
      <c r="U54" s="176">
        <f>F51+F57</f>
        <v>0</v>
      </c>
      <c r="V54" s="165"/>
      <c r="W54" s="165"/>
      <c r="X54" s="176">
        <f>G57+G51</f>
        <v>0</v>
      </c>
      <c r="Y54" s="165"/>
      <c r="Z54" s="165"/>
      <c r="AA54" s="55"/>
      <c r="AB54" s="60"/>
      <c r="AC54" s="55"/>
      <c r="AD54" s="55"/>
      <c r="AE54" s="55"/>
      <c r="AF54" s="55"/>
    </row>
    <row r="55" spans="1:32" ht="21.25" customHeight="1" x14ac:dyDescent="0.15">
      <c r="A55" s="23"/>
      <c r="B55" s="111" t="str">
        <f>IFERROR(VLOOKUP($A55,'The List'!$B1:$AS727,3,FALSE)," ")</f>
        <v xml:space="preserve"> </v>
      </c>
      <c r="C55" s="112" t="str">
        <f>IFERROR(VLOOKUP($A55,'The List'!$B1:$AS727,4,FALSE)," ")</f>
        <v xml:space="preserve"> </v>
      </c>
      <c r="D55" s="35" t="str">
        <f>IFERROR(VLOOKUP($A55,'The List'!$B1:$AS727,5,FALSE)," ")</f>
        <v xml:space="preserve"> </v>
      </c>
      <c r="E55" s="35" t="str">
        <f>IFERROR(VLOOKUP($A55,'The List'!$B1:$AS727,6,FALSE)," ")</f>
        <v xml:space="preserve"> </v>
      </c>
      <c r="F55" s="52" t="str">
        <f>IFERROR(VLOOKUP($A55,'The List'!$B1:$AS727,8,FALSE)," ")</f>
        <v xml:space="preserve"> </v>
      </c>
      <c r="G55" s="52" t="str">
        <f>IFERROR(VLOOKUP($A55,'The List'!$B1:$AS727,10,FALSE)," ")</f>
        <v xml:space="preserve"> </v>
      </c>
      <c r="H55" s="39"/>
      <c r="I55" s="53" t="str">
        <f>IFERROR(VLOOKUP($A55,'The List'!$B1:$AS727,35,FALSE)," ")</f>
        <v xml:space="preserve"> </v>
      </c>
      <c r="J55" s="53" t="str">
        <f>IFERROR(VLOOKUP($A55,'The List'!$B1:$AS727,36,FALSE)," ")</f>
        <v xml:space="preserve"> </v>
      </c>
      <c r="K55" s="53" t="str">
        <f>IFERROR(VLOOKUP($A55,'The List'!$B1:$AS727,37,FALSE)," ")</f>
        <v xml:space="preserve"> </v>
      </c>
      <c r="L55" s="53" t="str">
        <f>IFERROR(VLOOKUP($A55,'The List'!$B1:$AS727,38,FALSE)," ")</f>
        <v xml:space="preserve"> </v>
      </c>
      <c r="M55" s="53" t="str">
        <f>IFERROR(VLOOKUP($A55,'The List'!$B1:$AS727,39,FALSE)," ")</f>
        <v xml:space="preserve"> </v>
      </c>
      <c r="N55" s="53" t="str">
        <f>IFERROR(VLOOKUP($A55,'The List'!$B1:$AS727,40,FALSE)," ")</f>
        <v xml:space="preserve"> </v>
      </c>
      <c r="O55" s="53" t="str">
        <f>IFERROR(VLOOKUP($A55,'The List'!$B1:$AS727,41,FALSE)," ")</f>
        <v xml:space="preserve"> </v>
      </c>
      <c r="P55" s="53" t="str">
        <f>IFERROR(VLOOKUP($A55,'The List'!$B1:$AS727,42,FALSE)," ")</f>
        <v xml:space="preserve"> </v>
      </c>
      <c r="Q55" s="53" t="str">
        <f>IFERROR(VLOOKUP($A55,'The List'!$B1:$AS727,43,FALSE)," ")</f>
        <v xml:space="preserve"> </v>
      </c>
      <c r="R55" s="55"/>
      <c r="S55" s="55"/>
      <c r="T55" s="55"/>
      <c r="U55" s="165"/>
      <c r="V55" s="165"/>
      <c r="W55" s="165"/>
      <c r="X55" s="165"/>
      <c r="Y55" s="165"/>
      <c r="Z55" s="165"/>
      <c r="AA55" s="55"/>
      <c r="AB55" s="60"/>
      <c r="AC55" s="55"/>
      <c r="AD55" s="55"/>
      <c r="AE55" s="55"/>
      <c r="AF55" s="55"/>
    </row>
    <row r="56" spans="1:32" ht="21.25" customHeight="1" x14ac:dyDescent="0.15">
      <c r="A56" s="72"/>
      <c r="B56" s="113" t="str">
        <f>IFERROR(VLOOKUP($A56,'The List'!$B1:$AS727,3,FALSE)," ")</f>
        <v xml:space="preserve"> </v>
      </c>
      <c r="C56" s="114" t="str">
        <f>IFERROR(VLOOKUP($A56,'The List'!$B1:$AS727,4,FALSE)," ")</f>
        <v xml:space="preserve"> </v>
      </c>
      <c r="D56" s="75" t="str">
        <f>IFERROR(VLOOKUP($A56,'The List'!$B1:$AS727,5,FALSE)," ")</f>
        <v xml:space="preserve"> </v>
      </c>
      <c r="E56" s="75" t="str">
        <f>IFERROR(VLOOKUP($A56,'The List'!$B1:$AS727,6,FALSE)," ")</f>
        <v xml:space="preserve"> </v>
      </c>
      <c r="F56" s="76" t="str">
        <f>IFERROR(VLOOKUP($A56,'The List'!$B1:$AS727,8,FALSE)," ")</f>
        <v xml:space="preserve"> </v>
      </c>
      <c r="G56" s="76" t="str">
        <f>IFERROR(VLOOKUP($A56,'The List'!$B1:$AS727,10,FALSE)," ")</f>
        <v xml:space="preserve"> </v>
      </c>
      <c r="H56" s="77"/>
      <c r="I56" s="78" t="str">
        <f>IFERROR(VLOOKUP($A56,'The List'!$B1:$AS727,35,FALSE)," ")</f>
        <v xml:space="preserve"> </v>
      </c>
      <c r="J56" s="78" t="str">
        <f>IFERROR(VLOOKUP($A56,'The List'!$B1:$AS727,36,FALSE)," ")</f>
        <v xml:space="preserve"> </v>
      </c>
      <c r="K56" s="78" t="str">
        <f>IFERROR(VLOOKUP($A56,'The List'!$B1:$AS727,37,FALSE)," ")</f>
        <v xml:space="preserve"> </v>
      </c>
      <c r="L56" s="78" t="str">
        <f>IFERROR(VLOOKUP($A56,'The List'!$B1:$AS727,38,FALSE)," ")</f>
        <v xml:space="preserve"> </v>
      </c>
      <c r="M56" s="78" t="str">
        <f>IFERROR(VLOOKUP($A56,'The List'!$B1:$AS727,39,FALSE)," ")</f>
        <v xml:space="preserve"> </v>
      </c>
      <c r="N56" s="78" t="str">
        <f>IFERROR(VLOOKUP($A56,'The List'!$B1:$AS727,40,FALSE)," ")</f>
        <v xml:space="preserve"> </v>
      </c>
      <c r="O56" s="78" t="str">
        <f>IFERROR(VLOOKUP($A56,'The List'!$B1:$AS727,41,FALSE)," ")</f>
        <v xml:space="preserve"> </v>
      </c>
      <c r="P56" s="78" t="str">
        <f>IFERROR(VLOOKUP($A56,'The List'!$B1:$AS727,42,FALSE)," ")</f>
        <v xml:space="preserve"> </v>
      </c>
      <c r="Q56" s="78" t="str">
        <f>IFERROR(VLOOKUP($A56,'The List'!$B1:$AS727,43,FALSE)," ")</f>
        <v xml:space="preserve"> </v>
      </c>
      <c r="R56" s="55"/>
      <c r="S56" s="55"/>
      <c r="T56" s="55"/>
      <c r="U56" s="165"/>
      <c r="V56" s="165"/>
      <c r="W56" s="165"/>
      <c r="X56" s="165"/>
      <c r="Y56" s="165"/>
      <c r="Z56" s="165"/>
      <c r="AA56" s="55"/>
      <c r="AB56" s="60"/>
      <c r="AC56" s="55"/>
      <c r="AD56" s="55"/>
      <c r="AE56" s="55"/>
      <c r="AF56" s="55"/>
    </row>
    <row r="57" spans="1:32" ht="21.25" customHeight="1" x14ac:dyDescent="0.15">
      <c r="A57" s="79"/>
      <c r="B57" s="80"/>
      <c r="C57" s="81"/>
      <c r="D57" s="82"/>
      <c r="E57" s="117" t="str">
        <f>IFERROR(AVERAGE(E54:E56)," ")</f>
        <v xml:space="preserve"> </v>
      </c>
      <c r="F57" s="84">
        <f>SUM(F54:F56)</f>
        <v>0</v>
      </c>
      <c r="G57" s="84">
        <f>SUM(G54:G56)</f>
        <v>0</v>
      </c>
      <c r="H57" s="85"/>
      <c r="I57" s="86">
        <f t="shared" ref="I57:O57" si="3">SUM(I54:I56)</f>
        <v>0</v>
      </c>
      <c r="J57" s="85">
        <f t="shared" si="3"/>
        <v>0</v>
      </c>
      <c r="K57" s="86">
        <f t="shared" si="3"/>
        <v>0</v>
      </c>
      <c r="L57" s="86">
        <f t="shared" si="3"/>
        <v>0</v>
      </c>
      <c r="M57" s="86">
        <f t="shared" si="3"/>
        <v>0</v>
      </c>
      <c r="N57" s="86">
        <f t="shared" si="3"/>
        <v>0</v>
      </c>
      <c r="O57" s="86">
        <f t="shared" si="3"/>
        <v>0</v>
      </c>
      <c r="P57" s="115" t="e">
        <f>1-(O57/(N57+O57))</f>
        <v>#DIV/0!</v>
      </c>
      <c r="Q57" s="116" t="e">
        <f>O57/I57</f>
        <v>#DIV/0!</v>
      </c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90"/>
      <c r="AC57" s="55"/>
      <c r="AD57" s="55"/>
      <c r="AE57" s="55"/>
      <c r="AF57" s="55"/>
    </row>
    <row r="58" spans="1:32" ht="70.75" customHeight="1" x14ac:dyDescent="0.15">
      <c r="A58" s="89"/>
      <c r="B58" s="90"/>
      <c r="C58" s="91"/>
      <c r="D58" s="11"/>
      <c r="E58" s="11"/>
      <c r="F58" s="92"/>
      <c r="G58" s="93"/>
      <c r="H58" s="94"/>
      <c r="I58" s="9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60"/>
      <c r="AB58" s="60"/>
      <c r="AC58" s="60"/>
      <c r="AD58" s="60"/>
      <c r="AE58" s="60"/>
      <c r="AF58" s="60"/>
    </row>
    <row r="59" spans="1:32" ht="21.25" customHeight="1" x14ac:dyDescent="0.15">
      <c r="A59" s="25" t="s">
        <v>836</v>
      </c>
      <c r="B59" s="173" t="s">
        <v>68</v>
      </c>
      <c r="C59" s="170"/>
      <c r="D59" s="26" t="s">
        <v>69</v>
      </c>
      <c r="E59" s="26" t="s">
        <v>70</v>
      </c>
      <c r="F59" s="27" t="s">
        <v>72</v>
      </c>
      <c r="G59" s="27" t="s">
        <v>74</v>
      </c>
      <c r="H59" s="28"/>
      <c r="I59" s="30" t="s">
        <v>79</v>
      </c>
      <c r="J59" s="30" t="s">
        <v>80</v>
      </c>
      <c r="K59" s="30" t="s">
        <v>81</v>
      </c>
      <c r="L59" s="30" t="s">
        <v>82</v>
      </c>
      <c r="M59" s="30" t="s">
        <v>83</v>
      </c>
      <c r="N59" s="30" t="s">
        <v>84</v>
      </c>
      <c r="O59" s="30" t="s">
        <v>85</v>
      </c>
      <c r="P59" s="30" t="s">
        <v>86</v>
      </c>
      <c r="Q59" s="30" t="s">
        <v>87</v>
      </c>
      <c r="R59" s="30" t="s">
        <v>88</v>
      </c>
      <c r="S59" s="30" t="s">
        <v>89</v>
      </c>
      <c r="T59" s="30" t="s">
        <v>90</v>
      </c>
      <c r="U59" s="30" t="s">
        <v>91</v>
      </c>
      <c r="V59" s="30" t="s">
        <v>92</v>
      </c>
      <c r="W59" s="30" t="s">
        <v>93</v>
      </c>
      <c r="X59" s="30" t="s">
        <v>94</v>
      </c>
      <c r="Y59" s="30" t="s">
        <v>95</v>
      </c>
      <c r="Z59" s="30" t="s">
        <v>96</v>
      </c>
      <c r="AA59" s="55"/>
      <c r="AB59" s="56"/>
      <c r="AC59" s="56"/>
      <c r="AD59" s="56"/>
      <c r="AE59" s="56"/>
      <c r="AF59" s="56"/>
    </row>
    <row r="60" spans="1:32" ht="21.25" customHeight="1" x14ac:dyDescent="0.15">
      <c r="A60" s="23"/>
      <c r="B60" s="57" t="str">
        <f>IFERROR(VLOOKUP($A60,'The List'!$B1:$AS727,3,FALSE)," ")</f>
        <v xml:space="preserve"> </v>
      </c>
      <c r="C60" s="61" t="str">
        <f>IFERROR(VLOOKUP($A60,'The List'!$B1:$AS727,4,FALSE)," ")</f>
        <v xml:space="preserve"> </v>
      </c>
      <c r="D60" s="35" t="str">
        <f>IFERROR(VLOOKUP($A60,'The List'!$B1:$AS727,5,FALSE)," ")</f>
        <v xml:space="preserve"> </v>
      </c>
      <c r="E60" s="35" t="str">
        <f>IFERROR(VLOOKUP($A60,'The List'!$B1:$AS727,6,FALSE)," ")</f>
        <v xml:space="preserve"> </v>
      </c>
      <c r="F60" s="52" t="str">
        <f>IFERROR(VLOOKUP($A60,'The List'!$B1:$AS727,8,FALSE)," ")</f>
        <v xml:space="preserve"> </v>
      </c>
      <c r="G60" s="52" t="str">
        <f>IFERROR(VLOOKUP($A60,'The List'!$B1:$AS727,10,FALSE)," ")</f>
        <v xml:space="preserve"> </v>
      </c>
      <c r="H60" s="39"/>
      <c r="I60" s="53" t="str">
        <f>IFERROR(VLOOKUP($A60,'The List'!$B1:$AS727,16,FALSE)," ")</f>
        <v xml:space="preserve"> </v>
      </c>
      <c r="J60" s="53" t="str">
        <f>IFERROR(VLOOKUP($A60,'The List'!$B1:$AS727,17,FALSE)," ")</f>
        <v xml:space="preserve"> </v>
      </c>
      <c r="K60" s="53" t="str">
        <f>IFERROR(VLOOKUP($A60,'The List'!$B1:$AS727,18,FALSE)," ")</f>
        <v xml:space="preserve"> </v>
      </c>
      <c r="L60" s="53" t="str">
        <f>IFERROR(VLOOKUP($A60,'The List'!$B1:$AS727,19,FALSE)," ")</f>
        <v xml:space="preserve"> </v>
      </c>
      <c r="M60" s="53" t="str">
        <f>IFERROR(VLOOKUP($A60,'The List'!$B1:$AS727,20,FALSE)," ")</f>
        <v xml:space="preserve"> </v>
      </c>
      <c r="N60" s="53" t="str">
        <f>IFERROR(VLOOKUP($A60,'The List'!$B1:$AS727,21,FALSE)," ")</f>
        <v xml:space="preserve"> </v>
      </c>
      <c r="O60" s="53" t="str">
        <f>IFERROR(VLOOKUP($A60,'The List'!$B1:$AS727,22,FALSE)," ")</f>
        <v xml:space="preserve"> </v>
      </c>
      <c r="P60" s="53" t="str">
        <f>IFERROR(VLOOKUP($A60,'The List'!$B1:$AS727,23,FALSE)," ")</f>
        <v xml:space="preserve"> </v>
      </c>
      <c r="Q60" s="53" t="str">
        <f>IFERROR(VLOOKUP($A60,'The List'!$B1:$AS727,24,FALSE)," ")</f>
        <v xml:space="preserve"> </v>
      </c>
      <c r="R60" s="53" t="str">
        <f>IFERROR(VLOOKUP($A60,'The List'!$B1:$AS727,25,FALSE)," ")</f>
        <v xml:space="preserve"> </v>
      </c>
      <c r="S60" s="53" t="str">
        <f>IFERROR(VLOOKUP($A60,'The List'!$B1:$AS727,26,FALSE)," ")</f>
        <v xml:space="preserve"> </v>
      </c>
      <c r="T60" s="53" t="str">
        <f>IFERROR(VLOOKUP($A60,'The List'!$B1:$AS727,27,FALSE)," ")</f>
        <v xml:space="preserve"> </v>
      </c>
      <c r="U60" s="53" t="str">
        <f>IFERROR(VLOOKUP($A60,'The List'!$B1:$AS727,28,FALSE)," ")</f>
        <v xml:space="preserve"> </v>
      </c>
      <c r="V60" s="53" t="str">
        <f>IFERROR(VLOOKUP($A60,'The List'!$B1:$AS727,29,FALSE)," ")</f>
        <v xml:space="preserve"> </v>
      </c>
      <c r="W60" s="53" t="str">
        <f>IFERROR(VLOOKUP($A60,'The List'!$B1:$AS727,30,FALSE)," ")</f>
        <v xml:space="preserve"> </v>
      </c>
      <c r="X60" s="53" t="str">
        <f>IFERROR(VLOOKUP($A60,'The List'!$B1:$AS727,31,FALSE)," ")</f>
        <v xml:space="preserve"> </v>
      </c>
      <c r="Y60" s="53" t="str">
        <f>IFERROR(VLOOKUP($A60,'The List'!$B1:$AS727,32,FALSE)," ")</f>
        <v xml:space="preserve"> </v>
      </c>
      <c r="Z60" s="53" t="str">
        <f>IFERROR(VLOOKUP($A60,'The List'!$B1:$AS727,33,FALSE)," ")</f>
        <v xml:space="preserve"> </v>
      </c>
      <c r="AA60" s="55"/>
      <c r="AB60" s="60"/>
      <c r="AC60" s="60"/>
      <c r="AD60" s="60"/>
      <c r="AE60" s="60"/>
      <c r="AF60" s="60"/>
    </row>
    <row r="61" spans="1:32" ht="21.25" customHeight="1" x14ac:dyDescent="0.15">
      <c r="A61" s="23"/>
      <c r="B61" s="57" t="str">
        <f>IFERROR(VLOOKUP($A61,'The List'!$B1:$AS727,3,FALSE)," ")</f>
        <v xml:space="preserve"> </v>
      </c>
      <c r="C61" s="61" t="str">
        <f>IFERROR(VLOOKUP($A61,'The List'!$B1:$AS727,4,FALSE)," ")</f>
        <v xml:space="preserve"> </v>
      </c>
      <c r="D61" s="35" t="str">
        <f>IFERROR(VLOOKUP($A61,'The List'!$B1:$AS727,5,FALSE)," ")</f>
        <v xml:space="preserve"> </v>
      </c>
      <c r="E61" s="35" t="str">
        <f>IFERROR(VLOOKUP($A61,'The List'!$B1:$AS727,6,FALSE)," ")</f>
        <v xml:space="preserve"> </v>
      </c>
      <c r="F61" s="52" t="str">
        <f>IFERROR(VLOOKUP($A61,'The List'!$B1:$AS727,8,FALSE)," ")</f>
        <v xml:space="preserve"> </v>
      </c>
      <c r="G61" s="52" t="str">
        <f>IFERROR(VLOOKUP($A61,'The List'!$B1:$AS727,10,FALSE)," ")</f>
        <v xml:space="preserve"> </v>
      </c>
      <c r="H61" s="39"/>
      <c r="I61" s="53" t="str">
        <f>IFERROR(VLOOKUP($A61,'The List'!$B1:$AS727,16,FALSE)," ")</f>
        <v xml:space="preserve"> </v>
      </c>
      <c r="J61" s="53" t="str">
        <f>IFERROR(VLOOKUP($A61,'The List'!$B1:$AS727,17,FALSE)," ")</f>
        <v xml:space="preserve"> </v>
      </c>
      <c r="K61" s="53" t="str">
        <f>IFERROR(VLOOKUP($A61,'The List'!$B1:$AS727,18,FALSE)," ")</f>
        <v xml:space="preserve"> </v>
      </c>
      <c r="L61" s="53" t="str">
        <f>IFERROR(VLOOKUP($A61,'The List'!$B1:$AS727,19,FALSE)," ")</f>
        <v xml:space="preserve"> </v>
      </c>
      <c r="M61" s="53" t="str">
        <f>IFERROR(VLOOKUP($A61,'The List'!$B1:$AS727,20,FALSE)," ")</f>
        <v xml:space="preserve"> </v>
      </c>
      <c r="N61" s="53" t="str">
        <f>IFERROR(VLOOKUP($A61,'The List'!$B1:$AS727,21,FALSE)," ")</f>
        <v xml:space="preserve"> </v>
      </c>
      <c r="O61" s="53" t="str">
        <f>IFERROR(VLOOKUP($A61,'The List'!$B1:$AS727,22,FALSE)," ")</f>
        <v xml:space="preserve"> </v>
      </c>
      <c r="P61" s="53" t="str">
        <f>IFERROR(VLOOKUP($A61,'The List'!$B1:$AS727,23,FALSE)," ")</f>
        <v xml:space="preserve"> </v>
      </c>
      <c r="Q61" s="53" t="str">
        <f>IFERROR(VLOOKUP($A61,'The List'!$B1:$AS727,24,FALSE)," ")</f>
        <v xml:space="preserve"> </v>
      </c>
      <c r="R61" s="53" t="str">
        <f>IFERROR(VLOOKUP($A61,'The List'!$B1:$AS727,25,FALSE)," ")</f>
        <v xml:space="preserve"> </v>
      </c>
      <c r="S61" s="53" t="str">
        <f>IFERROR(VLOOKUP($A61,'The List'!$B1:$AS727,26,FALSE)," ")</f>
        <v xml:space="preserve"> </v>
      </c>
      <c r="T61" s="53" t="str">
        <f>IFERROR(VLOOKUP($A61,'The List'!$B1:$AS727,27,FALSE)," ")</f>
        <v xml:space="preserve"> </v>
      </c>
      <c r="U61" s="53" t="str">
        <f>IFERROR(VLOOKUP($A61,'The List'!$B1:$AS727,28,FALSE)," ")</f>
        <v xml:space="preserve"> </v>
      </c>
      <c r="V61" s="53" t="str">
        <f>IFERROR(VLOOKUP($A61,'The List'!$B1:$AS727,29,FALSE)," ")</f>
        <v xml:space="preserve"> </v>
      </c>
      <c r="W61" s="53" t="str">
        <f>IFERROR(VLOOKUP($A61,'The List'!$B1:$AS727,30,FALSE)," ")</f>
        <v xml:space="preserve"> </v>
      </c>
      <c r="X61" s="53" t="str">
        <f>IFERROR(VLOOKUP($A61,'The List'!$B1:$AS727,31,FALSE)," ")</f>
        <v xml:space="preserve"> </v>
      </c>
      <c r="Y61" s="53" t="str">
        <f>IFERROR(VLOOKUP($A61,'The List'!$B1:$AS727,32,FALSE)," ")</f>
        <v xml:space="preserve"> </v>
      </c>
      <c r="Z61" s="53" t="str">
        <f>IFERROR(VLOOKUP($A61,'The List'!$B1:$AS727,33,FALSE)," ")</f>
        <v xml:space="preserve"> </v>
      </c>
      <c r="AA61" s="55"/>
      <c r="AB61" s="60"/>
      <c r="AC61" s="60"/>
      <c r="AD61" s="60"/>
      <c r="AE61" s="60"/>
      <c r="AF61" s="60"/>
    </row>
    <row r="62" spans="1:32" ht="21.25" customHeight="1" x14ac:dyDescent="0.15">
      <c r="A62" s="23"/>
      <c r="B62" s="57" t="str">
        <f>IFERROR(VLOOKUP($A62,'The List'!$B1:$AS727,3,FALSE)," ")</f>
        <v xml:space="preserve"> </v>
      </c>
      <c r="C62" s="61" t="str">
        <f>IFERROR(VLOOKUP($A62,'The List'!$B1:$AS727,4,FALSE)," ")</f>
        <v xml:space="preserve"> </v>
      </c>
      <c r="D62" s="35" t="str">
        <f>IFERROR(VLOOKUP($A62,'The List'!$B1:$AS727,5,FALSE)," ")</f>
        <v xml:space="preserve"> </v>
      </c>
      <c r="E62" s="35" t="str">
        <f>IFERROR(VLOOKUP($A62,'The List'!$B1:$AS727,6,FALSE)," ")</f>
        <v xml:space="preserve"> </v>
      </c>
      <c r="F62" s="52" t="str">
        <f>IFERROR(VLOOKUP($A62,'The List'!$B1:$AS727,8,FALSE)," ")</f>
        <v xml:space="preserve"> </v>
      </c>
      <c r="G62" s="52" t="str">
        <f>IFERROR(VLOOKUP($A62,'The List'!$B1:$AS727,10,FALSE)," ")</f>
        <v xml:space="preserve"> </v>
      </c>
      <c r="H62" s="39"/>
      <c r="I62" s="53" t="str">
        <f>IFERROR(VLOOKUP($A62,'The List'!$B1:$AS727,16,FALSE)," ")</f>
        <v xml:space="preserve"> </v>
      </c>
      <c r="J62" s="53" t="str">
        <f>IFERROR(VLOOKUP($A62,'The List'!$B1:$AS727,17,FALSE)," ")</f>
        <v xml:space="preserve"> </v>
      </c>
      <c r="K62" s="53" t="str">
        <f>IFERROR(VLOOKUP($A62,'The List'!$B1:$AS727,18,FALSE)," ")</f>
        <v xml:space="preserve"> </v>
      </c>
      <c r="L62" s="53" t="str">
        <f>IFERROR(VLOOKUP($A62,'The List'!$B1:$AS727,19,FALSE)," ")</f>
        <v xml:space="preserve"> </v>
      </c>
      <c r="M62" s="53" t="str">
        <f>IFERROR(VLOOKUP($A62,'The List'!$B1:$AS727,20,FALSE)," ")</f>
        <v xml:space="preserve"> </v>
      </c>
      <c r="N62" s="53" t="str">
        <f>IFERROR(VLOOKUP($A62,'The List'!$B1:$AS727,21,FALSE)," ")</f>
        <v xml:space="preserve"> </v>
      </c>
      <c r="O62" s="53" t="str">
        <f>IFERROR(VLOOKUP($A62,'The List'!$B1:$AS727,22,FALSE)," ")</f>
        <v xml:space="preserve"> </v>
      </c>
      <c r="P62" s="53" t="str">
        <f>IFERROR(VLOOKUP($A62,'The List'!$B1:$AS727,23,FALSE)," ")</f>
        <v xml:space="preserve"> </v>
      </c>
      <c r="Q62" s="53" t="str">
        <f>IFERROR(VLOOKUP($A62,'The List'!$B1:$AS727,24,FALSE)," ")</f>
        <v xml:space="preserve"> </v>
      </c>
      <c r="R62" s="53" t="str">
        <f>IFERROR(VLOOKUP($A62,'The List'!$B1:$AS727,25,FALSE)," ")</f>
        <v xml:space="preserve"> </v>
      </c>
      <c r="S62" s="53" t="str">
        <f>IFERROR(VLOOKUP($A62,'The List'!$B1:$AS727,26,FALSE)," ")</f>
        <v xml:space="preserve"> </v>
      </c>
      <c r="T62" s="53" t="str">
        <f>IFERROR(VLOOKUP($A62,'The List'!$B1:$AS727,27,FALSE)," ")</f>
        <v xml:space="preserve"> </v>
      </c>
      <c r="U62" s="53" t="str">
        <f>IFERROR(VLOOKUP($A62,'The List'!$B1:$AS727,28,FALSE)," ")</f>
        <v xml:space="preserve"> </v>
      </c>
      <c r="V62" s="53" t="str">
        <f>IFERROR(VLOOKUP($A62,'The List'!$B1:$AS727,29,FALSE)," ")</f>
        <v xml:space="preserve"> </v>
      </c>
      <c r="W62" s="53" t="str">
        <f>IFERROR(VLOOKUP($A62,'The List'!$B1:$AS727,30,FALSE)," ")</f>
        <v xml:space="preserve"> </v>
      </c>
      <c r="X62" s="53" t="str">
        <f>IFERROR(VLOOKUP($A62,'The List'!$B1:$AS727,31,FALSE)," ")</f>
        <v xml:space="preserve"> </v>
      </c>
      <c r="Y62" s="53" t="str">
        <f>IFERROR(VLOOKUP($A62,'The List'!$B1:$AS727,32,FALSE)," ")</f>
        <v xml:space="preserve"> </v>
      </c>
      <c r="Z62" s="53" t="str">
        <f>IFERROR(VLOOKUP($A62,'The List'!$B1:$AS727,33,FALSE)," ")</f>
        <v xml:space="preserve"> </v>
      </c>
      <c r="AA62" s="55"/>
      <c r="AB62" s="60"/>
      <c r="AC62" s="60"/>
      <c r="AD62" s="60"/>
      <c r="AE62" s="60"/>
      <c r="AF62" s="60"/>
    </row>
    <row r="63" spans="1:32" ht="21.25" customHeight="1" x14ac:dyDescent="0.15">
      <c r="A63" s="23"/>
      <c r="B63" s="57" t="str">
        <f>IFERROR(VLOOKUP($A63,'The List'!$B1:$AS727,3,FALSE)," ")</f>
        <v xml:space="preserve"> </v>
      </c>
      <c r="C63" s="61" t="str">
        <f>IFERROR(VLOOKUP($A63,'The List'!$B1:$AS727,4,FALSE)," ")</f>
        <v xml:space="preserve"> </v>
      </c>
      <c r="D63" s="35" t="str">
        <f>IFERROR(VLOOKUP($A63,'The List'!$B1:$AS727,5,FALSE)," ")</f>
        <v xml:space="preserve"> </v>
      </c>
      <c r="E63" s="35" t="str">
        <f>IFERROR(VLOOKUP($A63,'The List'!$B1:$AS727,6,FALSE)," ")</f>
        <v xml:space="preserve"> </v>
      </c>
      <c r="F63" s="52" t="str">
        <f>IFERROR(VLOOKUP($A63,'The List'!$B1:$AS727,8,FALSE)," ")</f>
        <v xml:space="preserve"> </v>
      </c>
      <c r="G63" s="52" t="str">
        <f>IFERROR(VLOOKUP($A63,'The List'!$B1:$AS727,10,FALSE)," ")</f>
        <v xml:space="preserve"> </v>
      </c>
      <c r="H63" s="39"/>
      <c r="I63" s="53" t="str">
        <f>IFERROR(VLOOKUP($A63,'The List'!$B1:$AS727,16,FALSE)," ")</f>
        <v xml:space="preserve"> </v>
      </c>
      <c r="J63" s="53" t="str">
        <f>IFERROR(VLOOKUP($A63,'The List'!$B1:$AS727,17,FALSE)," ")</f>
        <v xml:space="preserve"> </v>
      </c>
      <c r="K63" s="53" t="str">
        <f>IFERROR(VLOOKUP($A63,'The List'!$B1:$AS727,18,FALSE)," ")</f>
        <v xml:space="preserve"> </v>
      </c>
      <c r="L63" s="53" t="str">
        <f>IFERROR(VLOOKUP($A63,'The List'!$B1:$AS727,19,FALSE)," ")</f>
        <v xml:space="preserve"> </v>
      </c>
      <c r="M63" s="53" t="str">
        <f>IFERROR(VLOOKUP($A63,'The List'!$B1:$AS727,20,FALSE)," ")</f>
        <v xml:space="preserve"> </v>
      </c>
      <c r="N63" s="53" t="str">
        <f>IFERROR(VLOOKUP($A63,'The List'!$B1:$AS727,21,FALSE)," ")</f>
        <v xml:space="preserve"> </v>
      </c>
      <c r="O63" s="53" t="str">
        <f>IFERROR(VLOOKUP($A63,'The List'!$B1:$AS727,22,FALSE)," ")</f>
        <v xml:space="preserve"> </v>
      </c>
      <c r="P63" s="53" t="str">
        <f>IFERROR(VLOOKUP($A63,'The List'!$B1:$AS727,23,FALSE)," ")</f>
        <v xml:space="preserve"> </v>
      </c>
      <c r="Q63" s="53" t="str">
        <f>IFERROR(VLOOKUP($A63,'The List'!$B1:$AS727,24,FALSE)," ")</f>
        <v xml:space="preserve"> </v>
      </c>
      <c r="R63" s="53" t="str">
        <f>IFERROR(VLOOKUP($A63,'The List'!$B1:$AS727,25,FALSE)," ")</f>
        <v xml:space="preserve"> </v>
      </c>
      <c r="S63" s="53" t="str">
        <f>IFERROR(VLOOKUP($A63,'The List'!$B1:$AS727,26,FALSE)," ")</f>
        <v xml:space="preserve"> </v>
      </c>
      <c r="T63" s="53" t="str">
        <f>IFERROR(VLOOKUP($A63,'The List'!$B1:$AS727,27,FALSE)," ")</f>
        <v xml:space="preserve"> </v>
      </c>
      <c r="U63" s="53" t="str">
        <f>IFERROR(VLOOKUP($A63,'The List'!$B1:$AS727,28,FALSE)," ")</f>
        <v xml:space="preserve"> </v>
      </c>
      <c r="V63" s="53" t="str">
        <f>IFERROR(VLOOKUP($A63,'The List'!$B1:$AS727,29,FALSE)," ")</f>
        <v xml:space="preserve"> </v>
      </c>
      <c r="W63" s="53" t="str">
        <f>IFERROR(VLOOKUP($A63,'The List'!$B1:$AS727,30,FALSE)," ")</f>
        <v xml:space="preserve"> </v>
      </c>
      <c r="X63" s="53" t="str">
        <f>IFERROR(VLOOKUP($A63,'The List'!$B1:$AS727,31,FALSE)," ")</f>
        <v xml:space="preserve"> </v>
      </c>
      <c r="Y63" s="53" t="str">
        <f>IFERROR(VLOOKUP($A63,'The List'!$B1:$AS727,32,FALSE)," ")</f>
        <v xml:space="preserve"> </v>
      </c>
      <c r="Z63" s="53" t="str">
        <f>IFERROR(VLOOKUP($A63,'The List'!$B1:$AS727,33,FALSE)," ")</f>
        <v xml:space="preserve"> </v>
      </c>
      <c r="AA63" s="55"/>
      <c r="AB63" s="60"/>
      <c r="AC63" s="60"/>
      <c r="AD63" s="60"/>
      <c r="AE63" s="60"/>
      <c r="AF63" s="60"/>
    </row>
    <row r="64" spans="1:32" ht="21.25" customHeight="1" x14ac:dyDescent="0.15">
      <c r="A64" s="23"/>
      <c r="B64" s="62" t="str">
        <f>IFERROR(VLOOKUP($A64,'The List'!$B1:$AS727,3,FALSE)," ")</f>
        <v xml:space="preserve"> </v>
      </c>
      <c r="C64" s="64" t="str">
        <f>IFERROR(VLOOKUP($A64,'The List'!$B1:$AS727,4,FALSE)," ")</f>
        <v xml:space="preserve"> </v>
      </c>
      <c r="D64" s="35" t="str">
        <f>IFERROR(VLOOKUP($A64,'The List'!$B1:$AS727,5,FALSE)," ")</f>
        <v xml:space="preserve"> </v>
      </c>
      <c r="E64" s="35" t="str">
        <f>IFERROR(VLOOKUP($A64,'The List'!$B1:$AS727,6,FALSE)," ")</f>
        <v xml:space="preserve"> </v>
      </c>
      <c r="F64" s="52" t="str">
        <f>IFERROR(VLOOKUP($A64,'The List'!$B1:$AS727,8,FALSE)," ")</f>
        <v xml:space="preserve"> </v>
      </c>
      <c r="G64" s="52" t="str">
        <f>IFERROR(VLOOKUP($A64,'The List'!$B1:$AS727,10,FALSE)," ")</f>
        <v xml:space="preserve"> </v>
      </c>
      <c r="H64" s="39"/>
      <c r="I64" s="53" t="str">
        <f>IFERROR(VLOOKUP($A64,'The List'!$B1:$AS727,16,FALSE)," ")</f>
        <v xml:space="preserve"> </v>
      </c>
      <c r="J64" s="53" t="str">
        <f>IFERROR(VLOOKUP($A64,'The List'!$B1:$AS727,17,FALSE)," ")</f>
        <v xml:space="preserve"> </v>
      </c>
      <c r="K64" s="53" t="str">
        <f>IFERROR(VLOOKUP($A64,'The List'!$B1:$AS727,18,FALSE)," ")</f>
        <v xml:space="preserve"> </v>
      </c>
      <c r="L64" s="53" t="str">
        <f>IFERROR(VLOOKUP($A64,'The List'!$B1:$AS727,19,FALSE)," ")</f>
        <v xml:space="preserve"> </v>
      </c>
      <c r="M64" s="53" t="str">
        <f>IFERROR(VLOOKUP($A64,'The List'!$B1:$AS727,20,FALSE)," ")</f>
        <v xml:space="preserve"> </v>
      </c>
      <c r="N64" s="53" t="str">
        <f>IFERROR(VLOOKUP($A64,'The List'!$B1:$AS727,21,FALSE)," ")</f>
        <v xml:space="preserve"> </v>
      </c>
      <c r="O64" s="53" t="str">
        <f>IFERROR(VLOOKUP($A64,'The List'!$B1:$AS727,22,FALSE)," ")</f>
        <v xml:space="preserve"> </v>
      </c>
      <c r="P64" s="53" t="str">
        <f>IFERROR(VLOOKUP($A64,'The List'!$B1:$AS727,23,FALSE)," ")</f>
        <v xml:space="preserve"> </v>
      </c>
      <c r="Q64" s="53" t="str">
        <f>IFERROR(VLOOKUP($A64,'The List'!$B1:$AS727,24,FALSE)," ")</f>
        <v xml:space="preserve"> </v>
      </c>
      <c r="R64" s="53" t="str">
        <f>IFERROR(VLOOKUP($A64,'The List'!$B1:$AS727,25,FALSE)," ")</f>
        <v xml:space="preserve"> </v>
      </c>
      <c r="S64" s="53" t="str">
        <f>IFERROR(VLOOKUP($A64,'The List'!$B1:$AS727,26,FALSE)," ")</f>
        <v xml:space="preserve"> </v>
      </c>
      <c r="T64" s="53" t="str">
        <f>IFERROR(VLOOKUP($A64,'The List'!$B1:$AS727,27,FALSE)," ")</f>
        <v xml:space="preserve"> </v>
      </c>
      <c r="U64" s="53" t="str">
        <f>IFERROR(VLOOKUP($A64,'The List'!$B1:$AS727,28,FALSE)," ")</f>
        <v xml:space="preserve"> </v>
      </c>
      <c r="V64" s="53" t="str">
        <f>IFERROR(VLOOKUP($A64,'The List'!$B1:$AS727,29,FALSE)," ")</f>
        <v xml:space="preserve"> </v>
      </c>
      <c r="W64" s="53" t="str">
        <f>IFERROR(VLOOKUP($A64,'The List'!$B1:$AS727,30,FALSE)," ")</f>
        <v xml:space="preserve"> </v>
      </c>
      <c r="X64" s="53" t="str">
        <f>IFERROR(VLOOKUP($A64,'The List'!$B1:$AS727,31,FALSE)," ")</f>
        <v xml:space="preserve"> </v>
      </c>
      <c r="Y64" s="53" t="str">
        <f>IFERROR(VLOOKUP($A64,'The List'!$B1:$AS727,32,FALSE)," ")</f>
        <v xml:space="preserve"> </v>
      </c>
      <c r="Z64" s="53" t="str">
        <f>IFERROR(VLOOKUP($A64,'The List'!$B1:$AS727,33,FALSE)," ")</f>
        <v xml:space="preserve"> </v>
      </c>
      <c r="AA64" s="55"/>
      <c r="AB64" s="60"/>
      <c r="AC64" s="60"/>
      <c r="AD64" s="60"/>
      <c r="AE64" s="60"/>
      <c r="AF64" s="60"/>
    </row>
    <row r="65" spans="1:32" ht="21.25" customHeight="1" x14ac:dyDescent="0.15">
      <c r="A65" s="23"/>
      <c r="B65" s="62" t="str">
        <f>IFERROR(VLOOKUP($A65,'The List'!$B1:$AS727,3,FALSE)," ")</f>
        <v xml:space="preserve"> </v>
      </c>
      <c r="C65" s="64" t="str">
        <f>IFERROR(VLOOKUP($A65,'The List'!$B1:$AS727,4,FALSE)," ")</f>
        <v xml:space="preserve"> </v>
      </c>
      <c r="D65" s="35" t="str">
        <f>IFERROR(VLOOKUP($A65,'The List'!$B1:$AS727,5,FALSE)," ")</f>
        <v xml:space="preserve"> </v>
      </c>
      <c r="E65" s="35" t="str">
        <f>IFERROR(VLOOKUP($A65,'The List'!$B1:$AS727,6,FALSE)," ")</f>
        <v xml:space="preserve"> </v>
      </c>
      <c r="F65" s="52" t="str">
        <f>IFERROR(VLOOKUP($A65,'The List'!$B1:$AS727,8,FALSE)," ")</f>
        <v xml:space="preserve"> </v>
      </c>
      <c r="G65" s="52" t="str">
        <f>IFERROR(VLOOKUP($A65,'The List'!$B1:$AS727,10,FALSE)," ")</f>
        <v xml:space="preserve"> </v>
      </c>
      <c r="H65" s="39"/>
      <c r="I65" s="53" t="str">
        <f>IFERROR(VLOOKUP($A65,'The List'!$B1:$AS727,16,FALSE)," ")</f>
        <v xml:space="preserve"> </v>
      </c>
      <c r="J65" s="53" t="str">
        <f>IFERROR(VLOOKUP($A65,'The List'!$B1:$AS727,17,FALSE)," ")</f>
        <v xml:space="preserve"> </v>
      </c>
      <c r="K65" s="53" t="str">
        <f>IFERROR(VLOOKUP($A65,'The List'!$B1:$AS727,18,FALSE)," ")</f>
        <v xml:space="preserve"> </v>
      </c>
      <c r="L65" s="53" t="str">
        <f>IFERROR(VLOOKUP($A65,'The List'!$B1:$AS727,19,FALSE)," ")</f>
        <v xml:space="preserve"> </v>
      </c>
      <c r="M65" s="53" t="str">
        <f>IFERROR(VLOOKUP($A65,'The List'!$B1:$AS727,20,FALSE)," ")</f>
        <v xml:space="preserve"> </v>
      </c>
      <c r="N65" s="53" t="str">
        <f>IFERROR(VLOOKUP($A65,'The List'!$B1:$AS727,21,FALSE)," ")</f>
        <v xml:space="preserve"> </v>
      </c>
      <c r="O65" s="53" t="str">
        <f>IFERROR(VLOOKUP($A65,'The List'!$B1:$AS727,22,FALSE)," ")</f>
        <v xml:space="preserve"> </v>
      </c>
      <c r="P65" s="53" t="str">
        <f>IFERROR(VLOOKUP($A65,'The List'!$B1:$AS727,23,FALSE)," ")</f>
        <v xml:space="preserve"> </v>
      </c>
      <c r="Q65" s="53" t="str">
        <f>IFERROR(VLOOKUP($A65,'The List'!$B1:$AS727,24,FALSE)," ")</f>
        <v xml:space="preserve"> </v>
      </c>
      <c r="R65" s="53" t="str">
        <f>IFERROR(VLOOKUP($A65,'The List'!$B1:$AS727,25,FALSE)," ")</f>
        <v xml:space="preserve"> </v>
      </c>
      <c r="S65" s="53" t="str">
        <f>IFERROR(VLOOKUP($A65,'The List'!$B1:$AS727,26,FALSE)," ")</f>
        <v xml:space="preserve"> </v>
      </c>
      <c r="T65" s="53" t="str">
        <f>IFERROR(VLOOKUP($A65,'The List'!$B1:$AS727,27,FALSE)," ")</f>
        <v xml:space="preserve"> </v>
      </c>
      <c r="U65" s="53" t="str">
        <f>IFERROR(VLOOKUP($A65,'The List'!$B1:$AS727,28,FALSE)," ")</f>
        <v xml:space="preserve"> </v>
      </c>
      <c r="V65" s="53" t="str">
        <f>IFERROR(VLOOKUP($A65,'The List'!$B1:$AS727,29,FALSE)," ")</f>
        <v xml:space="preserve"> </v>
      </c>
      <c r="W65" s="53" t="str">
        <f>IFERROR(VLOOKUP($A65,'The List'!$B1:$AS727,30,FALSE)," ")</f>
        <v xml:space="preserve"> </v>
      </c>
      <c r="X65" s="53" t="str">
        <f>IFERROR(VLOOKUP($A65,'The List'!$B1:$AS727,31,FALSE)," ")</f>
        <v xml:space="preserve"> </v>
      </c>
      <c r="Y65" s="53" t="str">
        <f>IFERROR(VLOOKUP($A65,'The List'!$B1:$AS727,32,FALSE)," ")</f>
        <v xml:space="preserve"> </v>
      </c>
      <c r="Z65" s="53" t="str">
        <f>IFERROR(VLOOKUP($A65,'The List'!$B1:$AS727,33,FALSE)," ")</f>
        <v xml:space="preserve"> </v>
      </c>
      <c r="AA65" s="55"/>
      <c r="AB65" s="60"/>
      <c r="AC65" s="60"/>
      <c r="AD65" s="60"/>
      <c r="AE65" s="60"/>
      <c r="AF65" s="60"/>
    </row>
    <row r="66" spans="1:32" ht="21.25" customHeight="1" x14ac:dyDescent="0.15">
      <c r="A66" s="23"/>
      <c r="B66" s="62" t="str">
        <f>IFERROR(VLOOKUP($A66,'The List'!$B1:$AS727,3,FALSE)," ")</f>
        <v xml:space="preserve"> </v>
      </c>
      <c r="C66" s="64" t="str">
        <f>IFERROR(VLOOKUP($A66,'The List'!$B1:$AS727,4,FALSE)," ")</f>
        <v xml:space="preserve"> </v>
      </c>
      <c r="D66" s="35" t="str">
        <f>IFERROR(VLOOKUP($A66,'The List'!$B1:$AS727,5,FALSE)," ")</f>
        <v xml:space="preserve"> </v>
      </c>
      <c r="E66" s="35" t="str">
        <f>IFERROR(VLOOKUP($A66,'The List'!$B1:$AS727,6,FALSE)," ")</f>
        <v xml:space="preserve"> </v>
      </c>
      <c r="F66" s="52" t="str">
        <f>IFERROR(VLOOKUP($A66,'The List'!$B1:$AS727,8,FALSE)," ")</f>
        <v xml:space="preserve"> </v>
      </c>
      <c r="G66" s="52" t="str">
        <f>IFERROR(VLOOKUP($A66,'The List'!$B1:$AS727,10,FALSE)," ")</f>
        <v xml:space="preserve"> </v>
      </c>
      <c r="H66" s="39"/>
      <c r="I66" s="53" t="str">
        <f>IFERROR(VLOOKUP($A66,'The List'!$B1:$AS727,16,FALSE)," ")</f>
        <v xml:space="preserve"> </v>
      </c>
      <c r="J66" s="53" t="str">
        <f>IFERROR(VLOOKUP($A66,'The List'!$B1:$AS727,17,FALSE)," ")</f>
        <v xml:space="preserve"> </v>
      </c>
      <c r="K66" s="53" t="str">
        <f>IFERROR(VLOOKUP($A66,'The List'!$B1:$AS727,18,FALSE)," ")</f>
        <v xml:space="preserve"> </v>
      </c>
      <c r="L66" s="53" t="str">
        <f>IFERROR(VLOOKUP($A66,'The List'!$B1:$AS727,19,FALSE)," ")</f>
        <v xml:space="preserve"> </v>
      </c>
      <c r="M66" s="53" t="str">
        <f>IFERROR(VLOOKUP($A66,'The List'!$B1:$AS727,20,FALSE)," ")</f>
        <v xml:space="preserve"> </v>
      </c>
      <c r="N66" s="53" t="str">
        <f>IFERROR(VLOOKUP($A66,'The List'!$B1:$AS727,21,FALSE)," ")</f>
        <v xml:space="preserve"> </v>
      </c>
      <c r="O66" s="53" t="str">
        <f>IFERROR(VLOOKUP($A66,'The List'!$B1:$AS727,22,FALSE)," ")</f>
        <v xml:space="preserve"> </v>
      </c>
      <c r="P66" s="53" t="str">
        <f>IFERROR(VLOOKUP($A66,'The List'!$B1:$AS727,23,FALSE)," ")</f>
        <v xml:space="preserve"> </v>
      </c>
      <c r="Q66" s="53" t="str">
        <f>IFERROR(VLOOKUP($A66,'The List'!$B1:$AS727,24,FALSE)," ")</f>
        <v xml:space="preserve"> </v>
      </c>
      <c r="R66" s="53" t="str">
        <f>IFERROR(VLOOKUP($A66,'The List'!$B1:$AS727,25,FALSE)," ")</f>
        <v xml:space="preserve"> </v>
      </c>
      <c r="S66" s="53" t="str">
        <f>IFERROR(VLOOKUP($A66,'The List'!$B1:$AS727,26,FALSE)," ")</f>
        <v xml:space="preserve"> </v>
      </c>
      <c r="T66" s="53" t="str">
        <f>IFERROR(VLOOKUP($A66,'The List'!$B1:$AS727,27,FALSE)," ")</f>
        <v xml:space="preserve"> </v>
      </c>
      <c r="U66" s="53" t="str">
        <f>IFERROR(VLOOKUP($A66,'The List'!$B1:$AS727,28,FALSE)," ")</f>
        <v xml:space="preserve"> </v>
      </c>
      <c r="V66" s="53" t="str">
        <f>IFERROR(VLOOKUP($A66,'The List'!$B1:$AS727,29,FALSE)," ")</f>
        <v xml:space="preserve"> </v>
      </c>
      <c r="W66" s="53" t="str">
        <f>IFERROR(VLOOKUP($A66,'The List'!$B1:$AS727,30,FALSE)," ")</f>
        <v xml:space="preserve"> </v>
      </c>
      <c r="X66" s="53" t="str">
        <f>IFERROR(VLOOKUP($A66,'The List'!$B1:$AS727,31,FALSE)," ")</f>
        <v xml:space="preserve"> </v>
      </c>
      <c r="Y66" s="53" t="str">
        <f>IFERROR(VLOOKUP($A66,'The List'!$B1:$AS727,32,FALSE)," ")</f>
        <v xml:space="preserve"> </v>
      </c>
      <c r="Z66" s="53" t="str">
        <f>IFERROR(VLOOKUP($A66,'The List'!$B1:$AS727,33,FALSE)," ")</f>
        <v xml:space="preserve"> </v>
      </c>
      <c r="AA66" s="55"/>
      <c r="AB66" s="60"/>
      <c r="AC66" s="60"/>
      <c r="AD66" s="60"/>
      <c r="AE66" s="60"/>
      <c r="AF66" s="60"/>
    </row>
    <row r="67" spans="1:32" ht="21.25" customHeight="1" x14ac:dyDescent="0.15">
      <c r="A67" s="23"/>
      <c r="B67" s="62" t="str">
        <f>IFERROR(VLOOKUP($A67,'The List'!$B1:$AS727,3,FALSE)," ")</f>
        <v xml:space="preserve"> </v>
      </c>
      <c r="C67" s="64" t="str">
        <f>IFERROR(VLOOKUP($A67,'The List'!$B1:$AS727,4,FALSE)," ")</f>
        <v xml:space="preserve"> </v>
      </c>
      <c r="D67" s="35" t="str">
        <f>IFERROR(VLOOKUP($A67,'The List'!$B1:$AS727,5,FALSE)," ")</f>
        <v xml:space="preserve"> </v>
      </c>
      <c r="E67" s="35" t="str">
        <f>IFERROR(VLOOKUP($A67,'The List'!$B1:$AS727,6,FALSE)," ")</f>
        <v xml:space="preserve"> </v>
      </c>
      <c r="F67" s="52" t="str">
        <f>IFERROR(VLOOKUP($A67,'The List'!$B1:$AS727,8,FALSE)," ")</f>
        <v xml:space="preserve"> </v>
      </c>
      <c r="G67" s="52" t="str">
        <f>IFERROR(VLOOKUP($A67,'The List'!$B1:$AS727,10,FALSE)," ")</f>
        <v xml:space="preserve"> </v>
      </c>
      <c r="H67" s="39"/>
      <c r="I67" s="53" t="str">
        <f>IFERROR(VLOOKUP($A67,'The List'!$B1:$AS727,16,FALSE)," ")</f>
        <v xml:space="preserve"> </v>
      </c>
      <c r="J67" s="53" t="str">
        <f>IFERROR(VLOOKUP($A67,'The List'!$B1:$AS727,17,FALSE)," ")</f>
        <v xml:space="preserve"> </v>
      </c>
      <c r="K67" s="53" t="str">
        <f>IFERROR(VLOOKUP($A67,'The List'!$B1:$AS727,18,FALSE)," ")</f>
        <v xml:space="preserve"> </v>
      </c>
      <c r="L67" s="53" t="str">
        <f>IFERROR(VLOOKUP($A67,'The List'!$B1:$AS727,19,FALSE)," ")</f>
        <v xml:space="preserve"> </v>
      </c>
      <c r="M67" s="53" t="str">
        <f>IFERROR(VLOOKUP($A67,'The List'!$B1:$AS727,20,FALSE)," ")</f>
        <v xml:space="preserve"> </v>
      </c>
      <c r="N67" s="53" t="str">
        <f>IFERROR(VLOOKUP($A67,'The List'!$B1:$AS727,21,FALSE)," ")</f>
        <v xml:space="preserve"> </v>
      </c>
      <c r="O67" s="53" t="str">
        <f>IFERROR(VLOOKUP($A67,'The List'!$B1:$AS727,22,FALSE)," ")</f>
        <v xml:space="preserve"> </v>
      </c>
      <c r="P67" s="53" t="str">
        <f>IFERROR(VLOOKUP($A67,'The List'!$B1:$AS727,23,FALSE)," ")</f>
        <v xml:space="preserve"> </v>
      </c>
      <c r="Q67" s="53" t="str">
        <f>IFERROR(VLOOKUP($A67,'The List'!$B1:$AS727,24,FALSE)," ")</f>
        <v xml:space="preserve"> </v>
      </c>
      <c r="R67" s="53" t="str">
        <f>IFERROR(VLOOKUP($A67,'The List'!$B1:$AS727,25,FALSE)," ")</f>
        <v xml:space="preserve"> </v>
      </c>
      <c r="S67" s="53" t="str">
        <f>IFERROR(VLOOKUP($A67,'The List'!$B1:$AS727,26,FALSE)," ")</f>
        <v xml:space="preserve"> </v>
      </c>
      <c r="T67" s="53" t="str">
        <f>IFERROR(VLOOKUP($A67,'The List'!$B1:$AS727,27,FALSE)," ")</f>
        <v xml:space="preserve"> </v>
      </c>
      <c r="U67" s="53" t="str">
        <f>IFERROR(VLOOKUP($A67,'The List'!$B1:$AS727,28,FALSE)," ")</f>
        <v xml:space="preserve"> </v>
      </c>
      <c r="V67" s="53" t="str">
        <f>IFERROR(VLOOKUP($A67,'The List'!$B1:$AS727,29,FALSE)," ")</f>
        <v xml:space="preserve"> </v>
      </c>
      <c r="W67" s="53" t="str">
        <f>IFERROR(VLOOKUP($A67,'The List'!$B1:$AS727,30,FALSE)," ")</f>
        <v xml:space="preserve"> </v>
      </c>
      <c r="X67" s="53" t="str">
        <f>IFERROR(VLOOKUP($A67,'The List'!$B1:$AS727,31,FALSE)," ")</f>
        <v xml:space="preserve"> </v>
      </c>
      <c r="Y67" s="53" t="str">
        <f>IFERROR(VLOOKUP($A67,'The List'!$B1:$AS727,32,FALSE)," ")</f>
        <v xml:space="preserve"> </v>
      </c>
      <c r="Z67" s="53" t="str">
        <f>IFERROR(VLOOKUP($A67,'The List'!$B1:$AS727,33,FALSE)," ")</f>
        <v xml:space="preserve"> </v>
      </c>
      <c r="AA67" s="55"/>
      <c r="AB67" s="60"/>
      <c r="AC67" s="60"/>
      <c r="AD67" s="60"/>
      <c r="AE67" s="60"/>
      <c r="AF67" s="60"/>
    </row>
    <row r="68" spans="1:32" ht="21.25" customHeight="1" x14ac:dyDescent="0.15">
      <c r="A68" s="23"/>
      <c r="B68" s="65" t="str">
        <f>IFERROR(VLOOKUP($A68,'The List'!$B1:$AS727,3,FALSE)," ")</f>
        <v xml:space="preserve"> </v>
      </c>
      <c r="C68" s="67" t="str">
        <f>IFERROR(VLOOKUP($A68,'The List'!$B1:$AS727,4,FALSE)," ")</f>
        <v xml:space="preserve"> </v>
      </c>
      <c r="D68" s="35" t="str">
        <f>IFERROR(VLOOKUP($A68,'The List'!$B1:$AS727,5,FALSE)," ")</f>
        <v xml:space="preserve"> </v>
      </c>
      <c r="E68" s="35" t="str">
        <f>IFERROR(VLOOKUP($A68,'The List'!$B1:$AS727,6,FALSE)," ")</f>
        <v xml:space="preserve"> </v>
      </c>
      <c r="F68" s="52" t="str">
        <f>IFERROR(VLOOKUP($A68,'The List'!$B1:$AS727,8,FALSE)," ")</f>
        <v xml:space="preserve"> </v>
      </c>
      <c r="G68" s="52" t="str">
        <f>IFERROR(VLOOKUP($A68,'The List'!$B1:$AS727,10,FALSE)," ")</f>
        <v xml:space="preserve"> </v>
      </c>
      <c r="H68" s="39"/>
      <c r="I68" s="53" t="str">
        <f>IFERROR(VLOOKUP($A68,'The List'!$B1:$AS727,16,FALSE)," ")</f>
        <v xml:space="preserve"> </v>
      </c>
      <c r="J68" s="53" t="str">
        <f>IFERROR(VLOOKUP($A68,'The List'!$B1:$AS727,17,FALSE)," ")</f>
        <v xml:space="preserve"> </v>
      </c>
      <c r="K68" s="53" t="str">
        <f>IFERROR(VLOOKUP($A68,'The List'!$B1:$AS727,18,FALSE)," ")</f>
        <v xml:space="preserve"> </v>
      </c>
      <c r="L68" s="53" t="str">
        <f>IFERROR(VLOOKUP($A68,'The List'!$B1:$AS727,19,FALSE)," ")</f>
        <v xml:space="preserve"> </v>
      </c>
      <c r="M68" s="53" t="str">
        <f>IFERROR(VLOOKUP($A68,'The List'!$B1:$AS727,20,FALSE)," ")</f>
        <v xml:space="preserve"> </v>
      </c>
      <c r="N68" s="53" t="str">
        <f>IFERROR(VLOOKUP($A68,'The List'!$B1:$AS727,21,FALSE)," ")</f>
        <v xml:space="preserve"> </v>
      </c>
      <c r="O68" s="53" t="str">
        <f>IFERROR(VLOOKUP($A68,'The List'!$B1:$AS727,22,FALSE)," ")</f>
        <v xml:space="preserve"> </v>
      </c>
      <c r="P68" s="53" t="str">
        <f>IFERROR(VLOOKUP($A68,'The List'!$B1:$AS727,23,FALSE)," ")</f>
        <v xml:space="preserve"> </v>
      </c>
      <c r="Q68" s="53" t="str">
        <f>IFERROR(VLOOKUP($A68,'The List'!$B1:$AS727,24,FALSE)," ")</f>
        <v xml:space="preserve"> </v>
      </c>
      <c r="R68" s="53" t="str">
        <f>IFERROR(VLOOKUP($A68,'The List'!$B1:$AS727,25,FALSE)," ")</f>
        <v xml:space="preserve"> </v>
      </c>
      <c r="S68" s="53" t="str">
        <f>IFERROR(VLOOKUP($A68,'The List'!$B1:$AS727,26,FALSE)," ")</f>
        <v xml:space="preserve"> </v>
      </c>
      <c r="T68" s="53" t="str">
        <f>IFERROR(VLOOKUP($A68,'The List'!$B1:$AS727,27,FALSE)," ")</f>
        <v xml:space="preserve"> </v>
      </c>
      <c r="U68" s="53" t="str">
        <f>IFERROR(VLOOKUP($A68,'The List'!$B1:$AS727,28,FALSE)," ")</f>
        <v xml:space="preserve"> </v>
      </c>
      <c r="V68" s="53" t="str">
        <f>IFERROR(VLOOKUP($A68,'The List'!$B1:$AS727,29,FALSE)," ")</f>
        <v xml:space="preserve"> </v>
      </c>
      <c r="W68" s="53" t="str">
        <f>IFERROR(VLOOKUP($A68,'The List'!$B1:$AS727,30,FALSE)," ")</f>
        <v xml:space="preserve"> </v>
      </c>
      <c r="X68" s="53" t="str">
        <f>IFERROR(VLOOKUP($A68,'The List'!$B1:$AS727,31,FALSE)," ")</f>
        <v xml:space="preserve"> </v>
      </c>
      <c r="Y68" s="53" t="str">
        <f>IFERROR(VLOOKUP($A68,'The List'!$B1:$AS727,32,FALSE)," ")</f>
        <v xml:space="preserve"> </v>
      </c>
      <c r="Z68" s="53" t="str">
        <f>IFERROR(VLOOKUP($A68,'The List'!$B1:$AS727,33,FALSE)," ")</f>
        <v xml:space="preserve"> </v>
      </c>
      <c r="AA68" s="55"/>
      <c r="AB68" s="60"/>
      <c r="AC68" s="60"/>
      <c r="AD68" s="60"/>
      <c r="AE68" s="60"/>
      <c r="AF68" s="60"/>
    </row>
    <row r="69" spans="1:32" ht="21.25" customHeight="1" x14ac:dyDescent="0.15">
      <c r="A69" s="23"/>
      <c r="B69" s="65" t="str">
        <f>IFERROR(VLOOKUP($A69,'The List'!$B1:$AS727,3,FALSE)," ")</f>
        <v xml:space="preserve"> </v>
      </c>
      <c r="C69" s="67" t="str">
        <f>IFERROR(VLOOKUP($A69,'The List'!$B1:$AS727,4,FALSE)," ")</f>
        <v xml:space="preserve"> </v>
      </c>
      <c r="D69" s="35" t="str">
        <f>IFERROR(VLOOKUP($A69,'The List'!$B1:$AS727,5,FALSE)," ")</f>
        <v xml:space="preserve"> </v>
      </c>
      <c r="E69" s="35" t="str">
        <f>IFERROR(VLOOKUP($A69,'The List'!$B1:$AS727,6,FALSE)," ")</f>
        <v xml:space="preserve"> </v>
      </c>
      <c r="F69" s="52" t="str">
        <f>IFERROR(VLOOKUP($A69,'The List'!$B1:$AS727,8,FALSE)," ")</f>
        <v xml:space="preserve"> </v>
      </c>
      <c r="G69" s="52" t="str">
        <f>IFERROR(VLOOKUP($A69,'The List'!$B1:$AS727,10,FALSE)," ")</f>
        <v xml:space="preserve"> </v>
      </c>
      <c r="H69" s="39"/>
      <c r="I69" s="53" t="str">
        <f>IFERROR(VLOOKUP($A69,'The List'!$B1:$AS727,16,FALSE)," ")</f>
        <v xml:space="preserve"> </v>
      </c>
      <c r="J69" s="53" t="str">
        <f>IFERROR(VLOOKUP($A69,'The List'!$B1:$AS727,17,FALSE)," ")</f>
        <v xml:space="preserve"> </v>
      </c>
      <c r="K69" s="53" t="str">
        <f>IFERROR(VLOOKUP($A69,'The List'!$B1:$AS727,18,FALSE)," ")</f>
        <v xml:space="preserve"> </v>
      </c>
      <c r="L69" s="53" t="str">
        <f>IFERROR(VLOOKUP($A69,'The List'!$B1:$AS727,19,FALSE)," ")</f>
        <v xml:space="preserve"> </v>
      </c>
      <c r="M69" s="53" t="str">
        <f>IFERROR(VLOOKUP($A69,'The List'!$B1:$AS727,20,FALSE)," ")</f>
        <v xml:space="preserve"> </v>
      </c>
      <c r="N69" s="53" t="str">
        <f>IFERROR(VLOOKUP($A69,'The List'!$B1:$AS727,21,FALSE)," ")</f>
        <v xml:space="preserve"> </v>
      </c>
      <c r="O69" s="53" t="str">
        <f>IFERROR(VLOOKUP($A69,'The List'!$B1:$AS727,22,FALSE)," ")</f>
        <v xml:space="preserve"> </v>
      </c>
      <c r="P69" s="53" t="str">
        <f>IFERROR(VLOOKUP($A69,'The List'!$B1:$AS727,23,FALSE)," ")</f>
        <v xml:space="preserve"> </v>
      </c>
      <c r="Q69" s="53" t="str">
        <f>IFERROR(VLOOKUP($A69,'The List'!$B1:$AS727,24,FALSE)," ")</f>
        <v xml:space="preserve"> </v>
      </c>
      <c r="R69" s="53" t="str">
        <f>IFERROR(VLOOKUP($A69,'The List'!$B1:$AS727,25,FALSE)," ")</f>
        <v xml:space="preserve"> </v>
      </c>
      <c r="S69" s="53" t="str">
        <f>IFERROR(VLOOKUP($A69,'The List'!$B1:$AS727,26,FALSE)," ")</f>
        <v xml:space="preserve"> </v>
      </c>
      <c r="T69" s="53" t="str">
        <f>IFERROR(VLOOKUP($A69,'The List'!$B1:$AS727,27,FALSE)," ")</f>
        <v xml:space="preserve"> </v>
      </c>
      <c r="U69" s="53" t="str">
        <f>IFERROR(VLOOKUP($A69,'The List'!$B1:$AS727,28,FALSE)," ")</f>
        <v xml:space="preserve"> </v>
      </c>
      <c r="V69" s="53" t="str">
        <f>IFERROR(VLOOKUP($A69,'The List'!$B1:$AS727,29,FALSE)," ")</f>
        <v xml:space="preserve"> </v>
      </c>
      <c r="W69" s="53" t="str">
        <f>IFERROR(VLOOKUP($A69,'The List'!$B1:$AS727,30,FALSE)," ")</f>
        <v xml:space="preserve"> </v>
      </c>
      <c r="X69" s="53" t="str">
        <f>IFERROR(VLOOKUP($A69,'The List'!$B1:$AS727,31,FALSE)," ")</f>
        <v xml:space="preserve"> </v>
      </c>
      <c r="Y69" s="53" t="str">
        <f>IFERROR(VLOOKUP($A69,'The List'!$B1:$AS727,32,FALSE)," ")</f>
        <v xml:space="preserve"> </v>
      </c>
      <c r="Z69" s="53" t="str">
        <f>IFERROR(VLOOKUP($A69,'The List'!$B1:$AS727,33,FALSE)," ")</f>
        <v xml:space="preserve"> </v>
      </c>
      <c r="AA69" s="55"/>
      <c r="AB69" s="60"/>
      <c r="AC69" s="60"/>
      <c r="AD69" s="60"/>
      <c r="AE69" s="60"/>
      <c r="AF69" s="60"/>
    </row>
    <row r="70" spans="1:32" ht="21.25" customHeight="1" x14ac:dyDescent="0.15">
      <c r="A70" s="23"/>
      <c r="B70" s="65" t="str">
        <f>IFERROR(VLOOKUP($A70,'The List'!$B1:$AS727,3,FALSE)," ")</f>
        <v xml:space="preserve"> </v>
      </c>
      <c r="C70" s="67" t="str">
        <f>IFERROR(VLOOKUP($A70,'The List'!$B1:$AS727,4,FALSE)," ")</f>
        <v xml:space="preserve"> </v>
      </c>
      <c r="D70" s="35" t="str">
        <f>IFERROR(VLOOKUP($A70,'The List'!$B1:$AS727,5,FALSE)," ")</f>
        <v xml:space="preserve"> </v>
      </c>
      <c r="E70" s="35" t="str">
        <f>IFERROR(VLOOKUP($A70,'The List'!$B1:$AS727,6,FALSE)," ")</f>
        <v xml:space="preserve"> </v>
      </c>
      <c r="F70" s="52" t="str">
        <f>IFERROR(VLOOKUP($A70,'The List'!$B1:$AS727,8,FALSE)," ")</f>
        <v xml:space="preserve"> </v>
      </c>
      <c r="G70" s="52" t="str">
        <f>IFERROR(VLOOKUP($A70,'The List'!$B1:$AS727,10,FALSE)," ")</f>
        <v xml:space="preserve"> </v>
      </c>
      <c r="H70" s="39"/>
      <c r="I70" s="53" t="str">
        <f>IFERROR(VLOOKUP($A70,'The List'!$B1:$AS727,16,FALSE)," ")</f>
        <v xml:space="preserve"> </v>
      </c>
      <c r="J70" s="53" t="str">
        <f>IFERROR(VLOOKUP($A70,'The List'!$B1:$AS727,17,FALSE)," ")</f>
        <v xml:space="preserve"> </v>
      </c>
      <c r="K70" s="53" t="str">
        <f>IFERROR(VLOOKUP($A70,'The List'!$B1:$AS727,18,FALSE)," ")</f>
        <v xml:space="preserve"> </v>
      </c>
      <c r="L70" s="53" t="str">
        <f>IFERROR(VLOOKUP($A70,'The List'!$B1:$AS727,19,FALSE)," ")</f>
        <v xml:space="preserve"> </v>
      </c>
      <c r="M70" s="53" t="str">
        <f>IFERROR(VLOOKUP($A70,'The List'!$B1:$AS727,20,FALSE)," ")</f>
        <v xml:space="preserve"> </v>
      </c>
      <c r="N70" s="53" t="str">
        <f>IFERROR(VLOOKUP($A70,'The List'!$B1:$AS727,21,FALSE)," ")</f>
        <v xml:space="preserve"> </v>
      </c>
      <c r="O70" s="53" t="str">
        <f>IFERROR(VLOOKUP($A70,'The List'!$B1:$AS727,22,FALSE)," ")</f>
        <v xml:space="preserve"> </v>
      </c>
      <c r="P70" s="53" t="str">
        <f>IFERROR(VLOOKUP($A70,'The List'!$B1:$AS727,23,FALSE)," ")</f>
        <v xml:space="preserve"> </v>
      </c>
      <c r="Q70" s="53" t="str">
        <f>IFERROR(VLOOKUP($A70,'The List'!$B1:$AS727,24,FALSE)," ")</f>
        <v xml:space="preserve"> </v>
      </c>
      <c r="R70" s="53" t="str">
        <f>IFERROR(VLOOKUP($A70,'The List'!$B1:$AS727,25,FALSE)," ")</f>
        <v xml:space="preserve"> </v>
      </c>
      <c r="S70" s="53" t="str">
        <f>IFERROR(VLOOKUP($A70,'The List'!$B1:$AS727,26,FALSE)," ")</f>
        <v xml:space="preserve"> </v>
      </c>
      <c r="T70" s="53" t="str">
        <f>IFERROR(VLOOKUP($A70,'The List'!$B1:$AS727,27,FALSE)," ")</f>
        <v xml:space="preserve"> </v>
      </c>
      <c r="U70" s="53" t="str">
        <f>IFERROR(VLOOKUP($A70,'The List'!$B1:$AS727,28,FALSE)," ")</f>
        <v xml:space="preserve"> </v>
      </c>
      <c r="V70" s="53" t="str">
        <f>IFERROR(VLOOKUP($A70,'The List'!$B1:$AS727,29,FALSE)," ")</f>
        <v xml:space="preserve"> </v>
      </c>
      <c r="W70" s="53" t="str">
        <f>IFERROR(VLOOKUP($A70,'The List'!$B1:$AS727,30,FALSE)," ")</f>
        <v xml:space="preserve"> </v>
      </c>
      <c r="X70" s="53" t="str">
        <f>IFERROR(VLOOKUP($A70,'The List'!$B1:$AS727,31,FALSE)," ")</f>
        <v xml:space="preserve"> </v>
      </c>
      <c r="Y70" s="53" t="str">
        <f>IFERROR(VLOOKUP($A70,'The List'!$B1:$AS727,32,FALSE)," ")</f>
        <v xml:space="preserve"> </v>
      </c>
      <c r="Z70" s="53" t="str">
        <f>IFERROR(VLOOKUP($A70,'The List'!$B1:$AS727,33,FALSE)," ")</f>
        <v xml:space="preserve"> </v>
      </c>
      <c r="AA70" s="55"/>
      <c r="AB70" s="60"/>
      <c r="AC70" s="60"/>
      <c r="AD70" s="60"/>
      <c r="AE70" s="60"/>
      <c r="AF70" s="60"/>
    </row>
    <row r="71" spans="1:32" ht="21.25" customHeight="1" x14ac:dyDescent="0.15">
      <c r="A71" s="23"/>
      <c r="B71" s="65" t="str">
        <f>IFERROR(VLOOKUP($A71,'The List'!$B1:$AS727,3,FALSE)," ")</f>
        <v xml:space="preserve"> </v>
      </c>
      <c r="C71" s="67" t="str">
        <f>IFERROR(VLOOKUP($A71,'The List'!$B1:$AS727,4,FALSE)," ")</f>
        <v xml:space="preserve"> </v>
      </c>
      <c r="D71" s="35" t="str">
        <f>IFERROR(VLOOKUP($A71,'The List'!$B1:$AS727,5,FALSE)," ")</f>
        <v xml:space="preserve"> </v>
      </c>
      <c r="E71" s="35" t="str">
        <f>IFERROR(VLOOKUP($A71,'The List'!$B1:$AS727,6,FALSE)," ")</f>
        <v xml:space="preserve"> </v>
      </c>
      <c r="F71" s="52" t="str">
        <f>IFERROR(VLOOKUP($A71,'The List'!$B1:$AS727,8,FALSE)," ")</f>
        <v xml:space="preserve"> </v>
      </c>
      <c r="G71" s="52" t="str">
        <f>IFERROR(VLOOKUP($A71,'The List'!$B1:$AS727,10,FALSE)," ")</f>
        <v xml:space="preserve"> </v>
      </c>
      <c r="H71" s="39"/>
      <c r="I71" s="53" t="str">
        <f>IFERROR(VLOOKUP($A71,'The List'!$B1:$AS727,16,FALSE)," ")</f>
        <v xml:space="preserve"> </v>
      </c>
      <c r="J71" s="53" t="str">
        <f>IFERROR(VLOOKUP($A71,'The List'!$B1:$AS727,17,FALSE)," ")</f>
        <v xml:space="preserve"> </v>
      </c>
      <c r="K71" s="53" t="str">
        <f>IFERROR(VLOOKUP($A71,'The List'!$B1:$AS727,18,FALSE)," ")</f>
        <v xml:space="preserve"> </v>
      </c>
      <c r="L71" s="53" t="str">
        <f>IFERROR(VLOOKUP($A71,'The List'!$B1:$AS727,19,FALSE)," ")</f>
        <v xml:space="preserve"> </v>
      </c>
      <c r="M71" s="53" t="str">
        <f>IFERROR(VLOOKUP($A71,'The List'!$B1:$AS727,20,FALSE)," ")</f>
        <v xml:space="preserve"> </v>
      </c>
      <c r="N71" s="53" t="str">
        <f>IFERROR(VLOOKUP($A71,'The List'!$B1:$AS727,21,FALSE)," ")</f>
        <v xml:space="preserve"> </v>
      </c>
      <c r="O71" s="53" t="str">
        <f>IFERROR(VLOOKUP($A71,'The List'!$B1:$AS727,22,FALSE)," ")</f>
        <v xml:space="preserve"> </v>
      </c>
      <c r="P71" s="53" t="str">
        <f>IFERROR(VLOOKUP($A71,'The List'!$B1:$AS727,23,FALSE)," ")</f>
        <v xml:space="preserve"> </v>
      </c>
      <c r="Q71" s="53" t="str">
        <f>IFERROR(VLOOKUP($A71,'The List'!$B1:$AS727,24,FALSE)," ")</f>
        <v xml:space="preserve"> </v>
      </c>
      <c r="R71" s="53" t="str">
        <f>IFERROR(VLOOKUP($A71,'The List'!$B1:$AS727,25,FALSE)," ")</f>
        <v xml:space="preserve"> </v>
      </c>
      <c r="S71" s="53" t="str">
        <f>IFERROR(VLOOKUP($A71,'The List'!$B1:$AS727,26,FALSE)," ")</f>
        <v xml:space="preserve"> </v>
      </c>
      <c r="T71" s="53" t="str">
        <f>IFERROR(VLOOKUP($A71,'The List'!$B1:$AS727,27,FALSE)," ")</f>
        <v xml:space="preserve"> </v>
      </c>
      <c r="U71" s="53" t="str">
        <f>IFERROR(VLOOKUP($A71,'The List'!$B1:$AS727,28,FALSE)," ")</f>
        <v xml:space="preserve"> </v>
      </c>
      <c r="V71" s="53" t="str">
        <f>IFERROR(VLOOKUP($A71,'The List'!$B1:$AS727,29,FALSE)," ")</f>
        <v xml:space="preserve"> </v>
      </c>
      <c r="W71" s="53" t="str">
        <f>IFERROR(VLOOKUP($A71,'The List'!$B1:$AS727,30,FALSE)," ")</f>
        <v xml:space="preserve"> </v>
      </c>
      <c r="X71" s="53" t="str">
        <f>IFERROR(VLOOKUP($A71,'The List'!$B1:$AS727,31,FALSE)," ")</f>
        <v xml:space="preserve"> </v>
      </c>
      <c r="Y71" s="53" t="str">
        <f>IFERROR(VLOOKUP($A71,'The List'!$B1:$AS727,32,FALSE)," ")</f>
        <v xml:space="preserve"> </v>
      </c>
      <c r="Z71" s="53" t="str">
        <f>IFERROR(VLOOKUP($A71,'The List'!$B1:$AS727,33,FALSE)," ")</f>
        <v xml:space="preserve"> </v>
      </c>
      <c r="AA71" s="55"/>
      <c r="AB71" s="60"/>
      <c r="AC71" s="60"/>
      <c r="AD71" s="60"/>
      <c r="AE71" s="60"/>
      <c r="AF71" s="60"/>
    </row>
    <row r="72" spans="1:32" ht="21.25" customHeight="1" x14ac:dyDescent="0.15">
      <c r="A72" s="23"/>
      <c r="B72" s="68" t="str">
        <f>IFERROR(VLOOKUP($A72,'The List'!$B1:$AS727,3,FALSE)," ")</f>
        <v xml:space="preserve"> </v>
      </c>
      <c r="C72" s="70" t="str">
        <f>IFERROR(VLOOKUP($A72,'The List'!$B1:$AS727,4,FALSE)," ")</f>
        <v xml:space="preserve"> </v>
      </c>
      <c r="D72" s="35" t="str">
        <f>IFERROR(VLOOKUP($A72,'The List'!$B1:$AS727,5,FALSE)," ")</f>
        <v xml:space="preserve"> </v>
      </c>
      <c r="E72" s="35" t="str">
        <f>IFERROR(VLOOKUP($A72,'The List'!$B1:$AS727,6,FALSE)," ")</f>
        <v xml:space="preserve"> </v>
      </c>
      <c r="F72" s="52" t="str">
        <f>IFERROR(VLOOKUP($A72,'The List'!$B1:$AS727,8,FALSE)," ")</f>
        <v xml:space="preserve"> </v>
      </c>
      <c r="G72" s="52" t="str">
        <f>IFERROR(VLOOKUP($A72,'The List'!$B1:$AS727,10,FALSE)," ")</f>
        <v xml:space="preserve"> </v>
      </c>
      <c r="H72" s="39"/>
      <c r="I72" s="53" t="str">
        <f>IFERROR(VLOOKUP($A72,'The List'!$B1:$AS727,16,FALSE)," ")</f>
        <v xml:space="preserve"> </v>
      </c>
      <c r="J72" s="53" t="str">
        <f>IFERROR(VLOOKUP($A72,'The List'!$B1:$AS727,17,FALSE)," ")</f>
        <v xml:space="preserve"> </v>
      </c>
      <c r="K72" s="53" t="str">
        <f>IFERROR(VLOOKUP($A72,'The List'!$B1:$AS727,18,FALSE)," ")</f>
        <v xml:space="preserve"> </v>
      </c>
      <c r="L72" s="53" t="str">
        <f>IFERROR(VLOOKUP($A72,'The List'!$B1:$AS727,19,FALSE)," ")</f>
        <v xml:space="preserve"> </v>
      </c>
      <c r="M72" s="53" t="str">
        <f>IFERROR(VLOOKUP($A72,'The List'!$B1:$AS727,20,FALSE)," ")</f>
        <v xml:space="preserve"> </v>
      </c>
      <c r="N72" s="53" t="str">
        <f>IFERROR(VLOOKUP($A72,'The List'!$B1:$AS727,21,FALSE)," ")</f>
        <v xml:space="preserve"> </v>
      </c>
      <c r="O72" s="53" t="str">
        <f>IFERROR(VLOOKUP($A72,'The List'!$B1:$AS727,22,FALSE)," ")</f>
        <v xml:space="preserve"> </v>
      </c>
      <c r="P72" s="53" t="str">
        <f>IFERROR(VLOOKUP($A72,'The List'!$B1:$AS727,23,FALSE)," ")</f>
        <v xml:space="preserve"> </v>
      </c>
      <c r="Q72" s="53" t="str">
        <f>IFERROR(VLOOKUP($A72,'The List'!$B1:$AS727,24,FALSE)," ")</f>
        <v xml:space="preserve"> </v>
      </c>
      <c r="R72" s="53" t="str">
        <f>IFERROR(VLOOKUP($A72,'The List'!$B1:$AS727,25,FALSE)," ")</f>
        <v xml:space="preserve"> </v>
      </c>
      <c r="S72" s="53" t="str">
        <f>IFERROR(VLOOKUP($A72,'The List'!$B1:$AS727,26,FALSE)," ")</f>
        <v xml:space="preserve"> </v>
      </c>
      <c r="T72" s="53" t="str">
        <f>IFERROR(VLOOKUP($A72,'The List'!$B1:$AS727,27,FALSE)," ")</f>
        <v xml:space="preserve"> </v>
      </c>
      <c r="U72" s="53" t="str">
        <f>IFERROR(VLOOKUP($A72,'The List'!$B1:$AS727,28,FALSE)," ")</f>
        <v xml:space="preserve"> </v>
      </c>
      <c r="V72" s="53" t="str">
        <f>IFERROR(VLOOKUP($A72,'The List'!$B1:$AS727,29,FALSE)," ")</f>
        <v xml:space="preserve"> </v>
      </c>
      <c r="W72" s="53" t="str">
        <f>IFERROR(VLOOKUP($A72,'The List'!$B1:$AS727,30,FALSE)," ")</f>
        <v xml:space="preserve"> </v>
      </c>
      <c r="X72" s="53" t="str">
        <f>IFERROR(VLOOKUP($A72,'The List'!$B1:$AS727,31,FALSE)," ")</f>
        <v xml:space="preserve"> </v>
      </c>
      <c r="Y72" s="53" t="str">
        <f>IFERROR(VLOOKUP($A72,'The List'!$B1:$AS727,32,FALSE)," ")</f>
        <v xml:space="preserve"> </v>
      </c>
      <c r="Z72" s="53" t="str">
        <f>IFERROR(VLOOKUP($A72,'The List'!$B1:$AS727,33,FALSE)," ")</f>
        <v xml:space="preserve"> </v>
      </c>
      <c r="AA72" s="55"/>
      <c r="AB72" s="60"/>
      <c r="AC72" s="60"/>
      <c r="AD72" s="60"/>
      <c r="AE72" s="60"/>
      <c r="AF72" s="60"/>
    </row>
    <row r="73" spans="1:32" ht="21.25" customHeight="1" x14ac:dyDescent="0.15">
      <c r="A73" s="23"/>
      <c r="B73" s="68" t="str">
        <f>IFERROR(VLOOKUP($A73,'The List'!$B1:$AS727,3,FALSE)," ")</f>
        <v xml:space="preserve"> </v>
      </c>
      <c r="C73" s="70" t="str">
        <f>IFERROR(VLOOKUP($A73,'The List'!$B1:$AS727,4,FALSE)," ")</f>
        <v xml:space="preserve"> </v>
      </c>
      <c r="D73" s="35" t="str">
        <f>IFERROR(VLOOKUP($A73,'The List'!$B1:$AS727,5,FALSE)," ")</f>
        <v xml:space="preserve"> </v>
      </c>
      <c r="E73" s="35" t="str">
        <f>IFERROR(VLOOKUP($A73,'The List'!$B1:$AS727,6,FALSE)," ")</f>
        <v xml:space="preserve"> </v>
      </c>
      <c r="F73" s="52" t="str">
        <f>IFERROR(VLOOKUP($A73,'The List'!$B1:$AS727,8,FALSE)," ")</f>
        <v xml:space="preserve"> </v>
      </c>
      <c r="G73" s="52" t="str">
        <f>IFERROR(VLOOKUP($A73,'The List'!$B1:$AS727,10,FALSE)," ")</f>
        <v xml:space="preserve"> </v>
      </c>
      <c r="H73" s="39"/>
      <c r="I73" s="53" t="str">
        <f>IFERROR(VLOOKUP($A73,'The List'!$B1:$AS727,16,FALSE)," ")</f>
        <v xml:space="preserve"> </v>
      </c>
      <c r="J73" s="53" t="str">
        <f>IFERROR(VLOOKUP($A73,'The List'!$B1:$AS727,17,FALSE)," ")</f>
        <v xml:space="preserve"> </v>
      </c>
      <c r="K73" s="53" t="str">
        <f>IFERROR(VLOOKUP($A73,'The List'!$B1:$AS727,18,FALSE)," ")</f>
        <v xml:space="preserve"> </v>
      </c>
      <c r="L73" s="53" t="str">
        <f>IFERROR(VLOOKUP($A73,'The List'!$B1:$AS727,19,FALSE)," ")</f>
        <v xml:space="preserve"> </v>
      </c>
      <c r="M73" s="53" t="str">
        <f>IFERROR(VLOOKUP($A73,'The List'!$B1:$AS727,20,FALSE)," ")</f>
        <v xml:space="preserve"> </v>
      </c>
      <c r="N73" s="53" t="str">
        <f>IFERROR(VLOOKUP($A73,'The List'!$B1:$AS727,21,FALSE)," ")</f>
        <v xml:space="preserve"> </v>
      </c>
      <c r="O73" s="53" t="str">
        <f>IFERROR(VLOOKUP($A73,'The List'!$B1:$AS727,22,FALSE)," ")</f>
        <v xml:space="preserve"> </v>
      </c>
      <c r="P73" s="53" t="str">
        <f>IFERROR(VLOOKUP($A73,'The List'!$B1:$AS727,23,FALSE)," ")</f>
        <v xml:space="preserve"> </v>
      </c>
      <c r="Q73" s="53" t="str">
        <f>IFERROR(VLOOKUP($A73,'The List'!$B1:$AS727,24,FALSE)," ")</f>
        <v xml:space="preserve"> </v>
      </c>
      <c r="R73" s="53" t="str">
        <f>IFERROR(VLOOKUP($A73,'The List'!$B1:$AS727,25,FALSE)," ")</f>
        <v xml:space="preserve"> </v>
      </c>
      <c r="S73" s="53" t="str">
        <f>IFERROR(VLOOKUP($A73,'The List'!$B1:$AS727,26,FALSE)," ")</f>
        <v xml:space="preserve"> </v>
      </c>
      <c r="T73" s="53" t="str">
        <f>IFERROR(VLOOKUP($A73,'The List'!$B1:$AS727,27,FALSE)," ")</f>
        <v xml:space="preserve"> </v>
      </c>
      <c r="U73" s="53" t="str">
        <f>IFERROR(VLOOKUP($A73,'The List'!$B1:$AS727,28,FALSE)," ")</f>
        <v xml:space="preserve"> </v>
      </c>
      <c r="V73" s="53" t="str">
        <f>IFERROR(VLOOKUP($A73,'The List'!$B1:$AS727,29,FALSE)," ")</f>
        <v xml:space="preserve"> </v>
      </c>
      <c r="W73" s="53" t="str">
        <f>IFERROR(VLOOKUP($A73,'The List'!$B1:$AS727,30,FALSE)," ")</f>
        <v xml:space="preserve"> </v>
      </c>
      <c r="X73" s="53" t="str">
        <f>IFERROR(VLOOKUP($A73,'The List'!$B1:$AS727,31,FALSE)," ")</f>
        <v xml:space="preserve"> </v>
      </c>
      <c r="Y73" s="53" t="str">
        <f>IFERROR(VLOOKUP($A73,'The List'!$B1:$AS727,32,FALSE)," ")</f>
        <v xml:space="preserve"> </v>
      </c>
      <c r="Z73" s="53" t="str">
        <f>IFERROR(VLOOKUP($A73,'The List'!$B1:$AS727,33,FALSE)," ")</f>
        <v xml:space="preserve"> </v>
      </c>
      <c r="AA73" s="55"/>
      <c r="AB73" s="60"/>
      <c r="AC73" s="60"/>
      <c r="AD73" s="60"/>
      <c r="AE73" s="60"/>
      <c r="AF73" s="60"/>
    </row>
    <row r="74" spans="1:32" ht="21.25" customHeight="1" x14ac:dyDescent="0.15">
      <c r="A74" s="23"/>
      <c r="B74" s="68" t="str">
        <f>IFERROR(VLOOKUP($A74,'The List'!$B1:$AS727,3,FALSE)," ")</f>
        <v xml:space="preserve"> </v>
      </c>
      <c r="C74" s="70" t="str">
        <f>IFERROR(VLOOKUP($A74,'The List'!$B1:$AS727,4,FALSE)," ")</f>
        <v xml:space="preserve"> </v>
      </c>
      <c r="D74" s="35" t="str">
        <f>IFERROR(VLOOKUP($A74,'The List'!$B1:$AS727,5,FALSE)," ")</f>
        <v xml:space="preserve"> </v>
      </c>
      <c r="E74" s="35" t="str">
        <f>IFERROR(VLOOKUP($A74,'The List'!$B1:$AS727,6,FALSE)," ")</f>
        <v xml:space="preserve"> </v>
      </c>
      <c r="F74" s="52" t="str">
        <f>IFERROR(VLOOKUP($A74,'The List'!$B1:$AS727,8,FALSE)," ")</f>
        <v xml:space="preserve"> </v>
      </c>
      <c r="G74" s="52" t="str">
        <f>IFERROR(VLOOKUP($A74,'The List'!$B1:$AS727,10,FALSE)," ")</f>
        <v xml:space="preserve"> </v>
      </c>
      <c r="H74" s="39"/>
      <c r="I74" s="53" t="str">
        <f>IFERROR(VLOOKUP($A74,'The List'!$B1:$AS727,16,FALSE)," ")</f>
        <v xml:space="preserve"> </v>
      </c>
      <c r="J74" s="53" t="str">
        <f>IFERROR(VLOOKUP($A74,'The List'!$B1:$AS727,17,FALSE)," ")</f>
        <v xml:space="preserve"> </v>
      </c>
      <c r="K74" s="53" t="str">
        <f>IFERROR(VLOOKUP($A74,'The List'!$B1:$AS727,18,FALSE)," ")</f>
        <v xml:space="preserve"> </v>
      </c>
      <c r="L74" s="53" t="str">
        <f>IFERROR(VLOOKUP($A74,'The List'!$B1:$AS727,19,FALSE)," ")</f>
        <v xml:space="preserve"> </v>
      </c>
      <c r="M74" s="53" t="str">
        <f>IFERROR(VLOOKUP($A74,'The List'!$B1:$AS727,20,FALSE)," ")</f>
        <v xml:space="preserve"> </v>
      </c>
      <c r="N74" s="53" t="str">
        <f>IFERROR(VLOOKUP($A74,'The List'!$B1:$AS727,21,FALSE)," ")</f>
        <v xml:space="preserve"> </v>
      </c>
      <c r="O74" s="53" t="str">
        <f>IFERROR(VLOOKUP($A74,'The List'!$B1:$AS727,22,FALSE)," ")</f>
        <v xml:space="preserve"> </v>
      </c>
      <c r="P74" s="53" t="str">
        <f>IFERROR(VLOOKUP($A74,'The List'!$B1:$AS727,23,FALSE)," ")</f>
        <v xml:space="preserve"> </v>
      </c>
      <c r="Q74" s="53" t="str">
        <f>IFERROR(VLOOKUP($A74,'The List'!$B1:$AS727,24,FALSE)," ")</f>
        <v xml:space="preserve"> </v>
      </c>
      <c r="R74" s="53" t="str">
        <f>IFERROR(VLOOKUP($A74,'The List'!$B1:$AS727,25,FALSE)," ")</f>
        <v xml:space="preserve"> </v>
      </c>
      <c r="S74" s="53" t="str">
        <f>IFERROR(VLOOKUP($A74,'The List'!$B1:$AS727,26,FALSE)," ")</f>
        <v xml:space="preserve"> </v>
      </c>
      <c r="T74" s="53" t="str">
        <f>IFERROR(VLOOKUP($A74,'The List'!$B1:$AS727,27,FALSE)," ")</f>
        <v xml:space="preserve"> </v>
      </c>
      <c r="U74" s="53" t="str">
        <f>IFERROR(VLOOKUP($A74,'The List'!$B1:$AS727,28,FALSE)," ")</f>
        <v xml:space="preserve"> </v>
      </c>
      <c r="V74" s="53" t="str">
        <f>IFERROR(VLOOKUP($A74,'The List'!$B1:$AS727,29,FALSE)," ")</f>
        <v xml:space="preserve"> </v>
      </c>
      <c r="W74" s="53" t="str">
        <f>IFERROR(VLOOKUP($A74,'The List'!$B1:$AS727,30,FALSE)," ")</f>
        <v xml:space="preserve"> </v>
      </c>
      <c r="X74" s="53" t="str">
        <f>IFERROR(VLOOKUP($A74,'The List'!$B1:$AS727,31,FALSE)," ")</f>
        <v xml:space="preserve"> </v>
      </c>
      <c r="Y74" s="53" t="str">
        <f>IFERROR(VLOOKUP($A74,'The List'!$B1:$AS727,32,FALSE)," ")</f>
        <v xml:space="preserve"> </v>
      </c>
      <c r="Z74" s="53" t="str">
        <f>IFERROR(VLOOKUP($A74,'The List'!$B1:$AS727,33,FALSE)," ")</f>
        <v xml:space="preserve"> </v>
      </c>
      <c r="AA74" s="55"/>
      <c r="AB74" s="60"/>
      <c r="AC74" s="60"/>
      <c r="AD74" s="60"/>
      <c r="AE74" s="60"/>
      <c r="AF74" s="60"/>
    </row>
    <row r="75" spans="1:32" ht="21.25" customHeight="1" x14ac:dyDescent="0.15">
      <c r="A75" s="23"/>
      <c r="B75" s="68" t="str">
        <f>IFERROR(VLOOKUP($A75,'The List'!$B1:$AS727,3,FALSE)," ")</f>
        <v xml:space="preserve"> </v>
      </c>
      <c r="C75" s="70" t="str">
        <f>IFERROR(VLOOKUP($A75,'The List'!$B1:$AS727,4,FALSE)," ")</f>
        <v xml:space="preserve"> </v>
      </c>
      <c r="D75" s="35" t="str">
        <f>IFERROR(VLOOKUP($A75,'The List'!$B1:$AS727,5,FALSE)," ")</f>
        <v xml:space="preserve"> </v>
      </c>
      <c r="E75" s="35" t="str">
        <f>IFERROR(VLOOKUP($A75,'The List'!$B1:$AS727,6,FALSE)," ")</f>
        <v xml:space="preserve"> </v>
      </c>
      <c r="F75" s="52" t="str">
        <f>IFERROR(VLOOKUP($A75,'The List'!$B1:$AS727,8,FALSE)," ")</f>
        <v xml:space="preserve"> </v>
      </c>
      <c r="G75" s="52" t="str">
        <f>IFERROR(VLOOKUP($A75,'The List'!$B1:$AS727,10,FALSE)," ")</f>
        <v xml:space="preserve"> </v>
      </c>
      <c r="H75" s="39"/>
      <c r="I75" s="53" t="str">
        <f>IFERROR(VLOOKUP($A75,'The List'!$B1:$AS727,16,FALSE)," ")</f>
        <v xml:space="preserve"> </v>
      </c>
      <c r="J75" s="53" t="str">
        <f>IFERROR(VLOOKUP($A75,'The List'!$B1:$AS727,17,FALSE)," ")</f>
        <v xml:space="preserve"> </v>
      </c>
      <c r="K75" s="53" t="str">
        <f>IFERROR(VLOOKUP($A75,'The List'!$B1:$AS727,18,FALSE)," ")</f>
        <v xml:space="preserve"> </v>
      </c>
      <c r="L75" s="53" t="str">
        <f>IFERROR(VLOOKUP($A75,'The List'!$B1:$AS727,19,FALSE)," ")</f>
        <v xml:space="preserve"> </v>
      </c>
      <c r="M75" s="53" t="str">
        <f>IFERROR(VLOOKUP($A75,'The List'!$B1:$AS727,20,FALSE)," ")</f>
        <v xml:space="preserve"> </v>
      </c>
      <c r="N75" s="53" t="str">
        <f>IFERROR(VLOOKUP($A75,'The List'!$B1:$AS727,21,FALSE)," ")</f>
        <v xml:space="preserve"> </v>
      </c>
      <c r="O75" s="53" t="str">
        <f>IFERROR(VLOOKUP($A75,'The List'!$B1:$AS727,22,FALSE)," ")</f>
        <v xml:space="preserve"> </v>
      </c>
      <c r="P75" s="53" t="str">
        <f>IFERROR(VLOOKUP($A75,'The List'!$B1:$AS727,23,FALSE)," ")</f>
        <v xml:space="preserve"> </v>
      </c>
      <c r="Q75" s="53" t="str">
        <f>IFERROR(VLOOKUP($A75,'The List'!$B1:$AS727,24,FALSE)," ")</f>
        <v xml:space="preserve"> </v>
      </c>
      <c r="R75" s="53" t="str">
        <f>IFERROR(VLOOKUP($A75,'The List'!$B1:$AS727,25,FALSE)," ")</f>
        <v xml:space="preserve"> </v>
      </c>
      <c r="S75" s="53" t="str">
        <f>IFERROR(VLOOKUP($A75,'The List'!$B1:$AS727,26,FALSE)," ")</f>
        <v xml:space="preserve"> </v>
      </c>
      <c r="T75" s="53" t="str">
        <f>IFERROR(VLOOKUP($A75,'The List'!$B1:$AS727,27,FALSE)," ")</f>
        <v xml:space="preserve"> </v>
      </c>
      <c r="U75" s="53" t="str">
        <f>IFERROR(VLOOKUP($A75,'The List'!$B1:$AS727,28,FALSE)," ")</f>
        <v xml:space="preserve"> </v>
      </c>
      <c r="V75" s="53" t="str">
        <f>IFERROR(VLOOKUP($A75,'The List'!$B1:$AS727,29,FALSE)," ")</f>
        <v xml:space="preserve"> </v>
      </c>
      <c r="W75" s="53" t="str">
        <f>IFERROR(VLOOKUP($A75,'The List'!$B1:$AS727,30,FALSE)," ")</f>
        <v xml:space="preserve"> </v>
      </c>
      <c r="X75" s="53" t="str">
        <f>IFERROR(VLOOKUP($A75,'The List'!$B1:$AS727,31,FALSE)," ")</f>
        <v xml:space="preserve"> </v>
      </c>
      <c r="Y75" s="53" t="str">
        <f>IFERROR(VLOOKUP($A75,'The List'!$B1:$AS727,32,FALSE)," ")</f>
        <v xml:space="preserve"> </v>
      </c>
      <c r="Z75" s="53" t="str">
        <f>IFERROR(VLOOKUP($A75,'The List'!$B1:$AS727,33,FALSE)," ")</f>
        <v xml:space="preserve"> </v>
      </c>
      <c r="AA75" s="55"/>
      <c r="AB75" s="60"/>
      <c r="AC75" s="60"/>
      <c r="AD75" s="60"/>
      <c r="AE75" s="60"/>
      <c r="AF75" s="60"/>
    </row>
    <row r="76" spans="1:32" ht="21.25" customHeight="1" x14ac:dyDescent="0.15">
      <c r="A76" s="23"/>
      <c r="B76" s="68" t="str">
        <f>IFERROR(VLOOKUP($A76,'The List'!$B1:$AS727,3,FALSE)," ")</f>
        <v xml:space="preserve"> </v>
      </c>
      <c r="C76" s="70" t="str">
        <f>IFERROR(VLOOKUP($A76,'The List'!$B1:$AS727,4,FALSE)," ")</f>
        <v xml:space="preserve"> </v>
      </c>
      <c r="D76" s="35" t="str">
        <f>IFERROR(VLOOKUP($A76,'The List'!$B1:$AS727,5,FALSE)," ")</f>
        <v xml:space="preserve"> </v>
      </c>
      <c r="E76" s="35" t="str">
        <f>IFERROR(VLOOKUP($A76,'The List'!$B1:$AS727,6,FALSE)," ")</f>
        <v xml:space="preserve"> </v>
      </c>
      <c r="F76" s="52" t="str">
        <f>IFERROR(VLOOKUP($A76,'The List'!$B1:$AS727,8,FALSE)," ")</f>
        <v xml:space="preserve"> </v>
      </c>
      <c r="G76" s="52" t="str">
        <f>IFERROR(VLOOKUP($A76,'The List'!$B1:$AS727,10,FALSE)," ")</f>
        <v xml:space="preserve"> </v>
      </c>
      <c r="H76" s="39"/>
      <c r="I76" s="53" t="str">
        <f>IFERROR(VLOOKUP($A76,'The List'!$B1:$AS727,16,FALSE)," ")</f>
        <v xml:space="preserve"> </v>
      </c>
      <c r="J76" s="53" t="str">
        <f>IFERROR(VLOOKUP($A76,'The List'!$B1:$AS727,17,FALSE)," ")</f>
        <v xml:space="preserve"> </v>
      </c>
      <c r="K76" s="53" t="str">
        <f>IFERROR(VLOOKUP($A76,'The List'!$B1:$AS727,18,FALSE)," ")</f>
        <v xml:space="preserve"> </v>
      </c>
      <c r="L76" s="53" t="str">
        <f>IFERROR(VLOOKUP($A76,'The List'!$B1:$AS727,19,FALSE)," ")</f>
        <v xml:space="preserve"> </v>
      </c>
      <c r="M76" s="53" t="str">
        <f>IFERROR(VLOOKUP($A76,'The List'!$B1:$AS727,20,FALSE)," ")</f>
        <v xml:space="preserve"> </v>
      </c>
      <c r="N76" s="53" t="str">
        <f>IFERROR(VLOOKUP($A76,'The List'!$B1:$AS727,21,FALSE)," ")</f>
        <v xml:space="preserve"> </v>
      </c>
      <c r="O76" s="53" t="str">
        <f>IFERROR(VLOOKUP($A76,'The List'!$B1:$AS727,22,FALSE)," ")</f>
        <v xml:space="preserve"> </v>
      </c>
      <c r="P76" s="53" t="str">
        <f>IFERROR(VLOOKUP($A76,'The List'!$B1:$AS727,23,FALSE)," ")</f>
        <v xml:space="preserve"> </v>
      </c>
      <c r="Q76" s="53" t="str">
        <f>IFERROR(VLOOKUP($A76,'The List'!$B1:$AS727,24,FALSE)," ")</f>
        <v xml:space="preserve"> </v>
      </c>
      <c r="R76" s="53" t="str">
        <f>IFERROR(VLOOKUP($A76,'The List'!$B1:$AS727,25,FALSE)," ")</f>
        <v xml:space="preserve"> </v>
      </c>
      <c r="S76" s="53" t="str">
        <f>IFERROR(VLOOKUP($A76,'The List'!$B1:$AS727,26,FALSE)," ")</f>
        <v xml:space="preserve"> </v>
      </c>
      <c r="T76" s="53" t="str">
        <f>IFERROR(VLOOKUP($A76,'The List'!$B1:$AS727,27,FALSE)," ")</f>
        <v xml:space="preserve"> </v>
      </c>
      <c r="U76" s="53" t="str">
        <f>IFERROR(VLOOKUP($A76,'The List'!$B1:$AS727,28,FALSE)," ")</f>
        <v xml:space="preserve"> </v>
      </c>
      <c r="V76" s="53" t="str">
        <f>IFERROR(VLOOKUP($A76,'The List'!$B1:$AS727,29,FALSE)," ")</f>
        <v xml:space="preserve"> </v>
      </c>
      <c r="W76" s="53" t="str">
        <f>IFERROR(VLOOKUP($A76,'The List'!$B1:$AS727,30,FALSE)," ")</f>
        <v xml:space="preserve"> </v>
      </c>
      <c r="X76" s="53" t="str">
        <f>IFERROR(VLOOKUP($A76,'The List'!$B1:$AS727,31,FALSE)," ")</f>
        <v xml:space="preserve"> </v>
      </c>
      <c r="Y76" s="53" t="str">
        <f>IFERROR(VLOOKUP($A76,'The List'!$B1:$AS727,32,FALSE)," ")</f>
        <v xml:space="preserve"> </v>
      </c>
      <c r="Z76" s="53" t="str">
        <f>IFERROR(VLOOKUP($A76,'The List'!$B1:$AS727,33,FALSE)," ")</f>
        <v xml:space="preserve"> </v>
      </c>
      <c r="AA76" s="55"/>
      <c r="AB76" s="60"/>
      <c r="AC76" s="60"/>
      <c r="AD76" s="60"/>
      <c r="AE76" s="60"/>
      <c r="AF76" s="60"/>
    </row>
    <row r="77" spans="1:32" ht="21.25" customHeight="1" x14ac:dyDescent="0.15">
      <c r="A77" s="23"/>
      <c r="B77" s="68" t="str">
        <f>IFERROR(VLOOKUP($A77,'The List'!$B1:$AS727,3,FALSE)," ")</f>
        <v xml:space="preserve"> </v>
      </c>
      <c r="C77" s="70" t="str">
        <f>IFERROR(VLOOKUP($A77,'The List'!$B1:$AS727,4,FALSE)," ")</f>
        <v xml:space="preserve"> </v>
      </c>
      <c r="D77" s="35" t="str">
        <f>IFERROR(VLOOKUP($A77,'The List'!$B1:$AS727,5,FALSE)," ")</f>
        <v xml:space="preserve"> </v>
      </c>
      <c r="E77" s="35" t="str">
        <f>IFERROR(VLOOKUP($A77,'The List'!$B1:$AS727,6,FALSE)," ")</f>
        <v xml:space="preserve"> </v>
      </c>
      <c r="F77" s="52" t="str">
        <f>IFERROR(VLOOKUP($A77,'The List'!$B1:$AS727,8,FALSE)," ")</f>
        <v xml:space="preserve"> </v>
      </c>
      <c r="G77" s="52" t="str">
        <f>IFERROR(VLOOKUP($A77,'The List'!$B1:$AS727,10,FALSE)," ")</f>
        <v xml:space="preserve"> </v>
      </c>
      <c r="H77" s="39"/>
      <c r="I77" s="53" t="str">
        <f>IFERROR(VLOOKUP($A77,'The List'!$B1:$AS727,16,FALSE)," ")</f>
        <v xml:space="preserve"> </v>
      </c>
      <c r="J77" s="53" t="str">
        <f>IFERROR(VLOOKUP($A77,'The List'!$B1:$AS727,17,FALSE)," ")</f>
        <v xml:space="preserve"> </v>
      </c>
      <c r="K77" s="53" t="str">
        <f>IFERROR(VLOOKUP($A77,'The List'!$B1:$AS727,18,FALSE)," ")</f>
        <v xml:space="preserve"> </v>
      </c>
      <c r="L77" s="53" t="str">
        <f>IFERROR(VLOOKUP($A77,'The List'!$B1:$AS727,19,FALSE)," ")</f>
        <v xml:space="preserve"> </v>
      </c>
      <c r="M77" s="53" t="str">
        <f>IFERROR(VLOOKUP($A77,'The List'!$B1:$AS727,20,FALSE)," ")</f>
        <v xml:space="preserve"> </v>
      </c>
      <c r="N77" s="53" t="str">
        <f>IFERROR(VLOOKUP($A77,'The List'!$B1:$AS727,21,FALSE)," ")</f>
        <v xml:space="preserve"> </v>
      </c>
      <c r="O77" s="53" t="str">
        <f>IFERROR(VLOOKUP($A77,'The List'!$B1:$AS727,22,FALSE)," ")</f>
        <v xml:space="preserve"> </v>
      </c>
      <c r="P77" s="53" t="str">
        <f>IFERROR(VLOOKUP($A77,'The List'!$B1:$AS727,23,FALSE)," ")</f>
        <v xml:space="preserve"> </v>
      </c>
      <c r="Q77" s="53" t="str">
        <f>IFERROR(VLOOKUP($A77,'The List'!$B1:$AS727,24,FALSE)," ")</f>
        <v xml:space="preserve"> </v>
      </c>
      <c r="R77" s="53" t="str">
        <f>IFERROR(VLOOKUP($A77,'The List'!$B1:$AS727,25,FALSE)," ")</f>
        <v xml:space="preserve"> </v>
      </c>
      <c r="S77" s="53" t="str">
        <f>IFERROR(VLOOKUP($A77,'The List'!$B1:$AS727,26,FALSE)," ")</f>
        <v xml:space="preserve"> </v>
      </c>
      <c r="T77" s="53" t="str">
        <f>IFERROR(VLOOKUP($A77,'The List'!$B1:$AS727,27,FALSE)," ")</f>
        <v xml:space="preserve"> </v>
      </c>
      <c r="U77" s="53" t="str">
        <f>IFERROR(VLOOKUP($A77,'The List'!$B1:$AS727,28,FALSE)," ")</f>
        <v xml:space="preserve"> </v>
      </c>
      <c r="V77" s="53" t="str">
        <f>IFERROR(VLOOKUP($A77,'The List'!$B1:$AS727,29,FALSE)," ")</f>
        <v xml:space="preserve"> </v>
      </c>
      <c r="W77" s="53" t="str">
        <f>IFERROR(VLOOKUP($A77,'The List'!$B1:$AS727,30,FALSE)," ")</f>
        <v xml:space="preserve"> </v>
      </c>
      <c r="X77" s="53" t="str">
        <f>IFERROR(VLOOKUP($A77,'The List'!$B1:$AS727,31,FALSE)," ")</f>
        <v xml:space="preserve"> </v>
      </c>
      <c r="Y77" s="53" t="str">
        <f>IFERROR(VLOOKUP($A77,'The List'!$B1:$AS727,32,FALSE)," ")</f>
        <v xml:space="preserve"> </v>
      </c>
      <c r="Z77" s="53" t="str">
        <f>IFERROR(VLOOKUP($A77,'The List'!$B1:$AS727,33,FALSE)," ")</f>
        <v xml:space="preserve"> </v>
      </c>
      <c r="AA77" s="55"/>
      <c r="AB77" s="60"/>
      <c r="AC77" s="60"/>
      <c r="AD77" s="60"/>
      <c r="AE77" s="60"/>
      <c r="AF77" s="60"/>
    </row>
    <row r="78" spans="1:32" ht="21.25" customHeight="1" x14ac:dyDescent="0.15">
      <c r="A78" s="23"/>
      <c r="B78" s="68" t="str">
        <f>IFERROR(VLOOKUP($A78,'The List'!$B1:$AS727,3,FALSE)," ")</f>
        <v xml:space="preserve"> </v>
      </c>
      <c r="C78" s="70" t="str">
        <f>IFERROR(VLOOKUP($A78,'The List'!$B1:$AS727,4,FALSE)," ")</f>
        <v xml:space="preserve"> </v>
      </c>
      <c r="D78" s="35" t="str">
        <f>IFERROR(VLOOKUP($A78,'The List'!$B1:$AS727,5,FALSE)," ")</f>
        <v xml:space="preserve"> </v>
      </c>
      <c r="E78" s="35" t="str">
        <f>IFERROR(VLOOKUP($A78,'The List'!$B1:$AS727,6,FALSE)," ")</f>
        <v xml:space="preserve"> </v>
      </c>
      <c r="F78" s="52" t="str">
        <f>IFERROR(VLOOKUP($A78,'The List'!$B1:$AS727,8,FALSE)," ")</f>
        <v xml:space="preserve"> </v>
      </c>
      <c r="G78" s="52" t="str">
        <f>IFERROR(VLOOKUP($A78,'The List'!$B1:$AS727,10,FALSE)," ")</f>
        <v xml:space="preserve"> </v>
      </c>
      <c r="H78" s="39"/>
      <c r="I78" s="53" t="str">
        <f>IFERROR(VLOOKUP($A78,'The List'!$B1:$AS727,16,FALSE)," ")</f>
        <v xml:space="preserve"> </v>
      </c>
      <c r="J78" s="53" t="str">
        <f>IFERROR(VLOOKUP($A78,'The List'!$B1:$AS727,17,FALSE)," ")</f>
        <v xml:space="preserve"> </v>
      </c>
      <c r="K78" s="53" t="str">
        <f>IFERROR(VLOOKUP($A78,'The List'!$B1:$AS727,18,FALSE)," ")</f>
        <v xml:space="preserve"> </v>
      </c>
      <c r="L78" s="53" t="str">
        <f>IFERROR(VLOOKUP($A78,'The List'!$B1:$AS727,19,FALSE)," ")</f>
        <v xml:space="preserve"> </v>
      </c>
      <c r="M78" s="53" t="str">
        <f>IFERROR(VLOOKUP($A78,'The List'!$B1:$AS727,20,FALSE)," ")</f>
        <v xml:space="preserve"> </v>
      </c>
      <c r="N78" s="53" t="str">
        <f>IFERROR(VLOOKUP($A78,'The List'!$B1:$AS727,21,FALSE)," ")</f>
        <v xml:space="preserve"> </v>
      </c>
      <c r="O78" s="53" t="str">
        <f>IFERROR(VLOOKUP($A78,'The List'!$B1:$AS727,22,FALSE)," ")</f>
        <v xml:space="preserve"> </v>
      </c>
      <c r="P78" s="53" t="str">
        <f>IFERROR(VLOOKUP($A78,'The List'!$B1:$AS727,23,FALSE)," ")</f>
        <v xml:space="preserve"> </v>
      </c>
      <c r="Q78" s="53" t="str">
        <f>IFERROR(VLOOKUP($A78,'The List'!$B1:$AS727,24,FALSE)," ")</f>
        <v xml:space="preserve"> </v>
      </c>
      <c r="R78" s="53" t="str">
        <f>IFERROR(VLOOKUP($A78,'The List'!$B1:$AS727,25,FALSE)," ")</f>
        <v xml:space="preserve"> </v>
      </c>
      <c r="S78" s="53" t="str">
        <f>IFERROR(VLOOKUP($A78,'The List'!$B1:$AS727,26,FALSE)," ")</f>
        <v xml:space="preserve"> </v>
      </c>
      <c r="T78" s="53" t="str">
        <f>IFERROR(VLOOKUP($A78,'The List'!$B1:$AS727,27,FALSE)," ")</f>
        <v xml:space="preserve"> </v>
      </c>
      <c r="U78" s="53" t="str">
        <f>IFERROR(VLOOKUP($A78,'The List'!$B1:$AS727,28,FALSE)," ")</f>
        <v xml:space="preserve"> </v>
      </c>
      <c r="V78" s="53" t="str">
        <f>IFERROR(VLOOKUP($A78,'The List'!$B1:$AS727,29,FALSE)," ")</f>
        <v xml:space="preserve"> </v>
      </c>
      <c r="W78" s="53" t="str">
        <f>IFERROR(VLOOKUP($A78,'The List'!$B1:$AS727,30,FALSE)," ")</f>
        <v xml:space="preserve"> </v>
      </c>
      <c r="X78" s="53" t="str">
        <f>IFERROR(VLOOKUP($A78,'The List'!$B1:$AS727,31,FALSE)," ")</f>
        <v xml:space="preserve"> </v>
      </c>
      <c r="Y78" s="53" t="str">
        <f>IFERROR(VLOOKUP($A78,'The List'!$B1:$AS727,32,FALSE)," ")</f>
        <v xml:space="preserve"> </v>
      </c>
      <c r="Z78" s="53" t="str">
        <f>IFERROR(VLOOKUP($A78,'The List'!$B1:$AS727,33,FALSE)," ")</f>
        <v xml:space="preserve"> </v>
      </c>
      <c r="AA78" s="55"/>
      <c r="AB78" s="60"/>
      <c r="AC78" s="60"/>
      <c r="AD78" s="60"/>
      <c r="AE78" s="60"/>
      <c r="AF78" s="60"/>
    </row>
    <row r="79" spans="1:32" ht="21.25" customHeight="1" x14ac:dyDescent="0.15">
      <c r="A79" s="72"/>
      <c r="B79" s="73" t="str">
        <f>IFERROR(VLOOKUP($A79,'The List'!$B1:$AS727,3,FALSE)," ")</f>
        <v xml:space="preserve"> </v>
      </c>
      <c r="C79" s="74" t="str">
        <f>IFERROR(VLOOKUP($A79,'The List'!$B1:$AS727,4,FALSE)," ")</f>
        <v xml:space="preserve"> </v>
      </c>
      <c r="D79" s="75" t="str">
        <f>IFERROR(VLOOKUP($A79,'The List'!$B1:$AS727,5,FALSE)," ")</f>
        <v xml:space="preserve"> </v>
      </c>
      <c r="E79" s="75" t="str">
        <f>IFERROR(VLOOKUP($A79,'The List'!$B1:$AS727,6,FALSE)," ")</f>
        <v xml:space="preserve"> </v>
      </c>
      <c r="F79" s="76" t="str">
        <f>IFERROR(VLOOKUP($A79,'The List'!$B1:$AS727,8,FALSE)," ")</f>
        <v xml:space="preserve"> </v>
      </c>
      <c r="G79" s="76" t="str">
        <f>IFERROR(VLOOKUP($A79,'The List'!$B1:$AS727,10,FALSE)," ")</f>
        <v xml:space="preserve"> </v>
      </c>
      <c r="H79" s="77"/>
      <c r="I79" s="78" t="str">
        <f>IFERROR(VLOOKUP($A79,'The List'!$B1:$AS727,16,FALSE)," ")</f>
        <v xml:space="preserve"> </v>
      </c>
      <c r="J79" s="78" t="str">
        <f>IFERROR(VLOOKUP($A79,'The List'!$B1:$AS727,17,FALSE)," ")</f>
        <v xml:space="preserve"> </v>
      </c>
      <c r="K79" s="78" t="str">
        <f>IFERROR(VLOOKUP($A79,'The List'!$B1:$AS727,18,FALSE)," ")</f>
        <v xml:space="preserve"> </v>
      </c>
      <c r="L79" s="78" t="str">
        <f>IFERROR(VLOOKUP($A79,'The List'!$B1:$AS727,19,FALSE)," ")</f>
        <v xml:space="preserve"> </v>
      </c>
      <c r="M79" s="78" t="str">
        <f>IFERROR(VLOOKUP($A79,'The List'!$B1:$AS727,20,FALSE)," ")</f>
        <v xml:space="preserve"> </v>
      </c>
      <c r="N79" s="78" t="str">
        <f>IFERROR(VLOOKUP($A79,'The List'!$B1:$AS727,21,FALSE)," ")</f>
        <v xml:space="preserve"> </v>
      </c>
      <c r="O79" s="78" t="str">
        <f>IFERROR(VLOOKUP($A79,'The List'!$B1:$AS727,22,FALSE)," ")</f>
        <v xml:space="preserve"> </v>
      </c>
      <c r="P79" s="78" t="str">
        <f>IFERROR(VLOOKUP($A79,'The List'!$B1:$AS727,23,FALSE)," ")</f>
        <v xml:space="preserve"> </v>
      </c>
      <c r="Q79" s="78" t="str">
        <f>IFERROR(VLOOKUP($A79,'The List'!$B1:$AS727,24,FALSE)," ")</f>
        <v xml:space="preserve"> </v>
      </c>
      <c r="R79" s="78" t="str">
        <f>IFERROR(VLOOKUP($A79,'The List'!$B1:$AS727,25,FALSE)," ")</f>
        <v xml:space="preserve"> </v>
      </c>
      <c r="S79" s="78" t="str">
        <f>IFERROR(VLOOKUP($A79,'The List'!$B1:$AS727,26,FALSE)," ")</f>
        <v xml:space="preserve"> </v>
      </c>
      <c r="T79" s="78" t="str">
        <f>IFERROR(VLOOKUP($A79,'The List'!$B1:$AS727,27,FALSE)," ")</f>
        <v xml:space="preserve"> </v>
      </c>
      <c r="U79" s="78" t="str">
        <f>IFERROR(VLOOKUP($A79,'The List'!$B1:$AS727,28,FALSE)," ")</f>
        <v xml:space="preserve"> </v>
      </c>
      <c r="V79" s="78" t="str">
        <f>IFERROR(VLOOKUP($A79,'The List'!$B1:$AS727,29,FALSE)," ")</f>
        <v xml:space="preserve"> </v>
      </c>
      <c r="W79" s="78" t="str">
        <f>IFERROR(VLOOKUP($A79,'The List'!$B1:$AS727,30,FALSE)," ")</f>
        <v xml:space="preserve"> </v>
      </c>
      <c r="X79" s="78" t="str">
        <f>IFERROR(VLOOKUP($A79,'The List'!$B1:$AS727,31,FALSE)," ")</f>
        <v xml:space="preserve"> </v>
      </c>
      <c r="Y79" s="78" t="str">
        <f>IFERROR(VLOOKUP($A79,'The List'!$B1:$AS727,32,FALSE)," ")</f>
        <v xml:space="preserve"> </v>
      </c>
      <c r="Z79" s="78" t="str">
        <f>IFERROR(VLOOKUP($A79,'The List'!$B1:$AS727,33,FALSE)," ")</f>
        <v xml:space="preserve"> </v>
      </c>
      <c r="AA79" s="55"/>
      <c r="AB79" s="60"/>
      <c r="AC79" s="60"/>
      <c r="AD79" s="60"/>
      <c r="AE79" s="60"/>
      <c r="AF79" s="60"/>
    </row>
    <row r="80" spans="1:32" ht="21.25" customHeight="1" x14ac:dyDescent="0.15">
      <c r="A80" s="79"/>
      <c r="B80" s="80"/>
      <c r="C80" s="81"/>
      <c r="D80" s="82"/>
      <c r="E80" s="117" t="str">
        <f>IFERROR(AVERAGE(E60:E79)," ")</f>
        <v xml:space="preserve"> </v>
      </c>
      <c r="F80" s="84">
        <f>SUM(F60:F79)</f>
        <v>0</v>
      </c>
      <c r="G80" s="84">
        <f>SUM(G60:G79)</f>
        <v>0</v>
      </c>
      <c r="H80" s="85"/>
      <c r="I80" s="86">
        <f>SUM(I60:I79)</f>
        <v>0</v>
      </c>
      <c r="J80" s="85" t="e">
        <f>AVERAGE(J60:J79)</f>
        <v>#DIV/0!</v>
      </c>
      <c r="K80" s="86">
        <f t="shared" ref="K80:Y80" si="4">SUM(K60:K79)</f>
        <v>0</v>
      </c>
      <c r="L80" s="86">
        <f t="shared" si="4"/>
        <v>0</v>
      </c>
      <c r="M80" s="86">
        <f t="shared" si="4"/>
        <v>0</v>
      </c>
      <c r="N80" s="86">
        <f t="shared" si="4"/>
        <v>0</v>
      </c>
      <c r="O80" s="86">
        <f t="shared" si="4"/>
        <v>0</v>
      </c>
      <c r="P80" s="86">
        <f t="shared" si="4"/>
        <v>0</v>
      </c>
      <c r="Q80" s="86">
        <f t="shared" si="4"/>
        <v>0</v>
      </c>
      <c r="R80" s="86">
        <f t="shared" si="4"/>
        <v>0</v>
      </c>
      <c r="S80" s="86">
        <f t="shared" si="4"/>
        <v>0</v>
      </c>
      <c r="T80" s="86">
        <f t="shared" si="4"/>
        <v>0</v>
      </c>
      <c r="U80" s="86">
        <f t="shared" si="4"/>
        <v>0</v>
      </c>
      <c r="V80" s="86">
        <f t="shared" si="4"/>
        <v>0</v>
      </c>
      <c r="W80" s="86">
        <f t="shared" si="4"/>
        <v>0</v>
      </c>
      <c r="X80" s="86">
        <f t="shared" si="4"/>
        <v>0</v>
      </c>
      <c r="Y80" s="86">
        <f t="shared" si="4"/>
        <v>0</v>
      </c>
      <c r="Z80" s="87">
        <f>IFERROR(X80/(X80+Y80),0)</f>
        <v>0</v>
      </c>
      <c r="AA80" s="55"/>
      <c r="AB80" s="88"/>
      <c r="AC80" s="88"/>
      <c r="AD80" s="88"/>
      <c r="AE80" s="88"/>
      <c r="AF80" s="88"/>
    </row>
    <row r="81" spans="1:32" ht="21.25" customHeight="1" x14ac:dyDescent="0.15">
      <c r="A81" s="89"/>
      <c r="B81" s="90"/>
      <c r="C81" s="91"/>
      <c r="D81" s="11"/>
      <c r="E81" s="11"/>
      <c r="F81" s="92"/>
      <c r="G81" s="93"/>
      <c r="H81" s="94"/>
      <c r="I81" s="9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60"/>
      <c r="AC81" s="60"/>
      <c r="AD81" s="60"/>
      <c r="AE81" s="60"/>
      <c r="AF81" s="60"/>
    </row>
    <row r="82" spans="1:32" ht="21.25" customHeight="1" x14ac:dyDescent="0.15">
      <c r="A82" s="24" t="s">
        <v>66</v>
      </c>
      <c r="B82" s="174" t="s">
        <v>68</v>
      </c>
      <c r="C82" s="165"/>
      <c r="D82" s="96" t="s">
        <v>69</v>
      </c>
      <c r="E82" s="96" t="s">
        <v>70</v>
      </c>
      <c r="F82" s="97" t="s">
        <v>72</v>
      </c>
      <c r="G82" s="97" t="s">
        <v>74</v>
      </c>
      <c r="H82" s="98"/>
      <c r="I82" s="99" t="s">
        <v>79</v>
      </c>
      <c r="J82" s="99" t="s">
        <v>97</v>
      </c>
      <c r="K82" s="99" t="s">
        <v>98</v>
      </c>
      <c r="L82" s="99" t="s">
        <v>99</v>
      </c>
      <c r="M82" s="99" t="s">
        <v>100</v>
      </c>
      <c r="N82" s="99" t="s">
        <v>101</v>
      </c>
      <c r="O82" s="99" t="s">
        <v>102</v>
      </c>
      <c r="P82" s="99" t="s">
        <v>103</v>
      </c>
      <c r="Q82" s="99" t="s">
        <v>104</v>
      </c>
      <c r="R82" s="55"/>
      <c r="S82" s="55"/>
      <c r="T82" s="55"/>
      <c r="U82" s="174" t="s">
        <v>850</v>
      </c>
      <c r="V82" s="175"/>
      <c r="W82" s="175"/>
      <c r="X82" s="174" t="s">
        <v>851</v>
      </c>
      <c r="Y82" s="175"/>
      <c r="Z82" s="175"/>
      <c r="AA82" s="55"/>
      <c r="AB82" s="55"/>
      <c r="AC82" s="55"/>
      <c r="AD82" s="55"/>
      <c r="AE82" s="55"/>
      <c r="AF82" s="55"/>
    </row>
    <row r="83" spans="1:32" ht="21.25" customHeight="1" x14ac:dyDescent="0.15">
      <c r="A83" s="118"/>
      <c r="B83" s="101" t="str">
        <f>IFERROR(VLOOKUP($A83,'The List'!$B1:$AS727,3,FALSE)," ")</f>
        <v xml:space="preserve"> </v>
      </c>
      <c r="C83" s="119" t="str">
        <f>IFERROR(VLOOKUP($A83,'The List'!$B1:$AS727,4,FALSE)," ")</f>
        <v xml:space="preserve"> </v>
      </c>
      <c r="D83" s="103" t="str">
        <f>IFERROR(VLOOKUP($A83,'The List'!$B1:$AS727,5,FALSE)," ")</f>
        <v xml:space="preserve"> </v>
      </c>
      <c r="E83" s="103" t="str">
        <f>IFERROR(VLOOKUP($A83,'The List'!$B1:$AS727,6,FALSE)," ")</f>
        <v xml:space="preserve"> </v>
      </c>
      <c r="F83" s="120" t="str">
        <f>IFERROR(VLOOKUP($A83,'The List'!$B1:$AS727,8,FALSE)," ")</f>
        <v xml:space="preserve"> </v>
      </c>
      <c r="G83" s="120" t="str">
        <f>IFERROR(VLOOKUP($A83,'The List'!$B1:$AS727,10,FALSE)," ")</f>
        <v xml:space="preserve"> </v>
      </c>
      <c r="H83" s="106"/>
      <c r="I83" s="121" t="str">
        <f>IFERROR(VLOOKUP($A83,'The List'!$B1:$AS727,35,FALSE)," ")</f>
        <v xml:space="preserve"> </v>
      </c>
      <c r="J83" s="121" t="str">
        <f>IFERROR(VLOOKUP($A83,'The List'!$B1:$AS727,36,FALSE)," ")</f>
        <v xml:space="preserve"> </v>
      </c>
      <c r="K83" s="121" t="str">
        <f>IFERROR(VLOOKUP($A83,'The List'!$B1:$AS727,37,FALSE)," ")</f>
        <v xml:space="preserve"> </v>
      </c>
      <c r="L83" s="121" t="str">
        <f>IFERROR(VLOOKUP($A83,'The List'!$B1:$AS727,38,FALSE)," ")</f>
        <v xml:space="preserve"> </v>
      </c>
      <c r="M83" s="121" t="str">
        <f>IFERROR(VLOOKUP($A83,'The List'!$B1:$AS727,39,FALSE)," ")</f>
        <v xml:space="preserve"> </v>
      </c>
      <c r="N83" s="121" t="str">
        <f>IFERROR(VLOOKUP($A83,'The List'!$B1:$AS727,40,FALSE)," ")</f>
        <v xml:space="preserve"> </v>
      </c>
      <c r="O83" s="121" t="str">
        <f>IFERROR(VLOOKUP($A83,'The List'!$B1:$AS727,41,FALSE)," ")</f>
        <v xml:space="preserve"> </v>
      </c>
      <c r="P83" s="121" t="str">
        <f>IFERROR(VLOOKUP($A83,'The List'!$B1:$AS727,42,FALSE)," ")</f>
        <v xml:space="preserve"> </v>
      </c>
      <c r="Q83" s="121" t="str">
        <f>IFERROR(VLOOKUP($A83,'The List'!$B1:$AS727,43,FALSE)," ")</f>
        <v xml:space="preserve"> </v>
      </c>
      <c r="R83" s="55"/>
      <c r="S83" s="55"/>
      <c r="T83" s="110" t="str">
        <f>A59</f>
        <v>TEAM 3</v>
      </c>
      <c r="U83" s="176">
        <f>F80+F86</f>
        <v>0</v>
      </c>
      <c r="V83" s="165"/>
      <c r="W83" s="165"/>
      <c r="X83" s="176">
        <f>G86+G80</f>
        <v>0</v>
      </c>
      <c r="Y83" s="165"/>
      <c r="Z83" s="165"/>
      <c r="AA83" s="55"/>
      <c r="AB83" s="55"/>
      <c r="AC83" s="55"/>
      <c r="AD83" s="55"/>
      <c r="AE83" s="55"/>
      <c r="AF83" s="55"/>
    </row>
    <row r="84" spans="1:32" ht="21.25" customHeight="1" x14ac:dyDescent="0.15">
      <c r="A84" s="23"/>
      <c r="B84" s="111" t="str">
        <f>IFERROR(VLOOKUP($A84,'The List'!$B1:$AS727,3,FALSE)," ")</f>
        <v xml:space="preserve"> </v>
      </c>
      <c r="C84" s="112" t="str">
        <f>IFERROR(VLOOKUP($A84,'The List'!$B1:$AS727,4,FALSE)," ")</f>
        <v xml:space="preserve"> </v>
      </c>
      <c r="D84" s="35" t="str">
        <f>IFERROR(VLOOKUP($A84,'The List'!$B1:$AS727,5,FALSE)," ")</f>
        <v xml:space="preserve"> </v>
      </c>
      <c r="E84" s="35" t="str">
        <f>IFERROR(VLOOKUP($A84,'The List'!$B1:$AS727,6,FALSE)," ")</f>
        <v xml:space="preserve"> </v>
      </c>
      <c r="F84" s="52" t="str">
        <f>IFERROR(VLOOKUP($A84,'The List'!$B1:$AS727,8,FALSE)," ")</f>
        <v xml:space="preserve"> </v>
      </c>
      <c r="G84" s="52" t="str">
        <f>IFERROR(VLOOKUP($A84,'The List'!$B1:$AS727,10,FALSE)," ")</f>
        <v xml:space="preserve"> </v>
      </c>
      <c r="H84" s="39"/>
      <c r="I84" s="53" t="str">
        <f>IFERROR(VLOOKUP($A84,'The List'!$B1:$AS727,35,FALSE)," ")</f>
        <v xml:space="preserve"> </v>
      </c>
      <c r="J84" s="53" t="str">
        <f>IFERROR(VLOOKUP($A84,'The List'!$B1:$AS727,36,FALSE)," ")</f>
        <v xml:space="preserve"> </v>
      </c>
      <c r="K84" s="53" t="str">
        <f>IFERROR(VLOOKUP($A84,'The List'!$B1:$AS727,37,FALSE)," ")</f>
        <v xml:space="preserve"> </v>
      </c>
      <c r="L84" s="53" t="str">
        <f>IFERROR(VLOOKUP($A84,'The List'!$B1:$AS727,38,FALSE)," ")</f>
        <v xml:space="preserve"> </v>
      </c>
      <c r="M84" s="53" t="str">
        <f>IFERROR(VLOOKUP($A84,'The List'!$B1:$AS727,39,FALSE)," ")</f>
        <v xml:space="preserve"> </v>
      </c>
      <c r="N84" s="53" t="str">
        <f>IFERROR(VLOOKUP($A84,'The List'!$B1:$AS727,40,FALSE)," ")</f>
        <v xml:space="preserve"> </v>
      </c>
      <c r="O84" s="53" t="str">
        <f>IFERROR(VLOOKUP($A84,'The List'!$B1:$AS727,41,FALSE)," ")</f>
        <v xml:space="preserve"> </v>
      </c>
      <c r="P84" s="53" t="str">
        <f>IFERROR(VLOOKUP($A84,'The List'!$B1:$AS727,42,FALSE)," ")</f>
        <v xml:space="preserve"> </v>
      </c>
      <c r="Q84" s="53" t="str">
        <f>IFERROR(VLOOKUP($A84,'The List'!$B1:$AS727,43,FALSE)," ")</f>
        <v xml:space="preserve"> </v>
      </c>
      <c r="R84" s="55"/>
      <c r="S84" s="55"/>
      <c r="T84" s="55"/>
      <c r="U84" s="165"/>
      <c r="V84" s="165"/>
      <c r="W84" s="165"/>
      <c r="X84" s="165"/>
      <c r="Y84" s="165"/>
      <c r="Z84" s="165"/>
      <c r="AA84" s="55"/>
      <c r="AB84" s="55"/>
      <c r="AC84" s="55"/>
      <c r="AD84" s="55"/>
      <c r="AE84" s="55"/>
      <c r="AF84" s="55"/>
    </row>
    <row r="85" spans="1:32" ht="21.25" customHeight="1" x14ac:dyDescent="0.15">
      <c r="A85" s="72"/>
      <c r="B85" s="113" t="str">
        <f>IFERROR(VLOOKUP($A85,'The List'!$B1:$AS727,3,FALSE)," ")</f>
        <v xml:space="preserve"> </v>
      </c>
      <c r="C85" s="114" t="str">
        <f>IFERROR(VLOOKUP($A85,'The List'!$B1:$AS727,4,FALSE)," ")</f>
        <v xml:space="preserve"> </v>
      </c>
      <c r="D85" s="75" t="str">
        <f>IFERROR(VLOOKUP($A85,'The List'!$B1:$AS727,5,FALSE)," ")</f>
        <v xml:space="preserve"> </v>
      </c>
      <c r="E85" s="75" t="str">
        <f>IFERROR(VLOOKUP($A85,'The List'!$B1:$AS727,6,FALSE)," ")</f>
        <v xml:space="preserve"> </v>
      </c>
      <c r="F85" s="76" t="str">
        <f>IFERROR(VLOOKUP($A85,'The List'!$B1:$AS727,8,FALSE)," ")</f>
        <v xml:space="preserve"> </v>
      </c>
      <c r="G85" s="76" t="str">
        <f>IFERROR(VLOOKUP($A85,'The List'!$B1:$AS727,10,FALSE)," ")</f>
        <v xml:space="preserve"> </v>
      </c>
      <c r="H85" s="77"/>
      <c r="I85" s="78" t="str">
        <f>IFERROR(VLOOKUP($A85,'The List'!$B1:$AS727,35,FALSE)," ")</f>
        <v xml:space="preserve"> </v>
      </c>
      <c r="J85" s="78" t="str">
        <f>IFERROR(VLOOKUP($A85,'The List'!$B1:$AS727,36,FALSE)," ")</f>
        <v xml:space="preserve"> </v>
      </c>
      <c r="K85" s="78" t="str">
        <f>IFERROR(VLOOKUP($A85,'The List'!$B1:$AS727,37,FALSE)," ")</f>
        <v xml:space="preserve"> </v>
      </c>
      <c r="L85" s="78" t="str">
        <f>IFERROR(VLOOKUP($A85,'The List'!$B1:$AS727,38,FALSE)," ")</f>
        <v xml:space="preserve"> </v>
      </c>
      <c r="M85" s="78" t="str">
        <f>IFERROR(VLOOKUP($A85,'The List'!$B1:$AS727,39,FALSE)," ")</f>
        <v xml:space="preserve"> </v>
      </c>
      <c r="N85" s="78" t="str">
        <f>IFERROR(VLOOKUP($A85,'The List'!$B1:$AS727,40,FALSE)," ")</f>
        <v xml:space="preserve"> </v>
      </c>
      <c r="O85" s="78" t="str">
        <f>IFERROR(VLOOKUP($A85,'The List'!$B1:$AS727,41,FALSE)," ")</f>
        <v xml:space="preserve"> </v>
      </c>
      <c r="P85" s="78" t="str">
        <f>IFERROR(VLOOKUP($A85,'The List'!$B1:$AS727,42,FALSE)," ")</f>
        <v xml:space="preserve"> </v>
      </c>
      <c r="Q85" s="78" t="str">
        <f>IFERROR(VLOOKUP($A85,'The List'!$B1:$AS727,43,FALSE)," ")</f>
        <v xml:space="preserve"> </v>
      </c>
      <c r="R85" s="55"/>
      <c r="S85" s="55"/>
      <c r="T85" s="55"/>
      <c r="U85" s="165"/>
      <c r="V85" s="165"/>
      <c r="W85" s="165"/>
      <c r="X85" s="165"/>
      <c r="Y85" s="165"/>
      <c r="Z85" s="165"/>
      <c r="AA85" s="55"/>
      <c r="AB85" s="55"/>
      <c r="AC85" s="55"/>
      <c r="AD85" s="55"/>
      <c r="AE85" s="55"/>
      <c r="AF85" s="55"/>
    </row>
    <row r="86" spans="1:32" ht="21.25" customHeight="1" x14ac:dyDescent="0.15">
      <c r="A86" s="79"/>
      <c r="B86" s="80"/>
      <c r="C86" s="81"/>
      <c r="D86" s="82"/>
      <c r="E86" s="117" t="str">
        <f>IFERROR(AVERAGE(E83:E85)," ")</f>
        <v xml:space="preserve"> </v>
      </c>
      <c r="F86" s="84">
        <f>SUM(F83:F85)</f>
        <v>0</v>
      </c>
      <c r="G86" s="84">
        <f>SUM(G83:G85)</f>
        <v>0</v>
      </c>
      <c r="H86" s="85"/>
      <c r="I86" s="86">
        <f t="shared" ref="I86:O86" si="5">SUM(I83:I85)</f>
        <v>0</v>
      </c>
      <c r="J86" s="85">
        <f t="shared" si="5"/>
        <v>0</v>
      </c>
      <c r="K86" s="86">
        <f t="shared" si="5"/>
        <v>0</v>
      </c>
      <c r="L86" s="86">
        <f t="shared" si="5"/>
        <v>0</v>
      </c>
      <c r="M86" s="86">
        <f t="shared" si="5"/>
        <v>0</v>
      </c>
      <c r="N86" s="86">
        <f t="shared" si="5"/>
        <v>0</v>
      </c>
      <c r="O86" s="86">
        <f t="shared" si="5"/>
        <v>0</v>
      </c>
      <c r="P86" s="115" t="e">
        <f>1-(O86/(N86+O86))</f>
        <v>#DIV/0!</v>
      </c>
      <c r="Q86" s="116" t="e">
        <f>O86/I86</f>
        <v>#DIV/0!</v>
      </c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</row>
    <row r="87" spans="1:32" ht="70.75" customHeight="1" x14ac:dyDescent="0.15">
      <c r="A87" s="89"/>
      <c r="B87" s="90"/>
      <c r="C87" s="91"/>
      <c r="D87" s="11"/>
      <c r="E87" s="11"/>
      <c r="F87" s="92"/>
      <c r="G87" s="93"/>
      <c r="H87" s="94"/>
      <c r="I87" s="9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60"/>
      <c r="AB87" s="60"/>
      <c r="AC87" s="60"/>
      <c r="AD87" s="60"/>
      <c r="AE87" s="60"/>
      <c r="AF87" s="60"/>
    </row>
    <row r="88" spans="1:32" ht="21.25" customHeight="1" x14ac:dyDescent="0.15">
      <c r="A88" s="25" t="s">
        <v>837</v>
      </c>
      <c r="B88" s="173" t="s">
        <v>68</v>
      </c>
      <c r="C88" s="170"/>
      <c r="D88" s="26" t="s">
        <v>69</v>
      </c>
      <c r="E88" s="26" t="s">
        <v>70</v>
      </c>
      <c r="F88" s="27" t="s">
        <v>72</v>
      </c>
      <c r="G88" s="27" t="s">
        <v>74</v>
      </c>
      <c r="H88" s="28"/>
      <c r="I88" s="30" t="s">
        <v>79</v>
      </c>
      <c r="J88" s="30" t="s">
        <v>80</v>
      </c>
      <c r="K88" s="30" t="s">
        <v>81</v>
      </c>
      <c r="L88" s="30" t="s">
        <v>82</v>
      </c>
      <c r="M88" s="30" t="s">
        <v>83</v>
      </c>
      <c r="N88" s="30" t="s">
        <v>84</v>
      </c>
      <c r="O88" s="30" t="s">
        <v>85</v>
      </c>
      <c r="P88" s="30" t="s">
        <v>86</v>
      </c>
      <c r="Q88" s="30" t="s">
        <v>87</v>
      </c>
      <c r="R88" s="30" t="s">
        <v>88</v>
      </c>
      <c r="S88" s="30" t="s">
        <v>89</v>
      </c>
      <c r="T88" s="30" t="s">
        <v>90</v>
      </c>
      <c r="U88" s="30" t="s">
        <v>91</v>
      </c>
      <c r="V88" s="30" t="s">
        <v>92</v>
      </c>
      <c r="W88" s="30" t="s">
        <v>93</v>
      </c>
      <c r="X88" s="30" t="s">
        <v>94</v>
      </c>
      <c r="Y88" s="30" t="s">
        <v>95</v>
      </c>
      <c r="Z88" s="30" t="s">
        <v>96</v>
      </c>
      <c r="AA88" s="55"/>
      <c r="AB88" s="56"/>
      <c r="AC88" s="56"/>
      <c r="AD88" s="56"/>
      <c r="AE88" s="56"/>
      <c r="AF88" s="56"/>
    </row>
    <row r="89" spans="1:32" ht="21.25" customHeight="1" x14ac:dyDescent="0.15">
      <c r="A89" s="23"/>
      <c r="B89" s="57" t="str">
        <f>IFERROR(VLOOKUP($A89,'The List'!$B1:$AS727,3,FALSE)," ")</f>
        <v xml:space="preserve"> </v>
      </c>
      <c r="C89" s="61" t="str">
        <f>IFERROR(VLOOKUP($A89,'The List'!$B1:$AS727,4,FALSE)," ")</f>
        <v xml:space="preserve"> </v>
      </c>
      <c r="D89" s="35" t="str">
        <f>IFERROR(VLOOKUP($A89,'The List'!$B1:$AS727,5,FALSE)," ")</f>
        <v xml:space="preserve"> </v>
      </c>
      <c r="E89" s="35" t="str">
        <f>IFERROR(VLOOKUP($A89,'The List'!$B1:$AS727,6,FALSE)," ")</f>
        <v xml:space="preserve"> </v>
      </c>
      <c r="F89" s="52" t="str">
        <f>IFERROR(VLOOKUP($A89,'The List'!$B1:$AS727,8,FALSE)," ")</f>
        <v xml:space="preserve"> </v>
      </c>
      <c r="G89" s="52" t="str">
        <f>IFERROR(VLOOKUP($A89,'The List'!$B1:$AS727,10,FALSE)," ")</f>
        <v xml:space="preserve"> </v>
      </c>
      <c r="H89" s="39"/>
      <c r="I89" s="53" t="str">
        <f>IFERROR(VLOOKUP($A89,'The List'!$B1:$AS727,16,FALSE)," ")</f>
        <v xml:space="preserve"> </v>
      </c>
      <c r="J89" s="53" t="str">
        <f>IFERROR(VLOOKUP($A89,'The List'!$B1:$AS727,17,FALSE)," ")</f>
        <v xml:space="preserve"> </v>
      </c>
      <c r="K89" s="53" t="str">
        <f>IFERROR(VLOOKUP($A89,'The List'!$B1:$AS727,18,FALSE)," ")</f>
        <v xml:space="preserve"> </v>
      </c>
      <c r="L89" s="53" t="str">
        <f>IFERROR(VLOOKUP($A89,'The List'!$B1:$AS727,19,FALSE)," ")</f>
        <v xml:space="preserve"> </v>
      </c>
      <c r="M89" s="53" t="str">
        <f>IFERROR(VLOOKUP($A89,'The List'!$B1:$AS727,20,FALSE)," ")</f>
        <v xml:space="preserve"> </v>
      </c>
      <c r="N89" s="53" t="str">
        <f>IFERROR(VLOOKUP($A89,'The List'!$B1:$AS727,21,FALSE)," ")</f>
        <v xml:space="preserve"> </v>
      </c>
      <c r="O89" s="53" t="str">
        <f>IFERROR(VLOOKUP($A89,'The List'!$B1:$AS727,22,FALSE)," ")</f>
        <v xml:space="preserve"> </v>
      </c>
      <c r="P89" s="53" t="str">
        <f>IFERROR(VLOOKUP($A89,'The List'!$B1:$AS727,23,FALSE)," ")</f>
        <v xml:space="preserve"> </v>
      </c>
      <c r="Q89" s="53" t="str">
        <f>IFERROR(VLOOKUP($A89,'The List'!$B1:$AS727,24,FALSE)," ")</f>
        <v xml:space="preserve"> </v>
      </c>
      <c r="R89" s="53" t="str">
        <f>IFERROR(VLOOKUP($A89,'The List'!$B1:$AS727,25,FALSE)," ")</f>
        <v xml:space="preserve"> </v>
      </c>
      <c r="S89" s="53" t="str">
        <f>IFERROR(VLOOKUP($A89,'The List'!$B1:$AS727,26,FALSE)," ")</f>
        <v xml:space="preserve"> </v>
      </c>
      <c r="T89" s="53" t="str">
        <f>IFERROR(VLOOKUP($A89,'The List'!$B1:$AS727,27,FALSE)," ")</f>
        <v xml:space="preserve"> </v>
      </c>
      <c r="U89" s="53" t="str">
        <f>IFERROR(VLOOKUP($A89,'The List'!$B1:$AS727,28,FALSE)," ")</f>
        <v xml:space="preserve"> </v>
      </c>
      <c r="V89" s="53" t="str">
        <f>IFERROR(VLOOKUP($A89,'The List'!$B1:$AS727,29,FALSE)," ")</f>
        <v xml:space="preserve"> </v>
      </c>
      <c r="W89" s="53" t="str">
        <f>IFERROR(VLOOKUP($A89,'The List'!$B1:$AS727,30,FALSE)," ")</f>
        <v xml:space="preserve"> </v>
      </c>
      <c r="X89" s="53" t="str">
        <f>IFERROR(VLOOKUP($A89,'The List'!$B1:$AS727,31,FALSE)," ")</f>
        <v xml:space="preserve"> </v>
      </c>
      <c r="Y89" s="53" t="str">
        <f>IFERROR(VLOOKUP($A89,'The List'!$B1:$AS727,32,FALSE)," ")</f>
        <v xml:space="preserve"> </v>
      </c>
      <c r="Z89" s="53" t="str">
        <f>IFERROR(VLOOKUP($A89,'The List'!$B1:$AS727,33,FALSE)," ")</f>
        <v xml:space="preserve"> </v>
      </c>
      <c r="AA89" s="55"/>
      <c r="AB89" s="60"/>
      <c r="AC89" s="60"/>
      <c r="AD89" s="60"/>
      <c r="AE89" s="60"/>
      <c r="AF89" s="60"/>
    </row>
    <row r="90" spans="1:32" ht="21.25" customHeight="1" x14ac:dyDescent="0.15">
      <c r="A90" s="23"/>
      <c r="B90" s="57" t="str">
        <f>IFERROR(VLOOKUP($A90,'The List'!$B1:$AS727,3,FALSE)," ")</f>
        <v xml:space="preserve"> </v>
      </c>
      <c r="C90" s="61" t="str">
        <f>IFERROR(VLOOKUP($A90,'The List'!$B1:$AS727,4,FALSE)," ")</f>
        <v xml:space="preserve"> </v>
      </c>
      <c r="D90" s="35" t="str">
        <f>IFERROR(VLOOKUP($A90,'The List'!$B1:$AS727,5,FALSE)," ")</f>
        <v xml:space="preserve"> </v>
      </c>
      <c r="E90" s="35" t="str">
        <f>IFERROR(VLOOKUP($A90,'The List'!$B1:$AS727,6,FALSE)," ")</f>
        <v xml:space="preserve"> </v>
      </c>
      <c r="F90" s="52" t="str">
        <f>IFERROR(VLOOKUP($A90,'The List'!$B1:$AS727,8,FALSE)," ")</f>
        <v xml:space="preserve"> </v>
      </c>
      <c r="G90" s="52" t="str">
        <f>IFERROR(VLOOKUP($A90,'The List'!$B1:$AS727,10,FALSE)," ")</f>
        <v xml:space="preserve"> </v>
      </c>
      <c r="H90" s="39"/>
      <c r="I90" s="53" t="str">
        <f>IFERROR(VLOOKUP($A90,'The List'!$B1:$AS727,16,FALSE)," ")</f>
        <v xml:space="preserve"> </v>
      </c>
      <c r="J90" s="53" t="str">
        <f>IFERROR(VLOOKUP($A90,'The List'!$B1:$AS727,17,FALSE)," ")</f>
        <v xml:space="preserve"> </v>
      </c>
      <c r="K90" s="53" t="str">
        <f>IFERROR(VLOOKUP($A90,'The List'!$B1:$AS727,18,FALSE)," ")</f>
        <v xml:space="preserve"> </v>
      </c>
      <c r="L90" s="53" t="str">
        <f>IFERROR(VLOOKUP($A90,'The List'!$B1:$AS727,19,FALSE)," ")</f>
        <v xml:space="preserve"> </v>
      </c>
      <c r="M90" s="53" t="str">
        <f>IFERROR(VLOOKUP($A90,'The List'!$B1:$AS727,20,FALSE)," ")</f>
        <v xml:space="preserve"> </v>
      </c>
      <c r="N90" s="53" t="str">
        <f>IFERROR(VLOOKUP($A90,'The List'!$B1:$AS727,21,FALSE)," ")</f>
        <v xml:space="preserve"> </v>
      </c>
      <c r="O90" s="53" t="str">
        <f>IFERROR(VLOOKUP($A90,'The List'!$B1:$AS727,22,FALSE)," ")</f>
        <v xml:space="preserve"> </v>
      </c>
      <c r="P90" s="53" t="str">
        <f>IFERROR(VLOOKUP($A90,'The List'!$B1:$AS727,23,FALSE)," ")</f>
        <v xml:space="preserve"> </v>
      </c>
      <c r="Q90" s="53" t="str">
        <f>IFERROR(VLOOKUP($A90,'The List'!$B1:$AS727,24,FALSE)," ")</f>
        <v xml:space="preserve"> </v>
      </c>
      <c r="R90" s="53" t="str">
        <f>IFERROR(VLOOKUP($A90,'The List'!$B1:$AS727,25,FALSE)," ")</f>
        <v xml:space="preserve"> </v>
      </c>
      <c r="S90" s="53" t="str">
        <f>IFERROR(VLOOKUP($A90,'The List'!$B1:$AS727,26,FALSE)," ")</f>
        <v xml:space="preserve"> </v>
      </c>
      <c r="T90" s="53" t="str">
        <f>IFERROR(VLOOKUP($A90,'The List'!$B1:$AS727,27,FALSE)," ")</f>
        <v xml:space="preserve"> </v>
      </c>
      <c r="U90" s="53" t="str">
        <f>IFERROR(VLOOKUP($A90,'The List'!$B1:$AS727,28,FALSE)," ")</f>
        <v xml:space="preserve"> </v>
      </c>
      <c r="V90" s="53" t="str">
        <f>IFERROR(VLOOKUP($A90,'The List'!$B1:$AS727,29,FALSE)," ")</f>
        <v xml:space="preserve"> </v>
      </c>
      <c r="W90" s="53" t="str">
        <f>IFERROR(VLOOKUP($A90,'The List'!$B1:$AS727,30,FALSE)," ")</f>
        <v xml:space="preserve"> </v>
      </c>
      <c r="X90" s="53" t="str">
        <f>IFERROR(VLOOKUP($A90,'The List'!$B1:$AS727,31,FALSE)," ")</f>
        <v xml:space="preserve"> </v>
      </c>
      <c r="Y90" s="53" t="str">
        <f>IFERROR(VLOOKUP($A90,'The List'!$B1:$AS727,32,FALSE)," ")</f>
        <v xml:space="preserve"> </v>
      </c>
      <c r="Z90" s="53" t="str">
        <f>IFERROR(VLOOKUP($A90,'The List'!$B1:$AS727,33,FALSE)," ")</f>
        <v xml:space="preserve"> </v>
      </c>
      <c r="AA90" s="55"/>
      <c r="AB90" s="60"/>
      <c r="AC90" s="60"/>
      <c r="AD90" s="60"/>
      <c r="AE90" s="60"/>
      <c r="AF90" s="60"/>
    </row>
    <row r="91" spans="1:32" ht="21.25" customHeight="1" x14ac:dyDescent="0.15">
      <c r="A91" s="23"/>
      <c r="B91" s="57" t="str">
        <f>IFERROR(VLOOKUP($A91,'The List'!$B1:$AS727,3,FALSE)," ")</f>
        <v xml:space="preserve"> </v>
      </c>
      <c r="C91" s="61" t="str">
        <f>IFERROR(VLOOKUP($A91,'The List'!$B1:$AS727,4,FALSE)," ")</f>
        <v xml:space="preserve"> </v>
      </c>
      <c r="D91" s="35" t="str">
        <f>IFERROR(VLOOKUP($A91,'The List'!$B1:$AS727,5,FALSE)," ")</f>
        <v xml:space="preserve"> </v>
      </c>
      <c r="E91" s="35" t="str">
        <f>IFERROR(VLOOKUP($A91,'The List'!$B1:$AS727,6,FALSE)," ")</f>
        <v xml:space="preserve"> </v>
      </c>
      <c r="F91" s="52" t="str">
        <f>IFERROR(VLOOKUP($A91,'The List'!$B1:$AS727,8,FALSE)," ")</f>
        <v xml:space="preserve"> </v>
      </c>
      <c r="G91" s="52" t="str">
        <f>IFERROR(VLOOKUP($A91,'The List'!$B1:$AS727,10,FALSE)," ")</f>
        <v xml:space="preserve"> </v>
      </c>
      <c r="H91" s="39"/>
      <c r="I91" s="53" t="str">
        <f>IFERROR(VLOOKUP($A91,'The List'!$B1:$AS727,16,FALSE)," ")</f>
        <v xml:space="preserve"> </v>
      </c>
      <c r="J91" s="53" t="str">
        <f>IFERROR(VLOOKUP($A91,'The List'!$B1:$AS727,17,FALSE)," ")</f>
        <v xml:space="preserve"> </v>
      </c>
      <c r="K91" s="53" t="str">
        <f>IFERROR(VLOOKUP($A91,'The List'!$B1:$AS727,18,FALSE)," ")</f>
        <v xml:space="preserve"> </v>
      </c>
      <c r="L91" s="53" t="str">
        <f>IFERROR(VLOOKUP($A91,'The List'!$B1:$AS727,19,FALSE)," ")</f>
        <v xml:space="preserve"> </v>
      </c>
      <c r="M91" s="53" t="str">
        <f>IFERROR(VLOOKUP($A91,'The List'!$B1:$AS727,20,FALSE)," ")</f>
        <v xml:space="preserve"> </v>
      </c>
      <c r="N91" s="53" t="str">
        <f>IFERROR(VLOOKUP($A91,'The List'!$B1:$AS727,21,FALSE)," ")</f>
        <v xml:space="preserve"> </v>
      </c>
      <c r="O91" s="53" t="str">
        <f>IFERROR(VLOOKUP($A91,'The List'!$B1:$AS727,22,FALSE)," ")</f>
        <v xml:space="preserve"> </v>
      </c>
      <c r="P91" s="53" t="str">
        <f>IFERROR(VLOOKUP($A91,'The List'!$B1:$AS727,23,FALSE)," ")</f>
        <v xml:space="preserve"> </v>
      </c>
      <c r="Q91" s="53" t="str">
        <f>IFERROR(VLOOKUP($A91,'The List'!$B1:$AS727,24,FALSE)," ")</f>
        <v xml:space="preserve"> </v>
      </c>
      <c r="R91" s="53" t="str">
        <f>IFERROR(VLOOKUP($A91,'The List'!$B1:$AS727,25,FALSE)," ")</f>
        <v xml:space="preserve"> </v>
      </c>
      <c r="S91" s="53" t="str">
        <f>IFERROR(VLOOKUP($A91,'The List'!$B1:$AS727,26,FALSE)," ")</f>
        <v xml:space="preserve"> </v>
      </c>
      <c r="T91" s="53" t="str">
        <f>IFERROR(VLOOKUP($A91,'The List'!$B1:$AS727,27,FALSE)," ")</f>
        <v xml:space="preserve"> </v>
      </c>
      <c r="U91" s="53" t="str">
        <f>IFERROR(VLOOKUP($A91,'The List'!$B1:$AS727,28,FALSE)," ")</f>
        <v xml:space="preserve"> </v>
      </c>
      <c r="V91" s="53" t="str">
        <f>IFERROR(VLOOKUP($A91,'The List'!$B1:$AS727,29,FALSE)," ")</f>
        <v xml:space="preserve"> </v>
      </c>
      <c r="W91" s="53" t="str">
        <f>IFERROR(VLOOKUP($A91,'The List'!$B1:$AS727,30,FALSE)," ")</f>
        <v xml:space="preserve"> </v>
      </c>
      <c r="X91" s="53" t="str">
        <f>IFERROR(VLOOKUP($A91,'The List'!$B1:$AS727,31,FALSE)," ")</f>
        <v xml:space="preserve"> </v>
      </c>
      <c r="Y91" s="53" t="str">
        <f>IFERROR(VLOOKUP($A91,'The List'!$B1:$AS727,32,FALSE)," ")</f>
        <v xml:space="preserve"> </v>
      </c>
      <c r="Z91" s="53" t="str">
        <f>IFERROR(VLOOKUP($A91,'The List'!$B1:$AS727,33,FALSE)," ")</f>
        <v xml:space="preserve"> </v>
      </c>
      <c r="AA91" s="55"/>
      <c r="AB91" s="60"/>
      <c r="AC91" s="60"/>
      <c r="AD91" s="60"/>
      <c r="AE91" s="60"/>
      <c r="AF91" s="60"/>
    </row>
    <row r="92" spans="1:32" ht="21.25" customHeight="1" x14ac:dyDescent="0.15">
      <c r="A92" s="23"/>
      <c r="B92" s="57" t="str">
        <f>IFERROR(VLOOKUP($A92,'The List'!$B1:$AS727,3,FALSE)," ")</f>
        <v xml:space="preserve"> </v>
      </c>
      <c r="C92" s="61" t="str">
        <f>IFERROR(VLOOKUP($A92,'The List'!$B1:$AS727,4,FALSE)," ")</f>
        <v xml:space="preserve"> </v>
      </c>
      <c r="D92" s="35" t="str">
        <f>IFERROR(VLOOKUP($A92,'The List'!$B1:$AS727,5,FALSE)," ")</f>
        <v xml:space="preserve"> </v>
      </c>
      <c r="E92" s="35" t="str">
        <f>IFERROR(VLOOKUP($A92,'The List'!$B1:$AS727,6,FALSE)," ")</f>
        <v xml:space="preserve"> </v>
      </c>
      <c r="F92" s="52" t="str">
        <f>IFERROR(VLOOKUP($A92,'The List'!$B1:$AS727,8,FALSE)," ")</f>
        <v xml:space="preserve"> </v>
      </c>
      <c r="G92" s="52" t="str">
        <f>IFERROR(VLOOKUP($A92,'The List'!$B1:$AS727,10,FALSE)," ")</f>
        <v xml:space="preserve"> </v>
      </c>
      <c r="H92" s="39"/>
      <c r="I92" s="53" t="str">
        <f>IFERROR(VLOOKUP($A92,'The List'!$B1:$AS727,16,FALSE)," ")</f>
        <v xml:space="preserve"> </v>
      </c>
      <c r="J92" s="53" t="str">
        <f>IFERROR(VLOOKUP($A92,'The List'!$B1:$AS727,17,FALSE)," ")</f>
        <v xml:space="preserve"> </v>
      </c>
      <c r="K92" s="53" t="str">
        <f>IFERROR(VLOOKUP($A92,'The List'!$B1:$AS727,18,FALSE)," ")</f>
        <v xml:space="preserve"> </v>
      </c>
      <c r="L92" s="53" t="str">
        <f>IFERROR(VLOOKUP($A92,'The List'!$B1:$AS727,19,FALSE)," ")</f>
        <v xml:space="preserve"> </v>
      </c>
      <c r="M92" s="53" t="str">
        <f>IFERROR(VLOOKUP($A92,'The List'!$B1:$AS727,20,FALSE)," ")</f>
        <v xml:space="preserve"> </v>
      </c>
      <c r="N92" s="53" t="str">
        <f>IFERROR(VLOOKUP($A92,'The List'!$B1:$AS727,21,FALSE)," ")</f>
        <v xml:space="preserve"> </v>
      </c>
      <c r="O92" s="53" t="str">
        <f>IFERROR(VLOOKUP($A92,'The List'!$B1:$AS727,22,FALSE)," ")</f>
        <v xml:space="preserve"> </v>
      </c>
      <c r="P92" s="53" t="str">
        <f>IFERROR(VLOOKUP($A92,'The List'!$B1:$AS727,23,FALSE)," ")</f>
        <v xml:space="preserve"> </v>
      </c>
      <c r="Q92" s="53" t="str">
        <f>IFERROR(VLOOKUP($A92,'The List'!$B1:$AS727,24,FALSE)," ")</f>
        <v xml:space="preserve"> </v>
      </c>
      <c r="R92" s="53" t="str">
        <f>IFERROR(VLOOKUP($A92,'The List'!$B1:$AS727,25,FALSE)," ")</f>
        <v xml:space="preserve"> </v>
      </c>
      <c r="S92" s="53" t="str">
        <f>IFERROR(VLOOKUP($A92,'The List'!$B1:$AS727,26,FALSE)," ")</f>
        <v xml:space="preserve"> </v>
      </c>
      <c r="T92" s="53" t="str">
        <f>IFERROR(VLOOKUP($A92,'The List'!$B1:$AS727,27,FALSE)," ")</f>
        <v xml:space="preserve"> </v>
      </c>
      <c r="U92" s="53" t="str">
        <f>IFERROR(VLOOKUP($A92,'The List'!$B1:$AS727,28,FALSE)," ")</f>
        <v xml:space="preserve"> </v>
      </c>
      <c r="V92" s="53" t="str">
        <f>IFERROR(VLOOKUP($A92,'The List'!$B1:$AS727,29,FALSE)," ")</f>
        <v xml:space="preserve"> </v>
      </c>
      <c r="W92" s="53" t="str">
        <f>IFERROR(VLOOKUP($A92,'The List'!$B1:$AS727,30,FALSE)," ")</f>
        <v xml:space="preserve"> </v>
      </c>
      <c r="X92" s="53" t="str">
        <f>IFERROR(VLOOKUP($A92,'The List'!$B1:$AS727,31,FALSE)," ")</f>
        <v xml:space="preserve"> </v>
      </c>
      <c r="Y92" s="53" t="str">
        <f>IFERROR(VLOOKUP($A92,'The List'!$B1:$AS727,32,FALSE)," ")</f>
        <v xml:space="preserve"> </v>
      </c>
      <c r="Z92" s="53" t="str">
        <f>IFERROR(VLOOKUP($A92,'The List'!$B1:$AS727,33,FALSE)," ")</f>
        <v xml:space="preserve"> </v>
      </c>
      <c r="AA92" s="55"/>
      <c r="AB92" s="60"/>
      <c r="AC92" s="60"/>
      <c r="AD92" s="60"/>
      <c r="AE92" s="60"/>
      <c r="AF92" s="60"/>
    </row>
    <row r="93" spans="1:32" ht="21.25" customHeight="1" x14ac:dyDescent="0.15">
      <c r="A93" s="23"/>
      <c r="B93" s="62" t="str">
        <f>IFERROR(VLOOKUP($A93,'The List'!$B1:$AS727,3,FALSE)," ")</f>
        <v xml:space="preserve"> </v>
      </c>
      <c r="C93" s="64" t="str">
        <f>IFERROR(VLOOKUP($A93,'The List'!$B1:$AS727,4,FALSE)," ")</f>
        <v xml:space="preserve"> </v>
      </c>
      <c r="D93" s="35" t="str">
        <f>IFERROR(VLOOKUP($A93,'The List'!$B1:$AS727,5,FALSE)," ")</f>
        <v xml:space="preserve"> </v>
      </c>
      <c r="E93" s="35" t="str">
        <f>IFERROR(VLOOKUP($A93,'The List'!$B1:$AS727,6,FALSE)," ")</f>
        <v xml:space="preserve"> </v>
      </c>
      <c r="F93" s="52" t="str">
        <f>IFERROR(VLOOKUP($A93,'The List'!$B1:$AS727,8,FALSE)," ")</f>
        <v xml:space="preserve"> </v>
      </c>
      <c r="G93" s="52" t="str">
        <f>IFERROR(VLOOKUP($A93,'The List'!$B1:$AS727,10,FALSE)," ")</f>
        <v xml:space="preserve"> </v>
      </c>
      <c r="H93" s="39"/>
      <c r="I93" s="53" t="str">
        <f>IFERROR(VLOOKUP($A93,'The List'!$B1:$AS727,16,FALSE)," ")</f>
        <v xml:space="preserve"> </v>
      </c>
      <c r="J93" s="53" t="str">
        <f>IFERROR(VLOOKUP($A93,'The List'!$B1:$AS727,17,FALSE)," ")</f>
        <v xml:space="preserve"> </v>
      </c>
      <c r="K93" s="53" t="str">
        <f>IFERROR(VLOOKUP($A93,'The List'!$B1:$AS727,18,FALSE)," ")</f>
        <v xml:space="preserve"> </v>
      </c>
      <c r="L93" s="53" t="str">
        <f>IFERROR(VLOOKUP($A93,'The List'!$B1:$AS727,19,FALSE)," ")</f>
        <v xml:space="preserve"> </v>
      </c>
      <c r="M93" s="53" t="str">
        <f>IFERROR(VLOOKUP($A93,'The List'!$B1:$AS727,20,FALSE)," ")</f>
        <v xml:space="preserve"> </v>
      </c>
      <c r="N93" s="53" t="str">
        <f>IFERROR(VLOOKUP($A93,'The List'!$B1:$AS727,21,FALSE)," ")</f>
        <v xml:space="preserve"> </v>
      </c>
      <c r="O93" s="53" t="str">
        <f>IFERROR(VLOOKUP($A93,'The List'!$B1:$AS727,22,FALSE)," ")</f>
        <v xml:space="preserve"> </v>
      </c>
      <c r="P93" s="53" t="str">
        <f>IFERROR(VLOOKUP($A93,'The List'!$B1:$AS727,23,FALSE)," ")</f>
        <v xml:space="preserve"> </v>
      </c>
      <c r="Q93" s="53" t="str">
        <f>IFERROR(VLOOKUP($A93,'The List'!$B1:$AS727,24,FALSE)," ")</f>
        <v xml:space="preserve"> </v>
      </c>
      <c r="R93" s="53" t="str">
        <f>IFERROR(VLOOKUP($A93,'The List'!$B1:$AS727,25,FALSE)," ")</f>
        <v xml:space="preserve"> </v>
      </c>
      <c r="S93" s="53" t="str">
        <f>IFERROR(VLOOKUP($A93,'The List'!$B1:$AS727,26,FALSE)," ")</f>
        <v xml:space="preserve"> </v>
      </c>
      <c r="T93" s="53" t="str">
        <f>IFERROR(VLOOKUP($A93,'The List'!$B1:$AS727,27,FALSE)," ")</f>
        <v xml:space="preserve"> </v>
      </c>
      <c r="U93" s="53" t="str">
        <f>IFERROR(VLOOKUP($A93,'The List'!$B1:$AS727,28,FALSE)," ")</f>
        <v xml:space="preserve"> </v>
      </c>
      <c r="V93" s="53" t="str">
        <f>IFERROR(VLOOKUP($A93,'The List'!$B1:$AS727,29,FALSE)," ")</f>
        <v xml:space="preserve"> </v>
      </c>
      <c r="W93" s="53" t="str">
        <f>IFERROR(VLOOKUP($A93,'The List'!$B1:$AS727,30,FALSE)," ")</f>
        <v xml:space="preserve"> </v>
      </c>
      <c r="X93" s="53" t="str">
        <f>IFERROR(VLOOKUP($A93,'The List'!$B1:$AS727,31,FALSE)," ")</f>
        <v xml:space="preserve"> </v>
      </c>
      <c r="Y93" s="53" t="str">
        <f>IFERROR(VLOOKUP($A93,'The List'!$B1:$AS727,32,FALSE)," ")</f>
        <v xml:space="preserve"> </v>
      </c>
      <c r="Z93" s="53" t="str">
        <f>IFERROR(VLOOKUP($A93,'The List'!$B1:$AS727,33,FALSE)," ")</f>
        <v xml:space="preserve"> </v>
      </c>
      <c r="AA93" s="55"/>
      <c r="AB93" s="60"/>
      <c r="AC93" s="60"/>
      <c r="AD93" s="60"/>
      <c r="AE93" s="60"/>
      <c r="AF93" s="60"/>
    </row>
    <row r="94" spans="1:32" ht="21.25" customHeight="1" x14ac:dyDescent="0.15">
      <c r="A94" s="23"/>
      <c r="B94" s="62" t="str">
        <f>IFERROR(VLOOKUP($A94,'The List'!$B1:$AS727,3,FALSE)," ")</f>
        <v xml:space="preserve"> </v>
      </c>
      <c r="C94" s="64" t="str">
        <f>IFERROR(VLOOKUP($A94,'The List'!$B1:$AS727,4,FALSE)," ")</f>
        <v xml:space="preserve"> </v>
      </c>
      <c r="D94" s="35" t="str">
        <f>IFERROR(VLOOKUP($A94,'The List'!$B1:$AS727,5,FALSE)," ")</f>
        <v xml:space="preserve"> </v>
      </c>
      <c r="E94" s="35" t="str">
        <f>IFERROR(VLOOKUP($A94,'The List'!$B1:$AS727,6,FALSE)," ")</f>
        <v xml:space="preserve"> </v>
      </c>
      <c r="F94" s="52" t="str">
        <f>IFERROR(VLOOKUP($A94,'The List'!$B1:$AS727,8,FALSE)," ")</f>
        <v xml:space="preserve"> </v>
      </c>
      <c r="G94" s="52" t="str">
        <f>IFERROR(VLOOKUP($A94,'The List'!$B1:$AS727,10,FALSE)," ")</f>
        <v xml:space="preserve"> </v>
      </c>
      <c r="H94" s="39"/>
      <c r="I94" s="53" t="str">
        <f>IFERROR(VLOOKUP($A94,'The List'!$B1:$AS727,16,FALSE)," ")</f>
        <v xml:space="preserve"> </v>
      </c>
      <c r="J94" s="53" t="str">
        <f>IFERROR(VLOOKUP($A94,'The List'!$B1:$AS727,17,FALSE)," ")</f>
        <v xml:space="preserve"> </v>
      </c>
      <c r="K94" s="53" t="str">
        <f>IFERROR(VLOOKUP($A94,'The List'!$B1:$AS727,18,FALSE)," ")</f>
        <v xml:space="preserve"> </v>
      </c>
      <c r="L94" s="53" t="str">
        <f>IFERROR(VLOOKUP($A94,'The List'!$B1:$AS727,19,FALSE)," ")</f>
        <v xml:space="preserve"> </v>
      </c>
      <c r="M94" s="53" t="str">
        <f>IFERROR(VLOOKUP($A94,'The List'!$B1:$AS727,20,FALSE)," ")</f>
        <v xml:space="preserve"> </v>
      </c>
      <c r="N94" s="53" t="str">
        <f>IFERROR(VLOOKUP($A94,'The List'!$B1:$AS727,21,FALSE)," ")</f>
        <v xml:space="preserve"> </v>
      </c>
      <c r="O94" s="53" t="str">
        <f>IFERROR(VLOOKUP($A94,'The List'!$B1:$AS727,22,FALSE)," ")</f>
        <v xml:space="preserve"> </v>
      </c>
      <c r="P94" s="53" t="str">
        <f>IFERROR(VLOOKUP($A94,'The List'!$B1:$AS727,23,FALSE)," ")</f>
        <v xml:space="preserve"> </v>
      </c>
      <c r="Q94" s="53" t="str">
        <f>IFERROR(VLOOKUP($A94,'The List'!$B1:$AS727,24,FALSE)," ")</f>
        <v xml:space="preserve"> </v>
      </c>
      <c r="R94" s="53" t="str">
        <f>IFERROR(VLOOKUP($A94,'The List'!$B1:$AS727,25,FALSE)," ")</f>
        <v xml:space="preserve"> </v>
      </c>
      <c r="S94" s="53" t="str">
        <f>IFERROR(VLOOKUP($A94,'The List'!$B1:$AS727,26,FALSE)," ")</f>
        <v xml:space="preserve"> </v>
      </c>
      <c r="T94" s="53" t="str">
        <f>IFERROR(VLOOKUP($A94,'The List'!$B1:$AS727,27,FALSE)," ")</f>
        <v xml:space="preserve"> </v>
      </c>
      <c r="U94" s="53" t="str">
        <f>IFERROR(VLOOKUP($A94,'The List'!$B1:$AS727,28,FALSE)," ")</f>
        <v xml:space="preserve"> </v>
      </c>
      <c r="V94" s="53" t="str">
        <f>IFERROR(VLOOKUP($A94,'The List'!$B1:$AS727,29,FALSE)," ")</f>
        <v xml:space="preserve"> </v>
      </c>
      <c r="W94" s="53" t="str">
        <f>IFERROR(VLOOKUP($A94,'The List'!$B1:$AS727,30,FALSE)," ")</f>
        <v xml:space="preserve"> </v>
      </c>
      <c r="X94" s="53" t="str">
        <f>IFERROR(VLOOKUP($A94,'The List'!$B1:$AS727,31,FALSE)," ")</f>
        <v xml:space="preserve"> </v>
      </c>
      <c r="Y94" s="53" t="str">
        <f>IFERROR(VLOOKUP($A94,'The List'!$B1:$AS727,32,FALSE)," ")</f>
        <v xml:space="preserve"> </v>
      </c>
      <c r="Z94" s="53" t="str">
        <f>IFERROR(VLOOKUP($A94,'The List'!$B1:$AS727,33,FALSE)," ")</f>
        <v xml:space="preserve"> </v>
      </c>
      <c r="AA94" s="55"/>
      <c r="AB94" s="60"/>
      <c r="AC94" s="60"/>
      <c r="AD94" s="60"/>
      <c r="AE94" s="60"/>
      <c r="AF94" s="60"/>
    </row>
    <row r="95" spans="1:32" ht="21.25" customHeight="1" x14ac:dyDescent="0.15">
      <c r="A95" s="23"/>
      <c r="B95" s="62" t="str">
        <f>IFERROR(VLOOKUP($A95,'The List'!$B1:$AS727,3,FALSE)," ")</f>
        <v xml:space="preserve"> </v>
      </c>
      <c r="C95" s="64" t="str">
        <f>IFERROR(VLOOKUP($A95,'The List'!$B1:$AS727,4,FALSE)," ")</f>
        <v xml:space="preserve"> </v>
      </c>
      <c r="D95" s="35" t="str">
        <f>IFERROR(VLOOKUP($A95,'The List'!$B1:$AS727,5,FALSE)," ")</f>
        <v xml:space="preserve"> </v>
      </c>
      <c r="E95" s="35" t="str">
        <f>IFERROR(VLOOKUP($A95,'The List'!$B1:$AS727,6,FALSE)," ")</f>
        <v xml:space="preserve"> </v>
      </c>
      <c r="F95" s="52" t="str">
        <f>IFERROR(VLOOKUP($A95,'The List'!$B1:$AS727,8,FALSE)," ")</f>
        <v xml:space="preserve"> </v>
      </c>
      <c r="G95" s="52" t="str">
        <f>IFERROR(VLOOKUP($A95,'The List'!$B1:$AS727,10,FALSE)," ")</f>
        <v xml:space="preserve"> </v>
      </c>
      <c r="H95" s="39"/>
      <c r="I95" s="53" t="str">
        <f>IFERROR(VLOOKUP($A95,'The List'!$B1:$AS727,16,FALSE)," ")</f>
        <v xml:space="preserve"> </v>
      </c>
      <c r="J95" s="53" t="str">
        <f>IFERROR(VLOOKUP($A95,'The List'!$B1:$AS727,17,FALSE)," ")</f>
        <v xml:space="preserve"> </v>
      </c>
      <c r="K95" s="53" t="str">
        <f>IFERROR(VLOOKUP($A95,'The List'!$B1:$AS727,18,FALSE)," ")</f>
        <v xml:space="preserve"> </v>
      </c>
      <c r="L95" s="53" t="str">
        <f>IFERROR(VLOOKUP($A95,'The List'!$B1:$AS727,19,FALSE)," ")</f>
        <v xml:space="preserve"> </v>
      </c>
      <c r="M95" s="53" t="str">
        <f>IFERROR(VLOOKUP($A95,'The List'!$B1:$AS727,20,FALSE)," ")</f>
        <v xml:space="preserve"> </v>
      </c>
      <c r="N95" s="53" t="str">
        <f>IFERROR(VLOOKUP($A95,'The List'!$B1:$AS727,21,FALSE)," ")</f>
        <v xml:space="preserve"> </v>
      </c>
      <c r="O95" s="53" t="str">
        <f>IFERROR(VLOOKUP($A95,'The List'!$B1:$AS727,22,FALSE)," ")</f>
        <v xml:space="preserve"> </v>
      </c>
      <c r="P95" s="53" t="str">
        <f>IFERROR(VLOOKUP($A95,'The List'!$B1:$AS727,23,FALSE)," ")</f>
        <v xml:space="preserve"> </v>
      </c>
      <c r="Q95" s="53" t="str">
        <f>IFERROR(VLOOKUP($A95,'The List'!$B1:$AS727,24,FALSE)," ")</f>
        <v xml:space="preserve"> </v>
      </c>
      <c r="R95" s="53" t="str">
        <f>IFERROR(VLOOKUP($A95,'The List'!$B1:$AS727,25,FALSE)," ")</f>
        <v xml:space="preserve"> </v>
      </c>
      <c r="S95" s="53" t="str">
        <f>IFERROR(VLOOKUP($A95,'The List'!$B1:$AS727,26,FALSE)," ")</f>
        <v xml:space="preserve"> </v>
      </c>
      <c r="T95" s="53" t="str">
        <f>IFERROR(VLOOKUP($A95,'The List'!$B1:$AS727,27,FALSE)," ")</f>
        <v xml:space="preserve"> </v>
      </c>
      <c r="U95" s="53" t="str">
        <f>IFERROR(VLOOKUP($A95,'The List'!$B1:$AS727,28,FALSE)," ")</f>
        <v xml:space="preserve"> </v>
      </c>
      <c r="V95" s="53" t="str">
        <f>IFERROR(VLOOKUP($A95,'The List'!$B1:$AS727,29,FALSE)," ")</f>
        <v xml:space="preserve"> </v>
      </c>
      <c r="W95" s="53" t="str">
        <f>IFERROR(VLOOKUP($A95,'The List'!$B1:$AS727,30,FALSE)," ")</f>
        <v xml:space="preserve"> </v>
      </c>
      <c r="X95" s="53" t="str">
        <f>IFERROR(VLOOKUP($A95,'The List'!$B1:$AS727,31,FALSE)," ")</f>
        <v xml:space="preserve"> </v>
      </c>
      <c r="Y95" s="53" t="str">
        <f>IFERROR(VLOOKUP($A95,'The List'!$B1:$AS727,32,FALSE)," ")</f>
        <v xml:space="preserve"> </v>
      </c>
      <c r="Z95" s="53" t="str">
        <f>IFERROR(VLOOKUP($A95,'The List'!$B1:$AS727,33,FALSE)," ")</f>
        <v xml:space="preserve"> </v>
      </c>
      <c r="AA95" s="55"/>
      <c r="AB95" s="60"/>
      <c r="AC95" s="60"/>
      <c r="AD95" s="60"/>
      <c r="AE95" s="60"/>
      <c r="AF95" s="60"/>
    </row>
    <row r="96" spans="1:32" ht="21.25" customHeight="1" x14ac:dyDescent="0.15">
      <c r="A96" s="23"/>
      <c r="B96" s="62" t="str">
        <f>IFERROR(VLOOKUP($A96,'The List'!$B1:$AS727,3,FALSE)," ")</f>
        <v xml:space="preserve"> </v>
      </c>
      <c r="C96" s="64" t="str">
        <f>IFERROR(VLOOKUP($A96,'The List'!$B1:$AS727,4,FALSE)," ")</f>
        <v xml:space="preserve"> </v>
      </c>
      <c r="D96" s="35" t="str">
        <f>IFERROR(VLOOKUP($A96,'The List'!$B1:$AS727,5,FALSE)," ")</f>
        <v xml:space="preserve"> </v>
      </c>
      <c r="E96" s="35" t="str">
        <f>IFERROR(VLOOKUP($A96,'The List'!$B1:$AS727,6,FALSE)," ")</f>
        <v xml:space="preserve"> </v>
      </c>
      <c r="F96" s="52" t="str">
        <f>IFERROR(VLOOKUP($A96,'The List'!$B1:$AS727,8,FALSE)," ")</f>
        <v xml:space="preserve"> </v>
      </c>
      <c r="G96" s="52" t="str">
        <f>IFERROR(VLOOKUP($A96,'The List'!$B1:$AS727,10,FALSE)," ")</f>
        <v xml:space="preserve"> </v>
      </c>
      <c r="H96" s="39"/>
      <c r="I96" s="53" t="str">
        <f>IFERROR(VLOOKUP($A96,'The List'!$B1:$AS727,16,FALSE)," ")</f>
        <v xml:space="preserve"> </v>
      </c>
      <c r="J96" s="53" t="str">
        <f>IFERROR(VLOOKUP($A96,'The List'!$B1:$AS727,17,FALSE)," ")</f>
        <v xml:space="preserve"> </v>
      </c>
      <c r="K96" s="53" t="str">
        <f>IFERROR(VLOOKUP($A96,'The List'!$B1:$AS727,18,FALSE)," ")</f>
        <v xml:space="preserve"> </v>
      </c>
      <c r="L96" s="53" t="str">
        <f>IFERROR(VLOOKUP($A96,'The List'!$B1:$AS727,19,FALSE)," ")</f>
        <v xml:space="preserve"> </v>
      </c>
      <c r="M96" s="53" t="str">
        <f>IFERROR(VLOOKUP($A96,'The List'!$B1:$AS727,20,FALSE)," ")</f>
        <v xml:space="preserve"> </v>
      </c>
      <c r="N96" s="53" t="str">
        <f>IFERROR(VLOOKUP($A96,'The List'!$B1:$AS727,21,FALSE)," ")</f>
        <v xml:space="preserve"> </v>
      </c>
      <c r="O96" s="53" t="str">
        <f>IFERROR(VLOOKUP($A96,'The List'!$B1:$AS727,22,FALSE)," ")</f>
        <v xml:space="preserve"> </v>
      </c>
      <c r="P96" s="53" t="str">
        <f>IFERROR(VLOOKUP($A96,'The List'!$B1:$AS727,23,FALSE)," ")</f>
        <v xml:space="preserve"> </v>
      </c>
      <c r="Q96" s="53" t="str">
        <f>IFERROR(VLOOKUP($A96,'The List'!$B1:$AS727,24,FALSE)," ")</f>
        <v xml:space="preserve"> </v>
      </c>
      <c r="R96" s="53" t="str">
        <f>IFERROR(VLOOKUP($A96,'The List'!$B1:$AS727,25,FALSE)," ")</f>
        <v xml:space="preserve"> </v>
      </c>
      <c r="S96" s="53" t="str">
        <f>IFERROR(VLOOKUP($A96,'The List'!$B1:$AS727,26,FALSE)," ")</f>
        <v xml:space="preserve"> </v>
      </c>
      <c r="T96" s="53" t="str">
        <f>IFERROR(VLOOKUP($A96,'The List'!$B1:$AS727,27,FALSE)," ")</f>
        <v xml:space="preserve"> </v>
      </c>
      <c r="U96" s="53" t="str">
        <f>IFERROR(VLOOKUP($A96,'The List'!$B1:$AS727,28,FALSE)," ")</f>
        <v xml:space="preserve"> </v>
      </c>
      <c r="V96" s="53" t="str">
        <f>IFERROR(VLOOKUP($A96,'The List'!$B1:$AS727,29,FALSE)," ")</f>
        <v xml:space="preserve"> </v>
      </c>
      <c r="W96" s="53" t="str">
        <f>IFERROR(VLOOKUP($A96,'The List'!$B1:$AS727,30,FALSE)," ")</f>
        <v xml:space="preserve"> </v>
      </c>
      <c r="X96" s="53" t="str">
        <f>IFERROR(VLOOKUP($A96,'The List'!$B1:$AS727,31,FALSE)," ")</f>
        <v xml:space="preserve"> </v>
      </c>
      <c r="Y96" s="53" t="str">
        <f>IFERROR(VLOOKUP($A96,'The List'!$B1:$AS727,32,FALSE)," ")</f>
        <v xml:space="preserve"> </v>
      </c>
      <c r="Z96" s="53" t="str">
        <f>IFERROR(VLOOKUP($A96,'The List'!$B1:$AS727,33,FALSE)," ")</f>
        <v xml:space="preserve"> </v>
      </c>
      <c r="AA96" s="55"/>
      <c r="AB96" s="60"/>
      <c r="AC96" s="60"/>
      <c r="AD96" s="60"/>
      <c r="AE96" s="60"/>
      <c r="AF96" s="60"/>
    </row>
    <row r="97" spans="1:32" ht="21.25" customHeight="1" x14ac:dyDescent="0.15">
      <c r="A97" s="23"/>
      <c r="B97" s="65" t="str">
        <f>IFERROR(VLOOKUP($A97,'The List'!$B1:$AS727,3,FALSE)," ")</f>
        <v xml:space="preserve"> </v>
      </c>
      <c r="C97" s="67" t="str">
        <f>IFERROR(VLOOKUP($A97,'The List'!$B1:$AS727,4,FALSE)," ")</f>
        <v xml:space="preserve"> </v>
      </c>
      <c r="D97" s="35" t="str">
        <f>IFERROR(VLOOKUP($A97,'The List'!$B1:$AS727,5,FALSE)," ")</f>
        <v xml:space="preserve"> </v>
      </c>
      <c r="E97" s="35" t="str">
        <f>IFERROR(VLOOKUP($A97,'The List'!$B1:$AS727,6,FALSE)," ")</f>
        <v xml:space="preserve"> </v>
      </c>
      <c r="F97" s="52" t="str">
        <f>IFERROR(VLOOKUP($A97,'The List'!$B1:$AS727,8,FALSE)," ")</f>
        <v xml:space="preserve"> </v>
      </c>
      <c r="G97" s="52" t="str">
        <f>IFERROR(VLOOKUP($A97,'The List'!$B1:$AS727,10,FALSE)," ")</f>
        <v xml:space="preserve"> </v>
      </c>
      <c r="H97" s="39"/>
      <c r="I97" s="53" t="str">
        <f>IFERROR(VLOOKUP($A97,'The List'!$B1:$AS727,16,FALSE)," ")</f>
        <v xml:space="preserve"> </v>
      </c>
      <c r="J97" s="53" t="str">
        <f>IFERROR(VLOOKUP($A97,'The List'!$B1:$AS727,17,FALSE)," ")</f>
        <v xml:space="preserve"> </v>
      </c>
      <c r="K97" s="53" t="str">
        <f>IFERROR(VLOOKUP($A97,'The List'!$B1:$AS727,18,FALSE)," ")</f>
        <v xml:space="preserve"> </v>
      </c>
      <c r="L97" s="53" t="str">
        <f>IFERROR(VLOOKUP($A97,'The List'!$B1:$AS727,19,FALSE)," ")</f>
        <v xml:space="preserve"> </v>
      </c>
      <c r="M97" s="53" t="str">
        <f>IFERROR(VLOOKUP($A97,'The List'!$B1:$AS727,20,FALSE)," ")</f>
        <v xml:space="preserve"> </v>
      </c>
      <c r="N97" s="53" t="str">
        <f>IFERROR(VLOOKUP($A97,'The List'!$B1:$AS727,21,FALSE)," ")</f>
        <v xml:space="preserve"> </v>
      </c>
      <c r="O97" s="53" t="str">
        <f>IFERROR(VLOOKUP($A97,'The List'!$B1:$AS727,22,FALSE)," ")</f>
        <v xml:space="preserve"> </v>
      </c>
      <c r="P97" s="53" t="str">
        <f>IFERROR(VLOOKUP($A97,'The List'!$B1:$AS727,23,FALSE)," ")</f>
        <v xml:space="preserve"> </v>
      </c>
      <c r="Q97" s="53" t="str">
        <f>IFERROR(VLOOKUP($A97,'The List'!$B1:$AS727,24,FALSE)," ")</f>
        <v xml:space="preserve"> </v>
      </c>
      <c r="R97" s="53" t="str">
        <f>IFERROR(VLOOKUP($A97,'The List'!$B1:$AS727,25,FALSE)," ")</f>
        <v xml:space="preserve"> </v>
      </c>
      <c r="S97" s="53" t="str">
        <f>IFERROR(VLOOKUP($A97,'The List'!$B1:$AS727,26,FALSE)," ")</f>
        <v xml:space="preserve"> </v>
      </c>
      <c r="T97" s="53" t="str">
        <f>IFERROR(VLOOKUP($A97,'The List'!$B1:$AS727,27,FALSE)," ")</f>
        <v xml:space="preserve"> </v>
      </c>
      <c r="U97" s="53" t="str">
        <f>IFERROR(VLOOKUP($A97,'The List'!$B1:$AS727,28,FALSE)," ")</f>
        <v xml:space="preserve"> </v>
      </c>
      <c r="V97" s="53" t="str">
        <f>IFERROR(VLOOKUP($A97,'The List'!$B1:$AS727,29,FALSE)," ")</f>
        <v xml:space="preserve"> </v>
      </c>
      <c r="W97" s="53" t="str">
        <f>IFERROR(VLOOKUP($A97,'The List'!$B1:$AS727,30,FALSE)," ")</f>
        <v xml:space="preserve"> </v>
      </c>
      <c r="X97" s="53" t="str">
        <f>IFERROR(VLOOKUP($A97,'The List'!$B1:$AS727,31,FALSE)," ")</f>
        <v xml:space="preserve"> </v>
      </c>
      <c r="Y97" s="53" t="str">
        <f>IFERROR(VLOOKUP($A97,'The List'!$B1:$AS727,32,FALSE)," ")</f>
        <v xml:space="preserve"> </v>
      </c>
      <c r="Z97" s="53" t="str">
        <f>IFERROR(VLOOKUP($A97,'The List'!$B1:$AS727,33,FALSE)," ")</f>
        <v xml:space="preserve"> </v>
      </c>
      <c r="AA97" s="55"/>
      <c r="AB97" s="60"/>
      <c r="AC97" s="60"/>
      <c r="AD97" s="60"/>
      <c r="AE97" s="60"/>
      <c r="AF97" s="60"/>
    </row>
    <row r="98" spans="1:32" ht="21.25" customHeight="1" x14ac:dyDescent="0.15">
      <c r="A98" s="23"/>
      <c r="B98" s="65" t="str">
        <f>IFERROR(VLOOKUP($A98,'The List'!$B1:$AS727,3,FALSE)," ")</f>
        <v xml:space="preserve"> </v>
      </c>
      <c r="C98" s="67" t="str">
        <f>IFERROR(VLOOKUP($A98,'The List'!$B1:$AS727,4,FALSE)," ")</f>
        <v xml:space="preserve"> </v>
      </c>
      <c r="D98" s="35" t="str">
        <f>IFERROR(VLOOKUP($A98,'The List'!$B1:$AS727,5,FALSE)," ")</f>
        <v xml:space="preserve"> </v>
      </c>
      <c r="E98" s="35" t="str">
        <f>IFERROR(VLOOKUP($A98,'The List'!$B1:$AS727,6,FALSE)," ")</f>
        <v xml:space="preserve"> </v>
      </c>
      <c r="F98" s="52" t="str">
        <f>IFERROR(VLOOKUP($A98,'The List'!$B1:$AS727,8,FALSE)," ")</f>
        <v xml:space="preserve"> </v>
      </c>
      <c r="G98" s="52" t="str">
        <f>IFERROR(VLOOKUP($A98,'The List'!$B1:$AS727,10,FALSE)," ")</f>
        <v xml:space="preserve"> </v>
      </c>
      <c r="H98" s="39"/>
      <c r="I98" s="53" t="str">
        <f>IFERROR(VLOOKUP($A98,'The List'!$B1:$AS727,16,FALSE)," ")</f>
        <v xml:space="preserve"> </v>
      </c>
      <c r="J98" s="53" t="str">
        <f>IFERROR(VLOOKUP($A98,'The List'!$B1:$AS727,17,FALSE)," ")</f>
        <v xml:space="preserve"> </v>
      </c>
      <c r="K98" s="53" t="str">
        <f>IFERROR(VLOOKUP($A98,'The List'!$B1:$AS727,18,FALSE)," ")</f>
        <v xml:space="preserve"> </v>
      </c>
      <c r="L98" s="53" t="str">
        <f>IFERROR(VLOOKUP($A98,'The List'!$B1:$AS727,19,FALSE)," ")</f>
        <v xml:space="preserve"> </v>
      </c>
      <c r="M98" s="53" t="str">
        <f>IFERROR(VLOOKUP($A98,'The List'!$B1:$AS727,20,FALSE)," ")</f>
        <v xml:space="preserve"> </v>
      </c>
      <c r="N98" s="53" t="str">
        <f>IFERROR(VLOOKUP($A98,'The List'!$B1:$AS727,21,FALSE)," ")</f>
        <v xml:space="preserve"> </v>
      </c>
      <c r="O98" s="53" t="str">
        <f>IFERROR(VLOOKUP($A98,'The List'!$B1:$AS727,22,FALSE)," ")</f>
        <v xml:space="preserve"> </v>
      </c>
      <c r="P98" s="53" t="str">
        <f>IFERROR(VLOOKUP($A98,'The List'!$B1:$AS727,23,FALSE)," ")</f>
        <v xml:space="preserve"> </v>
      </c>
      <c r="Q98" s="53" t="str">
        <f>IFERROR(VLOOKUP($A98,'The List'!$B1:$AS727,24,FALSE)," ")</f>
        <v xml:space="preserve"> </v>
      </c>
      <c r="R98" s="53" t="str">
        <f>IFERROR(VLOOKUP($A98,'The List'!$B1:$AS727,25,FALSE)," ")</f>
        <v xml:space="preserve"> </v>
      </c>
      <c r="S98" s="53" t="str">
        <f>IFERROR(VLOOKUP($A98,'The List'!$B1:$AS727,26,FALSE)," ")</f>
        <v xml:space="preserve"> </v>
      </c>
      <c r="T98" s="53" t="str">
        <f>IFERROR(VLOOKUP($A98,'The List'!$B1:$AS727,27,FALSE)," ")</f>
        <v xml:space="preserve"> </v>
      </c>
      <c r="U98" s="53" t="str">
        <f>IFERROR(VLOOKUP($A98,'The List'!$B1:$AS727,28,FALSE)," ")</f>
        <v xml:space="preserve"> </v>
      </c>
      <c r="V98" s="53" t="str">
        <f>IFERROR(VLOOKUP($A98,'The List'!$B1:$AS727,29,FALSE)," ")</f>
        <v xml:space="preserve"> </v>
      </c>
      <c r="W98" s="53" t="str">
        <f>IFERROR(VLOOKUP($A98,'The List'!$B1:$AS727,30,FALSE)," ")</f>
        <v xml:space="preserve"> </v>
      </c>
      <c r="X98" s="53" t="str">
        <f>IFERROR(VLOOKUP($A98,'The List'!$B1:$AS727,31,FALSE)," ")</f>
        <v xml:space="preserve"> </v>
      </c>
      <c r="Y98" s="53" t="str">
        <f>IFERROR(VLOOKUP($A98,'The List'!$B1:$AS727,32,FALSE)," ")</f>
        <v xml:space="preserve"> </v>
      </c>
      <c r="Z98" s="53" t="str">
        <f>IFERROR(VLOOKUP($A98,'The List'!$B1:$AS727,33,FALSE)," ")</f>
        <v xml:space="preserve"> </v>
      </c>
      <c r="AA98" s="55"/>
      <c r="AB98" s="60"/>
      <c r="AC98" s="60"/>
      <c r="AD98" s="60"/>
      <c r="AE98" s="60"/>
      <c r="AF98" s="60"/>
    </row>
    <row r="99" spans="1:32" ht="21.25" customHeight="1" x14ac:dyDescent="0.15">
      <c r="A99" s="23"/>
      <c r="B99" s="65" t="str">
        <f>IFERROR(VLOOKUP($A99,'The List'!$B1:$AS727,3,FALSE)," ")</f>
        <v xml:space="preserve"> </v>
      </c>
      <c r="C99" s="67" t="str">
        <f>IFERROR(VLOOKUP($A99,'The List'!$B1:$AS727,4,FALSE)," ")</f>
        <v xml:space="preserve"> </v>
      </c>
      <c r="D99" s="35" t="str">
        <f>IFERROR(VLOOKUP($A99,'The List'!$B1:$AS727,5,FALSE)," ")</f>
        <v xml:space="preserve"> </v>
      </c>
      <c r="E99" s="35" t="str">
        <f>IFERROR(VLOOKUP($A99,'The List'!$B1:$AS727,6,FALSE)," ")</f>
        <v xml:space="preserve"> </v>
      </c>
      <c r="F99" s="52" t="str">
        <f>IFERROR(VLOOKUP($A99,'The List'!$B1:$AS727,8,FALSE)," ")</f>
        <v xml:space="preserve"> </v>
      </c>
      <c r="G99" s="52" t="str">
        <f>IFERROR(VLOOKUP($A99,'The List'!$B1:$AS727,10,FALSE)," ")</f>
        <v xml:space="preserve"> </v>
      </c>
      <c r="H99" s="39"/>
      <c r="I99" s="53" t="str">
        <f>IFERROR(VLOOKUP($A99,'The List'!$B1:$AS727,16,FALSE)," ")</f>
        <v xml:space="preserve"> </v>
      </c>
      <c r="J99" s="53" t="str">
        <f>IFERROR(VLOOKUP($A99,'The List'!$B1:$AS727,17,FALSE)," ")</f>
        <v xml:space="preserve"> </v>
      </c>
      <c r="K99" s="53" t="str">
        <f>IFERROR(VLOOKUP($A99,'The List'!$B1:$AS727,18,FALSE)," ")</f>
        <v xml:space="preserve"> </v>
      </c>
      <c r="L99" s="53" t="str">
        <f>IFERROR(VLOOKUP($A99,'The List'!$B1:$AS727,19,FALSE)," ")</f>
        <v xml:space="preserve"> </v>
      </c>
      <c r="M99" s="53" t="str">
        <f>IFERROR(VLOOKUP($A99,'The List'!$B1:$AS727,20,FALSE)," ")</f>
        <v xml:space="preserve"> </v>
      </c>
      <c r="N99" s="53" t="str">
        <f>IFERROR(VLOOKUP($A99,'The List'!$B1:$AS727,21,FALSE)," ")</f>
        <v xml:space="preserve"> </v>
      </c>
      <c r="O99" s="53" t="str">
        <f>IFERROR(VLOOKUP($A99,'The List'!$B1:$AS727,22,FALSE)," ")</f>
        <v xml:space="preserve"> </v>
      </c>
      <c r="P99" s="53" t="str">
        <f>IFERROR(VLOOKUP($A99,'The List'!$B1:$AS727,23,FALSE)," ")</f>
        <v xml:space="preserve"> </v>
      </c>
      <c r="Q99" s="53" t="str">
        <f>IFERROR(VLOOKUP($A99,'The List'!$B1:$AS727,24,FALSE)," ")</f>
        <v xml:space="preserve"> </v>
      </c>
      <c r="R99" s="53" t="str">
        <f>IFERROR(VLOOKUP($A99,'The List'!$B1:$AS727,25,FALSE)," ")</f>
        <v xml:space="preserve"> </v>
      </c>
      <c r="S99" s="53" t="str">
        <f>IFERROR(VLOOKUP($A99,'The List'!$B1:$AS727,26,FALSE)," ")</f>
        <v xml:space="preserve"> </v>
      </c>
      <c r="T99" s="53" t="str">
        <f>IFERROR(VLOOKUP($A99,'The List'!$B1:$AS727,27,FALSE)," ")</f>
        <v xml:space="preserve"> </v>
      </c>
      <c r="U99" s="53" t="str">
        <f>IFERROR(VLOOKUP($A99,'The List'!$B1:$AS727,28,FALSE)," ")</f>
        <v xml:space="preserve"> </v>
      </c>
      <c r="V99" s="53" t="str">
        <f>IFERROR(VLOOKUP($A99,'The List'!$B1:$AS727,29,FALSE)," ")</f>
        <v xml:space="preserve"> </v>
      </c>
      <c r="W99" s="53" t="str">
        <f>IFERROR(VLOOKUP($A99,'The List'!$B1:$AS727,30,FALSE)," ")</f>
        <v xml:space="preserve"> </v>
      </c>
      <c r="X99" s="53" t="str">
        <f>IFERROR(VLOOKUP($A99,'The List'!$B1:$AS727,31,FALSE)," ")</f>
        <v xml:space="preserve"> </v>
      </c>
      <c r="Y99" s="53" t="str">
        <f>IFERROR(VLOOKUP($A99,'The List'!$B1:$AS727,32,FALSE)," ")</f>
        <v xml:space="preserve"> </v>
      </c>
      <c r="Z99" s="53" t="str">
        <f>IFERROR(VLOOKUP($A99,'The List'!$B1:$AS727,33,FALSE)," ")</f>
        <v xml:space="preserve"> </v>
      </c>
      <c r="AA99" s="55"/>
      <c r="AB99" s="60"/>
      <c r="AC99" s="60"/>
      <c r="AD99" s="60"/>
      <c r="AE99" s="60"/>
      <c r="AF99" s="60"/>
    </row>
    <row r="100" spans="1:32" ht="21.25" customHeight="1" x14ac:dyDescent="0.15">
      <c r="A100" s="23"/>
      <c r="B100" s="65" t="str">
        <f>IFERROR(VLOOKUP($A100,'The List'!$B1:$AS727,3,FALSE)," ")</f>
        <v xml:space="preserve"> </v>
      </c>
      <c r="C100" s="67" t="str">
        <f>IFERROR(VLOOKUP($A100,'The List'!$B1:$AS727,4,FALSE)," ")</f>
        <v xml:space="preserve"> </v>
      </c>
      <c r="D100" s="35" t="str">
        <f>IFERROR(VLOOKUP($A100,'The List'!$B1:$AS727,5,FALSE)," ")</f>
        <v xml:space="preserve"> </v>
      </c>
      <c r="E100" s="35" t="str">
        <f>IFERROR(VLOOKUP($A100,'The List'!$B1:$AS727,6,FALSE)," ")</f>
        <v xml:space="preserve"> </v>
      </c>
      <c r="F100" s="52" t="str">
        <f>IFERROR(VLOOKUP($A100,'The List'!$B1:$AS727,8,FALSE)," ")</f>
        <v xml:space="preserve"> </v>
      </c>
      <c r="G100" s="52" t="str">
        <f>IFERROR(VLOOKUP($A100,'The List'!$B1:$AS727,10,FALSE)," ")</f>
        <v xml:space="preserve"> </v>
      </c>
      <c r="H100" s="39"/>
      <c r="I100" s="53" t="str">
        <f>IFERROR(VLOOKUP($A100,'The List'!$B1:$AS727,16,FALSE)," ")</f>
        <v xml:space="preserve"> </v>
      </c>
      <c r="J100" s="53" t="str">
        <f>IFERROR(VLOOKUP($A100,'The List'!$B1:$AS727,17,FALSE)," ")</f>
        <v xml:space="preserve"> </v>
      </c>
      <c r="K100" s="53" t="str">
        <f>IFERROR(VLOOKUP($A100,'The List'!$B1:$AS727,18,FALSE)," ")</f>
        <v xml:space="preserve"> </v>
      </c>
      <c r="L100" s="53" t="str">
        <f>IFERROR(VLOOKUP($A100,'The List'!$B1:$AS727,19,FALSE)," ")</f>
        <v xml:space="preserve"> </v>
      </c>
      <c r="M100" s="53" t="str">
        <f>IFERROR(VLOOKUP($A100,'The List'!$B1:$AS727,20,FALSE)," ")</f>
        <v xml:space="preserve"> </v>
      </c>
      <c r="N100" s="53" t="str">
        <f>IFERROR(VLOOKUP($A100,'The List'!$B1:$AS727,21,FALSE)," ")</f>
        <v xml:space="preserve"> </v>
      </c>
      <c r="O100" s="53" t="str">
        <f>IFERROR(VLOOKUP($A100,'The List'!$B1:$AS727,22,FALSE)," ")</f>
        <v xml:space="preserve"> </v>
      </c>
      <c r="P100" s="53" t="str">
        <f>IFERROR(VLOOKUP($A100,'The List'!$B1:$AS727,23,FALSE)," ")</f>
        <v xml:space="preserve"> </v>
      </c>
      <c r="Q100" s="53" t="str">
        <f>IFERROR(VLOOKUP($A100,'The List'!$B1:$AS727,24,FALSE)," ")</f>
        <v xml:space="preserve"> </v>
      </c>
      <c r="R100" s="53" t="str">
        <f>IFERROR(VLOOKUP($A100,'The List'!$B1:$AS727,25,FALSE)," ")</f>
        <v xml:space="preserve"> </v>
      </c>
      <c r="S100" s="53" t="str">
        <f>IFERROR(VLOOKUP($A100,'The List'!$B1:$AS727,26,FALSE)," ")</f>
        <v xml:space="preserve"> </v>
      </c>
      <c r="T100" s="53" t="str">
        <f>IFERROR(VLOOKUP($A100,'The List'!$B1:$AS727,27,FALSE)," ")</f>
        <v xml:space="preserve"> </v>
      </c>
      <c r="U100" s="53" t="str">
        <f>IFERROR(VLOOKUP($A100,'The List'!$B1:$AS727,28,FALSE)," ")</f>
        <v xml:space="preserve"> </v>
      </c>
      <c r="V100" s="53" t="str">
        <f>IFERROR(VLOOKUP($A100,'The List'!$B1:$AS727,29,FALSE)," ")</f>
        <v xml:space="preserve"> </v>
      </c>
      <c r="W100" s="53" t="str">
        <f>IFERROR(VLOOKUP($A100,'The List'!$B1:$AS727,30,FALSE)," ")</f>
        <v xml:space="preserve"> </v>
      </c>
      <c r="X100" s="53" t="str">
        <f>IFERROR(VLOOKUP($A100,'The List'!$B1:$AS727,31,FALSE)," ")</f>
        <v xml:space="preserve"> </v>
      </c>
      <c r="Y100" s="53" t="str">
        <f>IFERROR(VLOOKUP($A100,'The List'!$B1:$AS727,32,FALSE)," ")</f>
        <v xml:space="preserve"> </v>
      </c>
      <c r="Z100" s="53" t="str">
        <f>IFERROR(VLOOKUP($A100,'The List'!$B1:$AS727,33,FALSE)," ")</f>
        <v xml:space="preserve"> </v>
      </c>
      <c r="AA100" s="55"/>
      <c r="AB100" s="60"/>
      <c r="AC100" s="60"/>
      <c r="AD100" s="60"/>
      <c r="AE100" s="60"/>
      <c r="AF100" s="60"/>
    </row>
    <row r="101" spans="1:32" ht="21.25" customHeight="1" x14ac:dyDescent="0.15">
      <c r="A101" s="23"/>
      <c r="B101" s="68" t="str">
        <f>IFERROR(VLOOKUP($A101,'The List'!$B1:$AS727,3,FALSE)," ")</f>
        <v xml:space="preserve"> </v>
      </c>
      <c r="C101" s="70" t="str">
        <f>IFERROR(VLOOKUP($A101,'The List'!$B1:$AS727,4,FALSE)," ")</f>
        <v xml:space="preserve"> </v>
      </c>
      <c r="D101" s="35" t="str">
        <f>IFERROR(VLOOKUP($A101,'The List'!$B1:$AS727,5,FALSE)," ")</f>
        <v xml:space="preserve"> </v>
      </c>
      <c r="E101" s="35" t="str">
        <f>IFERROR(VLOOKUP($A101,'The List'!$B1:$AS727,6,FALSE)," ")</f>
        <v xml:space="preserve"> </v>
      </c>
      <c r="F101" s="52" t="str">
        <f>IFERROR(VLOOKUP($A101,'The List'!$B1:$AS727,8,FALSE)," ")</f>
        <v xml:space="preserve"> </v>
      </c>
      <c r="G101" s="52" t="str">
        <f>IFERROR(VLOOKUP($A101,'The List'!$B1:$AS727,10,FALSE)," ")</f>
        <v xml:space="preserve"> </v>
      </c>
      <c r="H101" s="39"/>
      <c r="I101" s="53" t="str">
        <f>IFERROR(VLOOKUP($A101,'The List'!$B1:$AS727,16,FALSE)," ")</f>
        <v xml:space="preserve"> </v>
      </c>
      <c r="J101" s="53" t="str">
        <f>IFERROR(VLOOKUP($A101,'The List'!$B1:$AS727,17,FALSE)," ")</f>
        <v xml:space="preserve"> </v>
      </c>
      <c r="K101" s="53" t="str">
        <f>IFERROR(VLOOKUP($A101,'The List'!$B1:$AS727,18,FALSE)," ")</f>
        <v xml:space="preserve"> </v>
      </c>
      <c r="L101" s="53" t="str">
        <f>IFERROR(VLOOKUP($A101,'The List'!$B1:$AS727,19,FALSE)," ")</f>
        <v xml:space="preserve"> </v>
      </c>
      <c r="M101" s="53" t="str">
        <f>IFERROR(VLOOKUP($A101,'The List'!$B1:$AS727,20,FALSE)," ")</f>
        <v xml:space="preserve"> </v>
      </c>
      <c r="N101" s="53" t="str">
        <f>IFERROR(VLOOKUP($A101,'The List'!$B1:$AS727,21,FALSE)," ")</f>
        <v xml:space="preserve"> </v>
      </c>
      <c r="O101" s="53" t="str">
        <f>IFERROR(VLOOKUP($A101,'The List'!$B1:$AS727,22,FALSE)," ")</f>
        <v xml:space="preserve"> </v>
      </c>
      <c r="P101" s="53" t="str">
        <f>IFERROR(VLOOKUP($A101,'The List'!$B1:$AS727,23,FALSE)," ")</f>
        <v xml:space="preserve"> </v>
      </c>
      <c r="Q101" s="53" t="str">
        <f>IFERROR(VLOOKUP($A101,'The List'!$B1:$AS727,24,FALSE)," ")</f>
        <v xml:space="preserve"> </v>
      </c>
      <c r="R101" s="53" t="str">
        <f>IFERROR(VLOOKUP($A101,'The List'!$B1:$AS727,25,FALSE)," ")</f>
        <v xml:space="preserve"> </v>
      </c>
      <c r="S101" s="53" t="str">
        <f>IFERROR(VLOOKUP($A101,'The List'!$B1:$AS727,26,FALSE)," ")</f>
        <v xml:space="preserve"> </v>
      </c>
      <c r="T101" s="53" t="str">
        <f>IFERROR(VLOOKUP($A101,'The List'!$B1:$AS727,27,FALSE)," ")</f>
        <v xml:space="preserve"> </v>
      </c>
      <c r="U101" s="53" t="str">
        <f>IFERROR(VLOOKUP($A101,'The List'!$B1:$AS727,28,FALSE)," ")</f>
        <v xml:space="preserve"> </v>
      </c>
      <c r="V101" s="53" t="str">
        <f>IFERROR(VLOOKUP($A101,'The List'!$B1:$AS727,29,FALSE)," ")</f>
        <v xml:space="preserve"> </v>
      </c>
      <c r="W101" s="53" t="str">
        <f>IFERROR(VLOOKUP($A101,'The List'!$B1:$AS727,30,FALSE)," ")</f>
        <v xml:space="preserve"> </v>
      </c>
      <c r="X101" s="53" t="str">
        <f>IFERROR(VLOOKUP($A101,'The List'!$B1:$AS727,31,FALSE)," ")</f>
        <v xml:space="preserve"> </v>
      </c>
      <c r="Y101" s="53" t="str">
        <f>IFERROR(VLOOKUP($A101,'The List'!$B1:$AS727,32,FALSE)," ")</f>
        <v xml:space="preserve"> </v>
      </c>
      <c r="Z101" s="53" t="str">
        <f>IFERROR(VLOOKUP($A101,'The List'!$B1:$AS727,33,FALSE)," ")</f>
        <v xml:space="preserve"> </v>
      </c>
      <c r="AA101" s="55"/>
      <c r="AB101" s="60"/>
      <c r="AC101" s="60"/>
      <c r="AD101" s="60"/>
      <c r="AE101" s="60"/>
      <c r="AF101" s="60"/>
    </row>
    <row r="102" spans="1:32" ht="21.25" customHeight="1" x14ac:dyDescent="0.15">
      <c r="A102" s="23"/>
      <c r="B102" s="68" t="str">
        <f>IFERROR(VLOOKUP($A102,'The List'!$B1:$AS727,3,FALSE)," ")</f>
        <v xml:space="preserve"> </v>
      </c>
      <c r="C102" s="70" t="str">
        <f>IFERROR(VLOOKUP($A102,'The List'!$B1:$AS727,4,FALSE)," ")</f>
        <v xml:space="preserve"> </v>
      </c>
      <c r="D102" s="35" t="str">
        <f>IFERROR(VLOOKUP($A102,'The List'!$B1:$AS727,5,FALSE)," ")</f>
        <v xml:space="preserve"> </v>
      </c>
      <c r="E102" s="35" t="str">
        <f>IFERROR(VLOOKUP($A102,'The List'!$B1:$AS727,6,FALSE)," ")</f>
        <v xml:space="preserve"> </v>
      </c>
      <c r="F102" s="52" t="str">
        <f>IFERROR(VLOOKUP($A102,'The List'!$B1:$AS727,8,FALSE)," ")</f>
        <v xml:space="preserve"> </v>
      </c>
      <c r="G102" s="52" t="str">
        <f>IFERROR(VLOOKUP($A102,'The List'!$B1:$AS727,10,FALSE)," ")</f>
        <v xml:space="preserve"> </v>
      </c>
      <c r="H102" s="39"/>
      <c r="I102" s="53" t="str">
        <f>IFERROR(VLOOKUP($A102,'The List'!$B1:$AS727,16,FALSE)," ")</f>
        <v xml:space="preserve"> </v>
      </c>
      <c r="J102" s="53" t="str">
        <f>IFERROR(VLOOKUP($A102,'The List'!$B1:$AS727,17,FALSE)," ")</f>
        <v xml:space="preserve"> </v>
      </c>
      <c r="K102" s="53" t="str">
        <f>IFERROR(VLOOKUP($A102,'The List'!$B1:$AS727,18,FALSE)," ")</f>
        <v xml:space="preserve"> </v>
      </c>
      <c r="L102" s="53" t="str">
        <f>IFERROR(VLOOKUP($A102,'The List'!$B1:$AS727,19,FALSE)," ")</f>
        <v xml:space="preserve"> </v>
      </c>
      <c r="M102" s="53" t="str">
        <f>IFERROR(VLOOKUP($A102,'The List'!$B1:$AS727,20,FALSE)," ")</f>
        <v xml:space="preserve"> </v>
      </c>
      <c r="N102" s="53" t="str">
        <f>IFERROR(VLOOKUP($A102,'The List'!$B1:$AS727,21,FALSE)," ")</f>
        <v xml:space="preserve"> </v>
      </c>
      <c r="O102" s="53" t="str">
        <f>IFERROR(VLOOKUP($A102,'The List'!$B1:$AS727,22,FALSE)," ")</f>
        <v xml:space="preserve"> </v>
      </c>
      <c r="P102" s="53" t="str">
        <f>IFERROR(VLOOKUP($A102,'The List'!$B1:$AS727,23,FALSE)," ")</f>
        <v xml:space="preserve"> </v>
      </c>
      <c r="Q102" s="53" t="str">
        <f>IFERROR(VLOOKUP($A102,'The List'!$B1:$AS727,24,FALSE)," ")</f>
        <v xml:space="preserve"> </v>
      </c>
      <c r="R102" s="53" t="str">
        <f>IFERROR(VLOOKUP($A102,'The List'!$B1:$AS727,25,FALSE)," ")</f>
        <v xml:space="preserve"> </v>
      </c>
      <c r="S102" s="53" t="str">
        <f>IFERROR(VLOOKUP($A102,'The List'!$B1:$AS727,26,FALSE)," ")</f>
        <v xml:space="preserve"> </v>
      </c>
      <c r="T102" s="53" t="str">
        <f>IFERROR(VLOOKUP($A102,'The List'!$B1:$AS727,27,FALSE)," ")</f>
        <v xml:space="preserve"> </v>
      </c>
      <c r="U102" s="53" t="str">
        <f>IFERROR(VLOOKUP($A102,'The List'!$B1:$AS727,28,FALSE)," ")</f>
        <v xml:space="preserve"> </v>
      </c>
      <c r="V102" s="53" t="str">
        <f>IFERROR(VLOOKUP($A102,'The List'!$B1:$AS727,29,FALSE)," ")</f>
        <v xml:space="preserve"> </v>
      </c>
      <c r="W102" s="53" t="str">
        <f>IFERROR(VLOOKUP($A102,'The List'!$B1:$AS727,30,FALSE)," ")</f>
        <v xml:space="preserve"> </v>
      </c>
      <c r="X102" s="53" t="str">
        <f>IFERROR(VLOOKUP($A102,'The List'!$B1:$AS727,31,FALSE)," ")</f>
        <v xml:space="preserve"> </v>
      </c>
      <c r="Y102" s="53" t="str">
        <f>IFERROR(VLOOKUP($A102,'The List'!$B1:$AS727,32,FALSE)," ")</f>
        <v xml:space="preserve"> </v>
      </c>
      <c r="Z102" s="53" t="str">
        <f>IFERROR(VLOOKUP($A102,'The List'!$B1:$AS727,33,FALSE)," ")</f>
        <v xml:space="preserve"> </v>
      </c>
      <c r="AA102" s="55"/>
      <c r="AB102" s="60"/>
      <c r="AC102" s="60"/>
      <c r="AD102" s="60"/>
      <c r="AE102" s="60"/>
      <c r="AF102" s="60"/>
    </row>
    <row r="103" spans="1:32" ht="21.25" customHeight="1" x14ac:dyDescent="0.15">
      <c r="A103" s="23"/>
      <c r="B103" s="68" t="str">
        <f>IFERROR(VLOOKUP($A103,'The List'!$B1:$AS727,3,FALSE)," ")</f>
        <v xml:space="preserve"> </v>
      </c>
      <c r="C103" s="70" t="str">
        <f>IFERROR(VLOOKUP($A103,'The List'!$B1:$AS727,4,FALSE)," ")</f>
        <v xml:space="preserve"> </v>
      </c>
      <c r="D103" s="35" t="str">
        <f>IFERROR(VLOOKUP($A103,'The List'!$B1:$AS727,5,FALSE)," ")</f>
        <v xml:space="preserve"> </v>
      </c>
      <c r="E103" s="35" t="str">
        <f>IFERROR(VLOOKUP($A103,'The List'!$B1:$AS727,6,FALSE)," ")</f>
        <v xml:space="preserve"> </v>
      </c>
      <c r="F103" s="52" t="str">
        <f>IFERROR(VLOOKUP($A103,'The List'!$B1:$AS727,8,FALSE)," ")</f>
        <v xml:space="preserve"> </v>
      </c>
      <c r="G103" s="52" t="str">
        <f>IFERROR(VLOOKUP($A103,'The List'!$B1:$AS727,10,FALSE)," ")</f>
        <v xml:space="preserve"> </v>
      </c>
      <c r="H103" s="39"/>
      <c r="I103" s="53" t="str">
        <f>IFERROR(VLOOKUP($A103,'The List'!$B1:$AS727,16,FALSE)," ")</f>
        <v xml:space="preserve"> </v>
      </c>
      <c r="J103" s="53" t="str">
        <f>IFERROR(VLOOKUP($A103,'The List'!$B1:$AS727,17,FALSE)," ")</f>
        <v xml:space="preserve"> </v>
      </c>
      <c r="K103" s="53" t="str">
        <f>IFERROR(VLOOKUP($A103,'The List'!$B1:$AS727,18,FALSE)," ")</f>
        <v xml:space="preserve"> </v>
      </c>
      <c r="L103" s="53" t="str">
        <f>IFERROR(VLOOKUP($A103,'The List'!$B1:$AS727,19,FALSE)," ")</f>
        <v xml:space="preserve"> </v>
      </c>
      <c r="M103" s="53" t="str">
        <f>IFERROR(VLOOKUP($A103,'The List'!$B1:$AS727,20,FALSE)," ")</f>
        <v xml:space="preserve"> </v>
      </c>
      <c r="N103" s="53" t="str">
        <f>IFERROR(VLOOKUP($A103,'The List'!$B1:$AS727,21,FALSE)," ")</f>
        <v xml:space="preserve"> </v>
      </c>
      <c r="O103" s="53" t="str">
        <f>IFERROR(VLOOKUP($A103,'The List'!$B1:$AS727,22,FALSE)," ")</f>
        <v xml:space="preserve"> </v>
      </c>
      <c r="P103" s="53" t="str">
        <f>IFERROR(VLOOKUP($A103,'The List'!$B1:$AS727,23,FALSE)," ")</f>
        <v xml:space="preserve"> </v>
      </c>
      <c r="Q103" s="53" t="str">
        <f>IFERROR(VLOOKUP($A103,'The List'!$B1:$AS727,24,FALSE)," ")</f>
        <v xml:space="preserve"> </v>
      </c>
      <c r="R103" s="53" t="str">
        <f>IFERROR(VLOOKUP($A103,'The List'!$B1:$AS727,25,FALSE)," ")</f>
        <v xml:space="preserve"> </v>
      </c>
      <c r="S103" s="53" t="str">
        <f>IFERROR(VLOOKUP($A103,'The List'!$B1:$AS727,26,FALSE)," ")</f>
        <v xml:space="preserve"> </v>
      </c>
      <c r="T103" s="53" t="str">
        <f>IFERROR(VLOOKUP($A103,'The List'!$B1:$AS727,27,FALSE)," ")</f>
        <v xml:space="preserve"> </v>
      </c>
      <c r="U103" s="53" t="str">
        <f>IFERROR(VLOOKUP($A103,'The List'!$B1:$AS727,28,FALSE)," ")</f>
        <v xml:space="preserve"> </v>
      </c>
      <c r="V103" s="53" t="str">
        <f>IFERROR(VLOOKUP($A103,'The List'!$B1:$AS727,29,FALSE)," ")</f>
        <v xml:space="preserve"> </v>
      </c>
      <c r="W103" s="53" t="str">
        <f>IFERROR(VLOOKUP($A103,'The List'!$B1:$AS727,30,FALSE)," ")</f>
        <v xml:space="preserve"> </v>
      </c>
      <c r="X103" s="53" t="str">
        <f>IFERROR(VLOOKUP($A103,'The List'!$B1:$AS727,31,FALSE)," ")</f>
        <v xml:space="preserve"> </v>
      </c>
      <c r="Y103" s="53" t="str">
        <f>IFERROR(VLOOKUP($A103,'The List'!$B1:$AS727,32,FALSE)," ")</f>
        <v xml:space="preserve"> </v>
      </c>
      <c r="Z103" s="53" t="str">
        <f>IFERROR(VLOOKUP($A103,'The List'!$B1:$AS727,33,FALSE)," ")</f>
        <v xml:space="preserve"> </v>
      </c>
      <c r="AA103" s="55"/>
      <c r="AB103" s="60"/>
      <c r="AC103" s="60"/>
      <c r="AD103" s="60"/>
      <c r="AE103" s="60"/>
      <c r="AF103" s="60"/>
    </row>
    <row r="104" spans="1:32" ht="21.25" customHeight="1" x14ac:dyDescent="0.15">
      <c r="A104" s="23"/>
      <c r="B104" s="68" t="str">
        <f>IFERROR(VLOOKUP($A104,'The List'!$B1:$AS727,3,FALSE)," ")</f>
        <v xml:space="preserve"> </v>
      </c>
      <c r="C104" s="70" t="str">
        <f>IFERROR(VLOOKUP($A104,'The List'!$B1:$AS727,4,FALSE)," ")</f>
        <v xml:space="preserve"> </v>
      </c>
      <c r="D104" s="35" t="str">
        <f>IFERROR(VLOOKUP($A104,'The List'!$B1:$AS727,5,FALSE)," ")</f>
        <v xml:space="preserve"> </v>
      </c>
      <c r="E104" s="35" t="str">
        <f>IFERROR(VLOOKUP($A104,'The List'!$B1:$AS727,6,FALSE)," ")</f>
        <v xml:space="preserve"> </v>
      </c>
      <c r="F104" s="52" t="str">
        <f>IFERROR(VLOOKUP($A104,'The List'!$B1:$AS727,8,FALSE)," ")</f>
        <v xml:space="preserve"> </v>
      </c>
      <c r="G104" s="52" t="str">
        <f>IFERROR(VLOOKUP($A104,'The List'!$B1:$AS727,10,FALSE)," ")</f>
        <v xml:space="preserve"> </v>
      </c>
      <c r="H104" s="39"/>
      <c r="I104" s="53" t="str">
        <f>IFERROR(VLOOKUP($A104,'The List'!$B1:$AS727,16,FALSE)," ")</f>
        <v xml:space="preserve"> </v>
      </c>
      <c r="J104" s="53" t="str">
        <f>IFERROR(VLOOKUP($A104,'The List'!$B1:$AS727,17,FALSE)," ")</f>
        <v xml:space="preserve"> </v>
      </c>
      <c r="K104" s="53" t="str">
        <f>IFERROR(VLOOKUP($A104,'The List'!$B1:$AS727,18,FALSE)," ")</f>
        <v xml:space="preserve"> </v>
      </c>
      <c r="L104" s="53" t="str">
        <f>IFERROR(VLOOKUP($A104,'The List'!$B1:$AS727,19,FALSE)," ")</f>
        <v xml:space="preserve"> </v>
      </c>
      <c r="M104" s="53" t="str">
        <f>IFERROR(VLOOKUP($A104,'The List'!$B1:$AS727,20,FALSE)," ")</f>
        <v xml:space="preserve"> </v>
      </c>
      <c r="N104" s="53" t="str">
        <f>IFERROR(VLOOKUP($A104,'The List'!$B1:$AS727,21,FALSE)," ")</f>
        <v xml:space="preserve"> </v>
      </c>
      <c r="O104" s="53" t="str">
        <f>IFERROR(VLOOKUP($A104,'The List'!$B1:$AS727,22,FALSE)," ")</f>
        <v xml:space="preserve"> </v>
      </c>
      <c r="P104" s="53" t="str">
        <f>IFERROR(VLOOKUP($A104,'The List'!$B1:$AS727,23,FALSE)," ")</f>
        <v xml:space="preserve"> </v>
      </c>
      <c r="Q104" s="53" t="str">
        <f>IFERROR(VLOOKUP($A104,'The List'!$B1:$AS727,24,FALSE)," ")</f>
        <v xml:space="preserve"> </v>
      </c>
      <c r="R104" s="53" t="str">
        <f>IFERROR(VLOOKUP($A104,'The List'!$B1:$AS727,25,FALSE)," ")</f>
        <v xml:space="preserve"> </v>
      </c>
      <c r="S104" s="53" t="str">
        <f>IFERROR(VLOOKUP($A104,'The List'!$B1:$AS727,26,FALSE)," ")</f>
        <v xml:space="preserve"> </v>
      </c>
      <c r="T104" s="53" t="str">
        <f>IFERROR(VLOOKUP($A104,'The List'!$B1:$AS727,27,FALSE)," ")</f>
        <v xml:space="preserve"> </v>
      </c>
      <c r="U104" s="53" t="str">
        <f>IFERROR(VLOOKUP($A104,'The List'!$B1:$AS727,28,FALSE)," ")</f>
        <v xml:space="preserve"> </v>
      </c>
      <c r="V104" s="53" t="str">
        <f>IFERROR(VLOOKUP($A104,'The List'!$B1:$AS727,29,FALSE)," ")</f>
        <v xml:space="preserve"> </v>
      </c>
      <c r="W104" s="53" t="str">
        <f>IFERROR(VLOOKUP($A104,'The List'!$B1:$AS727,30,FALSE)," ")</f>
        <v xml:space="preserve"> </v>
      </c>
      <c r="X104" s="53" t="str">
        <f>IFERROR(VLOOKUP($A104,'The List'!$B1:$AS727,31,FALSE)," ")</f>
        <v xml:space="preserve"> </v>
      </c>
      <c r="Y104" s="53" t="str">
        <f>IFERROR(VLOOKUP($A104,'The List'!$B1:$AS727,32,FALSE)," ")</f>
        <v xml:space="preserve"> </v>
      </c>
      <c r="Z104" s="53" t="str">
        <f>IFERROR(VLOOKUP($A104,'The List'!$B1:$AS727,33,FALSE)," ")</f>
        <v xml:space="preserve"> </v>
      </c>
      <c r="AA104" s="55"/>
      <c r="AB104" s="60"/>
      <c r="AC104" s="60"/>
      <c r="AD104" s="60"/>
      <c r="AE104" s="60"/>
      <c r="AF104" s="60"/>
    </row>
    <row r="105" spans="1:32" ht="21.25" customHeight="1" x14ac:dyDescent="0.15">
      <c r="A105" s="23"/>
      <c r="B105" s="68" t="str">
        <f>IFERROR(VLOOKUP($A105,'The List'!$B1:$AS727,3,FALSE)," ")</f>
        <v xml:space="preserve"> </v>
      </c>
      <c r="C105" s="70" t="str">
        <f>IFERROR(VLOOKUP($A105,'The List'!$B1:$AS727,4,FALSE)," ")</f>
        <v xml:space="preserve"> </v>
      </c>
      <c r="D105" s="35" t="str">
        <f>IFERROR(VLOOKUP($A105,'The List'!$B1:$AS727,5,FALSE)," ")</f>
        <v xml:space="preserve"> </v>
      </c>
      <c r="E105" s="35" t="str">
        <f>IFERROR(VLOOKUP($A105,'The List'!$B1:$AS727,6,FALSE)," ")</f>
        <v xml:space="preserve"> </v>
      </c>
      <c r="F105" s="52" t="str">
        <f>IFERROR(VLOOKUP($A105,'The List'!$B1:$AS727,8,FALSE)," ")</f>
        <v xml:space="preserve"> </v>
      </c>
      <c r="G105" s="52" t="str">
        <f>IFERROR(VLOOKUP($A105,'The List'!$B1:$AS727,10,FALSE)," ")</f>
        <v xml:space="preserve"> </v>
      </c>
      <c r="H105" s="39"/>
      <c r="I105" s="53" t="str">
        <f>IFERROR(VLOOKUP($A105,'The List'!$B1:$AS727,16,FALSE)," ")</f>
        <v xml:space="preserve"> </v>
      </c>
      <c r="J105" s="53" t="str">
        <f>IFERROR(VLOOKUP($A105,'The List'!$B1:$AS727,17,FALSE)," ")</f>
        <v xml:space="preserve"> </v>
      </c>
      <c r="K105" s="53" t="str">
        <f>IFERROR(VLOOKUP($A105,'The List'!$B1:$AS727,18,FALSE)," ")</f>
        <v xml:space="preserve"> </v>
      </c>
      <c r="L105" s="53" t="str">
        <f>IFERROR(VLOOKUP($A105,'The List'!$B1:$AS727,19,FALSE)," ")</f>
        <v xml:space="preserve"> </v>
      </c>
      <c r="M105" s="53" t="str">
        <f>IFERROR(VLOOKUP($A105,'The List'!$B1:$AS727,20,FALSE)," ")</f>
        <v xml:space="preserve"> </v>
      </c>
      <c r="N105" s="53" t="str">
        <f>IFERROR(VLOOKUP($A105,'The List'!$B1:$AS727,21,FALSE)," ")</f>
        <v xml:space="preserve"> </v>
      </c>
      <c r="O105" s="53" t="str">
        <f>IFERROR(VLOOKUP($A105,'The List'!$B1:$AS727,22,FALSE)," ")</f>
        <v xml:space="preserve"> </v>
      </c>
      <c r="P105" s="53" t="str">
        <f>IFERROR(VLOOKUP($A105,'The List'!$B1:$AS727,23,FALSE)," ")</f>
        <v xml:space="preserve"> </v>
      </c>
      <c r="Q105" s="53" t="str">
        <f>IFERROR(VLOOKUP($A105,'The List'!$B1:$AS727,24,FALSE)," ")</f>
        <v xml:space="preserve"> </v>
      </c>
      <c r="R105" s="53" t="str">
        <f>IFERROR(VLOOKUP($A105,'The List'!$B1:$AS727,25,FALSE)," ")</f>
        <v xml:space="preserve"> </v>
      </c>
      <c r="S105" s="53" t="str">
        <f>IFERROR(VLOOKUP($A105,'The List'!$B1:$AS727,26,FALSE)," ")</f>
        <v xml:space="preserve"> </v>
      </c>
      <c r="T105" s="53" t="str">
        <f>IFERROR(VLOOKUP($A105,'The List'!$B1:$AS727,27,FALSE)," ")</f>
        <v xml:space="preserve"> </v>
      </c>
      <c r="U105" s="53" t="str">
        <f>IFERROR(VLOOKUP($A105,'The List'!$B1:$AS727,28,FALSE)," ")</f>
        <v xml:space="preserve"> </v>
      </c>
      <c r="V105" s="53" t="str">
        <f>IFERROR(VLOOKUP($A105,'The List'!$B1:$AS727,29,FALSE)," ")</f>
        <v xml:space="preserve"> </v>
      </c>
      <c r="W105" s="53" t="str">
        <f>IFERROR(VLOOKUP($A105,'The List'!$B1:$AS727,30,FALSE)," ")</f>
        <v xml:space="preserve"> </v>
      </c>
      <c r="X105" s="53" t="str">
        <f>IFERROR(VLOOKUP($A105,'The List'!$B1:$AS727,31,FALSE)," ")</f>
        <v xml:space="preserve"> </v>
      </c>
      <c r="Y105" s="53" t="str">
        <f>IFERROR(VLOOKUP($A105,'The List'!$B1:$AS727,32,FALSE)," ")</f>
        <v xml:space="preserve"> </v>
      </c>
      <c r="Z105" s="53" t="str">
        <f>IFERROR(VLOOKUP($A105,'The List'!$B1:$AS727,33,FALSE)," ")</f>
        <v xml:space="preserve"> </v>
      </c>
      <c r="AA105" s="55"/>
      <c r="AB105" s="60"/>
      <c r="AC105" s="60"/>
      <c r="AD105" s="60"/>
      <c r="AE105" s="60"/>
      <c r="AF105" s="60"/>
    </row>
    <row r="106" spans="1:32" ht="21.25" customHeight="1" x14ac:dyDescent="0.15">
      <c r="A106" s="23"/>
      <c r="B106" s="68" t="str">
        <f>IFERROR(VLOOKUP($A106,'The List'!$B1:$AS727,3,FALSE)," ")</f>
        <v xml:space="preserve"> </v>
      </c>
      <c r="C106" s="70" t="str">
        <f>IFERROR(VLOOKUP($A106,'The List'!$B1:$AS727,4,FALSE)," ")</f>
        <v xml:space="preserve"> </v>
      </c>
      <c r="D106" s="35" t="str">
        <f>IFERROR(VLOOKUP($A106,'The List'!$B1:$AS727,5,FALSE)," ")</f>
        <v xml:space="preserve"> </v>
      </c>
      <c r="E106" s="35" t="str">
        <f>IFERROR(VLOOKUP($A106,'The List'!$B1:$AS727,6,FALSE)," ")</f>
        <v xml:space="preserve"> </v>
      </c>
      <c r="F106" s="52" t="str">
        <f>IFERROR(VLOOKUP($A106,'The List'!$B1:$AS727,8,FALSE)," ")</f>
        <v xml:space="preserve"> </v>
      </c>
      <c r="G106" s="52" t="str">
        <f>IFERROR(VLOOKUP($A106,'The List'!$B1:$AS727,10,FALSE)," ")</f>
        <v xml:space="preserve"> </v>
      </c>
      <c r="H106" s="39"/>
      <c r="I106" s="53" t="str">
        <f>IFERROR(VLOOKUP($A106,'The List'!$B1:$AS727,16,FALSE)," ")</f>
        <v xml:space="preserve"> </v>
      </c>
      <c r="J106" s="53" t="str">
        <f>IFERROR(VLOOKUP($A106,'The List'!$B1:$AS727,17,FALSE)," ")</f>
        <v xml:space="preserve"> </v>
      </c>
      <c r="K106" s="53" t="str">
        <f>IFERROR(VLOOKUP($A106,'The List'!$B1:$AS727,18,FALSE)," ")</f>
        <v xml:space="preserve"> </v>
      </c>
      <c r="L106" s="53" t="str">
        <f>IFERROR(VLOOKUP($A106,'The List'!$B1:$AS727,19,FALSE)," ")</f>
        <v xml:space="preserve"> </v>
      </c>
      <c r="M106" s="53" t="str">
        <f>IFERROR(VLOOKUP($A106,'The List'!$B1:$AS727,20,FALSE)," ")</f>
        <v xml:space="preserve"> </v>
      </c>
      <c r="N106" s="53" t="str">
        <f>IFERROR(VLOOKUP($A106,'The List'!$B1:$AS727,21,FALSE)," ")</f>
        <v xml:space="preserve"> </v>
      </c>
      <c r="O106" s="53" t="str">
        <f>IFERROR(VLOOKUP($A106,'The List'!$B1:$AS727,22,FALSE)," ")</f>
        <v xml:space="preserve"> </v>
      </c>
      <c r="P106" s="53" t="str">
        <f>IFERROR(VLOOKUP($A106,'The List'!$B1:$AS727,23,FALSE)," ")</f>
        <v xml:space="preserve"> </v>
      </c>
      <c r="Q106" s="53" t="str">
        <f>IFERROR(VLOOKUP($A106,'The List'!$B1:$AS727,24,FALSE)," ")</f>
        <v xml:space="preserve"> </v>
      </c>
      <c r="R106" s="53" t="str">
        <f>IFERROR(VLOOKUP($A106,'The List'!$B1:$AS727,25,FALSE)," ")</f>
        <v xml:space="preserve"> </v>
      </c>
      <c r="S106" s="53" t="str">
        <f>IFERROR(VLOOKUP($A106,'The List'!$B1:$AS727,26,FALSE)," ")</f>
        <v xml:space="preserve"> </v>
      </c>
      <c r="T106" s="53" t="str">
        <f>IFERROR(VLOOKUP($A106,'The List'!$B1:$AS727,27,FALSE)," ")</f>
        <v xml:space="preserve"> </v>
      </c>
      <c r="U106" s="53" t="str">
        <f>IFERROR(VLOOKUP($A106,'The List'!$B1:$AS727,28,FALSE)," ")</f>
        <v xml:space="preserve"> </v>
      </c>
      <c r="V106" s="53" t="str">
        <f>IFERROR(VLOOKUP($A106,'The List'!$B1:$AS727,29,FALSE)," ")</f>
        <v xml:space="preserve"> </v>
      </c>
      <c r="W106" s="53" t="str">
        <f>IFERROR(VLOOKUP($A106,'The List'!$B1:$AS727,30,FALSE)," ")</f>
        <v xml:space="preserve"> </v>
      </c>
      <c r="X106" s="53" t="str">
        <f>IFERROR(VLOOKUP($A106,'The List'!$B1:$AS727,31,FALSE)," ")</f>
        <v xml:space="preserve"> </v>
      </c>
      <c r="Y106" s="53" t="str">
        <f>IFERROR(VLOOKUP($A106,'The List'!$B1:$AS727,32,FALSE)," ")</f>
        <v xml:space="preserve"> </v>
      </c>
      <c r="Z106" s="53" t="str">
        <f>IFERROR(VLOOKUP($A106,'The List'!$B1:$AS727,33,FALSE)," ")</f>
        <v xml:space="preserve"> </v>
      </c>
      <c r="AA106" s="55"/>
      <c r="AB106" s="60"/>
      <c r="AC106" s="60"/>
      <c r="AD106" s="60"/>
      <c r="AE106" s="60"/>
      <c r="AF106" s="60"/>
    </row>
    <row r="107" spans="1:32" ht="21.25" customHeight="1" x14ac:dyDescent="0.15">
      <c r="A107" s="23"/>
      <c r="B107" s="68" t="str">
        <f>IFERROR(VLOOKUP($A107,'The List'!$B1:$AS727,3,FALSE)," ")</f>
        <v xml:space="preserve"> </v>
      </c>
      <c r="C107" s="70" t="str">
        <f>IFERROR(VLOOKUP($A107,'The List'!$B1:$AS727,4,FALSE)," ")</f>
        <v xml:space="preserve"> </v>
      </c>
      <c r="D107" s="35" t="str">
        <f>IFERROR(VLOOKUP($A107,'The List'!$B1:$AS727,5,FALSE)," ")</f>
        <v xml:space="preserve"> </v>
      </c>
      <c r="E107" s="35" t="str">
        <f>IFERROR(VLOOKUP($A107,'The List'!$B1:$AS727,6,FALSE)," ")</f>
        <v xml:space="preserve"> </v>
      </c>
      <c r="F107" s="52" t="str">
        <f>IFERROR(VLOOKUP($A107,'The List'!$B1:$AS727,8,FALSE)," ")</f>
        <v xml:space="preserve"> </v>
      </c>
      <c r="G107" s="52" t="str">
        <f>IFERROR(VLOOKUP($A107,'The List'!$B1:$AS727,10,FALSE)," ")</f>
        <v xml:space="preserve"> </v>
      </c>
      <c r="H107" s="39"/>
      <c r="I107" s="53" t="str">
        <f>IFERROR(VLOOKUP($A107,'The List'!$B1:$AS727,16,FALSE)," ")</f>
        <v xml:space="preserve"> </v>
      </c>
      <c r="J107" s="53" t="str">
        <f>IFERROR(VLOOKUP($A107,'The List'!$B1:$AS727,17,FALSE)," ")</f>
        <v xml:space="preserve"> </v>
      </c>
      <c r="K107" s="53" t="str">
        <f>IFERROR(VLOOKUP($A107,'The List'!$B1:$AS727,18,FALSE)," ")</f>
        <v xml:space="preserve"> </v>
      </c>
      <c r="L107" s="53" t="str">
        <f>IFERROR(VLOOKUP($A107,'The List'!$B1:$AS727,19,FALSE)," ")</f>
        <v xml:space="preserve"> </v>
      </c>
      <c r="M107" s="53" t="str">
        <f>IFERROR(VLOOKUP($A107,'The List'!$B1:$AS727,20,FALSE)," ")</f>
        <v xml:space="preserve"> </v>
      </c>
      <c r="N107" s="53" t="str">
        <f>IFERROR(VLOOKUP($A107,'The List'!$B1:$AS727,21,FALSE)," ")</f>
        <v xml:space="preserve"> </v>
      </c>
      <c r="O107" s="53" t="str">
        <f>IFERROR(VLOOKUP($A107,'The List'!$B1:$AS727,22,FALSE)," ")</f>
        <v xml:space="preserve"> </v>
      </c>
      <c r="P107" s="53" t="str">
        <f>IFERROR(VLOOKUP($A107,'The List'!$B1:$AS727,23,FALSE)," ")</f>
        <v xml:space="preserve"> </v>
      </c>
      <c r="Q107" s="53" t="str">
        <f>IFERROR(VLOOKUP($A107,'The List'!$B1:$AS727,24,FALSE)," ")</f>
        <v xml:space="preserve"> </v>
      </c>
      <c r="R107" s="53" t="str">
        <f>IFERROR(VLOOKUP($A107,'The List'!$B1:$AS727,25,FALSE)," ")</f>
        <v xml:space="preserve"> </v>
      </c>
      <c r="S107" s="53" t="str">
        <f>IFERROR(VLOOKUP($A107,'The List'!$B1:$AS727,26,FALSE)," ")</f>
        <v xml:space="preserve"> </v>
      </c>
      <c r="T107" s="53" t="str">
        <f>IFERROR(VLOOKUP($A107,'The List'!$B1:$AS727,27,FALSE)," ")</f>
        <v xml:space="preserve"> </v>
      </c>
      <c r="U107" s="53" t="str">
        <f>IFERROR(VLOOKUP($A107,'The List'!$B1:$AS727,28,FALSE)," ")</f>
        <v xml:space="preserve"> </v>
      </c>
      <c r="V107" s="53" t="str">
        <f>IFERROR(VLOOKUP($A107,'The List'!$B1:$AS727,29,FALSE)," ")</f>
        <v xml:space="preserve"> </v>
      </c>
      <c r="W107" s="53" t="str">
        <f>IFERROR(VLOOKUP($A107,'The List'!$B1:$AS727,30,FALSE)," ")</f>
        <v xml:space="preserve"> </v>
      </c>
      <c r="X107" s="53" t="str">
        <f>IFERROR(VLOOKUP($A107,'The List'!$B1:$AS727,31,FALSE)," ")</f>
        <v xml:space="preserve"> </v>
      </c>
      <c r="Y107" s="53" t="str">
        <f>IFERROR(VLOOKUP($A107,'The List'!$B1:$AS727,32,FALSE)," ")</f>
        <v xml:space="preserve"> </v>
      </c>
      <c r="Z107" s="53" t="str">
        <f>IFERROR(VLOOKUP($A107,'The List'!$B1:$AS727,33,FALSE)," ")</f>
        <v xml:space="preserve"> </v>
      </c>
      <c r="AA107" s="55"/>
      <c r="AB107" s="60"/>
      <c r="AC107" s="60"/>
      <c r="AD107" s="60"/>
      <c r="AE107" s="60"/>
      <c r="AF107" s="60"/>
    </row>
    <row r="108" spans="1:32" ht="21.25" customHeight="1" x14ac:dyDescent="0.15">
      <c r="A108" s="72"/>
      <c r="B108" s="73" t="str">
        <f>IFERROR(VLOOKUP($A108,'The List'!$B1:$AS727,3,FALSE)," ")</f>
        <v xml:space="preserve"> </v>
      </c>
      <c r="C108" s="74" t="str">
        <f>IFERROR(VLOOKUP($A108,'The List'!$B1:$AS727,4,FALSE)," ")</f>
        <v xml:space="preserve"> </v>
      </c>
      <c r="D108" s="75" t="str">
        <f>IFERROR(VLOOKUP($A108,'The List'!$B1:$AS727,5,FALSE)," ")</f>
        <v xml:space="preserve"> </v>
      </c>
      <c r="E108" s="75" t="str">
        <f>IFERROR(VLOOKUP($A108,'The List'!$B1:$AS727,6,FALSE)," ")</f>
        <v xml:space="preserve"> </v>
      </c>
      <c r="F108" s="76" t="str">
        <f>IFERROR(VLOOKUP($A108,'The List'!$B1:$AS727,8,FALSE)," ")</f>
        <v xml:space="preserve"> </v>
      </c>
      <c r="G108" s="76" t="str">
        <f>IFERROR(VLOOKUP($A108,'The List'!$B1:$AS727,10,FALSE)," ")</f>
        <v xml:space="preserve"> </v>
      </c>
      <c r="H108" s="77"/>
      <c r="I108" s="78" t="str">
        <f>IFERROR(VLOOKUP($A108,'The List'!$B1:$AS727,16,FALSE)," ")</f>
        <v xml:space="preserve"> </v>
      </c>
      <c r="J108" s="78" t="str">
        <f>IFERROR(VLOOKUP($A108,'The List'!$B1:$AS727,17,FALSE)," ")</f>
        <v xml:space="preserve"> </v>
      </c>
      <c r="K108" s="78" t="str">
        <f>IFERROR(VLOOKUP($A108,'The List'!$B1:$AS727,18,FALSE)," ")</f>
        <v xml:space="preserve"> </v>
      </c>
      <c r="L108" s="78" t="str">
        <f>IFERROR(VLOOKUP($A108,'The List'!$B1:$AS727,19,FALSE)," ")</f>
        <v xml:space="preserve"> </v>
      </c>
      <c r="M108" s="78" t="str">
        <f>IFERROR(VLOOKUP($A108,'The List'!$B1:$AS727,20,FALSE)," ")</f>
        <v xml:space="preserve"> </v>
      </c>
      <c r="N108" s="78" t="str">
        <f>IFERROR(VLOOKUP($A108,'The List'!$B1:$AS727,21,FALSE)," ")</f>
        <v xml:space="preserve"> </v>
      </c>
      <c r="O108" s="78" t="str">
        <f>IFERROR(VLOOKUP($A108,'The List'!$B1:$AS727,22,FALSE)," ")</f>
        <v xml:space="preserve"> </v>
      </c>
      <c r="P108" s="78" t="str">
        <f>IFERROR(VLOOKUP($A108,'The List'!$B1:$AS727,23,FALSE)," ")</f>
        <v xml:space="preserve"> </v>
      </c>
      <c r="Q108" s="78" t="str">
        <f>IFERROR(VLOOKUP($A108,'The List'!$B1:$AS727,24,FALSE)," ")</f>
        <v xml:space="preserve"> </v>
      </c>
      <c r="R108" s="78" t="str">
        <f>IFERROR(VLOOKUP($A108,'The List'!$B1:$AS727,25,FALSE)," ")</f>
        <v xml:space="preserve"> </v>
      </c>
      <c r="S108" s="78" t="str">
        <f>IFERROR(VLOOKUP($A108,'The List'!$B1:$AS727,26,FALSE)," ")</f>
        <v xml:space="preserve"> </v>
      </c>
      <c r="T108" s="78" t="str">
        <f>IFERROR(VLOOKUP($A108,'The List'!$B1:$AS727,27,FALSE)," ")</f>
        <v xml:space="preserve"> </v>
      </c>
      <c r="U108" s="78" t="str">
        <f>IFERROR(VLOOKUP($A108,'The List'!$B1:$AS727,28,FALSE)," ")</f>
        <v xml:space="preserve"> </v>
      </c>
      <c r="V108" s="78" t="str">
        <f>IFERROR(VLOOKUP($A108,'The List'!$B1:$AS727,29,FALSE)," ")</f>
        <v xml:space="preserve"> </v>
      </c>
      <c r="W108" s="78" t="str">
        <f>IFERROR(VLOOKUP($A108,'The List'!$B1:$AS727,30,FALSE)," ")</f>
        <v xml:space="preserve"> </v>
      </c>
      <c r="X108" s="78" t="str">
        <f>IFERROR(VLOOKUP($A108,'The List'!$B1:$AS727,31,FALSE)," ")</f>
        <v xml:space="preserve"> </v>
      </c>
      <c r="Y108" s="78" t="str">
        <f>IFERROR(VLOOKUP($A108,'The List'!$B1:$AS727,32,FALSE)," ")</f>
        <v xml:space="preserve"> </v>
      </c>
      <c r="Z108" s="78" t="str">
        <f>IFERROR(VLOOKUP($A108,'The List'!$B1:$AS727,33,FALSE)," ")</f>
        <v xml:space="preserve"> </v>
      </c>
      <c r="AA108" s="55"/>
      <c r="AB108" s="60"/>
      <c r="AC108" s="60"/>
      <c r="AD108" s="60"/>
      <c r="AE108" s="60"/>
      <c r="AF108" s="60"/>
    </row>
    <row r="109" spans="1:32" ht="21.25" customHeight="1" x14ac:dyDescent="0.15">
      <c r="A109" s="79"/>
      <c r="B109" s="80"/>
      <c r="C109" s="81"/>
      <c r="D109" s="82"/>
      <c r="E109" s="117" t="str">
        <f>IFERROR(AVERAGE(E89:E108)," ")</f>
        <v xml:space="preserve"> </v>
      </c>
      <c r="F109" s="84">
        <f>SUM(F89:F108)</f>
        <v>0</v>
      </c>
      <c r="G109" s="84">
        <f>SUM(G89:G108)</f>
        <v>0</v>
      </c>
      <c r="H109" s="85"/>
      <c r="I109" s="86">
        <f>SUM(I89:I108)</f>
        <v>0</v>
      </c>
      <c r="J109" s="85" t="e">
        <f>AVERAGE(J89:J108)</f>
        <v>#DIV/0!</v>
      </c>
      <c r="K109" s="86">
        <f t="shared" ref="K109:Y109" si="6">SUM(K89:K108)</f>
        <v>0</v>
      </c>
      <c r="L109" s="86">
        <f t="shared" si="6"/>
        <v>0</v>
      </c>
      <c r="M109" s="86">
        <f t="shared" si="6"/>
        <v>0</v>
      </c>
      <c r="N109" s="86">
        <f t="shared" si="6"/>
        <v>0</v>
      </c>
      <c r="O109" s="86">
        <f t="shared" si="6"/>
        <v>0</v>
      </c>
      <c r="P109" s="86">
        <f t="shared" si="6"/>
        <v>0</v>
      </c>
      <c r="Q109" s="86">
        <f t="shared" si="6"/>
        <v>0</v>
      </c>
      <c r="R109" s="86">
        <f t="shared" si="6"/>
        <v>0</v>
      </c>
      <c r="S109" s="86">
        <f t="shared" si="6"/>
        <v>0</v>
      </c>
      <c r="T109" s="86">
        <f t="shared" si="6"/>
        <v>0</v>
      </c>
      <c r="U109" s="86">
        <f t="shared" si="6"/>
        <v>0</v>
      </c>
      <c r="V109" s="86">
        <f t="shared" si="6"/>
        <v>0</v>
      </c>
      <c r="W109" s="86">
        <f t="shared" si="6"/>
        <v>0</v>
      </c>
      <c r="X109" s="86">
        <f t="shared" si="6"/>
        <v>0</v>
      </c>
      <c r="Y109" s="86">
        <f t="shared" si="6"/>
        <v>0</v>
      </c>
      <c r="Z109" s="87">
        <f>IFERROR(X109/(X109+Y109),0)</f>
        <v>0</v>
      </c>
      <c r="AA109" s="55"/>
      <c r="AB109" s="88"/>
      <c r="AC109" s="88"/>
      <c r="AD109" s="88"/>
      <c r="AE109" s="88"/>
      <c r="AF109" s="88"/>
    </row>
    <row r="110" spans="1:32" ht="21.25" customHeight="1" x14ac:dyDescent="0.15">
      <c r="A110" s="89"/>
      <c r="B110" s="90"/>
      <c r="C110" s="91"/>
      <c r="D110" s="11"/>
      <c r="E110" s="11"/>
      <c r="F110" s="92"/>
      <c r="G110" s="93"/>
      <c r="H110" s="94"/>
      <c r="I110" s="9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60"/>
      <c r="AC110" s="60"/>
      <c r="AD110" s="60"/>
      <c r="AE110" s="60"/>
      <c r="AF110" s="60"/>
    </row>
    <row r="111" spans="1:32" ht="21.25" customHeight="1" x14ac:dyDescent="0.15">
      <c r="A111" s="24" t="s">
        <v>66</v>
      </c>
      <c r="B111" s="174" t="s">
        <v>68</v>
      </c>
      <c r="C111" s="165"/>
      <c r="D111" s="96" t="s">
        <v>69</v>
      </c>
      <c r="E111" s="96" t="s">
        <v>70</v>
      </c>
      <c r="F111" s="97" t="s">
        <v>72</v>
      </c>
      <c r="G111" s="97" t="s">
        <v>74</v>
      </c>
      <c r="H111" s="98"/>
      <c r="I111" s="99" t="s">
        <v>79</v>
      </c>
      <c r="J111" s="99" t="s">
        <v>97</v>
      </c>
      <c r="K111" s="99" t="s">
        <v>98</v>
      </c>
      <c r="L111" s="99" t="s">
        <v>99</v>
      </c>
      <c r="M111" s="99" t="s">
        <v>100</v>
      </c>
      <c r="N111" s="99" t="s">
        <v>101</v>
      </c>
      <c r="O111" s="99" t="s">
        <v>102</v>
      </c>
      <c r="P111" s="99" t="s">
        <v>103</v>
      </c>
      <c r="Q111" s="99" t="s">
        <v>104</v>
      </c>
      <c r="R111" s="55"/>
      <c r="S111" s="55"/>
      <c r="T111" s="55"/>
      <c r="U111" s="174" t="s">
        <v>850</v>
      </c>
      <c r="V111" s="175"/>
      <c r="W111" s="175"/>
      <c r="X111" s="174" t="s">
        <v>851</v>
      </c>
      <c r="Y111" s="175"/>
      <c r="Z111" s="175"/>
      <c r="AA111" s="55"/>
      <c r="AB111" s="55"/>
      <c r="AC111" s="55"/>
      <c r="AD111" s="55"/>
      <c r="AE111" s="55"/>
      <c r="AF111" s="55"/>
    </row>
    <row r="112" spans="1:32" ht="21.25" customHeight="1" x14ac:dyDescent="0.15">
      <c r="A112" s="118"/>
      <c r="B112" s="101" t="str">
        <f>IFERROR(VLOOKUP($A112,'The List'!$B1:$AS727,3,FALSE)," ")</f>
        <v xml:space="preserve"> </v>
      </c>
      <c r="C112" s="119" t="str">
        <f>IFERROR(VLOOKUP($A112,'The List'!$B1:$AS727,4,FALSE)," ")</f>
        <v xml:space="preserve"> </v>
      </c>
      <c r="D112" s="103" t="str">
        <f>IFERROR(VLOOKUP($A112,'The List'!$B1:$AS727,5,FALSE)," ")</f>
        <v xml:space="preserve"> </v>
      </c>
      <c r="E112" s="103" t="str">
        <f>IFERROR(VLOOKUP($A112,'The List'!$B1:$AS727,6,FALSE)," ")</f>
        <v xml:space="preserve"> </v>
      </c>
      <c r="F112" s="120" t="str">
        <f>IFERROR(VLOOKUP($A112,'The List'!$B1:$AS727,8,FALSE)," ")</f>
        <v xml:space="preserve"> </v>
      </c>
      <c r="G112" s="120" t="str">
        <f>IFERROR(VLOOKUP($A112,'The List'!$B1:$AS727,10,FALSE)," ")</f>
        <v xml:space="preserve"> </v>
      </c>
      <c r="H112" s="106"/>
      <c r="I112" s="121" t="str">
        <f>IFERROR(VLOOKUP($A112,'The List'!$B1:$AS727,35,FALSE)," ")</f>
        <v xml:space="preserve"> </v>
      </c>
      <c r="J112" s="121" t="str">
        <f>IFERROR(VLOOKUP($A112,'The List'!$B1:$AS727,36,FALSE)," ")</f>
        <v xml:space="preserve"> </v>
      </c>
      <c r="K112" s="121" t="str">
        <f>IFERROR(VLOOKUP($A112,'The List'!$B1:$AS727,37,FALSE)," ")</f>
        <v xml:space="preserve"> </v>
      </c>
      <c r="L112" s="121" t="str">
        <f>IFERROR(VLOOKUP($A112,'The List'!$B1:$AS727,38,FALSE)," ")</f>
        <v xml:space="preserve"> </v>
      </c>
      <c r="M112" s="121" t="str">
        <f>IFERROR(VLOOKUP($A112,'The List'!$B1:$AS727,39,FALSE)," ")</f>
        <v xml:space="preserve"> </v>
      </c>
      <c r="N112" s="121" t="str">
        <f>IFERROR(VLOOKUP($A112,'The List'!$B1:$AS727,40,FALSE)," ")</f>
        <v xml:space="preserve"> </v>
      </c>
      <c r="O112" s="121" t="str">
        <f>IFERROR(VLOOKUP($A112,'The List'!$B1:$AS727,41,FALSE)," ")</f>
        <v xml:space="preserve"> </v>
      </c>
      <c r="P112" s="121" t="str">
        <f>IFERROR(VLOOKUP($A112,'The List'!$B1:$AS727,42,FALSE)," ")</f>
        <v xml:space="preserve"> </v>
      </c>
      <c r="Q112" s="121" t="str">
        <f>IFERROR(VLOOKUP($A112,'The List'!$B1:$AS727,43,FALSE)," ")</f>
        <v xml:space="preserve"> </v>
      </c>
      <c r="R112" s="55"/>
      <c r="S112" s="55"/>
      <c r="T112" s="110" t="str">
        <f>A88</f>
        <v>TEAM 4</v>
      </c>
      <c r="U112" s="176">
        <f>F109+F115</f>
        <v>0</v>
      </c>
      <c r="V112" s="165"/>
      <c r="W112" s="165"/>
      <c r="X112" s="176">
        <f>G115+G109</f>
        <v>0</v>
      </c>
      <c r="Y112" s="165"/>
      <c r="Z112" s="165"/>
      <c r="AA112" s="55"/>
      <c r="AB112" s="55"/>
      <c r="AC112" s="55"/>
      <c r="AD112" s="55"/>
      <c r="AE112" s="55"/>
      <c r="AF112" s="55"/>
    </row>
    <row r="113" spans="1:32" ht="21.25" customHeight="1" x14ac:dyDescent="0.15">
      <c r="A113" s="23"/>
      <c r="B113" s="111" t="str">
        <f>IFERROR(VLOOKUP($A113,'The List'!$B1:$AS727,3,FALSE)," ")</f>
        <v xml:space="preserve"> </v>
      </c>
      <c r="C113" s="112" t="str">
        <f>IFERROR(VLOOKUP($A113,'The List'!$B1:$AS727,4,FALSE)," ")</f>
        <v xml:space="preserve"> </v>
      </c>
      <c r="D113" s="35" t="str">
        <f>IFERROR(VLOOKUP($A113,'The List'!$B1:$AS727,5,FALSE)," ")</f>
        <v xml:space="preserve"> </v>
      </c>
      <c r="E113" s="35" t="str">
        <f>IFERROR(VLOOKUP($A113,'The List'!$B1:$AS727,6,FALSE)," ")</f>
        <v xml:space="preserve"> </v>
      </c>
      <c r="F113" s="52" t="str">
        <f>IFERROR(VLOOKUP($A113,'The List'!$B1:$AS727,8,FALSE)," ")</f>
        <v xml:space="preserve"> </v>
      </c>
      <c r="G113" s="52" t="str">
        <f>IFERROR(VLOOKUP($A113,'The List'!$B1:$AS727,10,FALSE)," ")</f>
        <v xml:space="preserve"> </v>
      </c>
      <c r="H113" s="39"/>
      <c r="I113" s="53" t="str">
        <f>IFERROR(VLOOKUP($A113,'The List'!$B1:$AS727,35,FALSE)," ")</f>
        <v xml:space="preserve"> </v>
      </c>
      <c r="J113" s="53" t="str">
        <f>IFERROR(VLOOKUP($A113,'The List'!$B1:$AS727,36,FALSE)," ")</f>
        <v xml:space="preserve"> </v>
      </c>
      <c r="K113" s="53" t="str">
        <f>IFERROR(VLOOKUP($A113,'The List'!$B1:$AS727,37,FALSE)," ")</f>
        <v xml:space="preserve"> </v>
      </c>
      <c r="L113" s="53" t="str">
        <f>IFERROR(VLOOKUP($A113,'The List'!$B1:$AS727,38,FALSE)," ")</f>
        <v xml:space="preserve"> </v>
      </c>
      <c r="M113" s="53" t="str">
        <f>IFERROR(VLOOKUP($A113,'The List'!$B1:$AS727,39,FALSE)," ")</f>
        <v xml:space="preserve"> </v>
      </c>
      <c r="N113" s="53" t="str">
        <f>IFERROR(VLOOKUP($A113,'The List'!$B1:$AS727,40,FALSE)," ")</f>
        <v xml:space="preserve"> </v>
      </c>
      <c r="O113" s="53" t="str">
        <f>IFERROR(VLOOKUP($A113,'The List'!$B1:$AS727,41,FALSE)," ")</f>
        <v xml:space="preserve"> </v>
      </c>
      <c r="P113" s="53" t="str">
        <f>IFERROR(VLOOKUP($A113,'The List'!$B1:$AS727,42,FALSE)," ")</f>
        <v xml:space="preserve"> </v>
      </c>
      <c r="Q113" s="53" t="str">
        <f>IFERROR(VLOOKUP($A113,'The List'!$B1:$AS727,43,FALSE)," ")</f>
        <v xml:space="preserve"> </v>
      </c>
      <c r="R113" s="55"/>
      <c r="S113" s="55"/>
      <c r="T113" s="55"/>
      <c r="U113" s="165"/>
      <c r="V113" s="165"/>
      <c r="W113" s="165"/>
      <c r="X113" s="165"/>
      <c r="Y113" s="165"/>
      <c r="Z113" s="165"/>
      <c r="AA113" s="55"/>
      <c r="AB113" s="55"/>
      <c r="AC113" s="55"/>
      <c r="AD113" s="55"/>
      <c r="AE113" s="55"/>
      <c r="AF113" s="55"/>
    </row>
    <row r="114" spans="1:32" ht="21.25" customHeight="1" x14ac:dyDescent="0.15">
      <c r="A114" s="72"/>
      <c r="B114" s="113" t="str">
        <f>IFERROR(VLOOKUP($A114,'The List'!$B1:$AS727,3,FALSE)," ")</f>
        <v xml:space="preserve"> </v>
      </c>
      <c r="C114" s="114" t="str">
        <f>IFERROR(VLOOKUP($A114,'The List'!$B1:$AS727,4,FALSE)," ")</f>
        <v xml:space="preserve"> </v>
      </c>
      <c r="D114" s="75" t="str">
        <f>IFERROR(VLOOKUP($A114,'The List'!$B1:$AS727,5,FALSE)," ")</f>
        <v xml:space="preserve"> </v>
      </c>
      <c r="E114" s="75" t="str">
        <f>IFERROR(VLOOKUP($A114,'The List'!$B1:$AS727,6,FALSE)," ")</f>
        <v xml:space="preserve"> </v>
      </c>
      <c r="F114" s="76" t="str">
        <f>IFERROR(VLOOKUP($A114,'The List'!$B1:$AS727,8,FALSE)," ")</f>
        <v xml:space="preserve"> </v>
      </c>
      <c r="G114" s="76" t="str">
        <f>IFERROR(VLOOKUP($A114,'The List'!$B1:$AS727,10,FALSE)," ")</f>
        <v xml:space="preserve"> </v>
      </c>
      <c r="H114" s="77"/>
      <c r="I114" s="78" t="str">
        <f>IFERROR(VLOOKUP($A114,'The List'!$B1:$AS727,35,FALSE)," ")</f>
        <v xml:space="preserve"> </v>
      </c>
      <c r="J114" s="78" t="str">
        <f>IFERROR(VLOOKUP($A114,'The List'!$B1:$AS727,36,FALSE)," ")</f>
        <v xml:space="preserve"> </v>
      </c>
      <c r="K114" s="78" t="str">
        <f>IFERROR(VLOOKUP($A114,'The List'!$B1:$AS727,37,FALSE)," ")</f>
        <v xml:space="preserve"> </v>
      </c>
      <c r="L114" s="78" t="str">
        <f>IFERROR(VLOOKUP($A114,'The List'!$B1:$AS727,38,FALSE)," ")</f>
        <v xml:space="preserve"> </v>
      </c>
      <c r="M114" s="78" t="str">
        <f>IFERROR(VLOOKUP($A114,'The List'!$B1:$AS727,39,FALSE)," ")</f>
        <v xml:space="preserve"> </v>
      </c>
      <c r="N114" s="78" t="str">
        <f>IFERROR(VLOOKUP($A114,'The List'!$B1:$AS727,40,FALSE)," ")</f>
        <v xml:space="preserve"> </v>
      </c>
      <c r="O114" s="78" t="str">
        <f>IFERROR(VLOOKUP($A114,'The List'!$B1:$AS727,41,FALSE)," ")</f>
        <v xml:space="preserve"> </v>
      </c>
      <c r="P114" s="78" t="str">
        <f>IFERROR(VLOOKUP($A114,'The List'!$B1:$AS727,42,FALSE)," ")</f>
        <v xml:space="preserve"> </v>
      </c>
      <c r="Q114" s="78" t="str">
        <f>IFERROR(VLOOKUP($A114,'The List'!$B1:$AS727,43,FALSE)," ")</f>
        <v xml:space="preserve"> </v>
      </c>
      <c r="R114" s="55"/>
      <c r="S114" s="55"/>
      <c r="T114" s="55"/>
      <c r="U114" s="165"/>
      <c r="V114" s="165"/>
      <c r="W114" s="165"/>
      <c r="X114" s="165"/>
      <c r="Y114" s="165"/>
      <c r="Z114" s="165"/>
      <c r="AA114" s="55"/>
      <c r="AB114" s="55"/>
      <c r="AC114" s="55"/>
      <c r="AD114" s="55"/>
      <c r="AE114" s="55"/>
      <c r="AF114" s="55"/>
    </row>
    <row r="115" spans="1:32" ht="21.25" customHeight="1" x14ac:dyDescent="0.15">
      <c r="A115" s="79"/>
      <c r="B115" s="80"/>
      <c r="C115" s="81"/>
      <c r="D115" s="82"/>
      <c r="E115" s="117" t="str">
        <f>IFERROR(AVERAGE(E112:E114)," ")</f>
        <v xml:space="preserve"> </v>
      </c>
      <c r="F115" s="84">
        <f>SUM(F112:F114)</f>
        <v>0</v>
      </c>
      <c r="G115" s="84">
        <f>SUM(G112:G114)</f>
        <v>0</v>
      </c>
      <c r="H115" s="85"/>
      <c r="I115" s="86">
        <f t="shared" ref="I115:O115" si="7">SUM(I112:I114)</f>
        <v>0</v>
      </c>
      <c r="J115" s="85">
        <f t="shared" si="7"/>
        <v>0</v>
      </c>
      <c r="K115" s="86">
        <f t="shared" si="7"/>
        <v>0</v>
      </c>
      <c r="L115" s="86">
        <f t="shared" si="7"/>
        <v>0</v>
      </c>
      <c r="M115" s="86">
        <f t="shared" si="7"/>
        <v>0</v>
      </c>
      <c r="N115" s="86">
        <f t="shared" si="7"/>
        <v>0</v>
      </c>
      <c r="O115" s="86">
        <f t="shared" si="7"/>
        <v>0</v>
      </c>
      <c r="P115" s="115" t="e">
        <f>1-(O115/(N115+O115))</f>
        <v>#DIV/0!</v>
      </c>
      <c r="Q115" s="116" t="e">
        <f>O115/I115</f>
        <v>#DIV/0!</v>
      </c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</row>
    <row r="116" spans="1:32" ht="70.75" customHeight="1" x14ac:dyDescent="0.15">
      <c r="A116" s="89"/>
      <c r="B116" s="90"/>
      <c r="C116" s="91"/>
      <c r="D116" s="11"/>
      <c r="E116" s="11"/>
      <c r="F116" s="92"/>
      <c r="G116" s="93"/>
      <c r="H116" s="94"/>
      <c r="I116" s="9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60"/>
      <c r="AB116" s="60"/>
      <c r="AC116" s="60"/>
      <c r="AD116" s="60"/>
      <c r="AE116" s="60"/>
      <c r="AF116" s="60"/>
    </row>
    <row r="117" spans="1:32" ht="21.25" customHeight="1" x14ac:dyDescent="0.15">
      <c r="A117" s="25" t="s">
        <v>838</v>
      </c>
      <c r="B117" s="173" t="s">
        <v>68</v>
      </c>
      <c r="C117" s="170"/>
      <c r="D117" s="26" t="s">
        <v>69</v>
      </c>
      <c r="E117" s="26" t="s">
        <v>70</v>
      </c>
      <c r="F117" s="27" t="s">
        <v>72</v>
      </c>
      <c r="G117" s="27" t="s">
        <v>74</v>
      </c>
      <c r="H117" s="28"/>
      <c r="I117" s="30" t="s">
        <v>79</v>
      </c>
      <c r="J117" s="30" t="s">
        <v>80</v>
      </c>
      <c r="K117" s="30" t="s">
        <v>81</v>
      </c>
      <c r="L117" s="30" t="s">
        <v>82</v>
      </c>
      <c r="M117" s="30" t="s">
        <v>83</v>
      </c>
      <c r="N117" s="30" t="s">
        <v>84</v>
      </c>
      <c r="O117" s="30" t="s">
        <v>85</v>
      </c>
      <c r="P117" s="30" t="s">
        <v>86</v>
      </c>
      <c r="Q117" s="30" t="s">
        <v>87</v>
      </c>
      <c r="R117" s="30" t="s">
        <v>88</v>
      </c>
      <c r="S117" s="30" t="s">
        <v>89</v>
      </c>
      <c r="T117" s="30" t="s">
        <v>90</v>
      </c>
      <c r="U117" s="30" t="s">
        <v>91</v>
      </c>
      <c r="V117" s="30" t="s">
        <v>92</v>
      </c>
      <c r="W117" s="30" t="s">
        <v>93</v>
      </c>
      <c r="X117" s="30" t="s">
        <v>94</v>
      </c>
      <c r="Y117" s="30" t="s">
        <v>95</v>
      </c>
      <c r="Z117" s="30" t="s">
        <v>96</v>
      </c>
      <c r="AA117" s="55"/>
      <c r="AB117" s="56"/>
      <c r="AC117" s="56"/>
      <c r="AD117" s="56"/>
      <c r="AE117" s="56"/>
      <c r="AF117" s="56"/>
    </row>
    <row r="118" spans="1:32" ht="21.25" customHeight="1" x14ac:dyDescent="0.15">
      <c r="A118" s="23"/>
      <c r="B118" s="57" t="str">
        <f>IFERROR(VLOOKUP($A118,'The List'!$B1:$AS727,3,FALSE)," ")</f>
        <v xml:space="preserve"> </v>
      </c>
      <c r="C118" s="61" t="str">
        <f>IFERROR(VLOOKUP($A118,'The List'!$B1:$AS727,4,FALSE)," ")</f>
        <v xml:space="preserve"> </v>
      </c>
      <c r="D118" s="35" t="str">
        <f>IFERROR(VLOOKUP($A118,'The List'!$B1:$AS727,5,FALSE)," ")</f>
        <v xml:space="preserve"> </v>
      </c>
      <c r="E118" s="35" t="str">
        <f>IFERROR(VLOOKUP($A118,'The List'!$B1:$AS727,6,FALSE)," ")</f>
        <v xml:space="preserve"> </v>
      </c>
      <c r="F118" s="52" t="str">
        <f>IFERROR(VLOOKUP($A118,'The List'!$B1:$AS727,8,FALSE)," ")</f>
        <v xml:space="preserve"> </v>
      </c>
      <c r="G118" s="52" t="str">
        <f>IFERROR(VLOOKUP($A118,'The List'!$B1:$AS727,10,FALSE)," ")</f>
        <v xml:space="preserve"> </v>
      </c>
      <c r="H118" s="39"/>
      <c r="I118" s="53" t="str">
        <f>IFERROR(VLOOKUP($A118,'The List'!$B1:$AS727,16,FALSE)," ")</f>
        <v xml:space="preserve"> </v>
      </c>
      <c r="J118" s="53" t="str">
        <f>IFERROR(VLOOKUP($A118,'The List'!$B1:$AS727,17,FALSE)," ")</f>
        <v xml:space="preserve"> </v>
      </c>
      <c r="K118" s="53" t="str">
        <f>IFERROR(VLOOKUP($A118,'The List'!$B1:$AS727,18,FALSE)," ")</f>
        <v xml:space="preserve"> </v>
      </c>
      <c r="L118" s="53" t="str">
        <f>IFERROR(VLOOKUP($A118,'The List'!$B1:$AS727,19,FALSE)," ")</f>
        <v xml:space="preserve"> </v>
      </c>
      <c r="M118" s="53" t="str">
        <f>IFERROR(VLOOKUP($A118,'The List'!$B1:$AS727,20,FALSE)," ")</f>
        <v xml:space="preserve"> </v>
      </c>
      <c r="N118" s="53" t="str">
        <f>IFERROR(VLOOKUP($A118,'The List'!$B1:$AS727,21,FALSE)," ")</f>
        <v xml:space="preserve"> </v>
      </c>
      <c r="O118" s="53" t="str">
        <f>IFERROR(VLOOKUP($A118,'The List'!$B1:$AS727,22,FALSE)," ")</f>
        <v xml:space="preserve"> </v>
      </c>
      <c r="P118" s="53" t="str">
        <f>IFERROR(VLOOKUP($A118,'The List'!$B1:$AS727,23,FALSE)," ")</f>
        <v xml:space="preserve"> </v>
      </c>
      <c r="Q118" s="53" t="str">
        <f>IFERROR(VLOOKUP($A118,'The List'!$B1:$AS727,24,FALSE)," ")</f>
        <v xml:space="preserve"> </v>
      </c>
      <c r="R118" s="53" t="str">
        <f>IFERROR(VLOOKUP($A118,'The List'!$B1:$AS727,25,FALSE)," ")</f>
        <v xml:space="preserve"> </v>
      </c>
      <c r="S118" s="53" t="str">
        <f>IFERROR(VLOOKUP($A118,'The List'!$B1:$AS727,26,FALSE)," ")</f>
        <v xml:space="preserve"> </v>
      </c>
      <c r="T118" s="53" t="str">
        <f>IFERROR(VLOOKUP($A118,'The List'!$B1:$AS727,27,FALSE)," ")</f>
        <v xml:space="preserve"> </v>
      </c>
      <c r="U118" s="53" t="str">
        <f>IFERROR(VLOOKUP($A118,'The List'!$B1:$AS727,28,FALSE)," ")</f>
        <v xml:space="preserve"> </v>
      </c>
      <c r="V118" s="53" t="str">
        <f>IFERROR(VLOOKUP($A118,'The List'!$B1:$AS727,29,FALSE)," ")</f>
        <v xml:space="preserve"> </v>
      </c>
      <c r="W118" s="53" t="str">
        <f>IFERROR(VLOOKUP($A118,'The List'!$B1:$AS727,30,FALSE)," ")</f>
        <v xml:space="preserve"> </v>
      </c>
      <c r="X118" s="53" t="str">
        <f>IFERROR(VLOOKUP($A118,'The List'!$B1:$AS727,31,FALSE)," ")</f>
        <v xml:space="preserve"> </v>
      </c>
      <c r="Y118" s="53" t="str">
        <f>IFERROR(VLOOKUP($A118,'The List'!$B1:$AS727,32,FALSE)," ")</f>
        <v xml:space="preserve"> </v>
      </c>
      <c r="Z118" s="53" t="str">
        <f>IFERROR(VLOOKUP($A118,'The List'!$B1:$AS727,33,FALSE)," ")</f>
        <v xml:space="preserve"> </v>
      </c>
      <c r="AA118" s="55"/>
      <c r="AB118" s="60"/>
      <c r="AC118" s="60"/>
      <c r="AD118" s="60"/>
      <c r="AE118" s="60"/>
      <c r="AF118" s="60"/>
    </row>
    <row r="119" spans="1:32" ht="21.25" customHeight="1" x14ac:dyDescent="0.15">
      <c r="A119" s="23"/>
      <c r="B119" s="57" t="str">
        <f>IFERROR(VLOOKUP($A119,'The List'!$B1:$AS727,3,FALSE)," ")</f>
        <v xml:space="preserve"> </v>
      </c>
      <c r="C119" s="61" t="str">
        <f>IFERROR(VLOOKUP($A119,'The List'!$B1:$AS727,4,FALSE)," ")</f>
        <v xml:space="preserve"> </v>
      </c>
      <c r="D119" s="35" t="str">
        <f>IFERROR(VLOOKUP($A119,'The List'!$B1:$AS727,5,FALSE)," ")</f>
        <v xml:space="preserve"> </v>
      </c>
      <c r="E119" s="35" t="str">
        <f>IFERROR(VLOOKUP($A119,'The List'!$B1:$AS727,6,FALSE)," ")</f>
        <v xml:space="preserve"> </v>
      </c>
      <c r="F119" s="52" t="str">
        <f>IFERROR(VLOOKUP($A119,'The List'!$B1:$AS727,8,FALSE)," ")</f>
        <v xml:space="preserve"> </v>
      </c>
      <c r="G119" s="52" t="str">
        <f>IFERROR(VLOOKUP($A119,'The List'!$B1:$AS727,10,FALSE)," ")</f>
        <v xml:space="preserve"> </v>
      </c>
      <c r="H119" s="39"/>
      <c r="I119" s="53" t="str">
        <f>IFERROR(VLOOKUP($A119,'The List'!$B1:$AS727,16,FALSE)," ")</f>
        <v xml:space="preserve"> </v>
      </c>
      <c r="J119" s="53" t="str">
        <f>IFERROR(VLOOKUP($A119,'The List'!$B1:$AS727,17,FALSE)," ")</f>
        <v xml:space="preserve"> </v>
      </c>
      <c r="K119" s="53" t="str">
        <f>IFERROR(VLOOKUP($A119,'The List'!$B1:$AS727,18,FALSE)," ")</f>
        <v xml:space="preserve"> </v>
      </c>
      <c r="L119" s="53" t="str">
        <f>IFERROR(VLOOKUP($A119,'The List'!$B1:$AS727,19,FALSE)," ")</f>
        <v xml:space="preserve"> </v>
      </c>
      <c r="M119" s="53" t="str">
        <f>IFERROR(VLOOKUP($A119,'The List'!$B1:$AS727,20,FALSE)," ")</f>
        <v xml:space="preserve"> </v>
      </c>
      <c r="N119" s="53" t="str">
        <f>IFERROR(VLOOKUP($A119,'The List'!$B1:$AS727,21,FALSE)," ")</f>
        <v xml:space="preserve"> </v>
      </c>
      <c r="O119" s="53" t="str">
        <f>IFERROR(VLOOKUP($A119,'The List'!$B1:$AS727,22,FALSE)," ")</f>
        <v xml:space="preserve"> </v>
      </c>
      <c r="P119" s="53" t="str">
        <f>IFERROR(VLOOKUP($A119,'The List'!$B1:$AS727,23,FALSE)," ")</f>
        <v xml:space="preserve"> </v>
      </c>
      <c r="Q119" s="53" t="str">
        <f>IFERROR(VLOOKUP($A119,'The List'!$B1:$AS727,24,FALSE)," ")</f>
        <v xml:space="preserve"> </v>
      </c>
      <c r="R119" s="53" t="str">
        <f>IFERROR(VLOOKUP($A119,'The List'!$B1:$AS727,25,FALSE)," ")</f>
        <v xml:space="preserve"> </v>
      </c>
      <c r="S119" s="53" t="str">
        <f>IFERROR(VLOOKUP($A119,'The List'!$B1:$AS727,26,FALSE)," ")</f>
        <v xml:space="preserve"> </v>
      </c>
      <c r="T119" s="53" t="str">
        <f>IFERROR(VLOOKUP($A119,'The List'!$B1:$AS727,27,FALSE)," ")</f>
        <v xml:space="preserve"> </v>
      </c>
      <c r="U119" s="53" t="str">
        <f>IFERROR(VLOOKUP($A119,'The List'!$B1:$AS727,28,FALSE)," ")</f>
        <v xml:space="preserve"> </v>
      </c>
      <c r="V119" s="53" t="str">
        <f>IFERROR(VLOOKUP($A119,'The List'!$B1:$AS727,29,FALSE)," ")</f>
        <v xml:space="preserve"> </v>
      </c>
      <c r="W119" s="53" t="str">
        <f>IFERROR(VLOOKUP($A119,'The List'!$B1:$AS727,30,FALSE)," ")</f>
        <v xml:space="preserve"> </v>
      </c>
      <c r="X119" s="53" t="str">
        <f>IFERROR(VLOOKUP($A119,'The List'!$B1:$AS727,31,FALSE)," ")</f>
        <v xml:space="preserve"> </v>
      </c>
      <c r="Y119" s="53" t="str">
        <f>IFERROR(VLOOKUP($A119,'The List'!$B1:$AS727,32,FALSE)," ")</f>
        <v xml:space="preserve"> </v>
      </c>
      <c r="Z119" s="53" t="str">
        <f>IFERROR(VLOOKUP($A119,'The List'!$B1:$AS727,33,FALSE)," ")</f>
        <v xml:space="preserve"> </v>
      </c>
      <c r="AA119" s="55"/>
      <c r="AB119" s="60"/>
      <c r="AC119" s="60"/>
      <c r="AD119" s="60"/>
      <c r="AE119" s="60"/>
      <c r="AF119" s="60"/>
    </row>
    <row r="120" spans="1:32" ht="21.25" customHeight="1" x14ac:dyDescent="0.15">
      <c r="A120" s="23"/>
      <c r="B120" s="57" t="str">
        <f>IFERROR(VLOOKUP($A120,'The List'!$B1:$AS727,3,FALSE)," ")</f>
        <v xml:space="preserve"> </v>
      </c>
      <c r="C120" s="61" t="str">
        <f>IFERROR(VLOOKUP($A120,'The List'!$B1:$AS727,4,FALSE)," ")</f>
        <v xml:space="preserve"> </v>
      </c>
      <c r="D120" s="35" t="str">
        <f>IFERROR(VLOOKUP($A120,'The List'!$B1:$AS727,5,FALSE)," ")</f>
        <v xml:space="preserve"> </v>
      </c>
      <c r="E120" s="35" t="str">
        <f>IFERROR(VLOOKUP($A120,'The List'!$B1:$AS727,6,FALSE)," ")</f>
        <v xml:space="preserve"> </v>
      </c>
      <c r="F120" s="52" t="str">
        <f>IFERROR(VLOOKUP($A120,'The List'!$B1:$AS727,8,FALSE)," ")</f>
        <v xml:space="preserve"> </v>
      </c>
      <c r="G120" s="52" t="str">
        <f>IFERROR(VLOOKUP($A120,'The List'!$B1:$AS727,10,FALSE)," ")</f>
        <v xml:space="preserve"> </v>
      </c>
      <c r="H120" s="39"/>
      <c r="I120" s="53" t="str">
        <f>IFERROR(VLOOKUP($A120,'The List'!$B1:$AS727,16,FALSE)," ")</f>
        <v xml:space="preserve"> </v>
      </c>
      <c r="J120" s="53" t="str">
        <f>IFERROR(VLOOKUP($A120,'The List'!$B1:$AS727,17,FALSE)," ")</f>
        <v xml:space="preserve"> </v>
      </c>
      <c r="K120" s="53" t="str">
        <f>IFERROR(VLOOKUP($A120,'The List'!$B1:$AS727,18,FALSE)," ")</f>
        <v xml:space="preserve"> </v>
      </c>
      <c r="L120" s="53" t="str">
        <f>IFERROR(VLOOKUP($A120,'The List'!$B1:$AS727,19,FALSE)," ")</f>
        <v xml:space="preserve"> </v>
      </c>
      <c r="M120" s="53" t="str">
        <f>IFERROR(VLOOKUP($A120,'The List'!$B1:$AS727,20,FALSE)," ")</f>
        <v xml:space="preserve"> </v>
      </c>
      <c r="N120" s="53" t="str">
        <f>IFERROR(VLOOKUP($A120,'The List'!$B1:$AS727,21,FALSE)," ")</f>
        <v xml:space="preserve"> </v>
      </c>
      <c r="O120" s="53" t="str">
        <f>IFERROR(VLOOKUP($A120,'The List'!$B1:$AS727,22,FALSE)," ")</f>
        <v xml:space="preserve"> </v>
      </c>
      <c r="P120" s="53" t="str">
        <f>IFERROR(VLOOKUP($A120,'The List'!$B1:$AS727,23,FALSE)," ")</f>
        <v xml:space="preserve"> </v>
      </c>
      <c r="Q120" s="53" t="str">
        <f>IFERROR(VLOOKUP($A120,'The List'!$B1:$AS727,24,FALSE)," ")</f>
        <v xml:space="preserve"> </v>
      </c>
      <c r="R120" s="53" t="str">
        <f>IFERROR(VLOOKUP($A120,'The List'!$B1:$AS727,25,FALSE)," ")</f>
        <v xml:space="preserve"> </v>
      </c>
      <c r="S120" s="53" t="str">
        <f>IFERROR(VLOOKUP($A120,'The List'!$B1:$AS727,26,FALSE)," ")</f>
        <v xml:space="preserve"> </v>
      </c>
      <c r="T120" s="53" t="str">
        <f>IFERROR(VLOOKUP($A120,'The List'!$B1:$AS727,27,FALSE)," ")</f>
        <v xml:space="preserve"> </v>
      </c>
      <c r="U120" s="53" t="str">
        <f>IFERROR(VLOOKUP($A120,'The List'!$B1:$AS727,28,FALSE)," ")</f>
        <v xml:space="preserve"> </v>
      </c>
      <c r="V120" s="53" t="str">
        <f>IFERROR(VLOOKUP($A120,'The List'!$B1:$AS727,29,FALSE)," ")</f>
        <v xml:space="preserve"> </v>
      </c>
      <c r="W120" s="53" t="str">
        <f>IFERROR(VLOOKUP($A120,'The List'!$B1:$AS727,30,FALSE)," ")</f>
        <v xml:space="preserve"> </v>
      </c>
      <c r="X120" s="53" t="str">
        <f>IFERROR(VLOOKUP($A120,'The List'!$B1:$AS727,31,FALSE)," ")</f>
        <v xml:space="preserve"> </v>
      </c>
      <c r="Y120" s="53" t="str">
        <f>IFERROR(VLOOKUP($A120,'The List'!$B1:$AS727,32,FALSE)," ")</f>
        <v xml:space="preserve"> </v>
      </c>
      <c r="Z120" s="53" t="str">
        <f>IFERROR(VLOOKUP($A120,'The List'!$B1:$AS727,33,FALSE)," ")</f>
        <v xml:space="preserve"> </v>
      </c>
      <c r="AA120" s="55"/>
      <c r="AB120" s="60"/>
      <c r="AC120" s="60"/>
      <c r="AD120" s="60"/>
      <c r="AE120" s="60"/>
      <c r="AF120" s="60"/>
    </row>
    <row r="121" spans="1:32" ht="21.25" customHeight="1" x14ac:dyDescent="0.15">
      <c r="A121" s="23"/>
      <c r="B121" s="57" t="str">
        <f>IFERROR(VLOOKUP($A121,'The List'!$B1:$AS727,3,FALSE)," ")</f>
        <v xml:space="preserve"> </v>
      </c>
      <c r="C121" s="61" t="str">
        <f>IFERROR(VLOOKUP($A121,'The List'!$B1:$AS727,4,FALSE)," ")</f>
        <v xml:space="preserve"> </v>
      </c>
      <c r="D121" s="35" t="str">
        <f>IFERROR(VLOOKUP($A121,'The List'!$B1:$AS727,5,FALSE)," ")</f>
        <v xml:space="preserve"> </v>
      </c>
      <c r="E121" s="35" t="str">
        <f>IFERROR(VLOOKUP($A121,'The List'!$B1:$AS727,6,FALSE)," ")</f>
        <v xml:space="preserve"> </v>
      </c>
      <c r="F121" s="52" t="str">
        <f>IFERROR(VLOOKUP($A121,'The List'!$B1:$AS727,8,FALSE)," ")</f>
        <v xml:space="preserve"> </v>
      </c>
      <c r="G121" s="52" t="str">
        <f>IFERROR(VLOOKUP($A121,'The List'!$B1:$AS727,10,FALSE)," ")</f>
        <v xml:space="preserve"> </v>
      </c>
      <c r="H121" s="39"/>
      <c r="I121" s="53" t="str">
        <f>IFERROR(VLOOKUP($A121,'The List'!$B1:$AS727,16,FALSE)," ")</f>
        <v xml:space="preserve"> </v>
      </c>
      <c r="J121" s="53" t="str">
        <f>IFERROR(VLOOKUP($A121,'The List'!$B1:$AS727,17,FALSE)," ")</f>
        <v xml:space="preserve"> </v>
      </c>
      <c r="K121" s="53" t="str">
        <f>IFERROR(VLOOKUP($A121,'The List'!$B1:$AS727,18,FALSE)," ")</f>
        <v xml:space="preserve"> </v>
      </c>
      <c r="L121" s="53" t="str">
        <f>IFERROR(VLOOKUP($A121,'The List'!$B1:$AS727,19,FALSE)," ")</f>
        <v xml:space="preserve"> </v>
      </c>
      <c r="M121" s="53" t="str">
        <f>IFERROR(VLOOKUP($A121,'The List'!$B1:$AS727,20,FALSE)," ")</f>
        <v xml:space="preserve"> </v>
      </c>
      <c r="N121" s="53" t="str">
        <f>IFERROR(VLOOKUP($A121,'The List'!$B1:$AS727,21,FALSE)," ")</f>
        <v xml:space="preserve"> </v>
      </c>
      <c r="O121" s="53" t="str">
        <f>IFERROR(VLOOKUP($A121,'The List'!$B1:$AS727,22,FALSE)," ")</f>
        <v xml:space="preserve"> </v>
      </c>
      <c r="P121" s="53" t="str">
        <f>IFERROR(VLOOKUP($A121,'The List'!$B1:$AS727,23,FALSE)," ")</f>
        <v xml:space="preserve"> </v>
      </c>
      <c r="Q121" s="53" t="str">
        <f>IFERROR(VLOOKUP($A121,'The List'!$B1:$AS727,24,FALSE)," ")</f>
        <v xml:space="preserve"> </v>
      </c>
      <c r="R121" s="53" t="str">
        <f>IFERROR(VLOOKUP($A121,'The List'!$B1:$AS727,25,FALSE)," ")</f>
        <v xml:space="preserve"> </v>
      </c>
      <c r="S121" s="53" t="str">
        <f>IFERROR(VLOOKUP($A121,'The List'!$B1:$AS727,26,FALSE)," ")</f>
        <v xml:space="preserve"> </v>
      </c>
      <c r="T121" s="53" t="str">
        <f>IFERROR(VLOOKUP($A121,'The List'!$B1:$AS727,27,FALSE)," ")</f>
        <v xml:space="preserve"> </v>
      </c>
      <c r="U121" s="53" t="str">
        <f>IFERROR(VLOOKUP($A121,'The List'!$B1:$AS727,28,FALSE)," ")</f>
        <v xml:space="preserve"> </v>
      </c>
      <c r="V121" s="53" t="str">
        <f>IFERROR(VLOOKUP($A121,'The List'!$B1:$AS727,29,FALSE)," ")</f>
        <v xml:space="preserve"> </v>
      </c>
      <c r="W121" s="53" t="str">
        <f>IFERROR(VLOOKUP($A121,'The List'!$B1:$AS727,30,FALSE)," ")</f>
        <v xml:space="preserve"> </v>
      </c>
      <c r="X121" s="53" t="str">
        <f>IFERROR(VLOOKUP($A121,'The List'!$B1:$AS727,31,FALSE)," ")</f>
        <v xml:space="preserve"> </v>
      </c>
      <c r="Y121" s="53" t="str">
        <f>IFERROR(VLOOKUP($A121,'The List'!$B1:$AS727,32,FALSE)," ")</f>
        <v xml:space="preserve"> </v>
      </c>
      <c r="Z121" s="53" t="str">
        <f>IFERROR(VLOOKUP($A121,'The List'!$B1:$AS727,33,FALSE)," ")</f>
        <v xml:space="preserve"> </v>
      </c>
      <c r="AA121" s="55"/>
      <c r="AB121" s="60"/>
      <c r="AC121" s="60"/>
      <c r="AD121" s="60"/>
      <c r="AE121" s="60"/>
      <c r="AF121" s="60"/>
    </row>
    <row r="122" spans="1:32" ht="21.25" customHeight="1" x14ac:dyDescent="0.15">
      <c r="A122" s="23"/>
      <c r="B122" s="62" t="str">
        <f>IFERROR(VLOOKUP($A122,'The List'!$B1:$AS727,3,FALSE)," ")</f>
        <v xml:space="preserve"> </v>
      </c>
      <c r="C122" s="64" t="str">
        <f>IFERROR(VLOOKUP($A122,'The List'!$B1:$AS727,4,FALSE)," ")</f>
        <v xml:space="preserve"> </v>
      </c>
      <c r="D122" s="35" t="str">
        <f>IFERROR(VLOOKUP($A122,'The List'!$B1:$AS727,5,FALSE)," ")</f>
        <v xml:space="preserve"> </v>
      </c>
      <c r="E122" s="35" t="str">
        <f>IFERROR(VLOOKUP($A122,'The List'!$B1:$AS727,6,FALSE)," ")</f>
        <v xml:space="preserve"> </v>
      </c>
      <c r="F122" s="52" t="str">
        <f>IFERROR(VLOOKUP($A122,'The List'!$B1:$AS727,8,FALSE)," ")</f>
        <v xml:space="preserve"> </v>
      </c>
      <c r="G122" s="52" t="str">
        <f>IFERROR(VLOOKUP($A122,'The List'!$B1:$AS727,10,FALSE)," ")</f>
        <v xml:space="preserve"> </v>
      </c>
      <c r="H122" s="39"/>
      <c r="I122" s="53" t="str">
        <f>IFERROR(VLOOKUP($A122,'The List'!$B1:$AS727,16,FALSE)," ")</f>
        <v xml:space="preserve"> </v>
      </c>
      <c r="J122" s="53" t="str">
        <f>IFERROR(VLOOKUP($A122,'The List'!$B1:$AS727,17,FALSE)," ")</f>
        <v xml:space="preserve"> </v>
      </c>
      <c r="K122" s="53" t="str">
        <f>IFERROR(VLOOKUP($A122,'The List'!$B1:$AS727,18,FALSE)," ")</f>
        <v xml:space="preserve"> </v>
      </c>
      <c r="L122" s="53" t="str">
        <f>IFERROR(VLOOKUP($A122,'The List'!$B1:$AS727,19,FALSE)," ")</f>
        <v xml:space="preserve"> </v>
      </c>
      <c r="M122" s="53" t="str">
        <f>IFERROR(VLOOKUP($A122,'The List'!$B1:$AS727,20,FALSE)," ")</f>
        <v xml:space="preserve"> </v>
      </c>
      <c r="N122" s="53" t="str">
        <f>IFERROR(VLOOKUP($A122,'The List'!$B1:$AS727,21,FALSE)," ")</f>
        <v xml:space="preserve"> </v>
      </c>
      <c r="O122" s="53" t="str">
        <f>IFERROR(VLOOKUP($A122,'The List'!$B1:$AS727,22,FALSE)," ")</f>
        <v xml:space="preserve"> </v>
      </c>
      <c r="P122" s="53" t="str">
        <f>IFERROR(VLOOKUP($A122,'The List'!$B1:$AS727,23,FALSE)," ")</f>
        <v xml:space="preserve"> </v>
      </c>
      <c r="Q122" s="53" t="str">
        <f>IFERROR(VLOOKUP($A122,'The List'!$B1:$AS727,24,FALSE)," ")</f>
        <v xml:space="preserve"> </v>
      </c>
      <c r="R122" s="53" t="str">
        <f>IFERROR(VLOOKUP($A122,'The List'!$B1:$AS727,25,FALSE)," ")</f>
        <v xml:space="preserve"> </v>
      </c>
      <c r="S122" s="53" t="str">
        <f>IFERROR(VLOOKUP($A122,'The List'!$B1:$AS727,26,FALSE)," ")</f>
        <v xml:space="preserve"> </v>
      </c>
      <c r="T122" s="53" t="str">
        <f>IFERROR(VLOOKUP($A122,'The List'!$B1:$AS727,27,FALSE)," ")</f>
        <v xml:space="preserve"> </v>
      </c>
      <c r="U122" s="53" t="str">
        <f>IFERROR(VLOOKUP($A122,'The List'!$B1:$AS727,28,FALSE)," ")</f>
        <v xml:space="preserve"> </v>
      </c>
      <c r="V122" s="53" t="str">
        <f>IFERROR(VLOOKUP($A122,'The List'!$B1:$AS727,29,FALSE)," ")</f>
        <v xml:space="preserve"> </v>
      </c>
      <c r="W122" s="53" t="str">
        <f>IFERROR(VLOOKUP($A122,'The List'!$B1:$AS727,30,FALSE)," ")</f>
        <v xml:space="preserve"> </v>
      </c>
      <c r="X122" s="53" t="str">
        <f>IFERROR(VLOOKUP($A122,'The List'!$B1:$AS727,31,FALSE)," ")</f>
        <v xml:space="preserve"> </v>
      </c>
      <c r="Y122" s="53" t="str">
        <f>IFERROR(VLOOKUP($A122,'The List'!$B1:$AS727,32,FALSE)," ")</f>
        <v xml:space="preserve"> </v>
      </c>
      <c r="Z122" s="53" t="str">
        <f>IFERROR(VLOOKUP($A122,'The List'!$B1:$AS727,33,FALSE)," ")</f>
        <v xml:space="preserve"> </v>
      </c>
      <c r="AA122" s="55"/>
      <c r="AB122" s="60"/>
      <c r="AC122" s="60"/>
      <c r="AD122" s="60"/>
      <c r="AE122" s="60"/>
      <c r="AF122" s="60"/>
    </row>
    <row r="123" spans="1:32" ht="21.25" customHeight="1" x14ac:dyDescent="0.15">
      <c r="A123" s="23"/>
      <c r="B123" s="62" t="str">
        <f>IFERROR(VLOOKUP($A123,'The List'!$B1:$AS727,3,FALSE)," ")</f>
        <v xml:space="preserve"> </v>
      </c>
      <c r="C123" s="64" t="str">
        <f>IFERROR(VLOOKUP($A123,'The List'!$B1:$AS727,4,FALSE)," ")</f>
        <v xml:space="preserve"> </v>
      </c>
      <c r="D123" s="35" t="str">
        <f>IFERROR(VLOOKUP($A123,'The List'!$B1:$AS727,5,FALSE)," ")</f>
        <v xml:space="preserve"> </v>
      </c>
      <c r="E123" s="35" t="str">
        <f>IFERROR(VLOOKUP($A123,'The List'!$B1:$AS727,6,FALSE)," ")</f>
        <v xml:space="preserve"> </v>
      </c>
      <c r="F123" s="52" t="str">
        <f>IFERROR(VLOOKUP($A123,'The List'!$B1:$AS727,8,FALSE)," ")</f>
        <v xml:space="preserve"> </v>
      </c>
      <c r="G123" s="52" t="str">
        <f>IFERROR(VLOOKUP($A123,'The List'!$B1:$AS727,10,FALSE)," ")</f>
        <v xml:space="preserve"> </v>
      </c>
      <c r="H123" s="39"/>
      <c r="I123" s="53" t="str">
        <f>IFERROR(VLOOKUP($A123,'The List'!$B1:$AS727,16,FALSE)," ")</f>
        <v xml:space="preserve"> </v>
      </c>
      <c r="J123" s="53" t="str">
        <f>IFERROR(VLOOKUP($A123,'The List'!$B1:$AS727,17,FALSE)," ")</f>
        <v xml:space="preserve"> </v>
      </c>
      <c r="K123" s="53" t="str">
        <f>IFERROR(VLOOKUP($A123,'The List'!$B1:$AS727,18,FALSE)," ")</f>
        <v xml:space="preserve"> </v>
      </c>
      <c r="L123" s="53" t="str">
        <f>IFERROR(VLOOKUP($A123,'The List'!$B1:$AS727,19,FALSE)," ")</f>
        <v xml:space="preserve"> </v>
      </c>
      <c r="M123" s="53" t="str">
        <f>IFERROR(VLOOKUP($A123,'The List'!$B1:$AS727,20,FALSE)," ")</f>
        <v xml:space="preserve"> </v>
      </c>
      <c r="N123" s="53" t="str">
        <f>IFERROR(VLOOKUP($A123,'The List'!$B1:$AS727,21,FALSE)," ")</f>
        <v xml:space="preserve"> </v>
      </c>
      <c r="O123" s="53" t="str">
        <f>IFERROR(VLOOKUP($A123,'The List'!$B1:$AS727,22,FALSE)," ")</f>
        <v xml:space="preserve"> </v>
      </c>
      <c r="P123" s="53" t="str">
        <f>IFERROR(VLOOKUP($A123,'The List'!$B1:$AS727,23,FALSE)," ")</f>
        <v xml:space="preserve"> </v>
      </c>
      <c r="Q123" s="53" t="str">
        <f>IFERROR(VLOOKUP($A123,'The List'!$B1:$AS727,24,FALSE)," ")</f>
        <v xml:space="preserve"> </v>
      </c>
      <c r="R123" s="53" t="str">
        <f>IFERROR(VLOOKUP($A123,'The List'!$B1:$AS727,25,FALSE)," ")</f>
        <v xml:space="preserve"> </v>
      </c>
      <c r="S123" s="53" t="str">
        <f>IFERROR(VLOOKUP($A123,'The List'!$B1:$AS727,26,FALSE)," ")</f>
        <v xml:space="preserve"> </v>
      </c>
      <c r="T123" s="53" t="str">
        <f>IFERROR(VLOOKUP($A123,'The List'!$B1:$AS727,27,FALSE)," ")</f>
        <v xml:space="preserve"> </v>
      </c>
      <c r="U123" s="53" t="str">
        <f>IFERROR(VLOOKUP($A123,'The List'!$B1:$AS727,28,FALSE)," ")</f>
        <v xml:space="preserve"> </v>
      </c>
      <c r="V123" s="53" t="str">
        <f>IFERROR(VLOOKUP($A123,'The List'!$B1:$AS727,29,FALSE)," ")</f>
        <v xml:space="preserve"> </v>
      </c>
      <c r="W123" s="53" t="str">
        <f>IFERROR(VLOOKUP($A123,'The List'!$B1:$AS727,30,FALSE)," ")</f>
        <v xml:space="preserve"> </v>
      </c>
      <c r="X123" s="53" t="str">
        <f>IFERROR(VLOOKUP($A123,'The List'!$B1:$AS727,31,FALSE)," ")</f>
        <v xml:space="preserve"> </v>
      </c>
      <c r="Y123" s="53" t="str">
        <f>IFERROR(VLOOKUP($A123,'The List'!$B1:$AS727,32,FALSE)," ")</f>
        <v xml:space="preserve"> </v>
      </c>
      <c r="Z123" s="53" t="str">
        <f>IFERROR(VLOOKUP($A123,'The List'!$B1:$AS727,33,FALSE)," ")</f>
        <v xml:space="preserve"> </v>
      </c>
      <c r="AA123" s="55"/>
      <c r="AB123" s="60"/>
      <c r="AC123" s="60"/>
      <c r="AD123" s="60"/>
      <c r="AE123" s="60"/>
      <c r="AF123" s="60"/>
    </row>
    <row r="124" spans="1:32" ht="21.25" customHeight="1" x14ac:dyDescent="0.15">
      <c r="A124" s="23"/>
      <c r="B124" s="62" t="str">
        <f>IFERROR(VLOOKUP($A124,'The List'!$B1:$AS727,3,FALSE)," ")</f>
        <v xml:space="preserve"> </v>
      </c>
      <c r="C124" s="64" t="str">
        <f>IFERROR(VLOOKUP($A124,'The List'!$B1:$AS727,4,FALSE)," ")</f>
        <v xml:space="preserve"> </v>
      </c>
      <c r="D124" s="35" t="str">
        <f>IFERROR(VLOOKUP($A124,'The List'!$B1:$AS727,5,FALSE)," ")</f>
        <v xml:space="preserve"> </v>
      </c>
      <c r="E124" s="35" t="str">
        <f>IFERROR(VLOOKUP($A124,'The List'!$B1:$AS727,6,FALSE)," ")</f>
        <v xml:space="preserve"> </v>
      </c>
      <c r="F124" s="52" t="str">
        <f>IFERROR(VLOOKUP($A124,'The List'!$B1:$AS727,8,FALSE)," ")</f>
        <v xml:space="preserve"> </v>
      </c>
      <c r="G124" s="52" t="str">
        <f>IFERROR(VLOOKUP($A124,'The List'!$B1:$AS727,10,FALSE)," ")</f>
        <v xml:space="preserve"> </v>
      </c>
      <c r="H124" s="39"/>
      <c r="I124" s="53" t="str">
        <f>IFERROR(VLOOKUP($A124,'The List'!$B1:$AS727,16,FALSE)," ")</f>
        <v xml:space="preserve"> </v>
      </c>
      <c r="J124" s="53" t="str">
        <f>IFERROR(VLOOKUP($A124,'The List'!$B1:$AS727,17,FALSE)," ")</f>
        <v xml:space="preserve"> </v>
      </c>
      <c r="K124" s="53" t="str">
        <f>IFERROR(VLOOKUP($A124,'The List'!$B1:$AS727,18,FALSE)," ")</f>
        <v xml:space="preserve"> </v>
      </c>
      <c r="L124" s="53" t="str">
        <f>IFERROR(VLOOKUP($A124,'The List'!$B1:$AS727,19,FALSE)," ")</f>
        <v xml:space="preserve"> </v>
      </c>
      <c r="M124" s="53" t="str">
        <f>IFERROR(VLOOKUP($A124,'The List'!$B1:$AS727,20,FALSE)," ")</f>
        <v xml:space="preserve"> </v>
      </c>
      <c r="N124" s="53" t="str">
        <f>IFERROR(VLOOKUP($A124,'The List'!$B1:$AS727,21,FALSE)," ")</f>
        <v xml:space="preserve"> </v>
      </c>
      <c r="O124" s="53" t="str">
        <f>IFERROR(VLOOKUP($A124,'The List'!$B1:$AS727,22,FALSE)," ")</f>
        <v xml:space="preserve"> </v>
      </c>
      <c r="P124" s="53" t="str">
        <f>IFERROR(VLOOKUP($A124,'The List'!$B1:$AS727,23,FALSE)," ")</f>
        <v xml:space="preserve"> </v>
      </c>
      <c r="Q124" s="53" t="str">
        <f>IFERROR(VLOOKUP($A124,'The List'!$B1:$AS727,24,FALSE)," ")</f>
        <v xml:space="preserve"> </v>
      </c>
      <c r="R124" s="53" t="str">
        <f>IFERROR(VLOOKUP($A124,'The List'!$B1:$AS727,25,FALSE)," ")</f>
        <v xml:space="preserve"> </v>
      </c>
      <c r="S124" s="53" t="str">
        <f>IFERROR(VLOOKUP($A124,'The List'!$B1:$AS727,26,FALSE)," ")</f>
        <v xml:space="preserve"> </v>
      </c>
      <c r="T124" s="53" t="str">
        <f>IFERROR(VLOOKUP($A124,'The List'!$B1:$AS727,27,FALSE)," ")</f>
        <v xml:space="preserve"> </v>
      </c>
      <c r="U124" s="53" t="str">
        <f>IFERROR(VLOOKUP($A124,'The List'!$B1:$AS727,28,FALSE)," ")</f>
        <v xml:space="preserve"> </v>
      </c>
      <c r="V124" s="53" t="str">
        <f>IFERROR(VLOOKUP($A124,'The List'!$B1:$AS727,29,FALSE)," ")</f>
        <v xml:space="preserve"> </v>
      </c>
      <c r="W124" s="53" t="str">
        <f>IFERROR(VLOOKUP($A124,'The List'!$B1:$AS727,30,FALSE)," ")</f>
        <v xml:space="preserve"> </v>
      </c>
      <c r="X124" s="53" t="str">
        <f>IFERROR(VLOOKUP($A124,'The List'!$B1:$AS727,31,FALSE)," ")</f>
        <v xml:space="preserve"> </v>
      </c>
      <c r="Y124" s="53" t="str">
        <f>IFERROR(VLOOKUP($A124,'The List'!$B1:$AS727,32,FALSE)," ")</f>
        <v xml:space="preserve"> </v>
      </c>
      <c r="Z124" s="53" t="str">
        <f>IFERROR(VLOOKUP($A124,'The List'!$B1:$AS727,33,FALSE)," ")</f>
        <v xml:space="preserve"> </v>
      </c>
      <c r="AA124" s="55"/>
      <c r="AB124" s="60"/>
      <c r="AC124" s="60"/>
      <c r="AD124" s="60"/>
      <c r="AE124" s="60"/>
      <c r="AF124" s="60"/>
    </row>
    <row r="125" spans="1:32" ht="21.25" customHeight="1" x14ac:dyDescent="0.15">
      <c r="A125" s="23"/>
      <c r="B125" s="62" t="str">
        <f>IFERROR(VLOOKUP($A125,'The List'!$B1:$AS727,3,FALSE)," ")</f>
        <v xml:space="preserve"> </v>
      </c>
      <c r="C125" s="64" t="str">
        <f>IFERROR(VLOOKUP($A125,'The List'!$B1:$AS727,4,FALSE)," ")</f>
        <v xml:space="preserve"> </v>
      </c>
      <c r="D125" s="35" t="str">
        <f>IFERROR(VLOOKUP($A125,'The List'!$B1:$AS727,5,FALSE)," ")</f>
        <v xml:space="preserve"> </v>
      </c>
      <c r="E125" s="35" t="str">
        <f>IFERROR(VLOOKUP($A125,'The List'!$B1:$AS727,6,FALSE)," ")</f>
        <v xml:space="preserve"> </v>
      </c>
      <c r="F125" s="52" t="str">
        <f>IFERROR(VLOOKUP($A125,'The List'!$B1:$AS727,8,FALSE)," ")</f>
        <v xml:space="preserve"> </v>
      </c>
      <c r="G125" s="52" t="str">
        <f>IFERROR(VLOOKUP($A125,'The List'!$B1:$AS727,10,FALSE)," ")</f>
        <v xml:space="preserve"> </v>
      </c>
      <c r="H125" s="39"/>
      <c r="I125" s="53" t="str">
        <f>IFERROR(VLOOKUP($A125,'The List'!$B1:$AS727,16,FALSE)," ")</f>
        <v xml:space="preserve"> </v>
      </c>
      <c r="J125" s="53" t="str">
        <f>IFERROR(VLOOKUP($A125,'The List'!$B1:$AS727,17,FALSE)," ")</f>
        <v xml:space="preserve"> </v>
      </c>
      <c r="K125" s="53" t="str">
        <f>IFERROR(VLOOKUP($A125,'The List'!$B1:$AS727,18,FALSE)," ")</f>
        <v xml:space="preserve"> </v>
      </c>
      <c r="L125" s="53" t="str">
        <f>IFERROR(VLOOKUP($A125,'The List'!$B1:$AS727,19,FALSE)," ")</f>
        <v xml:space="preserve"> </v>
      </c>
      <c r="M125" s="53" t="str">
        <f>IFERROR(VLOOKUP($A125,'The List'!$B1:$AS727,20,FALSE)," ")</f>
        <v xml:space="preserve"> </v>
      </c>
      <c r="N125" s="53" t="str">
        <f>IFERROR(VLOOKUP($A125,'The List'!$B1:$AS727,21,FALSE)," ")</f>
        <v xml:space="preserve"> </v>
      </c>
      <c r="O125" s="53" t="str">
        <f>IFERROR(VLOOKUP($A125,'The List'!$B1:$AS727,22,FALSE)," ")</f>
        <v xml:space="preserve"> </v>
      </c>
      <c r="P125" s="53" t="str">
        <f>IFERROR(VLOOKUP($A125,'The List'!$B1:$AS727,23,FALSE)," ")</f>
        <v xml:space="preserve"> </v>
      </c>
      <c r="Q125" s="53" t="str">
        <f>IFERROR(VLOOKUP($A125,'The List'!$B1:$AS727,24,FALSE)," ")</f>
        <v xml:space="preserve"> </v>
      </c>
      <c r="R125" s="53" t="str">
        <f>IFERROR(VLOOKUP($A125,'The List'!$B1:$AS727,25,FALSE)," ")</f>
        <v xml:space="preserve"> </v>
      </c>
      <c r="S125" s="53" t="str">
        <f>IFERROR(VLOOKUP($A125,'The List'!$B1:$AS727,26,FALSE)," ")</f>
        <v xml:space="preserve"> </v>
      </c>
      <c r="T125" s="53" t="str">
        <f>IFERROR(VLOOKUP($A125,'The List'!$B1:$AS727,27,FALSE)," ")</f>
        <v xml:space="preserve"> </v>
      </c>
      <c r="U125" s="53" t="str">
        <f>IFERROR(VLOOKUP($A125,'The List'!$B1:$AS727,28,FALSE)," ")</f>
        <v xml:space="preserve"> </v>
      </c>
      <c r="V125" s="53" t="str">
        <f>IFERROR(VLOOKUP($A125,'The List'!$B1:$AS727,29,FALSE)," ")</f>
        <v xml:space="preserve"> </v>
      </c>
      <c r="W125" s="53" t="str">
        <f>IFERROR(VLOOKUP($A125,'The List'!$B1:$AS727,30,FALSE)," ")</f>
        <v xml:space="preserve"> </v>
      </c>
      <c r="X125" s="53" t="str">
        <f>IFERROR(VLOOKUP($A125,'The List'!$B1:$AS727,31,FALSE)," ")</f>
        <v xml:space="preserve"> </v>
      </c>
      <c r="Y125" s="53" t="str">
        <f>IFERROR(VLOOKUP($A125,'The List'!$B1:$AS727,32,FALSE)," ")</f>
        <v xml:space="preserve"> </v>
      </c>
      <c r="Z125" s="53" t="str">
        <f>IFERROR(VLOOKUP($A125,'The List'!$B1:$AS727,33,FALSE)," ")</f>
        <v xml:space="preserve"> </v>
      </c>
      <c r="AA125" s="55"/>
      <c r="AB125" s="60"/>
      <c r="AC125" s="60"/>
      <c r="AD125" s="60"/>
      <c r="AE125" s="60"/>
      <c r="AF125" s="60"/>
    </row>
    <row r="126" spans="1:32" ht="21.25" customHeight="1" x14ac:dyDescent="0.15">
      <c r="A126" s="23"/>
      <c r="B126" s="65" t="str">
        <f>IFERROR(VLOOKUP($A126,'The List'!$B1:$AS727,3,FALSE)," ")</f>
        <v xml:space="preserve"> </v>
      </c>
      <c r="C126" s="67" t="str">
        <f>IFERROR(VLOOKUP($A126,'The List'!$B1:$AS727,4,FALSE)," ")</f>
        <v xml:space="preserve"> </v>
      </c>
      <c r="D126" s="35" t="str">
        <f>IFERROR(VLOOKUP($A126,'The List'!$B1:$AS727,5,FALSE)," ")</f>
        <v xml:space="preserve"> </v>
      </c>
      <c r="E126" s="35" t="str">
        <f>IFERROR(VLOOKUP($A126,'The List'!$B1:$AS727,6,FALSE)," ")</f>
        <v xml:space="preserve"> </v>
      </c>
      <c r="F126" s="52" t="str">
        <f>IFERROR(VLOOKUP($A126,'The List'!$B1:$AS727,8,FALSE)," ")</f>
        <v xml:space="preserve"> </v>
      </c>
      <c r="G126" s="52" t="str">
        <f>IFERROR(VLOOKUP($A126,'The List'!$B1:$AS727,10,FALSE)," ")</f>
        <v xml:space="preserve"> </v>
      </c>
      <c r="H126" s="39"/>
      <c r="I126" s="53" t="str">
        <f>IFERROR(VLOOKUP($A126,'The List'!$B1:$AS727,16,FALSE)," ")</f>
        <v xml:space="preserve"> </v>
      </c>
      <c r="J126" s="53" t="str">
        <f>IFERROR(VLOOKUP($A126,'The List'!$B1:$AS727,17,FALSE)," ")</f>
        <v xml:space="preserve"> </v>
      </c>
      <c r="K126" s="53" t="str">
        <f>IFERROR(VLOOKUP($A126,'The List'!$B1:$AS727,18,FALSE)," ")</f>
        <v xml:space="preserve"> </v>
      </c>
      <c r="L126" s="53" t="str">
        <f>IFERROR(VLOOKUP($A126,'The List'!$B1:$AS727,19,FALSE)," ")</f>
        <v xml:space="preserve"> </v>
      </c>
      <c r="M126" s="53" t="str">
        <f>IFERROR(VLOOKUP($A126,'The List'!$B1:$AS727,20,FALSE)," ")</f>
        <v xml:space="preserve"> </v>
      </c>
      <c r="N126" s="53" t="str">
        <f>IFERROR(VLOOKUP($A126,'The List'!$B1:$AS727,21,FALSE)," ")</f>
        <v xml:space="preserve"> </v>
      </c>
      <c r="O126" s="53" t="str">
        <f>IFERROR(VLOOKUP($A126,'The List'!$B1:$AS727,22,FALSE)," ")</f>
        <v xml:space="preserve"> </v>
      </c>
      <c r="P126" s="53" t="str">
        <f>IFERROR(VLOOKUP($A126,'The List'!$B1:$AS727,23,FALSE)," ")</f>
        <v xml:space="preserve"> </v>
      </c>
      <c r="Q126" s="53" t="str">
        <f>IFERROR(VLOOKUP($A126,'The List'!$B1:$AS727,24,FALSE)," ")</f>
        <v xml:space="preserve"> </v>
      </c>
      <c r="R126" s="53" t="str">
        <f>IFERROR(VLOOKUP($A126,'The List'!$B1:$AS727,25,FALSE)," ")</f>
        <v xml:space="preserve"> </v>
      </c>
      <c r="S126" s="53" t="str">
        <f>IFERROR(VLOOKUP($A126,'The List'!$B1:$AS727,26,FALSE)," ")</f>
        <v xml:space="preserve"> </v>
      </c>
      <c r="T126" s="53" t="str">
        <f>IFERROR(VLOOKUP($A126,'The List'!$B1:$AS727,27,FALSE)," ")</f>
        <v xml:space="preserve"> </v>
      </c>
      <c r="U126" s="53" t="str">
        <f>IFERROR(VLOOKUP($A126,'The List'!$B1:$AS727,28,FALSE)," ")</f>
        <v xml:space="preserve"> </v>
      </c>
      <c r="V126" s="53" t="str">
        <f>IFERROR(VLOOKUP($A126,'The List'!$B1:$AS727,29,FALSE)," ")</f>
        <v xml:space="preserve"> </v>
      </c>
      <c r="W126" s="53" t="str">
        <f>IFERROR(VLOOKUP($A126,'The List'!$B1:$AS727,30,FALSE)," ")</f>
        <v xml:space="preserve"> </v>
      </c>
      <c r="X126" s="53" t="str">
        <f>IFERROR(VLOOKUP($A126,'The List'!$B1:$AS727,31,FALSE)," ")</f>
        <v xml:space="preserve"> </v>
      </c>
      <c r="Y126" s="53" t="str">
        <f>IFERROR(VLOOKUP($A126,'The List'!$B1:$AS727,32,FALSE)," ")</f>
        <v xml:space="preserve"> </v>
      </c>
      <c r="Z126" s="53" t="str">
        <f>IFERROR(VLOOKUP($A126,'The List'!$B1:$AS727,33,FALSE)," ")</f>
        <v xml:space="preserve"> </v>
      </c>
      <c r="AA126" s="55"/>
      <c r="AB126" s="60"/>
      <c r="AC126" s="60"/>
      <c r="AD126" s="60"/>
      <c r="AE126" s="60"/>
      <c r="AF126" s="60"/>
    </row>
    <row r="127" spans="1:32" ht="21.25" customHeight="1" x14ac:dyDescent="0.15">
      <c r="A127" s="23"/>
      <c r="B127" s="65" t="str">
        <f>IFERROR(VLOOKUP($A127,'The List'!$B1:$AS727,3,FALSE)," ")</f>
        <v xml:space="preserve"> </v>
      </c>
      <c r="C127" s="67" t="str">
        <f>IFERROR(VLOOKUP($A127,'The List'!$B1:$AS727,4,FALSE)," ")</f>
        <v xml:space="preserve"> </v>
      </c>
      <c r="D127" s="35" t="str">
        <f>IFERROR(VLOOKUP($A127,'The List'!$B1:$AS727,5,FALSE)," ")</f>
        <v xml:space="preserve"> </v>
      </c>
      <c r="E127" s="35" t="str">
        <f>IFERROR(VLOOKUP($A127,'The List'!$B1:$AS727,6,FALSE)," ")</f>
        <v xml:space="preserve"> </v>
      </c>
      <c r="F127" s="52" t="str">
        <f>IFERROR(VLOOKUP($A127,'The List'!$B1:$AS727,8,FALSE)," ")</f>
        <v xml:space="preserve"> </v>
      </c>
      <c r="G127" s="52" t="str">
        <f>IFERROR(VLOOKUP($A127,'The List'!$B1:$AS727,10,FALSE)," ")</f>
        <v xml:space="preserve"> </v>
      </c>
      <c r="H127" s="39"/>
      <c r="I127" s="53" t="str">
        <f>IFERROR(VLOOKUP($A127,'The List'!$B1:$AS727,16,FALSE)," ")</f>
        <v xml:space="preserve"> </v>
      </c>
      <c r="J127" s="53" t="str">
        <f>IFERROR(VLOOKUP($A127,'The List'!$B1:$AS727,17,FALSE)," ")</f>
        <v xml:space="preserve"> </v>
      </c>
      <c r="K127" s="53" t="str">
        <f>IFERROR(VLOOKUP($A127,'The List'!$B1:$AS727,18,FALSE)," ")</f>
        <v xml:space="preserve"> </v>
      </c>
      <c r="L127" s="53" t="str">
        <f>IFERROR(VLOOKUP($A127,'The List'!$B1:$AS727,19,FALSE)," ")</f>
        <v xml:space="preserve"> </v>
      </c>
      <c r="M127" s="53" t="str">
        <f>IFERROR(VLOOKUP($A127,'The List'!$B1:$AS727,20,FALSE)," ")</f>
        <v xml:space="preserve"> </v>
      </c>
      <c r="N127" s="53" t="str">
        <f>IFERROR(VLOOKUP($A127,'The List'!$B1:$AS727,21,FALSE)," ")</f>
        <v xml:space="preserve"> </v>
      </c>
      <c r="O127" s="53" t="str">
        <f>IFERROR(VLOOKUP($A127,'The List'!$B1:$AS727,22,FALSE)," ")</f>
        <v xml:space="preserve"> </v>
      </c>
      <c r="P127" s="53" t="str">
        <f>IFERROR(VLOOKUP($A127,'The List'!$B1:$AS727,23,FALSE)," ")</f>
        <v xml:space="preserve"> </v>
      </c>
      <c r="Q127" s="53" t="str">
        <f>IFERROR(VLOOKUP($A127,'The List'!$B1:$AS727,24,FALSE)," ")</f>
        <v xml:space="preserve"> </v>
      </c>
      <c r="R127" s="53" t="str">
        <f>IFERROR(VLOOKUP($A127,'The List'!$B1:$AS727,25,FALSE)," ")</f>
        <v xml:space="preserve"> </v>
      </c>
      <c r="S127" s="53" t="str">
        <f>IFERROR(VLOOKUP($A127,'The List'!$B1:$AS727,26,FALSE)," ")</f>
        <v xml:space="preserve"> </v>
      </c>
      <c r="T127" s="53" t="str">
        <f>IFERROR(VLOOKUP($A127,'The List'!$B1:$AS727,27,FALSE)," ")</f>
        <v xml:space="preserve"> </v>
      </c>
      <c r="U127" s="53" t="str">
        <f>IFERROR(VLOOKUP($A127,'The List'!$B1:$AS727,28,FALSE)," ")</f>
        <v xml:space="preserve"> </v>
      </c>
      <c r="V127" s="53" t="str">
        <f>IFERROR(VLOOKUP($A127,'The List'!$B1:$AS727,29,FALSE)," ")</f>
        <v xml:space="preserve"> </v>
      </c>
      <c r="W127" s="53" t="str">
        <f>IFERROR(VLOOKUP($A127,'The List'!$B1:$AS727,30,FALSE)," ")</f>
        <v xml:space="preserve"> </v>
      </c>
      <c r="X127" s="53" t="str">
        <f>IFERROR(VLOOKUP($A127,'The List'!$B1:$AS727,31,FALSE)," ")</f>
        <v xml:space="preserve"> </v>
      </c>
      <c r="Y127" s="53" t="str">
        <f>IFERROR(VLOOKUP($A127,'The List'!$B1:$AS727,32,FALSE)," ")</f>
        <v xml:space="preserve"> </v>
      </c>
      <c r="Z127" s="53" t="str">
        <f>IFERROR(VLOOKUP($A127,'The List'!$B1:$AS727,33,FALSE)," ")</f>
        <v xml:space="preserve"> </v>
      </c>
      <c r="AA127" s="55"/>
      <c r="AB127" s="60"/>
      <c r="AC127" s="60"/>
      <c r="AD127" s="60"/>
      <c r="AE127" s="60"/>
      <c r="AF127" s="60"/>
    </row>
    <row r="128" spans="1:32" ht="21.25" customHeight="1" x14ac:dyDescent="0.15">
      <c r="A128" s="23"/>
      <c r="B128" s="65" t="str">
        <f>IFERROR(VLOOKUP($A128,'The List'!$B1:$AS727,3,FALSE)," ")</f>
        <v xml:space="preserve"> </v>
      </c>
      <c r="C128" s="67" t="str">
        <f>IFERROR(VLOOKUP($A128,'The List'!$B1:$AS727,4,FALSE)," ")</f>
        <v xml:space="preserve"> </v>
      </c>
      <c r="D128" s="35" t="str">
        <f>IFERROR(VLOOKUP($A128,'The List'!$B1:$AS727,5,FALSE)," ")</f>
        <v xml:space="preserve"> </v>
      </c>
      <c r="E128" s="35" t="str">
        <f>IFERROR(VLOOKUP($A128,'The List'!$B1:$AS727,6,FALSE)," ")</f>
        <v xml:space="preserve"> </v>
      </c>
      <c r="F128" s="52" t="str">
        <f>IFERROR(VLOOKUP($A128,'The List'!$B1:$AS727,8,FALSE)," ")</f>
        <v xml:space="preserve"> </v>
      </c>
      <c r="G128" s="52" t="str">
        <f>IFERROR(VLOOKUP($A128,'The List'!$B1:$AS727,10,FALSE)," ")</f>
        <v xml:space="preserve"> </v>
      </c>
      <c r="H128" s="39"/>
      <c r="I128" s="53" t="str">
        <f>IFERROR(VLOOKUP($A128,'The List'!$B1:$AS727,16,FALSE)," ")</f>
        <v xml:space="preserve"> </v>
      </c>
      <c r="J128" s="53" t="str">
        <f>IFERROR(VLOOKUP($A128,'The List'!$B1:$AS727,17,FALSE)," ")</f>
        <v xml:space="preserve"> </v>
      </c>
      <c r="K128" s="53" t="str">
        <f>IFERROR(VLOOKUP($A128,'The List'!$B1:$AS727,18,FALSE)," ")</f>
        <v xml:space="preserve"> </v>
      </c>
      <c r="L128" s="53" t="str">
        <f>IFERROR(VLOOKUP($A128,'The List'!$B1:$AS727,19,FALSE)," ")</f>
        <v xml:space="preserve"> </v>
      </c>
      <c r="M128" s="53" t="str">
        <f>IFERROR(VLOOKUP($A128,'The List'!$B1:$AS727,20,FALSE)," ")</f>
        <v xml:space="preserve"> </v>
      </c>
      <c r="N128" s="53" t="str">
        <f>IFERROR(VLOOKUP($A128,'The List'!$B1:$AS727,21,FALSE)," ")</f>
        <v xml:space="preserve"> </v>
      </c>
      <c r="O128" s="53" t="str">
        <f>IFERROR(VLOOKUP($A128,'The List'!$B1:$AS727,22,FALSE)," ")</f>
        <v xml:space="preserve"> </v>
      </c>
      <c r="P128" s="53" t="str">
        <f>IFERROR(VLOOKUP($A128,'The List'!$B1:$AS727,23,FALSE)," ")</f>
        <v xml:space="preserve"> </v>
      </c>
      <c r="Q128" s="53" t="str">
        <f>IFERROR(VLOOKUP($A128,'The List'!$B1:$AS727,24,FALSE)," ")</f>
        <v xml:space="preserve"> </v>
      </c>
      <c r="R128" s="53" t="str">
        <f>IFERROR(VLOOKUP($A128,'The List'!$B1:$AS727,25,FALSE)," ")</f>
        <v xml:space="preserve"> </v>
      </c>
      <c r="S128" s="53" t="str">
        <f>IFERROR(VLOOKUP($A128,'The List'!$B1:$AS727,26,FALSE)," ")</f>
        <v xml:space="preserve"> </v>
      </c>
      <c r="T128" s="53" t="str">
        <f>IFERROR(VLOOKUP($A128,'The List'!$B1:$AS727,27,FALSE)," ")</f>
        <v xml:space="preserve"> </v>
      </c>
      <c r="U128" s="53" t="str">
        <f>IFERROR(VLOOKUP($A128,'The List'!$B1:$AS727,28,FALSE)," ")</f>
        <v xml:space="preserve"> </v>
      </c>
      <c r="V128" s="53" t="str">
        <f>IFERROR(VLOOKUP($A128,'The List'!$B1:$AS727,29,FALSE)," ")</f>
        <v xml:space="preserve"> </v>
      </c>
      <c r="W128" s="53" t="str">
        <f>IFERROR(VLOOKUP($A128,'The List'!$B1:$AS727,30,FALSE)," ")</f>
        <v xml:space="preserve"> </v>
      </c>
      <c r="X128" s="53" t="str">
        <f>IFERROR(VLOOKUP($A128,'The List'!$B1:$AS727,31,FALSE)," ")</f>
        <v xml:space="preserve"> </v>
      </c>
      <c r="Y128" s="53" t="str">
        <f>IFERROR(VLOOKUP($A128,'The List'!$B1:$AS727,32,FALSE)," ")</f>
        <v xml:space="preserve"> </v>
      </c>
      <c r="Z128" s="53" t="str">
        <f>IFERROR(VLOOKUP($A128,'The List'!$B1:$AS727,33,FALSE)," ")</f>
        <v xml:space="preserve"> </v>
      </c>
      <c r="AA128" s="55"/>
      <c r="AB128" s="60"/>
      <c r="AC128" s="60"/>
      <c r="AD128" s="60"/>
      <c r="AE128" s="60"/>
      <c r="AF128" s="60"/>
    </row>
    <row r="129" spans="1:32" ht="21.25" customHeight="1" x14ac:dyDescent="0.15">
      <c r="A129" s="23"/>
      <c r="B129" s="65" t="str">
        <f>IFERROR(VLOOKUP($A129,'The List'!$B1:$AS727,3,FALSE)," ")</f>
        <v xml:space="preserve"> </v>
      </c>
      <c r="C129" s="67" t="str">
        <f>IFERROR(VLOOKUP($A129,'The List'!$B1:$AS727,4,FALSE)," ")</f>
        <v xml:space="preserve"> </v>
      </c>
      <c r="D129" s="35" t="str">
        <f>IFERROR(VLOOKUP($A129,'The List'!$B1:$AS727,5,FALSE)," ")</f>
        <v xml:space="preserve"> </v>
      </c>
      <c r="E129" s="35" t="str">
        <f>IFERROR(VLOOKUP($A129,'The List'!$B1:$AS727,6,FALSE)," ")</f>
        <v xml:space="preserve"> </v>
      </c>
      <c r="F129" s="52" t="str">
        <f>IFERROR(VLOOKUP($A129,'The List'!$B1:$AS727,8,FALSE)," ")</f>
        <v xml:space="preserve"> </v>
      </c>
      <c r="G129" s="52" t="str">
        <f>IFERROR(VLOOKUP($A129,'The List'!$B1:$AS727,10,FALSE)," ")</f>
        <v xml:space="preserve"> </v>
      </c>
      <c r="H129" s="39"/>
      <c r="I129" s="53" t="str">
        <f>IFERROR(VLOOKUP($A129,'The List'!$B1:$AS727,16,FALSE)," ")</f>
        <v xml:space="preserve"> </v>
      </c>
      <c r="J129" s="53" t="str">
        <f>IFERROR(VLOOKUP($A129,'The List'!$B1:$AS727,17,FALSE)," ")</f>
        <v xml:space="preserve"> </v>
      </c>
      <c r="K129" s="53" t="str">
        <f>IFERROR(VLOOKUP($A129,'The List'!$B1:$AS727,18,FALSE)," ")</f>
        <v xml:space="preserve"> </v>
      </c>
      <c r="L129" s="53" t="str">
        <f>IFERROR(VLOOKUP($A129,'The List'!$B1:$AS727,19,FALSE)," ")</f>
        <v xml:space="preserve"> </v>
      </c>
      <c r="M129" s="53" t="str">
        <f>IFERROR(VLOOKUP($A129,'The List'!$B1:$AS727,20,FALSE)," ")</f>
        <v xml:space="preserve"> </v>
      </c>
      <c r="N129" s="53" t="str">
        <f>IFERROR(VLOOKUP($A129,'The List'!$B1:$AS727,21,FALSE)," ")</f>
        <v xml:space="preserve"> </v>
      </c>
      <c r="O129" s="53" t="str">
        <f>IFERROR(VLOOKUP($A129,'The List'!$B1:$AS727,22,FALSE)," ")</f>
        <v xml:space="preserve"> </v>
      </c>
      <c r="P129" s="53" t="str">
        <f>IFERROR(VLOOKUP($A129,'The List'!$B1:$AS727,23,FALSE)," ")</f>
        <v xml:space="preserve"> </v>
      </c>
      <c r="Q129" s="53" t="str">
        <f>IFERROR(VLOOKUP($A129,'The List'!$B1:$AS727,24,FALSE)," ")</f>
        <v xml:space="preserve"> </v>
      </c>
      <c r="R129" s="53" t="str">
        <f>IFERROR(VLOOKUP($A129,'The List'!$B1:$AS727,25,FALSE)," ")</f>
        <v xml:space="preserve"> </v>
      </c>
      <c r="S129" s="53" t="str">
        <f>IFERROR(VLOOKUP($A129,'The List'!$B1:$AS727,26,FALSE)," ")</f>
        <v xml:space="preserve"> </v>
      </c>
      <c r="T129" s="53" t="str">
        <f>IFERROR(VLOOKUP($A129,'The List'!$B1:$AS727,27,FALSE)," ")</f>
        <v xml:space="preserve"> </v>
      </c>
      <c r="U129" s="53" t="str">
        <f>IFERROR(VLOOKUP($A129,'The List'!$B1:$AS727,28,FALSE)," ")</f>
        <v xml:space="preserve"> </v>
      </c>
      <c r="V129" s="53" t="str">
        <f>IFERROR(VLOOKUP($A129,'The List'!$B1:$AS727,29,FALSE)," ")</f>
        <v xml:space="preserve"> </v>
      </c>
      <c r="W129" s="53" t="str">
        <f>IFERROR(VLOOKUP($A129,'The List'!$B1:$AS727,30,FALSE)," ")</f>
        <v xml:space="preserve"> </v>
      </c>
      <c r="X129" s="53" t="str">
        <f>IFERROR(VLOOKUP($A129,'The List'!$B1:$AS727,31,FALSE)," ")</f>
        <v xml:space="preserve"> </v>
      </c>
      <c r="Y129" s="53" t="str">
        <f>IFERROR(VLOOKUP($A129,'The List'!$B1:$AS727,32,FALSE)," ")</f>
        <v xml:space="preserve"> </v>
      </c>
      <c r="Z129" s="53" t="str">
        <f>IFERROR(VLOOKUP($A129,'The List'!$B1:$AS727,33,FALSE)," ")</f>
        <v xml:space="preserve"> </v>
      </c>
      <c r="AA129" s="55"/>
      <c r="AB129" s="60"/>
      <c r="AC129" s="60"/>
      <c r="AD129" s="60"/>
      <c r="AE129" s="60"/>
      <c r="AF129" s="60"/>
    </row>
    <row r="130" spans="1:32" ht="21.25" customHeight="1" x14ac:dyDescent="0.15">
      <c r="A130" s="23"/>
      <c r="B130" s="68" t="str">
        <f>IFERROR(VLOOKUP($A130,'The List'!$B1:$AS727,3,FALSE)," ")</f>
        <v xml:space="preserve"> </v>
      </c>
      <c r="C130" s="70" t="str">
        <f>IFERROR(VLOOKUP($A130,'The List'!$B1:$AS727,4,FALSE)," ")</f>
        <v xml:space="preserve"> </v>
      </c>
      <c r="D130" s="35" t="str">
        <f>IFERROR(VLOOKUP($A130,'The List'!$B1:$AS727,5,FALSE)," ")</f>
        <v xml:space="preserve"> </v>
      </c>
      <c r="E130" s="35" t="str">
        <f>IFERROR(VLOOKUP($A130,'The List'!$B1:$AS727,6,FALSE)," ")</f>
        <v xml:space="preserve"> </v>
      </c>
      <c r="F130" s="52" t="str">
        <f>IFERROR(VLOOKUP($A130,'The List'!$B1:$AS727,8,FALSE)," ")</f>
        <v xml:space="preserve"> </v>
      </c>
      <c r="G130" s="52" t="str">
        <f>IFERROR(VLOOKUP($A130,'The List'!$B1:$AS727,10,FALSE)," ")</f>
        <v xml:space="preserve"> </v>
      </c>
      <c r="H130" s="39"/>
      <c r="I130" s="53" t="str">
        <f>IFERROR(VLOOKUP($A130,'The List'!$B1:$AS727,16,FALSE)," ")</f>
        <v xml:space="preserve"> </v>
      </c>
      <c r="J130" s="53" t="str">
        <f>IFERROR(VLOOKUP($A130,'The List'!$B1:$AS727,17,FALSE)," ")</f>
        <v xml:space="preserve"> </v>
      </c>
      <c r="K130" s="53" t="str">
        <f>IFERROR(VLOOKUP($A130,'The List'!$B1:$AS727,18,FALSE)," ")</f>
        <v xml:space="preserve"> </v>
      </c>
      <c r="L130" s="53" t="str">
        <f>IFERROR(VLOOKUP($A130,'The List'!$B1:$AS727,19,FALSE)," ")</f>
        <v xml:space="preserve"> </v>
      </c>
      <c r="M130" s="53" t="str">
        <f>IFERROR(VLOOKUP($A130,'The List'!$B1:$AS727,20,FALSE)," ")</f>
        <v xml:space="preserve"> </v>
      </c>
      <c r="N130" s="53" t="str">
        <f>IFERROR(VLOOKUP($A130,'The List'!$B1:$AS727,21,FALSE)," ")</f>
        <v xml:space="preserve"> </v>
      </c>
      <c r="O130" s="53" t="str">
        <f>IFERROR(VLOOKUP($A130,'The List'!$B1:$AS727,22,FALSE)," ")</f>
        <v xml:space="preserve"> </v>
      </c>
      <c r="P130" s="53" t="str">
        <f>IFERROR(VLOOKUP($A130,'The List'!$B1:$AS727,23,FALSE)," ")</f>
        <v xml:space="preserve"> </v>
      </c>
      <c r="Q130" s="53" t="str">
        <f>IFERROR(VLOOKUP($A130,'The List'!$B1:$AS727,24,FALSE)," ")</f>
        <v xml:space="preserve"> </v>
      </c>
      <c r="R130" s="53" t="str">
        <f>IFERROR(VLOOKUP($A130,'The List'!$B1:$AS727,25,FALSE)," ")</f>
        <v xml:space="preserve"> </v>
      </c>
      <c r="S130" s="53" t="str">
        <f>IFERROR(VLOOKUP($A130,'The List'!$B1:$AS727,26,FALSE)," ")</f>
        <v xml:space="preserve"> </v>
      </c>
      <c r="T130" s="53" t="str">
        <f>IFERROR(VLOOKUP($A130,'The List'!$B1:$AS727,27,FALSE)," ")</f>
        <v xml:space="preserve"> </v>
      </c>
      <c r="U130" s="53" t="str">
        <f>IFERROR(VLOOKUP($A130,'The List'!$B1:$AS727,28,FALSE)," ")</f>
        <v xml:space="preserve"> </v>
      </c>
      <c r="V130" s="53" t="str">
        <f>IFERROR(VLOOKUP($A130,'The List'!$B1:$AS727,29,FALSE)," ")</f>
        <v xml:space="preserve"> </v>
      </c>
      <c r="W130" s="53" t="str">
        <f>IFERROR(VLOOKUP($A130,'The List'!$B1:$AS727,30,FALSE)," ")</f>
        <v xml:space="preserve"> </v>
      </c>
      <c r="X130" s="53" t="str">
        <f>IFERROR(VLOOKUP($A130,'The List'!$B1:$AS727,31,FALSE)," ")</f>
        <v xml:space="preserve"> </v>
      </c>
      <c r="Y130" s="53" t="str">
        <f>IFERROR(VLOOKUP($A130,'The List'!$B1:$AS727,32,FALSE)," ")</f>
        <v xml:space="preserve"> </v>
      </c>
      <c r="Z130" s="53" t="str">
        <f>IFERROR(VLOOKUP($A130,'The List'!$B1:$AS727,33,FALSE)," ")</f>
        <v xml:space="preserve"> </v>
      </c>
      <c r="AA130" s="55"/>
      <c r="AB130" s="60"/>
      <c r="AC130" s="60"/>
      <c r="AD130" s="60"/>
      <c r="AE130" s="60"/>
      <c r="AF130" s="60"/>
    </row>
    <row r="131" spans="1:32" ht="21.25" customHeight="1" x14ac:dyDescent="0.15">
      <c r="A131" s="23"/>
      <c r="B131" s="68" t="str">
        <f>IFERROR(VLOOKUP($A131,'The List'!$B1:$AS727,3,FALSE)," ")</f>
        <v xml:space="preserve"> </v>
      </c>
      <c r="C131" s="70" t="str">
        <f>IFERROR(VLOOKUP($A131,'The List'!$B1:$AS727,4,FALSE)," ")</f>
        <v xml:space="preserve"> </v>
      </c>
      <c r="D131" s="35" t="str">
        <f>IFERROR(VLOOKUP($A131,'The List'!$B1:$AS727,5,FALSE)," ")</f>
        <v xml:space="preserve"> </v>
      </c>
      <c r="E131" s="35" t="str">
        <f>IFERROR(VLOOKUP($A131,'The List'!$B1:$AS727,6,FALSE)," ")</f>
        <v xml:space="preserve"> </v>
      </c>
      <c r="F131" s="52" t="str">
        <f>IFERROR(VLOOKUP($A131,'The List'!$B1:$AS727,8,FALSE)," ")</f>
        <v xml:space="preserve"> </v>
      </c>
      <c r="G131" s="52" t="str">
        <f>IFERROR(VLOOKUP($A131,'The List'!$B1:$AS727,10,FALSE)," ")</f>
        <v xml:space="preserve"> </v>
      </c>
      <c r="H131" s="39"/>
      <c r="I131" s="53" t="str">
        <f>IFERROR(VLOOKUP($A131,'The List'!$B1:$AS727,16,FALSE)," ")</f>
        <v xml:space="preserve"> </v>
      </c>
      <c r="J131" s="53" t="str">
        <f>IFERROR(VLOOKUP($A131,'The List'!$B1:$AS727,17,FALSE)," ")</f>
        <v xml:space="preserve"> </v>
      </c>
      <c r="K131" s="53" t="str">
        <f>IFERROR(VLOOKUP($A131,'The List'!$B1:$AS727,18,FALSE)," ")</f>
        <v xml:space="preserve"> </v>
      </c>
      <c r="L131" s="53" t="str">
        <f>IFERROR(VLOOKUP($A131,'The List'!$B1:$AS727,19,FALSE)," ")</f>
        <v xml:space="preserve"> </v>
      </c>
      <c r="M131" s="53" t="str">
        <f>IFERROR(VLOOKUP($A131,'The List'!$B1:$AS727,20,FALSE)," ")</f>
        <v xml:space="preserve"> </v>
      </c>
      <c r="N131" s="53" t="str">
        <f>IFERROR(VLOOKUP($A131,'The List'!$B1:$AS727,21,FALSE)," ")</f>
        <v xml:space="preserve"> </v>
      </c>
      <c r="O131" s="53" t="str">
        <f>IFERROR(VLOOKUP($A131,'The List'!$B1:$AS727,22,FALSE)," ")</f>
        <v xml:space="preserve"> </v>
      </c>
      <c r="P131" s="53" t="str">
        <f>IFERROR(VLOOKUP($A131,'The List'!$B1:$AS727,23,FALSE)," ")</f>
        <v xml:space="preserve"> </v>
      </c>
      <c r="Q131" s="53" t="str">
        <f>IFERROR(VLOOKUP($A131,'The List'!$B1:$AS727,24,FALSE)," ")</f>
        <v xml:space="preserve"> </v>
      </c>
      <c r="R131" s="53" t="str">
        <f>IFERROR(VLOOKUP($A131,'The List'!$B1:$AS727,25,FALSE)," ")</f>
        <v xml:space="preserve"> </v>
      </c>
      <c r="S131" s="53" t="str">
        <f>IFERROR(VLOOKUP($A131,'The List'!$B1:$AS727,26,FALSE)," ")</f>
        <v xml:space="preserve"> </v>
      </c>
      <c r="T131" s="53" t="str">
        <f>IFERROR(VLOOKUP($A131,'The List'!$B1:$AS727,27,FALSE)," ")</f>
        <v xml:space="preserve"> </v>
      </c>
      <c r="U131" s="53" t="str">
        <f>IFERROR(VLOOKUP($A131,'The List'!$B1:$AS727,28,FALSE)," ")</f>
        <v xml:space="preserve"> </v>
      </c>
      <c r="V131" s="53" t="str">
        <f>IFERROR(VLOOKUP($A131,'The List'!$B1:$AS727,29,FALSE)," ")</f>
        <v xml:space="preserve"> </v>
      </c>
      <c r="W131" s="53" t="str">
        <f>IFERROR(VLOOKUP($A131,'The List'!$B1:$AS727,30,FALSE)," ")</f>
        <v xml:space="preserve"> </v>
      </c>
      <c r="X131" s="53" t="str">
        <f>IFERROR(VLOOKUP($A131,'The List'!$B1:$AS727,31,FALSE)," ")</f>
        <v xml:space="preserve"> </v>
      </c>
      <c r="Y131" s="53" t="str">
        <f>IFERROR(VLOOKUP($A131,'The List'!$B1:$AS727,32,FALSE)," ")</f>
        <v xml:space="preserve"> </v>
      </c>
      <c r="Z131" s="53" t="str">
        <f>IFERROR(VLOOKUP($A131,'The List'!$B1:$AS727,33,FALSE)," ")</f>
        <v xml:space="preserve"> </v>
      </c>
      <c r="AA131" s="55"/>
      <c r="AB131" s="60"/>
      <c r="AC131" s="60"/>
      <c r="AD131" s="60"/>
      <c r="AE131" s="60"/>
      <c r="AF131" s="60"/>
    </row>
    <row r="132" spans="1:32" ht="21.25" customHeight="1" x14ac:dyDescent="0.15">
      <c r="A132" s="23"/>
      <c r="B132" s="68" t="str">
        <f>IFERROR(VLOOKUP($A132,'The List'!$B1:$AS727,3,FALSE)," ")</f>
        <v xml:space="preserve"> </v>
      </c>
      <c r="C132" s="70" t="str">
        <f>IFERROR(VLOOKUP($A132,'The List'!$B1:$AS727,4,FALSE)," ")</f>
        <v xml:space="preserve"> </v>
      </c>
      <c r="D132" s="35" t="str">
        <f>IFERROR(VLOOKUP($A132,'The List'!$B1:$AS727,5,FALSE)," ")</f>
        <v xml:space="preserve"> </v>
      </c>
      <c r="E132" s="35" t="str">
        <f>IFERROR(VLOOKUP($A132,'The List'!$B1:$AS727,6,FALSE)," ")</f>
        <v xml:space="preserve"> </v>
      </c>
      <c r="F132" s="52" t="str">
        <f>IFERROR(VLOOKUP($A132,'The List'!$B1:$AS727,8,FALSE)," ")</f>
        <v xml:space="preserve"> </v>
      </c>
      <c r="G132" s="52" t="str">
        <f>IFERROR(VLOOKUP($A132,'The List'!$B1:$AS727,10,FALSE)," ")</f>
        <v xml:space="preserve"> </v>
      </c>
      <c r="H132" s="39"/>
      <c r="I132" s="53" t="str">
        <f>IFERROR(VLOOKUP($A132,'The List'!$B1:$AS727,16,FALSE)," ")</f>
        <v xml:space="preserve"> </v>
      </c>
      <c r="J132" s="53" t="str">
        <f>IFERROR(VLOOKUP($A132,'The List'!$B1:$AS727,17,FALSE)," ")</f>
        <v xml:space="preserve"> </v>
      </c>
      <c r="K132" s="53" t="str">
        <f>IFERROR(VLOOKUP($A132,'The List'!$B1:$AS727,18,FALSE)," ")</f>
        <v xml:space="preserve"> </v>
      </c>
      <c r="L132" s="53" t="str">
        <f>IFERROR(VLOOKUP($A132,'The List'!$B1:$AS727,19,FALSE)," ")</f>
        <v xml:space="preserve"> </v>
      </c>
      <c r="M132" s="53" t="str">
        <f>IFERROR(VLOOKUP($A132,'The List'!$B1:$AS727,20,FALSE)," ")</f>
        <v xml:space="preserve"> </v>
      </c>
      <c r="N132" s="53" t="str">
        <f>IFERROR(VLOOKUP($A132,'The List'!$B1:$AS727,21,FALSE)," ")</f>
        <v xml:space="preserve"> </v>
      </c>
      <c r="O132" s="53" t="str">
        <f>IFERROR(VLOOKUP($A132,'The List'!$B1:$AS727,22,FALSE)," ")</f>
        <v xml:space="preserve"> </v>
      </c>
      <c r="P132" s="53" t="str">
        <f>IFERROR(VLOOKUP($A132,'The List'!$B1:$AS727,23,FALSE)," ")</f>
        <v xml:space="preserve"> </v>
      </c>
      <c r="Q132" s="53" t="str">
        <f>IFERROR(VLOOKUP($A132,'The List'!$B1:$AS727,24,FALSE)," ")</f>
        <v xml:space="preserve"> </v>
      </c>
      <c r="R132" s="53" t="str">
        <f>IFERROR(VLOOKUP($A132,'The List'!$B1:$AS727,25,FALSE)," ")</f>
        <v xml:space="preserve"> </v>
      </c>
      <c r="S132" s="53" t="str">
        <f>IFERROR(VLOOKUP($A132,'The List'!$B1:$AS727,26,FALSE)," ")</f>
        <v xml:space="preserve"> </v>
      </c>
      <c r="T132" s="53" t="str">
        <f>IFERROR(VLOOKUP($A132,'The List'!$B1:$AS727,27,FALSE)," ")</f>
        <v xml:space="preserve"> </v>
      </c>
      <c r="U132" s="53" t="str">
        <f>IFERROR(VLOOKUP($A132,'The List'!$B1:$AS727,28,FALSE)," ")</f>
        <v xml:space="preserve"> </v>
      </c>
      <c r="V132" s="53" t="str">
        <f>IFERROR(VLOOKUP($A132,'The List'!$B1:$AS727,29,FALSE)," ")</f>
        <v xml:space="preserve"> </v>
      </c>
      <c r="W132" s="53" t="str">
        <f>IFERROR(VLOOKUP($A132,'The List'!$B1:$AS727,30,FALSE)," ")</f>
        <v xml:space="preserve"> </v>
      </c>
      <c r="X132" s="53" t="str">
        <f>IFERROR(VLOOKUP($A132,'The List'!$B1:$AS727,31,FALSE)," ")</f>
        <v xml:space="preserve"> </v>
      </c>
      <c r="Y132" s="53" t="str">
        <f>IFERROR(VLOOKUP($A132,'The List'!$B1:$AS727,32,FALSE)," ")</f>
        <v xml:space="preserve"> </v>
      </c>
      <c r="Z132" s="53" t="str">
        <f>IFERROR(VLOOKUP($A132,'The List'!$B1:$AS727,33,FALSE)," ")</f>
        <v xml:space="preserve"> </v>
      </c>
      <c r="AA132" s="55"/>
      <c r="AB132" s="60"/>
      <c r="AC132" s="60"/>
      <c r="AD132" s="60"/>
      <c r="AE132" s="60"/>
      <c r="AF132" s="60"/>
    </row>
    <row r="133" spans="1:32" ht="21.25" customHeight="1" x14ac:dyDescent="0.15">
      <c r="A133" s="23"/>
      <c r="B133" s="68" t="str">
        <f>IFERROR(VLOOKUP($A133,'The List'!$B1:$AS727,3,FALSE)," ")</f>
        <v xml:space="preserve"> </v>
      </c>
      <c r="C133" s="70" t="str">
        <f>IFERROR(VLOOKUP($A133,'The List'!$B1:$AS727,4,FALSE)," ")</f>
        <v xml:space="preserve"> </v>
      </c>
      <c r="D133" s="35" t="str">
        <f>IFERROR(VLOOKUP($A133,'The List'!$B1:$AS727,5,FALSE)," ")</f>
        <v xml:space="preserve"> </v>
      </c>
      <c r="E133" s="35" t="str">
        <f>IFERROR(VLOOKUP($A133,'The List'!$B1:$AS727,6,FALSE)," ")</f>
        <v xml:space="preserve"> </v>
      </c>
      <c r="F133" s="52" t="str">
        <f>IFERROR(VLOOKUP($A133,'The List'!$B1:$AS727,8,FALSE)," ")</f>
        <v xml:space="preserve"> </v>
      </c>
      <c r="G133" s="52" t="str">
        <f>IFERROR(VLOOKUP($A133,'The List'!$B1:$AS727,10,FALSE)," ")</f>
        <v xml:space="preserve"> </v>
      </c>
      <c r="H133" s="39"/>
      <c r="I133" s="53" t="str">
        <f>IFERROR(VLOOKUP($A133,'The List'!$B1:$AS727,16,FALSE)," ")</f>
        <v xml:space="preserve"> </v>
      </c>
      <c r="J133" s="53" t="str">
        <f>IFERROR(VLOOKUP($A133,'The List'!$B1:$AS727,17,FALSE)," ")</f>
        <v xml:space="preserve"> </v>
      </c>
      <c r="K133" s="53" t="str">
        <f>IFERROR(VLOOKUP($A133,'The List'!$B1:$AS727,18,FALSE)," ")</f>
        <v xml:space="preserve"> </v>
      </c>
      <c r="L133" s="53" t="str">
        <f>IFERROR(VLOOKUP($A133,'The List'!$B1:$AS727,19,FALSE)," ")</f>
        <v xml:space="preserve"> </v>
      </c>
      <c r="M133" s="53" t="str">
        <f>IFERROR(VLOOKUP($A133,'The List'!$B1:$AS727,20,FALSE)," ")</f>
        <v xml:space="preserve"> </v>
      </c>
      <c r="N133" s="53" t="str">
        <f>IFERROR(VLOOKUP($A133,'The List'!$B1:$AS727,21,FALSE)," ")</f>
        <v xml:space="preserve"> </v>
      </c>
      <c r="O133" s="53" t="str">
        <f>IFERROR(VLOOKUP($A133,'The List'!$B1:$AS727,22,FALSE)," ")</f>
        <v xml:space="preserve"> </v>
      </c>
      <c r="P133" s="53" t="str">
        <f>IFERROR(VLOOKUP($A133,'The List'!$B1:$AS727,23,FALSE)," ")</f>
        <v xml:space="preserve"> </v>
      </c>
      <c r="Q133" s="53" t="str">
        <f>IFERROR(VLOOKUP($A133,'The List'!$B1:$AS727,24,FALSE)," ")</f>
        <v xml:space="preserve"> </v>
      </c>
      <c r="R133" s="53" t="str">
        <f>IFERROR(VLOOKUP($A133,'The List'!$B1:$AS727,25,FALSE)," ")</f>
        <v xml:space="preserve"> </v>
      </c>
      <c r="S133" s="53" t="str">
        <f>IFERROR(VLOOKUP($A133,'The List'!$B1:$AS727,26,FALSE)," ")</f>
        <v xml:space="preserve"> </v>
      </c>
      <c r="T133" s="53" t="str">
        <f>IFERROR(VLOOKUP($A133,'The List'!$B1:$AS727,27,FALSE)," ")</f>
        <v xml:space="preserve"> </v>
      </c>
      <c r="U133" s="53" t="str">
        <f>IFERROR(VLOOKUP($A133,'The List'!$B1:$AS727,28,FALSE)," ")</f>
        <v xml:space="preserve"> </v>
      </c>
      <c r="V133" s="53" t="str">
        <f>IFERROR(VLOOKUP($A133,'The List'!$B1:$AS727,29,FALSE)," ")</f>
        <v xml:space="preserve"> </v>
      </c>
      <c r="W133" s="53" t="str">
        <f>IFERROR(VLOOKUP($A133,'The List'!$B1:$AS727,30,FALSE)," ")</f>
        <v xml:space="preserve"> </v>
      </c>
      <c r="X133" s="53" t="str">
        <f>IFERROR(VLOOKUP($A133,'The List'!$B1:$AS727,31,FALSE)," ")</f>
        <v xml:space="preserve"> </v>
      </c>
      <c r="Y133" s="53" t="str">
        <f>IFERROR(VLOOKUP($A133,'The List'!$B1:$AS727,32,FALSE)," ")</f>
        <v xml:space="preserve"> </v>
      </c>
      <c r="Z133" s="53" t="str">
        <f>IFERROR(VLOOKUP($A133,'The List'!$B1:$AS727,33,FALSE)," ")</f>
        <v xml:space="preserve"> </v>
      </c>
      <c r="AA133" s="55"/>
      <c r="AB133" s="60"/>
      <c r="AC133" s="60"/>
      <c r="AD133" s="60"/>
      <c r="AE133" s="60"/>
      <c r="AF133" s="60"/>
    </row>
    <row r="134" spans="1:32" ht="21.25" customHeight="1" x14ac:dyDescent="0.15">
      <c r="A134" s="23"/>
      <c r="B134" s="68" t="str">
        <f>IFERROR(VLOOKUP($A134,'The List'!$B1:$AS727,3,FALSE)," ")</f>
        <v xml:space="preserve"> </v>
      </c>
      <c r="C134" s="70" t="str">
        <f>IFERROR(VLOOKUP($A134,'The List'!$B1:$AS727,4,FALSE)," ")</f>
        <v xml:space="preserve"> </v>
      </c>
      <c r="D134" s="35" t="str">
        <f>IFERROR(VLOOKUP($A134,'The List'!$B1:$AS727,5,FALSE)," ")</f>
        <v xml:space="preserve"> </v>
      </c>
      <c r="E134" s="35" t="str">
        <f>IFERROR(VLOOKUP($A134,'The List'!$B1:$AS727,6,FALSE)," ")</f>
        <v xml:space="preserve"> </v>
      </c>
      <c r="F134" s="52" t="str">
        <f>IFERROR(VLOOKUP($A134,'The List'!$B1:$AS727,8,FALSE)," ")</f>
        <v xml:space="preserve"> </v>
      </c>
      <c r="G134" s="52" t="str">
        <f>IFERROR(VLOOKUP($A134,'The List'!$B1:$AS727,10,FALSE)," ")</f>
        <v xml:space="preserve"> </v>
      </c>
      <c r="H134" s="39"/>
      <c r="I134" s="53" t="str">
        <f>IFERROR(VLOOKUP($A134,'The List'!$B1:$AS727,16,FALSE)," ")</f>
        <v xml:space="preserve"> </v>
      </c>
      <c r="J134" s="53" t="str">
        <f>IFERROR(VLOOKUP($A134,'The List'!$B1:$AS727,17,FALSE)," ")</f>
        <v xml:space="preserve"> </v>
      </c>
      <c r="K134" s="53" t="str">
        <f>IFERROR(VLOOKUP($A134,'The List'!$B1:$AS727,18,FALSE)," ")</f>
        <v xml:space="preserve"> </v>
      </c>
      <c r="L134" s="53" t="str">
        <f>IFERROR(VLOOKUP($A134,'The List'!$B1:$AS727,19,FALSE)," ")</f>
        <v xml:space="preserve"> </v>
      </c>
      <c r="M134" s="53" t="str">
        <f>IFERROR(VLOOKUP($A134,'The List'!$B1:$AS727,20,FALSE)," ")</f>
        <v xml:space="preserve"> </v>
      </c>
      <c r="N134" s="53" t="str">
        <f>IFERROR(VLOOKUP($A134,'The List'!$B1:$AS727,21,FALSE)," ")</f>
        <v xml:space="preserve"> </v>
      </c>
      <c r="O134" s="53" t="str">
        <f>IFERROR(VLOOKUP($A134,'The List'!$B1:$AS727,22,FALSE)," ")</f>
        <v xml:space="preserve"> </v>
      </c>
      <c r="P134" s="53" t="str">
        <f>IFERROR(VLOOKUP($A134,'The List'!$B1:$AS727,23,FALSE)," ")</f>
        <v xml:space="preserve"> </v>
      </c>
      <c r="Q134" s="53" t="str">
        <f>IFERROR(VLOOKUP($A134,'The List'!$B1:$AS727,24,FALSE)," ")</f>
        <v xml:space="preserve"> </v>
      </c>
      <c r="R134" s="53" t="str">
        <f>IFERROR(VLOOKUP($A134,'The List'!$B1:$AS727,25,FALSE)," ")</f>
        <v xml:space="preserve"> </v>
      </c>
      <c r="S134" s="53" t="str">
        <f>IFERROR(VLOOKUP($A134,'The List'!$B1:$AS727,26,FALSE)," ")</f>
        <v xml:space="preserve"> </v>
      </c>
      <c r="T134" s="53" t="str">
        <f>IFERROR(VLOOKUP($A134,'The List'!$B1:$AS727,27,FALSE)," ")</f>
        <v xml:space="preserve"> </v>
      </c>
      <c r="U134" s="53" t="str">
        <f>IFERROR(VLOOKUP($A134,'The List'!$B1:$AS727,28,FALSE)," ")</f>
        <v xml:space="preserve"> </v>
      </c>
      <c r="V134" s="53" t="str">
        <f>IFERROR(VLOOKUP($A134,'The List'!$B1:$AS727,29,FALSE)," ")</f>
        <v xml:space="preserve"> </v>
      </c>
      <c r="W134" s="53" t="str">
        <f>IFERROR(VLOOKUP($A134,'The List'!$B1:$AS727,30,FALSE)," ")</f>
        <v xml:space="preserve"> </v>
      </c>
      <c r="X134" s="53" t="str">
        <f>IFERROR(VLOOKUP($A134,'The List'!$B1:$AS727,31,FALSE)," ")</f>
        <v xml:space="preserve"> </v>
      </c>
      <c r="Y134" s="53" t="str">
        <f>IFERROR(VLOOKUP($A134,'The List'!$B1:$AS727,32,FALSE)," ")</f>
        <v xml:space="preserve"> </v>
      </c>
      <c r="Z134" s="53" t="str">
        <f>IFERROR(VLOOKUP($A134,'The List'!$B1:$AS727,33,FALSE)," ")</f>
        <v xml:space="preserve"> </v>
      </c>
      <c r="AA134" s="55"/>
      <c r="AB134" s="60"/>
      <c r="AC134" s="60"/>
      <c r="AD134" s="60"/>
      <c r="AE134" s="60"/>
      <c r="AF134" s="60"/>
    </row>
    <row r="135" spans="1:32" ht="21.25" customHeight="1" x14ac:dyDescent="0.15">
      <c r="A135" s="23"/>
      <c r="B135" s="68" t="str">
        <f>IFERROR(VLOOKUP($A135,'The List'!$B1:$AS727,3,FALSE)," ")</f>
        <v xml:space="preserve"> </v>
      </c>
      <c r="C135" s="70" t="str">
        <f>IFERROR(VLOOKUP($A135,'The List'!$B1:$AS727,4,FALSE)," ")</f>
        <v xml:space="preserve"> </v>
      </c>
      <c r="D135" s="35" t="str">
        <f>IFERROR(VLOOKUP($A135,'The List'!$B1:$AS727,5,FALSE)," ")</f>
        <v xml:space="preserve"> </v>
      </c>
      <c r="E135" s="35" t="str">
        <f>IFERROR(VLOOKUP($A135,'The List'!$B1:$AS727,6,FALSE)," ")</f>
        <v xml:space="preserve"> </v>
      </c>
      <c r="F135" s="52" t="str">
        <f>IFERROR(VLOOKUP($A135,'The List'!$B1:$AS727,8,FALSE)," ")</f>
        <v xml:space="preserve"> </v>
      </c>
      <c r="G135" s="52" t="str">
        <f>IFERROR(VLOOKUP($A135,'The List'!$B1:$AS727,10,FALSE)," ")</f>
        <v xml:space="preserve"> </v>
      </c>
      <c r="H135" s="39"/>
      <c r="I135" s="53" t="str">
        <f>IFERROR(VLOOKUP($A135,'The List'!$B1:$AS727,16,FALSE)," ")</f>
        <v xml:space="preserve"> </v>
      </c>
      <c r="J135" s="53" t="str">
        <f>IFERROR(VLOOKUP($A135,'The List'!$B1:$AS727,17,FALSE)," ")</f>
        <v xml:space="preserve"> </v>
      </c>
      <c r="K135" s="53" t="str">
        <f>IFERROR(VLOOKUP($A135,'The List'!$B1:$AS727,18,FALSE)," ")</f>
        <v xml:space="preserve"> </v>
      </c>
      <c r="L135" s="53" t="str">
        <f>IFERROR(VLOOKUP($A135,'The List'!$B1:$AS727,19,FALSE)," ")</f>
        <v xml:space="preserve"> </v>
      </c>
      <c r="M135" s="53" t="str">
        <f>IFERROR(VLOOKUP($A135,'The List'!$B1:$AS727,20,FALSE)," ")</f>
        <v xml:space="preserve"> </v>
      </c>
      <c r="N135" s="53" t="str">
        <f>IFERROR(VLOOKUP($A135,'The List'!$B1:$AS727,21,FALSE)," ")</f>
        <v xml:space="preserve"> </v>
      </c>
      <c r="O135" s="53" t="str">
        <f>IFERROR(VLOOKUP($A135,'The List'!$B1:$AS727,22,FALSE)," ")</f>
        <v xml:space="preserve"> </v>
      </c>
      <c r="P135" s="53" t="str">
        <f>IFERROR(VLOOKUP($A135,'The List'!$B1:$AS727,23,FALSE)," ")</f>
        <v xml:space="preserve"> </v>
      </c>
      <c r="Q135" s="53" t="str">
        <f>IFERROR(VLOOKUP($A135,'The List'!$B1:$AS727,24,FALSE)," ")</f>
        <v xml:space="preserve"> </v>
      </c>
      <c r="R135" s="53" t="str">
        <f>IFERROR(VLOOKUP($A135,'The List'!$B1:$AS727,25,FALSE)," ")</f>
        <v xml:space="preserve"> </v>
      </c>
      <c r="S135" s="53" t="str">
        <f>IFERROR(VLOOKUP($A135,'The List'!$B1:$AS727,26,FALSE)," ")</f>
        <v xml:space="preserve"> </v>
      </c>
      <c r="T135" s="53" t="str">
        <f>IFERROR(VLOOKUP($A135,'The List'!$B1:$AS727,27,FALSE)," ")</f>
        <v xml:space="preserve"> </v>
      </c>
      <c r="U135" s="53" t="str">
        <f>IFERROR(VLOOKUP($A135,'The List'!$B1:$AS727,28,FALSE)," ")</f>
        <v xml:space="preserve"> </v>
      </c>
      <c r="V135" s="53" t="str">
        <f>IFERROR(VLOOKUP($A135,'The List'!$B1:$AS727,29,FALSE)," ")</f>
        <v xml:space="preserve"> </v>
      </c>
      <c r="W135" s="53" t="str">
        <f>IFERROR(VLOOKUP($A135,'The List'!$B1:$AS727,30,FALSE)," ")</f>
        <v xml:space="preserve"> </v>
      </c>
      <c r="X135" s="53" t="str">
        <f>IFERROR(VLOOKUP($A135,'The List'!$B1:$AS727,31,FALSE)," ")</f>
        <v xml:space="preserve"> </v>
      </c>
      <c r="Y135" s="53" t="str">
        <f>IFERROR(VLOOKUP($A135,'The List'!$B1:$AS727,32,FALSE)," ")</f>
        <v xml:space="preserve"> </v>
      </c>
      <c r="Z135" s="53" t="str">
        <f>IFERROR(VLOOKUP($A135,'The List'!$B1:$AS727,33,FALSE)," ")</f>
        <v xml:space="preserve"> </v>
      </c>
      <c r="AA135" s="55"/>
      <c r="AB135" s="60"/>
      <c r="AC135" s="60"/>
      <c r="AD135" s="60"/>
      <c r="AE135" s="60"/>
      <c r="AF135" s="60"/>
    </row>
    <row r="136" spans="1:32" ht="21.25" customHeight="1" x14ac:dyDescent="0.15">
      <c r="A136" s="23"/>
      <c r="B136" s="68" t="str">
        <f>IFERROR(VLOOKUP($A136,'The List'!$B1:$AS727,3,FALSE)," ")</f>
        <v xml:space="preserve"> </v>
      </c>
      <c r="C136" s="70" t="str">
        <f>IFERROR(VLOOKUP($A136,'The List'!$B1:$AS727,4,FALSE)," ")</f>
        <v xml:space="preserve"> </v>
      </c>
      <c r="D136" s="35" t="str">
        <f>IFERROR(VLOOKUP($A136,'The List'!$B1:$AS727,5,FALSE)," ")</f>
        <v xml:space="preserve"> </v>
      </c>
      <c r="E136" s="35" t="str">
        <f>IFERROR(VLOOKUP($A136,'The List'!$B1:$AS727,6,FALSE)," ")</f>
        <v xml:space="preserve"> </v>
      </c>
      <c r="F136" s="52" t="str">
        <f>IFERROR(VLOOKUP($A136,'The List'!$B1:$AS727,8,FALSE)," ")</f>
        <v xml:space="preserve"> </v>
      </c>
      <c r="G136" s="52" t="str">
        <f>IFERROR(VLOOKUP($A136,'The List'!$B1:$AS727,10,FALSE)," ")</f>
        <v xml:space="preserve"> </v>
      </c>
      <c r="H136" s="39"/>
      <c r="I136" s="53" t="str">
        <f>IFERROR(VLOOKUP($A136,'The List'!$B1:$AS727,16,FALSE)," ")</f>
        <v xml:space="preserve"> </v>
      </c>
      <c r="J136" s="53" t="str">
        <f>IFERROR(VLOOKUP($A136,'The List'!$B1:$AS727,17,FALSE)," ")</f>
        <v xml:space="preserve"> </v>
      </c>
      <c r="K136" s="53" t="str">
        <f>IFERROR(VLOOKUP($A136,'The List'!$B1:$AS727,18,FALSE)," ")</f>
        <v xml:space="preserve"> </v>
      </c>
      <c r="L136" s="53" t="str">
        <f>IFERROR(VLOOKUP($A136,'The List'!$B1:$AS727,19,FALSE)," ")</f>
        <v xml:space="preserve"> </v>
      </c>
      <c r="M136" s="53" t="str">
        <f>IFERROR(VLOOKUP($A136,'The List'!$B1:$AS727,20,FALSE)," ")</f>
        <v xml:space="preserve"> </v>
      </c>
      <c r="N136" s="53" t="str">
        <f>IFERROR(VLOOKUP($A136,'The List'!$B1:$AS727,21,FALSE)," ")</f>
        <v xml:space="preserve"> </v>
      </c>
      <c r="O136" s="53" t="str">
        <f>IFERROR(VLOOKUP($A136,'The List'!$B1:$AS727,22,FALSE)," ")</f>
        <v xml:space="preserve"> </v>
      </c>
      <c r="P136" s="53" t="str">
        <f>IFERROR(VLOOKUP($A136,'The List'!$B1:$AS727,23,FALSE)," ")</f>
        <v xml:space="preserve"> </v>
      </c>
      <c r="Q136" s="53" t="str">
        <f>IFERROR(VLOOKUP($A136,'The List'!$B1:$AS727,24,FALSE)," ")</f>
        <v xml:space="preserve"> </v>
      </c>
      <c r="R136" s="53" t="str">
        <f>IFERROR(VLOOKUP($A136,'The List'!$B1:$AS727,25,FALSE)," ")</f>
        <v xml:space="preserve"> </v>
      </c>
      <c r="S136" s="53" t="str">
        <f>IFERROR(VLOOKUP($A136,'The List'!$B1:$AS727,26,FALSE)," ")</f>
        <v xml:space="preserve"> </v>
      </c>
      <c r="T136" s="53" t="str">
        <f>IFERROR(VLOOKUP($A136,'The List'!$B1:$AS727,27,FALSE)," ")</f>
        <v xml:space="preserve"> </v>
      </c>
      <c r="U136" s="53" t="str">
        <f>IFERROR(VLOOKUP($A136,'The List'!$B1:$AS727,28,FALSE)," ")</f>
        <v xml:space="preserve"> </v>
      </c>
      <c r="V136" s="53" t="str">
        <f>IFERROR(VLOOKUP($A136,'The List'!$B1:$AS727,29,FALSE)," ")</f>
        <v xml:space="preserve"> </v>
      </c>
      <c r="W136" s="53" t="str">
        <f>IFERROR(VLOOKUP($A136,'The List'!$B1:$AS727,30,FALSE)," ")</f>
        <v xml:space="preserve"> </v>
      </c>
      <c r="X136" s="53" t="str">
        <f>IFERROR(VLOOKUP($A136,'The List'!$B1:$AS727,31,FALSE)," ")</f>
        <v xml:space="preserve"> </v>
      </c>
      <c r="Y136" s="53" t="str">
        <f>IFERROR(VLOOKUP($A136,'The List'!$B1:$AS727,32,FALSE)," ")</f>
        <v xml:space="preserve"> </v>
      </c>
      <c r="Z136" s="53" t="str">
        <f>IFERROR(VLOOKUP($A136,'The List'!$B1:$AS727,33,FALSE)," ")</f>
        <v xml:space="preserve"> </v>
      </c>
      <c r="AA136" s="55"/>
      <c r="AB136" s="60"/>
      <c r="AC136" s="60"/>
      <c r="AD136" s="60"/>
      <c r="AE136" s="60"/>
      <c r="AF136" s="60"/>
    </row>
    <row r="137" spans="1:32" ht="21.25" customHeight="1" x14ac:dyDescent="0.15">
      <c r="A137" s="72"/>
      <c r="B137" s="73" t="str">
        <f>IFERROR(VLOOKUP($A137,'The List'!$B1:$AS727,3,FALSE)," ")</f>
        <v xml:space="preserve"> </v>
      </c>
      <c r="C137" s="74" t="str">
        <f>IFERROR(VLOOKUP($A137,'The List'!$B1:$AS727,4,FALSE)," ")</f>
        <v xml:space="preserve"> </v>
      </c>
      <c r="D137" s="75" t="str">
        <f>IFERROR(VLOOKUP($A137,'The List'!$B1:$AS727,5,FALSE)," ")</f>
        <v xml:space="preserve"> </v>
      </c>
      <c r="E137" s="75" t="str">
        <f>IFERROR(VLOOKUP($A137,'The List'!$B1:$AS727,6,FALSE)," ")</f>
        <v xml:space="preserve"> </v>
      </c>
      <c r="F137" s="76" t="str">
        <f>IFERROR(VLOOKUP($A137,'The List'!$B1:$AS727,8,FALSE)," ")</f>
        <v xml:space="preserve"> </v>
      </c>
      <c r="G137" s="76" t="str">
        <f>IFERROR(VLOOKUP($A137,'The List'!$B1:$AS727,10,FALSE)," ")</f>
        <v xml:space="preserve"> </v>
      </c>
      <c r="H137" s="77"/>
      <c r="I137" s="78" t="str">
        <f>IFERROR(VLOOKUP($A137,'The List'!$B1:$AS727,16,FALSE)," ")</f>
        <v xml:space="preserve"> </v>
      </c>
      <c r="J137" s="78" t="str">
        <f>IFERROR(VLOOKUP($A137,'The List'!$B1:$AS727,17,FALSE)," ")</f>
        <v xml:space="preserve"> </v>
      </c>
      <c r="K137" s="78" t="str">
        <f>IFERROR(VLOOKUP($A137,'The List'!$B1:$AS727,18,FALSE)," ")</f>
        <v xml:space="preserve"> </v>
      </c>
      <c r="L137" s="78" t="str">
        <f>IFERROR(VLOOKUP($A137,'The List'!$B1:$AS727,19,FALSE)," ")</f>
        <v xml:space="preserve"> </v>
      </c>
      <c r="M137" s="78" t="str">
        <f>IFERROR(VLOOKUP($A137,'The List'!$B1:$AS727,20,FALSE)," ")</f>
        <v xml:space="preserve"> </v>
      </c>
      <c r="N137" s="78" t="str">
        <f>IFERROR(VLOOKUP($A137,'The List'!$B1:$AS727,21,FALSE)," ")</f>
        <v xml:space="preserve"> </v>
      </c>
      <c r="O137" s="78" t="str">
        <f>IFERROR(VLOOKUP($A137,'The List'!$B1:$AS727,22,FALSE)," ")</f>
        <v xml:space="preserve"> </v>
      </c>
      <c r="P137" s="78" t="str">
        <f>IFERROR(VLOOKUP($A137,'The List'!$B1:$AS727,23,FALSE)," ")</f>
        <v xml:space="preserve"> </v>
      </c>
      <c r="Q137" s="78" t="str">
        <f>IFERROR(VLOOKUP($A137,'The List'!$B1:$AS727,24,FALSE)," ")</f>
        <v xml:space="preserve"> </v>
      </c>
      <c r="R137" s="78" t="str">
        <f>IFERROR(VLOOKUP($A137,'The List'!$B1:$AS727,25,FALSE)," ")</f>
        <v xml:space="preserve"> </v>
      </c>
      <c r="S137" s="78" t="str">
        <f>IFERROR(VLOOKUP($A137,'The List'!$B1:$AS727,26,FALSE)," ")</f>
        <v xml:space="preserve"> </v>
      </c>
      <c r="T137" s="78" t="str">
        <f>IFERROR(VLOOKUP($A137,'The List'!$B1:$AS727,27,FALSE)," ")</f>
        <v xml:space="preserve"> </v>
      </c>
      <c r="U137" s="78" t="str">
        <f>IFERROR(VLOOKUP($A137,'The List'!$B1:$AS727,28,FALSE)," ")</f>
        <v xml:space="preserve"> </v>
      </c>
      <c r="V137" s="78" t="str">
        <f>IFERROR(VLOOKUP($A137,'The List'!$B1:$AS727,29,FALSE)," ")</f>
        <v xml:space="preserve"> </v>
      </c>
      <c r="W137" s="78" t="str">
        <f>IFERROR(VLOOKUP($A137,'The List'!$B1:$AS727,30,FALSE)," ")</f>
        <v xml:space="preserve"> </v>
      </c>
      <c r="X137" s="78" t="str">
        <f>IFERROR(VLOOKUP($A137,'The List'!$B1:$AS727,31,FALSE)," ")</f>
        <v xml:space="preserve"> </v>
      </c>
      <c r="Y137" s="78" t="str">
        <f>IFERROR(VLOOKUP($A137,'The List'!$B1:$AS727,32,FALSE)," ")</f>
        <v xml:space="preserve"> </v>
      </c>
      <c r="Z137" s="78" t="str">
        <f>IFERROR(VLOOKUP($A137,'The List'!$B1:$AS727,33,FALSE)," ")</f>
        <v xml:space="preserve"> </v>
      </c>
      <c r="AA137" s="55"/>
      <c r="AB137" s="60"/>
      <c r="AC137" s="60"/>
      <c r="AD137" s="60"/>
      <c r="AE137" s="60"/>
      <c r="AF137" s="60"/>
    </row>
    <row r="138" spans="1:32" ht="21.25" customHeight="1" x14ac:dyDescent="0.15">
      <c r="A138" s="79"/>
      <c r="B138" s="80"/>
      <c r="C138" s="81"/>
      <c r="D138" s="82"/>
      <c r="E138" s="117" t="str">
        <f>IFERROR(AVERAGE(E118:E137)," ")</f>
        <v xml:space="preserve"> </v>
      </c>
      <c r="F138" s="84">
        <f>SUM(F118:F137)</f>
        <v>0</v>
      </c>
      <c r="G138" s="84">
        <f>SUM(G118:G137)</f>
        <v>0</v>
      </c>
      <c r="H138" s="85"/>
      <c r="I138" s="86">
        <f>SUM(I118:I137)</f>
        <v>0</v>
      </c>
      <c r="J138" s="85" t="e">
        <f>AVERAGE(J118:J137)</f>
        <v>#DIV/0!</v>
      </c>
      <c r="K138" s="86">
        <f t="shared" ref="K138:Y138" si="8">SUM(K118:K137)</f>
        <v>0</v>
      </c>
      <c r="L138" s="86">
        <f t="shared" si="8"/>
        <v>0</v>
      </c>
      <c r="M138" s="86">
        <f t="shared" si="8"/>
        <v>0</v>
      </c>
      <c r="N138" s="86">
        <f t="shared" si="8"/>
        <v>0</v>
      </c>
      <c r="O138" s="86">
        <f t="shared" si="8"/>
        <v>0</v>
      </c>
      <c r="P138" s="86">
        <f t="shared" si="8"/>
        <v>0</v>
      </c>
      <c r="Q138" s="86">
        <f t="shared" si="8"/>
        <v>0</v>
      </c>
      <c r="R138" s="86">
        <f t="shared" si="8"/>
        <v>0</v>
      </c>
      <c r="S138" s="86">
        <f t="shared" si="8"/>
        <v>0</v>
      </c>
      <c r="T138" s="86">
        <f t="shared" si="8"/>
        <v>0</v>
      </c>
      <c r="U138" s="86">
        <f t="shared" si="8"/>
        <v>0</v>
      </c>
      <c r="V138" s="86">
        <f t="shared" si="8"/>
        <v>0</v>
      </c>
      <c r="W138" s="86">
        <f t="shared" si="8"/>
        <v>0</v>
      </c>
      <c r="X138" s="86">
        <f t="shared" si="8"/>
        <v>0</v>
      </c>
      <c r="Y138" s="86">
        <f t="shared" si="8"/>
        <v>0</v>
      </c>
      <c r="Z138" s="87">
        <f>IFERROR(X138/(X138+Y138),0)</f>
        <v>0</v>
      </c>
      <c r="AA138" s="55"/>
      <c r="AB138" s="88"/>
      <c r="AC138" s="88"/>
      <c r="AD138" s="88"/>
      <c r="AE138" s="88"/>
      <c r="AF138" s="88"/>
    </row>
    <row r="139" spans="1:32" ht="21.25" customHeight="1" x14ac:dyDescent="0.15">
      <c r="A139" s="89"/>
      <c r="B139" s="90"/>
      <c r="C139" s="91"/>
      <c r="D139" s="11"/>
      <c r="E139" s="11"/>
      <c r="F139" s="92"/>
      <c r="G139" s="93"/>
      <c r="H139" s="94"/>
      <c r="I139" s="9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60"/>
      <c r="AC139" s="60"/>
      <c r="AD139" s="60"/>
      <c r="AE139" s="60"/>
      <c r="AF139" s="60"/>
    </row>
    <row r="140" spans="1:32" ht="21.25" customHeight="1" x14ac:dyDescent="0.15">
      <c r="A140" s="24" t="s">
        <v>66</v>
      </c>
      <c r="B140" s="174" t="s">
        <v>68</v>
      </c>
      <c r="C140" s="165"/>
      <c r="D140" s="96" t="s">
        <v>69</v>
      </c>
      <c r="E140" s="96" t="s">
        <v>70</v>
      </c>
      <c r="F140" s="97" t="s">
        <v>72</v>
      </c>
      <c r="G140" s="97" t="s">
        <v>74</v>
      </c>
      <c r="H140" s="98"/>
      <c r="I140" s="99" t="s">
        <v>79</v>
      </c>
      <c r="J140" s="99" t="s">
        <v>97</v>
      </c>
      <c r="K140" s="99" t="s">
        <v>98</v>
      </c>
      <c r="L140" s="99" t="s">
        <v>99</v>
      </c>
      <c r="M140" s="99" t="s">
        <v>100</v>
      </c>
      <c r="N140" s="99" t="s">
        <v>101</v>
      </c>
      <c r="O140" s="99" t="s">
        <v>102</v>
      </c>
      <c r="P140" s="99" t="s">
        <v>103</v>
      </c>
      <c r="Q140" s="99" t="s">
        <v>104</v>
      </c>
      <c r="R140" s="55"/>
      <c r="S140" s="55"/>
      <c r="T140" s="55"/>
      <c r="U140" s="174" t="s">
        <v>850</v>
      </c>
      <c r="V140" s="175"/>
      <c r="W140" s="175"/>
      <c r="X140" s="174" t="s">
        <v>851</v>
      </c>
      <c r="Y140" s="175"/>
      <c r="Z140" s="175"/>
      <c r="AA140" s="55"/>
      <c r="AB140" s="55"/>
      <c r="AC140" s="55"/>
      <c r="AD140" s="55"/>
      <c r="AE140" s="55"/>
      <c r="AF140" s="55"/>
    </row>
    <row r="141" spans="1:32" ht="21.25" customHeight="1" x14ac:dyDescent="0.15">
      <c r="A141" s="118"/>
      <c r="B141" s="101" t="str">
        <f>IFERROR(VLOOKUP($A141,'The List'!$B1:$AS727,3,FALSE)," ")</f>
        <v xml:space="preserve"> </v>
      </c>
      <c r="C141" s="119" t="str">
        <f>IFERROR(VLOOKUP($A141,'The List'!$B1:$AS727,4,FALSE)," ")</f>
        <v xml:space="preserve"> </v>
      </c>
      <c r="D141" s="103" t="str">
        <f>IFERROR(VLOOKUP($A141,'The List'!$B1:$AS727,5,FALSE)," ")</f>
        <v xml:space="preserve"> </v>
      </c>
      <c r="E141" s="103" t="str">
        <f>IFERROR(VLOOKUP($A141,'The List'!$B1:$AS727,6,FALSE)," ")</f>
        <v xml:space="preserve"> </v>
      </c>
      <c r="F141" s="120" t="str">
        <f>IFERROR(VLOOKUP($A141,'The List'!$B1:$AS727,8,FALSE)," ")</f>
        <v xml:space="preserve"> </v>
      </c>
      <c r="G141" s="120" t="str">
        <f>IFERROR(VLOOKUP($A141,'The List'!$B1:$AS727,10,FALSE)," ")</f>
        <v xml:space="preserve"> </v>
      </c>
      <c r="H141" s="106"/>
      <c r="I141" s="121" t="str">
        <f>IFERROR(VLOOKUP($A141,'The List'!$B1:$AS727,35,FALSE)," ")</f>
        <v xml:space="preserve"> </v>
      </c>
      <c r="J141" s="121" t="str">
        <f>IFERROR(VLOOKUP($A141,'The List'!$B1:$AS727,36,FALSE)," ")</f>
        <v xml:space="preserve"> </v>
      </c>
      <c r="K141" s="121" t="str">
        <f>IFERROR(VLOOKUP($A141,'The List'!$B1:$AS727,37,FALSE)," ")</f>
        <v xml:space="preserve"> </v>
      </c>
      <c r="L141" s="121" t="str">
        <f>IFERROR(VLOOKUP($A141,'The List'!$B1:$AS727,38,FALSE)," ")</f>
        <v xml:space="preserve"> </v>
      </c>
      <c r="M141" s="121" t="str">
        <f>IFERROR(VLOOKUP($A141,'The List'!$B1:$AS727,39,FALSE)," ")</f>
        <v xml:space="preserve"> </v>
      </c>
      <c r="N141" s="121" t="str">
        <f>IFERROR(VLOOKUP($A141,'The List'!$B1:$AS727,40,FALSE)," ")</f>
        <v xml:space="preserve"> </v>
      </c>
      <c r="O141" s="121" t="str">
        <f>IFERROR(VLOOKUP($A141,'The List'!$B1:$AS727,41,FALSE)," ")</f>
        <v xml:space="preserve"> </v>
      </c>
      <c r="P141" s="121" t="str">
        <f>IFERROR(VLOOKUP($A141,'The List'!$B1:$AS727,42,FALSE)," ")</f>
        <v xml:space="preserve"> </v>
      </c>
      <c r="Q141" s="121" t="str">
        <f>IFERROR(VLOOKUP($A141,'The List'!$B1:$AS727,43,FALSE)," ")</f>
        <v xml:space="preserve"> </v>
      </c>
      <c r="R141" s="55"/>
      <c r="S141" s="55"/>
      <c r="T141" s="110" t="str">
        <f>A117</f>
        <v>TEAM 5</v>
      </c>
      <c r="U141" s="176">
        <f>F138+F144</f>
        <v>0</v>
      </c>
      <c r="V141" s="165"/>
      <c r="W141" s="165"/>
      <c r="X141" s="176">
        <f>G144+G138</f>
        <v>0</v>
      </c>
      <c r="Y141" s="165"/>
      <c r="Z141" s="165"/>
      <c r="AA141" s="55"/>
      <c r="AB141" s="55"/>
      <c r="AC141" s="55"/>
      <c r="AD141" s="55"/>
      <c r="AE141" s="55"/>
      <c r="AF141" s="55"/>
    </row>
    <row r="142" spans="1:32" ht="21.25" customHeight="1" x14ac:dyDescent="0.15">
      <c r="A142" s="23"/>
      <c r="B142" s="111" t="str">
        <f>IFERROR(VLOOKUP($A142,'The List'!$B1:$AS727,3,FALSE)," ")</f>
        <v xml:space="preserve"> </v>
      </c>
      <c r="C142" s="112" t="str">
        <f>IFERROR(VLOOKUP($A142,'The List'!$B1:$AS727,4,FALSE)," ")</f>
        <v xml:space="preserve"> </v>
      </c>
      <c r="D142" s="35" t="str">
        <f>IFERROR(VLOOKUP($A142,'The List'!$B1:$AS727,5,FALSE)," ")</f>
        <v xml:space="preserve"> </v>
      </c>
      <c r="E142" s="35" t="str">
        <f>IFERROR(VLOOKUP($A142,'The List'!$B1:$AS727,6,FALSE)," ")</f>
        <v xml:space="preserve"> </v>
      </c>
      <c r="F142" s="52" t="str">
        <f>IFERROR(VLOOKUP($A142,'The List'!$B1:$AS727,8,FALSE)," ")</f>
        <v xml:space="preserve"> </v>
      </c>
      <c r="G142" s="52" t="str">
        <f>IFERROR(VLOOKUP($A142,'The List'!$B1:$AS727,10,FALSE)," ")</f>
        <v xml:space="preserve"> </v>
      </c>
      <c r="H142" s="39"/>
      <c r="I142" s="53" t="str">
        <f>IFERROR(VLOOKUP($A142,'The List'!$B1:$AS727,35,FALSE)," ")</f>
        <v xml:space="preserve"> </v>
      </c>
      <c r="J142" s="53" t="str">
        <f>IFERROR(VLOOKUP($A142,'The List'!$B1:$AS727,36,FALSE)," ")</f>
        <v xml:space="preserve"> </v>
      </c>
      <c r="K142" s="53" t="str">
        <f>IFERROR(VLOOKUP($A142,'The List'!$B1:$AS727,37,FALSE)," ")</f>
        <v xml:space="preserve"> </v>
      </c>
      <c r="L142" s="53" t="str">
        <f>IFERROR(VLOOKUP($A142,'The List'!$B1:$AS727,38,FALSE)," ")</f>
        <v xml:space="preserve"> </v>
      </c>
      <c r="M142" s="53" t="str">
        <f>IFERROR(VLOOKUP($A142,'The List'!$B1:$AS727,39,FALSE)," ")</f>
        <v xml:space="preserve"> </v>
      </c>
      <c r="N142" s="53" t="str">
        <f>IFERROR(VLOOKUP($A142,'The List'!$B1:$AS727,40,FALSE)," ")</f>
        <v xml:space="preserve"> </v>
      </c>
      <c r="O142" s="53" t="str">
        <f>IFERROR(VLOOKUP($A142,'The List'!$B1:$AS727,41,FALSE)," ")</f>
        <v xml:space="preserve"> </v>
      </c>
      <c r="P142" s="53" t="str">
        <f>IFERROR(VLOOKUP($A142,'The List'!$B1:$AS727,42,FALSE)," ")</f>
        <v xml:space="preserve"> </v>
      </c>
      <c r="Q142" s="53" t="str">
        <f>IFERROR(VLOOKUP($A142,'The List'!$B1:$AS727,43,FALSE)," ")</f>
        <v xml:space="preserve"> </v>
      </c>
      <c r="R142" s="55"/>
      <c r="S142" s="55"/>
      <c r="T142" s="55"/>
      <c r="U142" s="165"/>
      <c r="V142" s="165"/>
      <c r="W142" s="165"/>
      <c r="X142" s="165"/>
      <c r="Y142" s="165"/>
      <c r="Z142" s="165"/>
      <c r="AA142" s="55"/>
      <c r="AB142" s="55"/>
      <c r="AC142" s="55"/>
      <c r="AD142" s="55"/>
      <c r="AE142" s="55"/>
      <c r="AF142" s="55"/>
    </row>
    <row r="143" spans="1:32" ht="21.25" customHeight="1" x14ac:dyDescent="0.15">
      <c r="A143" s="72"/>
      <c r="B143" s="113" t="str">
        <f>IFERROR(VLOOKUP($A143,'The List'!$B1:$AS727,3,FALSE)," ")</f>
        <v xml:space="preserve"> </v>
      </c>
      <c r="C143" s="114" t="str">
        <f>IFERROR(VLOOKUP($A143,'The List'!$B1:$AS727,4,FALSE)," ")</f>
        <v xml:space="preserve"> </v>
      </c>
      <c r="D143" s="75" t="str">
        <f>IFERROR(VLOOKUP($A143,'The List'!$B1:$AS727,5,FALSE)," ")</f>
        <v xml:space="preserve"> </v>
      </c>
      <c r="E143" s="75" t="str">
        <f>IFERROR(VLOOKUP($A143,'The List'!$B1:$AS727,6,FALSE)," ")</f>
        <v xml:space="preserve"> </v>
      </c>
      <c r="F143" s="76" t="str">
        <f>IFERROR(VLOOKUP($A143,'The List'!$B1:$AS727,8,FALSE)," ")</f>
        <v xml:space="preserve"> </v>
      </c>
      <c r="G143" s="76" t="str">
        <f>IFERROR(VLOOKUP($A143,'The List'!$B1:$AS727,10,FALSE)," ")</f>
        <v xml:space="preserve"> </v>
      </c>
      <c r="H143" s="77"/>
      <c r="I143" s="78" t="str">
        <f>IFERROR(VLOOKUP($A143,'The List'!$B1:$AS727,35,FALSE)," ")</f>
        <v xml:space="preserve"> </v>
      </c>
      <c r="J143" s="78" t="str">
        <f>IFERROR(VLOOKUP($A143,'The List'!$B1:$AS727,36,FALSE)," ")</f>
        <v xml:space="preserve"> </v>
      </c>
      <c r="K143" s="78" t="str">
        <f>IFERROR(VLOOKUP($A143,'The List'!$B1:$AS727,37,FALSE)," ")</f>
        <v xml:space="preserve"> </v>
      </c>
      <c r="L143" s="78" t="str">
        <f>IFERROR(VLOOKUP($A143,'The List'!$B1:$AS727,38,FALSE)," ")</f>
        <v xml:space="preserve"> </v>
      </c>
      <c r="M143" s="78" t="str">
        <f>IFERROR(VLOOKUP($A143,'The List'!$B1:$AS727,39,FALSE)," ")</f>
        <v xml:space="preserve"> </v>
      </c>
      <c r="N143" s="78" t="str">
        <f>IFERROR(VLOOKUP($A143,'The List'!$B1:$AS727,40,FALSE)," ")</f>
        <v xml:space="preserve"> </v>
      </c>
      <c r="O143" s="78" t="str">
        <f>IFERROR(VLOOKUP($A143,'The List'!$B1:$AS727,41,FALSE)," ")</f>
        <v xml:space="preserve"> </v>
      </c>
      <c r="P143" s="78" t="str">
        <f>IFERROR(VLOOKUP($A143,'The List'!$B1:$AS727,42,FALSE)," ")</f>
        <v xml:space="preserve"> </v>
      </c>
      <c r="Q143" s="78" t="str">
        <f>IFERROR(VLOOKUP($A143,'The List'!$B1:$AS727,43,FALSE)," ")</f>
        <v xml:space="preserve"> </v>
      </c>
      <c r="R143" s="55"/>
      <c r="S143" s="55"/>
      <c r="T143" s="55"/>
      <c r="U143" s="165"/>
      <c r="V143" s="165"/>
      <c r="W143" s="165"/>
      <c r="X143" s="165"/>
      <c r="Y143" s="165"/>
      <c r="Z143" s="165"/>
      <c r="AA143" s="55"/>
      <c r="AB143" s="55"/>
      <c r="AC143" s="55"/>
      <c r="AD143" s="55"/>
      <c r="AE143" s="55"/>
      <c r="AF143" s="55"/>
    </row>
    <row r="144" spans="1:32" ht="21.25" customHeight="1" x14ac:dyDescent="0.15">
      <c r="A144" s="79"/>
      <c r="B144" s="80"/>
      <c r="C144" s="81"/>
      <c r="D144" s="82"/>
      <c r="E144" s="117" t="str">
        <f>IFERROR(AVERAGE(E141:E143)," ")</f>
        <v xml:space="preserve"> </v>
      </c>
      <c r="F144" s="84">
        <f>SUM(F141:F143)</f>
        <v>0</v>
      </c>
      <c r="G144" s="84">
        <f>SUM(G141:G143)</f>
        <v>0</v>
      </c>
      <c r="H144" s="85"/>
      <c r="I144" s="86">
        <f t="shared" ref="I144:O144" si="9">SUM(I141:I143)</f>
        <v>0</v>
      </c>
      <c r="J144" s="85">
        <f t="shared" si="9"/>
        <v>0</v>
      </c>
      <c r="K144" s="86">
        <f t="shared" si="9"/>
        <v>0</v>
      </c>
      <c r="L144" s="86">
        <f t="shared" si="9"/>
        <v>0</v>
      </c>
      <c r="M144" s="86">
        <f t="shared" si="9"/>
        <v>0</v>
      </c>
      <c r="N144" s="86">
        <f t="shared" si="9"/>
        <v>0</v>
      </c>
      <c r="O144" s="86">
        <f t="shared" si="9"/>
        <v>0</v>
      </c>
      <c r="P144" s="115" t="e">
        <f>1-(O144/(N144+O144))</f>
        <v>#DIV/0!</v>
      </c>
      <c r="Q144" s="116" t="e">
        <f>O144/I144</f>
        <v>#DIV/0!</v>
      </c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</row>
    <row r="145" spans="1:32" ht="70.75" customHeight="1" x14ac:dyDescent="0.15">
      <c r="A145" s="89"/>
      <c r="B145" s="90"/>
      <c r="C145" s="91"/>
      <c r="D145" s="11"/>
      <c r="E145" s="11"/>
      <c r="F145" s="92"/>
      <c r="G145" s="93"/>
      <c r="H145" s="94"/>
      <c r="I145" s="9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60"/>
      <c r="AB145" s="60"/>
      <c r="AC145" s="60"/>
      <c r="AD145" s="60"/>
      <c r="AE145" s="60"/>
      <c r="AF145" s="60"/>
    </row>
    <row r="146" spans="1:32" ht="21.25" customHeight="1" x14ac:dyDescent="0.15">
      <c r="A146" s="25" t="s">
        <v>839</v>
      </c>
      <c r="B146" s="173" t="s">
        <v>68</v>
      </c>
      <c r="C146" s="170"/>
      <c r="D146" s="26" t="s">
        <v>69</v>
      </c>
      <c r="E146" s="26" t="s">
        <v>70</v>
      </c>
      <c r="F146" s="27" t="s">
        <v>72</v>
      </c>
      <c r="G146" s="27" t="s">
        <v>74</v>
      </c>
      <c r="H146" s="28"/>
      <c r="I146" s="30" t="s">
        <v>79</v>
      </c>
      <c r="J146" s="30" t="s">
        <v>80</v>
      </c>
      <c r="K146" s="30" t="s">
        <v>81</v>
      </c>
      <c r="L146" s="30" t="s">
        <v>82</v>
      </c>
      <c r="M146" s="30" t="s">
        <v>83</v>
      </c>
      <c r="N146" s="30" t="s">
        <v>84</v>
      </c>
      <c r="O146" s="30" t="s">
        <v>85</v>
      </c>
      <c r="P146" s="30" t="s">
        <v>86</v>
      </c>
      <c r="Q146" s="30" t="s">
        <v>87</v>
      </c>
      <c r="R146" s="30" t="s">
        <v>88</v>
      </c>
      <c r="S146" s="30" t="s">
        <v>89</v>
      </c>
      <c r="T146" s="30" t="s">
        <v>90</v>
      </c>
      <c r="U146" s="30" t="s">
        <v>91</v>
      </c>
      <c r="V146" s="30" t="s">
        <v>92</v>
      </c>
      <c r="W146" s="30" t="s">
        <v>93</v>
      </c>
      <c r="X146" s="30" t="s">
        <v>94</v>
      </c>
      <c r="Y146" s="30" t="s">
        <v>95</v>
      </c>
      <c r="Z146" s="30" t="s">
        <v>96</v>
      </c>
      <c r="AA146" s="55"/>
      <c r="AB146" s="56"/>
      <c r="AC146" s="56"/>
      <c r="AD146" s="56"/>
      <c r="AE146" s="56"/>
      <c r="AF146" s="56"/>
    </row>
    <row r="147" spans="1:32" ht="21.25" customHeight="1" x14ac:dyDescent="0.15">
      <c r="A147" s="23"/>
      <c r="B147" s="57" t="str">
        <f>IFERROR(VLOOKUP($A147,'The List'!$B1:$AS727,3,FALSE)," ")</f>
        <v xml:space="preserve"> </v>
      </c>
      <c r="C147" s="61" t="str">
        <f>IFERROR(VLOOKUP($A147,'The List'!$B1:$AS727,4,FALSE)," ")</f>
        <v xml:space="preserve"> </v>
      </c>
      <c r="D147" s="35" t="str">
        <f>IFERROR(VLOOKUP($A147,'The List'!$B1:$AS727,5,FALSE)," ")</f>
        <v xml:space="preserve"> </v>
      </c>
      <c r="E147" s="35" t="str">
        <f>IFERROR(VLOOKUP($A147,'The List'!$B1:$AS727,6,FALSE)," ")</f>
        <v xml:space="preserve"> </v>
      </c>
      <c r="F147" s="52" t="str">
        <f>IFERROR(VLOOKUP($A147,'The List'!$B1:$AS727,8,FALSE)," ")</f>
        <v xml:space="preserve"> </v>
      </c>
      <c r="G147" s="52" t="str">
        <f>IFERROR(VLOOKUP($A147,'The List'!$B1:$AS727,10,FALSE)," ")</f>
        <v xml:space="preserve"> </v>
      </c>
      <c r="H147" s="39"/>
      <c r="I147" s="53" t="str">
        <f>IFERROR(VLOOKUP($A147,'The List'!$B1:$AS727,16,FALSE)," ")</f>
        <v xml:space="preserve"> </v>
      </c>
      <c r="J147" s="53" t="str">
        <f>IFERROR(VLOOKUP($A147,'The List'!$B1:$AS727,17,FALSE)," ")</f>
        <v xml:space="preserve"> </v>
      </c>
      <c r="K147" s="53" t="str">
        <f>IFERROR(VLOOKUP($A147,'The List'!$B1:$AS727,18,FALSE)," ")</f>
        <v xml:space="preserve"> </v>
      </c>
      <c r="L147" s="53" t="str">
        <f>IFERROR(VLOOKUP($A147,'The List'!$B1:$AS727,19,FALSE)," ")</f>
        <v xml:space="preserve"> </v>
      </c>
      <c r="M147" s="53" t="str">
        <f>IFERROR(VLOOKUP($A147,'The List'!$B1:$AS727,20,FALSE)," ")</f>
        <v xml:space="preserve"> </v>
      </c>
      <c r="N147" s="53" t="str">
        <f>IFERROR(VLOOKUP($A147,'The List'!$B1:$AS727,21,FALSE)," ")</f>
        <v xml:space="preserve"> </v>
      </c>
      <c r="O147" s="53" t="str">
        <f>IFERROR(VLOOKUP($A147,'The List'!$B1:$AS727,22,FALSE)," ")</f>
        <v xml:space="preserve"> </v>
      </c>
      <c r="P147" s="53" t="str">
        <f>IFERROR(VLOOKUP($A147,'The List'!$B1:$AS727,23,FALSE)," ")</f>
        <v xml:space="preserve"> </v>
      </c>
      <c r="Q147" s="53" t="str">
        <f>IFERROR(VLOOKUP($A147,'The List'!$B1:$AS727,24,FALSE)," ")</f>
        <v xml:space="preserve"> </v>
      </c>
      <c r="R147" s="53" t="str">
        <f>IFERROR(VLOOKUP($A147,'The List'!$B1:$AS727,25,FALSE)," ")</f>
        <v xml:space="preserve"> </v>
      </c>
      <c r="S147" s="53" t="str">
        <f>IFERROR(VLOOKUP($A147,'The List'!$B1:$AS727,26,FALSE)," ")</f>
        <v xml:space="preserve"> </v>
      </c>
      <c r="T147" s="53" t="str">
        <f>IFERROR(VLOOKUP($A147,'The List'!$B1:$AS727,27,FALSE)," ")</f>
        <v xml:space="preserve"> </v>
      </c>
      <c r="U147" s="53" t="str">
        <f>IFERROR(VLOOKUP($A147,'The List'!$B1:$AS727,28,FALSE)," ")</f>
        <v xml:space="preserve"> </v>
      </c>
      <c r="V147" s="53" t="str">
        <f>IFERROR(VLOOKUP($A147,'The List'!$B1:$AS727,29,FALSE)," ")</f>
        <v xml:space="preserve"> </v>
      </c>
      <c r="W147" s="53" t="str">
        <f>IFERROR(VLOOKUP($A147,'The List'!$B1:$AS727,30,FALSE)," ")</f>
        <v xml:space="preserve"> </v>
      </c>
      <c r="X147" s="53" t="str">
        <f>IFERROR(VLOOKUP($A147,'The List'!$B1:$AS727,31,FALSE)," ")</f>
        <v xml:space="preserve"> </v>
      </c>
      <c r="Y147" s="53" t="str">
        <f>IFERROR(VLOOKUP($A147,'The List'!$B1:$AS727,32,FALSE)," ")</f>
        <v xml:space="preserve"> </v>
      </c>
      <c r="Z147" s="53" t="str">
        <f>IFERROR(VLOOKUP($A147,'The List'!$B1:$AS727,33,FALSE)," ")</f>
        <v xml:space="preserve"> </v>
      </c>
      <c r="AA147" s="55"/>
      <c r="AB147" s="60"/>
      <c r="AC147" s="60"/>
      <c r="AD147" s="60"/>
      <c r="AE147" s="60"/>
      <c r="AF147" s="60"/>
    </row>
    <row r="148" spans="1:32" ht="21.25" customHeight="1" x14ac:dyDescent="0.15">
      <c r="A148" s="23"/>
      <c r="B148" s="57" t="str">
        <f>IFERROR(VLOOKUP($A148,'The List'!$B1:$AS727,3,FALSE)," ")</f>
        <v xml:space="preserve"> </v>
      </c>
      <c r="C148" s="61" t="str">
        <f>IFERROR(VLOOKUP($A148,'The List'!$B1:$AS727,4,FALSE)," ")</f>
        <v xml:space="preserve"> </v>
      </c>
      <c r="D148" s="35" t="str">
        <f>IFERROR(VLOOKUP($A148,'The List'!$B1:$AS727,5,FALSE)," ")</f>
        <v xml:space="preserve"> </v>
      </c>
      <c r="E148" s="35" t="str">
        <f>IFERROR(VLOOKUP($A148,'The List'!$B1:$AS727,6,FALSE)," ")</f>
        <v xml:space="preserve"> </v>
      </c>
      <c r="F148" s="52" t="str">
        <f>IFERROR(VLOOKUP($A148,'The List'!$B1:$AS727,8,FALSE)," ")</f>
        <v xml:space="preserve"> </v>
      </c>
      <c r="G148" s="52" t="str">
        <f>IFERROR(VLOOKUP($A148,'The List'!$B1:$AS727,10,FALSE)," ")</f>
        <v xml:space="preserve"> </v>
      </c>
      <c r="H148" s="39"/>
      <c r="I148" s="53" t="str">
        <f>IFERROR(VLOOKUP($A148,'The List'!$B1:$AS727,16,FALSE)," ")</f>
        <v xml:space="preserve"> </v>
      </c>
      <c r="J148" s="53" t="str">
        <f>IFERROR(VLOOKUP($A148,'The List'!$B1:$AS727,17,FALSE)," ")</f>
        <v xml:space="preserve"> </v>
      </c>
      <c r="K148" s="53" t="str">
        <f>IFERROR(VLOOKUP($A148,'The List'!$B1:$AS727,18,FALSE)," ")</f>
        <v xml:space="preserve"> </v>
      </c>
      <c r="L148" s="53" t="str">
        <f>IFERROR(VLOOKUP($A148,'The List'!$B1:$AS727,19,FALSE)," ")</f>
        <v xml:space="preserve"> </v>
      </c>
      <c r="M148" s="53" t="str">
        <f>IFERROR(VLOOKUP($A148,'The List'!$B1:$AS727,20,FALSE)," ")</f>
        <v xml:space="preserve"> </v>
      </c>
      <c r="N148" s="53" t="str">
        <f>IFERROR(VLOOKUP($A148,'The List'!$B1:$AS727,21,FALSE)," ")</f>
        <v xml:space="preserve"> </v>
      </c>
      <c r="O148" s="53" t="str">
        <f>IFERROR(VLOOKUP($A148,'The List'!$B1:$AS727,22,FALSE)," ")</f>
        <v xml:space="preserve"> </v>
      </c>
      <c r="P148" s="53" t="str">
        <f>IFERROR(VLOOKUP($A148,'The List'!$B1:$AS727,23,FALSE)," ")</f>
        <v xml:space="preserve"> </v>
      </c>
      <c r="Q148" s="53" t="str">
        <f>IFERROR(VLOOKUP($A148,'The List'!$B1:$AS727,24,FALSE)," ")</f>
        <v xml:space="preserve"> </v>
      </c>
      <c r="R148" s="53" t="str">
        <f>IFERROR(VLOOKUP($A148,'The List'!$B1:$AS727,25,FALSE)," ")</f>
        <v xml:space="preserve"> </v>
      </c>
      <c r="S148" s="53" t="str">
        <f>IFERROR(VLOOKUP($A148,'The List'!$B1:$AS727,26,FALSE)," ")</f>
        <v xml:space="preserve"> </v>
      </c>
      <c r="T148" s="53" t="str">
        <f>IFERROR(VLOOKUP($A148,'The List'!$B1:$AS727,27,FALSE)," ")</f>
        <v xml:space="preserve"> </v>
      </c>
      <c r="U148" s="53" t="str">
        <f>IFERROR(VLOOKUP($A148,'The List'!$B1:$AS727,28,FALSE)," ")</f>
        <v xml:space="preserve"> </v>
      </c>
      <c r="V148" s="53" t="str">
        <f>IFERROR(VLOOKUP($A148,'The List'!$B1:$AS727,29,FALSE)," ")</f>
        <v xml:space="preserve"> </v>
      </c>
      <c r="W148" s="53" t="str">
        <f>IFERROR(VLOOKUP($A148,'The List'!$B1:$AS727,30,FALSE)," ")</f>
        <v xml:space="preserve"> </v>
      </c>
      <c r="X148" s="53" t="str">
        <f>IFERROR(VLOOKUP($A148,'The List'!$B1:$AS727,31,FALSE)," ")</f>
        <v xml:space="preserve"> </v>
      </c>
      <c r="Y148" s="53" t="str">
        <f>IFERROR(VLOOKUP($A148,'The List'!$B1:$AS727,32,FALSE)," ")</f>
        <v xml:space="preserve"> </v>
      </c>
      <c r="Z148" s="53" t="str">
        <f>IFERROR(VLOOKUP($A148,'The List'!$B1:$AS727,33,FALSE)," ")</f>
        <v xml:space="preserve"> </v>
      </c>
      <c r="AA148" s="55"/>
      <c r="AB148" s="60"/>
      <c r="AC148" s="60"/>
      <c r="AD148" s="60"/>
      <c r="AE148" s="60"/>
      <c r="AF148" s="60"/>
    </row>
    <row r="149" spans="1:32" ht="21.25" customHeight="1" x14ac:dyDescent="0.15">
      <c r="A149" s="23"/>
      <c r="B149" s="57" t="str">
        <f>IFERROR(VLOOKUP($A149,'The List'!$B1:$AS727,3,FALSE)," ")</f>
        <v xml:space="preserve"> </v>
      </c>
      <c r="C149" s="61" t="str">
        <f>IFERROR(VLOOKUP($A149,'The List'!$B1:$AS727,4,FALSE)," ")</f>
        <v xml:space="preserve"> </v>
      </c>
      <c r="D149" s="35" t="str">
        <f>IFERROR(VLOOKUP($A149,'The List'!$B1:$AS727,5,FALSE)," ")</f>
        <v xml:space="preserve"> </v>
      </c>
      <c r="E149" s="35" t="str">
        <f>IFERROR(VLOOKUP($A149,'The List'!$B1:$AS727,6,FALSE)," ")</f>
        <v xml:space="preserve"> </v>
      </c>
      <c r="F149" s="52" t="str">
        <f>IFERROR(VLOOKUP($A149,'The List'!$B1:$AS727,8,FALSE)," ")</f>
        <v xml:space="preserve"> </v>
      </c>
      <c r="G149" s="52" t="str">
        <f>IFERROR(VLOOKUP($A149,'The List'!$B1:$AS727,10,FALSE)," ")</f>
        <v xml:space="preserve"> </v>
      </c>
      <c r="H149" s="39"/>
      <c r="I149" s="53" t="str">
        <f>IFERROR(VLOOKUP($A149,'The List'!$B1:$AS727,16,FALSE)," ")</f>
        <v xml:space="preserve"> </v>
      </c>
      <c r="J149" s="53" t="str">
        <f>IFERROR(VLOOKUP($A149,'The List'!$B1:$AS727,17,FALSE)," ")</f>
        <v xml:space="preserve"> </v>
      </c>
      <c r="K149" s="53" t="str">
        <f>IFERROR(VLOOKUP($A149,'The List'!$B1:$AS727,18,FALSE)," ")</f>
        <v xml:space="preserve"> </v>
      </c>
      <c r="L149" s="53" t="str">
        <f>IFERROR(VLOOKUP($A149,'The List'!$B1:$AS727,19,FALSE)," ")</f>
        <v xml:space="preserve"> </v>
      </c>
      <c r="M149" s="53" t="str">
        <f>IFERROR(VLOOKUP($A149,'The List'!$B1:$AS727,20,FALSE)," ")</f>
        <v xml:space="preserve"> </v>
      </c>
      <c r="N149" s="53" t="str">
        <f>IFERROR(VLOOKUP($A149,'The List'!$B1:$AS727,21,FALSE)," ")</f>
        <v xml:space="preserve"> </v>
      </c>
      <c r="O149" s="53" t="str">
        <f>IFERROR(VLOOKUP($A149,'The List'!$B1:$AS727,22,FALSE)," ")</f>
        <v xml:space="preserve"> </v>
      </c>
      <c r="P149" s="53" t="str">
        <f>IFERROR(VLOOKUP($A149,'The List'!$B1:$AS727,23,FALSE)," ")</f>
        <v xml:space="preserve"> </v>
      </c>
      <c r="Q149" s="53" t="str">
        <f>IFERROR(VLOOKUP($A149,'The List'!$B1:$AS727,24,FALSE)," ")</f>
        <v xml:space="preserve"> </v>
      </c>
      <c r="R149" s="53" t="str">
        <f>IFERROR(VLOOKUP($A149,'The List'!$B1:$AS727,25,FALSE)," ")</f>
        <v xml:space="preserve"> </v>
      </c>
      <c r="S149" s="53" t="str">
        <f>IFERROR(VLOOKUP($A149,'The List'!$B1:$AS727,26,FALSE)," ")</f>
        <v xml:space="preserve"> </v>
      </c>
      <c r="T149" s="53" t="str">
        <f>IFERROR(VLOOKUP($A149,'The List'!$B1:$AS727,27,FALSE)," ")</f>
        <v xml:space="preserve"> </v>
      </c>
      <c r="U149" s="53" t="str">
        <f>IFERROR(VLOOKUP($A149,'The List'!$B1:$AS727,28,FALSE)," ")</f>
        <v xml:space="preserve"> </v>
      </c>
      <c r="V149" s="53" t="str">
        <f>IFERROR(VLOOKUP($A149,'The List'!$B1:$AS727,29,FALSE)," ")</f>
        <v xml:space="preserve"> </v>
      </c>
      <c r="W149" s="53" t="str">
        <f>IFERROR(VLOOKUP($A149,'The List'!$B1:$AS727,30,FALSE)," ")</f>
        <v xml:space="preserve"> </v>
      </c>
      <c r="X149" s="53" t="str">
        <f>IFERROR(VLOOKUP($A149,'The List'!$B1:$AS727,31,FALSE)," ")</f>
        <v xml:space="preserve"> </v>
      </c>
      <c r="Y149" s="53" t="str">
        <f>IFERROR(VLOOKUP($A149,'The List'!$B1:$AS727,32,FALSE)," ")</f>
        <v xml:space="preserve"> </v>
      </c>
      <c r="Z149" s="53" t="str">
        <f>IFERROR(VLOOKUP($A149,'The List'!$B1:$AS727,33,FALSE)," ")</f>
        <v xml:space="preserve"> </v>
      </c>
      <c r="AA149" s="55"/>
      <c r="AB149" s="60"/>
      <c r="AC149" s="60"/>
      <c r="AD149" s="60"/>
      <c r="AE149" s="60"/>
      <c r="AF149" s="60"/>
    </row>
    <row r="150" spans="1:32" ht="21.25" customHeight="1" x14ac:dyDescent="0.15">
      <c r="A150" s="23"/>
      <c r="B150" s="57" t="str">
        <f>IFERROR(VLOOKUP($A150,'The List'!$B1:$AS727,3,FALSE)," ")</f>
        <v xml:space="preserve"> </v>
      </c>
      <c r="C150" s="61" t="str">
        <f>IFERROR(VLOOKUP($A150,'The List'!$B1:$AS727,4,FALSE)," ")</f>
        <v xml:space="preserve"> </v>
      </c>
      <c r="D150" s="35" t="str">
        <f>IFERROR(VLOOKUP($A150,'The List'!$B1:$AS727,5,FALSE)," ")</f>
        <v xml:space="preserve"> </v>
      </c>
      <c r="E150" s="35" t="str">
        <f>IFERROR(VLOOKUP($A150,'The List'!$B1:$AS727,6,FALSE)," ")</f>
        <v xml:space="preserve"> </v>
      </c>
      <c r="F150" s="52" t="str">
        <f>IFERROR(VLOOKUP($A150,'The List'!$B1:$AS727,8,FALSE)," ")</f>
        <v xml:space="preserve"> </v>
      </c>
      <c r="G150" s="52" t="str">
        <f>IFERROR(VLOOKUP($A150,'The List'!$B1:$AS727,10,FALSE)," ")</f>
        <v xml:space="preserve"> </v>
      </c>
      <c r="H150" s="39"/>
      <c r="I150" s="53" t="str">
        <f>IFERROR(VLOOKUP($A150,'The List'!$B1:$AS727,16,FALSE)," ")</f>
        <v xml:space="preserve"> </v>
      </c>
      <c r="J150" s="53" t="str">
        <f>IFERROR(VLOOKUP($A150,'The List'!$B1:$AS727,17,FALSE)," ")</f>
        <v xml:space="preserve"> </v>
      </c>
      <c r="K150" s="53" t="str">
        <f>IFERROR(VLOOKUP($A150,'The List'!$B1:$AS727,18,FALSE)," ")</f>
        <v xml:space="preserve"> </v>
      </c>
      <c r="L150" s="53" t="str">
        <f>IFERROR(VLOOKUP($A150,'The List'!$B1:$AS727,19,FALSE)," ")</f>
        <v xml:space="preserve"> </v>
      </c>
      <c r="M150" s="53" t="str">
        <f>IFERROR(VLOOKUP($A150,'The List'!$B1:$AS727,20,FALSE)," ")</f>
        <v xml:space="preserve"> </v>
      </c>
      <c r="N150" s="53" t="str">
        <f>IFERROR(VLOOKUP($A150,'The List'!$B1:$AS727,21,FALSE)," ")</f>
        <v xml:space="preserve"> </v>
      </c>
      <c r="O150" s="53" t="str">
        <f>IFERROR(VLOOKUP($A150,'The List'!$B1:$AS727,22,FALSE)," ")</f>
        <v xml:space="preserve"> </v>
      </c>
      <c r="P150" s="53" t="str">
        <f>IFERROR(VLOOKUP($A150,'The List'!$B1:$AS727,23,FALSE)," ")</f>
        <v xml:space="preserve"> </v>
      </c>
      <c r="Q150" s="53" t="str">
        <f>IFERROR(VLOOKUP($A150,'The List'!$B1:$AS727,24,FALSE)," ")</f>
        <v xml:space="preserve"> </v>
      </c>
      <c r="R150" s="53" t="str">
        <f>IFERROR(VLOOKUP($A150,'The List'!$B1:$AS727,25,FALSE)," ")</f>
        <v xml:space="preserve"> </v>
      </c>
      <c r="S150" s="53" t="str">
        <f>IFERROR(VLOOKUP($A150,'The List'!$B1:$AS727,26,FALSE)," ")</f>
        <v xml:space="preserve"> </v>
      </c>
      <c r="T150" s="53" t="str">
        <f>IFERROR(VLOOKUP($A150,'The List'!$B1:$AS727,27,FALSE)," ")</f>
        <v xml:space="preserve"> </v>
      </c>
      <c r="U150" s="53" t="str">
        <f>IFERROR(VLOOKUP($A150,'The List'!$B1:$AS727,28,FALSE)," ")</f>
        <v xml:space="preserve"> </v>
      </c>
      <c r="V150" s="53" t="str">
        <f>IFERROR(VLOOKUP($A150,'The List'!$B1:$AS727,29,FALSE)," ")</f>
        <v xml:space="preserve"> </v>
      </c>
      <c r="W150" s="53" t="str">
        <f>IFERROR(VLOOKUP($A150,'The List'!$B1:$AS727,30,FALSE)," ")</f>
        <v xml:space="preserve"> </v>
      </c>
      <c r="X150" s="53" t="str">
        <f>IFERROR(VLOOKUP($A150,'The List'!$B1:$AS727,31,FALSE)," ")</f>
        <v xml:space="preserve"> </v>
      </c>
      <c r="Y150" s="53" t="str">
        <f>IFERROR(VLOOKUP($A150,'The List'!$B1:$AS727,32,FALSE)," ")</f>
        <v xml:space="preserve"> </v>
      </c>
      <c r="Z150" s="53" t="str">
        <f>IFERROR(VLOOKUP($A150,'The List'!$B1:$AS727,33,FALSE)," ")</f>
        <v xml:space="preserve"> </v>
      </c>
      <c r="AA150" s="55"/>
      <c r="AB150" s="60"/>
      <c r="AC150" s="60"/>
      <c r="AD150" s="60"/>
      <c r="AE150" s="60"/>
      <c r="AF150" s="60"/>
    </row>
    <row r="151" spans="1:32" ht="21.25" customHeight="1" x14ac:dyDescent="0.15">
      <c r="A151" s="23"/>
      <c r="B151" s="62" t="str">
        <f>IFERROR(VLOOKUP($A151,'The List'!$B1:$AS727,3,FALSE)," ")</f>
        <v xml:space="preserve"> </v>
      </c>
      <c r="C151" s="64" t="str">
        <f>IFERROR(VLOOKUP($A151,'The List'!$B1:$AS727,4,FALSE)," ")</f>
        <v xml:space="preserve"> </v>
      </c>
      <c r="D151" s="35" t="str">
        <f>IFERROR(VLOOKUP($A151,'The List'!$B1:$AS727,5,FALSE)," ")</f>
        <v xml:space="preserve"> </v>
      </c>
      <c r="E151" s="35" t="str">
        <f>IFERROR(VLOOKUP($A151,'The List'!$B1:$AS727,6,FALSE)," ")</f>
        <v xml:space="preserve"> </v>
      </c>
      <c r="F151" s="52" t="str">
        <f>IFERROR(VLOOKUP($A151,'The List'!$B1:$AS727,8,FALSE)," ")</f>
        <v xml:space="preserve"> </v>
      </c>
      <c r="G151" s="52" t="str">
        <f>IFERROR(VLOOKUP($A151,'The List'!$B1:$AS727,10,FALSE)," ")</f>
        <v xml:space="preserve"> </v>
      </c>
      <c r="H151" s="39"/>
      <c r="I151" s="53" t="str">
        <f>IFERROR(VLOOKUP($A151,'The List'!$B1:$AS727,16,FALSE)," ")</f>
        <v xml:space="preserve"> </v>
      </c>
      <c r="J151" s="53" t="str">
        <f>IFERROR(VLOOKUP($A151,'The List'!$B1:$AS727,17,FALSE)," ")</f>
        <v xml:space="preserve"> </v>
      </c>
      <c r="K151" s="53" t="str">
        <f>IFERROR(VLOOKUP($A151,'The List'!$B1:$AS727,18,FALSE)," ")</f>
        <v xml:space="preserve"> </v>
      </c>
      <c r="L151" s="53" t="str">
        <f>IFERROR(VLOOKUP($A151,'The List'!$B1:$AS727,19,FALSE)," ")</f>
        <v xml:space="preserve"> </v>
      </c>
      <c r="M151" s="53" t="str">
        <f>IFERROR(VLOOKUP($A151,'The List'!$B1:$AS727,20,FALSE)," ")</f>
        <v xml:space="preserve"> </v>
      </c>
      <c r="N151" s="53" t="str">
        <f>IFERROR(VLOOKUP($A151,'The List'!$B1:$AS727,21,FALSE)," ")</f>
        <v xml:space="preserve"> </v>
      </c>
      <c r="O151" s="53" t="str">
        <f>IFERROR(VLOOKUP($A151,'The List'!$B1:$AS727,22,FALSE)," ")</f>
        <v xml:space="preserve"> </v>
      </c>
      <c r="P151" s="53" t="str">
        <f>IFERROR(VLOOKUP($A151,'The List'!$B1:$AS727,23,FALSE)," ")</f>
        <v xml:space="preserve"> </v>
      </c>
      <c r="Q151" s="53" t="str">
        <f>IFERROR(VLOOKUP($A151,'The List'!$B1:$AS727,24,FALSE)," ")</f>
        <v xml:space="preserve"> </v>
      </c>
      <c r="R151" s="53" t="str">
        <f>IFERROR(VLOOKUP($A151,'The List'!$B1:$AS727,25,FALSE)," ")</f>
        <v xml:space="preserve"> </v>
      </c>
      <c r="S151" s="53" t="str">
        <f>IFERROR(VLOOKUP($A151,'The List'!$B1:$AS727,26,FALSE)," ")</f>
        <v xml:space="preserve"> </v>
      </c>
      <c r="T151" s="53" t="str">
        <f>IFERROR(VLOOKUP($A151,'The List'!$B1:$AS727,27,FALSE)," ")</f>
        <v xml:space="preserve"> </v>
      </c>
      <c r="U151" s="53" t="str">
        <f>IFERROR(VLOOKUP($A151,'The List'!$B1:$AS727,28,FALSE)," ")</f>
        <v xml:space="preserve"> </v>
      </c>
      <c r="V151" s="53" t="str">
        <f>IFERROR(VLOOKUP($A151,'The List'!$B1:$AS727,29,FALSE)," ")</f>
        <v xml:space="preserve"> </v>
      </c>
      <c r="W151" s="53" t="str">
        <f>IFERROR(VLOOKUP($A151,'The List'!$B1:$AS727,30,FALSE)," ")</f>
        <v xml:space="preserve"> </v>
      </c>
      <c r="X151" s="53" t="str">
        <f>IFERROR(VLOOKUP($A151,'The List'!$B1:$AS727,31,FALSE)," ")</f>
        <v xml:space="preserve"> </v>
      </c>
      <c r="Y151" s="53" t="str">
        <f>IFERROR(VLOOKUP($A151,'The List'!$B1:$AS727,32,FALSE)," ")</f>
        <v xml:space="preserve"> </v>
      </c>
      <c r="Z151" s="53" t="str">
        <f>IFERROR(VLOOKUP($A151,'The List'!$B1:$AS727,33,FALSE)," ")</f>
        <v xml:space="preserve"> </v>
      </c>
      <c r="AA151" s="55"/>
      <c r="AB151" s="60"/>
      <c r="AC151" s="60"/>
      <c r="AD151" s="60"/>
      <c r="AE151" s="60"/>
      <c r="AF151" s="60"/>
    </row>
    <row r="152" spans="1:32" ht="21.25" customHeight="1" x14ac:dyDescent="0.15">
      <c r="A152" s="23"/>
      <c r="B152" s="62" t="str">
        <f>IFERROR(VLOOKUP($A152,'The List'!$B1:$AS727,3,FALSE)," ")</f>
        <v xml:space="preserve"> </v>
      </c>
      <c r="C152" s="64" t="str">
        <f>IFERROR(VLOOKUP($A152,'The List'!$B1:$AS727,4,FALSE)," ")</f>
        <v xml:space="preserve"> </v>
      </c>
      <c r="D152" s="35" t="str">
        <f>IFERROR(VLOOKUP($A152,'The List'!$B1:$AS727,5,FALSE)," ")</f>
        <v xml:space="preserve"> </v>
      </c>
      <c r="E152" s="35" t="str">
        <f>IFERROR(VLOOKUP($A152,'The List'!$B1:$AS727,6,FALSE)," ")</f>
        <v xml:space="preserve"> </v>
      </c>
      <c r="F152" s="52" t="str">
        <f>IFERROR(VLOOKUP($A152,'The List'!$B1:$AS727,8,FALSE)," ")</f>
        <v xml:space="preserve"> </v>
      </c>
      <c r="G152" s="52" t="str">
        <f>IFERROR(VLOOKUP($A152,'The List'!$B1:$AS727,10,FALSE)," ")</f>
        <v xml:space="preserve"> </v>
      </c>
      <c r="H152" s="39"/>
      <c r="I152" s="53" t="str">
        <f>IFERROR(VLOOKUP($A152,'The List'!$B1:$AS727,16,FALSE)," ")</f>
        <v xml:space="preserve"> </v>
      </c>
      <c r="J152" s="53" t="str">
        <f>IFERROR(VLOOKUP($A152,'The List'!$B1:$AS727,17,FALSE)," ")</f>
        <v xml:space="preserve"> </v>
      </c>
      <c r="K152" s="53" t="str">
        <f>IFERROR(VLOOKUP($A152,'The List'!$B1:$AS727,18,FALSE)," ")</f>
        <v xml:space="preserve"> </v>
      </c>
      <c r="L152" s="53" t="str">
        <f>IFERROR(VLOOKUP($A152,'The List'!$B1:$AS727,19,FALSE)," ")</f>
        <v xml:space="preserve"> </v>
      </c>
      <c r="M152" s="53" t="str">
        <f>IFERROR(VLOOKUP($A152,'The List'!$B1:$AS727,20,FALSE)," ")</f>
        <v xml:space="preserve"> </v>
      </c>
      <c r="N152" s="53" t="str">
        <f>IFERROR(VLOOKUP($A152,'The List'!$B1:$AS727,21,FALSE)," ")</f>
        <v xml:space="preserve"> </v>
      </c>
      <c r="O152" s="53" t="str">
        <f>IFERROR(VLOOKUP($A152,'The List'!$B1:$AS727,22,FALSE)," ")</f>
        <v xml:space="preserve"> </v>
      </c>
      <c r="P152" s="53" t="str">
        <f>IFERROR(VLOOKUP($A152,'The List'!$B1:$AS727,23,FALSE)," ")</f>
        <v xml:space="preserve"> </v>
      </c>
      <c r="Q152" s="53" t="str">
        <f>IFERROR(VLOOKUP($A152,'The List'!$B1:$AS727,24,FALSE)," ")</f>
        <v xml:space="preserve"> </v>
      </c>
      <c r="R152" s="53" t="str">
        <f>IFERROR(VLOOKUP($A152,'The List'!$B1:$AS727,25,FALSE)," ")</f>
        <v xml:space="preserve"> </v>
      </c>
      <c r="S152" s="53" t="str">
        <f>IFERROR(VLOOKUP($A152,'The List'!$B1:$AS727,26,FALSE)," ")</f>
        <v xml:space="preserve"> </v>
      </c>
      <c r="T152" s="53" t="str">
        <f>IFERROR(VLOOKUP($A152,'The List'!$B1:$AS727,27,FALSE)," ")</f>
        <v xml:space="preserve"> </v>
      </c>
      <c r="U152" s="53" t="str">
        <f>IFERROR(VLOOKUP($A152,'The List'!$B1:$AS727,28,FALSE)," ")</f>
        <v xml:space="preserve"> </v>
      </c>
      <c r="V152" s="53" t="str">
        <f>IFERROR(VLOOKUP($A152,'The List'!$B1:$AS727,29,FALSE)," ")</f>
        <v xml:space="preserve"> </v>
      </c>
      <c r="W152" s="53" t="str">
        <f>IFERROR(VLOOKUP($A152,'The List'!$B1:$AS727,30,FALSE)," ")</f>
        <v xml:space="preserve"> </v>
      </c>
      <c r="X152" s="53" t="str">
        <f>IFERROR(VLOOKUP($A152,'The List'!$B1:$AS727,31,FALSE)," ")</f>
        <v xml:space="preserve"> </v>
      </c>
      <c r="Y152" s="53" t="str">
        <f>IFERROR(VLOOKUP($A152,'The List'!$B1:$AS727,32,FALSE)," ")</f>
        <v xml:space="preserve"> </v>
      </c>
      <c r="Z152" s="53" t="str">
        <f>IFERROR(VLOOKUP($A152,'The List'!$B1:$AS727,33,FALSE)," ")</f>
        <v xml:space="preserve"> </v>
      </c>
      <c r="AA152" s="55"/>
      <c r="AB152" s="60"/>
      <c r="AC152" s="60"/>
      <c r="AD152" s="60"/>
      <c r="AE152" s="60"/>
      <c r="AF152" s="60"/>
    </row>
    <row r="153" spans="1:32" ht="21.25" customHeight="1" x14ac:dyDescent="0.15">
      <c r="A153" s="23"/>
      <c r="B153" s="62" t="str">
        <f>IFERROR(VLOOKUP($A153,'The List'!$B1:$AS727,3,FALSE)," ")</f>
        <v xml:space="preserve"> </v>
      </c>
      <c r="C153" s="64" t="str">
        <f>IFERROR(VLOOKUP($A153,'The List'!$B1:$AS727,4,FALSE)," ")</f>
        <v xml:space="preserve"> </v>
      </c>
      <c r="D153" s="35" t="str">
        <f>IFERROR(VLOOKUP($A153,'The List'!$B1:$AS727,5,FALSE)," ")</f>
        <v xml:space="preserve"> </v>
      </c>
      <c r="E153" s="35" t="str">
        <f>IFERROR(VLOOKUP($A153,'The List'!$B1:$AS727,6,FALSE)," ")</f>
        <v xml:space="preserve"> </v>
      </c>
      <c r="F153" s="52" t="str">
        <f>IFERROR(VLOOKUP($A153,'The List'!$B1:$AS727,8,FALSE)," ")</f>
        <v xml:space="preserve"> </v>
      </c>
      <c r="G153" s="52" t="str">
        <f>IFERROR(VLOOKUP($A153,'The List'!$B1:$AS727,10,FALSE)," ")</f>
        <v xml:space="preserve"> </v>
      </c>
      <c r="H153" s="39"/>
      <c r="I153" s="53" t="str">
        <f>IFERROR(VLOOKUP($A153,'The List'!$B1:$AS727,16,FALSE)," ")</f>
        <v xml:space="preserve"> </v>
      </c>
      <c r="J153" s="53" t="str">
        <f>IFERROR(VLOOKUP($A153,'The List'!$B1:$AS727,17,FALSE)," ")</f>
        <v xml:space="preserve"> </v>
      </c>
      <c r="K153" s="53" t="str">
        <f>IFERROR(VLOOKUP($A153,'The List'!$B1:$AS727,18,FALSE)," ")</f>
        <v xml:space="preserve"> </v>
      </c>
      <c r="L153" s="53" t="str">
        <f>IFERROR(VLOOKUP($A153,'The List'!$B1:$AS727,19,FALSE)," ")</f>
        <v xml:space="preserve"> </v>
      </c>
      <c r="M153" s="53" t="str">
        <f>IFERROR(VLOOKUP($A153,'The List'!$B1:$AS727,20,FALSE)," ")</f>
        <v xml:space="preserve"> </v>
      </c>
      <c r="N153" s="53" t="str">
        <f>IFERROR(VLOOKUP($A153,'The List'!$B1:$AS727,21,FALSE)," ")</f>
        <v xml:space="preserve"> </v>
      </c>
      <c r="O153" s="53" t="str">
        <f>IFERROR(VLOOKUP($A153,'The List'!$B1:$AS727,22,FALSE)," ")</f>
        <v xml:space="preserve"> </v>
      </c>
      <c r="P153" s="53" t="str">
        <f>IFERROR(VLOOKUP($A153,'The List'!$B1:$AS727,23,FALSE)," ")</f>
        <v xml:space="preserve"> </v>
      </c>
      <c r="Q153" s="53" t="str">
        <f>IFERROR(VLOOKUP($A153,'The List'!$B1:$AS727,24,FALSE)," ")</f>
        <v xml:space="preserve"> </v>
      </c>
      <c r="R153" s="53" t="str">
        <f>IFERROR(VLOOKUP($A153,'The List'!$B1:$AS727,25,FALSE)," ")</f>
        <v xml:space="preserve"> </v>
      </c>
      <c r="S153" s="53" t="str">
        <f>IFERROR(VLOOKUP($A153,'The List'!$B1:$AS727,26,FALSE)," ")</f>
        <v xml:space="preserve"> </v>
      </c>
      <c r="T153" s="53" t="str">
        <f>IFERROR(VLOOKUP($A153,'The List'!$B1:$AS727,27,FALSE)," ")</f>
        <v xml:space="preserve"> </v>
      </c>
      <c r="U153" s="53" t="str">
        <f>IFERROR(VLOOKUP($A153,'The List'!$B1:$AS727,28,FALSE)," ")</f>
        <v xml:space="preserve"> </v>
      </c>
      <c r="V153" s="53" t="str">
        <f>IFERROR(VLOOKUP($A153,'The List'!$B1:$AS727,29,FALSE)," ")</f>
        <v xml:space="preserve"> </v>
      </c>
      <c r="W153" s="53" t="str">
        <f>IFERROR(VLOOKUP($A153,'The List'!$B1:$AS727,30,FALSE)," ")</f>
        <v xml:space="preserve"> </v>
      </c>
      <c r="X153" s="53" t="str">
        <f>IFERROR(VLOOKUP($A153,'The List'!$B1:$AS727,31,FALSE)," ")</f>
        <v xml:space="preserve"> </v>
      </c>
      <c r="Y153" s="53" t="str">
        <f>IFERROR(VLOOKUP($A153,'The List'!$B1:$AS727,32,FALSE)," ")</f>
        <v xml:space="preserve"> </v>
      </c>
      <c r="Z153" s="53" t="str">
        <f>IFERROR(VLOOKUP($A153,'The List'!$B1:$AS727,33,FALSE)," ")</f>
        <v xml:space="preserve"> </v>
      </c>
      <c r="AA153" s="55"/>
      <c r="AB153" s="60"/>
      <c r="AC153" s="60"/>
      <c r="AD153" s="60"/>
      <c r="AE153" s="60"/>
      <c r="AF153" s="60"/>
    </row>
    <row r="154" spans="1:32" ht="21.25" customHeight="1" x14ac:dyDescent="0.15">
      <c r="A154" s="23"/>
      <c r="B154" s="62" t="str">
        <f>IFERROR(VLOOKUP($A154,'The List'!$B1:$AS727,3,FALSE)," ")</f>
        <v xml:space="preserve"> </v>
      </c>
      <c r="C154" s="64" t="str">
        <f>IFERROR(VLOOKUP($A154,'The List'!$B1:$AS727,4,FALSE)," ")</f>
        <v xml:space="preserve"> </v>
      </c>
      <c r="D154" s="35" t="str">
        <f>IFERROR(VLOOKUP($A154,'The List'!$B1:$AS727,5,FALSE)," ")</f>
        <v xml:space="preserve"> </v>
      </c>
      <c r="E154" s="35" t="str">
        <f>IFERROR(VLOOKUP($A154,'The List'!$B1:$AS727,6,FALSE)," ")</f>
        <v xml:space="preserve"> </v>
      </c>
      <c r="F154" s="52" t="str">
        <f>IFERROR(VLOOKUP($A154,'The List'!$B1:$AS727,8,FALSE)," ")</f>
        <v xml:space="preserve"> </v>
      </c>
      <c r="G154" s="52" t="str">
        <f>IFERROR(VLOOKUP($A154,'The List'!$B1:$AS727,10,FALSE)," ")</f>
        <v xml:space="preserve"> </v>
      </c>
      <c r="H154" s="39"/>
      <c r="I154" s="53" t="str">
        <f>IFERROR(VLOOKUP($A154,'The List'!$B1:$AS727,16,FALSE)," ")</f>
        <v xml:space="preserve"> </v>
      </c>
      <c r="J154" s="53" t="str">
        <f>IFERROR(VLOOKUP($A154,'The List'!$B1:$AS727,17,FALSE)," ")</f>
        <v xml:space="preserve"> </v>
      </c>
      <c r="K154" s="53" t="str">
        <f>IFERROR(VLOOKUP($A154,'The List'!$B1:$AS727,18,FALSE)," ")</f>
        <v xml:space="preserve"> </v>
      </c>
      <c r="L154" s="53" t="str">
        <f>IFERROR(VLOOKUP($A154,'The List'!$B1:$AS727,19,FALSE)," ")</f>
        <v xml:space="preserve"> </v>
      </c>
      <c r="M154" s="53" t="str">
        <f>IFERROR(VLOOKUP($A154,'The List'!$B1:$AS727,20,FALSE)," ")</f>
        <v xml:space="preserve"> </v>
      </c>
      <c r="N154" s="53" t="str">
        <f>IFERROR(VLOOKUP($A154,'The List'!$B1:$AS727,21,FALSE)," ")</f>
        <v xml:space="preserve"> </v>
      </c>
      <c r="O154" s="53" t="str">
        <f>IFERROR(VLOOKUP($A154,'The List'!$B1:$AS727,22,FALSE)," ")</f>
        <v xml:space="preserve"> </v>
      </c>
      <c r="P154" s="53" t="str">
        <f>IFERROR(VLOOKUP($A154,'The List'!$B1:$AS727,23,FALSE)," ")</f>
        <v xml:space="preserve"> </v>
      </c>
      <c r="Q154" s="53" t="str">
        <f>IFERROR(VLOOKUP($A154,'The List'!$B1:$AS727,24,FALSE)," ")</f>
        <v xml:space="preserve"> </v>
      </c>
      <c r="R154" s="53" t="str">
        <f>IFERROR(VLOOKUP($A154,'The List'!$B1:$AS727,25,FALSE)," ")</f>
        <v xml:space="preserve"> </v>
      </c>
      <c r="S154" s="53" t="str">
        <f>IFERROR(VLOOKUP($A154,'The List'!$B1:$AS727,26,FALSE)," ")</f>
        <v xml:space="preserve"> </v>
      </c>
      <c r="T154" s="53" t="str">
        <f>IFERROR(VLOOKUP($A154,'The List'!$B1:$AS727,27,FALSE)," ")</f>
        <v xml:space="preserve"> </v>
      </c>
      <c r="U154" s="53" t="str">
        <f>IFERROR(VLOOKUP($A154,'The List'!$B1:$AS727,28,FALSE)," ")</f>
        <v xml:space="preserve"> </v>
      </c>
      <c r="V154" s="53" t="str">
        <f>IFERROR(VLOOKUP($A154,'The List'!$B1:$AS727,29,FALSE)," ")</f>
        <v xml:space="preserve"> </v>
      </c>
      <c r="W154" s="53" t="str">
        <f>IFERROR(VLOOKUP($A154,'The List'!$B1:$AS727,30,FALSE)," ")</f>
        <v xml:space="preserve"> </v>
      </c>
      <c r="X154" s="53" t="str">
        <f>IFERROR(VLOOKUP($A154,'The List'!$B1:$AS727,31,FALSE)," ")</f>
        <v xml:space="preserve"> </v>
      </c>
      <c r="Y154" s="53" t="str">
        <f>IFERROR(VLOOKUP($A154,'The List'!$B1:$AS727,32,FALSE)," ")</f>
        <v xml:space="preserve"> </v>
      </c>
      <c r="Z154" s="53" t="str">
        <f>IFERROR(VLOOKUP($A154,'The List'!$B1:$AS727,33,FALSE)," ")</f>
        <v xml:space="preserve"> </v>
      </c>
      <c r="AA154" s="55"/>
      <c r="AB154" s="60"/>
      <c r="AC154" s="60"/>
      <c r="AD154" s="60"/>
      <c r="AE154" s="60"/>
      <c r="AF154" s="60"/>
    </row>
    <row r="155" spans="1:32" ht="21.25" customHeight="1" x14ac:dyDescent="0.15">
      <c r="A155" s="23"/>
      <c r="B155" s="65" t="str">
        <f>IFERROR(VLOOKUP($A155,'The List'!$B1:$AS727,3,FALSE)," ")</f>
        <v xml:space="preserve"> </v>
      </c>
      <c r="C155" s="67" t="str">
        <f>IFERROR(VLOOKUP($A155,'The List'!$B1:$AS727,4,FALSE)," ")</f>
        <v xml:space="preserve"> </v>
      </c>
      <c r="D155" s="35" t="str">
        <f>IFERROR(VLOOKUP($A155,'The List'!$B1:$AS727,5,FALSE)," ")</f>
        <v xml:space="preserve"> </v>
      </c>
      <c r="E155" s="35" t="str">
        <f>IFERROR(VLOOKUP($A155,'The List'!$B1:$AS727,6,FALSE)," ")</f>
        <v xml:space="preserve"> </v>
      </c>
      <c r="F155" s="52" t="str">
        <f>IFERROR(VLOOKUP($A155,'The List'!$B1:$AS727,8,FALSE)," ")</f>
        <v xml:space="preserve"> </v>
      </c>
      <c r="G155" s="52" t="str">
        <f>IFERROR(VLOOKUP($A155,'The List'!$B1:$AS727,10,FALSE)," ")</f>
        <v xml:space="preserve"> </v>
      </c>
      <c r="H155" s="39"/>
      <c r="I155" s="53" t="str">
        <f>IFERROR(VLOOKUP($A155,'The List'!$B1:$AS727,16,FALSE)," ")</f>
        <v xml:space="preserve"> </v>
      </c>
      <c r="J155" s="53" t="str">
        <f>IFERROR(VLOOKUP($A155,'The List'!$B1:$AS727,17,FALSE)," ")</f>
        <v xml:space="preserve"> </v>
      </c>
      <c r="K155" s="53" t="str">
        <f>IFERROR(VLOOKUP($A155,'The List'!$B1:$AS727,18,FALSE)," ")</f>
        <v xml:space="preserve"> </v>
      </c>
      <c r="L155" s="53" t="str">
        <f>IFERROR(VLOOKUP($A155,'The List'!$B1:$AS727,19,FALSE)," ")</f>
        <v xml:space="preserve"> </v>
      </c>
      <c r="M155" s="53" t="str">
        <f>IFERROR(VLOOKUP($A155,'The List'!$B1:$AS727,20,FALSE)," ")</f>
        <v xml:space="preserve"> </v>
      </c>
      <c r="N155" s="53" t="str">
        <f>IFERROR(VLOOKUP($A155,'The List'!$B1:$AS727,21,FALSE)," ")</f>
        <v xml:space="preserve"> </v>
      </c>
      <c r="O155" s="53" t="str">
        <f>IFERROR(VLOOKUP($A155,'The List'!$B1:$AS727,22,FALSE)," ")</f>
        <v xml:space="preserve"> </v>
      </c>
      <c r="P155" s="53" t="str">
        <f>IFERROR(VLOOKUP($A155,'The List'!$B1:$AS727,23,FALSE)," ")</f>
        <v xml:space="preserve"> </v>
      </c>
      <c r="Q155" s="53" t="str">
        <f>IFERROR(VLOOKUP($A155,'The List'!$B1:$AS727,24,FALSE)," ")</f>
        <v xml:space="preserve"> </v>
      </c>
      <c r="R155" s="53" t="str">
        <f>IFERROR(VLOOKUP($A155,'The List'!$B1:$AS727,25,FALSE)," ")</f>
        <v xml:space="preserve"> </v>
      </c>
      <c r="S155" s="53" t="str">
        <f>IFERROR(VLOOKUP($A155,'The List'!$B1:$AS727,26,FALSE)," ")</f>
        <v xml:space="preserve"> </v>
      </c>
      <c r="T155" s="53" t="str">
        <f>IFERROR(VLOOKUP($A155,'The List'!$B1:$AS727,27,FALSE)," ")</f>
        <v xml:space="preserve"> </v>
      </c>
      <c r="U155" s="53" t="str">
        <f>IFERROR(VLOOKUP($A155,'The List'!$B1:$AS727,28,FALSE)," ")</f>
        <v xml:space="preserve"> </v>
      </c>
      <c r="V155" s="53" t="str">
        <f>IFERROR(VLOOKUP($A155,'The List'!$B1:$AS727,29,FALSE)," ")</f>
        <v xml:space="preserve"> </v>
      </c>
      <c r="W155" s="53" t="str">
        <f>IFERROR(VLOOKUP($A155,'The List'!$B1:$AS727,30,FALSE)," ")</f>
        <v xml:space="preserve"> </v>
      </c>
      <c r="X155" s="53" t="str">
        <f>IFERROR(VLOOKUP($A155,'The List'!$B1:$AS727,31,FALSE)," ")</f>
        <v xml:space="preserve"> </v>
      </c>
      <c r="Y155" s="53" t="str">
        <f>IFERROR(VLOOKUP($A155,'The List'!$B1:$AS727,32,FALSE)," ")</f>
        <v xml:space="preserve"> </v>
      </c>
      <c r="Z155" s="53" t="str">
        <f>IFERROR(VLOOKUP($A155,'The List'!$B1:$AS727,33,FALSE)," ")</f>
        <v xml:space="preserve"> </v>
      </c>
      <c r="AA155" s="55"/>
      <c r="AB155" s="60"/>
      <c r="AC155" s="60"/>
      <c r="AD155" s="60"/>
      <c r="AE155" s="60"/>
      <c r="AF155" s="60"/>
    </row>
    <row r="156" spans="1:32" ht="21.25" customHeight="1" x14ac:dyDescent="0.15">
      <c r="A156" s="23"/>
      <c r="B156" s="65" t="str">
        <f>IFERROR(VLOOKUP($A156,'The List'!$B1:$AS727,3,FALSE)," ")</f>
        <v xml:space="preserve"> </v>
      </c>
      <c r="C156" s="67" t="str">
        <f>IFERROR(VLOOKUP($A156,'The List'!$B1:$AS727,4,FALSE)," ")</f>
        <v xml:space="preserve"> </v>
      </c>
      <c r="D156" s="35" t="str">
        <f>IFERROR(VLOOKUP($A156,'The List'!$B1:$AS727,5,FALSE)," ")</f>
        <v xml:space="preserve"> </v>
      </c>
      <c r="E156" s="35" t="str">
        <f>IFERROR(VLOOKUP($A156,'The List'!$B1:$AS727,6,FALSE)," ")</f>
        <v xml:space="preserve"> </v>
      </c>
      <c r="F156" s="52" t="str">
        <f>IFERROR(VLOOKUP($A156,'The List'!$B1:$AS727,8,FALSE)," ")</f>
        <v xml:space="preserve"> </v>
      </c>
      <c r="G156" s="52" t="str">
        <f>IFERROR(VLOOKUP($A156,'The List'!$B1:$AS727,10,FALSE)," ")</f>
        <v xml:space="preserve"> </v>
      </c>
      <c r="H156" s="39"/>
      <c r="I156" s="53" t="str">
        <f>IFERROR(VLOOKUP($A156,'The List'!$B1:$AS727,16,FALSE)," ")</f>
        <v xml:space="preserve"> </v>
      </c>
      <c r="J156" s="53" t="str">
        <f>IFERROR(VLOOKUP($A156,'The List'!$B1:$AS727,17,FALSE)," ")</f>
        <v xml:space="preserve"> </v>
      </c>
      <c r="K156" s="53" t="str">
        <f>IFERROR(VLOOKUP($A156,'The List'!$B1:$AS727,18,FALSE)," ")</f>
        <v xml:space="preserve"> </v>
      </c>
      <c r="L156" s="53" t="str">
        <f>IFERROR(VLOOKUP($A156,'The List'!$B1:$AS727,19,FALSE)," ")</f>
        <v xml:space="preserve"> </v>
      </c>
      <c r="M156" s="53" t="str">
        <f>IFERROR(VLOOKUP($A156,'The List'!$B1:$AS727,20,FALSE)," ")</f>
        <v xml:space="preserve"> </v>
      </c>
      <c r="N156" s="53" t="str">
        <f>IFERROR(VLOOKUP($A156,'The List'!$B1:$AS727,21,FALSE)," ")</f>
        <v xml:space="preserve"> </v>
      </c>
      <c r="O156" s="53" t="str">
        <f>IFERROR(VLOOKUP($A156,'The List'!$B1:$AS727,22,FALSE)," ")</f>
        <v xml:space="preserve"> </v>
      </c>
      <c r="P156" s="53" t="str">
        <f>IFERROR(VLOOKUP($A156,'The List'!$B1:$AS727,23,FALSE)," ")</f>
        <v xml:space="preserve"> </v>
      </c>
      <c r="Q156" s="53" t="str">
        <f>IFERROR(VLOOKUP($A156,'The List'!$B1:$AS727,24,FALSE)," ")</f>
        <v xml:space="preserve"> </v>
      </c>
      <c r="R156" s="53" t="str">
        <f>IFERROR(VLOOKUP($A156,'The List'!$B1:$AS727,25,FALSE)," ")</f>
        <v xml:space="preserve"> </v>
      </c>
      <c r="S156" s="53" t="str">
        <f>IFERROR(VLOOKUP($A156,'The List'!$B1:$AS727,26,FALSE)," ")</f>
        <v xml:space="preserve"> </v>
      </c>
      <c r="T156" s="53" t="str">
        <f>IFERROR(VLOOKUP($A156,'The List'!$B1:$AS727,27,FALSE)," ")</f>
        <v xml:space="preserve"> </v>
      </c>
      <c r="U156" s="53" t="str">
        <f>IFERROR(VLOOKUP($A156,'The List'!$B1:$AS727,28,FALSE)," ")</f>
        <v xml:space="preserve"> </v>
      </c>
      <c r="V156" s="53" t="str">
        <f>IFERROR(VLOOKUP($A156,'The List'!$B1:$AS727,29,FALSE)," ")</f>
        <v xml:space="preserve"> </v>
      </c>
      <c r="W156" s="53" t="str">
        <f>IFERROR(VLOOKUP($A156,'The List'!$B1:$AS727,30,FALSE)," ")</f>
        <v xml:space="preserve"> </v>
      </c>
      <c r="X156" s="53" t="str">
        <f>IFERROR(VLOOKUP($A156,'The List'!$B1:$AS727,31,FALSE)," ")</f>
        <v xml:space="preserve"> </v>
      </c>
      <c r="Y156" s="53" t="str">
        <f>IFERROR(VLOOKUP($A156,'The List'!$B1:$AS727,32,FALSE)," ")</f>
        <v xml:space="preserve"> </v>
      </c>
      <c r="Z156" s="53" t="str">
        <f>IFERROR(VLOOKUP($A156,'The List'!$B1:$AS727,33,FALSE)," ")</f>
        <v xml:space="preserve"> </v>
      </c>
      <c r="AA156" s="55"/>
      <c r="AB156" s="60"/>
      <c r="AC156" s="60"/>
      <c r="AD156" s="60"/>
      <c r="AE156" s="60"/>
      <c r="AF156" s="60"/>
    </row>
    <row r="157" spans="1:32" ht="21.25" customHeight="1" x14ac:dyDescent="0.15">
      <c r="A157" s="23"/>
      <c r="B157" s="65" t="str">
        <f>IFERROR(VLOOKUP($A157,'The List'!$B1:$AS727,3,FALSE)," ")</f>
        <v xml:space="preserve"> </v>
      </c>
      <c r="C157" s="67" t="str">
        <f>IFERROR(VLOOKUP($A157,'The List'!$B1:$AS727,4,FALSE)," ")</f>
        <v xml:space="preserve"> </v>
      </c>
      <c r="D157" s="35" t="str">
        <f>IFERROR(VLOOKUP($A157,'The List'!$B1:$AS727,5,FALSE)," ")</f>
        <v xml:space="preserve"> </v>
      </c>
      <c r="E157" s="35" t="str">
        <f>IFERROR(VLOOKUP($A157,'The List'!$B1:$AS727,6,FALSE)," ")</f>
        <v xml:space="preserve"> </v>
      </c>
      <c r="F157" s="52" t="str">
        <f>IFERROR(VLOOKUP($A157,'The List'!$B1:$AS727,8,FALSE)," ")</f>
        <v xml:space="preserve"> </v>
      </c>
      <c r="G157" s="52" t="str">
        <f>IFERROR(VLOOKUP($A157,'The List'!$B1:$AS727,10,FALSE)," ")</f>
        <v xml:space="preserve"> </v>
      </c>
      <c r="H157" s="39"/>
      <c r="I157" s="53" t="str">
        <f>IFERROR(VLOOKUP($A157,'The List'!$B1:$AS727,16,FALSE)," ")</f>
        <v xml:space="preserve"> </v>
      </c>
      <c r="J157" s="53" t="str">
        <f>IFERROR(VLOOKUP($A157,'The List'!$B1:$AS727,17,FALSE)," ")</f>
        <v xml:space="preserve"> </v>
      </c>
      <c r="K157" s="53" t="str">
        <f>IFERROR(VLOOKUP($A157,'The List'!$B1:$AS727,18,FALSE)," ")</f>
        <v xml:space="preserve"> </v>
      </c>
      <c r="L157" s="53" t="str">
        <f>IFERROR(VLOOKUP($A157,'The List'!$B1:$AS727,19,FALSE)," ")</f>
        <v xml:space="preserve"> </v>
      </c>
      <c r="M157" s="53" t="str">
        <f>IFERROR(VLOOKUP($A157,'The List'!$B1:$AS727,20,FALSE)," ")</f>
        <v xml:space="preserve"> </v>
      </c>
      <c r="N157" s="53" t="str">
        <f>IFERROR(VLOOKUP($A157,'The List'!$B1:$AS727,21,FALSE)," ")</f>
        <v xml:space="preserve"> </v>
      </c>
      <c r="O157" s="53" t="str">
        <f>IFERROR(VLOOKUP($A157,'The List'!$B1:$AS727,22,FALSE)," ")</f>
        <v xml:space="preserve"> </v>
      </c>
      <c r="P157" s="53" t="str">
        <f>IFERROR(VLOOKUP($A157,'The List'!$B1:$AS727,23,FALSE)," ")</f>
        <v xml:space="preserve"> </v>
      </c>
      <c r="Q157" s="53" t="str">
        <f>IFERROR(VLOOKUP($A157,'The List'!$B1:$AS727,24,FALSE)," ")</f>
        <v xml:space="preserve"> </v>
      </c>
      <c r="R157" s="53" t="str">
        <f>IFERROR(VLOOKUP($A157,'The List'!$B1:$AS727,25,FALSE)," ")</f>
        <v xml:space="preserve"> </v>
      </c>
      <c r="S157" s="53" t="str">
        <f>IFERROR(VLOOKUP($A157,'The List'!$B1:$AS727,26,FALSE)," ")</f>
        <v xml:space="preserve"> </v>
      </c>
      <c r="T157" s="53" t="str">
        <f>IFERROR(VLOOKUP($A157,'The List'!$B1:$AS727,27,FALSE)," ")</f>
        <v xml:space="preserve"> </v>
      </c>
      <c r="U157" s="53" t="str">
        <f>IFERROR(VLOOKUP($A157,'The List'!$B1:$AS727,28,FALSE)," ")</f>
        <v xml:space="preserve"> </v>
      </c>
      <c r="V157" s="53" t="str">
        <f>IFERROR(VLOOKUP($A157,'The List'!$B1:$AS727,29,FALSE)," ")</f>
        <v xml:space="preserve"> </v>
      </c>
      <c r="W157" s="53" t="str">
        <f>IFERROR(VLOOKUP($A157,'The List'!$B1:$AS727,30,FALSE)," ")</f>
        <v xml:space="preserve"> </v>
      </c>
      <c r="X157" s="53" t="str">
        <f>IFERROR(VLOOKUP($A157,'The List'!$B1:$AS727,31,FALSE)," ")</f>
        <v xml:space="preserve"> </v>
      </c>
      <c r="Y157" s="53" t="str">
        <f>IFERROR(VLOOKUP($A157,'The List'!$B1:$AS727,32,FALSE)," ")</f>
        <v xml:space="preserve"> </v>
      </c>
      <c r="Z157" s="53" t="str">
        <f>IFERROR(VLOOKUP($A157,'The List'!$B1:$AS727,33,FALSE)," ")</f>
        <v xml:space="preserve"> </v>
      </c>
      <c r="AA157" s="55"/>
      <c r="AB157" s="60"/>
      <c r="AC157" s="60"/>
      <c r="AD157" s="60"/>
      <c r="AE157" s="60"/>
      <c r="AF157" s="60"/>
    </row>
    <row r="158" spans="1:32" ht="21.25" customHeight="1" x14ac:dyDescent="0.15">
      <c r="A158" s="23"/>
      <c r="B158" s="65" t="str">
        <f>IFERROR(VLOOKUP($A158,'The List'!$B1:$AS727,3,FALSE)," ")</f>
        <v xml:space="preserve"> </v>
      </c>
      <c r="C158" s="67" t="str">
        <f>IFERROR(VLOOKUP($A158,'The List'!$B1:$AS727,4,FALSE)," ")</f>
        <v xml:space="preserve"> </v>
      </c>
      <c r="D158" s="35" t="str">
        <f>IFERROR(VLOOKUP($A158,'The List'!$B1:$AS727,5,FALSE)," ")</f>
        <v xml:space="preserve"> </v>
      </c>
      <c r="E158" s="35" t="str">
        <f>IFERROR(VLOOKUP($A158,'The List'!$B1:$AS727,6,FALSE)," ")</f>
        <v xml:space="preserve"> </v>
      </c>
      <c r="F158" s="52" t="str">
        <f>IFERROR(VLOOKUP($A158,'The List'!$B1:$AS727,8,FALSE)," ")</f>
        <v xml:space="preserve"> </v>
      </c>
      <c r="G158" s="52" t="str">
        <f>IFERROR(VLOOKUP($A158,'The List'!$B1:$AS727,10,FALSE)," ")</f>
        <v xml:space="preserve"> </v>
      </c>
      <c r="H158" s="39"/>
      <c r="I158" s="53" t="str">
        <f>IFERROR(VLOOKUP($A158,'The List'!$B1:$AS727,16,FALSE)," ")</f>
        <v xml:space="preserve"> </v>
      </c>
      <c r="J158" s="53" t="str">
        <f>IFERROR(VLOOKUP($A158,'The List'!$B1:$AS727,17,FALSE)," ")</f>
        <v xml:space="preserve"> </v>
      </c>
      <c r="K158" s="53" t="str">
        <f>IFERROR(VLOOKUP($A158,'The List'!$B1:$AS727,18,FALSE)," ")</f>
        <v xml:space="preserve"> </v>
      </c>
      <c r="L158" s="53" t="str">
        <f>IFERROR(VLOOKUP($A158,'The List'!$B1:$AS727,19,FALSE)," ")</f>
        <v xml:space="preserve"> </v>
      </c>
      <c r="M158" s="53" t="str">
        <f>IFERROR(VLOOKUP($A158,'The List'!$B1:$AS727,20,FALSE)," ")</f>
        <v xml:space="preserve"> </v>
      </c>
      <c r="N158" s="53" t="str">
        <f>IFERROR(VLOOKUP($A158,'The List'!$B1:$AS727,21,FALSE)," ")</f>
        <v xml:space="preserve"> </v>
      </c>
      <c r="O158" s="53" t="str">
        <f>IFERROR(VLOOKUP($A158,'The List'!$B1:$AS727,22,FALSE)," ")</f>
        <v xml:space="preserve"> </v>
      </c>
      <c r="P158" s="53" t="str">
        <f>IFERROR(VLOOKUP($A158,'The List'!$B1:$AS727,23,FALSE)," ")</f>
        <v xml:space="preserve"> </v>
      </c>
      <c r="Q158" s="53" t="str">
        <f>IFERROR(VLOOKUP($A158,'The List'!$B1:$AS727,24,FALSE)," ")</f>
        <v xml:space="preserve"> </v>
      </c>
      <c r="R158" s="53" t="str">
        <f>IFERROR(VLOOKUP($A158,'The List'!$B1:$AS727,25,FALSE)," ")</f>
        <v xml:space="preserve"> </v>
      </c>
      <c r="S158" s="53" t="str">
        <f>IFERROR(VLOOKUP($A158,'The List'!$B1:$AS727,26,FALSE)," ")</f>
        <v xml:space="preserve"> </v>
      </c>
      <c r="T158" s="53" t="str">
        <f>IFERROR(VLOOKUP($A158,'The List'!$B1:$AS727,27,FALSE)," ")</f>
        <v xml:space="preserve"> </v>
      </c>
      <c r="U158" s="53" t="str">
        <f>IFERROR(VLOOKUP($A158,'The List'!$B1:$AS727,28,FALSE)," ")</f>
        <v xml:space="preserve"> </v>
      </c>
      <c r="V158" s="53" t="str">
        <f>IFERROR(VLOOKUP($A158,'The List'!$B1:$AS727,29,FALSE)," ")</f>
        <v xml:space="preserve"> </v>
      </c>
      <c r="W158" s="53" t="str">
        <f>IFERROR(VLOOKUP($A158,'The List'!$B1:$AS727,30,FALSE)," ")</f>
        <v xml:space="preserve"> </v>
      </c>
      <c r="X158" s="53" t="str">
        <f>IFERROR(VLOOKUP($A158,'The List'!$B1:$AS727,31,FALSE)," ")</f>
        <v xml:space="preserve"> </v>
      </c>
      <c r="Y158" s="53" t="str">
        <f>IFERROR(VLOOKUP($A158,'The List'!$B1:$AS727,32,FALSE)," ")</f>
        <v xml:space="preserve"> </v>
      </c>
      <c r="Z158" s="53" t="str">
        <f>IFERROR(VLOOKUP($A158,'The List'!$B1:$AS727,33,FALSE)," ")</f>
        <v xml:space="preserve"> </v>
      </c>
      <c r="AA158" s="55"/>
      <c r="AB158" s="60"/>
      <c r="AC158" s="60"/>
      <c r="AD158" s="60"/>
      <c r="AE158" s="60"/>
      <c r="AF158" s="60"/>
    </row>
    <row r="159" spans="1:32" ht="21.25" customHeight="1" x14ac:dyDescent="0.15">
      <c r="A159" s="23"/>
      <c r="B159" s="68" t="str">
        <f>IFERROR(VLOOKUP($A159,'The List'!$B1:$AS727,3,FALSE)," ")</f>
        <v xml:space="preserve"> </v>
      </c>
      <c r="C159" s="70" t="str">
        <f>IFERROR(VLOOKUP($A159,'The List'!$B1:$AS727,4,FALSE)," ")</f>
        <v xml:space="preserve"> </v>
      </c>
      <c r="D159" s="35" t="str">
        <f>IFERROR(VLOOKUP($A159,'The List'!$B1:$AS727,5,FALSE)," ")</f>
        <v xml:space="preserve"> </v>
      </c>
      <c r="E159" s="35" t="str">
        <f>IFERROR(VLOOKUP($A159,'The List'!$B1:$AS727,6,FALSE)," ")</f>
        <v xml:space="preserve"> </v>
      </c>
      <c r="F159" s="52" t="str">
        <f>IFERROR(VLOOKUP($A159,'The List'!$B1:$AS727,8,FALSE)," ")</f>
        <v xml:space="preserve"> </v>
      </c>
      <c r="G159" s="52" t="str">
        <f>IFERROR(VLOOKUP($A159,'The List'!$B1:$AS727,10,FALSE)," ")</f>
        <v xml:space="preserve"> </v>
      </c>
      <c r="H159" s="39"/>
      <c r="I159" s="53" t="str">
        <f>IFERROR(VLOOKUP($A159,'The List'!$B1:$AS727,16,FALSE)," ")</f>
        <v xml:space="preserve"> </v>
      </c>
      <c r="J159" s="53" t="str">
        <f>IFERROR(VLOOKUP($A159,'The List'!$B1:$AS727,17,FALSE)," ")</f>
        <v xml:space="preserve"> </v>
      </c>
      <c r="K159" s="53" t="str">
        <f>IFERROR(VLOOKUP($A159,'The List'!$B1:$AS727,18,FALSE)," ")</f>
        <v xml:space="preserve"> </v>
      </c>
      <c r="L159" s="53" t="str">
        <f>IFERROR(VLOOKUP($A159,'The List'!$B1:$AS727,19,FALSE)," ")</f>
        <v xml:space="preserve"> </v>
      </c>
      <c r="M159" s="53" t="str">
        <f>IFERROR(VLOOKUP($A159,'The List'!$B1:$AS727,20,FALSE)," ")</f>
        <v xml:space="preserve"> </v>
      </c>
      <c r="N159" s="53" t="str">
        <f>IFERROR(VLOOKUP($A159,'The List'!$B1:$AS727,21,FALSE)," ")</f>
        <v xml:space="preserve"> </v>
      </c>
      <c r="O159" s="53" t="str">
        <f>IFERROR(VLOOKUP($A159,'The List'!$B1:$AS727,22,FALSE)," ")</f>
        <v xml:space="preserve"> </v>
      </c>
      <c r="P159" s="53" t="str">
        <f>IFERROR(VLOOKUP($A159,'The List'!$B1:$AS727,23,FALSE)," ")</f>
        <v xml:space="preserve"> </v>
      </c>
      <c r="Q159" s="53" t="str">
        <f>IFERROR(VLOOKUP($A159,'The List'!$B1:$AS727,24,FALSE)," ")</f>
        <v xml:space="preserve"> </v>
      </c>
      <c r="R159" s="53" t="str">
        <f>IFERROR(VLOOKUP($A159,'The List'!$B1:$AS727,25,FALSE)," ")</f>
        <v xml:space="preserve"> </v>
      </c>
      <c r="S159" s="53" t="str">
        <f>IFERROR(VLOOKUP($A159,'The List'!$B1:$AS727,26,FALSE)," ")</f>
        <v xml:space="preserve"> </v>
      </c>
      <c r="T159" s="53" t="str">
        <f>IFERROR(VLOOKUP($A159,'The List'!$B1:$AS727,27,FALSE)," ")</f>
        <v xml:space="preserve"> </v>
      </c>
      <c r="U159" s="53" t="str">
        <f>IFERROR(VLOOKUP($A159,'The List'!$B1:$AS727,28,FALSE)," ")</f>
        <v xml:space="preserve"> </v>
      </c>
      <c r="V159" s="53" t="str">
        <f>IFERROR(VLOOKUP($A159,'The List'!$B1:$AS727,29,FALSE)," ")</f>
        <v xml:space="preserve"> </v>
      </c>
      <c r="W159" s="53" t="str">
        <f>IFERROR(VLOOKUP($A159,'The List'!$B1:$AS727,30,FALSE)," ")</f>
        <v xml:space="preserve"> </v>
      </c>
      <c r="X159" s="53" t="str">
        <f>IFERROR(VLOOKUP($A159,'The List'!$B1:$AS727,31,FALSE)," ")</f>
        <v xml:space="preserve"> </v>
      </c>
      <c r="Y159" s="53" t="str">
        <f>IFERROR(VLOOKUP($A159,'The List'!$B1:$AS727,32,FALSE)," ")</f>
        <v xml:space="preserve"> </v>
      </c>
      <c r="Z159" s="53" t="str">
        <f>IFERROR(VLOOKUP($A159,'The List'!$B1:$AS727,33,FALSE)," ")</f>
        <v xml:space="preserve"> </v>
      </c>
      <c r="AA159" s="55"/>
      <c r="AB159" s="60"/>
      <c r="AC159" s="60"/>
      <c r="AD159" s="60"/>
      <c r="AE159" s="60"/>
      <c r="AF159" s="60"/>
    </row>
    <row r="160" spans="1:32" ht="21.25" customHeight="1" x14ac:dyDescent="0.15">
      <c r="A160" s="23"/>
      <c r="B160" s="68" t="str">
        <f>IFERROR(VLOOKUP($A160,'The List'!$B1:$AS727,3,FALSE)," ")</f>
        <v xml:space="preserve"> </v>
      </c>
      <c r="C160" s="70" t="str">
        <f>IFERROR(VLOOKUP($A160,'The List'!$B1:$AS727,4,FALSE)," ")</f>
        <v xml:space="preserve"> </v>
      </c>
      <c r="D160" s="35" t="str">
        <f>IFERROR(VLOOKUP($A160,'The List'!$B1:$AS727,5,FALSE)," ")</f>
        <v xml:space="preserve"> </v>
      </c>
      <c r="E160" s="35" t="str">
        <f>IFERROR(VLOOKUP($A160,'The List'!$B1:$AS727,6,FALSE)," ")</f>
        <v xml:space="preserve"> </v>
      </c>
      <c r="F160" s="52" t="str">
        <f>IFERROR(VLOOKUP($A160,'The List'!$B1:$AS727,8,FALSE)," ")</f>
        <v xml:space="preserve"> </v>
      </c>
      <c r="G160" s="52" t="str">
        <f>IFERROR(VLOOKUP($A160,'The List'!$B1:$AS727,10,FALSE)," ")</f>
        <v xml:space="preserve"> </v>
      </c>
      <c r="H160" s="39"/>
      <c r="I160" s="53" t="str">
        <f>IFERROR(VLOOKUP($A160,'The List'!$B1:$AS727,16,FALSE)," ")</f>
        <v xml:space="preserve"> </v>
      </c>
      <c r="J160" s="53" t="str">
        <f>IFERROR(VLOOKUP($A160,'The List'!$B1:$AS727,17,FALSE)," ")</f>
        <v xml:space="preserve"> </v>
      </c>
      <c r="K160" s="53" t="str">
        <f>IFERROR(VLOOKUP($A160,'The List'!$B1:$AS727,18,FALSE)," ")</f>
        <v xml:space="preserve"> </v>
      </c>
      <c r="L160" s="53" t="str">
        <f>IFERROR(VLOOKUP($A160,'The List'!$B1:$AS727,19,FALSE)," ")</f>
        <v xml:space="preserve"> </v>
      </c>
      <c r="M160" s="53" t="str">
        <f>IFERROR(VLOOKUP($A160,'The List'!$B1:$AS727,20,FALSE)," ")</f>
        <v xml:space="preserve"> </v>
      </c>
      <c r="N160" s="53" t="str">
        <f>IFERROR(VLOOKUP($A160,'The List'!$B1:$AS727,21,FALSE)," ")</f>
        <v xml:space="preserve"> </v>
      </c>
      <c r="O160" s="53" t="str">
        <f>IFERROR(VLOOKUP($A160,'The List'!$B1:$AS727,22,FALSE)," ")</f>
        <v xml:space="preserve"> </v>
      </c>
      <c r="P160" s="53" t="str">
        <f>IFERROR(VLOOKUP($A160,'The List'!$B1:$AS727,23,FALSE)," ")</f>
        <v xml:space="preserve"> </v>
      </c>
      <c r="Q160" s="53" t="str">
        <f>IFERROR(VLOOKUP($A160,'The List'!$B1:$AS727,24,FALSE)," ")</f>
        <v xml:space="preserve"> </v>
      </c>
      <c r="R160" s="53" t="str">
        <f>IFERROR(VLOOKUP($A160,'The List'!$B1:$AS727,25,FALSE)," ")</f>
        <v xml:space="preserve"> </v>
      </c>
      <c r="S160" s="53" t="str">
        <f>IFERROR(VLOOKUP($A160,'The List'!$B1:$AS727,26,FALSE)," ")</f>
        <v xml:space="preserve"> </v>
      </c>
      <c r="T160" s="53" t="str">
        <f>IFERROR(VLOOKUP($A160,'The List'!$B1:$AS727,27,FALSE)," ")</f>
        <v xml:space="preserve"> </v>
      </c>
      <c r="U160" s="53" t="str">
        <f>IFERROR(VLOOKUP($A160,'The List'!$B1:$AS727,28,FALSE)," ")</f>
        <v xml:space="preserve"> </v>
      </c>
      <c r="V160" s="53" t="str">
        <f>IFERROR(VLOOKUP($A160,'The List'!$B1:$AS727,29,FALSE)," ")</f>
        <v xml:space="preserve"> </v>
      </c>
      <c r="W160" s="53" t="str">
        <f>IFERROR(VLOOKUP($A160,'The List'!$B1:$AS727,30,FALSE)," ")</f>
        <v xml:space="preserve"> </v>
      </c>
      <c r="X160" s="53" t="str">
        <f>IFERROR(VLOOKUP($A160,'The List'!$B1:$AS727,31,FALSE)," ")</f>
        <v xml:space="preserve"> </v>
      </c>
      <c r="Y160" s="53" t="str">
        <f>IFERROR(VLOOKUP($A160,'The List'!$B1:$AS727,32,FALSE)," ")</f>
        <v xml:space="preserve"> </v>
      </c>
      <c r="Z160" s="53" t="str">
        <f>IFERROR(VLOOKUP($A160,'The List'!$B1:$AS727,33,FALSE)," ")</f>
        <v xml:space="preserve"> </v>
      </c>
      <c r="AA160" s="55"/>
      <c r="AB160" s="60"/>
      <c r="AC160" s="60"/>
      <c r="AD160" s="60"/>
      <c r="AE160" s="60"/>
      <c r="AF160" s="60"/>
    </row>
    <row r="161" spans="1:32" ht="21.25" customHeight="1" x14ac:dyDescent="0.15">
      <c r="A161" s="23"/>
      <c r="B161" s="68" t="str">
        <f>IFERROR(VLOOKUP($A161,'The List'!$B1:$AS727,3,FALSE)," ")</f>
        <v xml:space="preserve"> </v>
      </c>
      <c r="C161" s="70" t="str">
        <f>IFERROR(VLOOKUP($A161,'The List'!$B1:$AS727,4,FALSE)," ")</f>
        <v xml:space="preserve"> </v>
      </c>
      <c r="D161" s="35" t="str">
        <f>IFERROR(VLOOKUP($A161,'The List'!$B1:$AS727,5,FALSE)," ")</f>
        <v xml:space="preserve"> </v>
      </c>
      <c r="E161" s="35" t="str">
        <f>IFERROR(VLOOKUP($A161,'The List'!$B1:$AS727,6,FALSE)," ")</f>
        <v xml:space="preserve"> </v>
      </c>
      <c r="F161" s="52" t="str">
        <f>IFERROR(VLOOKUP($A161,'The List'!$B1:$AS727,8,FALSE)," ")</f>
        <v xml:space="preserve"> </v>
      </c>
      <c r="G161" s="52" t="str">
        <f>IFERROR(VLOOKUP($A161,'The List'!$B1:$AS727,10,FALSE)," ")</f>
        <v xml:space="preserve"> </v>
      </c>
      <c r="H161" s="39"/>
      <c r="I161" s="53" t="str">
        <f>IFERROR(VLOOKUP($A161,'The List'!$B1:$AS727,16,FALSE)," ")</f>
        <v xml:space="preserve"> </v>
      </c>
      <c r="J161" s="53" t="str">
        <f>IFERROR(VLOOKUP($A161,'The List'!$B1:$AS727,17,FALSE)," ")</f>
        <v xml:space="preserve"> </v>
      </c>
      <c r="K161" s="53" t="str">
        <f>IFERROR(VLOOKUP($A161,'The List'!$B1:$AS727,18,FALSE)," ")</f>
        <v xml:space="preserve"> </v>
      </c>
      <c r="L161" s="53" t="str">
        <f>IFERROR(VLOOKUP($A161,'The List'!$B1:$AS727,19,FALSE)," ")</f>
        <v xml:space="preserve"> </v>
      </c>
      <c r="M161" s="53" t="str">
        <f>IFERROR(VLOOKUP($A161,'The List'!$B1:$AS727,20,FALSE)," ")</f>
        <v xml:space="preserve"> </v>
      </c>
      <c r="N161" s="53" t="str">
        <f>IFERROR(VLOOKUP($A161,'The List'!$B1:$AS727,21,FALSE)," ")</f>
        <v xml:space="preserve"> </v>
      </c>
      <c r="O161" s="53" t="str">
        <f>IFERROR(VLOOKUP($A161,'The List'!$B1:$AS727,22,FALSE)," ")</f>
        <v xml:space="preserve"> </v>
      </c>
      <c r="P161" s="53" t="str">
        <f>IFERROR(VLOOKUP($A161,'The List'!$B1:$AS727,23,FALSE)," ")</f>
        <v xml:space="preserve"> </v>
      </c>
      <c r="Q161" s="53" t="str">
        <f>IFERROR(VLOOKUP($A161,'The List'!$B1:$AS727,24,FALSE)," ")</f>
        <v xml:space="preserve"> </v>
      </c>
      <c r="R161" s="53" t="str">
        <f>IFERROR(VLOOKUP($A161,'The List'!$B1:$AS727,25,FALSE)," ")</f>
        <v xml:space="preserve"> </v>
      </c>
      <c r="S161" s="53" t="str">
        <f>IFERROR(VLOOKUP($A161,'The List'!$B1:$AS727,26,FALSE)," ")</f>
        <v xml:space="preserve"> </v>
      </c>
      <c r="T161" s="53" t="str">
        <f>IFERROR(VLOOKUP($A161,'The List'!$B1:$AS727,27,FALSE)," ")</f>
        <v xml:space="preserve"> </v>
      </c>
      <c r="U161" s="53" t="str">
        <f>IFERROR(VLOOKUP($A161,'The List'!$B1:$AS727,28,FALSE)," ")</f>
        <v xml:space="preserve"> </v>
      </c>
      <c r="V161" s="53" t="str">
        <f>IFERROR(VLOOKUP($A161,'The List'!$B1:$AS727,29,FALSE)," ")</f>
        <v xml:space="preserve"> </v>
      </c>
      <c r="W161" s="53" t="str">
        <f>IFERROR(VLOOKUP($A161,'The List'!$B1:$AS727,30,FALSE)," ")</f>
        <v xml:space="preserve"> </v>
      </c>
      <c r="X161" s="53" t="str">
        <f>IFERROR(VLOOKUP($A161,'The List'!$B1:$AS727,31,FALSE)," ")</f>
        <v xml:space="preserve"> </v>
      </c>
      <c r="Y161" s="53" t="str">
        <f>IFERROR(VLOOKUP($A161,'The List'!$B1:$AS727,32,FALSE)," ")</f>
        <v xml:space="preserve"> </v>
      </c>
      <c r="Z161" s="53" t="str">
        <f>IFERROR(VLOOKUP($A161,'The List'!$B1:$AS727,33,FALSE)," ")</f>
        <v xml:space="preserve"> </v>
      </c>
      <c r="AA161" s="55"/>
      <c r="AB161" s="60"/>
      <c r="AC161" s="60"/>
      <c r="AD161" s="60"/>
      <c r="AE161" s="60"/>
      <c r="AF161" s="60"/>
    </row>
    <row r="162" spans="1:32" ht="21.25" customHeight="1" x14ac:dyDescent="0.15">
      <c r="A162" s="23"/>
      <c r="B162" s="68" t="str">
        <f>IFERROR(VLOOKUP($A162,'The List'!$B1:$AS727,3,FALSE)," ")</f>
        <v xml:space="preserve"> </v>
      </c>
      <c r="C162" s="70" t="str">
        <f>IFERROR(VLOOKUP($A162,'The List'!$B1:$AS727,4,FALSE)," ")</f>
        <v xml:space="preserve"> </v>
      </c>
      <c r="D162" s="35" t="str">
        <f>IFERROR(VLOOKUP($A162,'The List'!$B1:$AS727,5,FALSE)," ")</f>
        <v xml:space="preserve"> </v>
      </c>
      <c r="E162" s="35" t="str">
        <f>IFERROR(VLOOKUP($A162,'The List'!$B1:$AS727,6,FALSE)," ")</f>
        <v xml:space="preserve"> </v>
      </c>
      <c r="F162" s="52" t="str">
        <f>IFERROR(VLOOKUP($A162,'The List'!$B1:$AS727,8,FALSE)," ")</f>
        <v xml:space="preserve"> </v>
      </c>
      <c r="G162" s="52" t="str">
        <f>IFERROR(VLOOKUP($A162,'The List'!$B1:$AS727,10,FALSE)," ")</f>
        <v xml:space="preserve"> </v>
      </c>
      <c r="H162" s="39"/>
      <c r="I162" s="53" t="str">
        <f>IFERROR(VLOOKUP($A162,'The List'!$B1:$AS727,16,FALSE)," ")</f>
        <v xml:space="preserve"> </v>
      </c>
      <c r="J162" s="53" t="str">
        <f>IFERROR(VLOOKUP($A162,'The List'!$B1:$AS727,17,FALSE)," ")</f>
        <v xml:space="preserve"> </v>
      </c>
      <c r="K162" s="53" t="str">
        <f>IFERROR(VLOOKUP($A162,'The List'!$B1:$AS727,18,FALSE)," ")</f>
        <v xml:space="preserve"> </v>
      </c>
      <c r="L162" s="53" t="str">
        <f>IFERROR(VLOOKUP($A162,'The List'!$B1:$AS727,19,FALSE)," ")</f>
        <v xml:space="preserve"> </v>
      </c>
      <c r="M162" s="53" t="str">
        <f>IFERROR(VLOOKUP($A162,'The List'!$B1:$AS727,20,FALSE)," ")</f>
        <v xml:space="preserve"> </v>
      </c>
      <c r="N162" s="53" t="str">
        <f>IFERROR(VLOOKUP($A162,'The List'!$B1:$AS727,21,FALSE)," ")</f>
        <v xml:space="preserve"> </v>
      </c>
      <c r="O162" s="53" t="str">
        <f>IFERROR(VLOOKUP($A162,'The List'!$B1:$AS727,22,FALSE)," ")</f>
        <v xml:space="preserve"> </v>
      </c>
      <c r="P162" s="53" t="str">
        <f>IFERROR(VLOOKUP($A162,'The List'!$B1:$AS727,23,FALSE)," ")</f>
        <v xml:space="preserve"> </v>
      </c>
      <c r="Q162" s="53" t="str">
        <f>IFERROR(VLOOKUP($A162,'The List'!$B1:$AS727,24,FALSE)," ")</f>
        <v xml:space="preserve"> </v>
      </c>
      <c r="R162" s="53" t="str">
        <f>IFERROR(VLOOKUP($A162,'The List'!$B1:$AS727,25,FALSE)," ")</f>
        <v xml:space="preserve"> </v>
      </c>
      <c r="S162" s="53" t="str">
        <f>IFERROR(VLOOKUP($A162,'The List'!$B1:$AS727,26,FALSE)," ")</f>
        <v xml:space="preserve"> </v>
      </c>
      <c r="T162" s="53" t="str">
        <f>IFERROR(VLOOKUP($A162,'The List'!$B1:$AS727,27,FALSE)," ")</f>
        <v xml:space="preserve"> </v>
      </c>
      <c r="U162" s="53" t="str">
        <f>IFERROR(VLOOKUP($A162,'The List'!$B1:$AS727,28,FALSE)," ")</f>
        <v xml:space="preserve"> </v>
      </c>
      <c r="V162" s="53" t="str">
        <f>IFERROR(VLOOKUP($A162,'The List'!$B1:$AS727,29,FALSE)," ")</f>
        <v xml:space="preserve"> </v>
      </c>
      <c r="W162" s="53" t="str">
        <f>IFERROR(VLOOKUP($A162,'The List'!$B1:$AS727,30,FALSE)," ")</f>
        <v xml:space="preserve"> </v>
      </c>
      <c r="X162" s="53" t="str">
        <f>IFERROR(VLOOKUP($A162,'The List'!$B1:$AS727,31,FALSE)," ")</f>
        <v xml:space="preserve"> </v>
      </c>
      <c r="Y162" s="53" t="str">
        <f>IFERROR(VLOOKUP($A162,'The List'!$B1:$AS727,32,FALSE)," ")</f>
        <v xml:space="preserve"> </v>
      </c>
      <c r="Z162" s="53" t="str">
        <f>IFERROR(VLOOKUP($A162,'The List'!$B1:$AS727,33,FALSE)," ")</f>
        <v xml:space="preserve"> </v>
      </c>
      <c r="AA162" s="55"/>
      <c r="AB162" s="60"/>
      <c r="AC162" s="60"/>
      <c r="AD162" s="60"/>
      <c r="AE162" s="60"/>
      <c r="AF162" s="60"/>
    </row>
    <row r="163" spans="1:32" ht="21.25" customHeight="1" x14ac:dyDescent="0.15">
      <c r="A163" s="23"/>
      <c r="B163" s="68" t="str">
        <f>IFERROR(VLOOKUP($A163,'The List'!$B1:$AS727,3,FALSE)," ")</f>
        <v xml:space="preserve"> </v>
      </c>
      <c r="C163" s="70" t="str">
        <f>IFERROR(VLOOKUP($A163,'The List'!$B1:$AS727,4,FALSE)," ")</f>
        <v xml:space="preserve"> </v>
      </c>
      <c r="D163" s="35" t="str">
        <f>IFERROR(VLOOKUP($A163,'The List'!$B1:$AS727,5,FALSE)," ")</f>
        <v xml:space="preserve"> </v>
      </c>
      <c r="E163" s="35" t="str">
        <f>IFERROR(VLOOKUP($A163,'The List'!$B1:$AS727,6,FALSE)," ")</f>
        <v xml:space="preserve"> </v>
      </c>
      <c r="F163" s="52" t="str">
        <f>IFERROR(VLOOKUP($A163,'The List'!$B1:$AS727,8,FALSE)," ")</f>
        <v xml:space="preserve"> </v>
      </c>
      <c r="G163" s="52" t="str">
        <f>IFERROR(VLOOKUP($A163,'The List'!$B1:$AS727,10,FALSE)," ")</f>
        <v xml:space="preserve"> </v>
      </c>
      <c r="H163" s="39"/>
      <c r="I163" s="53" t="str">
        <f>IFERROR(VLOOKUP($A163,'The List'!$B1:$AS727,16,FALSE)," ")</f>
        <v xml:space="preserve"> </v>
      </c>
      <c r="J163" s="53" t="str">
        <f>IFERROR(VLOOKUP($A163,'The List'!$B1:$AS727,17,FALSE)," ")</f>
        <v xml:space="preserve"> </v>
      </c>
      <c r="K163" s="53" t="str">
        <f>IFERROR(VLOOKUP($A163,'The List'!$B1:$AS727,18,FALSE)," ")</f>
        <v xml:space="preserve"> </v>
      </c>
      <c r="L163" s="53" t="str">
        <f>IFERROR(VLOOKUP($A163,'The List'!$B1:$AS727,19,FALSE)," ")</f>
        <v xml:space="preserve"> </v>
      </c>
      <c r="M163" s="53" t="str">
        <f>IFERROR(VLOOKUP($A163,'The List'!$B1:$AS727,20,FALSE)," ")</f>
        <v xml:space="preserve"> </v>
      </c>
      <c r="N163" s="53" t="str">
        <f>IFERROR(VLOOKUP($A163,'The List'!$B1:$AS727,21,FALSE)," ")</f>
        <v xml:space="preserve"> </v>
      </c>
      <c r="O163" s="53" t="str">
        <f>IFERROR(VLOOKUP($A163,'The List'!$B1:$AS727,22,FALSE)," ")</f>
        <v xml:space="preserve"> </v>
      </c>
      <c r="P163" s="53" t="str">
        <f>IFERROR(VLOOKUP($A163,'The List'!$B1:$AS727,23,FALSE)," ")</f>
        <v xml:space="preserve"> </v>
      </c>
      <c r="Q163" s="53" t="str">
        <f>IFERROR(VLOOKUP($A163,'The List'!$B1:$AS727,24,FALSE)," ")</f>
        <v xml:space="preserve"> </v>
      </c>
      <c r="R163" s="53" t="str">
        <f>IFERROR(VLOOKUP($A163,'The List'!$B1:$AS727,25,FALSE)," ")</f>
        <v xml:space="preserve"> </v>
      </c>
      <c r="S163" s="53" t="str">
        <f>IFERROR(VLOOKUP($A163,'The List'!$B1:$AS727,26,FALSE)," ")</f>
        <v xml:space="preserve"> </v>
      </c>
      <c r="T163" s="53" t="str">
        <f>IFERROR(VLOOKUP($A163,'The List'!$B1:$AS727,27,FALSE)," ")</f>
        <v xml:space="preserve"> </v>
      </c>
      <c r="U163" s="53" t="str">
        <f>IFERROR(VLOOKUP($A163,'The List'!$B1:$AS727,28,FALSE)," ")</f>
        <v xml:space="preserve"> </v>
      </c>
      <c r="V163" s="53" t="str">
        <f>IFERROR(VLOOKUP($A163,'The List'!$B1:$AS727,29,FALSE)," ")</f>
        <v xml:space="preserve"> </v>
      </c>
      <c r="W163" s="53" t="str">
        <f>IFERROR(VLOOKUP($A163,'The List'!$B1:$AS727,30,FALSE)," ")</f>
        <v xml:space="preserve"> </v>
      </c>
      <c r="X163" s="53" t="str">
        <f>IFERROR(VLOOKUP($A163,'The List'!$B1:$AS727,31,FALSE)," ")</f>
        <v xml:space="preserve"> </v>
      </c>
      <c r="Y163" s="53" t="str">
        <f>IFERROR(VLOOKUP($A163,'The List'!$B1:$AS727,32,FALSE)," ")</f>
        <v xml:space="preserve"> </v>
      </c>
      <c r="Z163" s="53" t="str">
        <f>IFERROR(VLOOKUP($A163,'The List'!$B1:$AS727,33,FALSE)," ")</f>
        <v xml:space="preserve"> </v>
      </c>
      <c r="AA163" s="55"/>
      <c r="AB163" s="60"/>
      <c r="AC163" s="60"/>
      <c r="AD163" s="60"/>
      <c r="AE163" s="60"/>
      <c r="AF163" s="60"/>
    </row>
    <row r="164" spans="1:32" ht="21.25" customHeight="1" x14ac:dyDescent="0.15">
      <c r="A164" s="23"/>
      <c r="B164" s="68" t="str">
        <f>IFERROR(VLOOKUP($A164,'The List'!$B1:$AS727,3,FALSE)," ")</f>
        <v xml:space="preserve"> </v>
      </c>
      <c r="C164" s="70" t="str">
        <f>IFERROR(VLOOKUP($A164,'The List'!$B1:$AS727,4,FALSE)," ")</f>
        <v xml:space="preserve"> </v>
      </c>
      <c r="D164" s="35" t="str">
        <f>IFERROR(VLOOKUP($A164,'The List'!$B1:$AS727,5,FALSE)," ")</f>
        <v xml:space="preserve"> </v>
      </c>
      <c r="E164" s="35" t="str">
        <f>IFERROR(VLOOKUP($A164,'The List'!$B1:$AS727,6,FALSE)," ")</f>
        <v xml:space="preserve"> </v>
      </c>
      <c r="F164" s="52" t="str">
        <f>IFERROR(VLOOKUP($A164,'The List'!$B1:$AS727,8,FALSE)," ")</f>
        <v xml:space="preserve"> </v>
      </c>
      <c r="G164" s="52" t="str">
        <f>IFERROR(VLOOKUP($A164,'The List'!$B1:$AS727,10,FALSE)," ")</f>
        <v xml:space="preserve"> </v>
      </c>
      <c r="H164" s="39"/>
      <c r="I164" s="53" t="str">
        <f>IFERROR(VLOOKUP($A164,'The List'!$B1:$AS727,16,FALSE)," ")</f>
        <v xml:space="preserve"> </v>
      </c>
      <c r="J164" s="53" t="str">
        <f>IFERROR(VLOOKUP($A164,'The List'!$B1:$AS727,17,FALSE)," ")</f>
        <v xml:space="preserve"> </v>
      </c>
      <c r="K164" s="53" t="str">
        <f>IFERROR(VLOOKUP($A164,'The List'!$B1:$AS727,18,FALSE)," ")</f>
        <v xml:space="preserve"> </v>
      </c>
      <c r="L164" s="53" t="str">
        <f>IFERROR(VLOOKUP($A164,'The List'!$B1:$AS727,19,FALSE)," ")</f>
        <v xml:space="preserve"> </v>
      </c>
      <c r="M164" s="53" t="str">
        <f>IFERROR(VLOOKUP($A164,'The List'!$B1:$AS727,20,FALSE)," ")</f>
        <v xml:space="preserve"> </v>
      </c>
      <c r="N164" s="53" t="str">
        <f>IFERROR(VLOOKUP($A164,'The List'!$B1:$AS727,21,FALSE)," ")</f>
        <v xml:space="preserve"> </v>
      </c>
      <c r="O164" s="53" t="str">
        <f>IFERROR(VLOOKUP($A164,'The List'!$B1:$AS727,22,FALSE)," ")</f>
        <v xml:space="preserve"> </v>
      </c>
      <c r="P164" s="53" t="str">
        <f>IFERROR(VLOOKUP($A164,'The List'!$B1:$AS727,23,FALSE)," ")</f>
        <v xml:space="preserve"> </v>
      </c>
      <c r="Q164" s="53" t="str">
        <f>IFERROR(VLOOKUP($A164,'The List'!$B1:$AS727,24,FALSE)," ")</f>
        <v xml:space="preserve"> </v>
      </c>
      <c r="R164" s="53" t="str">
        <f>IFERROR(VLOOKUP($A164,'The List'!$B1:$AS727,25,FALSE)," ")</f>
        <v xml:space="preserve"> </v>
      </c>
      <c r="S164" s="53" t="str">
        <f>IFERROR(VLOOKUP($A164,'The List'!$B1:$AS727,26,FALSE)," ")</f>
        <v xml:space="preserve"> </v>
      </c>
      <c r="T164" s="53" t="str">
        <f>IFERROR(VLOOKUP($A164,'The List'!$B1:$AS727,27,FALSE)," ")</f>
        <v xml:space="preserve"> </v>
      </c>
      <c r="U164" s="53" t="str">
        <f>IFERROR(VLOOKUP($A164,'The List'!$B1:$AS727,28,FALSE)," ")</f>
        <v xml:space="preserve"> </v>
      </c>
      <c r="V164" s="53" t="str">
        <f>IFERROR(VLOOKUP($A164,'The List'!$B1:$AS727,29,FALSE)," ")</f>
        <v xml:space="preserve"> </v>
      </c>
      <c r="W164" s="53" t="str">
        <f>IFERROR(VLOOKUP($A164,'The List'!$B1:$AS727,30,FALSE)," ")</f>
        <v xml:space="preserve"> </v>
      </c>
      <c r="X164" s="53" t="str">
        <f>IFERROR(VLOOKUP($A164,'The List'!$B1:$AS727,31,FALSE)," ")</f>
        <v xml:space="preserve"> </v>
      </c>
      <c r="Y164" s="53" t="str">
        <f>IFERROR(VLOOKUP($A164,'The List'!$B1:$AS727,32,FALSE)," ")</f>
        <v xml:space="preserve"> </v>
      </c>
      <c r="Z164" s="53" t="str">
        <f>IFERROR(VLOOKUP($A164,'The List'!$B1:$AS727,33,FALSE)," ")</f>
        <v xml:space="preserve"> </v>
      </c>
      <c r="AA164" s="55"/>
      <c r="AB164" s="60"/>
      <c r="AC164" s="60"/>
      <c r="AD164" s="60"/>
      <c r="AE164" s="60"/>
      <c r="AF164" s="60"/>
    </row>
    <row r="165" spans="1:32" ht="21.25" customHeight="1" x14ac:dyDescent="0.15">
      <c r="A165" s="23"/>
      <c r="B165" s="68" t="str">
        <f>IFERROR(VLOOKUP($A165,'The List'!$B1:$AS727,3,FALSE)," ")</f>
        <v xml:space="preserve"> </v>
      </c>
      <c r="C165" s="70" t="str">
        <f>IFERROR(VLOOKUP($A165,'The List'!$B1:$AS727,4,FALSE)," ")</f>
        <v xml:space="preserve"> </v>
      </c>
      <c r="D165" s="35" t="str">
        <f>IFERROR(VLOOKUP($A165,'The List'!$B1:$AS727,5,FALSE)," ")</f>
        <v xml:space="preserve"> </v>
      </c>
      <c r="E165" s="35" t="str">
        <f>IFERROR(VLOOKUP($A165,'The List'!$B1:$AS727,6,FALSE)," ")</f>
        <v xml:space="preserve"> </v>
      </c>
      <c r="F165" s="52" t="str">
        <f>IFERROR(VLOOKUP($A165,'The List'!$B1:$AS727,8,FALSE)," ")</f>
        <v xml:space="preserve"> </v>
      </c>
      <c r="G165" s="52" t="str">
        <f>IFERROR(VLOOKUP($A165,'The List'!$B1:$AS727,10,FALSE)," ")</f>
        <v xml:space="preserve"> </v>
      </c>
      <c r="H165" s="39"/>
      <c r="I165" s="53" t="str">
        <f>IFERROR(VLOOKUP($A165,'The List'!$B1:$AS727,16,FALSE)," ")</f>
        <v xml:space="preserve"> </v>
      </c>
      <c r="J165" s="53" t="str">
        <f>IFERROR(VLOOKUP($A165,'The List'!$B1:$AS727,17,FALSE)," ")</f>
        <v xml:space="preserve"> </v>
      </c>
      <c r="K165" s="53" t="str">
        <f>IFERROR(VLOOKUP($A165,'The List'!$B1:$AS727,18,FALSE)," ")</f>
        <v xml:space="preserve"> </v>
      </c>
      <c r="L165" s="53" t="str">
        <f>IFERROR(VLOOKUP($A165,'The List'!$B1:$AS727,19,FALSE)," ")</f>
        <v xml:space="preserve"> </v>
      </c>
      <c r="M165" s="53" t="str">
        <f>IFERROR(VLOOKUP($A165,'The List'!$B1:$AS727,20,FALSE)," ")</f>
        <v xml:space="preserve"> </v>
      </c>
      <c r="N165" s="53" t="str">
        <f>IFERROR(VLOOKUP($A165,'The List'!$B1:$AS727,21,FALSE)," ")</f>
        <v xml:space="preserve"> </v>
      </c>
      <c r="O165" s="53" t="str">
        <f>IFERROR(VLOOKUP($A165,'The List'!$B1:$AS727,22,FALSE)," ")</f>
        <v xml:space="preserve"> </v>
      </c>
      <c r="P165" s="53" t="str">
        <f>IFERROR(VLOOKUP($A165,'The List'!$B1:$AS727,23,FALSE)," ")</f>
        <v xml:space="preserve"> </v>
      </c>
      <c r="Q165" s="53" t="str">
        <f>IFERROR(VLOOKUP($A165,'The List'!$B1:$AS727,24,FALSE)," ")</f>
        <v xml:space="preserve"> </v>
      </c>
      <c r="R165" s="53" t="str">
        <f>IFERROR(VLOOKUP($A165,'The List'!$B1:$AS727,25,FALSE)," ")</f>
        <v xml:space="preserve"> </v>
      </c>
      <c r="S165" s="53" t="str">
        <f>IFERROR(VLOOKUP($A165,'The List'!$B1:$AS727,26,FALSE)," ")</f>
        <v xml:space="preserve"> </v>
      </c>
      <c r="T165" s="53" t="str">
        <f>IFERROR(VLOOKUP($A165,'The List'!$B1:$AS727,27,FALSE)," ")</f>
        <v xml:space="preserve"> </v>
      </c>
      <c r="U165" s="53" t="str">
        <f>IFERROR(VLOOKUP($A165,'The List'!$B1:$AS727,28,FALSE)," ")</f>
        <v xml:space="preserve"> </v>
      </c>
      <c r="V165" s="53" t="str">
        <f>IFERROR(VLOOKUP($A165,'The List'!$B1:$AS727,29,FALSE)," ")</f>
        <v xml:space="preserve"> </v>
      </c>
      <c r="W165" s="53" t="str">
        <f>IFERROR(VLOOKUP($A165,'The List'!$B1:$AS727,30,FALSE)," ")</f>
        <v xml:space="preserve"> </v>
      </c>
      <c r="X165" s="53" t="str">
        <f>IFERROR(VLOOKUP($A165,'The List'!$B1:$AS727,31,FALSE)," ")</f>
        <v xml:space="preserve"> </v>
      </c>
      <c r="Y165" s="53" t="str">
        <f>IFERROR(VLOOKUP($A165,'The List'!$B1:$AS727,32,FALSE)," ")</f>
        <v xml:space="preserve"> </v>
      </c>
      <c r="Z165" s="53" t="str">
        <f>IFERROR(VLOOKUP($A165,'The List'!$B1:$AS727,33,FALSE)," ")</f>
        <v xml:space="preserve"> </v>
      </c>
      <c r="AA165" s="55"/>
      <c r="AB165" s="60"/>
      <c r="AC165" s="60"/>
      <c r="AD165" s="60"/>
      <c r="AE165" s="60"/>
      <c r="AF165" s="60"/>
    </row>
    <row r="166" spans="1:32" ht="21.25" customHeight="1" x14ac:dyDescent="0.15">
      <c r="A166" s="72"/>
      <c r="B166" s="73" t="str">
        <f>IFERROR(VLOOKUP($A166,'The List'!$B1:$AS727,3,FALSE)," ")</f>
        <v xml:space="preserve"> </v>
      </c>
      <c r="C166" s="74" t="str">
        <f>IFERROR(VLOOKUP($A166,'The List'!$B1:$AS727,4,FALSE)," ")</f>
        <v xml:space="preserve"> </v>
      </c>
      <c r="D166" s="75" t="str">
        <f>IFERROR(VLOOKUP($A166,'The List'!$B1:$AS727,5,FALSE)," ")</f>
        <v xml:space="preserve"> </v>
      </c>
      <c r="E166" s="75" t="str">
        <f>IFERROR(VLOOKUP($A166,'The List'!$B1:$AS727,6,FALSE)," ")</f>
        <v xml:space="preserve"> </v>
      </c>
      <c r="F166" s="76" t="str">
        <f>IFERROR(VLOOKUP($A166,'The List'!$B1:$AS727,8,FALSE)," ")</f>
        <v xml:space="preserve"> </v>
      </c>
      <c r="G166" s="76" t="str">
        <f>IFERROR(VLOOKUP($A166,'The List'!$B1:$AS727,10,FALSE)," ")</f>
        <v xml:space="preserve"> </v>
      </c>
      <c r="H166" s="77"/>
      <c r="I166" s="78" t="str">
        <f>IFERROR(VLOOKUP($A166,'The List'!$B1:$AS727,16,FALSE)," ")</f>
        <v xml:space="preserve"> </v>
      </c>
      <c r="J166" s="78" t="str">
        <f>IFERROR(VLOOKUP($A166,'The List'!$B1:$AS727,17,FALSE)," ")</f>
        <v xml:space="preserve"> </v>
      </c>
      <c r="K166" s="78" t="str">
        <f>IFERROR(VLOOKUP($A166,'The List'!$B1:$AS727,18,FALSE)," ")</f>
        <v xml:space="preserve"> </v>
      </c>
      <c r="L166" s="78" t="str">
        <f>IFERROR(VLOOKUP($A166,'The List'!$B1:$AS727,19,FALSE)," ")</f>
        <v xml:space="preserve"> </v>
      </c>
      <c r="M166" s="78" t="str">
        <f>IFERROR(VLOOKUP($A166,'The List'!$B1:$AS727,20,FALSE)," ")</f>
        <v xml:space="preserve"> </v>
      </c>
      <c r="N166" s="78" t="str">
        <f>IFERROR(VLOOKUP($A166,'The List'!$B1:$AS727,21,FALSE)," ")</f>
        <v xml:space="preserve"> </v>
      </c>
      <c r="O166" s="78" t="str">
        <f>IFERROR(VLOOKUP($A166,'The List'!$B1:$AS727,22,FALSE)," ")</f>
        <v xml:space="preserve"> </v>
      </c>
      <c r="P166" s="78" t="str">
        <f>IFERROR(VLOOKUP($A166,'The List'!$B1:$AS727,23,FALSE)," ")</f>
        <v xml:space="preserve"> </v>
      </c>
      <c r="Q166" s="78" t="str">
        <f>IFERROR(VLOOKUP($A166,'The List'!$B1:$AS727,24,FALSE)," ")</f>
        <v xml:space="preserve"> </v>
      </c>
      <c r="R166" s="78" t="str">
        <f>IFERROR(VLOOKUP($A166,'The List'!$B1:$AS727,25,FALSE)," ")</f>
        <v xml:space="preserve"> </v>
      </c>
      <c r="S166" s="78" t="str">
        <f>IFERROR(VLOOKUP($A166,'The List'!$B1:$AS727,26,FALSE)," ")</f>
        <v xml:space="preserve"> </v>
      </c>
      <c r="T166" s="78" t="str">
        <f>IFERROR(VLOOKUP($A166,'The List'!$B1:$AS727,27,FALSE)," ")</f>
        <v xml:space="preserve"> </v>
      </c>
      <c r="U166" s="78" t="str">
        <f>IFERROR(VLOOKUP($A166,'The List'!$B1:$AS727,28,FALSE)," ")</f>
        <v xml:space="preserve"> </v>
      </c>
      <c r="V166" s="78" t="str">
        <f>IFERROR(VLOOKUP($A166,'The List'!$B1:$AS727,29,FALSE)," ")</f>
        <v xml:space="preserve"> </v>
      </c>
      <c r="W166" s="78" t="str">
        <f>IFERROR(VLOOKUP($A166,'The List'!$B1:$AS727,30,FALSE)," ")</f>
        <v xml:space="preserve"> </v>
      </c>
      <c r="X166" s="78" t="str">
        <f>IFERROR(VLOOKUP($A166,'The List'!$B1:$AS727,31,FALSE)," ")</f>
        <v xml:space="preserve"> </v>
      </c>
      <c r="Y166" s="78" t="str">
        <f>IFERROR(VLOOKUP($A166,'The List'!$B1:$AS727,32,FALSE)," ")</f>
        <v xml:space="preserve"> </v>
      </c>
      <c r="Z166" s="78" t="str">
        <f>IFERROR(VLOOKUP($A166,'The List'!$B1:$AS727,33,FALSE)," ")</f>
        <v xml:space="preserve"> </v>
      </c>
      <c r="AA166" s="55"/>
      <c r="AB166" s="60"/>
      <c r="AC166" s="60"/>
      <c r="AD166" s="60"/>
      <c r="AE166" s="60"/>
      <c r="AF166" s="60"/>
    </row>
    <row r="167" spans="1:32" ht="21.25" customHeight="1" x14ac:dyDescent="0.15">
      <c r="A167" s="79"/>
      <c r="B167" s="80"/>
      <c r="C167" s="81"/>
      <c r="D167" s="82"/>
      <c r="E167" s="117" t="str">
        <f>IFERROR(AVERAGE(E147:E166)," ")</f>
        <v xml:space="preserve"> </v>
      </c>
      <c r="F167" s="84">
        <f>SUM(F147:F166)</f>
        <v>0</v>
      </c>
      <c r="G167" s="84">
        <f>SUM(G147:G166)</f>
        <v>0</v>
      </c>
      <c r="H167" s="85"/>
      <c r="I167" s="86">
        <f>SUM(I147:I166)</f>
        <v>0</v>
      </c>
      <c r="J167" s="85" t="e">
        <f>AVERAGE(J147:J166)</f>
        <v>#DIV/0!</v>
      </c>
      <c r="K167" s="86">
        <f t="shared" ref="K167:Y167" si="10">SUM(K147:K166)</f>
        <v>0</v>
      </c>
      <c r="L167" s="86">
        <f t="shared" si="10"/>
        <v>0</v>
      </c>
      <c r="M167" s="86">
        <f t="shared" si="10"/>
        <v>0</v>
      </c>
      <c r="N167" s="86">
        <f t="shared" si="10"/>
        <v>0</v>
      </c>
      <c r="O167" s="86">
        <f t="shared" si="10"/>
        <v>0</v>
      </c>
      <c r="P167" s="86">
        <f t="shared" si="10"/>
        <v>0</v>
      </c>
      <c r="Q167" s="86">
        <f t="shared" si="10"/>
        <v>0</v>
      </c>
      <c r="R167" s="86">
        <f t="shared" si="10"/>
        <v>0</v>
      </c>
      <c r="S167" s="86">
        <f t="shared" si="10"/>
        <v>0</v>
      </c>
      <c r="T167" s="86">
        <f t="shared" si="10"/>
        <v>0</v>
      </c>
      <c r="U167" s="86">
        <f t="shared" si="10"/>
        <v>0</v>
      </c>
      <c r="V167" s="86">
        <f t="shared" si="10"/>
        <v>0</v>
      </c>
      <c r="W167" s="86">
        <f t="shared" si="10"/>
        <v>0</v>
      </c>
      <c r="X167" s="86">
        <f t="shared" si="10"/>
        <v>0</v>
      </c>
      <c r="Y167" s="86">
        <f t="shared" si="10"/>
        <v>0</v>
      </c>
      <c r="Z167" s="87">
        <f>IFERROR(X167/(X167+Y167),0)</f>
        <v>0</v>
      </c>
      <c r="AA167" s="55"/>
      <c r="AB167" s="88"/>
      <c r="AC167" s="88"/>
      <c r="AD167" s="88"/>
      <c r="AE167" s="88"/>
      <c r="AF167" s="88"/>
    </row>
    <row r="168" spans="1:32" ht="21.25" customHeight="1" x14ac:dyDescent="0.15">
      <c r="A168" s="89"/>
      <c r="B168" s="90"/>
      <c r="C168" s="91"/>
      <c r="D168" s="11"/>
      <c r="E168" s="11"/>
      <c r="F168" s="92"/>
      <c r="G168" s="93"/>
      <c r="H168" s="94"/>
      <c r="I168" s="9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60"/>
      <c r="AC168" s="60"/>
      <c r="AD168" s="60"/>
      <c r="AE168" s="60"/>
      <c r="AF168" s="60"/>
    </row>
    <row r="169" spans="1:32" ht="21.25" customHeight="1" x14ac:dyDescent="0.15">
      <c r="A169" s="24" t="s">
        <v>66</v>
      </c>
      <c r="B169" s="174" t="s">
        <v>68</v>
      </c>
      <c r="C169" s="165"/>
      <c r="D169" s="96" t="s">
        <v>69</v>
      </c>
      <c r="E169" s="96" t="s">
        <v>70</v>
      </c>
      <c r="F169" s="97" t="s">
        <v>72</v>
      </c>
      <c r="G169" s="97" t="s">
        <v>74</v>
      </c>
      <c r="H169" s="98"/>
      <c r="I169" s="99" t="s">
        <v>79</v>
      </c>
      <c r="J169" s="99" t="s">
        <v>97</v>
      </c>
      <c r="K169" s="99" t="s">
        <v>98</v>
      </c>
      <c r="L169" s="99" t="s">
        <v>99</v>
      </c>
      <c r="M169" s="99" t="s">
        <v>100</v>
      </c>
      <c r="N169" s="99" t="s">
        <v>101</v>
      </c>
      <c r="O169" s="99" t="s">
        <v>102</v>
      </c>
      <c r="P169" s="99" t="s">
        <v>103</v>
      </c>
      <c r="Q169" s="99" t="s">
        <v>104</v>
      </c>
      <c r="R169" s="55"/>
      <c r="S169" s="55"/>
      <c r="T169" s="55"/>
      <c r="U169" s="174" t="s">
        <v>850</v>
      </c>
      <c r="V169" s="175"/>
      <c r="W169" s="175"/>
      <c r="X169" s="174" t="s">
        <v>851</v>
      </c>
      <c r="Y169" s="175"/>
      <c r="Z169" s="175"/>
      <c r="AA169" s="55"/>
      <c r="AB169" s="55"/>
      <c r="AC169" s="55"/>
      <c r="AD169" s="55"/>
      <c r="AE169" s="55"/>
      <c r="AF169" s="55"/>
    </row>
    <row r="170" spans="1:32" ht="21.25" customHeight="1" x14ac:dyDescent="0.15">
      <c r="A170" s="118"/>
      <c r="B170" s="101" t="str">
        <f>IFERROR(VLOOKUP($A170,'The List'!$B1:$AS727,3,FALSE)," ")</f>
        <v xml:space="preserve"> </v>
      </c>
      <c r="C170" s="119" t="str">
        <f>IFERROR(VLOOKUP($A170,'The List'!$B1:$AS727,4,FALSE)," ")</f>
        <v xml:space="preserve"> </v>
      </c>
      <c r="D170" s="103" t="str">
        <f>IFERROR(VLOOKUP($A170,'The List'!$B1:$AS727,5,FALSE)," ")</f>
        <v xml:space="preserve"> </v>
      </c>
      <c r="E170" s="103" t="str">
        <f>IFERROR(VLOOKUP($A170,'The List'!$B1:$AS727,6,FALSE)," ")</f>
        <v xml:space="preserve"> </v>
      </c>
      <c r="F170" s="120" t="str">
        <f>IFERROR(VLOOKUP($A170,'The List'!$B1:$AS727,8,FALSE)," ")</f>
        <v xml:space="preserve"> </v>
      </c>
      <c r="G170" s="120" t="str">
        <f>IFERROR(VLOOKUP($A170,'The List'!$B1:$AS727,10,FALSE)," ")</f>
        <v xml:space="preserve"> </v>
      </c>
      <c r="H170" s="106"/>
      <c r="I170" s="121" t="str">
        <f>IFERROR(VLOOKUP($A170,'The List'!$B1:$AS727,35,FALSE)," ")</f>
        <v xml:space="preserve"> </v>
      </c>
      <c r="J170" s="121" t="str">
        <f>IFERROR(VLOOKUP($A170,'The List'!$B1:$AS727,36,FALSE)," ")</f>
        <v xml:space="preserve"> </v>
      </c>
      <c r="K170" s="121" t="str">
        <f>IFERROR(VLOOKUP($A170,'The List'!$B1:$AS727,37,FALSE)," ")</f>
        <v xml:space="preserve"> </v>
      </c>
      <c r="L170" s="121" t="str">
        <f>IFERROR(VLOOKUP($A170,'The List'!$B1:$AS727,38,FALSE)," ")</f>
        <v xml:space="preserve"> </v>
      </c>
      <c r="M170" s="121" t="str">
        <f>IFERROR(VLOOKUP($A170,'The List'!$B1:$AS727,39,FALSE)," ")</f>
        <v xml:space="preserve"> </v>
      </c>
      <c r="N170" s="121" t="str">
        <f>IFERROR(VLOOKUP($A170,'The List'!$B1:$AS727,40,FALSE)," ")</f>
        <v xml:space="preserve"> </v>
      </c>
      <c r="O170" s="121" t="str">
        <f>IFERROR(VLOOKUP($A170,'The List'!$B1:$AS727,41,FALSE)," ")</f>
        <v xml:space="preserve"> </v>
      </c>
      <c r="P170" s="121" t="str">
        <f>IFERROR(VLOOKUP($A170,'The List'!$B1:$AS727,42,FALSE)," ")</f>
        <v xml:space="preserve"> </v>
      </c>
      <c r="Q170" s="121" t="str">
        <f>IFERROR(VLOOKUP($A170,'The List'!$B1:$AS727,43,FALSE)," ")</f>
        <v xml:space="preserve"> </v>
      </c>
      <c r="R170" s="55"/>
      <c r="S170" s="55"/>
      <c r="T170" s="110" t="str">
        <f>A146</f>
        <v>TEAM 6</v>
      </c>
      <c r="U170" s="176">
        <f>F167+F173</f>
        <v>0</v>
      </c>
      <c r="V170" s="165"/>
      <c r="W170" s="165"/>
      <c r="X170" s="176">
        <f>G173+G167</f>
        <v>0</v>
      </c>
      <c r="Y170" s="165"/>
      <c r="Z170" s="165"/>
      <c r="AA170" s="55"/>
      <c r="AB170" s="55"/>
      <c r="AC170" s="55"/>
      <c r="AD170" s="55"/>
      <c r="AE170" s="55"/>
      <c r="AF170" s="55"/>
    </row>
    <row r="171" spans="1:32" ht="21.25" customHeight="1" x14ac:dyDescent="0.15">
      <c r="A171" s="23"/>
      <c r="B171" s="111" t="str">
        <f>IFERROR(VLOOKUP($A171,'The List'!$B1:$AS727,3,FALSE)," ")</f>
        <v xml:space="preserve"> </v>
      </c>
      <c r="C171" s="112" t="str">
        <f>IFERROR(VLOOKUP($A171,'The List'!$B1:$AS727,4,FALSE)," ")</f>
        <v xml:space="preserve"> </v>
      </c>
      <c r="D171" s="35" t="str">
        <f>IFERROR(VLOOKUP($A171,'The List'!$B1:$AS727,5,FALSE)," ")</f>
        <v xml:space="preserve"> </v>
      </c>
      <c r="E171" s="35" t="str">
        <f>IFERROR(VLOOKUP($A171,'The List'!$B1:$AS727,6,FALSE)," ")</f>
        <v xml:space="preserve"> </v>
      </c>
      <c r="F171" s="52" t="str">
        <f>IFERROR(VLOOKUP($A171,'The List'!$B1:$AS727,8,FALSE)," ")</f>
        <v xml:space="preserve"> </v>
      </c>
      <c r="G171" s="52" t="str">
        <f>IFERROR(VLOOKUP($A171,'The List'!$B1:$AS727,10,FALSE)," ")</f>
        <v xml:space="preserve"> </v>
      </c>
      <c r="H171" s="39"/>
      <c r="I171" s="53" t="str">
        <f>IFERROR(VLOOKUP($A171,'The List'!$B1:$AS727,35,FALSE)," ")</f>
        <v xml:space="preserve"> </v>
      </c>
      <c r="J171" s="53" t="str">
        <f>IFERROR(VLOOKUP($A171,'The List'!$B1:$AS727,36,FALSE)," ")</f>
        <v xml:space="preserve"> </v>
      </c>
      <c r="K171" s="53" t="str">
        <f>IFERROR(VLOOKUP($A171,'The List'!$B1:$AS727,37,FALSE)," ")</f>
        <v xml:space="preserve"> </v>
      </c>
      <c r="L171" s="53" t="str">
        <f>IFERROR(VLOOKUP($A171,'The List'!$B1:$AS727,38,FALSE)," ")</f>
        <v xml:space="preserve"> </v>
      </c>
      <c r="M171" s="53" t="str">
        <f>IFERROR(VLOOKUP($A171,'The List'!$B1:$AS727,39,FALSE)," ")</f>
        <v xml:space="preserve"> </v>
      </c>
      <c r="N171" s="53" t="str">
        <f>IFERROR(VLOOKUP($A171,'The List'!$B1:$AS727,40,FALSE)," ")</f>
        <v xml:space="preserve"> </v>
      </c>
      <c r="O171" s="53" t="str">
        <f>IFERROR(VLOOKUP($A171,'The List'!$B1:$AS727,41,FALSE)," ")</f>
        <v xml:space="preserve"> </v>
      </c>
      <c r="P171" s="53" t="str">
        <f>IFERROR(VLOOKUP($A171,'The List'!$B1:$AS727,42,FALSE)," ")</f>
        <v xml:space="preserve"> </v>
      </c>
      <c r="Q171" s="53" t="str">
        <f>IFERROR(VLOOKUP($A171,'The List'!$B1:$AS727,43,FALSE)," ")</f>
        <v xml:space="preserve"> </v>
      </c>
      <c r="R171" s="55"/>
      <c r="S171" s="55"/>
      <c r="T171" s="55"/>
      <c r="U171" s="165"/>
      <c r="V171" s="165"/>
      <c r="W171" s="165"/>
      <c r="X171" s="165"/>
      <c r="Y171" s="165"/>
      <c r="Z171" s="165"/>
      <c r="AA171" s="55"/>
      <c r="AB171" s="55"/>
      <c r="AC171" s="55"/>
      <c r="AD171" s="55"/>
      <c r="AE171" s="55"/>
      <c r="AF171" s="55"/>
    </row>
    <row r="172" spans="1:32" ht="21.25" customHeight="1" x14ac:dyDescent="0.15">
      <c r="A172" s="72"/>
      <c r="B172" s="113" t="str">
        <f>IFERROR(VLOOKUP($A172,'The List'!$B1:$AS727,3,FALSE)," ")</f>
        <v xml:space="preserve"> </v>
      </c>
      <c r="C172" s="114" t="str">
        <f>IFERROR(VLOOKUP($A172,'The List'!$B1:$AS727,4,FALSE)," ")</f>
        <v xml:space="preserve"> </v>
      </c>
      <c r="D172" s="75" t="str">
        <f>IFERROR(VLOOKUP($A172,'The List'!$B1:$AS727,5,FALSE)," ")</f>
        <v xml:space="preserve"> </v>
      </c>
      <c r="E172" s="75" t="str">
        <f>IFERROR(VLOOKUP($A172,'The List'!$B1:$AS727,6,FALSE)," ")</f>
        <v xml:space="preserve"> </v>
      </c>
      <c r="F172" s="76" t="str">
        <f>IFERROR(VLOOKUP($A172,'The List'!$B1:$AS727,8,FALSE)," ")</f>
        <v xml:space="preserve"> </v>
      </c>
      <c r="G172" s="76" t="str">
        <f>IFERROR(VLOOKUP($A172,'The List'!$B1:$AS727,10,FALSE)," ")</f>
        <v xml:space="preserve"> </v>
      </c>
      <c r="H172" s="77"/>
      <c r="I172" s="78" t="str">
        <f>IFERROR(VLOOKUP($A172,'The List'!$B1:$AS727,35,FALSE)," ")</f>
        <v xml:space="preserve"> </v>
      </c>
      <c r="J172" s="78" t="str">
        <f>IFERROR(VLOOKUP($A172,'The List'!$B1:$AS727,36,FALSE)," ")</f>
        <v xml:space="preserve"> </v>
      </c>
      <c r="K172" s="78" t="str">
        <f>IFERROR(VLOOKUP($A172,'The List'!$B1:$AS727,37,FALSE)," ")</f>
        <v xml:space="preserve"> </v>
      </c>
      <c r="L172" s="78" t="str">
        <f>IFERROR(VLOOKUP($A172,'The List'!$B1:$AS727,38,FALSE)," ")</f>
        <v xml:space="preserve"> </v>
      </c>
      <c r="M172" s="78" t="str">
        <f>IFERROR(VLOOKUP($A172,'The List'!$B1:$AS727,39,FALSE)," ")</f>
        <v xml:space="preserve"> </v>
      </c>
      <c r="N172" s="78" t="str">
        <f>IFERROR(VLOOKUP($A172,'The List'!$B1:$AS727,40,FALSE)," ")</f>
        <v xml:space="preserve"> </v>
      </c>
      <c r="O172" s="78" t="str">
        <f>IFERROR(VLOOKUP($A172,'The List'!$B1:$AS727,41,FALSE)," ")</f>
        <v xml:space="preserve"> </v>
      </c>
      <c r="P172" s="78" t="str">
        <f>IFERROR(VLOOKUP($A172,'The List'!$B1:$AS727,42,FALSE)," ")</f>
        <v xml:space="preserve"> </v>
      </c>
      <c r="Q172" s="78" t="str">
        <f>IFERROR(VLOOKUP($A172,'The List'!$B1:$AS727,43,FALSE)," ")</f>
        <v xml:space="preserve"> </v>
      </c>
      <c r="R172" s="55"/>
      <c r="S172" s="55"/>
      <c r="T172" s="55"/>
      <c r="U172" s="165"/>
      <c r="V172" s="165"/>
      <c r="W172" s="165"/>
      <c r="X172" s="165"/>
      <c r="Y172" s="165"/>
      <c r="Z172" s="165"/>
      <c r="AA172" s="55"/>
      <c r="AB172" s="55"/>
      <c r="AC172" s="55"/>
      <c r="AD172" s="55"/>
      <c r="AE172" s="55"/>
      <c r="AF172" s="55"/>
    </row>
    <row r="173" spans="1:32" ht="21.25" customHeight="1" x14ac:dyDescent="0.15">
      <c r="A173" s="79"/>
      <c r="B173" s="80"/>
      <c r="C173" s="81"/>
      <c r="D173" s="82"/>
      <c r="E173" s="117" t="str">
        <f>IFERROR(AVERAGE(E170:E172)," ")</f>
        <v xml:space="preserve"> </v>
      </c>
      <c r="F173" s="84">
        <f>SUM(F170:F172)</f>
        <v>0</v>
      </c>
      <c r="G173" s="84">
        <f>SUM(G170:G172)</f>
        <v>0</v>
      </c>
      <c r="H173" s="85"/>
      <c r="I173" s="86">
        <f t="shared" ref="I173:O173" si="11">SUM(I170:I172)</f>
        <v>0</v>
      </c>
      <c r="J173" s="85">
        <f t="shared" si="11"/>
        <v>0</v>
      </c>
      <c r="K173" s="86">
        <f t="shared" si="11"/>
        <v>0</v>
      </c>
      <c r="L173" s="86">
        <f t="shared" si="11"/>
        <v>0</v>
      </c>
      <c r="M173" s="86">
        <f t="shared" si="11"/>
        <v>0</v>
      </c>
      <c r="N173" s="86">
        <f t="shared" si="11"/>
        <v>0</v>
      </c>
      <c r="O173" s="86">
        <f t="shared" si="11"/>
        <v>0</v>
      </c>
      <c r="P173" s="115" t="e">
        <f>1-(O173/(N173+O173))</f>
        <v>#DIV/0!</v>
      </c>
      <c r="Q173" s="116" t="e">
        <f>O173/I173</f>
        <v>#DIV/0!</v>
      </c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</row>
    <row r="174" spans="1:32" ht="70.75" customHeight="1" x14ac:dyDescent="0.15">
      <c r="A174" s="89"/>
      <c r="B174" s="90"/>
      <c r="C174" s="91"/>
      <c r="D174" s="11"/>
      <c r="E174" s="11"/>
      <c r="F174" s="92"/>
      <c r="G174" s="93"/>
      <c r="H174" s="94"/>
      <c r="I174" s="9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60"/>
      <c r="AB174" s="60"/>
      <c r="AC174" s="60"/>
      <c r="AD174" s="60"/>
      <c r="AE174" s="60"/>
      <c r="AF174" s="60"/>
    </row>
    <row r="175" spans="1:32" ht="21.25" customHeight="1" x14ac:dyDescent="0.15">
      <c r="A175" s="25" t="s">
        <v>840</v>
      </c>
      <c r="B175" s="173" t="s">
        <v>68</v>
      </c>
      <c r="C175" s="170"/>
      <c r="D175" s="26" t="s">
        <v>69</v>
      </c>
      <c r="E175" s="26" t="s">
        <v>70</v>
      </c>
      <c r="F175" s="27" t="s">
        <v>72</v>
      </c>
      <c r="G175" s="27" t="s">
        <v>74</v>
      </c>
      <c r="H175" s="28"/>
      <c r="I175" s="30" t="s">
        <v>79</v>
      </c>
      <c r="J175" s="30" t="s">
        <v>80</v>
      </c>
      <c r="K175" s="30" t="s">
        <v>81</v>
      </c>
      <c r="L175" s="30" t="s">
        <v>82</v>
      </c>
      <c r="M175" s="30" t="s">
        <v>83</v>
      </c>
      <c r="N175" s="30" t="s">
        <v>84</v>
      </c>
      <c r="O175" s="30" t="s">
        <v>85</v>
      </c>
      <c r="P175" s="30" t="s">
        <v>86</v>
      </c>
      <c r="Q175" s="30" t="s">
        <v>87</v>
      </c>
      <c r="R175" s="30" t="s">
        <v>88</v>
      </c>
      <c r="S175" s="30" t="s">
        <v>89</v>
      </c>
      <c r="T175" s="30" t="s">
        <v>90</v>
      </c>
      <c r="U175" s="30" t="s">
        <v>91</v>
      </c>
      <c r="V175" s="30" t="s">
        <v>92</v>
      </c>
      <c r="W175" s="30" t="s">
        <v>93</v>
      </c>
      <c r="X175" s="30" t="s">
        <v>94</v>
      </c>
      <c r="Y175" s="30" t="s">
        <v>95</v>
      </c>
      <c r="Z175" s="30" t="s">
        <v>96</v>
      </c>
      <c r="AA175" s="55"/>
      <c r="AB175" s="56"/>
      <c r="AC175" s="56"/>
      <c r="AD175" s="56"/>
      <c r="AE175" s="56"/>
      <c r="AF175" s="56"/>
    </row>
    <row r="176" spans="1:32" ht="21.25" customHeight="1" x14ac:dyDescent="0.15">
      <c r="A176" s="23"/>
      <c r="B176" s="57" t="str">
        <f>IFERROR(VLOOKUP($A176,'The List'!$B1:$AS727,3,FALSE)," ")</f>
        <v xml:space="preserve"> </v>
      </c>
      <c r="C176" s="61" t="str">
        <f>IFERROR(VLOOKUP($A176,'The List'!$B1:$AS727,4,FALSE)," ")</f>
        <v xml:space="preserve"> </v>
      </c>
      <c r="D176" s="35" t="str">
        <f>IFERROR(VLOOKUP($A176,'The List'!$B1:$AS727,5,FALSE)," ")</f>
        <v xml:space="preserve"> </v>
      </c>
      <c r="E176" s="35" t="str">
        <f>IFERROR(VLOOKUP($A176,'The List'!$B1:$AS727,6,FALSE)," ")</f>
        <v xml:space="preserve"> </v>
      </c>
      <c r="F176" s="52" t="str">
        <f>IFERROR(VLOOKUP($A176,'The List'!$B1:$AS727,8,FALSE)," ")</f>
        <v xml:space="preserve"> </v>
      </c>
      <c r="G176" s="52" t="str">
        <f>IFERROR(VLOOKUP($A176,'The List'!$B1:$AS727,10,FALSE)," ")</f>
        <v xml:space="preserve"> </v>
      </c>
      <c r="H176" s="39"/>
      <c r="I176" s="53" t="str">
        <f>IFERROR(VLOOKUP($A176,'The List'!$B1:$AS727,16,FALSE)," ")</f>
        <v xml:space="preserve"> </v>
      </c>
      <c r="J176" s="53" t="str">
        <f>IFERROR(VLOOKUP($A176,'The List'!$B1:$AS727,17,FALSE)," ")</f>
        <v xml:space="preserve"> </v>
      </c>
      <c r="K176" s="53" t="str">
        <f>IFERROR(VLOOKUP($A176,'The List'!$B1:$AS727,18,FALSE)," ")</f>
        <v xml:space="preserve"> </v>
      </c>
      <c r="L176" s="53" t="str">
        <f>IFERROR(VLOOKUP($A176,'The List'!$B1:$AS727,19,FALSE)," ")</f>
        <v xml:space="preserve"> </v>
      </c>
      <c r="M176" s="53" t="str">
        <f>IFERROR(VLOOKUP($A176,'The List'!$B1:$AS727,20,FALSE)," ")</f>
        <v xml:space="preserve"> </v>
      </c>
      <c r="N176" s="53" t="str">
        <f>IFERROR(VLOOKUP($A176,'The List'!$B1:$AS727,21,FALSE)," ")</f>
        <v xml:space="preserve"> </v>
      </c>
      <c r="O176" s="53" t="str">
        <f>IFERROR(VLOOKUP($A176,'The List'!$B1:$AS727,22,FALSE)," ")</f>
        <v xml:space="preserve"> </v>
      </c>
      <c r="P176" s="53" t="str">
        <f>IFERROR(VLOOKUP($A176,'The List'!$B1:$AS727,23,FALSE)," ")</f>
        <v xml:space="preserve"> </v>
      </c>
      <c r="Q176" s="53" t="str">
        <f>IFERROR(VLOOKUP($A176,'The List'!$B1:$AS727,24,FALSE)," ")</f>
        <v xml:space="preserve"> </v>
      </c>
      <c r="R176" s="53" t="str">
        <f>IFERROR(VLOOKUP($A176,'The List'!$B1:$AS727,25,FALSE)," ")</f>
        <v xml:space="preserve"> </v>
      </c>
      <c r="S176" s="53" t="str">
        <f>IFERROR(VLOOKUP($A176,'The List'!$B1:$AS727,26,FALSE)," ")</f>
        <v xml:space="preserve"> </v>
      </c>
      <c r="T176" s="53" t="str">
        <f>IFERROR(VLOOKUP($A176,'The List'!$B1:$AS727,27,FALSE)," ")</f>
        <v xml:space="preserve"> </v>
      </c>
      <c r="U176" s="53" t="str">
        <f>IFERROR(VLOOKUP($A176,'The List'!$B1:$AS727,28,FALSE)," ")</f>
        <v xml:space="preserve"> </v>
      </c>
      <c r="V176" s="53" t="str">
        <f>IFERROR(VLOOKUP($A176,'The List'!$B1:$AS727,29,FALSE)," ")</f>
        <v xml:space="preserve"> </v>
      </c>
      <c r="W176" s="53" t="str">
        <f>IFERROR(VLOOKUP($A176,'The List'!$B1:$AS727,30,FALSE)," ")</f>
        <v xml:space="preserve"> </v>
      </c>
      <c r="X176" s="53" t="str">
        <f>IFERROR(VLOOKUP($A176,'The List'!$B1:$AS727,31,FALSE)," ")</f>
        <v xml:space="preserve"> </v>
      </c>
      <c r="Y176" s="53" t="str">
        <f>IFERROR(VLOOKUP($A176,'The List'!$B1:$AS727,32,FALSE)," ")</f>
        <v xml:space="preserve"> </v>
      </c>
      <c r="Z176" s="53" t="str">
        <f>IFERROR(VLOOKUP($A176,'The List'!$B1:$AS727,33,FALSE)," ")</f>
        <v xml:space="preserve"> </v>
      </c>
      <c r="AA176" s="55"/>
      <c r="AB176" s="60"/>
      <c r="AC176" s="60"/>
      <c r="AD176" s="60"/>
      <c r="AE176" s="60"/>
      <c r="AF176" s="60"/>
    </row>
    <row r="177" spans="1:32" ht="21.25" customHeight="1" x14ac:dyDescent="0.15">
      <c r="A177" s="23"/>
      <c r="B177" s="57" t="str">
        <f>IFERROR(VLOOKUP($A177,'The List'!$B1:$AS727,3,FALSE)," ")</f>
        <v xml:space="preserve"> </v>
      </c>
      <c r="C177" s="61" t="str">
        <f>IFERROR(VLOOKUP($A177,'The List'!$B1:$AS727,4,FALSE)," ")</f>
        <v xml:space="preserve"> </v>
      </c>
      <c r="D177" s="35" t="str">
        <f>IFERROR(VLOOKUP($A177,'The List'!$B1:$AS727,5,FALSE)," ")</f>
        <v xml:space="preserve"> </v>
      </c>
      <c r="E177" s="35" t="str">
        <f>IFERROR(VLOOKUP($A177,'The List'!$B1:$AS727,6,FALSE)," ")</f>
        <v xml:space="preserve"> </v>
      </c>
      <c r="F177" s="52" t="str">
        <f>IFERROR(VLOOKUP($A177,'The List'!$B1:$AS727,8,FALSE)," ")</f>
        <v xml:space="preserve"> </v>
      </c>
      <c r="G177" s="52" t="str">
        <f>IFERROR(VLOOKUP($A177,'The List'!$B1:$AS727,10,FALSE)," ")</f>
        <v xml:space="preserve"> </v>
      </c>
      <c r="H177" s="39"/>
      <c r="I177" s="53" t="str">
        <f>IFERROR(VLOOKUP($A177,'The List'!$B1:$AS727,16,FALSE)," ")</f>
        <v xml:space="preserve"> </v>
      </c>
      <c r="J177" s="53" t="str">
        <f>IFERROR(VLOOKUP($A177,'The List'!$B1:$AS727,17,FALSE)," ")</f>
        <v xml:space="preserve"> </v>
      </c>
      <c r="K177" s="53" t="str">
        <f>IFERROR(VLOOKUP($A177,'The List'!$B1:$AS727,18,FALSE)," ")</f>
        <v xml:space="preserve"> </v>
      </c>
      <c r="L177" s="53" t="str">
        <f>IFERROR(VLOOKUP($A177,'The List'!$B1:$AS727,19,FALSE)," ")</f>
        <v xml:space="preserve"> </v>
      </c>
      <c r="M177" s="53" t="str">
        <f>IFERROR(VLOOKUP($A177,'The List'!$B1:$AS727,20,FALSE)," ")</f>
        <v xml:space="preserve"> </v>
      </c>
      <c r="N177" s="53" t="str">
        <f>IFERROR(VLOOKUP($A177,'The List'!$B1:$AS727,21,FALSE)," ")</f>
        <v xml:space="preserve"> </v>
      </c>
      <c r="O177" s="53" t="str">
        <f>IFERROR(VLOOKUP($A177,'The List'!$B1:$AS727,22,FALSE)," ")</f>
        <v xml:space="preserve"> </v>
      </c>
      <c r="P177" s="53" t="str">
        <f>IFERROR(VLOOKUP($A177,'The List'!$B1:$AS727,23,FALSE)," ")</f>
        <v xml:space="preserve"> </v>
      </c>
      <c r="Q177" s="53" t="str">
        <f>IFERROR(VLOOKUP($A177,'The List'!$B1:$AS727,24,FALSE)," ")</f>
        <v xml:space="preserve"> </v>
      </c>
      <c r="R177" s="53" t="str">
        <f>IFERROR(VLOOKUP($A177,'The List'!$B1:$AS727,25,FALSE)," ")</f>
        <v xml:space="preserve"> </v>
      </c>
      <c r="S177" s="53" t="str">
        <f>IFERROR(VLOOKUP($A177,'The List'!$B1:$AS727,26,FALSE)," ")</f>
        <v xml:space="preserve"> </v>
      </c>
      <c r="T177" s="53" t="str">
        <f>IFERROR(VLOOKUP($A177,'The List'!$B1:$AS727,27,FALSE)," ")</f>
        <v xml:space="preserve"> </v>
      </c>
      <c r="U177" s="53" t="str">
        <f>IFERROR(VLOOKUP($A177,'The List'!$B1:$AS727,28,FALSE)," ")</f>
        <v xml:space="preserve"> </v>
      </c>
      <c r="V177" s="53" t="str">
        <f>IFERROR(VLOOKUP($A177,'The List'!$B1:$AS727,29,FALSE)," ")</f>
        <v xml:space="preserve"> </v>
      </c>
      <c r="W177" s="53" t="str">
        <f>IFERROR(VLOOKUP($A177,'The List'!$B1:$AS727,30,FALSE)," ")</f>
        <v xml:space="preserve"> </v>
      </c>
      <c r="X177" s="53" t="str">
        <f>IFERROR(VLOOKUP($A177,'The List'!$B1:$AS727,31,FALSE)," ")</f>
        <v xml:space="preserve"> </v>
      </c>
      <c r="Y177" s="53" t="str">
        <f>IFERROR(VLOOKUP($A177,'The List'!$B1:$AS727,32,FALSE)," ")</f>
        <v xml:space="preserve"> </v>
      </c>
      <c r="Z177" s="53" t="str">
        <f>IFERROR(VLOOKUP($A177,'The List'!$B1:$AS727,33,FALSE)," ")</f>
        <v xml:space="preserve"> </v>
      </c>
      <c r="AA177" s="55"/>
      <c r="AB177" s="60"/>
      <c r="AC177" s="60"/>
      <c r="AD177" s="60"/>
      <c r="AE177" s="60"/>
      <c r="AF177" s="60"/>
    </row>
    <row r="178" spans="1:32" ht="21.25" customHeight="1" x14ac:dyDescent="0.15">
      <c r="A178" s="23"/>
      <c r="B178" s="57" t="str">
        <f>IFERROR(VLOOKUP($A178,'The List'!$B1:$AS727,3,FALSE)," ")</f>
        <v xml:space="preserve"> </v>
      </c>
      <c r="C178" s="61" t="str">
        <f>IFERROR(VLOOKUP($A178,'The List'!$B1:$AS727,4,FALSE)," ")</f>
        <v xml:space="preserve"> </v>
      </c>
      <c r="D178" s="35" t="str">
        <f>IFERROR(VLOOKUP($A178,'The List'!$B1:$AS727,5,FALSE)," ")</f>
        <v xml:space="preserve"> </v>
      </c>
      <c r="E178" s="35" t="str">
        <f>IFERROR(VLOOKUP($A178,'The List'!$B1:$AS727,6,FALSE)," ")</f>
        <v xml:space="preserve"> </v>
      </c>
      <c r="F178" s="52" t="str">
        <f>IFERROR(VLOOKUP($A178,'The List'!$B1:$AS727,8,FALSE)," ")</f>
        <v xml:space="preserve"> </v>
      </c>
      <c r="G178" s="52" t="str">
        <f>IFERROR(VLOOKUP($A178,'The List'!$B1:$AS727,10,FALSE)," ")</f>
        <v xml:space="preserve"> </v>
      </c>
      <c r="H178" s="39"/>
      <c r="I178" s="53" t="str">
        <f>IFERROR(VLOOKUP($A178,'The List'!$B1:$AS727,16,FALSE)," ")</f>
        <v xml:space="preserve"> </v>
      </c>
      <c r="J178" s="53" t="str">
        <f>IFERROR(VLOOKUP($A178,'The List'!$B1:$AS727,17,FALSE)," ")</f>
        <v xml:space="preserve"> </v>
      </c>
      <c r="K178" s="53" t="str">
        <f>IFERROR(VLOOKUP($A178,'The List'!$B1:$AS727,18,FALSE)," ")</f>
        <v xml:space="preserve"> </v>
      </c>
      <c r="L178" s="53" t="str">
        <f>IFERROR(VLOOKUP($A178,'The List'!$B1:$AS727,19,FALSE)," ")</f>
        <v xml:space="preserve"> </v>
      </c>
      <c r="M178" s="53" t="str">
        <f>IFERROR(VLOOKUP($A178,'The List'!$B1:$AS727,20,FALSE)," ")</f>
        <v xml:space="preserve"> </v>
      </c>
      <c r="N178" s="53" t="str">
        <f>IFERROR(VLOOKUP($A178,'The List'!$B1:$AS727,21,FALSE)," ")</f>
        <v xml:space="preserve"> </v>
      </c>
      <c r="O178" s="53" t="str">
        <f>IFERROR(VLOOKUP($A178,'The List'!$B1:$AS727,22,FALSE)," ")</f>
        <v xml:space="preserve"> </v>
      </c>
      <c r="P178" s="53" t="str">
        <f>IFERROR(VLOOKUP($A178,'The List'!$B1:$AS727,23,FALSE)," ")</f>
        <v xml:space="preserve"> </v>
      </c>
      <c r="Q178" s="53" t="str">
        <f>IFERROR(VLOOKUP($A178,'The List'!$B1:$AS727,24,FALSE)," ")</f>
        <v xml:space="preserve"> </v>
      </c>
      <c r="R178" s="53" t="str">
        <f>IFERROR(VLOOKUP($A178,'The List'!$B1:$AS727,25,FALSE)," ")</f>
        <v xml:space="preserve"> </v>
      </c>
      <c r="S178" s="53" t="str">
        <f>IFERROR(VLOOKUP($A178,'The List'!$B1:$AS727,26,FALSE)," ")</f>
        <v xml:space="preserve"> </v>
      </c>
      <c r="T178" s="53" t="str">
        <f>IFERROR(VLOOKUP($A178,'The List'!$B1:$AS727,27,FALSE)," ")</f>
        <v xml:space="preserve"> </v>
      </c>
      <c r="U178" s="53" t="str">
        <f>IFERROR(VLOOKUP($A178,'The List'!$B1:$AS727,28,FALSE)," ")</f>
        <v xml:space="preserve"> </v>
      </c>
      <c r="V178" s="53" t="str">
        <f>IFERROR(VLOOKUP($A178,'The List'!$B1:$AS727,29,FALSE)," ")</f>
        <v xml:space="preserve"> </v>
      </c>
      <c r="W178" s="53" t="str">
        <f>IFERROR(VLOOKUP($A178,'The List'!$B1:$AS727,30,FALSE)," ")</f>
        <v xml:space="preserve"> </v>
      </c>
      <c r="X178" s="53" t="str">
        <f>IFERROR(VLOOKUP($A178,'The List'!$B1:$AS727,31,FALSE)," ")</f>
        <v xml:space="preserve"> </v>
      </c>
      <c r="Y178" s="53" t="str">
        <f>IFERROR(VLOOKUP($A178,'The List'!$B1:$AS727,32,FALSE)," ")</f>
        <v xml:space="preserve"> </v>
      </c>
      <c r="Z178" s="53" t="str">
        <f>IFERROR(VLOOKUP($A178,'The List'!$B1:$AS727,33,FALSE)," ")</f>
        <v xml:space="preserve"> </v>
      </c>
      <c r="AA178" s="55"/>
      <c r="AB178" s="60"/>
      <c r="AC178" s="60"/>
      <c r="AD178" s="60"/>
      <c r="AE178" s="60"/>
      <c r="AF178" s="60"/>
    </row>
    <row r="179" spans="1:32" ht="21.25" customHeight="1" x14ac:dyDescent="0.15">
      <c r="A179" s="23"/>
      <c r="B179" s="57" t="str">
        <f>IFERROR(VLOOKUP($A179,'The List'!$B1:$AS727,3,FALSE)," ")</f>
        <v xml:space="preserve"> </v>
      </c>
      <c r="C179" s="61" t="str">
        <f>IFERROR(VLOOKUP($A179,'The List'!$B1:$AS727,4,FALSE)," ")</f>
        <v xml:space="preserve"> </v>
      </c>
      <c r="D179" s="35" t="str">
        <f>IFERROR(VLOOKUP($A179,'The List'!$B1:$AS727,5,FALSE)," ")</f>
        <v xml:space="preserve"> </v>
      </c>
      <c r="E179" s="35" t="str">
        <f>IFERROR(VLOOKUP($A179,'The List'!$B1:$AS727,6,FALSE)," ")</f>
        <v xml:space="preserve"> </v>
      </c>
      <c r="F179" s="52" t="str">
        <f>IFERROR(VLOOKUP($A179,'The List'!$B1:$AS727,8,FALSE)," ")</f>
        <v xml:space="preserve"> </v>
      </c>
      <c r="G179" s="52" t="str">
        <f>IFERROR(VLOOKUP($A179,'The List'!$B1:$AS727,10,FALSE)," ")</f>
        <v xml:space="preserve"> </v>
      </c>
      <c r="H179" s="39"/>
      <c r="I179" s="53" t="str">
        <f>IFERROR(VLOOKUP($A179,'The List'!$B1:$AS727,16,FALSE)," ")</f>
        <v xml:space="preserve"> </v>
      </c>
      <c r="J179" s="53" t="str">
        <f>IFERROR(VLOOKUP($A179,'The List'!$B1:$AS727,17,FALSE)," ")</f>
        <v xml:space="preserve"> </v>
      </c>
      <c r="K179" s="53" t="str">
        <f>IFERROR(VLOOKUP($A179,'The List'!$B1:$AS727,18,FALSE)," ")</f>
        <v xml:space="preserve"> </v>
      </c>
      <c r="L179" s="53" t="str">
        <f>IFERROR(VLOOKUP($A179,'The List'!$B1:$AS727,19,FALSE)," ")</f>
        <v xml:space="preserve"> </v>
      </c>
      <c r="M179" s="53" t="str">
        <f>IFERROR(VLOOKUP($A179,'The List'!$B1:$AS727,20,FALSE)," ")</f>
        <v xml:space="preserve"> </v>
      </c>
      <c r="N179" s="53" t="str">
        <f>IFERROR(VLOOKUP($A179,'The List'!$B1:$AS727,21,FALSE)," ")</f>
        <v xml:space="preserve"> </v>
      </c>
      <c r="O179" s="53" t="str">
        <f>IFERROR(VLOOKUP($A179,'The List'!$B1:$AS727,22,FALSE)," ")</f>
        <v xml:space="preserve"> </v>
      </c>
      <c r="P179" s="53" t="str">
        <f>IFERROR(VLOOKUP($A179,'The List'!$B1:$AS727,23,FALSE)," ")</f>
        <v xml:space="preserve"> </v>
      </c>
      <c r="Q179" s="53" t="str">
        <f>IFERROR(VLOOKUP($A179,'The List'!$B1:$AS727,24,FALSE)," ")</f>
        <v xml:space="preserve"> </v>
      </c>
      <c r="R179" s="53" t="str">
        <f>IFERROR(VLOOKUP($A179,'The List'!$B1:$AS727,25,FALSE)," ")</f>
        <v xml:space="preserve"> </v>
      </c>
      <c r="S179" s="53" t="str">
        <f>IFERROR(VLOOKUP($A179,'The List'!$B1:$AS727,26,FALSE)," ")</f>
        <v xml:space="preserve"> </v>
      </c>
      <c r="T179" s="53" t="str">
        <f>IFERROR(VLOOKUP($A179,'The List'!$B1:$AS727,27,FALSE)," ")</f>
        <v xml:space="preserve"> </v>
      </c>
      <c r="U179" s="53" t="str">
        <f>IFERROR(VLOOKUP($A179,'The List'!$B1:$AS727,28,FALSE)," ")</f>
        <v xml:space="preserve"> </v>
      </c>
      <c r="V179" s="53" t="str">
        <f>IFERROR(VLOOKUP($A179,'The List'!$B1:$AS727,29,FALSE)," ")</f>
        <v xml:space="preserve"> </v>
      </c>
      <c r="W179" s="53" t="str">
        <f>IFERROR(VLOOKUP($A179,'The List'!$B1:$AS727,30,FALSE)," ")</f>
        <v xml:space="preserve"> </v>
      </c>
      <c r="X179" s="53" t="str">
        <f>IFERROR(VLOOKUP($A179,'The List'!$B1:$AS727,31,FALSE)," ")</f>
        <v xml:space="preserve"> </v>
      </c>
      <c r="Y179" s="53" t="str">
        <f>IFERROR(VLOOKUP($A179,'The List'!$B1:$AS727,32,FALSE)," ")</f>
        <v xml:space="preserve"> </v>
      </c>
      <c r="Z179" s="53" t="str">
        <f>IFERROR(VLOOKUP($A179,'The List'!$B1:$AS727,33,FALSE)," ")</f>
        <v xml:space="preserve"> </v>
      </c>
      <c r="AA179" s="55"/>
      <c r="AB179" s="60"/>
      <c r="AC179" s="60"/>
      <c r="AD179" s="60"/>
      <c r="AE179" s="60"/>
      <c r="AF179" s="60"/>
    </row>
    <row r="180" spans="1:32" ht="21.25" customHeight="1" x14ac:dyDescent="0.15">
      <c r="A180" s="23"/>
      <c r="B180" s="62" t="str">
        <f>IFERROR(VLOOKUP($A180,'The List'!$B1:$AS727,3,FALSE)," ")</f>
        <v xml:space="preserve"> </v>
      </c>
      <c r="C180" s="64" t="str">
        <f>IFERROR(VLOOKUP($A180,'The List'!$B1:$AS727,4,FALSE)," ")</f>
        <v xml:space="preserve"> </v>
      </c>
      <c r="D180" s="35" t="str">
        <f>IFERROR(VLOOKUP($A180,'The List'!$B1:$AS727,5,FALSE)," ")</f>
        <v xml:space="preserve"> </v>
      </c>
      <c r="E180" s="35" t="str">
        <f>IFERROR(VLOOKUP($A180,'The List'!$B1:$AS727,6,FALSE)," ")</f>
        <v xml:space="preserve"> </v>
      </c>
      <c r="F180" s="52" t="str">
        <f>IFERROR(VLOOKUP($A180,'The List'!$B1:$AS727,8,FALSE)," ")</f>
        <v xml:space="preserve"> </v>
      </c>
      <c r="G180" s="52" t="str">
        <f>IFERROR(VLOOKUP($A180,'The List'!$B1:$AS727,10,FALSE)," ")</f>
        <v xml:space="preserve"> </v>
      </c>
      <c r="H180" s="39"/>
      <c r="I180" s="53" t="str">
        <f>IFERROR(VLOOKUP($A180,'The List'!$B1:$AS727,16,FALSE)," ")</f>
        <v xml:space="preserve"> </v>
      </c>
      <c r="J180" s="53" t="str">
        <f>IFERROR(VLOOKUP($A180,'The List'!$B1:$AS727,17,FALSE)," ")</f>
        <v xml:space="preserve"> </v>
      </c>
      <c r="K180" s="53" t="str">
        <f>IFERROR(VLOOKUP($A180,'The List'!$B1:$AS727,18,FALSE)," ")</f>
        <v xml:space="preserve"> </v>
      </c>
      <c r="L180" s="53" t="str">
        <f>IFERROR(VLOOKUP($A180,'The List'!$B1:$AS727,19,FALSE)," ")</f>
        <v xml:space="preserve"> </v>
      </c>
      <c r="M180" s="53" t="str">
        <f>IFERROR(VLOOKUP($A180,'The List'!$B1:$AS727,20,FALSE)," ")</f>
        <v xml:space="preserve"> </v>
      </c>
      <c r="N180" s="53" t="str">
        <f>IFERROR(VLOOKUP($A180,'The List'!$B1:$AS727,21,FALSE)," ")</f>
        <v xml:space="preserve"> </v>
      </c>
      <c r="O180" s="53" t="str">
        <f>IFERROR(VLOOKUP($A180,'The List'!$B1:$AS727,22,FALSE)," ")</f>
        <v xml:space="preserve"> </v>
      </c>
      <c r="P180" s="53" t="str">
        <f>IFERROR(VLOOKUP($A180,'The List'!$B1:$AS727,23,FALSE)," ")</f>
        <v xml:space="preserve"> </v>
      </c>
      <c r="Q180" s="53" t="str">
        <f>IFERROR(VLOOKUP($A180,'The List'!$B1:$AS727,24,FALSE)," ")</f>
        <v xml:space="preserve"> </v>
      </c>
      <c r="R180" s="53" t="str">
        <f>IFERROR(VLOOKUP($A180,'The List'!$B1:$AS727,25,FALSE)," ")</f>
        <v xml:space="preserve"> </v>
      </c>
      <c r="S180" s="53" t="str">
        <f>IFERROR(VLOOKUP($A180,'The List'!$B1:$AS727,26,FALSE)," ")</f>
        <v xml:space="preserve"> </v>
      </c>
      <c r="T180" s="53" t="str">
        <f>IFERROR(VLOOKUP($A180,'The List'!$B1:$AS727,27,FALSE)," ")</f>
        <v xml:space="preserve"> </v>
      </c>
      <c r="U180" s="53" t="str">
        <f>IFERROR(VLOOKUP($A180,'The List'!$B1:$AS727,28,FALSE)," ")</f>
        <v xml:space="preserve"> </v>
      </c>
      <c r="V180" s="53" t="str">
        <f>IFERROR(VLOOKUP($A180,'The List'!$B1:$AS727,29,FALSE)," ")</f>
        <v xml:space="preserve"> </v>
      </c>
      <c r="W180" s="53" t="str">
        <f>IFERROR(VLOOKUP($A180,'The List'!$B1:$AS727,30,FALSE)," ")</f>
        <v xml:space="preserve"> </v>
      </c>
      <c r="X180" s="53" t="str">
        <f>IFERROR(VLOOKUP($A180,'The List'!$B1:$AS727,31,FALSE)," ")</f>
        <v xml:space="preserve"> </v>
      </c>
      <c r="Y180" s="53" t="str">
        <f>IFERROR(VLOOKUP($A180,'The List'!$B1:$AS727,32,FALSE)," ")</f>
        <v xml:space="preserve"> </v>
      </c>
      <c r="Z180" s="53" t="str">
        <f>IFERROR(VLOOKUP($A180,'The List'!$B1:$AS727,33,FALSE)," ")</f>
        <v xml:space="preserve"> </v>
      </c>
      <c r="AA180" s="55"/>
      <c r="AB180" s="60"/>
      <c r="AC180" s="60"/>
      <c r="AD180" s="60"/>
      <c r="AE180" s="60"/>
      <c r="AF180" s="60"/>
    </row>
    <row r="181" spans="1:32" ht="21.25" customHeight="1" x14ac:dyDescent="0.15">
      <c r="A181" s="23"/>
      <c r="B181" s="62" t="str">
        <f>IFERROR(VLOOKUP($A181,'The List'!$B1:$AS727,3,FALSE)," ")</f>
        <v xml:space="preserve"> </v>
      </c>
      <c r="C181" s="64" t="str">
        <f>IFERROR(VLOOKUP($A181,'The List'!$B1:$AS727,4,FALSE)," ")</f>
        <v xml:space="preserve"> </v>
      </c>
      <c r="D181" s="35" t="str">
        <f>IFERROR(VLOOKUP($A181,'The List'!$B1:$AS727,5,FALSE)," ")</f>
        <v xml:space="preserve"> </v>
      </c>
      <c r="E181" s="35" t="str">
        <f>IFERROR(VLOOKUP($A181,'The List'!$B1:$AS727,6,FALSE)," ")</f>
        <v xml:space="preserve"> </v>
      </c>
      <c r="F181" s="52" t="str">
        <f>IFERROR(VLOOKUP($A181,'The List'!$B1:$AS727,8,FALSE)," ")</f>
        <v xml:space="preserve"> </v>
      </c>
      <c r="G181" s="52" t="str">
        <f>IFERROR(VLOOKUP($A181,'The List'!$B1:$AS727,10,FALSE)," ")</f>
        <v xml:space="preserve"> </v>
      </c>
      <c r="H181" s="39"/>
      <c r="I181" s="53" t="str">
        <f>IFERROR(VLOOKUP($A181,'The List'!$B1:$AS727,16,FALSE)," ")</f>
        <v xml:space="preserve"> </v>
      </c>
      <c r="J181" s="53" t="str">
        <f>IFERROR(VLOOKUP($A181,'The List'!$B1:$AS727,17,FALSE)," ")</f>
        <v xml:space="preserve"> </v>
      </c>
      <c r="K181" s="53" t="str">
        <f>IFERROR(VLOOKUP($A181,'The List'!$B1:$AS727,18,FALSE)," ")</f>
        <v xml:space="preserve"> </v>
      </c>
      <c r="L181" s="53" t="str">
        <f>IFERROR(VLOOKUP($A181,'The List'!$B1:$AS727,19,FALSE)," ")</f>
        <v xml:space="preserve"> </v>
      </c>
      <c r="M181" s="53" t="str">
        <f>IFERROR(VLOOKUP($A181,'The List'!$B1:$AS727,20,FALSE)," ")</f>
        <v xml:space="preserve"> </v>
      </c>
      <c r="N181" s="53" t="str">
        <f>IFERROR(VLOOKUP($A181,'The List'!$B1:$AS727,21,FALSE)," ")</f>
        <v xml:space="preserve"> </v>
      </c>
      <c r="O181" s="53" t="str">
        <f>IFERROR(VLOOKUP($A181,'The List'!$B1:$AS727,22,FALSE)," ")</f>
        <v xml:space="preserve"> </v>
      </c>
      <c r="P181" s="53" t="str">
        <f>IFERROR(VLOOKUP($A181,'The List'!$B1:$AS727,23,FALSE)," ")</f>
        <v xml:space="preserve"> </v>
      </c>
      <c r="Q181" s="53" t="str">
        <f>IFERROR(VLOOKUP($A181,'The List'!$B1:$AS727,24,FALSE)," ")</f>
        <v xml:space="preserve"> </v>
      </c>
      <c r="R181" s="53" t="str">
        <f>IFERROR(VLOOKUP($A181,'The List'!$B1:$AS727,25,FALSE)," ")</f>
        <v xml:space="preserve"> </v>
      </c>
      <c r="S181" s="53" t="str">
        <f>IFERROR(VLOOKUP($A181,'The List'!$B1:$AS727,26,FALSE)," ")</f>
        <v xml:space="preserve"> </v>
      </c>
      <c r="T181" s="53" t="str">
        <f>IFERROR(VLOOKUP($A181,'The List'!$B1:$AS727,27,FALSE)," ")</f>
        <v xml:space="preserve"> </v>
      </c>
      <c r="U181" s="53" t="str">
        <f>IFERROR(VLOOKUP($A181,'The List'!$B1:$AS727,28,FALSE)," ")</f>
        <v xml:space="preserve"> </v>
      </c>
      <c r="V181" s="53" t="str">
        <f>IFERROR(VLOOKUP($A181,'The List'!$B1:$AS727,29,FALSE)," ")</f>
        <v xml:space="preserve"> </v>
      </c>
      <c r="W181" s="53" t="str">
        <f>IFERROR(VLOOKUP($A181,'The List'!$B1:$AS727,30,FALSE)," ")</f>
        <v xml:space="preserve"> </v>
      </c>
      <c r="X181" s="53" t="str">
        <f>IFERROR(VLOOKUP($A181,'The List'!$B1:$AS727,31,FALSE)," ")</f>
        <v xml:space="preserve"> </v>
      </c>
      <c r="Y181" s="53" t="str">
        <f>IFERROR(VLOOKUP($A181,'The List'!$B1:$AS727,32,FALSE)," ")</f>
        <v xml:space="preserve"> </v>
      </c>
      <c r="Z181" s="53" t="str">
        <f>IFERROR(VLOOKUP($A181,'The List'!$B1:$AS727,33,FALSE)," ")</f>
        <v xml:space="preserve"> </v>
      </c>
      <c r="AA181" s="55"/>
      <c r="AB181" s="60"/>
      <c r="AC181" s="60"/>
      <c r="AD181" s="60"/>
      <c r="AE181" s="60"/>
      <c r="AF181" s="60"/>
    </row>
    <row r="182" spans="1:32" ht="21.25" customHeight="1" x14ac:dyDescent="0.15">
      <c r="A182" s="23"/>
      <c r="B182" s="62" t="str">
        <f>IFERROR(VLOOKUP($A182,'The List'!$B1:$AS727,3,FALSE)," ")</f>
        <v xml:space="preserve"> </v>
      </c>
      <c r="C182" s="64" t="str">
        <f>IFERROR(VLOOKUP($A182,'The List'!$B1:$AS727,4,FALSE)," ")</f>
        <v xml:space="preserve"> </v>
      </c>
      <c r="D182" s="35" t="str">
        <f>IFERROR(VLOOKUP($A182,'The List'!$B1:$AS727,5,FALSE)," ")</f>
        <v xml:space="preserve"> </v>
      </c>
      <c r="E182" s="35" t="str">
        <f>IFERROR(VLOOKUP($A182,'The List'!$B1:$AS727,6,FALSE)," ")</f>
        <v xml:space="preserve"> </v>
      </c>
      <c r="F182" s="52" t="str">
        <f>IFERROR(VLOOKUP($A182,'The List'!$B1:$AS727,8,FALSE)," ")</f>
        <v xml:space="preserve"> </v>
      </c>
      <c r="G182" s="52" t="str">
        <f>IFERROR(VLOOKUP($A182,'The List'!$B1:$AS727,10,FALSE)," ")</f>
        <v xml:space="preserve"> </v>
      </c>
      <c r="H182" s="39"/>
      <c r="I182" s="53" t="str">
        <f>IFERROR(VLOOKUP($A182,'The List'!$B1:$AS727,16,FALSE)," ")</f>
        <v xml:space="preserve"> </v>
      </c>
      <c r="J182" s="53" t="str">
        <f>IFERROR(VLOOKUP($A182,'The List'!$B1:$AS727,17,FALSE)," ")</f>
        <v xml:space="preserve"> </v>
      </c>
      <c r="K182" s="53" t="str">
        <f>IFERROR(VLOOKUP($A182,'The List'!$B1:$AS727,18,FALSE)," ")</f>
        <v xml:space="preserve"> </v>
      </c>
      <c r="L182" s="53" t="str">
        <f>IFERROR(VLOOKUP($A182,'The List'!$B1:$AS727,19,FALSE)," ")</f>
        <v xml:space="preserve"> </v>
      </c>
      <c r="M182" s="53" t="str">
        <f>IFERROR(VLOOKUP($A182,'The List'!$B1:$AS727,20,FALSE)," ")</f>
        <v xml:space="preserve"> </v>
      </c>
      <c r="N182" s="53" t="str">
        <f>IFERROR(VLOOKUP($A182,'The List'!$B1:$AS727,21,FALSE)," ")</f>
        <v xml:space="preserve"> </v>
      </c>
      <c r="O182" s="53" t="str">
        <f>IFERROR(VLOOKUP($A182,'The List'!$B1:$AS727,22,FALSE)," ")</f>
        <v xml:space="preserve"> </v>
      </c>
      <c r="P182" s="53" t="str">
        <f>IFERROR(VLOOKUP($A182,'The List'!$B1:$AS727,23,FALSE)," ")</f>
        <v xml:space="preserve"> </v>
      </c>
      <c r="Q182" s="53" t="str">
        <f>IFERROR(VLOOKUP($A182,'The List'!$B1:$AS727,24,FALSE)," ")</f>
        <v xml:space="preserve"> </v>
      </c>
      <c r="R182" s="53" t="str">
        <f>IFERROR(VLOOKUP($A182,'The List'!$B1:$AS727,25,FALSE)," ")</f>
        <v xml:space="preserve"> </v>
      </c>
      <c r="S182" s="53" t="str">
        <f>IFERROR(VLOOKUP($A182,'The List'!$B1:$AS727,26,FALSE)," ")</f>
        <v xml:space="preserve"> </v>
      </c>
      <c r="T182" s="53" t="str">
        <f>IFERROR(VLOOKUP($A182,'The List'!$B1:$AS727,27,FALSE)," ")</f>
        <v xml:space="preserve"> </v>
      </c>
      <c r="U182" s="53" t="str">
        <f>IFERROR(VLOOKUP($A182,'The List'!$B1:$AS727,28,FALSE)," ")</f>
        <v xml:space="preserve"> </v>
      </c>
      <c r="V182" s="53" t="str">
        <f>IFERROR(VLOOKUP($A182,'The List'!$B1:$AS727,29,FALSE)," ")</f>
        <v xml:space="preserve"> </v>
      </c>
      <c r="W182" s="53" t="str">
        <f>IFERROR(VLOOKUP($A182,'The List'!$B1:$AS727,30,FALSE)," ")</f>
        <v xml:space="preserve"> </v>
      </c>
      <c r="X182" s="53" t="str">
        <f>IFERROR(VLOOKUP($A182,'The List'!$B1:$AS727,31,FALSE)," ")</f>
        <v xml:space="preserve"> </v>
      </c>
      <c r="Y182" s="53" t="str">
        <f>IFERROR(VLOOKUP($A182,'The List'!$B1:$AS727,32,FALSE)," ")</f>
        <v xml:space="preserve"> </v>
      </c>
      <c r="Z182" s="53" t="str">
        <f>IFERROR(VLOOKUP($A182,'The List'!$B1:$AS727,33,FALSE)," ")</f>
        <v xml:space="preserve"> </v>
      </c>
      <c r="AA182" s="55"/>
      <c r="AB182" s="60"/>
      <c r="AC182" s="60"/>
      <c r="AD182" s="60"/>
      <c r="AE182" s="60"/>
      <c r="AF182" s="60"/>
    </row>
    <row r="183" spans="1:32" ht="21.25" customHeight="1" x14ac:dyDescent="0.15">
      <c r="A183" s="23"/>
      <c r="B183" s="62" t="str">
        <f>IFERROR(VLOOKUP($A183,'The List'!$B1:$AS727,3,FALSE)," ")</f>
        <v xml:space="preserve"> </v>
      </c>
      <c r="C183" s="64" t="str">
        <f>IFERROR(VLOOKUP($A183,'The List'!$B1:$AS727,4,FALSE)," ")</f>
        <v xml:space="preserve"> </v>
      </c>
      <c r="D183" s="35" t="str">
        <f>IFERROR(VLOOKUP($A183,'The List'!$B1:$AS727,5,FALSE)," ")</f>
        <v xml:space="preserve"> </v>
      </c>
      <c r="E183" s="35" t="str">
        <f>IFERROR(VLOOKUP($A183,'The List'!$B1:$AS727,6,FALSE)," ")</f>
        <v xml:space="preserve"> </v>
      </c>
      <c r="F183" s="52" t="str">
        <f>IFERROR(VLOOKUP($A183,'The List'!$B1:$AS727,8,FALSE)," ")</f>
        <v xml:space="preserve"> </v>
      </c>
      <c r="G183" s="52" t="str">
        <f>IFERROR(VLOOKUP($A183,'The List'!$B1:$AS727,10,FALSE)," ")</f>
        <v xml:space="preserve"> </v>
      </c>
      <c r="H183" s="39"/>
      <c r="I183" s="53" t="str">
        <f>IFERROR(VLOOKUP($A183,'The List'!$B1:$AS727,16,FALSE)," ")</f>
        <v xml:space="preserve"> </v>
      </c>
      <c r="J183" s="53" t="str">
        <f>IFERROR(VLOOKUP($A183,'The List'!$B1:$AS727,17,FALSE)," ")</f>
        <v xml:space="preserve"> </v>
      </c>
      <c r="K183" s="53" t="str">
        <f>IFERROR(VLOOKUP($A183,'The List'!$B1:$AS727,18,FALSE)," ")</f>
        <v xml:space="preserve"> </v>
      </c>
      <c r="L183" s="53" t="str">
        <f>IFERROR(VLOOKUP($A183,'The List'!$B1:$AS727,19,FALSE)," ")</f>
        <v xml:space="preserve"> </v>
      </c>
      <c r="M183" s="53" t="str">
        <f>IFERROR(VLOOKUP($A183,'The List'!$B1:$AS727,20,FALSE)," ")</f>
        <v xml:space="preserve"> </v>
      </c>
      <c r="N183" s="53" t="str">
        <f>IFERROR(VLOOKUP($A183,'The List'!$B1:$AS727,21,FALSE)," ")</f>
        <v xml:space="preserve"> </v>
      </c>
      <c r="O183" s="53" t="str">
        <f>IFERROR(VLOOKUP($A183,'The List'!$B1:$AS727,22,FALSE)," ")</f>
        <v xml:space="preserve"> </v>
      </c>
      <c r="P183" s="53" t="str">
        <f>IFERROR(VLOOKUP($A183,'The List'!$B1:$AS727,23,FALSE)," ")</f>
        <v xml:space="preserve"> </v>
      </c>
      <c r="Q183" s="53" t="str">
        <f>IFERROR(VLOOKUP($A183,'The List'!$B1:$AS727,24,FALSE)," ")</f>
        <v xml:space="preserve"> </v>
      </c>
      <c r="R183" s="53" t="str">
        <f>IFERROR(VLOOKUP($A183,'The List'!$B1:$AS727,25,FALSE)," ")</f>
        <v xml:space="preserve"> </v>
      </c>
      <c r="S183" s="53" t="str">
        <f>IFERROR(VLOOKUP($A183,'The List'!$B1:$AS727,26,FALSE)," ")</f>
        <v xml:space="preserve"> </v>
      </c>
      <c r="T183" s="53" t="str">
        <f>IFERROR(VLOOKUP($A183,'The List'!$B1:$AS727,27,FALSE)," ")</f>
        <v xml:space="preserve"> </v>
      </c>
      <c r="U183" s="53" t="str">
        <f>IFERROR(VLOOKUP($A183,'The List'!$B1:$AS727,28,FALSE)," ")</f>
        <v xml:space="preserve"> </v>
      </c>
      <c r="V183" s="53" t="str">
        <f>IFERROR(VLOOKUP($A183,'The List'!$B1:$AS727,29,FALSE)," ")</f>
        <v xml:space="preserve"> </v>
      </c>
      <c r="W183" s="53" t="str">
        <f>IFERROR(VLOOKUP($A183,'The List'!$B1:$AS727,30,FALSE)," ")</f>
        <v xml:space="preserve"> </v>
      </c>
      <c r="X183" s="53" t="str">
        <f>IFERROR(VLOOKUP($A183,'The List'!$B1:$AS727,31,FALSE)," ")</f>
        <v xml:space="preserve"> </v>
      </c>
      <c r="Y183" s="53" t="str">
        <f>IFERROR(VLOOKUP($A183,'The List'!$B1:$AS727,32,FALSE)," ")</f>
        <v xml:space="preserve"> </v>
      </c>
      <c r="Z183" s="53" t="str">
        <f>IFERROR(VLOOKUP($A183,'The List'!$B1:$AS727,33,FALSE)," ")</f>
        <v xml:space="preserve"> </v>
      </c>
      <c r="AA183" s="55"/>
      <c r="AB183" s="60"/>
      <c r="AC183" s="60"/>
      <c r="AD183" s="60"/>
      <c r="AE183" s="60"/>
      <c r="AF183" s="60"/>
    </row>
    <row r="184" spans="1:32" ht="21.25" customHeight="1" x14ac:dyDescent="0.15">
      <c r="A184" s="23"/>
      <c r="B184" s="65" t="str">
        <f>IFERROR(VLOOKUP($A184,'The List'!$B1:$AS727,3,FALSE)," ")</f>
        <v xml:space="preserve"> </v>
      </c>
      <c r="C184" s="67" t="str">
        <f>IFERROR(VLOOKUP($A184,'The List'!$B1:$AS727,4,FALSE)," ")</f>
        <v xml:space="preserve"> </v>
      </c>
      <c r="D184" s="35" t="str">
        <f>IFERROR(VLOOKUP($A184,'The List'!$B1:$AS727,5,FALSE)," ")</f>
        <v xml:space="preserve"> </v>
      </c>
      <c r="E184" s="35" t="str">
        <f>IFERROR(VLOOKUP($A184,'The List'!$B1:$AS727,6,FALSE)," ")</f>
        <v xml:space="preserve"> </v>
      </c>
      <c r="F184" s="52" t="str">
        <f>IFERROR(VLOOKUP($A184,'The List'!$B1:$AS727,8,FALSE)," ")</f>
        <v xml:space="preserve"> </v>
      </c>
      <c r="G184" s="52" t="str">
        <f>IFERROR(VLOOKUP($A184,'The List'!$B1:$AS727,10,FALSE)," ")</f>
        <v xml:space="preserve"> </v>
      </c>
      <c r="H184" s="39"/>
      <c r="I184" s="53" t="str">
        <f>IFERROR(VLOOKUP($A184,'The List'!$B1:$AS727,16,FALSE)," ")</f>
        <v xml:space="preserve"> </v>
      </c>
      <c r="J184" s="53" t="str">
        <f>IFERROR(VLOOKUP($A184,'The List'!$B1:$AS727,17,FALSE)," ")</f>
        <v xml:space="preserve"> </v>
      </c>
      <c r="K184" s="53" t="str">
        <f>IFERROR(VLOOKUP($A184,'The List'!$B1:$AS727,18,FALSE)," ")</f>
        <v xml:space="preserve"> </v>
      </c>
      <c r="L184" s="53" t="str">
        <f>IFERROR(VLOOKUP($A184,'The List'!$B1:$AS727,19,FALSE)," ")</f>
        <v xml:space="preserve"> </v>
      </c>
      <c r="M184" s="53" t="str">
        <f>IFERROR(VLOOKUP($A184,'The List'!$B1:$AS727,20,FALSE)," ")</f>
        <v xml:space="preserve"> </v>
      </c>
      <c r="N184" s="53" t="str">
        <f>IFERROR(VLOOKUP($A184,'The List'!$B1:$AS727,21,FALSE)," ")</f>
        <v xml:space="preserve"> </v>
      </c>
      <c r="O184" s="53" t="str">
        <f>IFERROR(VLOOKUP($A184,'The List'!$B1:$AS727,22,FALSE)," ")</f>
        <v xml:space="preserve"> </v>
      </c>
      <c r="P184" s="53" t="str">
        <f>IFERROR(VLOOKUP($A184,'The List'!$B1:$AS727,23,FALSE)," ")</f>
        <v xml:space="preserve"> </v>
      </c>
      <c r="Q184" s="53" t="str">
        <f>IFERROR(VLOOKUP($A184,'The List'!$B1:$AS727,24,FALSE)," ")</f>
        <v xml:space="preserve"> </v>
      </c>
      <c r="R184" s="53" t="str">
        <f>IFERROR(VLOOKUP($A184,'The List'!$B1:$AS727,25,FALSE)," ")</f>
        <v xml:space="preserve"> </v>
      </c>
      <c r="S184" s="53" t="str">
        <f>IFERROR(VLOOKUP($A184,'The List'!$B1:$AS727,26,FALSE)," ")</f>
        <v xml:space="preserve"> </v>
      </c>
      <c r="T184" s="53" t="str">
        <f>IFERROR(VLOOKUP($A184,'The List'!$B1:$AS727,27,FALSE)," ")</f>
        <v xml:space="preserve"> </v>
      </c>
      <c r="U184" s="53" t="str">
        <f>IFERROR(VLOOKUP($A184,'The List'!$B1:$AS727,28,FALSE)," ")</f>
        <v xml:space="preserve"> </v>
      </c>
      <c r="V184" s="53" t="str">
        <f>IFERROR(VLOOKUP($A184,'The List'!$B1:$AS727,29,FALSE)," ")</f>
        <v xml:space="preserve"> </v>
      </c>
      <c r="W184" s="53" t="str">
        <f>IFERROR(VLOOKUP($A184,'The List'!$B1:$AS727,30,FALSE)," ")</f>
        <v xml:space="preserve"> </v>
      </c>
      <c r="X184" s="53" t="str">
        <f>IFERROR(VLOOKUP($A184,'The List'!$B1:$AS727,31,FALSE)," ")</f>
        <v xml:space="preserve"> </v>
      </c>
      <c r="Y184" s="53" t="str">
        <f>IFERROR(VLOOKUP($A184,'The List'!$B1:$AS727,32,FALSE)," ")</f>
        <v xml:space="preserve"> </v>
      </c>
      <c r="Z184" s="53" t="str">
        <f>IFERROR(VLOOKUP($A184,'The List'!$B1:$AS727,33,FALSE)," ")</f>
        <v xml:space="preserve"> </v>
      </c>
      <c r="AA184" s="55"/>
      <c r="AB184" s="60"/>
      <c r="AC184" s="60"/>
      <c r="AD184" s="60"/>
      <c r="AE184" s="60"/>
      <c r="AF184" s="60"/>
    </row>
    <row r="185" spans="1:32" ht="21.25" customHeight="1" x14ac:dyDescent="0.15">
      <c r="A185" s="23"/>
      <c r="B185" s="65" t="str">
        <f>IFERROR(VLOOKUP($A185,'The List'!$B1:$AS727,3,FALSE)," ")</f>
        <v xml:space="preserve"> </v>
      </c>
      <c r="C185" s="67" t="str">
        <f>IFERROR(VLOOKUP($A185,'The List'!$B1:$AS727,4,FALSE)," ")</f>
        <v xml:space="preserve"> </v>
      </c>
      <c r="D185" s="35" t="str">
        <f>IFERROR(VLOOKUP($A185,'The List'!$B1:$AS727,5,FALSE)," ")</f>
        <v xml:space="preserve"> </v>
      </c>
      <c r="E185" s="35" t="str">
        <f>IFERROR(VLOOKUP($A185,'The List'!$B1:$AS727,6,FALSE)," ")</f>
        <v xml:space="preserve"> </v>
      </c>
      <c r="F185" s="52" t="str">
        <f>IFERROR(VLOOKUP($A185,'The List'!$B1:$AS727,8,FALSE)," ")</f>
        <v xml:space="preserve"> </v>
      </c>
      <c r="G185" s="52" t="str">
        <f>IFERROR(VLOOKUP($A185,'The List'!$B1:$AS727,10,FALSE)," ")</f>
        <v xml:space="preserve"> </v>
      </c>
      <c r="H185" s="39"/>
      <c r="I185" s="53" t="str">
        <f>IFERROR(VLOOKUP($A185,'The List'!$B1:$AS727,16,FALSE)," ")</f>
        <v xml:space="preserve"> </v>
      </c>
      <c r="J185" s="53" t="str">
        <f>IFERROR(VLOOKUP($A185,'The List'!$B1:$AS727,17,FALSE)," ")</f>
        <v xml:space="preserve"> </v>
      </c>
      <c r="K185" s="53" t="str">
        <f>IFERROR(VLOOKUP($A185,'The List'!$B1:$AS727,18,FALSE)," ")</f>
        <v xml:space="preserve"> </v>
      </c>
      <c r="L185" s="53" t="str">
        <f>IFERROR(VLOOKUP($A185,'The List'!$B1:$AS727,19,FALSE)," ")</f>
        <v xml:space="preserve"> </v>
      </c>
      <c r="M185" s="53" t="str">
        <f>IFERROR(VLOOKUP($A185,'The List'!$B1:$AS727,20,FALSE)," ")</f>
        <v xml:space="preserve"> </v>
      </c>
      <c r="N185" s="53" t="str">
        <f>IFERROR(VLOOKUP($A185,'The List'!$B1:$AS727,21,FALSE)," ")</f>
        <v xml:space="preserve"> </v>
      </c>
      <c r="O185" s="53" t="str">
        <f>IFERROR(VLOOKUP($A185,'The List'!$B1:$AS727,22,FALSE)," ")</f>
        <v xml:space="preserve"> </v>
      </c>
      <c r="P185" s="53" t="str">
        <f>IFERROR(VLOOKUP($A185,'The List'!$B1:$AS727,23,FALSE)," ")</f>
        <v xml:space="preserve"> </v>
      </c>
      <c r="Q185" s="53" t="str">
        <f>IFERROR(VLOOKUP($A185,'The List'!$B1:$AS727,24,FALSE)," ")</f>
        <v xml:space="preserve"> </v>
      </c>
      <c r="R185" s="53" t="str">
        <f>IFERROR(VLOOKUP($A185,'The List'!$B1:$AS727,25,FALSE)," ")</f>
        <v xml:space="preserve"> </v>
      </c>
      <c r="S185" s="53" t="str">
        <f>IFERROR(VLOOKUP($A185,'The List'!$B1:$AS727,26,FALSE)," ")</f>
        <v xml:space="preserve"> </v>
      </c>
      <c r="T185" s="53" t="str">
        <f>IFERROR(VLOOKUP($A185,'The List'!$B1:$AS727,27,FALSE)," ")</f>
        <v xml:space="preserve"> </v>
      </c>
      <c r="U185" s="53" t="str">
        <f>IFERROR(VLOOKUP($A185,'The List'!$B1:$AS727,28,FALSE)," ")</f>
        <v xml:space="preserve"> </v>
      </c>
      <c r="V185" s="53" t="str">
        <f>IFERROR(VLOOKUP($A185,'The List'!$B1:$AS727,29,FALSE)," ")</f>
        <v xml:space="preserve"> </v>
      </c>
      <c r="W185" s="53" t="str">
        <f>IFERROR(VLOOKUP($A185,'The List'!$B1:$AS727,30,FALSE)," ")</f>
        <v xml:space="preserve"> </v>
      </c>
      <c r="X185" s="53" t="str">
        <f>IFERROR(VLOOKUP($A185,'The List'!$B1:$AS727,31,FALSE)," ")</f>
        <v xml:space="preserve"> </v>
      </c>
      <c r="Y185" s="53" t="str">
        <f>IFERROR(VLOOKUP($A185,'The List'!$B1:$AS727,32,FALSE)," ")</f>
        <v xml:space="preserve"> </v>
      </c>
      <c r="Z185" s="53" t="str">
        <f>IFERROR(VLOOKUP($A185,'The List'!$B1:$AS727,33,FALSE)," ")</f>
        <v xml:space="preserve"> </v>
      </c>
      <c r="AA185" s="55"/>
      <c r="AB185" s="60"/>
      <c r="AC185" s="60"/>
      <c r="AD185" s="60"/>
      <c r="AE185" s="60"/>
      <c r="AF185" s="60"/>
    </row>
    <row r="186" spans="1:32" ht="21.25" customHeight="1" x14ac:dyDescent="0.15">
      <c r="A186" s="23"/>
      <c r="B186" s="65" t="str">
        <f>IFERROR(VLOOKUP($A186,'The List'!$B1:$AS727,3,FALSE)," ")</f>
        <v xml:space="preserve"> </v>
      </c>
      <c r="C186" s="67" t="str">
        <f>IFERROR(VLOOKUP($A186,'The List'!$B1:$AS727,4,FALSE)," ")</f>
        <v xml:space="preserve"> </v>
      </c>
      <c r="D186" s="35" t="str">
        <f>IFERROR(VLOOKUP($A186,'The List'!$B1:$AS727,5,FALSE)," ")</f>
        <v xml:space="preserve"> </v>
      </c>
      <c r="E186" s="35" t="str">
        <f>IFERROR(VLOOKUP($A186,'The List'!$B1:$AS727,6,FALSE)," ")</f>
        <v xml:space="preserve"> </v>
      </c>
      <c r="F186" s="52" t="str">
        <f>IFERROR(VLOOKUP($A186,'The List'!$B1:$AS727,8,FALSE)," ")</f>
        <v xml:space="preserve"> </v>
      </c>
      <c r="G186" s="52" t="str">
        <f>IFERROR(VLOOKUP($A186,'The List'!$B1:$AS727,10,FALSE)," ")</f>
        <v xml:space="preserve"> </v>
      </c>
      <c r="H186" s="39"/>
      <c r="I186" s="53" t="str">
        <f>IFERROR(VLOOKUP($A186,'The List'!$B1:$AS727,16,FALSE)," ")</f>
        <v xml:space="preserve"> </v>
      </c>
      <c r="J186" s="53" t="str">
        <f>IFERROR(VLOOKUP($A186,'The List'!$B1:$AS727,17,FALSE)," ")</f>
        <v xml:space="preserve"> </v>
      </c>
      <c r="K186" s="53" t="str">
        <f>IFERROR(VLOOKUP($A186,'The List'!$B1:$AS727,18,FALSE)," ")</f>
        <v xml:space="preserve"> </v>
      </c>
      <c r="L186" s="53" t="str">
        <f>IFERROR(VLOOKUP($A186,'The List'!$B1:$AS727,19,FALSE)," ")</f>
        <v xml:space="preserve"> </v>
      </c>
      <c r="M186" s="53" t="str">
        <f>IFERROR(VLOOKUP($A186,'The List'!$B1:$AS727,20,FALSE)," ")</f>
        <v xml:space="preserve"> </v>
      </c>
      <c r="N186" s="53" t="str">
        <f>IFERROR(VLOOKUP($A186,'The List'!$B1:$AS727,21,FALSE)," ")</f>
        <v xml:space="preserve"> </v>
      </c>
      <c r="O186" s="53" t="str">
        <f>IFERROR(VLOOKUP($A186,'The List'!$B1:$AS727,22,FALSE)," ")</f>
        <v xml:space="preserve"> </v>
      </c>
      <c r="P186" s="53" t="str">
        <f>IFERROR(VLOOKUP($A186,'The List'!$B1:$AS727,23,FALSE)," ")</f>
        <v xml:space="preserve"> </v>
      </c>
      <c r="Q186" s="53" t="str">
        <f>IFERROR(VLOOKUP($A186,'The List'!$B1:$AS727,24,FALSE)," ")</f>
        <v xml:space="preserve"> </v>
      </c>
      <c r="R186" s="53" t="str">
        <f>IFERROR(VLOOKUP($A186,'The List'!$B1:$AS727,25,FALSE)," ")</f>
        <v xml:space="preserve"> </v>
      </c>
      <c r="S186" s="53" t="str">
        <f>IFERROR(VLOOKUP($A186,'The List'!$B1:$AS727,26,FALSE)," ")</f>
        <v xml:space="preserve"> </v>
      </c>
      <c r="T186" s="53" t="str">
        <f>IFERROR(VLOOKUP($A186,'The List'!$B1:$AS727,27,FALSE)," ")</f>
        <v xml:space="preserve"> </v>
      </c>
      <c r="U186" s="53" t="str">
        <f>IFERROR(VLOOKUP($A186,'The List'!$B1:$AS727,28,FALSE)," ")</f>
        <v xml:space="preserve"> </v>
      </c>
      <c r="V186" s="53" t="str">
        <f>IFERROR(VLOOKUP($A186,'The List'!$B1:$AS727,29,FALSE)," ")</f>
        <v xml:space="preserve"> </v>
      </c>
      <c r="W186" s="53" t="str">
        <f>IFERROR(VLOOKUP($A186,'The List'!$B1:$AS727,30,FALSE)," ")</f>
        <v xml:space="preserve"> </v>
      </c>
      <c r="X186" s="53" t="str">
        <f>IFERROR(VLOOKUP($A186,'The List'!$B1:$AS727,31,FALSE)," ")</f>
        <v xml:space="preserve"> </v>
      </c>
      <c r="Y186" s="53" t="str">
        <f>IFERROR(VLOOKUP($A186,'The List'!$B1:$AS727,32,FALSE)," ")</f>
        <v xml:space="preserve"> </v>
      </c>
      <c r="Z186" s="53" t="str">
        <f>IFERROR(VLOOKUP($A186,'The List'!$B1:$AS727,33,FALSE)," ")</f>
        <v xml:space="preserve"> </v>
      </c>
      <c r="AA186" s="55"/>
      <c r="AB186" s="60"/>
      <c r="AC186" s="60"/>
      <c r="AD186" s="60"/>
      <c r="AE186" s="60"/>
      <c r="AF186" s="60"/>
    </row>
    <row r="187" spans="1:32" ht="21.25" customHeight="1" x14ac:dyDescent="0.15">
      <c r="A187" s="23"/>
      <c r="B187" s="65" t="str">
        <f>IFERROR(VLOOKUP($A187,'The List'!$B1:$AS727,3,FALSE)," ")</f>
        <v xml:space="preserve"> </v>
      </c>
      <c r="C187" s="67" t="str">
        <f>IFERROR(VLOOKUP($A187,'The List'!$B1:$AS727,4,FALSE)," ")</f>
        <v xml:space="preserve"> </v>
      </c>
      <c r="D187" s="35" t="str">
        <f>IFERROR(VLOOKUP($A187,'The List'!$B1:$AS727,5,FALSE)," ")</f>
        <v xml:space="preserve"> </v>
      </c>
      <c r="E187" s="35" t="str">
        <f>IFERROR(VLOOKUP($A187,'The List'!$B1:$AS727,6,FALSE)," ")</f>
        <v xml:space="preserve"> </v>
      </c>
      <c r="F187" s="52" t="str">
        <f>IFERROR(VLOOKUP($A187,'The List'!$B1:$AS727,8,FALSE)," ")</f>
        <v xml:space="preserve"> </v>
      </c>
      <c r="G187" s="52" t="str">
        <f>IFERROR(VLOOKUP($A187,'The List'!$B1:$AS727,10,FALSE)," ")</f>
        <v xml:space="preserve"> </v>
      </c>
      <c r="H187" s="39"/>
      <c r="I187" s="53" t="str">
        <f>IFERROR(VLOOKUP($A187,'The List'!$B1:$AS727,16,FALSE)," ")</f>
        <v xml:space="preserve"> </v>
      </c>
      <c r="J187" s="53" t="str">
        <f>IFERROR(VLOOKUP($A187,'The List'!$B1:$AS727,17,FALSE)," ")</f>
        <v xml:space="preserve"> </v>
      </c>
      <c r="K187" s="53" t="str">
        <f>IFERROR(VLOOKUP($A187,'The List'!$B1:$AS727,18,FALSE)," ")</f>
        <v xml:space="preserve"> </v>
      </c>
      <c r="L187" s="53" t="str">
        <f>IFERROR(VLOOKUP($A187,'The List'!$B1:$AS727,19,FALSE)," ")</f>
        <v xml:space="preserve"> </v>
      </c>
      <c r="M187" s="53" t="str">
        <f>IFERROR(VLOOKUP($A187,'The List'!$B1:$AS727,20,FALSE)," ")</f>
        <v xml:space="preserve"> </v>
      </c>
      <c r="N187" s="53" t="str">
        <f>IFERROR(VLOOKUP($A187,'The List'!$B1:$AS727,21,FALSE)," ")</f>
        <v xml:space="preserve"> </v>
      </c>
      <c r="O187" s="53" t="str">
        <f>IFERROR(VLOOKUP($A187,'The List'!$B1:$AS727,22,FALSE)," ")</f>
        <v xml:space="preserve"> </v>
      </c>
      <c r="P187" s="53" t="str">
        <f>IFERROR(VLOOKUP($A187,'The List'!$B1:$AS727,23,FALSE)," ")</f>
        <v xml:space="preserve"> </v>
      </c>
      <c r="Q187" s="53" t="str">
        <f>IFERROR(VLOOKUP($A187,'The List'!$B1:$AS727,24,FALSE)," ")</f>
        <v xml:space="preserve"> </v>
      </c>
      <c r="R187" s="53" t="str">
        <f>IFERROR(VLOOKUP($A187,'The List'!$B1:$AS727,25,FALSE)," ")</f>
        <v xml:space="preserve"> </v>
      </c>
      <c r="S187" s="53" t="str">
        <f>IFERROR(VLOOKUP($A187,'The List'!$B1:$AS727,26,FALSE)," ")</f>
        <v xml:space="preserve"> </v>
      </c>
      <c r="T187" s="53" t="str">
        <f>IFERROR(VLOOKUP($A187,'The List'!$B1:$AS727,27,FALSE)," ")</f>
        <v xml:space="preserve"> </v>
      </c>
      <c r="U187" s="53" t="str">
        <f>IFERROR(VLOOKUP($A187,'The List'!$B1:$AS727,28,FALSE)," ")</f>
        <v xml:space="preserve"> </v>
      </c>
      <c r="V187" s="53" t="str">
        <f>IFERROR(VLOOKUP($A187,'The List'!$B1:$AS727,29,FALSE)," ")</f>
        <v xml:space="preserve"> </v>
      </c>
      <c r="W187" s="53" t="str">
        <f>IFERROR(VLOOKUP($A187,'The List'!$B1:$AS727,30,FALSE)," ")</f>
        <v xml:space="preserve"> </v>
      </c>
      <c r="X187" s="53" t="str">
        <f>IFERROR(VLOOKUP($A187,'The List'!$B1:$AS727,31,FALSE)," ")</f>
        <v xml:space="preserve"> </v>
      </c>
      <c r="Y187" s="53" t="str">
        <f>IFERROR(VLOOKUP($A187,'The List'!$B1:$AS727,32,FALSE)," ")</f>
        <v xml:space="preserve"> </v>
      </c>
      <c r="Z187" s="53" t="str">
        <f>IFERROR(VLOOKUP($A187,'The List'!$B1:$AS727,33,FALSE)," ")</f>
        <v xml:space="preserve"> </v>
      </c>
      <c r="AA187" s="55"/>
      <c r="AB187" s="60"/>
      <c r="AC187" s="60"/>
      <c r="AD187" s="60"/>
      <c r="AE187" s="60"/>
      <c r="AF187" s="60"/>
    </row>
    <row r="188" spans="1:32" ht="21.25" customHeight="1" x14ac:dyDescent="0.15">
      <c r="A188" s="23"/>
      <c r="B188" s="68" t="str">
        <f>IFERROR(VLOOKUP($A188,'The List'!$B1:$AS727,3,FALSE)," ")</f>
        <v xml:space="preserve"> </v>
      </c>
      <c r="C188" s="70" t="str">
        <f>IFERROR(VLOOKUP($A188,'The List'!$B1:$AS727,4,FALSE)," ")</f>
        <v xml:space="preserve"> </v>
      </c>
      <c r="D188" s="35" t="str">
        <f>IFERROR(VLOOKUP($A188,'The List'!$B1:$AS727,5,FALSE)," ")</f>
        <v xml:space="preserve"> </v>
      </c>
      <c r="E188" s="35" t="str">
        <f>IFERROR(VLOOKUP($A188,'The List'!$B1:$AS727,6,FALSE)," ")</f>
        <v xml:space="preserve"> </v>
      </c>
      <c r="F188" s="52" t="str">
        <f>IFERROR(VLOOKUP($A188,'The List'!$B1:$AS727,8,FALSE)," ")</f>
        <v xml:space="preserve"> </v>
      </c>
      <c r="G188" s="52" t="str">
        <f>IFERROR(VLOOKUP($A188,'The List'!$B1:$AS727,10,FALSE)," ")</f>
        <v xml:space="preserve"> </v>
      </c>
      <c r="H188" s="39"/>
      <c r="I188" s="53" t="str">
        <f>IFERROR(VLOOKUP($A188,'The List'!$B1:$AS727,16,FALSE)," ")</f>
        <v xml:space="preserve"> </v>
      </c>
      <c r="J188" s="53" t="str">
        <f>IFERROR(VLOOKUP($A188,'The List'!$B1:$AS727,17,FALSE)," ")</f>
        <v xml:space="preserve"> </v>
      </c>
      <c r="K188" s="53" t="str">
        <f>IFERROR(VLOOKUP($A188,'The List'!$B1:$AS727,18,FALSE)," ")</f>
        <v xml:space="preserve"> </v>
      </c>
      <c r="L188" s="53" t="str">
        <f>IFERROR(VLOOKUP($A188,'The List'!$B1:$AS727,19,FALSE)," ")</f>
        <v xml:space="preserve"> </v>
      </c>
      <c r="M188" s="53" t="str">
        <f>IFERROR(VLOOKUP($A188,'The List'!$B1:$AS727,20,FALSE)," ")</f>
        <v xml:space="preserve"> </v>
      </c>
      <c r="N188" s="53" t="str">
        <f>IFERROR(VLOOKUP($A188,'The List'!$B1:$AS727,21,FALSE)," ")</f>
        <v xml:space="preserve"> </v>
      </c>
      <c r="O188" s="53" t="str">
        <f>IFERROR(VLOOKUP($A188,'The List'!$B1:$AS727,22,FALSE)," ")</f>
        <v xml:space="preserve"> </v>
      </c>
      <c r="P188" s="53" t="str">
        <f>IFERROR(VLOOKUP($A188,'The List'!$B1:$AS727,23,FALSE)," ")</f>
        <v xml:space="preserve"> </v>
      </c>
      <c r="Q188" s="53" t="str">
        <f>IFERROR(VLOOKUP($A188,'The List'!$B1:$AS727,24,FALSE)," ")</f>
        <v xml:space="preserve"> </v>
      </c>
      <c r="R188" s="53" t="str">
        <f>IFERROR(VLOOKUP($A188,'The List'!$B1:$AS727,25,FALSE)," ")</f>
        <v xml:space="preserve"> </v>
      </c>
      <c r="S188" s="53" t="str">
        <f>IFERROR(VLOOKUP($A188,'The List'!$B1:$AS727,26,FALSE)," ")</f>
        <v xml:space="preserve"> </v>
      </c>
      <c r="T188" s="53" t="str">
        <f>IFERROR(VLOOKUP($A188,'The List'!$B1:$AS727,27,FALSE)," ")</f>
        <v xml:space="preserve"> </v>
      </c>
      <c r="U188" s="53" t="str">
        <f>IFERROR(VLOOKUP($A188,'The List'!$B1:$AS727,28,FALSE)," ")</f>
        <v xml:space="preserve"> </v>
      </c>
      <c r="V188" s="53" t="str">
        <f>IFERROR(VLOOKUP($A188,'The List'!$B1:$AS727,29,FALSE)," ")</f>
        <v xml:space="preserve"> </v>
      </c>
      <c r="W188" s="53" t="str">
        <f>IFERROR(VLOOKUP($A188,'The List'!$B1:$AS727,30,FALSE)," ")</f>
        <v xml:space="preserve"> </v>
      </c>
      <c r="X188" s="53" t="str">
        <f>IFERROR(VLOOKUP($A188,'The List'!$B1:$AS727,31,FALSE)," ")</f>
        <v xml:space="preserve"> </v>
      </c>
      <c r="Y188" s="53" t="str">
        <f>IFERROR(VLOOKUP($A188,'The List'!$B1:$AS727,32,FALSE)," ")</f>
        <v xml:space="preserve"> </v>
      </c>
      <c r="Z188" s="53" t="str">
        <f>IFERROR(VLOOKUP($A188,'The List'!$B1:$AS727,33,FALSE)," ")</f>
        <v xml:space="preserve"> </v>
      </c>
      <c r="AA188" s="55"/>
      <c r="AB188" s="60"/>
      <c r="AC188" s="60"/>
      <c r="AD188" s="60"/>
      <c r="AE188" s="60"/>
      <c r="AF188" s="60"/>
    </row>
    <row r="189" spans="1:32" ht="21.25" customHeight="1" x14ac:dyDescent="0.15">
      <c r="A189" s="23"/>
      <c r="B189" s="68" t="str">
        <f>IFERROR(VLOOKUP($A189,'The List'!$B1:$AS727,3,FALSE)," ")</f>
        <v xml:space="preserve"> </v>
      </c>
      <c r="C189" s="70" t="str">
        <f>IFERROR(VLOOKUP($A189,'The List'!$B1:$AS727,4,FALSE)," ")</f>
        <v xml:space="preserve"> </v>
      </c>
      <c r="D189" s="35" t="str">
        <f>IFERROR(VLOOKUP($A189,'The List'!$B1:$AS727,5,FALSE)," ")</f>
        <v xml:space="preserve"> </v>
      </c>
      <c r="E189" s="35" t="str">
        <f>IFERROR(VLOOKUP($A189,'The List'!$B1:$AS727,6,FALSE)," ")</f>
        <v xml:space="preserve"> </v>
      </c>
      <c r="F189" s="52" t="str">
        <f>IFERROR(VLOOKUP($A189,'The List'!$B1:$AS727,8,FALSE)," ")</f>
        <v xml:space="preserve"> </v>
      </c>
      <c r="G189" s="52" t="str">
        <f>IFERROR(VLOOKUP($A189,'The List'!$B1:$AS727,10,FALSE)," ")</f>
        <v xml:space="preserve"> </v>
      </c>
      <c r="H189" s="39"/>
      <c r="I189" s="53" t="str">
        <f>IFERROR(VLOOKUP($A189,'The List'!$B1:$AS727,16,FALSE)," ")</f>
        <v xml:space="preserve"> </v>
      </c>
      <c r="J189" s="53" t="str">
        <f>IFERROR(VLOOKUP($A189,'The List'!$B1:$AS727,17,FALSE)," ")</f>
        <v xml:space="preserve"> </v>
      </c>
      <c r="K189" s="53" t="str">
        <f>IFERROR(VLOOKUP($A189,'The List'!$B1:$AS727,18,FALSE)," ")</f>
        <v xml:space="preserve"> </v>
      </c>
      <c r="L189" s="53" t="str">
        <f>IFERROR(VLOOKUP($A189,'The List'!$B1:$AS727,19,FALSE)," ")</f>
        <v xml:space="preserve"> </v>
      </c>
      <c r="M189" s="53" t="str">
        <f>IFERROR(VLOOKUP($A189,'The List'!$B1:$AS727,20,FALSE)," ")</f>
        <v xml:space="preserve"> </v>
      </c>
      <c r="N189" s="53" t="str">
        <f>IFERROR(VLOOKUP($A189,'The List'!$B1:$AS727,21,FALSE)," ")</f>
        <v xml:space="preserve"> </v>
      </c>
      <c r="O189" s="53" t="str">
        <f>IFERROR(VLOOKUP($A189,'The List'!$B1:$AS727,22,FALSE)," ")</f>
        <v xml:space="preserve"> </v>
      </c>
      <c r="P189" s="53" t="str">
        <f>IFERROR(VLOOKUP($A189,'The List'!$B1:$AS727,23,FALSE)," ")</f>
        <v xml:space="preserve"> </v>
      </c>
      <c r="Q189" s="53" t="str">
        <f>IFERROR(VLOOKUP($A189,'The List'!$B1:$AS727,24,FALSE)," ")</f>
        <v xml:space="preserve"> </v>
      </c>
      <c r="R189" s="53" t="str">
        <f>IFERROR(VLOOKUP($A189,'The List'!$B1:$AS727,25,FALSE)," ")</f>
        <v xml:space="preserve"> </v>
      </c>
      <c r="S189" s="53" t="str">
        <f>IFERROR(VLOOKUP($A189,'The List'!$B1:$AS727,26,FALSE)," ")</f>
        <v xml:space="preserve"> </v>
      </c>
      <c r="T189" s="53" t="str">
        <f>IFERROR(VLOOKUP($A189,'The List'!$B1:$AS727,27,FALSE)," ")</f>
        <v xml:space="preserve"> </v>
      </c>
      <c r="U189" s="53" t="str">
        <f>IFERROR(VLOOKUP($A189,'The List'!$B1:$AS727,28,FALSE)," ")</f>
        <v xml:space="preserve"> </v>
      </c>
      <c r="V189" s="53" t="str">
        <f>IFERROR(VLOOKUP($A189,'The List'!$B1:$AS727,29,FALSE)," ")</f>
        <v xml:space="preserve"> </v>
      </c>
      <c r="W189" s="53" t="str">
        <f>IFERROR(VLOOKUP($A189,'The List'!$B1:$AS727,30,FALSE)," ")</f>
        <v xml:space="preserve"> </v>
      </c>
      <c r="X189" s="53" t="str">
        <f>IFERROR(VLOOKUP($A189,'The List'!$B1:$AS727,31,FALSE)," ")</f>
        <v xml:space="preserve"> </v>
      </c>
      <c r="Y189" s="53" t="str">
        <f>IFERROR(VLOOKUP($A189,'The List'!$B1:$AS727,32,FALSE)," ")</f>
        <v xml:space="preserve"> </v>
      </c>
      <c r="Z189" s="53" t="str">
        <f>IFERROR(VLOOKUP($A189,'The List'!$B1:$AS727,33,FALSE)," ")</f>
        <v xml:space="preserve"> </v>
      </c>
      <c r="AA189" s="55"/>
      <c r="AB189" s="60"/>
      <c r="AC189" s="60"/>
      <c r="AD189" s="60"/>
      <c r="AE189" s="60"/>
      <c r="AF189" s="60"/>
    </row>
    <row r="190" spans="1:32" ht="21.25" customHeight="1" x14ac:dyDescent="0.15">
      <c r="A190" s="23"/>
      <c r="B190" s="68" t="str">
        <f>IFERROR(VLOOKUP($A190,'The List'!$B1:$AS727,3,FALSE)," ")</f>
        <v xml:space="preserve"> </v>
      </c>
      <c r="C190" s="70" t="str">
        <f>IFERROR(VLOOKUP($A190,'The List'!$B1:$AS727,4,FALSE)," ")</f>
        <v xml:space="preserve"> </v>
      </c>
      <c r="D190" s="35" t="str">
        <f>IFERROR(VLOOKUP($A190,'The List'!$B1:$AS727,5,FALSE)," ")</f>
        <v xml:space="preserve"> </v>
      </c>
      <c r="E190" s="35" t="str">
        <f>IFERROR(VLOOKUP($A190,'The List'!$B1:$AS727,6,FALSE)," ")</f>
        <v xml:space="preserve"> </v>
      </c>
      <c r="F190" s="52" t="str">
        <f>IFERROR(VLOOKUP($A190,'The List'!$B1:$AS727,8,FALSE)," ")</f>
        <v xml:space="preserve"> </v>
      </c>
      <c r="G190" s="52" t="str">
        <f>IFERROR(VLOOKUP($A190,'The List'!$B1:$AS727,10,FALSE)," ")</f>
        <v xml:space="preserve"> </v>
      </c>
      <c r="H190" s="39"/>
      <c r="I190" s="53" t="str">
        <f>IFERROR(VLOOKUP($A190,'The List'!$B1:$AS727,16,FALSE)," ")</f>
        <v xml:space="preserve"> </v>
      </c>
      <c r="J190" s="53" t="str">
        <f>IFERROR(VLOOKUP($A190,'The List'!$B1:$AS727,17,FALSE)," ")</f>
        <v xml:space="preserve"> </v>
      </c>
      <c r="K190" s="53" t="str">
        <f>IFERROR(VLOOKUP($A190,'The List'!$B1:$AS727,18,FALSE)," ")</f>
        <v xml:space="preserve"> </v>
      </c>
      <c r="L190" s="53" t="str">
        <f>IFERROR(VLOOKUP($A190,'The List'!$B1:$AS727,19,FALSE)," ")</f>
        <v xml:space="preserve"> </v>
      </c>
      <c r="M190" s="53" t="str">
        <f>IFERROR(VLOOKUP($A190,'The List'!$B1:$AS727,20,FALSE)," ")</f>
        <v xml:space="preserve"> </v>
      </c>
      <c r="N190" s="53" t="str">
        <f>IFERROR(VLOOKUP($A190,'The List'!$B1:$AS727,21,FALSE)," ")</f>
        <v xml:space="preserve"> </v>
      </c>
      <c r="O190" s="53" t="str">
        <f>IFERROR(VLOOKUP($A190,'The List'!$B1:$AS727,22,FALSE)," ")</f>
        <v xml:space="preserve"> </v>
      </c>
      <c r="P190" s="53" t="str">
        <f>IFERROR(VLOOKUP($A190,'The List'!$B1:$AS727,23,FALSE)," ")</f>
        <v xml:space="preserve"> </v>
      </c>
      <c r="Q190" s="53" t="str">
        <f>IFERROR(VLOOKUP($A190,'The List'!$B1:$AS727,24,FALSE)," ")</f>
        <v xml:space="preserve"> </v>
      </c>
      <c r="R190" s="53" t="str">
        <f>IFERROR(VLOOKUP($A190,'The List'!$B1:$AS727,25,FALSE)," ")</f>
        <v xml:space="preserve"> </v>
      </c>
      <c r="S190" s="53" t="str">
        <f>IFERROR(VLOOKUP($A190,'The List'!$B1:$AS727,26,FALSE)," ")</f>
        <v xml:space="preserve"> </v>
      </c>
      <c r="T190" s="53" t="str">
        <f>IFERROR(VLOOKUP($A190,'The List'!$B1:$AS727,27,FALSE)," ")</f>
        <v xml:space="preserve"> </v>
      </c>
      <c r="U190" s="53" t="str">
        <f>IFERROR(VLOOKUP($A190,'The List'!$B1:$AS727,28,FALSE)," ")</f>
        <v xml:space="preserve"> </v>
      </c>
      <c r="V190" s="53" t="str">
        <f>IFERROR(VLOOKUP($A190,'The List'!$B1:$AS727,29,FALSE)," ")</f>
        <v xml:space="preserve"> </v>
      </c>
      <c r="W190" s="53" t="str">
        <f>IFERROR(VLOOKUP($A190,'The List'!$B1:$AS727,30,FALSE)," ")</f>
        <v xml:space="preserve"> </v>
      </c>
      <c r="X190" s="53" t="str">
        <f>IFERROR(VLOOKUP($A190,'The List'!$B1:$AS727,31,FALSE)," ")</f>
        <v xml:space="preserve"> </v>
      </c>
      <c r="Y190" s="53" t="str">
        <f>IFERROR(VLOOKUP($A190,'The List'!$B1:$AS727,32,FALSE)," ")</f>
        <v xml:space="preserve"> </v>
      </c>
      <c r="Z190" s="53" t="str">
        <f>IFERROR(VLOOKUP($A190,'The List'!$B1:$AS727,33,FALSE)," ")</f>
        <v xml:space="preserve"> </v>
      </c>
      <c r="AA190" s="55"/>
      <c r="AB190" s="60"/>
      <c r="AC190" s="60"/>
      <c r="AD190" s="60"/>
      <c r="AE190" s="60"/>
      <c r="AF190" s="60"/>
    </row>
    <row r="191" spans="1:32" ht="21.25" customHeight="1" x14ac:dyDescent="0.15">
      <c r="A191" s="23"/>
      <c r="B191" s="68" t="str">
        <f>IFERROR(VLOOKUP($A191,'The List'!$B1:$AS727,3,FALSE)," ")</f>
        <v xml:space="preserve"> </v>
      </c>
      <c r="C191" s="70" t="str">
        <f>IFERROR(VLOOKUP($A191,'The List'!$B1:$AS727,4,FALSE)," ")</f>
        <v xml:space="preserve"> </v>
      </c>
      <c r="D191" s="35" t="str">
        <f>IFERROR(VLOOKUP($A191,'The List'!$B1:$AS727,5,FALSE)," ")</f>
        <v xml:space="preserve"> </v>
      </c>
      <c r="E191" s="35" t="str">
        <f>IFERROR(VLOOKUP($A191,'The List'!$B1:$AS727,6,FALSE)," ")</f>
        <v xml:space="preserve"> </v>
      </c>
      <c r="F191" s="52" t="str">
        <f>IFERROR(VLOOKUP($A191,'The List'!$B1:$AS727,8,FALSE)," ")</f>
        <v xml:space="preserve"> </v>
      </c>
      <c r="G191" s="52" t="str">
        <f>IFERROR(VLOOKUP($A191,'The List'!$B1:$AS727,10,FALSE)," ")</f>
        <v xml:space="preserve"> </v>
      </c>
      <c r="H191" s="39"/>
      <c r="I191" s="53" t="str">
        <f>IFERROR(VLOOKUP($A191,'The List'!$B1:$AS727,16,FALSE)," ")</f>
        <v xml:space="preserve"> </v>
      </c>
      <c r="J191" s="53" t="str">
        <f>IFERROR(VLOOKUP($A191,'The List'!$B1:$AS727,17,FALSE)," ")</f>
        <v xml:space="preserve"> </v>
      </c>
      <c r="K191" s="53" t="str">
        <f>IFERROR(VLOOKUP($A191,'The List'!$B1:$AS727,18,FALSE)," ")</f>
        <v xml:space="preserve"> </v>
      </c>
      <c r="L191" s="53" t="str">
        <f>IFERROR(VLOOKUP($A191,'The List'!$B1:$AS727,19,FALSE)," ")</f>
        <v xml:space="preserve"> </v>
      </c>
      <c r="M191" s="53" t="str">
        <f>IFERROR(VLOOKUP($A191,'The List'!$B1:$AS727,20,FALSE)," ")</f>
        <v xml:space="preserve"> </v>
      </c>
      <c r="N191" s="53" t="str">
        <f>IFERROR(VLOOKUP($A191,'The List'!$B1:$AS727,21,FALSE)," ")</f>
        <v xml:space="preserve"> </v>
      </c>
      <c r="O191" s="53" t="str">
        <f>IFERROR(VLOOKUP($A191,'The List'!$B1:$AS727,22,FALSE)," ")</f>
        <v xml:space="preserve"> </v>
      </c>
      <c r="P191" s="53" t="str">
        <f>IFERROR(VLOOKUP($A191,'The List'!$B1:$AS727,23,FALSE)," ")</f>
        <v xml:space="preserve"> </v>
      </c>
      <c r="Q191" s="53" t="str">
        <f>IFERROR(VLOOKUP($A191,'The List'!$B1:$AS727,24,FALSE)," ")</f>
        <v xml:space="preserve"> </v>
      </c>
      <c r="R191" s="53" t="str">
        <f>IFERROR(VLOOKUP($A191,'The List'!$B1:$AS727,25,FALSE)," ")</f>
        <v xml:space="preserve"> </v>
      </c>
      <c r="S191" s="53" t="str">
        <f>IFERROR(VLOOKUP($A191,'The List'!$B1:$AS727,26,FALSE)," ")</f>
        <v xml:space="preserve"> </v>
      </c>
      <c r="T191" s="53" t="str">
        <f>IFERROR(VLOOKUP($A191,'The List'!$B1:$AS727,27,FALSE)," ")</f>
        <v xml:space="preserve"> </v>
      </c>
      <c r="U191" s="53" t="str">
        <f>IFERROR(VLOOKUP($A191,'The List'!$B1:$AS727,28,FALSE)," ")</f>
        <v xml:space="preserve"> </v>
      </c>
      <c r="V191" s="53" t="str">
        <f>IFERROR(VLOOKUP($A191,'The List'!$B1:$AS727,29,FALSE)," ")</f>
        <v xml:space="preserve"> </v>
      </c>
      <c r="W191" s="53" t="str">
        <f>IFERROR(VLOOKUP($A191,'The List'!$B1:$AS727,30,FALSE)," ")</f>
        <v xml:space="preserve"> </v>
      </c>
      <c r="X191" s="53" t="str">
        <f>IFERROR(VLOOKUP($A191,'The List'!$B1:$AS727,31,FALSE)," ")</f>
        <v xml:space="preserve"> </v>
      </c>
      <c r="Y191" s="53" t="str">
        <f>IFERROR(VLOOKUP($A191,'The List'!$B1:$AS727,32,FALSE)," ")</f>
        <v xml:space="preserve"> </v>
      </c>
      <c r="Z191" s="53" t="str">
        <f>IFERROR(VLOOKUP($A191,'The List'!$B1:$AS727,33,FALSE)," ")</f>
        <v xml:space="preserve"> </v>
      </c>
      <c r="AA191" s="55"/>
      <c r="AB191" s="60"/>
      <c r="AC191" s="60"/>
      <c r="AD191" s="60"/>
      <c r="AE191" s="60"/>
      <c r="AF191" s="60"/>
    </row>
    <row r="192" spans="1:32" ht="21.25" customHeight="1" x14ac:dyDescent="0.15">
      <c r="A192" s="23"/>
      <c r="B192" s="68" t="str">
        <f>IFERROR(VLOOKUP($A192,'The List'!$B1:$AS727,3,FALSE)," ")</f>
        <v xml:space="preserve"> </v>
      </c>
      <c r="C192" s="70" t="str">
        <f>IFERROR(VLOOKUP($A192,'The List'!$B1:$AS727,4,FALSE)," ")</f>
        <v xml:space="preserve"> </v>
      </c>
      <c r="D192" s="35" t="str">
        <f>IFERROR(VLOOKUP($A192,'The List'!$B1:$AS727,5,FALSE)," ")</f>
        <v xml:space="preserve"> </v>
      </c>
      <c r="E192" s="35" t="str">
        <f>IFERROR(VLOOKUP($A192,'The List'!$B1:$AS727,6,FALSE)," ")</f>
        <v xml:space="preserve"> </v>
      </c>
      <c r="F192" s="52" t="str">
        <f>IFERROR(VLOOKUP($A192,'The List'!$B1:$AS727,8,FALSE)," ")</f>
        <v xml:space="preserve"> </v>
      </c>
      <c r="G192" s="52" t="str">
        <f>IFERROR(VLOOKUP($A192,'The List'!$B1:$AS727,10,FALSE)," ")</f>
        <v xml:space="preserve"> </v>
      </c>
      <c r="H192" s="39"/>
      <c r="I192" s="53" t="str">
        <f>IFERROR(VLOOKUP($A192,'The List'!$B1:$AS727,16,FALSE)," ")</f>
        <v xml:space="preserve"> </v>
      </c>
      <c r="J192" s="53" t="str">
        <f>IFERROR(VLOOKUP($A192,'The List'!$B1:$AS727,17,FALSE)," ")</f>
        <v xml:space="preserve"> </v>
      </c>
      <c r="K192" s="53" t="str">
        <f>IFERROR(VLOOKUP($A192,'The List'!$B1:$AS727,18,FALSE)," ")</f>
        <v xml:space="preserve"> </v>
      </c>
      <c r="L192" s="53" t="str">
        <f>IFERROR(VLOOKUP($A192,'The List'!$B1:$AS727,19,FALSE)," ")</f>
        <v xml:space="preserve"> </v>
      </c>
      <c r="M192" s="53" t="str">
        <f>IFERROR(VLOOKUP($A192,'The List'!$B1:$AS727,20,FALSE)," ")</f>
        <v xml:space="preserve"> </v>
      </c>
      <c r="N192" s="53" t="str">
        <f>IFERROR(VLOOKUP($A192,'The List'!$B1:$AS727,21,FALSE)," ")</f>
        <v xml:space="preserve"> </v>
      </c>
      <c r="O192" s="53" t="str">
        <f>IFERROR(VLOOKUP($A192,'The List'!$B1:$AS727,22,FALSE)," ")</f>
        <v xml:space="preserve"> </v>
      </c>
      <c r="P192" s="53" t="str">
        <f>IFERROR(VLOOKUP($A192,'The List'!$B1:$AS727,23,FALSE)," ")</f>
        <v xml:space="preserve"> </v>
      </c>
      <c r="Q192" s="53" t="str">
        <f>IFERROR(VLOOKUP($A192,'The List'!$B1:$AS727,24,FALSE)," ")</f>
        <v xml:space="preserve"> </v>
      </c>
      <c r="R192" s="53" t="str">
        <f>IFERROR(VLOOKUP($A192,'The List'!$B1:$AS727,25,FALSE)," ")</f>
        <v xml:space="preserve"> </v>
      </c>
      <c r="S192" s="53" t="str">
        <f>IFERROR(VLOOKUP($A192,'The List'!$B1:$AS727,26,FALSE)," ")</f>
        <v xml:space="preserve"> </v>
      </c>
      <c r="T192" s="53" t="str">
        <f>IFERROR(VLOOKUP($A192,'The List'!$B1:$AS727,27,FALSE)," ")</f>
        <v xml:space="preserve"> </v>
      </c>
      <c r="U192" s="53" t="str">
        <f>IFERROR(VLOOKUP($A192,'The List'!$B1:$AS727,28,FALSE)," ")</f>
        <v xml:space="preserve"> </v>
      </c>
      <c r="V192" s="53" t="str">
        <f>IFERROR(VLOOKUP($A192,'The List'!$B1:$AS727,29,FALSE)," ")</f>
        <v xml:space="preserve"> </v>
      </c>
      <c r="W192" s="53" t="str">
        <f>IFERROR(VLOOKUP($A192,'The List'!$B1:$AS727,30,FALSE)," ")</f>
        <v xml:space="preserve"> </v>
      </c>
      <c r="X192" s="53" t="str">
        <f>IFERROR(VLOOKUP($A192,'The List'!$B1:$AS727,31,FALSE)," ")</f>
        <v xml:space="preserve"> </v>
      </c>
      <c r="Y192" s="53" t="str">
        <f>IFERROR(VLOOKUP($A192,'The List'!$B1:$AS727,32,FALSE)," ")</f>
        <v xml:space="preserve"> </v>
      </c>
      <c r="Z192" s="53" t="str">
        <f>IFERROR(VLOOKUP($A192,'The List'!$B1:$AS727,33,FALSE)," ")</f>
        <v xml:space="preserve"> </v>
      </c>
      <c r="AA192" s="55"/>
      <c r="AB192" s="60"/>
      <c r="AC192" s="60"/>
      <c r="AD192" s="60"/>
      <c r="AE192" s="60"/>
      <c r="AF192" s="60"/>
    </row>
    <row r="193" spans="1:32" ht="21.25" customHeight="1" x14ac:dyDescent="0.15">
      <c r="A193" s="23"/>
      <c r="B193" s="68" t="str">
        <f>IFERROR(VLOOKUP($A193,'The List'!$B1:$AS727,3,FALSE)," ")</f>
        <v xml:space="preserve"> </v>
      </c>
      <c r="C193" s="70" t="str">
        <f>IFERROR(VLOOKUP($A193,'The List'!$B1:$AS727,4,FALSE)," ")</f>
        <v xml:space="preserve"> </v>
      </c>
      <c r="D193" s="35" t="str">
        <f>IFERROR(VLOOKUP($A193,'The List'!$B1:$AS727,5,FALSE)," ")</f>
        <v xml:space="preserve"> </v>
      </c>
      <c r="E193" s="35" t="str">
        <f>IFERROR(VLOOKUP($A193,'The List'!$B1:$AS727,6,FALSE)," ")</f>
        <v xml:space="preserve"> </v>
      </c>
      <c r="F193" s="52" t="str">
        <f>IFERROR(VLOOKUP($A193,'The List'!$B1:$AS727,8,FALSE)," ")</f>
        <v xml:space="preserve"> </v>
      </c>
      <c r="G193" s="52" t="str">
        <f>IFERROR(VLOOKUP($A193,'The List'!$B1:$AS727,10,FALSE)," ")</f>
        <v xml:space="preserve"> </v>
      </c>
      <c r="H193" s="39"/>
      <c r="I193" s="53" t="str">
        <f>IFERROR(VLOOKUP($A193,'The List'!$B1:$AS727,16,FALSE)," ")</f>
        <v xml:space="preserve"> </v>
      </c>
      <c r="J193" s="53" t="str">
        <f>IFERROR(VLOOKUP($A193,'The List'!$B1:$AS727,17,FALSE)," ")</f>
        <v xml:space="preserve"> </v>
      </c>
      <c r="K193" s="53" t="str">
        <f>IFERROR(VLOOKUP($A193,'The List'!$B1:$AS727,18,FALSE)," ")</f>
        <v xml:space="preserve"> </v>
      </c>
      <c r="L193" s="53" t="str">
        <f>IFERROR(VLOOKUP($A193,'The List'!$B1:$AS727,19,FALSE)," ")</f>
        <v xml:space="preserve"> </v>
      </c>
      <c r="M193" s="53" t="str">
        <f>IFERROR(VLOOKUP($A193,'The List'!$B1:$AS727,20,FALSE)," ")</f>
        <v xml:space="preserve"> </v>
      </c>
      <c r="N193" s="53" t="str">
        <f>IFERROR(VLOOKUP($A193,'The List'!$B1:$AS727,21,FALSE)," ")</f>
        <v xml:space="preserve"> </v>
      </c>
      <c r="O193" s="53" t="str">
        <f>IFERROR(VLOOKUP($A193,'The List'!$B1:$AS727,22,FALSE)," ")</f>
        <v xml:space="preserve"> </v>
      </c>
      <c r="P193" s="53" t="str">
        <f>IFERROR(VLOOKUP($A193,'The List'!$B1:$AS727,23,FALSE)," ")</f>
        <v xml:space="preserve"> </v>
      </c>
      <c r="Q193" s="53" t="str">
        <f>IFERROR(VLOOKUP($A193,'The List'!$B1:$AS727,24,FALSE)," ")</f>
        <v xml:space="preserve"> </v>
      </c>
      <c r="R193" s="53" t="str">
        <f>IFERROR(VLOOKUP($A193,'The List'!$B1:$AS727,25,FALSE)," ")</f>
        <v xml:space="preserve"> </v>
      </c>
      <c r="S193" s="53" t="str">
        <f>IFERROR(VLOOKUP($A193,'The List'!$B1:$AS727,26,FALSE)," ")</f>
        <v xml:space="preserve"> </v>
      </c>
      <c r="T193" s="53" t="str">
        <f>IFERROR(VLOOKUP($A193,'The List'!$B1:$AS727,27,FALSE)," ")</f>
        <v xml:space="preserve"> </v>
      </c>
      <c r="U193" s="53" t="str">
        <f>IFERROR(VLOOKUP($A193,'The List'!$B1:$AS727,28,FALSE)," ")</f>
        <v xml:space="preserve"> </v>
      </c>
      <c r="V193" s="53" t="str">
        <f>IFERROR(VLOOKUP($A193,'The List'!$B1:$AS727,29,FALSE)," ")</f>
        <v xml:space="preserve"> </v>
      </c>
      <c r="W193" s="53" t="str">
        <f>IFERROR(VLOOKUP($A193,'The List'!$B1:$AS727,30,FALSE)," ")</f>
        <v xml:space="preserve"> </v>
      </c>
      <c r="X193" s="53" t="str">
        <f>IFERROR(VLOOKUP($A193,'The List'!$B1:$AS727,31,FALSE)," ")</f>
        <v xml:space="preserve"> </v>
      </c>
      <c r="Y193" s="53" t="str">
        <f>IFERROR(VLOOKUP($A193,'The List'!$B1:$AS727,32,FALSE)," ")</f>
        <v xml:space="preserve"> </v>
      </c>
      <c r="Z193" s="53" t="str">
        <f>IFERROR(VLOOKUP($A193,'The List'!$B1:$AS727,33,FALSE)," ")</f>
        <v xml:space="preserve"> </v>
      </c>
      <c r="AA193" s="55"/>
      <c r="AB193" s="60"/>
      <c r="AC193" s="60"/>
      <c r="AD193" s="60"/>
      <c r="AE193" s="60"/>
      <c r="AF193" s="60"/>
    </row>
    <row r="194" spans="1:32" ht="21.25" customHeight="1" x14ac:dyDescent="0.15">
      <c r="A194" s="23"/>
      <c r="B194" s="68" t="str">
        <f>IFERROR(VLOOKUP($A194,'The List'!$B1:$AS727,3,FALSE)," ")</f>
        <v xml:space="preserve"> </v>
      </c>
      <c r="C194" s="70" t="str">
        <f>IFERROR(VLOOKUP($A194,'The List'!$B1:$AS727,4,FALSE)," ")</f>
        <v xml:space="preserve"> </v>
      </c>
      <c r="D194" s="35" t="str">
        <f>IFERROR(VLOOKUP($A194,'The List'!$B1:$AS727,5,FALSE)," ")</f>
        <v xml:space="preserve"> </v>
      </c>
      <c r="E194" s="35" t="str">
        <f>IFERROR(VLOOKUP($A194,'The List'!$B1:$AS727,6,FALSE)," ")</f>
        <v xml:space="preserve"> </v>
      </c>
      <c r="F194" s="52" t="str">
        <f>IFERROR(VLOOKUP($A194,'The List'!$B1:$AS727,8,FALSE)," ")</f>
        <v xml:space="preserve"> </v>
      </c>
      <c r="G194" s="52" t="str">
        <f>IFERROR(VLOOKUP($A194,'The List'!$B1:$AS727,10,FALSE)," ")</f>
        <v xml:space="preserve"> </v>
      </c>
      <c r="H194" s="39"/>
      <c r="I194" s="53" t="str">
        <f>IFERROR(VLOOKUP($A194,'The List'!$B1:$AS727,16,FALSE)," ")</f>
        <v xml:space="preserve"> </v>
      </c>
      <c r="J194" s="53" t="str">
        <f>IFERROR(VLOOKUP($A194,'The List'!$B1:$AS727,17,FALSE)," ")</f>
        <v xml:space="preserve"> </v>
      </c>
      <c r="K194" s="53" t="str">
        <f>IFERROR(VLOOKUP($A194,'The List'!$B1:$AS727,18,FALSE)," ")</f>
        <v xml:space="preserve"> </v>
      </c>
      <c r="L194" s="53" t="str">
        <f>IFERROR(VLOOKUP($A194,'The List'!$B1:$AS727,19,FALSE)," ")</f>
        <v xml:space="preserve"> </v>
      </c>
      <c r="M194" s="53" t="str">
        <f>IFERROR(VLOOKUP($A194,'The List'!$B1:$AS727,20,FALSE)," ")</f>
        <v xml:space="preserve"> </v>
      </c>
      <c r="N194" s="53" t="str">
        <f>IFERROR(VLOOKUP($A194,'The List'!$B1:$AS727,21,FALSE)," ")</f>
        <v xml:space="preserve"> </v>
      </c>
      <c r="O194" s="53" t="str">
        <f>IFERROR(VLOOKUP($A194,'The List'!$B1:$AS727,22,FALSE)," ")</f>
        <v xml:space="preserve"> </v>
      </c>
      <c r="P194" s="53" t="str">
        <f>IFERROR(VLOOKUP($A194,'The List'!$B1:$AS727,23,FALSE)," ")</f>
        <v xml:space="preserve"> </v>
      </c>
      <c r="Q194" s="53" t="str">
        <f>IFERROR(VLOOKUP($A194,'The List'!$B1:$AS727,24,FALSE)," ")</f>
        <v xml:space="preserve"> </v>
      </c>
      <c r="R194" s="53" t="str">
        <f>IFERROR(VLOOKUP($A194,'The List'!$B1:$AS727,25,FALSE)," ")</f>
        <v xml:space="preserve"> </v>
      </c>
      <c r="S194" s="53" t="str">
        <f>IFERROR(VLOOKUP($A194,'The List'!$B1:$AS727,26,FALSE)," ")</f>
        <v xml:space="preserve"> </v>
      </c>
      <c r="T194" s="53" t="str">
        <f>IFERROR(VLOOKUP($A194,'The List'!$B1:$AS727,27,FALSE)," ")</f>
        <v xml:space="preserve"> </v>
      </c>
      <c r="U194" s="53" t="str">
        <f>IFERROR(VLOOKUP($A194,'The List'!$B1:$AS727,28,FALSE)," ")</f>
        <v xml:space="preserve"> </v>
      </c>
      <c r="V194" s="53" t="str">
        <f>IFERROR(VLOOKUP($A194,'The List'!$B1:$AS727,29,FALSE)," ")</f>
        <v xml:space="preserve"> </v>
      </c>
      <c r="W194" s="53" t="str">
        <f>IFERROR(VLOOKUP($A194,'The List'!$B1:$AS727,30,FALSE)," ")</f>
        <v xml:space="preserve"> </v>
      </c>
      <c r="X194" s="53" t="str">
        <f>IFERROR(VLOOKUP($A194,'The List'!$B1:$AS727,31,FALSE)," ")</f>
        <v xml:space="preserve"> </v>
      </c>
      <c r="Y194" s="53" t="str">
        <f>IFERROR(VLOOKUP($A194,'The List'!$B1:$AS727,32,FALSE)," ")</f>
        <v xml:space="preserve"> </v>
      </c>
      <c r="Z194" s="53" t="str">
        <f>IFERROR(VLOOKUP($A194,'The List'!$B1:$AS727,33,FALSE)," ")</f>
        <v xml:space="preserve"> </v>
      </c>
      <c r="AA194" s="55"/>
      <c r="AB194" s="60"/>
      <c r="AC194" s="60"/>
      <c r="AD194" s="60"/>
      <c r="AE194" s="60"/>
      <c r="AF194" s="60"/>
    </row>
    <row r="195" spans="1:32" ht="21.25" customHeight="1" x14ac:dyDescent="0.15">
      <c r="A195" s="72"/>
      <c r="B195" s="73" t="str">
        <f>IFERROR(VLOOKUP($A195,'The List'!$B1:$AS727,3,FALSE)," ")</f>
        <v xml:space="preserve"> </v>
      </c>
      <c r="C195" s="74" t="str">
        <f>IFERROR(VLOOKUP($A195,'The List'!$B1:$AS727,4,FALSE)," ")</f>
        <v xml:space="preserve"> </v>
      </c>
      <c r="D195" s="75" t="str">
        <f>IFERROR(VLOOKUP($A195,'The List'!$B1:$AS727,5,FALSE)," ")</f>
        <v xml:space="preserve"> </v>
      </c>
      <c r="E195" s="75" t="str">
        <f>IFERROR(VLOOKUP($A195,'The List'!$B1:$AS727,6,FALSE)," ")</f>
        <v xml:space="preserve"> </v>
      </c>
      <c r="F195" s="76" t="str">
        <f>IFERROR(VLOOKUP($A195,'The List'!$B1:$AS727,8,FALSE)," ")</f>
        <v xml:space="preserve"> </v>
      </c>
      <c r="G195" s="76" t="str">
        <f>IFERROR(VLOOKUP($A195,'The List'!$B1:$AS727,10,FALSE)," ")</f>
        <v xml:space="preserve"> </v>
      </c>
      <c r="H195" s="77"/>
      <c r="I195" s="78" t="str">
        <f>IFERROR(VLOOKUP($A195,'The List'!$B1:$AS727,16,FALSE)," ")</f>
        <v xml:space="preserve"> </v>
      </c>
      <c r="J195" s="78" t="str">
        <f>IFERROR(VLOOKUP($A195,'The List'!$B1:$AS727,17,FALSE)," ")</f>
        <v xml:space="preserve"> </v>
      </c>
      <c r="K195" s="78" t="str">
        <f>IFERROR(VLOOKUP($A195,'The List'!$B1:$AS727,18,FALSE)," ")</f>
        <v xml:space="preserve"> </v>
      </c>
      <c r="L195" s="78" t="str">
        <f>IFERROR(VLOOKUP($A195,'The List'!$B1:$AS727,19,FALSE)," ")</f>
        <v xml:space="preserve"> </v>
      </c>
      <c r="M195" s="78" t="str">
        <f>IFERROR(VLOOKUP($A195,'The List'!$B1:$AS727,20,FALSE)," ")</f>
        <v xml:space="preserve"> </v>
      </c>
      <c r="N195" s="78" t="str">
        <f>IFERROR(VLOOKUP($A195,'The List'!$B1:$AS727,21,FALSE)," ")</f>
        <v xml:space="preserve"> </v>
      </c>
      <c r="O195" s="78" t="str">
        <f>IFERROR(VLOOKUP($A195,'The List'!$B1:$AS727,22,FALSE)," ")</f>
        <v xml:space="preserve"> </v>
      </c>
      <c r="P195" s="78" t="str">
        <f>IFERROR(VLOOKUP($A195,'The List'!$B1:$AS727,23,FALSE)," ")</f>
        <v xml:space="preserve"> </v>
      </c>
      <c r="Q195" s="78" t="str">
        <f>IFERROR(VLOOKUP($A195,'The List'!$B1:$AS727,24,FALSE)," ")</f>
        <v xml:space="preserve"> </v>
      </c>
      <c r="R195" s="78" t="str">
        <f>IFERROR(VLOOKUP($A195,'The List'!$B1:$AS727,25,FALSE)," ")</f>
        <v xml:space="preserve"> </v>
      </c>
      <c r="S195" s="78" t="str">
        <f>IFERROR(VLOOKUP($A195,'The List'!$B1:$AS727,26,FALSE)," ")</f>
        <v xml:space="preserve"> </v>
      </c>
      <c r="T195" s="78" t="str">
        <f>IFERROR(VLOOKUP($A195,'The List'!$B1:$AS727,27,FALSE)," ")</f>
        <v xml:space="preserve"> </v>
      </c>
      <c r="U195" s="78" t="str">
        <f>IFERROR(VLOOKUP($A195,'The List'!$B1:$AS727,28,FALSE)," ")</f>
        <v xml:space="preserve"> </v>
      </c>
      <c r="V195" s="78" t="str">
        <f>IFERROR(VLOOKUP($A195,'The List'!$B1:$AS727,29,FALSE)," ")</f>
        <v xml:space="preserve"> </v>
      </c>
      <c r="W195" s="78" t="str">
        <f>IFERROR(VLOOKUP($A195,'The List'!$B1:$AS727,30,FALSE)," ")</f>
        <v xml:space="preserve"> </v>
      </c>
      <c r="X195" s="78" t="str">
        <f>IFERROR(VLOOKUP($A195,'The List'!$B1:$AS727,31,FALSE)," ")</f>
        <v xml:space="preserve"> </v>
      </c>
      <c r="Y195" s="78" t="str">
        <f>IFERROR(VLOOKUP($A195,'The List'!$B1:$AS727,32,FALSE)," ")</f>
        <v xml:space="preserve"> </v>
      </c>
      <c r="Z195" s="78" t="str">
        <f>IFERROR(VLOOKUP($A195,'The List'!$B1:$AS727,33,FALSE)," ")</f>
        <v xml:space="preserve"> </v>
      </c>
      <c r="AA195" s="55"/>
      <c r="AB195" s="60"/>
      <c r="AC195" s="60"/>
      <c r="AD195" s="60"/>
      <c r="AE195" s="60"/>
      <c r="AF195" s="60"/>
    </row>
    <row r="196" spans="1:32" ht="21.25" customHeight="1" x14ac:dyDescent="0.15">
      <c r="A196" s="79"/>
      <c r="B196" s="80"/>
      <c r="C196" s="81"/>
      <c r="D196" s="82"/>
      <c r="E196" s="117" t="str">
        <f>IFERROR(AVERAGE(E176:E195)," ")</f>
        <v xml:space="preserve"> </v>
      </c>
      <c r="F196" s="84">
        <f>SUM(F176:F195)</f>
        <v>0</v>
      </c>
      <c r="G196" s="84">
        <f>SUM(G176:G195)</f>
        <v>0</v>
      </c>
      <c r="H196" s="85"/>
      <c r="I196" s="86">
        <f>SUM(I176:I195)</f>
        <v>0</v>
      </c>
      <c r="J196" s="85" t="e">
        <f>AVERAGE(J176:J195)</f>
        <v>#DIV/0!</v>
      </c>
      <c r="K196" s="86">
        <f t="shared" ref="K196:Y196" si="12">SUM(K176:K195)</f>
        <v>0</v>
      </c>
      <c r="L196" s="86">
        <f t="shared" si="12"/>
        <v>0</v>
      </c>
      <c r="M196" s="86">
        <f t="shared" si="12"/>
        <v>0</v>
      </c>
      <c r="N196" s="86">
        <f t="shared" si="12"/>
        <v>0</v>
      </c>
      <c r="O196" s="86">
        <f t="shared" si="12"/>
        <v>0</v>
      </c>
      <c r="P196" s="86">
        <f t="shared" si="12"/>
        <v>0</v>
      </c>
      <c r="Q196" s="86">
        <f t="shared" si="12"/>
        <v>0</v>
      </c>
      <c r="R196" s="86">
        <f t="shared" si="12"/>
        <v>0</v>
      </c>
      <c r="S196" s="86">
        <f t="shared" si="12"/>
        <v>0</v>
      </c>
      <c r="T196" s="86">
        <f t="shared" si="12"/>
        <v>0</v>
      </c>
      <c r="U196" s="86">
        <f t="shared" si="12"/>
        <v>0</v>
      </c>
      <c r="V196" s="86">
        <f t="shared" si="12"/>
        <v>0</v>
      </c>
      <c r="W196" s="86">
        <f t="shared" si="12"/>
        <v>0</v>
      </c>
      <c r="X196" s="86">
        <f t="shared" si="12"/>
        <v>0</v>
      </c>
      <c r="Y196" s="86">
        <f t="shared" si="12"/>
        <v>0</v>
      </c>
      <c r="Z196" s="87">
        <f>IFERROR(X196/(X196+Y196),0)</f>
        <v>0</v>
      </c>
      <c r="AA196" s="55"/>
      <c r="AB196" s="88"/>
      <c r="AC196" s="88"/>
      <c r="AD196" s="88"/>
      <c r="AE196" s="88"/>
      <c r="AF196" s="88"/>
    </row>
    <row r="197" spans="1:32" ht="21.25" customHeight="1" x14ac:dyDescent="0.15">
      <c r="A197" s="89"/>
      <c r="B197" s="90"/>
      <c r="C197" s="91"/>
      <c r="D197" s="11"/>
      <c r="E197" s="11"/>
      <c r="F197" s="92"/>
      <c r="G197" s="93"/>
      <c r="H197" s="94"/>
      <c r="I197" s="9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60"/>
      <c r="AC197" s="60"/>
      <c r="AD197" s="60"/>
      <c r="AE197" s="60"/>
      <c r="AF197" s="60"/>
    </row>
    <row r="198" spans="1:32" ht="21.25" customHeight="1" x14ac:dyDescent="0.15">
      <c r="A198" s="24" t="s">
        <v>66</v>
      </c>
      <c r="B198" s="174" t="s">
        <v>68</v>
      </c>
      <c r="C198" s="165"/>
      <c r="D198" s="96" t="s">
        <v>69</v>
      </c>
      <c r="E198" s="96" t="s">
        <v>70</v>
      </c>
      <c r="F198" s="97" t="s">
        <v>72</v>
      </c>
      <c r="G198" s="97" t="s">
        <v>74</v>
      </c>
      <c r="H198" s="98"/>
      <c r="I198" s="99" t="s">
        <v>79</v>
      </c>
      <c r="J198" s="99" t="s">
        <v>97</v>
      </c>
      <c r="K198" s="99" t="s">
        <v>98</v>
      </c>
      <c r="L198" s="99" t="s">
        <v>99</v>
      </c>
      <c r="M198" s="99" t="s">
        <v>100</v>
      </c>
      <c r="N198" s="99" t="s">
        <v>101</v>
      </c>
      <c r="O198" s="99" t="s">
        <v>102</v>
      </c>
      <c r="P198" s="99" t="s">
        <v>103</v>
      </c>
      <c r="Q198" s="99" t="s">
        <v>104</v>
      </c>
      <c r="R198" s="55"/>
      <c r="S198" s="55"/>
      <c r="T198" s="55"/>
      <c r="U198" s="174" t="s">
        <v>850</v>
      </c>
      <c r="V198" s="175"/>
      <c r="W198" s="175"/>
      <c r="X198" s="174" t="s">
        <v>851</v>
      </c>
      <c r="Y198" s="175"/>
      <c r="Z198" s="175"/>
      <c r="AA198" s="55"/>
      <c r="AB198" s="55"/>
      <c r="AC198" s="55"/>
      <c r="AD198" s="55"/>
      <c r="AE198" s="55"/>
      <c r="AF198" s="55"/>
    </row>
    <row r="199" spans="1:32" ht="21.25" customHeight="1" x14ac:dyDescent="0.15">
      <c r="A199" s="118"/>
      <c r="B199" s="101" t="str">
        <f>IFERROR(VLOOKUP($A199,'The List'!$B1:$AS727,3,FALSE)," ")</f>
        <v xml:space="preserve"> </v>
      </c>
      <c r="C199" s="119" t="str">
        <f>IFERROR(VLOOKUP($A199,'The List'!$B1:$AS727,4,FALSE)," ")</f>
        <v xml:space="preserve"> </v>
      </c>
      <c r="D199" s="103" t="str">
        <f>IFERROR(VLOOKUP($A199,'The List'!$B1:$AS727,5,FALSE)," ")</f>
        <v xml:space="preserve"> </v>
      </c>
      <c r="E199" s="103" t="str">
        <f>IFERROR(VLOOKUP($A199,'The List'!$B1:$AS727,6,FALSE)," ")</f>
        <v xml:space="preserve"> </v>
      </c>
      <c r="F199" s="120" t="str">
        <f>IFERROR(VLOOKUP($A199,'The List'!$B1:$AS727,8,FALSE)," ")</f>
        <v xml:space="preserve"> </v>
      </c>
      <c r="G199" s="120" t="str">
        <f>IFERROR(VLOOKUP($A199,'The List'!$B1:$AS727,10,FALSE)," ")</f>
        <v xml:space="preserve"> </v>
      </c>
      <c r="H199" s="106"/>
      <c r="I199" s="121" t="str">
        <f>IFERROR(VLOOKUP($A199,'The List'!$B1:$AS727,35,FALSE)," ")</f>
        <v xml:space="preserve"> </v>
      </c>
      <c r="J199" s="121" t="str">
        <f>IFERROR(VLOOKUP($A199,'The List'!$B1:$AS727,36,FALSE)," ")</f>
        <v xml:space="preserve"> </v>
      </c>
      <c r="K199" s="121" t="str">
        <f>IFERROR(VLOOKUP($A199,'The List'!$B1:$AS727,37,FALSE)," ")</f>
        <v xml:space="preserve"> </v>
      </c>
      <c r="L199" s="121" t="str">
        <f>IFERROR(VLOOKUP($A199,'The List'!$B1:$AS727,38,FALSE)," ")</f>
        <v xml:space="preserve"> </v>
      </c>
      <c r="M199" s="121" t="str">
        <f>IFERROR(VLOOKUP($A199,'The List'!$B1:$AS727,39,FALSE)," ")</f>
        <v xml:space="preserve"> </v>
      </c>
      <c r="N199" s="121" t="str">
        <f>IFERROR(VLOOKUP($A199,'The List'!$B1:$AS727,40,FALSE)," ")</f>
        <v xml:space="preserve"> </v>
      </c>
      <c r="O199" s="121" t="str">
        <f>IFERROR(VLOOKUP($A199,'The List'!$B1:$AS727,41,FALSE)," ")</f>
        <v xml:space="preserve"> </v>
      </c>
      <c r="P199" s="121" t="str">
        <f>IFERROR(VLOOKUP($A199,'The List'!$B1:$AS727,42,FALSE)," ")</f>
        <v xml:space="preserve"> </v>
      </c>
      <c r="Q199" s="121" t="str">
        <f>IFERROR(VLOOKUP($A199,'The List'!$B1:$AS727,43,FALSE)," ")</f>
        <v xml:space="preserve"> </v>
      </c>
      <c r="R199" s="55"/>
      <c r="S199" s="55"/>
      <c r="T199" s="110" t="str">
        <f>A175</f>
        <v>TEAM 7</v>
      </c>
      <c r="U199" s="176">
        <f>F196+F202</f>
        <v>0</v>
      </c>
      <c r="V199" s="165"/>
      <c r="W199" s="165"/>
      <c r="X199" s="176">
        <f>G202+G196</f>
        <v>0</v>
      </c>
      <c r="Y199" s="165"/>
      <c r="Z199" s="165"/>
      <c r="AA199" s="55"/>
      <c r="AB199" s="55"/>
      <c r="AC199" s="55"/>
      <c r="AD199" s="55"/>
      <c r="AE199" s="55"/>
      <c r="AF199" s="55"/>
    </row>
    <row r="200" spans="1:32" ht="21.25" customHeight="1" x14ac:dyDescent="0.15">
      <c r="A200" s="23"/>
      <c r="B200" s="111" t="str">
        <f>IFERROR(VLOOKUP($A200,'The List'!$B1:$AS727,3,FALSE)," ")</f>
        <v xml:space="preserve"> </v>
      </c>
      <c r="C200" s="112" t="str">
        <f>IFERROR(VLOOKUP($A200,'The List'!$B1:$AS727,4,FALSE)," ")</f>
        <v xml:space="preserve"> </v>
      </c>
      <c r="D200" s="35" t="str">
        <f>IFERROR(VLOOKUP($A200,'The List'!$B1:$AS727,5,FALSE)," ")</f>
        <v xml:space="preserve"> </v>
      </c>
      <c r="E200" s="35" t="str">
        <f>IFERROR(VLOOKUP($A200,'The List'!$B1:$AS727,6,FALSE)," ")</f>
        <v xml:space="preserve"> </v>
      </c>
      <c r="F200" s="52" t="str">
        <f>IFERROR(VLOOKUP($A200,'The List'!$B1:$AS727,8,FALSE)," ")</f>
        <v xml:space="preserve"> </v>
      </c>
      <c r="G200" s="52" t="str">
        <f>IFERROR(VLOOKUP($A200,'The List'!$B1:$AS727,10,FALSE)," ")</f>
        <v xml:space="preserve"> </v>
      </c>
      <c r="H200" s="39"/>
      <c r="I200" s="53" t="str">
        <f>IFERROR(VLOOKUP($A200,'The List'!$B1:$AS727,35,FALSE)," ")</f>
        <v xml:space="preserve"> </v>
      </c>
      <c r="J200" s="53" t="str">
        <f>IFERROR(VLOOKUP($A200,'The List'!$B1:$AS727,36,FALSE)," ")</f>
        <v xml:space="preserve"> </v>
      </c>
      <c r="K200" s="53" t="str">
        <f>IFERROR(VLOOKUP($A200,'The List'!$B1:$AS727,37,FALSE)," ")</f>
        <v xml:space="preserve"> </v>
      </c>
      <c r="L200" s="53" t="str">
        <f>IFERROR(VLOOKUP($A200,'The List'!$B1:$AS727,38,FALSE)," ")</f>
        <v xml:space="preserve"> </v>
      </c>
      <c r="M200" s="53" t="str">
        <f>IFERROR(VLOOKUP($A200,'The List'!$B1:$AS727,39,FALSE)," ")</f>
        <v xml:space="preserve"> </v>
      </c>
      <c r="N200" s="53" t="str">
        <f>IFERROR(VLOOKUP($A200,'The List'!$B1:$AS727,40,FALSE)," ")</f>
        <v xml:space="preserve"> </v>
      </c>
      <c r="O200" s="53" t="str">
        <f>IFERROR(VLOOKUP($A200,'The List'!$B1:$AS727,41,FALSE)," ")</f>
        <v xml:space="preserve"> </v>
      </c>
      <c r="P200" s="53" t="str">
        <f>IFERROR(VLOOKUP($A200,'The List'!$B1:$AS727,42,FALSE)," ")</f>
        <v xml:space="preserve"> </v>
      </c>
      <c r="Q200" s="53" t="str">
        <f>IFERROR(VLOOKUP($A200,'The List'!$B1:$AS727,43,FALSE)," ")</f>
        <v xml:space="preserve"> </v>
      </c>
      <c r="R200" s="55"/>
      <c r="S200" s="55"/>
      <c r="T200" s="55"/>
      <c r="U200" s="165"/>
      <c r="V200" s="165"/>
      <c r="W200" s="165"/>
      <c r="X200" s="165"/>
      <c r="Y200" s="165"/>
      <c r="Z200" s="165"/>
      <c r="AA200" s="55"/>
      <c r="AB200" s="55"/>
      <c r="AC200" s="55"/>
      <c r="AD200" s="55"/>
      <c r="AE200" s="55"/>
      <c r="AF200" s="55"/>
    </row>
    <row r="201" spans="1:32" ht="21.25" customHeight="1" x14ac:dyDescent="0.15">
      <c r="A201" s="72"/>
      <c r="B201" s="113" t="str">
        <f>IFERROR(VLOOKUP($A201,'The List'!$B1:$AS727,3,FALSE)," ")</f>
        <v xml:space="preserve"> </v>
      </c>
      <c r="C201" s="114" t="str">
        <f>IFERROR(VLOOKUP($A201,'The List'!$B1:$AS727,4,FALSE)," ")</f>
        <v xml:space="preserve"> </v>
      </c>
      <c r="D201" s="75" t="str">
        <f>IFERROR(VLOOKUP($A201,'The List'!$B1:$AS727,5,FALSE)," ")</f>
        <v xml:space="preserve"> </v>
      </c>
      <c r="E201" s="75" t="str">
        <f>IFERROR(VLOOKUP($A201,'The List'!$B1:$AS727,6,FALSE)," ")</f>
        <v xml:space="preserve"> </v>
      </c>
      <c r="F201" s="76" t="str">
        <f>IFERROR(VLOOKUP($A201,'The List'!$B1:$AS727,8,FALSE)," ")</f>
        <v xml:space="preserve"> </v>
      </c>
      <c r="G201" s="76" t="str">
        <f>IFERROR(VLOOKUP($A201,'The List'!$B1:$AS727,10,FALSE)," ")</f>
        <v xml:space="preserve"> </v>
      </c>
      <c r="H201" s="77"/>
      <c r="I201" s="78" t="str">
        <f>IFERROR(VLOOKUP($A201,'The List'!$B1:$AS727,35,FALSE)," ")</f>
        <v xml:space="preserve"> </v>
      </c>
      <c r="J201" s="78" t="str">
        <f>IFERROR(VLOOKUP($A201,'The List'!$B1:$AS727,36,FALSE)," ")</f>
        <v xml:space="preserve"> </v>
      </c>
      <c r="K201" s="78" t="str">
        <f>IFERROR(VLOOKUP($A201,'The List'!$B1:$AS727,37,FALSE)," ")</f>
        <v xml:space="preserve"> </v>
      </c>
      <c r="L201" s="78" t="str">
        <f>IFERROR(VLOOKUP($A201,'The List'!$B1:$AS727,38,FALSE)," ")</f>
        <v xml:space="preserve"> </v>
      </c>
      <c r="M201" s="78" t="str">
        <f>IFERROR(VLOOKUP($A201,'The List'!$B1:$AS727,39,FALSE)," ")</f>
        <v xml:space="preserve"> </v>
      </c>
      <c r="N201" s="78" t="str">
        <f>IFERROR(VLOOKUP($A201,'The List'!$B1:$AS727,40,FALSE)," ")</f>
        <v xml:space="preserve"> </v>
      </c>
      <c r="O201" s="78" t="str">
        <f>IFERROR(VLOOKUP($A201,'The List'!$B1:$AS727,41,FALSE)," ")</f>
        <v xml:space="preserve"> </v>
      </c>
      <c r="P201" s="78" t="str">
        <f>IFERROR(VLOOKUP($A201,'The List'!$B1:$AS727,42,FALSE)," ")</f>
        <v xml:space="preserve"> </v>
      </c>
      <c r="Q201" s="78" t="str">
        <f>IFERROR(VLOOKUP($A201,'The List'!$B1:$AS727,43,FALSE)," ")</f>
        <v xml:space="preserve"> </v>
      </c>
      <c r="R201" s="55"/>
      <c r="S201" s="55"/>
      <c r="T201" s="55"/>
      <c r="U201" s="165"/>
      <c r="V201" s="165"/>
      <c r="W201" s="165"/>
      <c r="X201" s="165"/>
      <c r="Y201" s="165"/>
      <c r="Z201" s="165"/>
      <c r="AA201" s="55"/>
      <c r="AB201" s="55"/>
      <c r="AC201" s="55"/>
      <c r="AD201" s="55"/>
      <c r="AE201" s="55"/>
      <c r="AF201" s="55"/>
    </row>
    <row r="202" spans="1:32" ht="21.25" customHeight="1" x14ac:dyDescent="0.15">
      <c r="A202" s="79"/>
      <c r="B202" s="80"/>
      <c r="C202" s="81"/>
      <c r="D202" s="82"/>
      <c r="E202" s="117" t="str">
        <f>IFERROR(AVERAGE(E199:E201)," ")</f>
        <v xml:space="preserve"> </v>
      </c>
      <c r="F202" s="84">
        <f>SUM(F199:F201)</f>
        <v>0</v>
      </c>
      <c r="G202" s="84">
        <f>SUM(G199:G201)</f>
        <v>0</v>
      </c>
      <c r="H202" s="85"/>
      <c r="I202" s="86">
        <f t="shared" ref="I202:O202" si="13">SUM(I199:I201)</f>
        <v>0</v>
      </c>
      <c r="J202" s="85">
        <f t="shared" si="13"/>
        <v>0</v>
      </c>
      <c r="K202" s="86">
        <f t="shared" si="13"/>
        <v>0</v>
      </c>
      <c r="L202" s="86">
        <f t="shared" si="13"/>
        <v>0</v>
      </c>
      <c r="M202" s="86">
        <f t="shared" si="13"/>
        <v>0</v>
      </c>
      <c r="N202" s="86">
        <f t="shared" si="13"/>
        <v>0</v>
      </c>
      <c r="O202" s="86">
        <f t="shared" si="13"/>
        <v>0</v>
      </c>
      <c r="P202" s="115" t="e">
        <f>1-(O202/(N202+O202))</f>
        <v>#DIV/0!</v>
      </c>
      <c r="Q202" s="116" t="e">
        <f>O202/I202</f>
        <v>#DIV/0!</v>
      </c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</row>
    <row r="203" spans="1:32" ht="70.75" customHeight="1" x14ac:dyDescent="0.15">
      <c r="A203" s="89"/>
      <c r="B203" s="90"/>
      <c r="C203" s="91"/>
      <c r="D203" s="11"/>
      <c r="E203" s="11"/>
      <c r="F203" s="92"/>
      <c r="G203" s="93"/>
      <c r="H203" s="94"/>
      <c r="I203" s="9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60"/>
      <c r="AB203" s="60"/>
      <c r="AC203" s="60"/>
      <c r="AD203" s="60"/>
      <c r="AE203" s="60"/>
      <c r="AF203" s="60"/>
    </row>
    <row r="204" spans="1:32" ht="21.25" customHeight="1" x14ac:dyDescent="0.15">
      <c r="A204" s="25" t="s">
        <v>841</v>
      </c>
      <c r="B204" s="173" t="s">
        <v>68</v>
      </c>
      <c r="C204" s="170"/>
      <c r="D204" s="26" t="s">
        <v>69</v>
      </c>
      <c r="E204" s="26" t="s">
        <v>70</v>
      </c>
      <c r="F204" s="27" t="s">
        <v>72</v>
      </c>
      <c r="G204" s="27" t="s">
        <v>74</v>
      </c>
      <c r="H204" s="28"/>
      <c r="I204" s="30" t="s">
        <v>79</v>
      </c>
      <c r="J204" s="30" t="s">
        <v>80</v>
      </c>
      <c r="K204" s="30" t="s">
        <v>81</v>
      </c>
      <c r="L204" s="30" t="s">
        <v>82</v>
      </c>
      <c r="M204" s="30" t="s">
        <v>83</v>
      </c>
      <c r="N204" s="30" t="s">
        <v>84</v>
      </c>
      <c r="O204" s="30" t="s">
        <v>85</v>
      </c>
      <c r="P204" s="30" t="s">
        <v>86</v>
      </c>
      <c r="Q204" s="30" t="s">
        <v>87</v>
      </c>
      <c r="R204" s="30" t="s">
        <v>88</v>
      </c>
      <c r="S204" s="30" t="s">
        <v>89</v>
      </c>
      <c r="T204" s="30" t="s">
        <v>90</v>
      </c>
      <c r="U204" s="30" t="s">
        <v>91</v>
      </c>
      <c r="V204" s="30" t="s">
        <v>92</v>
      </c>
      <c r="W204" s="30" t="s">
        <v>93</v>
      </c>
      <c r="X204" s="30" t="s">
        <v>94</v>
      </c>
      <c r="Y204" s="30" t="s">
        <v>95</v>
      </c>
      <c r="Z204" s="30" t="s">
        <v>96</v>
      </c>
      <c r="AA204" s="55"/>
      <c r="AB204" s="56"/>
      <c r="AC204" s="56"/>
      <c r="AD204" s="56"/>
      <c r="AE204" s="56"/>
      <c r="AF204" s="56"/>
    </row>
    <row r="205" spans="1:32" ht="21.25" customHeight="1" x14ac:dyDescent="0.15">
      <c r="A205" s="23"/>
      <c r="B205" s="57" t="str">
        <f>IFERROR(VLOOKUP($A205,'The List'!$B1:$AS727,3,FALSE)," ")</f>
        <v xml:space="preserve"> </v>
      </c>
      <c r="C205" s="61" t="str">
        <f>IFERROR(VLOOKUP($A205,'The List'!$B1:$AS727,4,FALSE)," ")</f>
        <v xml:space="preserve"> </v>
      </c>
      <c r="D205" s="35" t="str">
        <f>IFERROR(VLOOKUP($A205,'The List'!$B1:$AS727,5,FALSE)," ")</f>
        <v xml:space="preserve"> </v>
      </c>
      <c r="E205" s="35" t="str">
        <f>IFERROR(VLOOKUP($A205,'The List'!$B1:$AS727,6,FALSE)," ")</f>
        <v xml:space="preserve"> </v>
      </c>
      <c r="F205" s="52" t="str">
        <f>IFERROR(VLOOKUP($A205,'The List'!$B1:$AS727,8,FALSE)," ")</f>
        <v xml:space="preserve"> </v>
      </c>
      <c r="G205" s="52" t="str">
        <f>IFERROR(VLOOKUP($A205,'The List'!$B1:$AS727,10,FALSE)," ")</f>
        <v xml:space="preserve"> </v>
      </c>
      <c r="H205" s="39"/>
      <c r="I205" s="53" t="str">
        <f>IFERROR(VLOOKUP($A205,'The List'!$B1:$AS727,16,FALSE)," ")</f>
        <v xml:space="preserve"> </v>
      </c>
      <c r="J205" s="53" t="str">
        <f>IFERROR(VLOOKUP($A205,'The List'!$B1:$AS727,17,FALSE)," ")</f>
        <v xml:space="preserve"> </v>
      </c>
      <c r="K205" s="53" t="str">
        <f>IFERROR(VLOOKUP($A205,'The List'!$B1:$AS727,18,FALSE)," ")</f>
        <v xml:space="preserve"> </v>
      </c>
      <c r="L205" s="53" t="str">
        <f>IFERROR(VLOOKUP($A205,'The List'!$B1:$AS727,19,FALSE)," ")</f>
        <v xml:space="preserve"> </v>
      </c>
      <c r="M205" s="53" t="str">
        <f>IFERROR(VLOOKUP($A205,'The List'!$B1:$AS727,20,FALSE)," ")</f>
        <v xml:space="preserve"> </v>
      </c>
      <c r="N205" s="53" t="str">
        <f>IFERROR(VLOOKUP($A205,'The List'!$B1:$AS727,21,FALSE)," ")</f>
        <v xml:space="preserve"> </v>
      </c>
      <c r="O205" s="53" t="str">
        <f>IFERROR(VLOOKUP($A205,'The List'!$B1:$AS727,22,FALSE)," ")</f>
        <v xml:space="preserve"> </v>
      </c>
      <c r="P205" s="53" t="str">
        <f>IFERROR(VLOOKUP($A205,'The List'!$B1:$AS727,23,FALSE)," ")</f>
        <v xml:space="preserve"> </v>
      </c>
      <c r="Q205" s="53" t="str">
        <f>IFERROR(VLOOKUP($A205,'The List'!$B1:$AS727,24,FALSE)," ")</f>
        <v xml:space="preserve"> </v>
      </c>
      <c r="R205" s="53" t="str">
        <f>IFERROR(VLOOKUP($A205,'The List'!$B1:$AS727,25,FALSE)," ")</f>
        <v xml:space="preserve"> </v>
      </c>
      <c r="S205" s="53" t="str">
        <f>IFERROR(VLOOKUP($A205,'The List'!$B1:$AS727,26,FALSE)," ")</f>
        <v xml:space="preserve"> </v>
      </c>
      <c r="T205" s="53" t="str">
        <f>IFERROR(VLOOKUP($A205,'The List'!$B1:$AS727,27,FALSE)," ")</f>
        <v xml:space="preserve"> </v>
      </c>
      <c r="U205" s="53" t="str">
        <f>IFERROR(VLOOKUP($A205,'The List'!$B1:$AS727,28,FALSE)," ")</f>
        <v xml:space="preserve"> </v>
      </c>
      <c r="V205" s="53" t="str">
        <f>IFERROR(VLOOKUP($A205,'The List'!$B1:$AS727,29,FALSE)," ")</f>
        <v xml:space="preserve"> </v>
      </c>
      <c r="W205" s="53" t="str">
        <f>IFERROR(VLOOKUP($A205,'The List'!$B1:$AS727,30,FALSE)," ")</f>
        <v xml:space="preserve"> </v>
      </c>
      <c r="X205" s="53" t="str">
        <f>IFERROR(VLOOKUP($A205,'The List'!$B1:$AS727,31,FALSE)," ")</f>
        <v xml:space="preserve"> </v>
      </c>
      <c r="Y205" s="53" t="str">
        <f>IFERROR(VLOOKUP($A205,'The List'!$B1:$AS727,32,FALSE)," ")</f>
        <v xml:space="preserve"> </v>
      </c>
      <c r="Z205" s="53" t="str">
        <f>IFERROR(VLOOKUP($A205,'The List'!$B1:$AS727,33,FALSE)," ")</f>
        <v xml:space="preserve"> </v>
      </c>
      <c r="AA205" s="55"/>
      <c r="AB205" s="60"/>
      <c r="AC205" s="60"/>
      <c r="AD205" s="60"/>
      <c r="AE205" s="60"/>
      <c r="AF205" s="60"/>
    </row>
    <row r="206" spans="1:32" ht="21.25" customHeight="1" x14ac:dyDescent="0.15">
      <c r="A206" s="23"/>
      <c r="B206" s="57" t="str">
        <f>IFERROR(VLOOKUP($A206,'The List'!$B1:$AS727,3,FALSE)," ")</f>
        <v xml:space="preserve"> </v>
      </c>
      <c r="C206" s="61" t="str">
        <f>IFERROR(VLOOKUP($A206,'The List'!$B1:$AS727,4,FALSE)," ")</f>
        <v xml:space="preserve"> </v>
      </c>
      <c r="D206" s="35" t="str">
        <f>IFERROR(VLOOKUP($A206,'The List'!$B1:$AS727,5,FALSE)," ")</f>
        <v xml:space="preserve"> </v>
      </c>
      <c r="E206" s="35" t="str">
        <f>IFERROR(VLOOKUP($A206,'The List'!$B1:$AS727,6,FALSE)," ")</f>
        <v xml:space="preserve"> </v>
      </c>
      <c r="F206" s="52" t="str">
        <f>IFERROR(VLOOKUP($A206,'The List'!$B1:$AS727,8,FALSE)," ")</f>
        <v xml:space="preserve"> </v>
      </c>
      <c r="G206" s="52" t="str">
        <f>IFERROR(VLOOKUP($A206,'The List'!$B1:$AS727,10,FALSE)," ")</f>
        <v xml:space="preserve"> </v>
      </c>
      <c r="H206" s="39"/>
      <c r="I206" s="53" t="str">
        <f>IFERROR(VLOOKUP($A206,'The List'!$B1:$AS727,16,FALSE)," ")</f>
        <v xml:space="preserve"> </v>
      </c>
      <c r="J206" s="53" t="str">
        <f>IFERROR(VLOOKUP($A206,'The List'!$B1:$AS727,17,FALSE)," ")</f>
        <v xml:space="preserve"> </v>
      </c>
      <c r="K206" s="53" t="str">
        <f>IFERROR(VLOOKUP($A206,'The List'!$B1:$AS727,18,FALSE)," ")</f>
        <v xml:space="preserve"> </v>
      </c>
      <c r="L206" s="53" t="str">
        <f>IFERROR(VLOOKUP($A206,'The List'!$B1:$AS727,19,FALSE)," ")</f>
        <v xml:space="preserve"> </v>
      </c>
      <c r="M206" s="53" t="str">
        <f>IFERROR(VLOOKUP($A206,'The List'!$B1:$AS727,20,FALSE)," ")</f>
        <v xml:space="preserve"> </v>
      </c>
      <c r="N206" s="53" t="str">
        <f>IFERROR(VLOOKUP($A206,'The List'!$B1:$AS727,21,FALSE)," ")</f>
        <v xml:space="preserve"> </v>
      </c>
      <c r="O206" s="53" t="str">
        <f>IFERROR(VLOOKUP($A206,'The List'!$B1:$AS727,22,FALSE)," ")</f>
        <v xml:space="preserve"> </v>
      </c>
      <c r="P206" s="53" t="str">
        <f>IFERROR(VLOOKUP($A206,'The List'!$B1:$AS727,23,FALSE)," ")</f>
        <v xml:space="preserve"> </v>
      </c>
      <c r="Q206" s="53" t="str">
        <f>IFERROR(VLOOKUP($A206,'The List'!$B1:$AS727,24,FALSE)," ")</f>
        <v xml:space="preserve"> </v>
      </c>
      <c r="R206" s="53" t="str">
        <f>IFERROR(VLOOKUP($A206,'The List'!$B1:$AS727,25,FALSE)," ")</f>
        <v xml:space="preserve"> </v>
      </c>
      <c r="S206" s="53" t="str">
        <f>IFERROR(VLOOKUP($A206,'The List'!$B1:$AS727,26,FALSE)," ")</f>
        <v xml:space="preserve"> </v>
      </c>
      <c r="T206" s="53" t="str">
        <f>IFERROR(VLOOKUP($A206,'The List'!$B1:$AS727,27,FALSE)," ")</f>
        <v xml:space="preserve"> </v>
      </c>
      <c r="U206" s="53" t="str">
        <f>IFERROR(VLOOKUP($A206,'The List'!$B1:$AS727,28,FALSE)," ")</f>
        <v xml:space="preserve"> </v>
      </c>
      <c r="V206" s="53" t="str">
        <f>IFERROR(VLOOKUP($A206,'The List'!$B1:$AS727,29,FALSE)," ")</f>
        <v xml:space="preserve"> </v>
      </c>
      <c r="W206" s="53" t="str">
        <f>IFERROR(VLOOKUP($A206,'The List'!$B1:$AS727,30,FALSE)," ")</f>
        <v xml:space="preserve"> </v>
      </c>
      <c r="X206" s="53" t="str">
        <f>IFERROR(VLOOKUP($A206,'The List'!$B1:$AS727,31,FALSE)," ")</f>
        <v xml:space="preserve"> </v>
      </c>
      <c r="Y206" s="53" t="str">
        <f>IFERROR(VLOOKUP($A206,'The List'!$B1:$AS727,32,FALSE)," ")</f>
        <v xml:space="preserve"> </v>
      </c>
      <c r="Z206" s="53" t="str">
        <f>IFERROR(VLOOKUP($A206,'The List'!$B1:$AS727,33,FALSE)," ")</f>
        <v xml:space="preserve"> </v>
      </c>
      <c r="AA206" s="55"/>
      <c r="AB206" s="60"/>
      <c r="AC206" s="60"/>
      <c r="AD206" s="60"/>
      <c r="AE206" s="60"/>
      <c r="AF206" s="60"/>
    </row>
    <row r="207" spans="1:32" ht="21.25" customHeight="1" x14ac:dyDescent="0.15">
      <c r="A207" s="23"/>
      <c r="B207" s="57" t="str">
        <f>IFERROR(VLOOKUP($A207,'The List'!$B1:$AS727,3,FALSE)," ")</f>
        <v xml:space="preserve"> </v>
      </c>
      <c r="C207" s="61" t="str">
        <f>IFERROR(VLOOKUP($A207,'The List'!$B1:$AS727,4,FALSE)," ")</f>
        <v xml:space="preserve"> </v>
      </c>
      <c r="D207" s="35" t="str">
        <f>IFERROR(VLOOKUP($A207,'The List'!$B1:$AS727,5,FALSE)," ")</f>
        <v xml:space="preserve"> </v>
      </c>
      <c r="E207" s="35" t="str">
        <f>IFERROR(VLOOKUP($A207,'The List'!$B1:$AS727,6,FALSE)," ")</f>
        <v xml:space="preserve"> </v>
      </c>
      <c r="F207" s="52" t="str">
        <f>IFERROR(VLOOKUP($A207,'The List'!$B1:$AS727,8,FALSE)," ")</f>
        <v xml:space="preserve"> </v>
      </c>
      <c r="G207" s="52" t="str">
        <f>IFERROR(VLOOKUP($A207,'The List'!$B1:$AS727,10,FALSE)," ")</f>
        <v xml:space="preserve"> </v>
      </c>
      <c r="H207" s="39"/>
      <c r="I207" s="53" t="str">
        <f>IFERROR(VLOOKUP($A207,'The List'!$B1:$AS727,16,FALSE)," ")</f>
        <v xml:space="preserve"> </v>
      </c>
      <c r="J207" s="53" t="str">
        <f>IFERROR(VLOOKUP($A207,'The List'!$B1:$AS727,17,FALSE)," ")</f>
        <v xml:space="preserve"> </v>
      </c>
      <c r="K207" s="53" t="str">
        <f>IFERROR(VLOOKUP($A207,'The List'!$B1:$AS727,18,FALSE)," ")</f>
        <v xml:space="preserve"> </v>
      </c>
      <c r="L207" s="53" t="str">
        <f>IFERROR(VLOOKUP($A207,'The List'!$B1:$AS727,19,FALSE)," ")</f>
        <v xml:space="preserve"> </v>
      </c>
      <c r="M207" s="53" t="str">
        <f>IFERROR(VLOOKUP($A207,'The List'!$B1:$AS727,20,FALSE)," ")</f>
        <v xml:space="preserve"> </v>
      </c>
      <c r="N207" s="53" t="str">
        <f>IFERROR(VLOOKUP($A207,'The List'!$B1:$AS727,21,FALSE)," ")</f>
        <v xml:space="preserve"> </v>
      </c>
      <c r="O207" s="53" t="str">
        <f>IFERROR(VLOOKUP($A207,'The List'!$B1:$AS727,22,FALSE)," ")</f>
        <v xml:space="preserve"> </v>
      </c>
      <c r="P207" s="53" t="str">
        <f>IFERROR(VLOOKUP($A207,'The List'!$B1:$AS727,23,FALSE)," ")</f>
        <v xml:space="preserve"> </v>
      </c>
      <c r="Q207" s="53" t="str">
        <f>IFERROR(VLOOKUP($A207,'The List'!$B1:$AS727,24,FALSE)," ")</f>
        <v xml:space="preserve"> </v>
      </c>
      <c r="R207" s="53" t="str">
        <f>IFERROR(VLOOKUP($A207,'The List'!$B1:$AS727,25,FALSE)," ")</f>
        <v xml:space="preserve"> </v>
      </c>
      <c r="S207" s="53" t="str">
        <f>IFERROR(VLOOKUP($A207,'The List'!$B1:$AS727,26,FALSE)," ")</f>
        <v xml:space="preserve"> </v>
      </c>
      <c r="T207" s="53" t="str">
        <f>IFERROR(VLOOKUP($A207,'The List'!$B1:$AS727,27,FALSE)," ")</f>
        <v xml:space="preserve"> </v>
      </c>
      <c r="U207" s="53" t="str">
        <f>IFERROR(VLOOKUP($A207,'The List'!$B1:$AS727,28,FALSE)," ")</f>
        <v xml:space="preserve"> </v>
      </c>
      <c r="V207" s="53" t="str">
        <f>IFERROR(VLOOKUP($A207,'The List'!$B1:$AS727,29,FALSE)," ")</f>
        <v xml:space="preserve"> </v>
      </c>
      <c r="W207" s="53" t="str">
        <f>IFERROR(VLOOKUP($A207,'The List'!$B1:$AS727,30,FALSE)," ")</f>
        <v xml:space="preserve"> </v>
      </c>
      <c r="X207" s="53" t="str">
        <f>IFERROR(VLOOKUP($A207,'The List'!$B1:$AS727,31,FALSE)," ")</f>
        <v xml:space="preserve"> </v>
      </c>
      <c r="Y207" s="53" t="str">
        <f>IFERROR(VLOOKUP($A207,'The List'!$B1:$AS727,32,FALSE)," ")</f>
        <v xml:space="preserve"> </v>
      </c>
      <c r="Z207" s="53" t="str">
        <f>IFERROR(VLOOKUP($A207,'The List'!$B1:$AS727,33,FALSE)," ")</f>
        <v xml:space="preserve"> </v>
      </c>
      <c r="AA207" s="55"/>
      <c r="AB207" s="60"/>
      <c r="AC207" s="60"/>
      <c r="AD207" s="60"/>
      <c r="AE207" s="60"/>
      <c r="AF207" s="60"/>
    </row>
    <row r="208" spans="1:32" ht="21.25" customHeight="1" x14ac:dyDescent="0.15">
      <c r="A208" s="23"/>
      <c r="B208" s="57" t="str">
        <f>IFERROR(VLOOKUP($A208,'The List'!$B1:$AS727,3,FALSE)," ")</f>
        <v xml:space="preserve"> </v>
      </c>
      <c r="C208" s="61" t="str">
        <f>IFERROR(VLOOKUP($A208,'The List'!$B1:$AS727,4,FALSE)," ")</f>
        <v xml:space="preserve"> </v>
      </c>
      <c r="D208" s="35" t="str">
        <f>IFERROR(VLOOKUP($A208,'The List'!$B1:$AS727,5,FALSE)," ")</f>
        <v xml:space="preserve"> </v>
      </c>
      <c r="E208" s="35" t="str">
        <f>IFERROR(VLOOKUP($A208,'The List'!$B1:$AS727,6,FALSE)," ")</f>
        <v xml:space="preserve"> </v>
      </c>
      <c r="F208" s="52" t="str">
        <f>IFERROR(VLOOKUP($A208,'The List'!$B1:$AS727,8,FALSE)," ")</f>
        <v xml:space="preserve"> </v>
      </c>
      <c r="G208" s="52" t="str">
        <f>IFERROR(VLOOKUP($A208,'The List'!$B1:$AS727,10,FALSE)," ")</f>
        <v xml:space="preserve"> </v>
      </c>
      <c r="H208" s="39"/>
      <c r="I208" s="53" t="str">
        <f>IFERROR(VLOOKUP($A208,'The List'!$B1:$AS727,16,FALSE)," ")</f>
        <v xml:space="preserve"> </v>
      </c>
      <c r="J208" s="53" t="str">
        <f>IFERROR(VLOOKUP($A208,'The List'!$B1:$AS727,17,FALSE)," ")</f>
        <v xml:space="preserve"> </v>
      </c>
      <c r="K208" s="53" t="str">
        <f>IFERROR(VLOOKUP($A208,'The List'!$B1:$AS727,18,FALSE)," ")</f>
        <v xml:space="preserve"> </v>
      </c>
      <c r="L208" s="53" t="str">
        <f>IFERROR(VLOOKUP($A208,'The List'!$B1:$AS727,19,FALSE)," ")</f>
        <v xml:space="preserve"> </v>
      </c>
      <c r="M208" s="53" t="str">
        <f>IFERROR(VLOOKUP($A208,'The List'!$B1:$AS727,20,FALSE)," ")</f>
        <v xml:space="preserve"> </v>
      </c>
      <c r="N208" s="53" t="str">
        <f>IFERROR(VLOOKUP($A208,'The List'!$B1:$AS727,21,FALSE)," ")</f>
        <v xml:space="preserve"> </v>
      </c>
      <c r="O208" s="53" t="str">
        <f>IFERROR(VLOOKUP($A208,'The List'!$B1:$AS727,22,FALSE)," ")</f>
        <v xml:space="preserve"> </v>
      </c>
      <c r="P208" s="53" t="str">
        <f>IFERROR(VLOOKUP($A208,'The List'!$B1:$AS727,23,FALSE)," ")</f>
        <v xml:space="preserve"> </v>
      </c>
      <c r="Q208" s="53" t="str">
        <f>IFERROR(VLOOKUP($A208,'The List'!$B1:$AS727,24,FALSE)," ")</f>
        <v xml:space="preserve"> </v>
      </c>
      <c r="R208" s="53" t="str">
        <f>IFERROR(VLOOKUP($A208,'The List'!$B1:$AS727,25,FALSE)," ")</f>
        <v xml:space="preserve"> </v>
      </c>
      <c r="S208" s="53" t="str">
        <f>IFERROR(VLOOKUP($A208,'The List'!$B1:$AS727,26,FALSE)," ")</f>
        <v xml:space="preserve"> </v>
      </c>
      <c r="T208" s="53" t="str">
        <f>IFERROR(VLOOKUP($A208,'The List'!$B1:$AS727,27,FALSE)," ")</f>
        <v xml:space="preserve"> </v>
      </c>
      <c r="U208" s="53" t="str">
        <f>IFERROR(VLOOKUP($A208,'The List'!$B1:$AS727,28,FALSE)," ")</f>
        <v xml:space="preserve"> </v>
      </c>
      <c r="V208" s="53" t="str">
        <f>IFERROR(VLOOKUP($A208,'The List'!$B1:$AS727,29,FALSE)," ")</f>
        <v xml:space="preserve"> </v>
      </c>
      <c r="W208" s="53" t="str">
        <f>IFERROR(VLOOKUP($A208,'The List'!$B1:$AS727,30,FALSE)," ")</f>
        <v xml:space="preserve"> </v>
      </c>
      <c r="X208" s="53" t="str">
        <f>IFERROR(VLOOKUP($A208,'The List'!$B1:$AS727,31,FALSE)," ")</f>
        <v xml:space="preserve"> </v>
      </c>
      <c r="Y208" s="53" t="str">
        <f>IFERROR(VLOOKUP($A208,'The List'!$B1:$AS727,32,FALSE)," ")</f>
        <v xml:space="preserve"> </v>
      </c>
      <c r="Z208" s="53" t="str">
        <f>IFERROR(VLOOKUP($A208,'The List'!$B1:$AS727,33,FALSE)," ")</f>
        <v xml:space="preserve"> </v>
      </c>
      <c r="AA208" s="55"/>
      <c r="AB208" s="60"/>
      <c r="AC208" s="60"/>
      <c r="AD208" s="60"/>
      <c r="AE208" s="60"/>
      <c r="AF208" s="60"/>
    </row>
    <row r="209" spans="1:32" ht="21.25" customHeight="1" x14ac:dyDescent="0.15">
      <c r="A209" s="23"/>
      <c r="B209" s="62" t="str">
        <f>IFERROR(VLOOKUP($A209,'The List'!$B1:$AS727,3,FALSE)," ")</f>
        <v xml:space="preserve"> </v>
      </c>
      <c r="C209" s="64" t="str">
        <f>IFERROR(VLOOKUP($A209,'The List'!$B1:$AS727,4,FALSE)," ")</f>
        <v xml:space="preserve"> </v>
      </c>
      <c r="D209" s="35" t="str">
        <f>IFERROR(VLOOKUP($A209,'The List'!$B1:$AS727,5,FALSE)," ")</f>
        <v xml:space="preserve"> </v>
      </c>
      <c r="E209" s="35" t="str">
        <f>IFERROR(VLOOKUP($A209,'The List'!$B1:$AS727,6,FALSE)," ")</f>
        <v xml:space="preserve"> </v>
      </c>
      <c r="F209" s="52" t="str">
        <f>IFERROR(VLOOKUP($A209,'The List'!$B1:$AS727,8,FALSE)," ")</f>
        <v xml:space="preserve"> </v>
      </c>
      <c r="G209" s="52" t="str">
        <f>IFERROR(VLOOKUP($A209,'The List'!$B1:$AS727,10,FALSE)," ")</f>
        <v xml:space="preserve"> </v>
      </c>
      <c r="H209" s="39"/>
      <c r="I209" s="53" t="str">
        <f>IFERROR(VLOOKUP($A209,'The List'!$B1:$AS727,16,FALSE)," ")</f>
        <v xml:space="preserve"> </v>
      </c>
      <c r="J209" s="53" t="str">
        <f>IFERROR(VLOOKUP($A209,'The List'!$B1:$AS727,17,FALSE)," ")</f>
        <v xml:space="preserve"> </v>
      </c>
      <c r="K209" s="53" t="str">
        <f>IFERROR(VLOOKUP($A209,'The List'!$B1:$AS727,18,FALSE)," ")</f>
        <v xml:space="preserve"> </v>
      </c>
      <c r="L209" s="53" t="str">
        <f>IFERROR(VLOOKUP($A209,'The List'!$B1:$AS727,19,FALSE)," ")</f>
        <v xml:space="preserve"> </v>
      </c>
      <c r="M209" s="53" t="str">
        <f>IFERROR(VLOOKUP($A209,'The List'!$B1:$AS727,20,FALSE)," ")</f>
        <v xml:space="preserve"> </v>
      </c>
      <c r="N209" s="53" t="str">
        <f>IFERROR(VLOOKUP($A209,'The List'!$B1:$AS727,21,FALSE)," ")</f>
        <v xml:space="preserve"> </v>
      </c>
      <c r="O209" s="53" t="str">
        <f>IFERROR(VLOOKUP($A209,'The List'!$B1:$AS727,22,FALSE)," ")</f>
        <v xml:space="preserve"> </v>
      </c>
      <c r="P209" s="53" t="str">
        <f>IFERROR(VLOOKUP($A209,'The List'!$B1:$AS727,23,FALSE)," ")</f>
        <v xml:space="preserve"> </v>
      </c>
      <c r="Q209" s="53" t="str">
        <f>IFERROR(VLOOKUP($A209,'The List'!$B1:$AS727,24,FALSE)," ")</f>
        <v xml:space="preserve"> </v>
      </c>
      <c r="R209" s="53" t="str">
        <f>IFERROR(VLOOKUP($A209,'The List'!$B1:$AS727,25,FALSE)," ")</f>
        <v xml:space="preserve"> </v>
      </c>
      <c r="S209" s="53" t="str">
        <f>IFERROR(VLOOKUP($A209,'The List'!$B1:$AS727,26,FALSE)," ")</f>
        <v xml:space="preserve"> </v>
      </c>
      <c r="T209" s="53" t="str">
        <f>IFERROR(VLOOKUP($A209,'The List'!$B1:$AS727,27,FALSE)," ")</f>
        <v xml:space="preserve"> </v>
      </c>
      <c r="U209" s="53" t="str">
        <f>IFERROR(VLOOKUP($A209,'The List'!$B1:$AS727,28,FALSE)," ")</f>
        <v xml:space="preserve"> </v>
      </c>
      <c r="V209" s="53" t="str">
        <f>IFERROR(VLOOKUP($A209,'The List'!$B1:$AS727,29,FALSE)," ")</f>
        <v xml:space="preserve"> </v>
      </c>
      <c r="W209" s="53" t="str">
        <f>IFERROR(VLOOKUP($A209,'The List'!$B1:$AS727,30,FALSE)," ")</f>
        <v xml:space="preserve"> </v>
      </c>
      <c r="X209" s="53" t="str">
        <f>IFERROR(VLOOKUP($A209,'The List'!$B1:$AS727,31,FALSE)," ")</f>
        <v xml:space="preserve"> </v>
      </c>
      <c r="Y209" s="53" t="str">
        <f>IFERROR(VLOOKUP($A209,'The List'!$B1:$AS727,32,FALSE)," ")</f>
        <v xml:space="preserve"> </v>
      </c>
      <c r="Z209" s="53" t="str">
        <f>IFERROR(VLOOKUP($A209,'The List'!$B1:$AS727,33,FALSE)," ")</f>
        <v xml:space="preserve"> </v>
      </c>
      <c r="AA209" s="55"/>
      <c r="AB209" s="60"/>
      <c r="AC209" s="60"/>
      <c r="AD209" s="60"/>
      <c r="AE209" s="60"/>
      <c r="AF209" s="60"/>
    </row>
    <row r="210" spans="1:32" ht="21.25" customHeight="1" x14ac:dyDescent="0.15">
      <c r="A210" s="23"/>
      <c r="B210" s="62" t="str">
        <f>IFERROR(VLOOKUP($A210,'The List'!$B1:$AS727,3,FALSE)," ")</f>
        <v xml:space="preserve"> </v>
      </c>
      <c r="C210" s="64" t="str">
        <f>IFERROR(VLOOKUP($A210,'The List'!$B1:$AS727,4,FALSE)," ")</f>
        <v xml:space="preserve"> </v>
      </c>
      <c r="D210" s="35" t="str">
        <f>IFERROR(VLOOKUP($A210,'The List'!$B1:$AS727,5,FALSE)," ")</f>
        <v xml:space="preserve"> </v>
      </c>
      <c r="E210" s="35" t="str">
        <f>IFERROR(VLOOKUP($A210,'The List'!$B1:$AS727,6,FALSE)," ")</f>
        <v xml:space="preserve"> </v>
      </c>
      <c r="F210" s="52" t="str">
        <f>IFERROR(VLOOKUP($A210,'The List'!$B1:$AS727,8,FALSE)," ")</f>
        <v xml:space="preserve"> </v>
      </c>
      <c r="G210" s="52" t="str">
        <f>IFERROR(VLOOKUP($A210,'The List'!$B1:$AS727,10,FALSE)," ")</f>
        <v xml:space="preserve"> </v>
      </c>
      <c r="H210" s="39"/>
      <c r="I210" s="53" t="str">
        <f>IFERROR(VLOOKUP($A210,'The List'!$B1:$AS727,16,FALSE)," ")</f>
        <v xml:space="preserve"> </v>
      </c>
      <c r="J210" s="53" t="str">
        <f>IFERROR(VLOOKUP($A210,'The List'!$B1:$AS727,17,FALSE)," ")</f>
        <v xml:space="preserve"> </v>
      </c>
      <c r="K210" s="53" t="str">
        <f>IFERROR(VLOOKUP($A210,'The List'!$B1:$AS727,18,FALSE)," ")</f>
        <v xml:space="preserve"> </v>
      </c>
      <c r="L210" s="53" t="str">
        <f>IFERROR(VLOOKUP($A210,'The List'!$B1:$AS727,19,FALSE)," ")</f>
        <v xml:space="preserve"> </v>
      </c>
      <c r="M210" s="53" t="str">
        <f>IFERROR(VLOOKUP($A210,'The List'!$B1:$AS727,20,FALSE)," ")</f>
        <v xml:space="preserve"> </v>
      </c>
      <c r="N210" s="53" t="str">
        <f>IFERROR(VLOOKUP($A210,'The List'!$B1:$AS727,21,FALSE)," ")</f>
        <v xml:space="preserve"> </v>
      </c>
      <c r="O210" s="53" t="str">
        <f>IFERROR(VLOOKUP($A210,'The List'!$B1:$AS727,22,FALSE)," ")</f>
        <v xml:space="preserve"> </v>
      </c>
      <c r="P210" s="53" t="str">
        <f>IFERROR(VLOOKUP($A210,'The List'!$B1:$AS727,23,FALSE)," ")</f>
        <v xml:space="preserve"> </v>
      </c>
      <c r="Q210" s="53" t="str">
        <f>IFERROR(VLOOKUP($A210,'The List'!$B1:$AS727,24,FALSE)," ")</f>
        <v xml:space="preserve"> </v>
      </c>
      <c r="R210" s="53" t="str">
        <f>IFERROR(VLOOKUP($A210,'The List'!$B1:$AS727,25,FALSE)," ")</f>
        <v xml:space="preserve"> </v>
      </c>
      <c r="S210" s="53" t="str">
        <f>IFERROR(VLOOKUP($A210,'The List'!$B1:$AS727,26,FALSE)," ")</f>
        <v xml:space="preserve"> </v>
      </c>
      <c r="T210" s="53" t="str">
        <f>IFERROR(VLOOKUP($A210,'The List'!$B1:$AS727,27,FALSE)," ")</f>
        <v xml:space="preserve"> </v>
      </c>
      <c r="U210" s="53" t="str">
        <f>IFERROR(VLOOKUP($A210,'The List'!$B1:$AS727,28,FALSE)," ")</f>
        <v xml:space="preserve"> </v>
      </c>
      <c r="V210" s="53" t="str">
        <f>IFERROR(VLOOKUP($A210,'The List'!$B1:$AS727,29,FALSE)," ")</f>
        <v xml:space="preserve"> </v>
      </c>
      <c r="W210" s="53" t="str">
        <f>IFERROR(VLOOKUP($A210,'The List'!$B1:$AS727,30,FALSE)," ")</f>
        <v xml:space="preserve"> </v>
      </c>
      <c r="X210" s="53" t="str">
        <f>IFERROR(VLOOKUP($A210,'The List'!$B1:$AS727,31,FALSE)," ")</f>
        <v xml:space="preserve"> </v>
      </c>
      <c r="Y210" s="53" t="str">
        <f>IFERROR(VLOOKUP($A210,'The List'!$B1:$AS727,32,FALSE)," ")</f>
        <v xml:space="preserve"> </v>
      </c>
      <c r="Z210" s="53" t="str">
        <f>IFERROR(VLOOKUP($A210,'The List'!$B1:$AS727,33,FALSE)," ")</f>
        <v xml:space="preserve"> </v>
      </c>
      <c r="AA210" s="55"/>
      <c r="AB210" s="60"/>
      <c r="AC210" s="60"/>
      <c r="AD210" s="60"/>
      <c r="AE210" s="60"/>
      <c r="AF210" s="60"/>
    </row>
    <row r="211" spans="1:32" ht="21.25" customHeight="1" x14ac:dyDescent="0.15">
      <c r="A211" s="23"/>
      <c r="B211" s="62" t="str">
        <f>IFERROR(VLOOKUP($A211,'The List'!$B1:$AS727,3,FALSE)," ")</f>
        <v xml:space="preserve"> </v>
      </c>
      <c r="C211" s="64" t="str">
        <f>IFERROR(VLOOKUP($A211,'The List'!$B1:$AS727,4,FALSE)," ")</f>
        <v xml:space="preserve"> </v>
      </c>
      <c r="D211" s="35" t="str">
        <f>IFERROR(VLOOKUP($A211,'The List'!$B1:$AS727,5,FALSE)," ")</f>
        <v xml:space="preserve"> </v>
      </c>
      <c r="E211" s="35" t="str">
        <f>IFERROR(VLOOKUP($A211,'The List'!$B1:$AS727,6,FALSE)," ")</f>
        <v xml:space="preserve"> </v>
      </c>
      <c r="F211" s="52" t="str">
        <f>IFERROR(VLOOKUP($A211,'The List'!$B1:$AS727,8,FALSE)," ")</f>
        <v xml:space="preserve"> </v>
      </c>
      <c r="G211" s="52" t="str">
        <f>IFERROR(VLOOKUP($A211,'The List'!$B1:$AS727,10,FALSE)," ")</f>
        <v xml:space="preserve"> </v>
      </c>
      <c r="H211" s="39"/>
      <c r="I211" s="53" t="str">
        <f>IFERROR(VLOOKUP($A211,'The List'!$B1:$AS727,16,FALSE)," ")</f>
        <v xml:space="preserve"> </v>
      </c>
      <c r="J211" s="53" t="str">
        <f>IFERROR(VLOOKUP($A211,'The List'!$B1:$AS727,17,FALSE)," ")</f>
        <v xml:space="preserve"> </v>
      </c>
      <c r="K211" s="53" t="str">
        <f>IFERROR(VLOOKUP($A211,'The List'!$B1:$AS727,18,FALSE)," ")</f>
        <v xml:space="preserve"> </v>
      </c>
      <c r="L211" s="53" t="str">
        <f>IFERROR(VLOOKUP($A211,'The List'!$B1:$AS727,19,FALSE)," ")</f>
        <v xml:space="preserve"> </v>
      </c>
      <c r="M211" s="53" t="str">
        <f>IFERROR(VLOOKUP($A211,'The List'!$B1:$AS727,20,FALSE)," ")</f>
        <v xml:space="preserve"> </v>
      </c>
      <c r="N211" s="53" t="str">
        <f>IFERROR(VLOOKUP($A211,'The List'!$B1:$AS727,21,FALSE)," ")</f>
        <v xml:space="preserve"> </v>
      </c>
      <c r="O211" s="53" t="str">
        <f>IFERROR(VLOOKUP($A211,'The List'!$B1:$AS727,22,FALSE)," ")</f>
        <v xml:space="preserve"> </v>
      </c>
      <c r="P211" s="53" t="str">
        <f>IFERROR(VLOOKUP($A211,'The List'!$B1:$AS727,23,FALSE)," ")</f>
        <v xml:space="preserve"> </v>
      </c>
      <c r="Q211" s="53" t="str">
        <f>IFERROR(VLOOKUP($A211,'The List'!$B1:$AS727,24,FALSE)," ")</f>
        <v xml:space="preserve"> </v>
      </c>
      <c r="R211" s="53" t="str">
        <f>IFERROR(VLOOKUP($A211,'The List'!$B1:$AS727,25,FALSE)," ")</f>
        <v xml:space="preserve"> </v>
      </c>
      <c r="S211" s="53" t="str">
        <f>IFERROR(VLOOKUP($A211,'The List'!$B1:$AS727,26,FALSE)," ")</f>
        <v xml:space="preserve"> </v>
      </c>
      <c r="T211" s="53" t="str">
        <f>IFERROR(VLOOKUP($A211,'The List'!$B1:$AS727,27,FALSE)," ")</f>
        <v xml:space="preserve"> </v>
      </c>
      <c r="U211" s="53" t="str">
        <f>IFERROR(VLOOKUP($A211,'The List'!$B1:$AS727,28,FALSE)," ")</f>
        <v xml:space="preserve"> </v>
      </c>
      <c r="V211" s="53" t="str">
        <f>IFERROR(VLOOKUP($A211,'The List'!$B1:$AS727,29,FALSE)," ")</f>
        <v xml:space="preserve"> </v>
      </c>
      <c r="W211" s="53" t="str">
        <f>IFERROR(VLOOKUP($A211,'The List'!$B1:$AS727,30,FALSE)," ")</f>
        <v xml:space="preserve"> </v>
      </c>
      <c r="X211" s="53" t="str">
        <f>IFERROR(VLOOKUP($A211,'The List'!$B1:$AS727,31,FALSE)," ")</f>
        <v xml:space="preserve"> </v>
      </c>
      <c r="Y211" s="53" t="str">
        <f>IFERROR(VLOOKUP($A211,'The List'!$B1:$AS727,32,FALSE)," ")</f>
        <v xml:space="preserve"> </v>
      </c>
      <c r="Z211" s="53" t="str">
        <f>IFERROR(VLOOKUP($A211,'The List'!$B1:$AS727,33,FALSE)," ")</f>
        <v xml:space="preserve"> </v>
      </c>
      <c r="AA211" s="55"/>
      <c r="AB211" s="60"/>
      <c r="AC211" s="60"/>
      <c r="AD211" s="60"/>
      <c r="AE211" s="60"/>
      <c r="AF211" s="60"/>
    </row>
    <row r="212" spans="1:32" ht="21.25" customHeight="1" x14ac:dyDescent="0.15">
      <c r="A212" s="23"/>
      <c r="B212" s="62" t="str">
        <f>IFERROR(VLOOKUP($A212,'The List'!$B1:$AS727,3,FALSE)," ")</f>
        <v xml:space="preserve"> </v>
      </c>
      <c r="C212" s="64" t="str">
        <f>IFERROR(VLOOKUP($A212,'The List'!$B1:$AS727,4,FALSE)," ")</f>
        <v xml:space="preserve"> </v>
      </c>
      <c r="D212" s="35" t="str">
        <f>IFERROR(VLOOKUP($A212,'The List'!$B1:$AS727,5,FALSE)," ")</f>
        <v xml:space="preserve"> </v>
      </c>
      <c r="E212" s="35" t="str">
        <f>IFERROR(VLOOKUP($A212,'The List'!$B1:$AS727,6,FALSE)," ")</f>
        <v xml:space="preserve"> </v>
      </c>
      <c r="F212" s="52" t="str">
        <f>IFERROR(VLOOKUP($A212,'The List'!$B1:$AS727,8,FALSE)," ")</f>
        <v xml:space="preserve"> </v>
      </c>
      <c r="G212" s="52" t="str">
        <f>IFERROR(VLOOKUP($A212,'The List'!$B1:$AS727,10,FALSE)," ")</f>
        <v xml:space="preserve"> </v>
      </c>
      <c r="H212" s="39"/>
      <c r="I212" s="53" t="str">
        <f>IFERROR(VLOOKUP($A212,'The List'!$B1:$AS727,16,FALSE)," ")</f>
        <v xml:space="preserve"> </v>
      </c>
      <c r="J212" s="53" t="str">
        <f>IFERROR(VLOOKUP($A212,'The List'!$B1:$AS727,17,FALSE)," ")</f>
        <v xml:space="preserve"> </v>
      </c>
      <c r="K212" s="53" t="str">
        <f>IFERROR(VLOOKUP($A212,'The List'!$B1:$AS727,18,FALSE)," ")</f>
        <v xml:space="preserve"> </v>
      </c>
      <c r="L212" s="53" t="str">
        <f>IFERROR(VLOOKUP($A212,'The List'!$B1:$AS727,19,FALSE)," ")</f>
        <v xml:space="preserve"> </v>
      </c>
      <c r="M212" s="53" t="str">
        <f>IFERROR(VLOOKUP($A212,'The List'!$B1:$AS727,20,FALSE)," ")</f>
        <v xml:space="preserve"> </v>
      </c>
      <c r="N212" s="53" t="str">
        <f>IFERROR(VLOOKUP($A212,'The List'!$B1:$AS727,21,FALSE)," ")</f>
        <v xml:space="preserve"> </v>
      </c>
      <c r="O212" s="53" t="str">
        <f>IFERROR(VLOOKUP($A212,'The List'!$B1:$AS727,22,FALSE)," ")</f>
        <v xml:space="preserve"> </v>
      </c>
      <c r="P212" s="53" t="str">
        <f>IFERROR(VLOOKUP($A212,'The List'!$B1:$AS727,23,FALSE)," ")</f>
        <v xml:space="preserve"> </v>
      </c>
      <c r="Q212" s="53" t="str">
        <f>IFERROR(VLOOKUP($A212,'The List'!$B1:$AS727,24,FALSE)," ")</f>
        <v xml:space="preserve"> </v>
      </c>
      <c r="R212" s="53" t="str">
        <f>IFERROR(VLOOKUP($A212,'The List'!$B1:$AS727,25,FALSE)," ")</f>
        <v xml:space="preserve"> </v>
      </c>
      <c r="S212" s="53" t="str">
        <f>IFERROR(VLOOKUP($A212,'The List'!$B1:$AS727,26,FALSE)," ")</f>
        <v xml:space="preserve"> </v>
      </c>
      <c r="T212" s="53" t="str">
        <f>IFERROR(VLOOKUP($A212,'The List'!$B1:$AS727,27,FALSE)," ")</f>
        <v xml:space="preserve"> </v>
      </c>
      <c r="U212" s="53" t="str">
        <f>IFERROR(VLOOKUP($A212,'The List'!$B1:$AS727,28,FALSE)," ")</f>
        <v xml:space="preserve"> </v>
      </c>
      <c r="V212" s="53" t="str">
        <f>IFERROR(VLOOKUP($A212,'The List'!$B1:$AS727,29,FALSE)," ")</f>
        <v xml:space="preserve"> </v>
      </c>
      <c r="W212" s="53" t="str">
        <f>IFERROR(VLOOKUP($A212,'The List'!$B1:$AS727,30,FALSE)," ")</f>
        <v xml:space="preserve"> </v>
      </c>
      <c r="X212" s="53" t="str">
        <f>IFERROR(VLOOKUP($A212,'The List'!$B1:$AS727,31,FALSE)," ")</f>
        <v xml:space="preserve"> </v>
      </c>
      <c r="Y212" s="53" t="str">
        <f>IFERROR(VLOOKUP($A212,'The List'!$B1:$AS727,32,FALSE)," ")</f>
        <v xml:space="preserve"> </v>
      </c>
      <c r="Z212" s="53" t="str">
        <f>IFERROR(VLOOKUP($A212,'The List'!$B1:$AS727,33,FALSE)," ")</f>
        <v xml:space="preserve"> </v>
      </c>
      <c r="AA212" s="55"/>
      <c r="AB212" s="60"/>
      <c r="AC212" s="60"/>
      <c r="AD212" s="60"/>
      <c r="AE212" s="60"/>
      <c r="AF212" s="60"/>
    </row>
    <row r="213" spans="1:32" ht="21.25" customHeight="1" x14ac:dyDescent="0.15">
      <c r="A213" s="23"/>
      <c r="B213" s="65" t="str">
        <f>IFERROR(VLOOKUP($A213,'The List'!$B1:$AS727,3,FALSE)," ")</f>
        <v xml:space="preserve"> </v>
      </c>
      <c r="C213" s="67" t="str">
        <f>IFERROR(VLOOKUP($A213,'The List'!$B1:$AS727,4,FALSE)," ")</f>
        <v xml:space="preserve"> </v>
      </c>
      <c r="D213" s="35" t="str">
        <f>IFERROR(VLOOKUP($A213,'The List'!$B1:$AS727,5,FALSE)," ")</f>
        <v xml:space="preserve"> </v>
      </c>
      <c r="E213" s="35" t="str">
        <f>IFERROR(VLOOKUP($A213,'The List'!$B1:$AS727,6,FALSE)," ")</f>
        <v xml:space="preserve"> </v>
      </c>
      <c r="F213" s="52" t="str">
        <f>IFERROR(VLOOKUP($A213,'The List'!$B1:$AS727,8,FALSE)," ")</f>
        <v xml:space="preserve"> </v>
      </c>
      <c r="G213" s="52" t="str">
        <f>IFERROR(VLOOKUP($A213,'The List'!$B1:$AS727,10,FALSE)," ")</f>
        <v xml:space="preserve"> </v>
      </c>
      <c r="H213" s="39"/>
      <c r="I213" s="53" t="str">
        <f>IFERROR(VLOOKUP($A213,'The List'!$B1:$AS727,16,FALSE)," ")</f>
        <v xml:space="preserve"> </v>
      </c>
      <c r="J213" s="53" t="str">
        <f>IFERROR(VLOOKUP($A213,'The List'!$B1:$AS727,17,FALSE)," ")</f>
        <v xml:space="preserve"> </v>
      </c>
      <c r="K213" s="53" t="str">
        <f>IFERROR(VLOOKUP($A213,'The List'!$B1:$AS727,18,FALSE)," ")</f>
        <v xml:space="preserve"> </v>
      </c>
      <c r="L213" s="53" t="str">
        <f>IFERROR(VLOOKUP($A213,'The List'!$B1:$AS727,19,FALSE)," ")</f>
        <v xml:space="preserve"> </v>
      </c>
      <c r="M213" s="53" t="str">
        <f>IFERROR(VLOOKUP($A213,'The List'!$B1:$AS727,20,FALSE)," ")</f>
        <v xml:space="preserve"> </v>
      </c>
      <c r="N213" s="53" t="str">
        <f>IFERROR(VLOOKUP($A213,'The List'!$B1:$AS727,21,FALSE)," ")</f>
        <v xml:space="preserve"> </v>
      </c>
      <c r="O213" s="53" t="str">
        <f>IFERROR(VLOOKUP($A213,'The List'!$B1:$AS727,22,FALSE)," ")</f>
        <v xml:space="preserve"> </v>
      </c>
      <c r="P213" s="53" t="str">
        <f>IFERROR(VLOOKUP($A213,'The List'!$B1:$AS727,23,FALSE)," ")</f>
        <v xml:space="preserve"> </v>
      </c>
      <c r="Q213" s="53" t="str">
        <f>IFERROR(VLOOKUP($A213,'The List'!$B1:$AS727,24,FALSE)," ")</f>
        <v xml:space="preserve"> </v>
      </c>
      <c r="R213" s="53" t="str">
        <f>IFERROR(VLOOKUP($A213,'The List'!$B1:$AS727,25,FALSE)," ")</f>
        <v xml:space="preserve"> </v>
      </c>
      <c r="S213" s="53" t="str">
        <f>IFERROR(VLOOKUP($A213,'The List'!$B1:$AS727,26,FALSE)," ")</f>
        <v xml:space="preserve"> </v>
      </c>
      <c r="T213" s="53" t="str">
        <f>IFERROR(VLOOKUP($A213,'The List'!$B1:$AS727,27,FALSE)," ")</f>
        <v xml:space="preserve"> </v>
      </c>
      <c r="U213" s="53" t="str">
        <f>IFERROR(VLOOKUP($A213,'The List'!$B1:$AS727,28,FALSE)," ")</f>
        <v xml:space="preserve"> </v>
      </c>
      <c r="V213" s="53" t="str">
        <f>IFERROR(VLOOKUP($A213,'The List'!$B1:$AS727,29,FALSE)," ")</f>
        <v xml:space="preserve"> </v>
      </c>
      <c r="W213" s="53" t="str">
        <f>IFERROR(VLOOKUP($A213,'The List'!$B1:$AS727,30,FALSE)," ")</f>
        <v xml:space="preserve"> </v>
      </c>
      <c r="X213" s="53" t="str">
        <f>IFERROR(VLOOKUP($A213,'The List'!$B1:$AS727,31,FALSE)," ")</f>
        <v xml:space="preserve"> </v>
      </c>
      <c r="Y213" s="53" t="str">
        <f>IFERROR(VLOOKUP($A213,'The List'!$B1:$AS727,32,FALSE)," ")</f>
        <v xml:space="preserve"> </v>
      </c>
      <c r="Z213" s="53" t="str">
        <f>IFERROR(VLOOKUP($A213,'The List'!$B1:$AS727,33,FALSE)," ")</f>
        <v xml:space="preserve"> </v>
      </c>
      <c r="AA213" s="55"/>
      <c r="AB213" s="60"/>
      <c r="AC213" s="60"/>
      <c r="AD213" s="60"/>
      <c r="AE213" s="60"/>
      <c r="AF213" s="60"/>
    </row>
    <row r="214" spans="1:32" ht="21.25" customHeight="1" x14ac:dyDescent="0.15">
      <c r="A214" s="23"/>
      <c r="B214" s="65" t="str">
        <f>IFERROR(VLOOKUP($A214,'The List'!$B1:$AS727,3,FALSE)," ")</f>
        <v xml:space="preserve"> </v>
      </c>
      <c r="C214" s="67" t="str">
        <f>IFERROR(VLOOKUP($A214,'The List'!$B1:$AS727,4,FALSE)," ")</f>
        <v xml:space="preserve"> </v>
      </c>
      <c r="D214" s="35" t="str">
        <f>IFERROR(VLOOKUP($A214,'The List'!$B1:$AS727,5,FALSE)," ")</f>
        <v xml:space="preserve"> </v>
      </c>
      <c r="E214" s="35" t="str">
        <f>IFERROR(VLOOKUP($A214,'The List'!$B1:$AS727,6,FALSE)," ")</f>
        <v xml:space="preserve"> </v>
      </c>
      <c r="F214" s="52" t="str">
        <f>IFERROR(VLOOKUP($A214,'The List'!$B1:$AS727,8,FALSE)," ")</f>
        <v xml:space="preserve"> </v>
      </c>
      <c r="G214" s="52" t="str">
        <f>IFERROR(VLOOKUP($A214,'The List'!$B1:$AS727,10,FALSE)," ")</f>
        <v xml:space="preserve"> </v>
      </c>
      <c r="H214" s="39"/>
      <c r="I214" s="53" t="str">
        <f>IFERROR(VLOOKUP($A214,'The List'!$B1:$AS727,16,FALSE)," ")</f>
        <v xml:space="preserve"> </v>
      </c>
      <c r="J214" s="53" t="str">
        <f>IFERROR(VLOOKUP($A214,'The List'!$B1:$AS727,17,FALSE)," ")</f>
        <v xml:space="preserve"> </v>
      </c>
      <c r="K214" s="53" t="str">
        <f>IFERROR(VLOOKUP($A214,'The List'!$B1:$AS727,18,FALSE)," ")</f>
        <v xml:space="preserve"> </v>
      </c>
      <c r="L214" s="53" t="str">
        <f>IFERROR(VLOOKUP($A214,'The List'!$B1:$AS727,19,FALSE)," ")</f>
        <v xml:space="preserve"> </v>
      </c>
      <c r="M214" s="53" t="str">
        <f>IFERROR(VLOOKUP($A214,'The List'!$B1:$AS727,20,FALSE)," ")</f>
        <v xml:space="preserve"> </v>
      </c>
      <c r="N214" s="53" t="str">
        <f>IFERROR(VLOOKUP($A214,'The List'!$B1:$AS727,21,FALSE)," ")</f>
        <v xml:space="preserve"> </v>
      </c>
      <c r="O214" s="53" t="str">
        <f>IFERROR(VLOOKUP($A214,'The List'!$B1:$AS727,22,FALSE)," ")</f>
        <v xml:space="preserve"> </v>
      </c>
      <c r="P214" s="53" t="str">
        <f>IFERROR(VLOOKUP($A214,'The List'!$B1:$AS727,23,FALSE)," ")</f>
        <v xml:space="preserve"> </v>
      </c>
      <c r="Q214" s="53" t="str">
        <f>IFERROR(VLOOKUP($A214,'The List'!$B1:$AS727,24,FALSE)," ")</f>
        <v xml:space="preserve"> </v>
      </c>
      <c r="R214" s="53" t="str">
        <f>IFERROR(VLOOKUP($A214,'The List'!$B1:$AS727,25,FALSE)," ")</f>
        <v xml:space="preserve"> </v>
      </c>
      <c r="S214" s="53" t="str">
        <f>IFERROR(VLOOKUP($A214,'The List'!$B1:$AS727,26,FALSE)," ")</f>
        <v xml:space="preserve"> </v>
      </c>
      <c r="T214" s="53" t="str">
        <f>IFERROR(VLOOKUP($A214,'The List'!$B1:$AS727,27,FALSE)," ")</f>
        <v xml:space="preserve"> </v>
      </c>
      <c r="U214" s="53" t="str">
        <f>IFERROR(VLOOKUP($A214,'The List'!$B1:$AS727,28,FALSE)," ")</f>
        <v xml:space="preserve"> </v>
      </c>
      <c r="V214" s="53" t="str">
        <f>IFERROR(VLOOKUP($A214,'The List'!$B1:$AS727,29,FALSE)," ")</f>
        <v xml:space="preserve"> </v>
      </c>
      <c r="W214" s="53" t="str">
        <f>IFERROR(VLOOKUP($A214,'The List'!$B1:$AS727,30,FALSE)," ")</f>
        <v xml:space="preserve"> </v>
      </c>
      <c r="X214" s="53" t="str">
        <f>IFERROR(VLOOKUP($A214,'The List'!$B1:$AS727,31,FALSE)," ")</f>
        <v xml:space="preserve"> </v>
      </c>
      <c r="Y214" s="53" t="str">
        <f>IFERROR(VLOOKUP($A214,'The List'!$B1:$AS727,32,FALSE)," ")</f>
        <v xml:space="preserve"> </v>
      </c>
      <c r="Z214" s="53" t="str">
        <f>IFERROR(VLOOKUP($A214,'The List'!$B1:$AS727,33,FALSE)," ")</f>
        <v xml:space="preserve"> </v>
      </c>
      <c r="AA214" s="55"/>
      <c r="AB214" s="60"/>
      <c r="AC214" s="60"/>
      <c r="AD214" s="60"/>
      <c r="AE214" s="60"/>
      <c r="AF214" s="60"/>
    </row>
    <row r="215" spans="1:32" ht="21.25" customHeight="1" x14ac:dyDescent="0.15">
      <c r="A215" s="23"/>
      <c r="B215" s="65" t="str">
        <f>IFERROR(VLOOKUP($A215,'The List'!$B1:$AS727,3,FALSE)," ")</f>
        <v xml:space="preserve"> </v>
      </c>
      <c r="C215" s="67" t="str">
        <f>IFERROR(VLOOKUP($A215,'The List'!$B1:$AS727,4,FALSE)," ")</f>
        <v xml:space="preserve"> </v>
      </c>
      <c r="D215" s="35" t="str">
        <f>IFERROR(VLOOKUP($A215,'The List'!$B1:$AS727,5,FALSE)," ")</f>
        <v xml:space="preserve"> </v>
      </c>
      <c r="E215" s="35" t="str">
        <f>IFERROR(VLOOKUP($A215,'The List'!$B1:$AS727,6,FALSE)," ")</f>
        <v xml:space="preserve"> </v>
      </c>
      <c r="F215" s="52" t="str">
        <f>IFERROR(VLOOKUP($A215,'The List'!$B1:$AS727,8,FALSE)," ")</f>
        <v xml:space="preserve"> </v>
      </c>
      <c r="G215" s="52" t="str">
        <f>IFERROR(VLOOKUP($A215,'The List'!$B1:$AS727,10,FALSE)," ")</f>
        <v xml:space="preserve"> </v>
      </c>
      <c r="H215" s="39"/>
      <c r="I215" s="53" t="str">
        <f>IFERROR(VLOOKUP($A215,'The List'!$B1:$AS727,16,FALSE)," ")</f>
        <v xml:space="preserve"> </v>
      </c>
      <c r="J215" s="53" t="str">
        <f>IFERROR(VLOOKUP($A215,'The List'!$B1:$AS727,17,FALSE)," ")</f>
        <v xml:space="preserve"> </v>
      </c>
      <c r="K215" s="53" t="str">
        <f>IFERROR(VLOOKUP($A215,'The List'!$B1:$AS727,18,FALSE)," ")</f>
        <v xml:space="preserve"> </v>
      </c>
      <c r="L215" s="53" t="str">
        <f>IFERROR(VLOOKUP($A215,'The List'!$B1:$AS727,19,FALSE)," ")</f>
        <v xml:space="preserve"> </v>
      </c>
      <c r="M215" s="53" t="str">
        <f>IFERROR(VLOOKUP($A215,'The List'!$B1:$AS727,20,FALSE)," ")</f>
        <v xml:space="preserve"> </v>
      </c>
      <c r="N215" s="53" t="str">
        <f>IFERROR(VLOOKUP($A215,'The List'!$B1:$AS727,21,FALSE)," ")</f>
        <v xml:space="preserve"> </v>
      </c>
      <c r="O215" s="53" t="str">
        <f>IFERROR(VLOOKUP($A215,'The List'!$B1:$AS727,22,FALSE)," ")</f>
        <v xml:space="preserve"> </v>
      </c>
      <c r="P215" s="53" t="str">
        <f>IFERROR(VLOOKUP($A215,'The List'!$B1:$AS727,23,FALSE)," ")</f>
        <v xml:space="preserve"> </v>
      </c>
      <c r="Q215" s="53" t="str">
        <f>IFERROR(VLOOKUP($A215,'The List'!$B1:$AS727,24,FALSE)," ")</f>
        <v xml:space="preserve"> </v>
      </c>
      <c r="R215" s="53" t="str">
        <f>IFERROR(VLOOKUP($A215,'The List'!$B1:$AS727,25,FALSE)," ")</f>
        <v xml:space="preserve"> </v>
      </c>
      <c r="S215" s="53" t="str">
        <f>IFERROR(VLOOKUP($A215,'The List'!$B1:$AS727,26,FALSE)," ")</f>
        <v xml:space="preserve"> </v>
      </c>
      <c r="T215" s="53" t="str">
        <f>IFERROR(VLOOKUP($A215,'The List'!$B1:$AS727,27,FALSE)," ")</f>
        <v xml:space="preserve"> </v>
      </c>
      <c r="U215" s="53" t="str">
        <f>IFERROR(VLOOKUP($A215,'The List'!$B1:$AS727,28,FALSE)," ")</f>
        <v xml:space="preserve"> </v>
      </c>
      <c r="V215" s="53" t="str">
        <f>IFERROR(VLOOKUP($A215,'The List'!$B1:$AS727,29,FALSE)," ")</f>
        <v xml:space="preserve"> </v>
      </c>
      <c r="W215" s="53" t="str">
        <f>IFERROR(VLOOKUP($A215,'The List'!$B1:$AS727,30,FALSE)," ")</f>
        <v xml:space="preserve"> </v>
      </c>
      <c r="X215" s="53" t="str">
        <f>IFERROR(VLOOKUP($A215,'The List'!$B1:$AS727,31,FALSE)," ")</f>
        <v xml:space="preserve"> </v>
      </c>
      <c r="Y215" s="53" t="str">
        <f>IFERROR(VLOOKUP($A215,'The List'!$B1:$AS727,32,FALSE)," ")</f>
        <v xml:space="preserve"> </v>
      </c>
      <c r="Z215" s="53" t="str">
        <f>IFERROR(VLOOKUP($A215,'The List'!$B1:$AS727,33,FALSE)," ")</f>
        <v xml:space="preserve"> </v>
      </c>
      <c r="AA215" s="55"/>
      <c r="AB215" s="60"/>
      <c r="AC215" s="60"/>
      <c r="AD215" s="60"/>
      <c r="AE215" s="60"/>
      <c r="AF215" s="60"/>
    </row>
    <row r="216" spans="1:32" ht="21.25" customHeight="1" x14ac:dyDescent="0.15">
      <c r="A216" s="23"/>
      <c r="B216" s="65" t="str">
        <f>IFERROR(VLOOKUP($A216,'The List'!$B1:$AS727,3,FALSE)," ")</f>
        <v xml:space="preserve"> </v>
      </c>
      <c r="C216" s="67" t="str">
        <f>IFERROR(VLOOKUP($A216,'The List'!$B1:$AS727,4,FALSE)," ")</f>
        <v xml:space="preserve"> </v>
      </c>
      <c r="D216" s="35" t="str">
        <f>IFERROR(VLOOKUP($A216,'The List'!$B1:$AS727,5,FALSE)," ")</f>
        <v xml:space="preserve"> </v>
      </c>
      <c r="E216" s="35" t="str">
        <f>IFERROR(VLOOKUP($A216,'The List'!$B1:$AS727,6,FALSE)," ")</f>
        <v xml:space="preserve"> </v>
      </c>
      <c r="F216" s="52" t="str">
        <f>IFERROR(VLOOKUP($A216,'The List'!$B1:$AS727,8,FALSE)," ")</f>
        <v xml:space="preserve"> </v>
      </c>
      <c r="G216" s="52" t="str">
        <f>IFERROR(VLOOKUP($A216,'The List'!$B1:$AS727,10,FALSE)," ")</f>
        <v xml:space="preserve"> </v>
      </c>
      <c r="H216" s="39"/>
      <c r="I216" s="53" t="str">
        <f>IFERROR(VLOOKUP($A216,'The List'!$B1:$AS727,16,FALSE)," ")</f>
        <v xml:space="preserve"> </v>
      </c>
      <c r="J216" s="53" t="str">
        <f>IFERROR(VLOOKUP($A216,'The List'!$B1:$AS727,17,FALSE)," ")</f>
        <v xml:space="preserve"> </v>
      </c>
      <c r="K216" s="53" t="str">
        <f>IFERROR(VLOOKUP($A216,'The List'!$B1:$AS727,18,FALSE)," ")</f>
        <v xml:space="preserve"> </v>
      </c>
      <c r="L216" s="53" t="str">
        <f>IFERROR(VLOOKUP($A216,'The List'!$B1:$AS727,19,FALSE)," ")</f>
        <v xml:space="preserve"> </v>
      </c>
      <c r="M216" s="53" t="str">
        <f>IFERROR(VLOOKUP($A216,'The List'!$B1:$AS727,20,FALSE)," ")</f>
        <v xml:space="preserve"> </v>
      </c>
      <c r="N216" s="53" t="str">
        <f>IFERROR(VLOOKUP($A216,'The List'!$B1:$AS727,21,FALSE)," ")</f>
        <v xml:space="preserve"> </v>
      </c>
      <c r="O216" s="53" t="str">
        <f>IFERROR(VLOOKUP($A216,'The List'!$B1:$AS727,22,FALSE)," ")</f>
        <v xml:space="preserve"> </v>
      </c>
      <c r="P216" s="53" t="str">
        <f>IFERROR(VLOOKUP($A216,'The List'!$B1:$AS727,23,FALSE)," ")</f>
        <v xml:space="preserve"> </v>
      </c>
      <c r="Q216" s="53" t="str">
        <f>IFERROR(VLOOKUP($A216,'The List'!$B1:$AS727,24,FALSE)," ")</f>
        <v xml:space="preserve"> </v>
      </c>
      <c r="R216" s="53" t="str">
        <f>IFERROR(VLOOKUP($A216,'The List'!$B1:$AS727,25,FALSE)," ")</f>
        <v xml:space="preserve"> </v>
      </c>
      <c r="S216" s="53" t="str">
        <f>IFERROR(VLOOKUP($A216,'The List'!$B1:$AS727,26,FALSE)," ")</f>
        <v xml:space="preserve"> </v>
      </c>
      <c r="T216" s="53" t="str">
        <f>IFERROR(VLOOKUP($A216,'The List'!$B1:$AS727,27,FALSE)," ")</f>
        <v xml:space="preserve"> </v>
      </c>
      <c r="U216" s="53" t="str">
        <f>IFERROR(VLOOKUP($A216,'The List'!$B1:$AS727,28,FALSE)," ")</f>
        <v xml:space="preserve"> </v>
      </c>
      <c r="V216" s="53" t="str">
        <f>IFERROR(VLOOKUP($A216,'The List'!$B1:$AS727,29,FALSE)," ")</f>
        <v xml:space="preserve"> </v>
      </c>
      <c r="W216" s="53" t="str">
        <f>IFERROR(VLOOKUP($A216,'The List'!$B1:$AS727,30,FALSE)," ")</f>
        <v xml:space="preserve"> </v>
      </c>
      <c r="X216" s="53" t="str">
        <f>IFERROR(VLOOKUP($A216,'The List'!$B1:$AS727,31,FALSE)," ")</f>
        <v xml:space="preserve"> </v>
      </c>
      <c r="Y216" s="53" t="str">
        <f>IFERROR(VLOOKUP($A216,'The List'!$B1:$AS727,32,FALSE)," ")</f>
        <v xml:space="preserve"> </v>
      </c>
      <c r="Z216" s="53" t="str">
        <f>IFERROR(VLOOKUP($A216,'The List'!$B1:$AS727,33,FALSE)," ")</f>
        <v xml:space="preserve"> </v>
      </c>
      <c r="AA216" s="55"/>
      <c r="AB216" s="60"/>
      <c r="AC216" s="60"/>
      <c r="AD216" s="60"/>
      <c r="AE216" s="60"/>
      <c r="AF216" s="60"/>
    </row>
    <row r="217" spans="1:32" ht="21.25" customHeight="1" x14ac:dyDescent="0.15">
      <c r="A217" s="23"/>
      <c r="B217" s="68" t="str">
        <f>IFERROR(VLOOKUP($A217,'The List'!$B1:$AS727,3,FALSE)," ")</f>
        <v xml:space="preserve"> </v>
      </c>
      <c r="C217" s="70" t="str">
        <f>IFERROR(VLOOKUP($A217,'The List'!$B1:$AS727,4,FALSE)," ")</f>
        <v xml:space="preserve"> </v>
      </c>
      <c r="D217" s="35" t="str">
        <f>IFERROR(VLOOKUP($A217,'The List'!$B1:$AS727,5,FALSE)," ")</f>
        <v xml:space="preserve"> </v>
      </c>
      <c r="E217" s="35" t="str">
        <f>IFERROR(VLOOKUP($A217,'The List'!$B1:$AS727,6,FALSE)," ")</f>
        <v xml:space="preserve"> </v>
      </c>
      <c r="F217" s="52" t="str">
        <f>IFERROR(VLOOKUP($A217,'The List'!$B1:$AS727,8,FALSE)," ")</f>
        <v xml:space="preserve"> </v>
      </c>
      <c r="G217" s="52" t="str">
        <f>IFERROR(VLOOKUP($A217,'The List'!$B1:$AS727,10,FALSE)," ")</f>
        <v xml:space="preserve"> </v>
      </c>
      <c r="H217" s="39"/>
      <c r="I217" s="53" t="str">
        <f>IFERROR(VLOOKUP($A217,'The List'!$B1:$AS727,16,FALSE)," ")</f>
        <v xml:space="preserve"> </v>
      </c>
      <c r="J217" s="53" t="str">
        <f>IFERROR(VLOOKUP($A217,'The List'!$B1:$AS727,17,FALSE)," ")</f>
        <v xml:space="preserve"> </v>
      </c>
      <c r="K217" s="53" t="str">
        <f>IFERROR(VLOOKUP($A217,'The List'!$B1:$AS727,18,FALSE)," ")</f>
        <v xml:space="preserve"> </v>
      </c>
      <c r="L217" s="53" t="str">
        <f>IFERROR(VLOOKUP($A217,'The List'!$B1:$AS727,19,FALSE)," ")</f>
        <v xml:space="preserve"> </v>
      </c>
      <c r="M217" s="53" t="str">
        <f>IFERROR(VLOOKUP($A217,'The List'!$B1:$AS727,20,FALSE)," ")</f>
        <v xml:space="preserve"> </v>
      </c>
      <c r="N217" s="53" t="str">
        <f>IFERROR(VLOOKUP($A217,'The List'!$B1:$AS727,21,FALSE)," ")</f>
        <v xml:space="preserve"> </v>
      </c>
      <c r="O217" s="53" t="str">
        <f>IFERROR(VLOOKUP($A217,'The List'!$B1:$AS727,22,FALSE)," ")</f>
        <v xml:space="preserve"> </v>
      </c>
      <c r="P217" s="53" t="str">
        <f>IFERROR(VLOOKUP($A217,'The List'!$B1:$AS727,23,FALSE)," ")</f>
        <v xml:space="preserve"> </v>
      </c>
      <c r="Q217" s="53" t="str">
        <f>IFERROR(VLOOKUP($A217,'The List'!$B1:$AS727,24,FALSE)," ")</f>
        <v xml:space="preserve"> </v>
      </c>
      <c r="R217" s="53" t="str">
        <f>IFERROR(VLOOKUP($A217,'The List'!$B1:$AS727,25,FALSE)," ")</f>
        <v xml:space="preserve"> </v>
      </c>
      <c r="S217" s="53" t="str">
        <f>IFERROR(VLOOKUP($A217,'The List'!$B1:$AS727,26,FALSE)," ")</f>
        <v xml:space="preserve"> </v>
      </c>
      <c r="T217" s="53" t="str">
        <f>IFERROR(VLOOKUP($A217,'The List'!$B1:$AS727,27,FALSE)," ")</f>
        <v xml:space="preserve"> </v>
      </c>
      <c r="U217" s="53" t="str">
        <f>IFERROR(VLOOKUP($A217,'The List'!$B1:$AS727,28,FALSE)," ")</f>
        <v xml:space="preserve"> </v>
      </c>
      <c r="V217" s="53" t="str">
        <f>IFERROR(VLOOKUP($A217,'The List'!$B1:$AS727,29,FALSE)," ")</f>
        <v xml:space="preserve"> </v>
      </c>
      <c r="W217" s="53" t="str">
        <f>IFERROR(VLOOKUP($A217,'The List'!$B1:$AS727,30,FALSE)," ")</f>
        <v xml:space="preserve"> </v>
      </c>
      <c r="X217" s="53" t="str">
        <f>IFERROR(VLOOKUP($A217,'The List'!$B1:$AS727,31,FALSE)," ")</f>
        <v xml:space="preserve"> </v>
      </c>
      <c r="Y217" s="53" t="str">
        <f>IFERROR(VLOOKUP($A217,'The List'!$B1:$AS727,32,FALSE)," ")</f>
        <v xml:space="preserve"> </v>
      </c>
      <c r="Z217" s="53" t="str">
        <f>IFERROR(VLOOKUP($A217,'The List'!$B1:$AS727,33,FALSE)," ")</f>
        <v xml:space="preserve"> </v>
      </c>
      <c r="AA217" s="55"/>
      <c r="AB217" s="60"/>
      <c r="AC217" s="60"/>
      <c r="AD217" s="60"/>
      <c r="AE217" s="60"/>
      <c r="AF217" s="60"/>
    </row>
    <row r="218" spans="1:32" ht="21.25" customHeight="1" x14ac:dyDescent="0.15">
      <c r="A218" s="23"/>
      <c r="B218" s="68" t="str">
        <f>IFERROR(VLOOKUP($A218,'The List'!$B1:$AS727,3,FALSE)," ")</f>
        <v xml:space="preserve"> </v>
      </c>
      <c r="C218" s="70" t="str">
        <f>IFERROR(VLOOKUP($A218,'The List'!$B1:$AS727,4,FALSE)," ")</f>
        <v xml:space="preserve"> </v>
      </c>
      <c r="D218" s="35" t="str">
        <f>IFERROR(VLOOKUP($A218,'The List'!$B1:$AS727,5,FALSE)," ")</f>
        <v xml:space="preserve"> </v>
      </c>
      <c r="E218" s="35" t="str">
        <f>IFERROR(VLOOKUP($A218,'The List'!$B1:$AS727,6,FALSE)," ")</f>
        <v xml:space="preserve"> </v>
      </c>
      <c r="F218" s="52" t="str">
        <f>IFERROR(VLOOKUP($A218,'The List'!$B1:$AS727,8,FALSE)," ")</f>
        <v xml:space="preserve"> </v>
      </c>
      <c r="G218" s="52" t="str">
        <f>IFERROR(VLOOKUP($A218,'The List'!$B1:$AS727,10,FALSE)," ")</f>
        <v xml:space="preserve"> </v>
      </c>
      <c r="H218" s="39"/>
      <c r="I218" s="53" t="str">
        <f>IFERROR(VLOOKUP($A218,'The List'!$B1:$AS727,16,FALSE)," ")</f>
        <v xml:space="preserve"> </v>
      </c>
      <c r="J218" s="53" t="str">
        <f>IFERROR(VLOOKUP($A218,'The List'!$B1:$AS727,17,FALSE)," ")</f>
        <v xml:space="preserve"> </v>
      </c>
      <c r="K218" s="53" t="str">
        <f>IFERROR(VLOOKUP($A218,'The List'!$B1:$AS727,18,FALSE)," ")</f>
        <v xml:space="preserve"> </v>
      </c>
      <c r="L218" s="53" t="str">
        <f>IFERROR(VLOOKUP($A218,'The List'!$B1:$AS727,19,FALSE)," ")</f>
        <v xml:space="preserve"> </v>
      </c>
      <c r="M218" s="53" t="str">
        <f>IFERROR(VLOOKUP($A218,'The List'!$B1:$AS727,20,FALSE)," ")</f>
        <v xml:space="preserve"> </v>
      </c>
      <c r="N218" s="53" t="str">
        <f>IFERROR(VLOOKUP($A218,'The List'!$B1:$AS727,21,FALSE)," ")</f>
        <v xml:space="preserve"> </v>
      </c>
      <c r="O218" s="53" t="str">
        <f>IFERROR(VLOOKUP($A218,'The List'!$B1:$AS727,22,FALSE)," ")</f>
        <v xml:space="preserve"> </v>
      </c>
      <c r="P218" s="53" t="str">
        <f>IFERROR(VLOOKUP($A218,'The List'!$B1:$AS727,23,FALSE)," ")</f>
        <v xml:space="preserve"> </v>
      </c>
      <c r="Q218" s="53" t="str">
        <f>IFERROR(VLOOKUP($A218,'The List'!$B1:$AS727,24,FALSE)," ")</f>
        <v xml:space="preserve"> </v>
      </c>
      <c r="R218" s="53" t="str">
        <f>IFERROR(VLOOKUP($A218,'The List'!$B1:$AS727,25,FALSE)," ")</f>
        <v xml:space="preserve"> </v>
      </c>
      <c r="S218" s="53" t="str">
        <f>IFERROR(VLOOKUP($A218,'The List'!$B1:$AS727,26,FALSE)," ")</f>
        <v xml:space="preserve"> </v>
      </c>
      <c r="T218" s="53" t="str">
        <f>IFERROR(VLOOKUP($A218,'The List'!$B1:$AS727,27,FALSE)," ")</f>
        <v xml:space="preserve"> </v>
      </c>
      <c r="U218" s="53" t="str">
        <f>IFERROR(VLOOKUP($A218,'The List'!$B1:$AS727,28,FALSE)," ")</f>
        <v xml:space="preserve"> </v>
      </c>
      <c r="V218" s="53" t="str">
        <f>IFERROR(VLOOKUP($A218,'The List'!$B1:$AS727,29,FALSE)," ")</f>
        <v xml:space="preserve"> </v>
      </c>
      <c r="W218" s="53" t="str">
        <f>IFERROR(VLOOKUP($A218,'The List'!$B1:$AS727,30,FALSE)," ")</f>
        <v xml:space="preserve"> </v>
      </c>
      <c r="X218" s="53" t="str">
        <f>IFERROR(VLOOKUP($A218,'The List'!$B1:$AS727,31,FALSE)," ")</f>
        <v xml:space="preserve"> </v>
      </c>
      <c r="Y218" s="53" t="str">
        <f>IFERROR(VLOOKUP($A218,'The List'!$B1:$AS727,32,FALSE)," ")</f>
        <v xml:space="preserve"> </v>
      </c>
      <c r="Z218" s="53" t="str">
        <f>IFERROR(VLOOKUP($A218,'The List'!$B1:$AS727,33,FALSE)," ")</f>
        <v xml:space="preserve"> </v>
      </c>
      <c r="AA218" s="55"/>
      <c r="AB218" s="60"/>
      <c r="AC218" s="60"/>
      <c r="AD218" s="60"/>
      <c r="AE218" s="60"/>
      <c r="AF218" s="60"/>
    </row>
    <row r="219" spans="1:32" ht="21.25" customHeight="1" x14ac:dyDescent="0.15">
      <c r="A219" s="23"/>
      <c r="B219" s="68" t="str">
        <f>IFERROR(VLOOKUP($A219,'The List'!$B1:$AS727,3,FALSE)," ")</f>
        <v xml:space="preserve"> </v>
      </c>
      <c r="C219" s="70" t="str">
        <f>IFERROR(VLOOKUP($A219,'The List'!$B1:$AS727,4,FALSE)," ")</f>
        <v xml:space="preserve"> </v>
      </c>
      <c r="D219" s="35" t="str">
        <f>IFERROR(VLOOKUP($A219,'The List'!$B1:$AS727,5,FALSE)," ")</f>
        <v xml:space="preserve"> </v>
      </c>
      <c r="E219" s="35" t="str">
        <f>IFERROR(VLOOKUP($A219,'The List'!$B1:$AS727,6,FALSE)," ")</f>
        <v xml:space="preserve"> </v>
      </c>
      <c r="F219" s="52" t="str">
        <f>IFERROR(VLOOKUP($A219,'The List'!$B1:$AS727,8,FALSE)," ")</f>
        <v xml:space="preserve"> </v>
      </c>
      <c r="G219" s="52" t="str">
        <f>IFERROR(VLOOKUP($A219,'The List'!$B1:$AS727,10,FALSE)," ")</f>
        <v xml:space="preserve"> </v>
      </c>
      <c r="H219" s="39"/>
      <c r="I219" s="53" t="str">
        <f>IFERROR(VLOOKUP($A219,'The List'!$B1:$AS727,16,FALSE)," ")</f>
        <v xml:space="preserve"> </v>
      </c>
      <c r="J219" s="53" t="str">
        <f>IFERROR(VLOOKUP($A219,'The List'!$B1:$AS727,17,FALSE)," ")</f>
        <v xml:space="preserve"> </v>
      </c>
      <c r="K219" s="53" t="str">
        <f>IFERROR(VLOOKUP($A219,'The List'!$B1:$AS727,18,FALSE)," ")</f>
        <v xml:space="preserve"> </v>
      </c>
      <c r="L219" s="53" t="str">
        <f>IFERROR(VLOOKUP($A219,'The List'!$B1:$AS727,19,FALSE)," ")</f>
        <v xml:space="preserve"> </v>
      </c>
      <c r="M219" s="53" t="str">
        <f>IFERROR(VLOOKUP($A219,'The List'!$B1:$AS727,20,FALSE)," ")</f>
        <v xml:space="preserve"> </v>
      </c>
      <c r="N219" s="53" t="str">
        <f>IFERROR(VLOOKUP($A219,'The List'!$B1:$AS727,21,FALSE)," ")</f>
        <v xml:space="preserve"> </v>
      </c>
      <c r="O219" s="53" t="str">
        <f>IFERROR(VLOOKUP($A219,'The List'!$B1:$AS727,22,FALSE)," ")</f>
        <v xml:space="preserve"> </v>
      </c>
      <c r="P219" s="53" t="str">
        <f>IFERROR(VLOOKUP($A219,'The List'!$B1:$AS727,23,FALSE)," ")</f>
        <v xml:space="preserve"> </v>
      </c>
      <c r="Q219" s="53" t="str">
        <f>IFERROR(VLOOKUP($A219,'The List'!$B1:$AS727,24,FALSE)," ")</f>
        <v xml:space="preserve"> </v>
      </c>
      <c r="R219" s="53" t="str">
        <f>IFERROR(VLOOKUP($A219,'The List'!$B1:$AS727,25,FALSE)," ")</f>
        <v xml:space="preserve"> </v>
      </c>
      <c r="S219" s="53" t="str">
        <f>IFERROR(VLOOKUP($A219,'The List'!$B1:$AS727,26,FALSE)," ")</f>
        <v xml:space="preserve"> </v>
      </c>
      <c r="T219" s="53" t="str">
        <f>IFERROR(VLOOKUP($A219,'The List'!$B1:$AS727,27,FALSE)," ")</f>
        <v xml:space="preserve"> </v>
      </c>
      <c r="U219" s="53" t="str">
        <f>IFERROR(VLOOKUP($A219,'The List'!$B1:$AS727,28,FALSE)," ")</f>
        <v xml:space="preserve"> </v>
      </c>
      <c r="V219" s="53" t="str">
        <f>IFERROR(VLOOKUP($A219,'The List'!$B1:$AS727,29,FALSE)," ")</f>
        <v xml:space="preserve"> </v>
      </c>
      <c r="W219" s="53" t="str">
        <f>IFERROR(VLOOKUP($A219,'The List'!$B1:$AS727,30,FALSE)," ")</f>
        <v xml:space="preserve"> </v>
      </c>
      <c r="X219" s="53" t="str">
        <f>IFERROR(VLOOKUP($A219,'The List'!$B1:$AS727,31,FALSE)," ")</f>
        <v xml:space="preserve"> </v>
      </c>
      <c r="Y219" s="53" t="str">
        <f>IFERROR(VLOOKUP($A219,'The List'!$B1:$AS727,32,FALSE)," ")</f>
        <v xml:space="preserve"> </v>
      </c>
      <c r="Z219" s="53" t="str">
        <f>IFERROR(VLOOKUP($A219,'The List'!$B1:$AS727,33,FALSE)," ")</f>
        <v xml:space="preserve"> </v>
      </c>
      <c r="AA219" s="55"/>
      <c r="AB219" s="60"/>
      <c r="AC219" s="60"/>
      <c r="AD219" s="60"/>
      <c r="AE219" s="60"/>
      <c r="AF219" s="60"/>
    </row>
    <row r="220" spans="1:32" ht="21.25" customHeight="1" x14ac:dyDescent="0.15">
      <c r="A220" s="23"/>
      <c r="B220" s="68" t="str">
        <f>IFERROR(VLOOKUP($A220,'The List'!$B1:$AS727,3,FALSE)," ")</f>
        <v xml:space="preserve"> </v>
      </c>
      <c r="C220" s="70" t="str">
        <f>IFERROR(VLOOKUP($A220,'The List'!$B1:$AS727,4,FALSE)," ")</f>
        <v xml:space="preserve"> </v>
      </c>
      <c r="D220" s="35" t="str">
        <f>IFERROR(VLOOKUP($A220,'The List'!$B1:$AS727,5,FALSE)," ")</f>
        <v xml:space="preserve"> </v>
      </c>
      <c r="E220" s="35" t="str">
        <f>IFERROR(VLOOKUP($A220,'The List'!$B1:$AS727,6,FALSE)," ")</f>
        <v xml:space="preserve"> </v>
      </c>
      <c r="F220" s="52" t="str">
        <f>IFERROR(VLOOKUP($A220,'The List'!$B1:$AS727,8,FALSE)," ")</f>
        <v xml:space="preserve"> </v>
      </c>
      <c r="G220" s="52" t="str">
        <f>IFERROR(VLOOKUP($A220,'The List'!$B1:$AS727,10,FALSE)," ")</f>
        <v xml:space="preserve"> </v>
      </c>
      <c r="H220" s="39"/>
      <c r="I220" s="53" t="str">
        <f>IFERROR(VLOOKUP($A220,'The List'!$B1:$AS727,16,FALSE)," ")</f>
        <v xml:space="preserve"> </v>
      </c>
      <c r="J220" s="53" t="str">
        <f>IFERROR(VLOOKUP($A220,'The List'!$B1:$AS727,17,FALSE)," ")</f>
        <v xml:space="preserve"> </v>
      </c>
      <c r="K220" s="53" t="str">
        <f>IFERROR(VLOOKUP($A220,'The List'!$B1:$AS727,18,FALSE)," ")</f>
        <v xml:space="preserve"> </v>
      </c>
      <c r="L220" s="53" t="str">
        <f>IFERROR(VLOOKUP($A220,'The List'!$B1:$AS727,19,FALSE)," ")</f>
        <v xml:space="preserve"> </v>
      </c>
      <c r="M220" s="53" t="str">
        <f>IFERROR(VLOOKUP($A220,'The List'!$B1:$AS727,20,FALSE)," ")</f>
        <v xml:space="preserve"> </v>
      </c>
      <c r="N220" s="53" t="str">
        <f>IFERROR(VLOOKUP($A220,'The List'!$B1:$AS727,21,FALSE)," ")</f>
        <v xml:space="preserve"> </v>
      </c>
      <c r="O220" s="53" t="str">
        <f>IFERROR(VLOOKUP($A220,'The List'!$B1:$AS727,22,FALSE)," ")</f>
        <v xml:space="preserve"> </v>
      </c>
      <c r="P220" s="53" t="str">
        <f>IFERROR(VLOOKUP($A220,'The List'!$B1:$AS727,23,FALSE)," ")</f>
        <v xml:space="preserve"> </v>
      </c>
      <c r="Q220" s="53" t="str">
        <f>IFERROR(VLOOKUP($A220,'The List'!$B1:$AS727,24,FALSE)," ")</f>
        <v xml:space="preserve"> </v>
      </c>
      <c r="R220" s="53" t="str">
        <f>IFERROR(VLOOKUP($A220,'The List'!$B1:$AS727,25,FALSE)," ")</f>
        <v xml:space="preserve"> </v>
      </c>
      <c r="S220" s="53" t="str">
        <f>IFERROR(VLOOKUP($A220,'The List'!$B1:$AS727,26,FALSE)," ")</f>
        <v xml:space="preserve"> </v>
      </c>
      <c r="T220" s="53" t="str">
        <f>IFERROR(VLOOKUP($A220,'The List'!$B1:$AS727,27,FALSE)," ")</f>
        <v xml:space="preserve"> </v>
      </c>
      <c r="U220" s="53" t="str">
        <f>IFERROR(VLOOKUP($A220,'The List'!$B1:$AS727,28,FALSE)," ")</f>
        <v xml:space="preserve"> </v>
      </c>
      <c r="V220" s="53" t="str">
        <f>IFERROR(VLOOKUP($A220,'The List'!$B1:$AS727,29,FALSE)," ")</f>
        <v xml:space="preserve"> </v>
      </c>
      <c r="W220" s="53" t="str">
        <f>IFERROR(VLOOKUP($A220,'The List'!$B1:$AS727,30,FALSE)," ")</f>
        <v xml:space="preserve"> </v>
      </c>
      <c r="X220" s="53" t="str">
        <f>IFERROR(VLOOKUP($A220,'The List'!$B1:$AS727,31,FALSE)," ")</f>
        <v xml:space="preserve"> </v>
      </c>
      <c r="Y220" s="53" t="str">
        <f>IFERROR(VLOOKUP($A220,'The List'!$B1:$AS727,32,FALSE)," ")</f>
        <v xml:space="preserve"> </v>
      </c>
      <c r="Z220" s="53" t="str">
        <f>IFERROR(VLOOKUP($A220,'The List'!$B1:$AS727,33,FALSE)," ")</f>
        <v xml:space="preserve"> </v>
      </c>
      <c r="AA220" s="55"/>
      <c r="AB220" s="60"/>
      <c r="AC220" s="60"/>
      <c r="AD220" s="60"/>
      <c r="AE220" s="60"/>
      <c r="AF220" s="60"/>
    </row>
    <row r="221" spans="1:32" ht="21.25" customHeight="1" x14ac:dyDescent="0.15">
      <c r="A221" s="23"/>
      <c r="B221" s="68" t="str">
        <f>IFERROR(VLOOKUP($A221,'The List'!$B1:$AS727,3,FALSE)," ")</f>
        <v xml:space="preserve"> </v>
      </c>
      <c r="C221" s="70" t="str">
        <f>IFERROR(VLOOKUP($A221,'The List'!$B1:$AS727,4,FALSE)," ")</f>
        <v xml:space="preserve"> </v>
      </c>
      <c r="D221" s="35" t="str">
        <f>IFERROR(VLOOKUP($A221,'The List'!$B1:$AS727,5,FALSE)," ")</f>
        <v xml:space="preserve"> </v>
      </c>
      <c r="E221" s="35" t="str">
        <f>IFERROR(VLOOKUP($A221,'The List'!$B1:$AS727,6,FALSE)," ")</f>
        <v xml:space="preserve"> </v>
      </c>
      <c r="F221" s="52" t="str">
        <f>IFERROR(VLOOKUP($A221,'The List'!$B1:$AS727,8,FALSE)," ")</f>
        <v xml:space="preserve"> </v>
      </c>
      <c r="G221" s="52" t="str">
        <f>IFERROR(VLOOKUP($A221,'The List'!$B1:$AS727,10,FALSE)," ")</f>
        <v xml:space="preserve"> </v>
      </c>
      <c r="H221" s="39"/>
      <c r="I221" s="53" t="str">
        <f>IFERROR(VLOOKUP($A221,'The List'!$B1:$AS727,16,FALSE)," ")</f>
        <v xml:space="preserve"> </v>
      </c>
      <c r="J221" s="53" t="str">
        <f>IFERROR(VLOOKUP($A221,'The List'!$B1:$AS727,17,FALSE)," ")</f>
        <v xml:space="preserve"> </v>
      </c>
      <c r="K221" s="53" t="str">
        <f>IFERROR(VLOOKUP($A221,'The List'!$B1:$AS727,18,FALSE)," ")</f>
        <v xml:space="preserve"> </v>
      </c>
      <c r="L221" s="53" t="str">
        <f>IFERROR(VLOOKUP($A221,'The List'!$B1:$AS727,19,FALSE)," ")</f>
        <v xml:space="preserve"> </v>
      </c>
      <c r="M221" s="53" t="str">
        <f>IFERROR(VLOOKUP($A221,'The List'!$B1:$AS727,20,FALSE)," ")</f>
        <v xml:space="preserve"> </v>
      </c>
      <c r="N221" s="53" t="str">
        <f>IFERROR(VLOOKUP($A221,'The List'!$B1:$AS727,21,FALSE)," ")</f>
        <v xml:space="preserve"> </v>
      </c>
      <c r="O221" s="53" t="str">
        <f>IFERROR(VLOOKUP($A221,'The List'!$B1:$AS727,22,FALSE)," ")</f>
        <v xml:space="preserve"> </v>
      </c>
      <c r="P221" s="53" t="str">
        <f>IFERROR(VLOOKUP($A221,'The List'!$B1:$AS727,23,FALSE)," ")</f>
        <v xml:space="preserve"> </v>
      </c>
      <c r="Q221" s="53" t="str">
        <f>IFERROR(VLOOKUP($A221,'The List'!$B1:$AS727,24,FALSE)," ")</f>
        <v xml:space="preserve"> </v>
      </c>
      <c r="R221" s="53" t="str">
        <f>IFERROR(VLOOKUP($A221,'The List'!$B1:$AS727,25,FALSE)," ")</f>
        <v xml:space="preserve"> </v>
      </c>
      <c r="S221" s="53" t="str">
        <f>IFERROR(VLOOKUP($A221,'The List'!$B1:$AS727,26,FALSE)," ")</f>
        <v xml:space="preserve"> </v>
      </c>
      <c r="T221" s="53" t="str">
        <f>IFERROR(VLOOKUP($A221,'The List'!$B1:$AS727,27,FALSE)," ")</f>
        <v xml:space="preserve"> </v>
      </c>
      <c r="U221" s="53" t="str">
        <f>IFERROR(VLOOKUP($A221,'The List'!$B1:$AS727,28,FALSE)," ")</f>
        <v xml:space="preserve"> </v>
      </c>
      <c r="V221" s="53" t="str">
        <f>IFERROR(VLOOKUP($A221,'The List'!$B1:$AS727,29,FALSE)," ")</f>
        <v xml:space="preserve"> </v>
      </c>
      <c r="W221" s="53" t="str">
        <f>IFERROR(VLOOKUP($A221,'The List'!$B1:$AS727,30,FALSE)," ")</f>
        <v xml:space="preserve"> </v>
      </c>
      <c r="X221" s="53" t="str">
        <f>IFERROR(VLOOKUP($A221,'The List'!$B1:$AS727,31,FALSE)," ")</f>
        <v xml:space="preserve"> </v>
      </c>
      <c r="Y221" s="53" t="str">
        <f>IFERROR(VLOOKUP($A221,'The List'!$B1:$AS727,32,FALSE)," ")</f>
        <v xml:space="preserve"> </v>
      </c>
      <c r="Z221" s="53" t="str">
        <f>IFERROR(VLOOKUP($A221,'The List'!$B1:$AS727,33,FALSE)," ")</f>
        <v xml:space="preserve"> </v>
      </c>
      <c r="AA221" s="55"/>
      <c r="AB221" s="60"/>
      <c r="AC221" s="60"/>
      <c r="AD221" s="60"/>
      <c r="AE221" s="60"/>
      <c r="AF221" s="60"/>
    </row>
    <row r="222" spans="1:32" ht="21.25" customHeight="1" x14ac:dyDescent="0.15">
      <c r="A222" s="23"/>
      <c r="B222" s="68" t="str">
        <f>IFERROR(VLOOKUP($A222,'The List'!$B1:$AS727,3,FALSE)," ")</f>
        <v xml:space="preserve"> </v>
      </c>
      <c r="C222" s="70" t="str">
        <f>IFERROR(VLOOKUP($A222,'The List'!$B1:$AS727,4,FALSE)," ")</f>
        <v xml:space="preserve"> </v>
      </c>
      <c r="D222" s="35" t="str">
        <f>IFERROR(VLOOKUP($A222,'The List'!$B1:$AS727,5,FALSE)," ")</f>
        <v xml:space="preserve"> </v>
      </c>
      <c r="E222" s="35" t="str">
        <f>IFERROR(VLOOKUP($A222,'The List'!$B1:$AS727,6,FALSE)," ")</f>
        <v xml:space="preserve"> </v>
      </c>
      <c r="F222" s="52" t="str">
        <f>IFERROR(VLOOKUP($A222,'The List'!$B1:$AS727,8,FALSE)," ")</f>
        <v xml:space="preserve"> </v>
      </c>
      <c r="G222" s="52" t="str">
        <f>IFERROR(VLOOKUP($A222,'The List'!$B1:$AS727,10,FALSE)," ")</f>
        <v xml:space="preserve"> </v>
      </c>
      <c r="H222" s="39"/>
      <c r="I222" s="53" t="str">
        <f>IFERROR(VLOOKUP($A222,'The List'!$B1:$AS727,16,FALSE)," ")</f>
        <v xml:space="preserve"> </v>
      </c>
      <c r="J222" s="53" t="str">
        <f>IFERROR(VLOOKUP($A222,'The List'!$B1:$AS727,17,FALSE)," ")</f>
        <v xml:space="preserve"> </v>
      </c>
      <c r="K222" s="53" t="str">
        <f>IFERROR(VLOOKUP($A222,'The List'!$B1:$AS727,18,FALSE)," ")</f>
        <v xml:space="preserve"> </v>
      </c>
      <c r="L222" s="53" t="str">
        <f>IFERROR(VLOOKUP($A222,'The List'!$B1:$AS727,19,FALSE)," ")</f>
        <v xml:space="preserve"> </v>
      </c>
      <c r="M222" s="53" t="str">
        <f>IFERROR(VLOOKUP($A222,'The List'!$B1:$AS727,20,FALSE)," ")</f>
        <v xml:space="preserve"> </v>
      </c>
      <c r="N222" s="53" t="str">
        <f>IFERROR(VLOOKUP($A222,'The List'!$B1:$AS727,21,FALSE)," ")</f>
        <v xml:space="preserve"> </v>
      </c>
      <c r="O222" s="53" t="str">
        <f>IFERROR(VLOOKUP($A222,'The List'!$B1:$AS727,22,FALSE)," ")</f>
        <v xml:space="preserve"> </v>
      </c>
      <c r="P222" s="53" t="str">
        <f>IFERROR(VLOOKUP($A222,'The List'!$B1:$AS727,23,FALSE)," ")</f>
        <v xml:space="preserve"> </v>
      </c>
      <c r="Q222" s="53" t="str">
        <f>IFERROR(VLOOKUP($A222,'The List'!$B1:$AS727,24,FALSE)," ")</f>
        <v xml:space="preserve"> </v>
      </c>
      <c r="R222" s="53" t="str">
        <f>IFERROR(VLOOKUP($A222,'The List'!$B1:$AS727,25,FALSE)," ")</f>
        <v xml:space="preserve"> </v>
      </c>
      <c r="S222" s="53" t="str">
        <f>IFERROR(VLOOKUP($A222,'The List'!$B1:$AS727,26,FALSE)," ")</f>
        <v xml:space="preserve"> </v>
      </c>
      <c r="T222" s="53" t="str">
        <f>IFERROR(VLOOKUP($A222,'The List'!$B1:$AS727,27,FALSE)," ")</f>
        <v xml:space="preserve"> </v>
      </c>
      <c r="U222" s="53" t="str">
        <f>IFERROR(VLOOKUP($A222,'The List'!$B1:$AS727,28,FALSE)," ")</f>
        <v xml:space="preserve"> </v>
      </c>
      <c r="V222" s="53" t="str">
        <f>IFERROR(VLOOKUP($A222,'The List'!$B1:$AS727,29,FALSE)," ")</f>
        <v xml:space="preserve"> </v>
      </c>
      <c r="W222" s="53" t="str">
        <f>IFERROR(VLOOKUP($A222,'The List'!$B1:$AS727,30,FALSE)," ")</f>
        <v xml:space="preserve"> </v>
      </c>
      <c r="X222" s="53" t="str">
        <f>IFERROR(VLOOKUP($A222,'The List'!$B1:$AS727,31,FALSE)," ")</f>
        <v xml:space="preserve"> </v>
      </c>
      <c r="Y222" s="53" t="str">
        <f>IFERROR(VLOOKUP($A222,'The List'!$B1:$AS727,32,FALSE)," ")</f>
        <v xml:space="preserve"> </v>
      </c>
      <c r="Z222" s="53" t="str">
        <f>IFERROR(VLOOKUP($A222,'The List'!$B1:$AS727,33,FALSE)," ")</f>
        <v xml:space="preserve"> </v>
      </c>
      <c r="AA222" s="55"/>
      <c r="AB222" s="60"/>
      <c r="AC222" s="60"/>
      <c r="AD222" s="60"/>
      <c r="AE222" s="60"/>
      <c r="AF222" s="60"/>
    </row>
    <row r="223" spans="1:32" ht="21.25" customHeight="1" x14ac:dyDescent="0.15">
      <c r="A223" s="23"/>
      <c r="B223" s="68" t="str">
        <f>IFERROR(VLOOKUP($A223,'The List'!$B1:$AS727,3,FALSE)," ")</f>
        <v xml:space="preserve"> </v>
      </c>
      <c r="C223" s="70" t="str">
        <f>IFERROR(VLOOKUP($A223,'The List'!$B1:$AS727,4,FALSE)," ")</f>
        <v xml:space="preserve"> </v>
      </c>
      <c r="D223" s="35" t="str">
        <f>IFERROR(VLOOKUP($A223,'The List'!$B1:$AS727,5,FALSE)," ")</f>
        <v xml:space="preserve"> </v>
      </c>
      <c r="E223" s="35" t="str">
        <f>IFERROR(VLOOKUP($A223,'The List'!$B1:$AS727,6,FALSE)," ")</f>
        <v xml:space="preserve"> </v>
      </c>
      <c r="F223" s="52" t="str">
        <f>IFERROR(VLOOKUP($A223,'The List'!$B1:$AS727,8,FALSE)," ")</f>
        <v xml:space="preserve"> </v>
      </c>
      <c r="G223" s="52" t="str">
        <f>IFERROR(VLOOKUP($A223,'The List'!$B1:$AS727,10,FALSE)," ")</f>
        <v xml:space="preserve"> </v>
      </c>
      <c r="H223" s="39"/>
      <c r="I223" s="53" t="str">
        <f>IFERROR(VLOOKUP($A223,'The List'!$B1:$AS727,16,FALSE)," ")</f>
        <v xml:space="preserve"> </v>
      </c>
      <c r="J223" s="53" t="str">
        <f>IFERROR(VLOOKUP($A223,'The List'!$B1:$AS727,17,FALSE)," ")</f>
        <v xml:space="preserve"> </v>
      </c>
      <c r="K223" s="53" t="str">
        <f>IFERROR(VLOOKUP($A223,'The List'!$B1:$AS727,18,FALSE)," ")</f>
        <v xml:space="preserve"> </v>
      </c>
      <c r="L223" s="53" t="str">
        <f>IFERROR(VLOOKUP($A223,'The List'!$B1:$AS727,19,FALSE)," ")</f>
        <v xml:space="preserve"> </v>
      </c>
      <c r="M223" s="53" t="str">
        <f>IFERROR(VLOOKUP($A223,'The List'!$B1:$AS727,20,FALSE)," ")</f>
        <v xml:space="preserve"> </v>
      </c>
      <c r="N223" s="53" t="str">
        <f>IFERROR(VLOOKUP($A223,'The List'!$B1:$AS727,21,FALSE)," ")</f>
        <v xml:space="preserve"> </v>
      </c>
      <c r="O223" s="53" t="str">
        <f>IFERROR(VLOOKUP($A223,'The List'!$B1:$AS727,22,FALSE)," ")</f>
        <v xml:space="preserve"> </v>
      </c>
      <c r="P223" s="53" t="str">
        <f>IFERROR(VLOOKUP($A223,'The List'!$B1:$AS727,23,FALSE)," ")</f>
        <v xml:space="preserve"> </v>
      </c>
      <c r="Q223" s="53" t="str">
        <f>IFERROR(VLOOKUP($A223,'The List'!$B1:$AS727,24,FALSE)," ")</f>
        <v xml:space="preserve"> </v>
      </c>
      <c r="R223" s="53" t="str">
        <f>IFERROR(VLOOKUP($A223,'The List'!$B1:$AS727,25,FALSE)," ")</f>
        <v xml:space="preserve"> </v>
      </c>
      <c r="S223" s="53" t="str">
        <f>IFERROR(VLOOKUP($A223,'The List'!$B1:$AS727,26,FALSE)," ")</f>
        <v xml:space="preserve"> </v>
      </c>
      <c r="T223" s="53" t="str">
        <f>IFERROR(VLOOKUP($A223,'The List'!$B1:$AS727,27,FALSE)," ")</f>
        <v xml:space="preserve"> </v>
      </c>
      <c r="U223" s="53" t="str">
        <f>IFERROR(VLOOKUP($A223,'The List'!$B1:$AS727,28,FALSE)," ")</f>
        <v xml:space="preserve"> </v>
      </c>
      <c r="V223" s="53" t="str">
        <f>IFERROR(VLOOKUP($A223,'The List'!$B1:$AS727,29,FALSE)," ")</f>
        <v xml:space="preserve"> </v>
      </c>
      <c r="W223" s="53" t="str">
        <f>IFERROR(VLOOKUP($A223,'The List'!$B1:$AS727,30,FALSE)," ")</f>
        <v xml:space="preserve"> </v>
      </c>
      <c r="X223" s="53" t="str">
        <f>IFERROR(VLOOKUP($A223,'The List'!$B1:$AS727,31,FALSE)," ")</f>
        <v xml:space="preserve"> </v>
      </c>
      <c r="Y223" s="53" t="str">
        <f>IFERROR(VLOOKUP($A223,'The List'!$B1:$AS727,32,FALSE)," ")</f>
        <v xml:space="preserve"> </v>
      </c>
      <c r="Z223" s="53" t="str">
        <f>IFERROR(VLOOKUP($A223,'The List'!$B1:$AS727,33,FALSE)," ")</f>
        <v xml:space="preserve"> </v>
      </c>
      <c r="AA223" s="55"/>
      <c r="AB223" s="60"/>
      <c r="AC223" s="60"/>
      <c r="AD223" s="60"/>
      <c r="AE223" s="60"/>
      <c r="AF223" s="60"/>
    </row>
    <row r="224" spans="1:32" ht="21.25" customHeight="1" x14ac:dyDescent="0.15">
      <c r="A224" s="72"/>
      <c r="B224" s="73" t="str">
        <f>IFERROR(VLOOKUP($A224,'The List'!$B1:$AS727,3,FALSE)," ")</f>
        <v xml:space="preserve"> </v>
      </c>
      <c r="C224" s="74" t="str">
        <f>IFERROR(VLOOKUP($A224,'The List'!$B1:$AS727,4,FALSE)," ")</f>
        <v xml:space="preserve"> </v>
      </c>
      <c r="D224" s="75" t="str">
        <f>IFERROR(VLOOKUP($A224,'The List'!$B1:$AS727,5,FALSE)," ")</f>
        <v xml:space="preserve"> </v>
      </c>
      <c r="E224" s="75" t="str">
        <f>IFERROR(VLOOKUP($A224,'The List'!$B1:$AS727,6,FALSE)," ")</f>
        <v xml:space="preserve"> </v>
      </c>
      <c r="F224" s="76" t="str">
        <f>IFERROR(VLOOKUP($A224,'The List'!$B1:$AS727,8,FALSE)," ")</f>
        <v xml:space="preserve"> </v>
      </c>
      <c r="G224" s="76" t="str">
        <f>IFERROR(VLOOKUP($A224,'The List'!$B1:$AS727,10,FALSE)," ")</f>
        <v xml:space="preserve"> </v>
      </c>
      <c r="H224" s="77"/>
      <c r="I224" s="78" t="str">
        <f>IFERROR(VLOOKUP($A224,'The List'!$B1:$AS727,16,FALSE)," ")</f>
        <v xml:space="preserve"> </v>
      </c>
      <c r="J224" s="78" t="str">
        <f>IFERROR(VLOOKUP($A224,'The List'!$B1:$AS727,17,FALSE)," ")</f>
        <v xml:space="preserve"> </v>
      </c>
      <c r="K224" s="78" t="str">
        <f>IFERROR(VLOOKUP($A224,'The List'!$B1:$AS727,18,FALSE)," ")</f>
        <v xml:space="preserve"> </v>
      </c>
      <c r="L224" s="78" t="str">
        <f>IFERROR(VLOOKUP($A224,'The List'!$B1:$AS727,19,FALSE)," ")</f>
        <v xml:space="preserve"> </v>
      </c>
      <c r="M224" s="78" t="str">
        <f>IFERROR(VLOOKUP($A224,'The List'!$B1:$AS727,20,FALSE)," ")</f>
        <v xml:space="preserve"> </v>
      </c>
      <c r="N224" s="78" t="str">
        <f>IFERROR(VLOOKUP($A224,'The List'!$B1:$AS727,21,FALSE)," ")</f>
        <v xml:space="preserve"> </v>
      </c>
      <c r="O224" s="78" t="str">
        <f>IFERROR(VLOOKUP($A224,'The List'!$B1:$AS727,22,FALSE)," ")</f>
        <v xml:space="preserve"> </v>
      </c>
      <c r="P224" s="78" t="str">
        <f>IFERROR(VLOOKUP($A224,'The List'!$B1:$AS727,23,FALSE)," ")</f>
        <v xml:space="preserve"> </v>
      </c>
      <c r="Q224" s="78" t="str">
        <f>IFERROR(VLOOKUP($A224,'The List'!$B1:$AS727,24,FALSE)," ")</f>
        <v xml:space="preserve"> </v>
      </c>
      <c r="R224" s="78" t="str">
        <f>IFERROR(VLOOKUP($A224,'The List'!$B1:$AS727,25,FALSE)," ")</f>
        <v xml:space="preserve"> </v>
      </c>
      <c r="S224" s="78" t="str">
        <f>IFERROR(VLOOKUP($A224,'The List'!$B1:$AS727,26,FALSE)," ")</f>
        <v xml:space="preserve"> </v>
      </c>
      <c r="T224" s="78" t="str">
        <f>IFERROR(VLOOKUP($A224,'The List'!$B1:$AS727,27,FALSE)," ")</f>
        <v xml:space="preserve"> </v>
      </c>
      <c r="U224" s="78" t="str">
        <f>IFERROR(VLOOKUP($A224,'The List'!$B1:$AS727,28,FALSE)," ")</f>
        <v xml:space="preserve"> </v>
      </c>
      <c r="V224" s="78" t="str">
        <f>IFERROR(VLOOKUP($A224,'The List'!$B1:$AS727,29,FALSE)," ")</f>
        <v xml:space="preserve"> </v>
      </c>
      <c r="W224" s="78" t="str">
        <f>IFERROR(VLOOKUP($A224,'The List'!$B1:$AS727,30,FALSE)," ")</f>
        <v xml:space="preserve"> </v>
      </c>
      <c r="X224" s="78" t="str">
        <f>IFERROR(VLOOKUP($A224,'The List'!$B1:$AS727,31,FALSE)," ")</f>
        <v xml:space="preserve"> </v>
      </c>
      <c r="Y224" s="78" t="str">
        <f>IFERROR(VLOOKUP($A224,'The List'!$B1:$AS727,32,FALSE)," ")</f>
        <v xml:space="preserve"> </v>
      </c>
      <c r="Z224" s="78" t="str">
        <f>IFERROR(VLOOKUP($A224,'The List'!$B1:$AS727,33,FALSE)," ")</f>
        <v xml:space="preserve"> </v>
      </c>
      <c r="AA224" s="55"/>
      <c r="AB224" s="60"/>
      <c r="AC224" s="60"/>
      <c r="AD224" s="60"/>
      <c r="AE224" s="60"/>
      <c r="AF224" s="60"/>
    </row>
    <row r="225" spans="1:32" ht="21.25" customHeight="1" x14ac:dyDescent="0.15">
      <c r="A225" s="79"/>
      <c r="B225" s="80"/>
      <c r="C225" s="81"/>
      <c r="D225" s="82"/>
      <c r="E225" s="117" t="str">
        <f>IFERROR(AVERAGE(E205:E224)," ")</f>
        <v xml:space="preserve"> </v>
      </c>
      <c r="F225" s="84">
        <f>SUM(F205:F224)</f>
        <v>0</v>
      </c>
      <c r="G225" s="84">
        <f>SUM(G205:G224)</f>
        <v>0</v>
      </c>
      <c r="H225" s="85"/>
      <c r="I225" s="86">
        <f>SUM(I205:I224)</f>
        <v>0</v>
      </c>
      <c r="J225" s="85" t="e">
        <f>AVERAGE(J205:J224)</f>
        <v>#DIV/0!</v>
      </c>
      <c r="K225" s="86">
        <f t="shared" ref="K225:Y225" si="14">SUM(K205:K224)</f>
        <v>0</v>
      </c>
      <c r="L225" s="86">
        <f t="shared" si="14"/>
        <v>0</v>
      </c>
      <c r="M225" s="86">
        <f t="shared" si="14"/>
        <v>0</v>
      </c>
      <c r="N225" s="86">
        <f t="shared" si="14"/>
        <v>0</v>
      </c>
      <c r="O225" s="86">
        <f t="shared" si="14"/>
        <v>0</v>
      </c>
      <c r="P225" s="86">
        <f t="shared" si="14"/>
        <v>0</v>
      </c>
      <c r="Q225" s="86">
        <f t="shared" si="14"/>
        <v>0</v>
      </c>
      <c r="R225" s="86">
        <f t="shared" si="14"/>
        <v>0</v>
      </c>
      <c r="S225" s="86">
        <f t="shared" si="14"/>
        <v>0</v>
      </c>
      <c r="T225" s="86">
        <f t="shared" si="14"/>
        <v>0</v>
      </c>
      <c r="U225" s="86">
        <f t="shared" si="14"/>
        <v>0</v>
      </c>
      <c r="V225" s="86">
        <f t="shared" si="14"/>
        <v>0</v>
      </c>
      <c r="W225" s="86">
        <f t="shared" si="14"/>
        <v>0</v>
      </c>
      <c r="X225" s="86">
        <f t="shared" si="14"/>
        <v>0</v>
      </c>
      <c r="Y225" s="86">
        <f t="shared" si="14"/>
        <v>0</v>
      </c>
      <c r="Z225" s="87">
        <f>IFERROR(X225/(X225+Y225),0)</f>
        <v>0</v>
      </c>
      <c r="AA225" s="55"/>
      <c r="AB225" s="88"/>
      <c r="AC225" s="88"/>
      <c r="AD225" s="88"/>
      <c r="AE225" s="88"/>
      <c r="AF225" s="88"/>
    </row>
    <row r="226" spans="1:32" ht="21.25" customHeight="1" x14ac:dyDescent="0.15">
      <c r="A226" s="89"/>
      <c r="B226" s="90"/>
      <c r="C226" s="91"/>
      <c r="D226" s="11"/>
      <c r="E226" s="11"/>
      <c r="F226" s="92"/>
      <c r="G226" s="93"/>
      <c r="H226" s="94"/>
      <c r="I226" s="9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60"/>
      <c r="AC226" s="60"/>
      <c r="AD226" s="60"/>
      <c r="AE226" s="60"/>
      <c r="AF226" s="60"/>
    </row>
    <row r="227" spans="1:32" ht="21.25" customHeight="1" x14ac:dyDescent="0.15">
      <c r="A227" s="24" t="s">
        <v>66</v>
      </c>
      <c r="B227" s="174" t="s">
        <v>68</v>
      </c>
      <c r="C227" s="165"/>
      <c r="D227" s="96" t="s">
        <v>69</v>
      </c>
      <c r="E227" s="96" t="s">
        <v>70</v>
      </c>
      <c r="F227" s="97" t="s">
        <v>72</v>
      </c>
      <c r="G227" s="97" t="s">
        <v>74</v>
      </c>
      <c r="H227" s="98"/>
      <c r="I227" s="99" t="s">
        <v>79</v>
      </c>
      <c r="J227" s="99" t="s">
        <v>97</v>
      </c>
      <c r="K227" s="99" t="s">
        <v>98</v>
      </c>
      <c r="L227" s="99" t="s">
        <v>99</v>
      </c>
      <c r="M227" s="99" t="s">
        <v>100</v>
      </c>
      <c r="N227" s="99" t="s">
        <v>101</v>
      </c>
      <c r="O227" s="99" t="s">
        <v>102</v>
      </c>
      <c r="P227" s="99" t="s">
        <v>103</v>
      </c>
      <c r="Q227" s="99" t="s">
        <v>104</v>
      </c>
      <c r="R227" s="55"/>
      <c r="S227" s="55"/>
      <c r="T227" s="55"/>
      <c r="U227" s="174" t="s">
        <v>850</v>
      </c>
      <c r="V227" s="175"/>
      <c r="W227" s="175"/>
      <c r="X227" s="174" t="s">
        <v>851</v>
      </c>
      <c r="Y227" s="175"/>
      <c r="Z227" s="175"/>
      <c r="AA227" s="55"/>
      <c r="AB227" s="55"/>
      <c r="AC227" s="55"/>
      <c r="AD227" s="55"/>
      <c r="AE227" s="55"/>
      <c r="AF227" s="55"/>
    </row>
    <row r="228" spans="1:32" ht="21.25" customHeight="1" x14ac:dyDescent="0.15">
      <c r="A228" s="118"/>
      <c r="B228" s="101" t="str">
        <f>IFERROR(VLOOKUP($A228,'The List'!$B1:$AS727,3,FALSE)," ")</f>
        <v xml:space="preserve"> </v>
      </c>
      <c r="C228" s="119" t="str">
        <f>IFERROR(VLOOKUP($A228,'The List'!$B1:$AS727,4,FALSE)," ")</f>
        <v xml:space="preserve"> </v>
      </c>
      <c r="D228" s="103" t="str">
        <f>IFERROR(VLOOKUP($A228,'The List'!$B1:$AS727,5,FALSE)," ")</f>
        <v xml:space="preserve"> </v>
      </c>
      <c r="E228" s="103" t="str">
        <f>IFERROR(VLOOKUP($A228,'The List'!$B1:$AS727,6,FALSE)," ")</f>
        <v xml:space="preserve"> </v>
      </c>
      <c r="F228" s="120" t="str">
        <f>IFERROR(VLOOKUP($A228,'The List'!$B1:$AS727,8,FALSE)," ")</f>
        <v xml:space="preserve"> </v>
      </c>
      <c r="G228" s="120" t="str">
        <f>IFERROR(VLOOKUP($A228,'The List'!$B1:$AS727,10,FALSE)," ")</f>
        <v xml:space="preserve"> </v>
      </c>
      <c r="H228" s="106"/>
      <c r="I228" s="121" t="str">
        <f>IFERROR(VLOOKUP($A228,'The List'!$B1:$AS727,35,FALSE)," ")</f>
        <v xml:space="preserve"> </v>
      </c>
      <c r="J228" s="121" t="str">
        <f>IFERROR(VLOOKUP($A228,'The List'!$B1:$AS727,36,FALSE)," ")</f>
        <v xml:space="preserve"> </v>
      </c>
      <c r="K228" s="121" t="str">
        <f>IFERROR(VLOOKUP($A228,'The List'!$B1:$AS727,37,FALSE)," ")</f>
        <v xml:space="preserve"> </v>
      </c>
      <c r="L228" s="121" t="str">
        <f>IFERROR(VLOOKUP($A228,'The List'!$B1:$AS727,38,FALSE)," ")</f>
        <v xml:space="preserve"> </v>
      </c>
      <c r="M228" s="121" t="str">
        <f>IFERROR(VLOOKUP($A228,'The List'!$B1:$AS727,39,FALSE)," ")</f>
        <v xml:space="preserve"> </v>
      </c>
      <c r="N228" s="121" t="str">
        <f>IFERROR(VLOOKUP($A228,'The List'!$B1:$AS727,40,FALSE)," ")</f>
        <v xml:space="preserve"> </v>
      </c>
      <c r="O228" s="121" t="str">
        <f>IFERROR(VLOOKUP($A228,'The List'!$B1:$AS727,41,FALSE)," ")</f>
        <v xml:space="preserve"> </v>
      </c>
      <c r="P228" s="121" t="str">
        <f>IFERROR(VLOOKUP($A228,'The List'!$B1:$AS727,42,FALSE)," ")</f>
        <v xml:space="preserve"> </v>
      </c>
      <c r="Q228" s="121" t="str">
        <f>IFERROR(VLOOKUP($A228,'The List'!$B1:$AS727,43,FALSE)," ")</f>
        <v xml:space="preserve"> </v>
      </c>
      <c r="R228" s="55"/>
      <c r="S228" s="55"/>
      <c r="T228" s="110" t="str">
        <f>A204</f>
        <v>TEAM 8</v>
      </c>
      <c r="U228" s="176">
        <f>F225+F231</f>
        <v>0</v>
      </c>
      <c r="V228" s="165"/>
      <c r="W228" s="165"/>
      <c r="X228" s="176">
        <f>G231+G225</f>
        <v>0</v>
      </c>
      <c r="Y228" s="165"/>
      <c r="Z228" s="165"/>
      <c r="AA228" s="55"/>
      <c r="AB228" s="55"/>
      <c r="AC228" s="55"/>
      <c r="AD228" s="55"/>
      <c r="AE228" s="55"/>
      <c r="AF228" s="55"/>
    </row>
    <row r="229" spans="1:32" ht="21.25" customHeight="1" x14ac:dyDescent="0.15">
      <c r="A229" s="23"/>
      <c r="B229" s="111" t="str">
        <f>IFERROR(VLOOKUP($A229,'The List'!$B1:$AS727,3,FALSE)," ")</f>
        <v xml:space="preserve"> </v>
      </c>
      <c r="C229" s="112" t="str">
        <f>IFERROR(VLOOKUP($A229,'The List'!$B1:$AS727,4,FALSE)," ")</f>
        <v xml:space="preserve"> </v>
      </c>
      <c r="D229" s="35" t="str">
        <f>IFERROR(VLOOKUP($A229,'The List'!$B1:$AS727,5,FALSE)," ")</f>
        <v xml:space="preserve"> </v>
      </c>
      <c r="E229" s="35" t="str">
        <f>IFERROR(VLOOKUP($A229,'The List'!$B1:$AS727,6,FALSE)," ")</f>
        <v xml:space="preserve"> </v>
      </c>
      <c r="F229" s="52" t="str">
        <f>IFERROR(VLOOKUP($A229,'The List'!$B1:$AS727,8,FALSE)," ")</f>
        <v xml:space="preserve"> </v>
      </c>
      <c r="G229" s="52" t="str">
        <f>IFERROR(VLOOKUP($A229,'The List'!$B1:$AS727,10,FALSE)," ")</f>
        <v xml:space="preserve"> </v>
      </c>
      <c r="H229" s="39"/>
      <c r="I229" s="53" t="str">
        <f>IFERROR(VLOOKUP($A229,'The List'!$B1:$AS727,35,FALSE)," ")</f>
        <v xml:space="preserve"> </v>
      </c>
      <c r="J229" s="53" t="str">
        <f>IFERROR(VLOOKUP($A229,'The List'!$B1:$AS727,36,FALSE)," ")</f>
        <v xml:space="preserve"> </v>
      </c>
      <c r="K229" s="53" t="str">
        <f>IFERROR(VLOOKUP($A229,'The List'!$B1:$AS727,37,FALSE)," ")</f>
        <v xml:space="preserve"> </v>
      </c>
      <c r="L229" s="53" t="str">
        <f>IFERROR(VLOOKUP($A229,'The List'!$B1:$AS727,38,FALSE)," ")</f>
        <v xml:space="preserve"> </v>
      </c>
      <c r="M229" s="53" t="str">
        <f>IFERROR(VLOOKUP($A229,'The List'!$B1:$AS727,39,FALSE)," ")</f>
        <v xml:space="preserve"> </v>
      </c>
      <c r="N229" s="53" t="str">
        <f>IFERROR(VLOOKUP($A229,'The List'!$B1:$AS727,40,FALSE)," ")</f>
        <v xml:space="preserve"> </v>
      </c>
      <c r="O229" s="53" t="str">
        <f>IFERROR(VLOOKUP($A229,'The List'!$B1:$AS727,41,FALSE)," ")</f>
        <v xml:space="preserve"> </v>
      </c>
      <c r="P229" s="53" t="str">
        <f>IFERROR(VLOOKUP($A229,'The List'!$B1:$AS727,42,FALSE)," ")</f>
        <v xml:space="preserve"> </v>
      </c>
      <c r="Q229" s="53" t="str">
        <f>IFERROR(VLOOKUP($A229,'The List'!$B1:$AS727,43,FALSE)," ")</f>
        <v xml:space="preserve"> </v>
      </c>
      <c r="R229" s="55"/>
      <c r="S229" s="55"/>
      <c r="T229" s="55"/>
      <c r="U229" s="165"/>
      <c r="V229" s="165"/>
      <c r="W229" s="165"/>
      <c r="X229" s="165"/>
      <c r="Y229" s="165"/>
      <c r="Z229" s="165"/>
      <c r="AA229" s="55"/>
      <c r="AB229" s="55"/>
      <c r="AC229" s="55"/>
      <c r="AD229" s="55"/>
      <c r="AE229" s="55"/>
      <c r="AF229" s="55"/>
    </row>
    <row r="230" spans="1:32" ht="21.25" customHeight="1" x14ac:dyDescent="0.15">
      <c r="A230" s="72"/>
      <c r="B230" s="113" t="str">
        <f>IFERROR(VLOOKUP($A230,'The List'!$B1:$AS727,3,FALSE)," ")</f>
        <v xml:space="preserve"> </v>
      </c>
      <c r="C230" s="114" t="str">
        <f>IFERROR(VLOOKUP($A230,'The List'!$B1:$AS727,4,FALSE)," ")</f>
        <v xml:space="preserve"> </v>
      </c>
      <c r="D230" s="75" t="str">
        <f>IFERROR(VLOOKUP($A230,'The List'!$B1:$AS727,5,FALSE)," ")</f>
        <v xml:space="preserve"> </v>
      </c>
      <c r="E230" s="75" t="str">
        <f>IFERROR(VLOOKUP($A230,'The List'!$B1:$AS727,6,FALSE)," ")</f>
        <v xml:space="preserve"> </v>
      </c>
      <c r="F230" s="76" t="str">
        <f>IFERROR(VLOOKUP($A230,'The List'!$B1:$AS727,8,FALSE)," ")</f>
        <v xml:space="preserve"> </v>
      </c>
      <c r="G230" s="76" t="str">
        <f>IFERROR(VLOOKUP($A230,'The List'!$B1:$AS727,10,FALSE)," ")</f>
        <v xml:space="preserve"> </v>
      </c>
      <c r="H230" s="77"/>
      <c r="I230" s="78" t="str">
        <f>IFERROR(VLOOKUP($A230,'The List'!$B1:$AS727,35,FALSE)," ")</f>
        <v xml:space="preserve"> </v>
      </c>
      <c r="J230" s="78" t="str">
        <f>IFERROR(VLOOKUP($A230,'The List'!$B1:$AS727,36,FALSE)," ")</f>
        <v xml:space="preserve"> </v>
      </c>
      <c r="K230" s="78" t="str">
        <f>IFERROR(VLOOKUP($A230,'The List'!$B1:$AS727,37,FALSE)," ")</f>
        <v xml:space="preserve"> </v>
      </c>
      <c r="L230" s="78" t="str">
        <f>IFERROR(VLOOKUP($A230,'The List'!$B1:$AS727,38,FALSE)," ")</f>
        <v xml:space="preserve"> </v>
      </c>
      <c r="M230" s="78" t="str">
        <f>IFERROR(VLOOKUP($A230,'The List'!$B1:$AS727,39,FALSE)," ")</f>
        <v xml:space="preserve"> </v>
      </c>
      <c r="N230" s="78" t="str">
        <f>IFERROR(VLOOKUP($A230,'The List'!$B1:$AS727,40,FALSE)," ")</f>
        <v xml:space="preserve"> </v>
      </c>
      <c r="O230" s="78" t="str">
        <f>IFERROR(VLOOKUP($A230,'The List'!$B1:$AS727,41,FALSE)," ")</f>
        <v xml:space="preserve"> </v>
      </c>
      <c r="P230" s="78" t="str">
        <f>IFERROR(VLOOKUP($A230,'The List'!$B1:$AS727,42,FALSE)," ")</f>
        <v xml:space="preserve"> </v>
      </c>
      <c r="Q230" s="78" t="str">
        <f>IFERROR(VLOOKUP($A230,'The List'!$B1:$AS727,43,FALSE)," ")</f>
        <v xml:space="preserve"> </v>
      </c>
      <c r="R230" s="55"/>
      <c r="S230" s="55"/>
      <c r="T230" s="55"/>
      <c r="U230" s="165"/>
      <c r="V230" s="165"/>
      <c r="W230" s="165"/>
      <c r="X230" s="165"/>
      <c r="Y230" s="165"/>
      <c r="Z230" s="165"/>
      <c r="AA230" s="55"/>
      <c r="AB230" s="55"/>
      <c r="AC230" s="55"/>
      <c r="AD230" s="55"/>
      <c r="AE230" s="55"/>
      <c r="AF230" s="55"/>
    </row>
    <row r="231" spans="1:32" ht="21.25" customHeight="1" x14ac:dyDescent="0.15">
      <c r="A231" s="79"/>
      <c r="B231" s="80"/>
      <c r="C231" s="81"/>
      <c r="D231" s="82"/>
      <c r="E231" s="117" t="str">
        <f>IFERROR(AVERAGE(E228:E230)," ")</f>
        <v xml:space="preserve"> </v>
      </c>
      <c r="F231" s="84">
        <f>SUM(F228:F230)</f>
        <v>0</v>
      </c>
      <c r="G231" s="84">
        <f>SUM(G228:G230)</f>
        <v>0</v>
      </c>
      <c r="H231" s="85"/>
      <c r="I231" s="86">
        <f t="shared" ref="I231:O231" si="15">SUM(I228:I230)</f>
        <v>0</v>
      </c>
      <c r="J231" s="85">
        <f t="shared" si="15"/>
        <v>0</v>
      </c>
      <c r="K231" s="86">
        <f t="shared" si="15"/>
        <v>0</v>
      </c>
      <c r="L231" s="86">
        <f t="shared" si="15"/>
        <v>0</v>
      </c>
      <c r="M231" s="86">
        <f t="shared" si="15"/>
        <v>0</v>
      </c>
      <c r="N231" s="86">
        <f t="shared" si="15"/>
        <v>0</v>
      </c>
      <c r="O231" s="86">
        <f t="shared" si="15"/>
        <v>0</v>
      </c>
      <c r="P231" s="115" t="e">
        <f>1-(O231/(N231+O231))</f>
        <v>#DIV/0!</v>
      </c>
      <c r="Q231" s="116" t="e">
        <f>O231/I231</f>
        <v>#DIV/0!</v>
      </c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</row>
    <row r="232" spans="1:32" ht="70.75" customHeight="1" x14ac:dyDescent="0.15">
      <c r="A232" s="89"/>
      <c r="B232" s="90"/>
      <c r="C232" s="91"/>
      <c r="D232" s="11"/>
      <c r="E232" s="11"/>
      <c r="F232" s="92"/>
      <c r="G232" s="93"/>
      <c r="H232" s="94"/>
      <c r="I232" s="9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60"/>
      <c r="AB232" s="60"/>
      <c r="AC232" s="60"/>
      <c r="AD232" s="60"/>
      <c r="AE232" s="60"/>
      <c r="AF232" s="60"/>
    </row>
    <row r="233" spans="1:32" ht="21.25" customHeight="1" x14ac:dyDescent="0.15">
      <c r="A233" s="25" t="s">
        <v>842</v>
      </c>
      <c r="B233" s="173" t="s">
        <v>68</v>
      </c>
      <c r="C233" s="170"/>
      <c r="D233" s="26" t="s">
        <v>69</v>
      </c>
      <c r="E233" s="26" t="s">
        <v>70</v>
      </c>
      <c r="F233" s="27" t="s">
        <v>72</v>
      </c>
      <c r="G233" s="27" t="s">
        <v>74</v>
      </c>
      <c r="H233" s="28"/>
      <c r="I233" s="30" t="s">
        <v>79</v>
      </c>
      <c r="J233" s="30" t="s">
        <v>80</v>
      </c>
      <c r="K233" s="30" t="s">
        <v>81</v>
      </c>
      <c r="L233" s="30" t="s">
        <v>82</v>
      </c>
      <c r="M233" s="30" t="s">
        <v>83</v>
      </c>
      <c r="N233" s="30" t="s">
        <v>84</v>
      </c>
      <c r="O233" s="30" t="s">
        <v>85</v>
      </c>
      <c r="P233" s="30" t="s">
        <v>86</v>
      </c>
      <c r="Q233" s="30" t="s">
        <v>87</v>
      </c>
      <c r="R233" s="30" t="s">
        <v>88</v>
      </c>
      <c r="S233" s="30" t="s">
        <v>89</v>
      </c>
      <c r="T233" s="30" t="s">
        <v>90</v>
      </c>
      <c r="U233" s="30" t="s">
        <v>91</v>
      </c>
      <c r="V233" s="30" t="s">
        <v>92</v>
      </c>
      <c r="W233" s="30" t="s">
        <v>93</v>
      </c>
      <c r="X233" s="30" t="s">
        <v>94</v>
      </c>
      <c r="Y233" s="30" t="s">
        <v>95</v>
      </c>
      <c r="Z233" s="30" t="s">
        <v>96</v>
      </c>
      <c r="AA233" s="55"/>
      <c r="AB233" s="56"/>
      <c r="AC233" s="56"/>
      <c r="AD233" s="56"/>
      <c r="AE233" s="56"/>
      <c r="AF233" s="56"/>
    </row>
    <row r="234" spans="1:32" ht="21.25" customHeight="1" x14ac:dyDescent="0.15">
      <c r="A234" s="23"/>
      <c r="B234" s="57" t="str">
        <f>IFERROR(VLOOKUP($A234,'The List'!$B1:$AS727,3,FALSE)," ")</f>
        <v xml:space="preserve"> </v>
      </c>
      <c r="C234" s="61" t="str">
        <f>IFERROR(VLOOKUP($A234,'The List'!$B1:$AS727,4,FALSE)," ")</f>
        <v xml:space="preserve"> </v>
      </c>
      <c r="D234" s="35" t="str">
        <f>IFERROR(VLOOKUP($A234,'The List'!$B1:$AS727,5,FALSE)," ")</f>
        <v xml:space="preserve"> </v>
      </c>
      <c r="E234" s="35" t="str">
        <f>IFERROR(VLOOKUP($A234,'The List'!$B1:$AS727,6,FALSE)," ")</f>
        <v xml:space="preserve"> </v>
      </c>
      <c r="F234" s="52" t="str">
        <f>IFERROR(VLOOKUP($A234,'The List'!$B1:$AS727,8,FALSE)," ")</f>
        <v xml:space="preserve"> </v>
      </c>
      <c r="G234" s="52" t="str">
        <f>IFERROR(VLOOKUP($A234,'The List'!$B1:$AS727,10,FALSE)," ")</f>
        <v xml:space="preserve"> </v>
      </c>
      <c r="H234" s="39"/>
      <c r="I234" s="53" t="str">
        <f>IFERROR(VLOOKUP($A234,'The List'!$B1:$AS727,16,FALSE)," ")</f>
        <v xml:space="preserve"> </v>
      </c>
      <c r="J234" s="53" t="str">
        <f>IFERROR(VLOOKUP($A234,'The List'!$B1:$AS727,17,FALSE)," ")</f>
        <v xml:space="preserve"> </v>
      </c>
      <c r="K234" s="53" t="str">
        <f>IFERROR(VLOOKUP($A234,'The List'!$B1:$AS727,18,FALSE)," ")</f>
        <v xml:space="preserve"> </v>
      </c>
      <c r="L234" s="53" t="str">
        <f>IFERROR(VLOOKUP($A234,'The List'!$B1:$AS727,19,FALSE)," ")</f>
        <v xml:space="preserve"> </v>
      </c>
      <c r="M234" s="53" t="str">
        <f>IFERROR(VLOOKUP($A234,'The List'!$B1:$AS727,20,FALSE)," ")</f>
        <v xml:space="preserve"> </v>
      </c>
      <c r="N234" s="53" t="str">
        <f>IFERROR(VLOOKUP($A234,'The List'!$B1:$AS727,21,FALSE)," ")</f>
        <v xml:space="preserve"> </v>
      </c>
      <c r="O234" s="53" t="str">
        <f>IFERROR(VLOOKUP($A234,'The List'!$B1:$AS727,22,FALSE)," ")</f>
        <v xml:space="preserve"> </v>
      </c>
      <c r="P234" s="53" t="str">
        <f>IFERROR(VLOOKUP($A234,'The List'!$B1:$AS727,23,FALSE)," ")</f>
        <v xml:space="preserve"> </v>
      </c>
      <c r="Q234" s="53" t="str">
        <f>IFERROR(VLOOKUP($A234,'The List'!$B1:$AS727,24,FALSE)," ")</f>
        <v xml:space="preserve"> </v>
      </c>
      <c r="R234" s="53" t="str">
        <f>IFERROR(VLOOKUP($A234,'The List'!$B1:$AS727,25,FALSE)," ")</f>
        <v xml:space="preserve"> </v>
      </c>
      <c r="S234" s="53" t="str">
        <f>IFERROR(VLOOKUP($A234,'The List'!$B1:$AS727,26,FALSE)," ")</f>
        <v xml:space="preserve"> </v>
      </c>
      <c r="T234" s="53" t="str">
        <f>IFERROR(VLOOKUP($A234,'The List'!$B1:$AS727,27,FALSE)," ")</f>
        <v xml:space="preserve"> </v>
      </c>
      <c r="U234" s="53" t="str">
        <f>IFERROR(VLOOKUP($A234,'The List'!$B1:$AS727,28,FALSE)," ")</f>
        <v xml:space="preserve"> </v>
      </c>
      <c r="V234" s="53" t="str">
        <f>IFERROR(VLOOKUP($A234,'The List'!$B1:$AS727,29,FALSE)," ")</f>
        <v xml:space="preserve"> </v>
      </c>
      <c r="W234" s="53" t="str">
        <f>IFERROR(VLOOKUP($A234,'The List'!$B1:$AS727,30,FALSE)," ")</f>
        <v xml:space="preserve"> </v>
      </c>
      <c r="X234" s="53" t="str">
        <f>IFERROR(VLOOKUP($A234,'The List'!$B1:$AS727,31,FALSE)," ")</f>
        <v xml:space="preserve"> </v>
      </c>
      <c r="Y234" s="53" t="str">
        <f>IFERROR(VLOOKUP($A234,'The List'!$B1:$AS727,32,FALSE)," ")</f>
        <v xml:space="preserve"> </v>
      </c>
      <c r="Z234" s="53" t="str">
        <f>IFERROR(VLOOKUP($A234,'The List'!$B1:$AS727,33,FALSE)," ")</f>
        <v xml:space="preserve"> </v>
      </c>
      <c r="AA234" s="55"/>
      <c r="AB234" s="60"/>
      <c r="AC234" s="60"/>
      <c r="AD234" s="60"/>
      <c r="AE234" s="60"/>
      <c r="AF234" s="60"/>
    </row>
    <row r="235" spans="1:32" ht="21.25" customHeight="1" x14ac:dyDescent="0.15">
      <c r="A235" s="23"/>
      <c r="B235" s="57" t="str">
        <f>IFERROR(VLOOKUP($A235,'The List'!$B1:$AS727,3,FALSE)," ")</f>
        <v xml:space="preserve"> </v>
      </c>
      <c r="C235" s="61" t="str">
        <f>IFERROR(VLOOKUP($A235,'The List'!$B1:$AS727,4,FALSE)," ")</f>
        <v xml:space="preserve"> </v>
      </c>
      <c r="D235" s="35" t="str">
        <f>IFERROR(VLOOKUP($A235,'The List'!$B1:$AS727,5,FALSE)," ")</f>
        <v xml:space="preserve"> </v>
      </c>
      <c r="E235" s="35" t="str">
        <f>IFERROR(VLOOKUP($A235,'The List'!$B1:$AS727,6,FALSE)," ")</f>
        <v xml:space="preserve"> </v>
      </c>
      <c r="F235" s="52" t="str">
        <f>IFERROR(VLOOKUP($A235,'The List'!$B1:$AS727,8,FALSE)," ")</f>
        <v xml:space="preserve"> </v>
      </c>
      <c r="G235" s="52" t="str">
        <f>IFERROR(VLOOKUP($A235,'The List'!$B1:$AS727,10,FALSE)," ")</f>
        <v xml:space="preserve"> </v>
      </c>
      <c r="H235" s="39"/>
      <c r="I235" s="53" t="str">
        <f>IFERROR(VLOOKUP($A235,'The List'!$B1:$AS727,16,FALSE)," ")</f>
        <v xml:space="preserve"> </v>
      </c>
      <c r="J235" s="53" t="str">
        <f>IFERROR(VLOOKUP($A235,'The List'!$B1:$AS727,17,FALSE)," ")</f>
        <v xml:space="preserve"> </v>
      </c>
      <c r="K235" s="53" t="str">
        <f>IFERROR(VLOOKUP($A235,'The List'!$B1:$AS727,18,FALSE)," ")</f>
        <v xml:space="preserve"> </v>
      </c>
      <c r="L235" s="53" t="str">
        <f>IFERROR(VLOOKUP($A235,'The List'!$B1:$AS727,19,FALSE)," ")</f>
        <v xml:space="preserve"> </v>
      </c>
      <c r="M235" s="53" t="str">
        <f>IFERROR(VLOOKUP($A235,'The List'!$B1:$AS727,20,FALSE)," ")</f>
        <v xml:space="preserve"> </v>
      </c>
      <c r="N235" s="53" t="str">
        <f>IFERROR(VLOOKUP($A235,'The List'!$B1:$AS727,21,FALSE)," ")</f>
        <v xml:space="preserve"> </v>
      </c>
      <c r="O235" s="53" t="str">
        <f>IFERROR(VLOOKUP($A235,'The List'!$B1:$AS727,22,FALSE)," ")</f>
        <v xml:space="preserve"> </v>
      </c>
      <c r="P235" s="53" t="str">
        <f>IFERROR(VLOOKUP($A235,'The List'!$B1:$AS727,23,FALSE)," ")</f>
        <v xml:space="preserve"> </v>
      </c>
      <c r="Q235" s="53" t="str">
        <f>IFERROR(VLOOKUP($A235,'The List'!$B1:$AS727,24,FALSE)," ")</f>
        <v xml:space="preserve"> </v>
      </c>
      <c r="R235" s="53" t="str">
        <f>IFERROR(VLOOKUP($A235,'The List'!$B1:$AS727,25,FALSE)," ")</f>
        <v xml:space="preserve"> </v>
      </c>
      <c r="S235" s="53" t="str">
        <f>IFERROR(VLOOKUP($A235,'The List'!$B1:$AS727,26,FALSE)," ")</f>
        <v xml:space="preserve"> </v>
      </c>
      <c r="T235" s="53" t="str">
        <f>IFERROR(VLOOKUP($A235,'The List'!$B1:$AS727,27,FALSE)," ")</f>
        <v xml:space="preserve"> </v>
      </c>
      <c r="U235" s="53" t="str">
        <f>IFERROR(VLOOKUP($A235,'The List'!$B1:$AS727,28,FALSE)," ")</f>
        <v xml:space="preserve"> </v>
      </c>
      <c r="V235" s="53" t="str">
        <f>IFERROR(VLOOKUP($A235,'The List'!$B1:$AS727,29,FALSE)," ")</f>
        <v xml:space="preserve"> </v>
      </c>
      <c r="W235" s="53" t="str">
        <f>IFERROR(VLOOKUP($A235,'The List'!$B1:$AS727,30,FALSE)," ")</f>
        <v xml:space="preserve"> </v>
      </c>
      <c r="X235" s="53" t="str">
        <f>IFERROR(VLOOKUP($A235,'The List'!$B1:$AS727,31,FALSE)," ")</f>
        <v xml:space="preserve"> </v>
      </c>
      <c r="Y235" s="53" t="str">
        <f>IFERROR(VLOOKUP($A235,'The List'!$B1:$AS727,32,FALSE)," ")</f>
        <v xml:space="preserve"> </v>
      </c>
      <c r="Z235" s="53" t="str">
        <f>IFERROR(VLOOKUP($A235,'The List'!$B1:$AS727,33,FALSE)," ")</f>
        <v xml:space="preserve"> </v>
      </c>
      <c r="AA235" s="55"/>
      <c r="AB235" s="60"/>
      <c r="AC235" s="60"/>
      <c r="AD235" s="60"/>
      <c r="AE235" s="60"/>
      <c r="AF235" s="60"/>
    </row>
    <row r="236" spans="1:32" ht="21.25" customHeight="1" x14ac:dyDescent="0.15">
      <c r="A236" s="23"/>
      <c r="B236" s="57" t="str">
        <f>IFERROR(VLOOKUP($A236,'The List'!$B1:$AS727,3,FALSE)," ")</f>
        <v xml:space="preserve"> </v>
      </c>
      <c r="C236" s="61" t="str">
        <f>IFERROR(VLOOKUP($A236,'The List'!$B1:$AS727,4,FALSE)," ")</f>
        <v xml:space="preserve"> </v>
      </c>
      <c r="D236" s="35" t="str">
        <f>IFERROR(VLOOKUP($A236,'The List'!$B1:$AS727,5,FALSE)," ")</f>
        <v xml:space="preserve"> </v>
      </c>
      <c r="E236" s="35" t="str">
        <f>IFERROR(VLOOKUP($A236,'The List'!$B1:$AS727,6,FALSE)," ")</f>
        <v xml:space="preserve"> </v>
      </c>
      <c r="F236" s="52" t="str">
        <f>IFERROR(VLOOKUP($A236,'The List'!$B1:$AS727,8,FALSE)," ")</f>
        <v xml:space="preserve"> </v>
      </c>
      <c r="G236" s="52" t="str">
        <f>IFERROR(VLOOKUP($A236,'The List'!$B1:$AS727,10,FALSE)," ")</f>
        <v xml:space="preserve"> </v>
      </c>
      <c r="H236" s="39"/>
      <c r="I236" s="53" t="str">
        <f>IFERROR(VLOOKUP($A236,'The List'!$B1:$AS727,16,FALSE)," ")</f>
        <v xml:space="preserve"> </v>
      </c>
      <c r="J236" s="53" t="str">
        <f>IFERROR(VLOOKUP($A236,'The List'!$B1:$AS727,17,FALSE)," ")</f>
        <v xml:space="preserve"> </v>
      </c>
      <c r="K236" s="53" t="str">
        <f>IFERROR(VLOOKUP($A236,'The List'!$B1:$AS727,18,FALSE)," ")</f>
        <v xml:space="preserve"> </v>
      </c>
      <c r="L236" s="53" t="str">
        <f>IFERROR(VLOOKUP($A236,'The List'!$B1:$AS727,19,FALSE)," ")</f>
        <v xml:space="preserve"> </v>
      </c>
      <c r="M236" s="53" t="str">
        <f>IFERROR(VLOOKUP($A236,'The List'!$B1:$AS727,20,FALSE)," ")</f>
        <v xml:space="preserve"> </v>
      </c>
      <c r="N236" s="53" t="str">
        <f>IFERROR(VLOOKUP($A236,'The List'!$B1:$AS727,21,FALSE)," ")</f>
        <v xml:space="preserve"> </v>
      </c>
      <c r="O236" s="53" t="str">
        <f>IFERROR(VLOOKUP($A236,'The List'!$B1:$AS727,22,FALSE)," ")</f>
        <v xml:space="preserve"> </v>
      </c>
      <c r="P236" s="53" t="str">
        <f>IFERROR(VLOOKUP($A236,'The List'!$B1:$AS727,23,FALSE)," ")</f>
        <v xml:space="preserve"> </v>
      </c>
      <c r="Q236" s="53" t="str">
        <f>IFERROR(VLOOKUP($A236,'The List'!$B1:$AS727,24,FALSE)," ")</f>
        <v xml:space="preserve"> </v>
      </c>
      <c r="R236" s="53" t="str">
        <f>IFERROR(VLOOKUP($A236,'The List'!$B1:$AS727,25,FALSE)," ")</f>
        <v xml:space="preserve"> </v>
      </c>
      <c r="S236" s="53" t="str">
        <f>IFERROR(VLOOKUP($A236,'The List'!$B1:$AS727,26,FALSE)," ")</f>
        <v xml:space="preserve"> </v>
      </c>
      <c r="T236" s="53" t="str">
        <f>IFERROR(VLOOKUP($A236,'The List'!$B1:$AS727,27,FALSE)," ")</f>
        <v xml:space="preserve"> </v>
      </c>
      <c r="U236" s="53" t="str">
        <f>IFERROR(VLOOKUP($A236,'The List'!$B1:$AS727,28,FALSE)," ")</f>
        <v xml:space="preserve"> </v>
      </c>
      <c r="V236" s="53" t="str">
        <f>IFERROR(VLOOKUP($A236,'The List'!$B1:$AS727,29,FALSE)," ")</f>
        <v xml:space="preserve"> </v>
      </c>
      <c r="W236" s="53" t="str">
        <f>IFERROR(VLOOKUP($A236,'The List'!$B1:$AS727,30,FALSE)," ")</f>
        <v xml:space="preserve"> </v>
      </c>
      <c r="X236" s="53" t="str">
        <f>IFERROR(VLOOKUP($A236,'The List'!$B1:$AS727,31,FALSE)," ")</f>
        <v xml:space="preserve"> </v>
      </c>
      <c r="Y236" s="53" t="str">
        <f>IFERROR(VLOOKUP($A236,'The List'!$B1:$AS727,32,FALSE)," ")</f>
        <v xml:space="preserve"> </v>
      </c>
      <c r="Z236" s="53" t="str">
        <f>IFERROR(VLOOKUP($A236,'The List'!$B1:$AS727,33,FALSE)," ")</f>
        <v xml:space="preserve"> </v>
      </c>
      <c r="AA236" s="55"/>
      <c r="AB236" s="60"/>
      <c r="AC236" s="60"/>
      <c r="AD236" s="60"/>
      <c r="AE236" s="60"/>
      <c r="AF236" s="60"/>
    </row>
    <row r="237" spans="1:32" ht="21.25" customHeight="1" x14ac:dyDescent="0.15">
      <c r="A237" s="23"/>
      <c r="B237" s="57" t="str">
        <f>IFERROR(VLOOKUP($A237,'The List'!$B1:$AS727,3,FALSE)," ")</f>
        <v xml:space="preserve"> </v>
      </c>
      <c r="C237" s="61" t="str">
        <f>IFERROR(VLOOKUP($A237,'The List'!$B1:$AS727,4,FALSE)," ")</f>
        <v xml:space="preserve"> </v>
      </c>
      <c r="D237" s="35" t="str">
        <f>IFERROR(VLOOKUP($A237,'The List'!$B1:$AS727,5,FALSE)," ")</f>
        <v xml:space="preserve"> </v>
      </c>
      <c r="E237" s="35" t="str">
        <f>IFERROR(VLOOKUP($A237,'The List'!$B1:$AS727,6,FALSE)," ")</f>
        <v xml:space="preserve"> </v>
      </c>
      <c r="F237" s="52" t="str">
        <f>IFERROR(VLOOKUP($A237,'The List'!$B1:$AS727,8,FALSE)," ")</f>
        <v xml:space="preserve"> </v>
      </c>
      <c r="G237" s="52" t="str">
        <f>IFERROR(VLOOKUP($A237,'The List'!$B1:$AS727,10,FALSE)," ")</f>
        <v xml:space="preserve"> </v>
      </c>
      <c r="H237" s="39"/>
      <c r="I237" s="53" t="str">
        <f>IFERROR(VLOOKUP($A237,'The List'!$B1:$AS727,16,FALSE)," ")</f>
        <v xml:space="preserve"> </v>
      </c>
      <c r="J237" s="53" t="str">
        <f>IFERROR(VLOOKUP($A237,'The List'!$B1:$AS727,17,FALSE)," ")</f>
        <v xml:space="preserve"> </v>
      </c>
      <c r="K237" s="53" t="str">
        <f>IFERROR(VLOOKUP($A237,'The List'!$B1:$AS727,18,FALSE)," ")</f>
        <v xml:space="preserve"> </v>
      </c>
      <c r="L237" s="53" t="str">
        <f>IFERROR(VLOOKUP($A237,'The List'!$B1:$AS727,19,FALSE)," ")</f>
        <v xml:space="preserve"> </v>
      </c>
      <c r="M237" s="53" t="str">
        <f>IFERROR(VLOOKUP($A237,'The List'!$B1:$AS727,20,FALSE)," ")</f>
        <v xml:space="preserve"> </v>
      </c>
      <c r="N237" s="53" t="str">
        <f>IFERROR(VLOOKUP($A237,'The List'!$B1:$AS727,21,FALSE)," ")</f>
        <v xml:space="preserve"> </v>
      </c>
      <c r="O237" s="53" t="str">
        <f>IFERROR(VLOOKUP($A237,'The List'!$B1:$AS727,22,FALSE)," ")</f>
        <v xml:space="preserve"> </v>
      </c>
      <c r="P237" s="53" t="str">
        <f>IFERROR(VLOOKUP($A237,'The List'!$B1:$AS727,23,FALSE)," ")</f>
        <v xml:space="preserve"> </v>
      </c>
      <c r="Q237" s="53" t="str">
        <f>IFERROR(VLOOKUP($A237,'The List'!$B1:$AS727,24,FALSE)," ")</f>
        <v xml:space="preserve"> </v>
      </c>
      <c r="R237" s="53" t="str">
        <f>IFERROR(VLOOKUP($A237,'The List'!$B1:$AS727,25,FALSE)," ")</f>
        <v xml:space="preserve"> </v>
      </c>
      <c r="S237" s="53" t="str">
        <f>IFERROR(VLOOKUP($A237,'The List'!$B1:$AS727,26,FALSE)," ")</f>
        <v xml:space="preserve"> </v>
      </c>
      <c r="T237" s="53" t="str">
        <f>IFERROR(VLOOKUP($A237,'The List'!$B1:$AS727,27,FALSE)," ")</f>
        <v xml:space="preserve"> </v>
      </c>
      <c r="U237" s="53" t="str">
        <f>IFERROR(VLOOKUP($A237,'The List'!$B1:$AS727,28,FALSE)," ")</f>
        <v xml:space="preserve"> </v>
      </c>
      <c r="V237" s="53" t="str">
        <f>IFERROR(VLOOKUP($A237,'The List'!$B1:$AS727,29,FALSE)," ")</f>
        <v xml:space="preserve"> </v>
      </c>
      <c r="W237" s="53" t="str">
        <f>IFERROR(VLOOKUP($A237,'The List'!$B1:$AS727,30,FALSE)," ")</f>
        <v xml:space="preserve"> </v>
      </c>
      <c r="X237" s="53" t="str">
        <f>IFERROR(VLOOKUP($A237,'The List'!$B1:$AS727,31,FALSE)," ")</f>
        <v xml:space="preserve"> </v>
      </c>
      <c r="Y237" s="53" t="str">
        <f>IFERROR(VLOOKUP($A237,'The List'!$B1:$AS727,32,FALSE)," ")</f>
        <v xml:space="preserve"> </v>
      </c>
      <c r="Z237" s="53" t="str">
        <f>IFERROR(VLOOKUP($A237,'The List'!$B1:$AS727,33,FALSE)," ")</f>
        <v xml:space="preserve"> </v>
      </c>
      <c r="AA237" s="55"/>
      <c r="AB237" s="60"/>
      <c r="AC237" s="60"/>
      <c r="AD237" s="60"/>
      <c r="AE237" s="60"/>
      <c r="AF237" s="60"/>
    </row>
    <row r="238" spans="1:32" ht="21.25" customHeight="1" x14ac:dyDescent="0.15">
      <c r="A238" s="23"/>
      <c r="B238" s="62" t="str">
        <f>IFERROR(VLOOKUP($A238,'The List'!$B1:$AS727,3,FALSE)," ")</f>
        <v xml:space="preserve"> </v>
      </c>
      <c r="C238" s="64" t="str">
        <f>IFERROR(VLOOKUP($A238,'The List'!$B1:$AS727,4,FALSE)," ")</f>
        <v xml:space="preserve"> </v>
      </c>
      <c r="D238" s="35" t="str">
        <f>IFERROR(VLOOKUP($A238,'The List'!$B1:$AS727,5,FALSE)," ")</f>
        <v xml:space="preserve"> </v>
      </c>
      <c r="E238" s="35" t="str">
        <f>IFERROR(VLOOKUP($A238,'The List'!$B1:$AS727,6,FALSE)," ")</f>
        <v xml:space="preserve"> </v>
      </c>
      <c r="F238" s="52" t="str">
        <f>IFERROR(VLOOKUP($A238,'The List'!$B1:$AS727,8,FALSE)," ")</f>
        <v xml:space="preserve"> </v>
      </c>
      <c r="G238" s="52" t="str">
        <f>IFERROR(VLOOKUP($A238,'The List'!$B1:$AS727,10,FALSE)," ")</f>
        <v xml:space="preserve"> </v>
      </c>
      <c r="H238" s="39"/>
      <c r="I238" s="53" t="str">
        <f>IFERROR(VLOOKUP($A238,'The List'!$B1:$AS727,16,FALSE)," ")</f>
        <v xml:space="preserve"> </v>
      </c>
      <c r="J238" s="53" t="str">
        <f>IFERROR(VLOOKUP($A238,'The List'!$B1:$AS727,17,FALSE)," ")</f>
        <v xml:space="preserve"> </v>
      </c>
      <c r="K238" s="53" t="str">
        <f>IFERROR(VLOOKUP($A238,'The List'!$B1:$AS727,18,FALSE)," ")</f>
        <v xml:space="preserve"> </v>
      </c>
      <c r="L238" s="53" t="str">
        <f>IFERROR(VLOOKUP($A238,'The List'!$B1:$AS727,19,FALSE)," ")</f>
        <v xml:space="preserve"> </v>
      </c>
      <c r="M238" s="53" t="str">
        <f>IFERROR(VLOOKUP($A238,'The List'!$B1:$AS727,20,FALSE)," ")</f>
        <v xml:space="preserve"> </v>
      </c>
      <c r="N238" s="53" t="str">
        <f>IFERROR(VLOOKUP($A238,'The List'!$B1:$AS727,21,FALSE)," ")</f>
        <v xml:space="preserve"> </v>
      </c>
      <c r="O238" s="53" t="str">
        <f>IFERROR(VLOOKUP($A238,'The List'!$B1:$AS727,22,FALSE)," ")</f>
        <v xml:space="preserve"> </v>
      </c>
      <c r="P238" s="53" t="str">
        <f>IFERROR(VLOOKUP($A238,'The List'!$B1:$AS727,23,FALSE)," ")</f>
        <v xml:space="preserve"> </v>
      </c>
      <c r="Q238" s="53" t="str">
        <f>IFERROR(VLOOKUP($A238,'The List'!$B1:$AS727,24,FALSE)," ")</f>
        <v xml:space="preserve"> </v>
      </c>
      <c r="R238" s="53" t="str">
        <f>IFERROR(VLOOKUP($A238,'The List'!$B1:$AS727,25,FALSE)," ")</f>
        <v xml:space="preserve"> </v>
      </c>
      <c r="S238" s="53" t="str">
        <f>IFERROR(VLOOKUP($A238,'The List'!$B1:$AS727,26,FALSE)," ")</f>
        <v xml:space="preserve"> </v>
      </c>
      <c r="T238" s="53" t="str">
        <f>IFERROR(VLOOKUP($A238,'The List'!$B1:$AS727,27,FALSE)," ")</f>
        <v xml:space="preserve"> </v>
      </c>
      <c r="U238" s="53" t="str">
        <f>IFERROR(VLOOKUP($A238,'The List'!$B1:$AS727,28,FALSE)," ")</f>
        <v xml:space="preserve"> </v>
      </c>
      <c r="V238" s="53" t="str">
        <f>IFERROR(VLOOKUP($A238,'The List'!$B1:$AS727,29,FALSE)," ")</f>
        <v xml:space="preserve"> </v>
      </c>
      <c r="W238" s="53" t="str">
        <f>IFERROR(VLOOKUP($A238,'The List'!$B1:$AS727,30,FALSE)," ")</f>
        <v xml:space="preserve"> </v>
      </c>
      <c r="X238" s="53" t="str">
        <f>IFERROR(VLOOKUP($A238,'The List'!$B1:$AS727,31,FALSE)," ")</f>
        <v xml:space="preserve"> </v>
      </c>
      <c r="Y238" s="53" t="str">
        <f>IFERROR(VLOOKUP($A238,'The List'!$B1:$AS727,32,FALSE)," ")</f>
        <v xml:space="preserve"> </v>
      </c>
      <c r="Z238" s="53" t="str">
        <f>IFERROR(VLOOKUP($A238,'The List'!$B1:$AS727,33,FALSE)," ")</f>
        <v xml:space="preserve"> </v>
      </c>
      <c r="AA238" s="55"/>
      <c r="AB238" s="60"/>
      <c r="AC238" s="60"/>
      <c r="AD238" s="60"/>
      <c r="AE238" s="60"/>
      <c r="AF238" s="60"/>
    </row>
    <row r="239" spans="1:32" ht="21.25" customHeight="1" x14ac:dyDescent="0.15">
      <c r="A239" s="23"/>
      <c r="B239" s="62" t="str">
        <f>IFERROR(VLOOKUP($A239,'The List'!$B1:$AS727,3,FALSE)," ")</f>
        <v xml:space="preserve"> </v>
      </c>
      <c r="C239" s="64" t="str">
        <f>IFERROR(VLOOKUP($A239,'The List'!$B1:$AS727,4,FALSE)," ")</f>
        <v xml:space="preserve"> </v>
      </c>
      <c r="D239" s="35" t="str">
        <f>IFERROR(VLOOKUP($A239,'The List'!$B1:$AS727,5,FALSE)," ")</f>
        <v xml:space="preserve"> </v>
      </c>
      <c r="E239" s="35" t="str">
        <f>IFERROR(VLOOKUP($A239,'The List'!$B1:$AS727,6,FALSE)," ")</f>
        <v xml:space="preserve"> </v>
      </c>
      <c r="F239" s="52" t="str">
        <f>IFERROR(VLOOKUP($A239,'The List'!$B1:$AS727,8,FALSE)," ")</f>
        <v xml:space="preserve"> </v>
      </c>
      <c r="G239" s="52" t="str">
        <f>IFERROR(VLOOKUP($A239,'The List'!$B1:$AS727,10,FALSE)," ")</f>
        <v xml:space="preserve"> </v>
      </c>
      <c r="H239" s="39"/>
      <c r="I239" s="53" t="str">
        <f>IFERROR(VLOOKUP($A239,'The List'!$B1:$AS727,16,FALSE)," ")</f>
        <v xml:space="preserve"> </v>
      </c>
      <c r="J239" s="53" t="str">
        <f>IFERROR(VLOOKUP($A239,'The List'!$B1:$AS727,17,FALSE)," ")</f>
        <v xml:space="preserve"> </v>
      </c>
      <c r="K239" s="53" t="str">
        <f>IFERROR(VLOOKUP($A239,'The List'!$B1:$AS727,18,FALSE)," ")</f>
        <v xml:space="preserve"> </v>
      </c>
      <c r="L239" s="53" t="str">
        <f>IFERROR(VLOOKUP($A239,'The List'!$B1:$AS727,19,FALSE)," ")</f>
        <v xml:space="preserve"> </v>
      </c>
      <c r="M239" s="53" t="str">
        <f>IFERROR(VLOOKUP($A239,'The List'!$B1:$AS727,20,FALSE)," ")</f>
        <v xml:space="preserve"> </v>
      </c>
      <c r="N239" s="53" t="str">
        <f>IFERROR(VLOOKUP($A239,'The List'!$B1:$AS727,21,FALSE)," ")</f>
        <v xml:space="preserve"> </v>
      </c>
      <c r="O239" s="53" t="str">
        <f>IFERROR(VLOOKUP($A239,'The List'!$B1:$AS727,22,FALSE)," ")</f>
        <v xml:space="preserve"> </v>
      </c>
      <c r="P239" s="53" t="str">
        <f>IFERROR(VLOOKUP($A239,'The List'!$B1:$AS727,23,FALSE)," ")</f>
        <v xml:space="preserve"> </v>
      </c>
      <c r="Q239" s="53" t="str">
        <f>IFERROR(VLOOKUP($A239,'The List'!$B1:$AS727,24,FALSE)," ")</f>
        <v xml:space="preserve"> </v>
      </c>
      <c r="R239" s="53" t="str">
        <f>IFERROR(VLOOKUP($A239,'The List'!$B1:$AS727,25,FALSE)," ")</f>
        <v xml:space="preserve"> </v>
      </c>
      <c r="S239" s="53" t="str">
        <f>IFERROR(VLOOKUP($A239,'The List'!$B1:$AS727,26,FALSE)," ")</f>
        <v xml:space="preserve"> </v>
      </c>
      <c r="T239" s="53" t="str">
        <f>IFERROR(VLOOKUP($A239,'The List'!$B1:$AS727,27,FALSE)," ")</f>
        <v xml:space="preserve"> </v>
      </c>
      <c r="U239" s="53" t="str">
        <f>IFERROR(VLOOKUP($A239,'The List'!$B1:$AS727,28,FALSE)," ")</f>
        <v xml:space="preserve"> </v>
      </c>
      <c r="V239" s="53" t="str">
        <f>IFERROR(VLOOKUP($A239,'The List'!$B1:$AS727,29,FALSE)," ")</f>
        <v xml:space="preserve"> </v>
      </c>
      <c r="W239" s="53" t="str">
        <f>IFERROR(VLOOKUP($A239,'The List'!$B1:$AS727,30,FALSE)," ")</f>
        <v xml:space="preserve"> </v>
      </c>
      <c r="X239" s="53" t="str">
        <f>IFERROR(VLOOKUP($A239,'The List'!$B1:$AS727,31,FALSE)," ")</f>
        <v xml:space="preserve"> </v>
      </c>
      <c r="Y239" s="53" t="str">
        <f>IFERROR(VLOOKUP($A239,'The List'!$B1:$AS727,32,FALSE)," ")</f>
        <v xml:space="preserve"> </v>
      </c>
      <c r="Z239" s="53" t="str">
        <f>IFERROR(VLOOKUP($A239,'The List'!$B1:$AS727,33,FALSE)," ")</f>
        <v xml:space="preserve"> </v>
      </c>
      <c r="AA239" s="55"/>
      <c r="AB239" s="60"/>
      <c r="AC239" s="60"/>
      <c r="AD239" s="60"/>
      <c r="AE239" s="60"/>
      <c r="AF239" s="60"/>
    </row>
    <row r="240" spans="1:32" ht="21.25" customHeight="1" x14ac:dyDescent="0.15">
      <c r="A240" s="23"/>
      <c r="B240" s="62" t="str">
        <f>IFERROR(VLOOKUP($A240,'The List'!$B1:$AS727,3,FALSE)," ")</f>
        <v xml:space="preserve"> </v>
      </c>
      <c r="C240" s="64" t="str">
        <f>IFERROR(VLOOKUP($A240,'The List'!$B1:$AS727,4,FALSE)," ")</f>
        <v xml:space="preserve"> </v>
      </c>
      <c r="D240" s="35" t="str">
        <f>IFERROR(VLOOKUP($A240,'The List'!$B1:$AS727,5,FALSE)," ")</f>
        <v xml:space="preserve"> </v>
      </c>
      <c r="E240" s="35" t="str">
        <f>IFERROR(VLOOKUP($A240,'The List'!$B1:$AS727,6,FALSE)," ")</f>
        <v xml:space="preserve"> </v>
      </c>
      <c r="F240" s="52" t="str">
        <f>IFERROR(VLOOKUP($A240,'The List'!$B1:$AS727,8,FALSE)," ")</f>
        <v xml:space="preserve"> </v>
      </c>
      <c r="G240" s="52" t="str">
        <f>IFERROR(VLOOKUP($A240,'The List'!$B1:$AS727,10,FALSE)," ")</f>
        <v xml:space="preserve"> </v>
      </c>
      <c r="H240" s="39"/>
      <c r="I240" s="53" t="str">
        <f>IFERROR(VLOOKUP($A240,'The List'!$B1:$AS727,16,FALSE)," ")</f>
        <v xml:space="preserve"> </v>
      </c>
      <c r="J240" s="53" t="str">
        <f>IFERROR(VLOOKUP($A240,'The List'!$B1:$AS727,17,FALSE)," ")</f>
        <v xml:space="preserve"> </v>
      </c>
      <c r="K240" s="53" t="str">
        <f>IFERROR(VLOOKUP($A240,'The List'!$B1:$AS727,18,FALSE)," ")</f>
        <v xml:space="preserve"> </v>
      </c>
      <c r="L240" s="53" t="str">
        <f>IFERROR(VLOOKUP($A240,'The List'!$B1:$AS727,19,FALSE)," ")</f>
        <v xml:space="preserve"> </v>
      </c>
      <c r="M240" s="53" t="str">
        <f>IFERROR(VLOOKUP($A240,'The List'!$B1:$AS727,20,FALSE)," ")</f>
        <v xml:space="preserve"> </v>
      </c>
      <c r="N240" s="53" t="str">
        <f>IFERROR(VLOOKUP($A240,'The List'!$B1:$AS727,21,FALSE)," ")</f>
        <v xml:space="preserve"> </v>
      </c>
      <c r="O240" s="53" t="str">
        <f>IFERROR(VLOOKUP($A240,'The List'!$B1:$AS727,22,FALSE)," ")</f>
        <v xml:space="preserve"> </v>
      </c>
      <c r="P240" s="53" t="str">
        <f>IFERROR(VLOOKUP($A240,'The List'!$B1:$AS727,23,FALSE)," ")</f>
        <v xml:space="preserve"> </v>
      </c>
      <c r="Q240" s="53" t="str">
        <f>IFERROR(VLOOKUP($A240,'The List'!$B1:$AS727,24,FALSE)," ")</f>
        <v xml:space="preserve"> </v>
      </c>
      <c r="R240" s="53" t="str">
        <f>IFERROR(VLOOKUP($A240,'The List'!$B1:$AS727,25,FALSE)," ")</f>
        <v xml:space="preserve"> </v>
      </c>
      <c r="S240" s="53" t="str">
        <f>IFERROR(VLOOKUP($A240,'The List'!$B1:$AS727,26,FALSE)," ")</f>
        <v xml:space="preserve"> </v>
      </c>
      <c r="T240" s="53" t="str">
        <f>IFERROR(VLOOKUP($A240,'The List'!$B1:$AS727,27,FALSE)," ")</f>
        <v xml:space="preserve"> </v>
      </c>
      <c r="U240" s="53" t="str">
        <f>IFERROR(VLOOKUP($A240,'The List'!$B1:$AS727,28,FALSE)," ")</f>
        <v xml:space="preserve"> </v>
      </c>
      <c r="V240" s="53" t="str">
        <f>IFERROR(VLOOKUP($A240,'The List'!$B1:$AS727,29,FALSE)," ")</f>
        <v xml:space="preserve"> </v>
      </c>
      <c r="W240" s="53" t="str">
        <f>IFERROR(VLOOKUP($A240,'The List'!$B1:$AS727,30,FALSE)," ")</f>
        <v xml:space="preserve"> </v>
      </c>
      <c r="X240" s="53" t="str">
        <f>IFERROR(VLOOKUP($A240,'The List'!$B1:$AS727,31,FALSE)," ")</f>
        <v xml:space="preserve"> </v>
      </c>
      <c r="Y240" s="53" t="str">
        <f>IFERROR(VLOOKUP($A240,'The List'!$B1:$AS727,32,FALSE)," ")</f>
        <v xml:space="preserve"> </v>
      </c>
      <c r="Z240" s="53" t="str">
        <f>IFERROR(VLOOKUP($A240,'The List'!$B1:$AS727,33,FALSE)," ")</f>
        <v xml:space="preserve"> </v>
      </c>
      <c r="AA240" s="55"/>
      <c r="AB240" s="60"/>
      <c r="AC240" s="60"/>
      <c r="AD240" s="60"/>
      <c r="AE240" s="60"/>
      <c r="AF240" s="60"/>
    </row>
    <row r="241" spans="1:32" ht="21.25" customHeight="1" x14ac:dyDescent="0.15">
      <c r="A241" s="23"/>
      <c r="B241" s="62" t="str">
        <f>IFERROR(VLOOKUP($A241,'The List'!$B1:$AS727,3,FALSE)," ")</f>
        <v xml:space="preserve"> </v>
      </c>
      <c r="C241" s="64" t="str">
        <f>IFERROR(VLOOKUP($A241,'The List'!$B1:$AS727,4,FALSE)," ")</f>
        <v xml:space="preserve"> </v>
      </c>
      <c r="D241" s="35" t="str">
        <f>IFERROR(VLOOKUP($A241,'The List'!$B1:$AS727,5,FALSE)," ")</f>
        <v xml:space="preserve"> </v>
      </c>
      <c r="E241" s="35" t="str">
        <f>IFERROR(VLOOKUP($A241,'The List'!$B1:$AS727,6,FALSE)," ")</f>
        <v xml:space="preserve"> </v>
      </c>
      <c r="F241" s="52" t="str">
        <f>IFERROR(VLOOKUP($A241,'The List'!$B1:$AS727,8,FALSE)," ")</f>
        <v xml:space="preserve"> </v>
      </c>
      <c r="G241" s="52" t="str">
        <f>IFERROR(VLOOKUP($A241,'The List'!$B1:$AS727,10,FALSE)," ")</f>
        <v xml:space="preserve"> </v>
      </c>
      <c r="H241" s="39"/>
      <c r="I241" s="53" t="str">
        <f>IFERROR(VLOOKUP($A241,'The List'!$B1:$AS727,16,FALSE)," ")</f>
        <v xml:space="preserve"> </v>
      </c>
      <c r="J241" s="53" t="str">
        <f>IFERROR(VLOOKUP($A241,'The List'!$B1:$AS727,17,FALSE)," ")</f>
        <v xml:space="preserve"> </v>
      </c>
      <c r="K241" s="53" t="str">
        <f>IFERROR(VLOOKUP($A241,'The List'!$B1:$AS727,18,FALSE)," ")</f>
        <v xml:space="preserve"> </v>
      </c>
      <c r="L241" s="53" t="str">
        <f>IFERROR(VLOOKUP($A241,'The List'!$B1:$AS727,19,FALSE)," ")</f>
        <v xml:space="preserve"> </v>
      </c>
      <c r="M241" s="53" t="str">
        <f>IFERROR(VLOOKUP($A241,'The List'!$B1:$AS727,20,FALSE)," ")</f>
        <v xml:space="preserve"> </v>
      </c>
      <c r="N241" s="53" t="str">
        <f>IFERROR(VLOOKUP($A241,'The List'!$B1:$AS727,21,FALSE)," ")</f>
        <v xml:space="preserve"> </v>
      </c>
      <c r="O241" s="53" t="str">
        <f>IFERROR(VLOOKUP($A241,'The List'!$B1:$AS727,22,FALSE)," ")</f>
        <v xml:space="preserve"> </v>
      </c>
      <c r="P241" s="53" t="str">
        <f>IFERROR(VLOOKUP($A241,'The List'!$B1:$AS727,23,FALSE)," ")</f>
        <v xml:space="preserve"> </v>
      </c>
      <c r="Q241" s="53" t="str">
        <f>IFERROR(VLOOKUP($A241,'The List'!$B1:$AS727,24,FALSE)," ")</f>
        <v xml:space="preserve"> </v>
      </c>
      <c r="R241" s="53" t="str">
        <f>IFERROR(VLOOKUP($A241,'The List'!$B1:$AS727,25,FALSE)," ")</f>
        <v xml:space="preserve"> </v>
      </c>
      <c r="S241" s="53" t="str">
        <f>IFERROR(VLOOKUP($A241,'The List'!$B1:$AS727,26,FALSE)," ")</f>
        <v xml:space="preserve"> </v>
      </c>
      <c r="T241" s="53" t="str">
        <f>IFERROR(VLOOKUP($A241,'The List'!$B1:$AS727,27,FALSE)," ")</f>
        <v xml:space="preserve"> </v>
      </c>
      <c r="U241" s="53" t="str">
        <f>IFERROR(VLOOKUP($A241,'The List'!$B1:$AS727,28,FALSE)," ")</f>
        <v xml:space="preserve"> </v>
      </c>
      <c r="V241" s="53" t="str">
        <f>IFERROR(VLOOKUP($A241,'The List'!$B1:$AS727,29,FALSE)," ")</f>
        <v xml:space="preserve"> </v>
      </c>
      <c r="W241" s="53" t="str">
        <f>IFERROR(VLOOKUP($A241,'The List'!$B1:$AS727,30,FALSE)," ")</f>
        <v xml:space="preserve"> </v>
      </c>
      <c r="X241" s="53" t="str">
        <f>IFERROR(VLOOKUP($A241,'The List'!$B1:$AS727,31,FALSE)," ")</f>
        <v xml:space="preserve"> </v>
      </c>
      <c r="Y241" s="53" t="str">
        <f>IFERROR(VLOOKUP($A241,'The List'!$B1:$AS727,32,FALSE)," ")</f>
        <v xml:space="preserve"> </v>
      </c>
      <c r="Z241" s="53" t="str">
        <f>IFERROR(VLOOKUP($A241,'The List'!$B1:$AS727,33,FALSE)," ")</f>
        <v xml:space="preserve"> </v>
      </c>
      <c r="AA241" s="55"/>
      <c r="AB241" s="60"/>
      <c r="AC241" s="60"/>
      <c r="AD241" s="60"/>
      <c r="AE241" s="60"/>
      <c r="AF241" s="60"/>
    </row>
    <row r="242" spans="1:32" ht="21.25" customHeight="1" x14ac:dyDescent="0.15">
      <c r="A242" s="23"/>
      <c r="B242" s="65" t="str">
        <f>IFERROR(VLOOKUP($A242,'The List'!$B1:$AS727,3,FALSE)," ")</f>
        <v xml:space="preserve"> </v>
      </c>
      <c r="C242" s="67" t="str">
        <f>IFERROR(VLOOKUP($A242,'The List'!$B1:$AS727,4,FALSE)," ")</f>
        <v xml:space="preserve"> </v>
      </c>
      <c r="D242" s="35" t="str">
        <f>IFERROR(VLOOKUP($A242,'The List'!$B1:$AS727,5,FALSE)," ")</f>
        <v xml:space="preserve"> </v>
      </c>
      <c r="E242" s="35" t="str">
        <f>IFERROR(VLOOKUP($A242,'The List'!$B1:$AS727,6,FALSE)," ")</f>
        <v xml:space="preserve"> </v>
      </c>
      <c r="F242" s="52" t="str">
        <f>IFERROR(VLOOKUP($A242,'The List'!$B1:$AS727,8,FALSE)," ")</f>
        <v xml:space="preserve"> </v>
      </c>
      <c r="G242" s="52" t="str">
        <f>IFERROR(VLOOKUP($A242,'The List'!$B1:$AS727,10,FALSE)," ")</f>
        <v xml:space="preserve"> </v>
      </c>
      <c r="H242" s="39"/>
      <c r="I242" s="53" t="str">
        <f>IFERROR(VLOOKUP($A242,'The List'!$B1:$AS727,16,FALSE)," ")</f>
        <v xml:space="preserve"> </v>
      </c>
      <c r="J242" s="53" t="str">
        <f>IFERROR(VLOOKUP($A242,'The List'!$B1:$AS727,17,FALSE)," ")</f>
        <v xml:space="preserve"> </v>
      </c>
      <c r="K242" s="53" t="str">
        <f>IFERROR(VLOOKUP($A242,'The List'!$B1:$AS727,18,FALSE)," ")</f>
        <v xml:space="preserve"> </v>
      </c>
      <c r="L242" s="53" t="str">
        <f>IFERROR(VLOOKUP($A242,'The List'!$B1:$AS727,19,FALSE)," ")</f>
        <v xml:space="preserve"> </v>
      </c>
      <c r="M242" s="53" t="str">
        <f>IFERROR(VLOOKUP($A242,'The List'!$B1:$AS727,20,FALSE)," ")</f>
        <v xml:space="preserve"> </v>
      </c>
      <c r="N242" s="53" t="str">
        <f>IFERROR(VLOOKUP($A242,'The List'!$B1:$AS727,21,FALSE)," ")</f>
        <v xml:space="preserve"> </v>
      </c>
      <c r="O242" s="53" t="str">
        <f>IFERROR(VLOOKUP($A242,'The List'!$B1:$AS727,22,FALSE)," ")</f>
        <v xml:space="preserve"> </v>
      </c>
      <c r="P242" s="53" t="str">
        <f>IFERROR(VLOOKUP($A242,'The List'!$B1:$AS727,23,FALSE)," ")</f>
        <v xml:space="preserve"> </v>
      </c>
      <c r="Q242" s="53" t="str">
        <f>IFERROR(VLOOKUP($A242,'The List'!$B1:$AS727,24,FALSE)," ")</f>
        <v xml:space="preserve"> </v>
      </c>
      <c r="R242" s="53" t="str">
        <f>IFERROR(VLOOKUP($A242,'The List'!$B1:$AS727,25,FALSE)," ")</f>
        <v xml:space="preserve"> </v>
      </c>
      <c r="S242" s="53" t="str">
        <f>IFERROR(VLOOKUP($A242,'The List'!$B1:$AS727,26,FALSE)," ")</f>
        <v xml:space="preserve"> </v>
      </c>
      <c r="T242" s="53" t="str">
        <f>IFERROR(VLOOKUP($A242,'The List'!$B1:$AS727,27,FALSE)," ")</f>
        <v xml:space="preserve"> </v>
      </c>
      <c r="U242" s="53" t="str">
        <f>IFERROR(VLOOKUP($A242,'The List'!$B1:$AS727,28,FALSE)," ")</f>
        <v xml:space="preserve"> </v>
      </c>
      <c r="V242" s="53" t="str">
        <f>IFERROR(VLOOKUP($A242,'The List'!$B1:$AS727,29,FALSE)," ")</f>
        <v xml:space="preserve"> </v>
      </c>
      <c r="W242" s="53" t="str">
        <f>IFERROR(VLOOKUP($A242,'The List'!$B1:$AS727,30,FALSE)," ")</f>
        <v xml:space="preserve"> </v>
      </c>
      <c r="X242" s="53" t="str">
        <f>IFERROR(VLOOKUP($A242,'The List'!$B1:$AS727,31,FALSE)," ")</f>
        <v xml:space="preserve"> </v>
      </c>
      <c r="Y242" s="53" t="str">
        <f>IFERROR(VLOOKUP($A242,'The List'!$B1:$AS727,32,FALSE)," ")</f>
        <v xml:space="preserve"> </v>
      </c>
      <c r="Z242" s="53" t="str">
        <f>IFERROR(VLOOKUP($A242,'The List'!$B1:$AS727,33,FALSE)," ")</f>
        <v xml:space="preserve"> </v>
      </c>
      <c r="AA242" s="55"/>
      <c r="AB242" s="60"/>
      <c r="AC242" s="60"/>
      <c r="AD242" s="60"/>
      <c r="AE242" s="60"/>
      <c r="AF242" s="60"/>
    </row>
    <row r="243" spans="1:32" ht="21.25" customHeight="1" x14ac:dyDescent="0.15">
      <c r="A243" s="23"/>
      <c r="B243" s="65" t="str">
        <f>IFERROR(VLOOKUP($A243,'The List'!$B1:$AS727,3,FALSE)," ")</f>
        <v xml:space="preserve"> </v>
      </c>
      <c r="C243" s="67" t="str">
        <f>IFERROR(VLOOKUP($A243,'The List'!$B1:$AS727,4,FALSE)," ")</f>
        <v xml:space="preserve"> </v>
      </c>
      <c r="D243" s="35" t="str">
        <f>IFERROR(VLOOKUP($A243,'The List'!$B1:$AS727,5,FALSE)," ")</f>
        <v xml:space="preserve"> </v>
      </c>
      <c r="E243" s="35" t="str">
        <f>IFERROR(VLOOKUP($A243,'The List'!$B1:$AS727,6,FALSE)," ")</f>
        <v xml:space="preserve"> </v>
      </c>
      <c r="F243" s="52" t="str">
        <f>IFERROR(VLOOKUP($A243,'The List'!$B1:$AS727,8,FALSE)," ")</f>
        <v xml:space="preserve"> </v>
      </c>
      <c r="G243" s="52" t="str">
        <f>IFERROR(VLOOKUP($A243,'The List'!$B1:$AS727,10,FALSE)," ")</f>
        <v xml:space="preserve"> </v>
      </c>
      <c r="H243" s="39"/>
      <c r="I243" s="53" t="str">
        <f>IFERROR(VLOOKUP($A243,'The List'!$B1:$AS727,16,FALSE)," ")</f>
        <v xml:space="preserve"> </v>
      </c>
      <c r="J243" s="53" t="str">
        <f>IFERROR(VLOOKUP($A243,'The List'!$B1:$AS727,17,FALSE)," ")</f>
        <v xml:space="preserve"> </v>
      </c>
      <c r="K243" s="53" t="str">
        <f>IFERROR(VLOOKUP($A243,'The List'!$B1:$AS727,18,FALSE)," ")</f>
        <v xml:space="preserve"> </v>
      </c>
      <c r="L243" s="53" t="str">
        <f>IFERROR(VLOOKUP($A243,'The List'!$B1:$AS727,19,FALSE)," ")</f>
        <v xml:space="preserve"> </v>
      </c>
      <c r="M243" s="53" t="str">
        <f>IFERROR(VLOOKUP($A243,'The List'!$B1:$AS727,20,FALSE)," ")</f>
        <v xml:space="preserve"> </v>
      </c>
      <c r="N243" s="53" t="str">
        <f>IFERROR(VLOOKUP($A243,'The List'!$B1:$AS727,21,FALSE)," ")</f>
        <v xml:space="preserve"> </v>
      </c>
      <c r="O243" s="53" t="str">
        <f>IFERROR(VLOOKUP($A243,'The List'!$B1:$AS727,22,FALSE)," ")</f>
        <v xml:space="preserve"> </v>
      </c>
      <c r="P243" s="53" t="str">
        <f>IFERROR(VLOOKUP($A243,'The List'!$B1:$AS727,23,FALSE)," ")</f>
        <v xml:space="preserve"> </v>
      </c>
      <c r="Q243" s="53" t="str">
        <f>IFERROR(VLOOKUP($A243,'The List'!$B1:$AS727,24,FALSE)," ")</f>
        <v xml:space="preserve"> </v>
      </c>
      <c r="R243" s="53" t="str">
        <f>IFERROR(VLOOKUP($A243,'The List'!$B1:$AS727,25,FALSE)," ")</f>
        <v xml:space="preserve"> </v>
      </c>
      <c r="S243" s="53" t="str">
        <f>IFERROR(VLOOKUP($A243,'The List'!$B1:$AS727,26,FALSE)," ")</f>
        <v xml:space="preserve"> </v>
      </c>
      <c r="T243" s="53" t="str">
        <f>IFERROR(VLOOKUP($A243,'The List'!$B1:$AS727,27,FALSE)," ")</f>
        <v xml:space="preserve"> </v>
      </c>
      <c r="U243" s="53" t="str">
        <f>IFERROR(VLOOKUP($A243,'The List'!$B1:$AS727,28,FALSE)," ")</f>
        <v xml:space="preserve"> </v>
      </c>
      <c r="V243" s="53" t="str">
        <f>IFERROR(VLOOKUP($A243,'The List'!$B1:$AS727,29,FALSE)," ")</f>
        <v xml:space="preserve"> </v>
      </c>
      <c r="W243" s="53" t="str">
        <f>IFERROR(VLOOKUP($A243,'The List'!$B1:$AS727,30,FALSE)," ")</f>
        <v xml:space="preserve"> </v>
      </c>
      <c r="X243" s="53" t="str">
        <f>IFERROR(VLOOKUP($A243,'The List'!$B1:$AS727,31,FALSE)," ")</f>
        <v xml:space="preserve"> </v>
      </c>
      <c r="Y243" s="53" t="str">
        <f>IFERROR(VLOOKUP($A243,'The List'!$B1:$AS727,32,FALSE)," ")</f>
        <v xml:space="preserve"> </v>
      </c>
      <c r="Z243" s="53" t="str">
        <f>IFERROR(VLOOKUP($A243,'The List'!$B1:$AS727,33,FALSE)," ")</f>
        <v xml:space="preserve"> </v>
      </c>
      <c r="AA243" s="55"/>
      <c r="AB243" s="60"/>
      <c r="AC243" s="60"/>
      <c r="AD243" s="60"/>
      <c r="AE243" s="60"/>
      <c r="AF243" s="60"/>
    </row>
    <row r="244" spans="1:32" ht="21.25" customHeight="1" x14ac:dyDescent="0.15">
      <c r="A244" s="23"/>
      <c r="B244" s="65" t="str">
        <f>IFERROR(VLOOKUP($A244,'The List'!$B1:$AS727,3,FALSE)," ")</f>
        <v xml:space="preserve"> </v>
      </c>
      <c r="C244" s="67" t="str">
        <f>IFERROR(VLOOKUP($A244,'The List'!$B1:$AS727,4,FALSE)," ")</f>
        <v xml:space="preserve"> </v>
      </c>
      <c r="D244" s="35" t="str">
        <f>IFERROR(VLOOKUP($A244,'The List'!$B1:$AS727,5,FALSE)," ")</f>
        <v xml:space="preserve"> </v>
      </c>
      <c r="E244" s="35" t="str">
        <f>IFERROR(VLOOKUP($A244,'The List'!$B1:$AS727,6,FALSE)," ")</f>
        <v xml:space="preserve"> </v>
      </c>
      <c r="F244" s="52" t="str">
        <f>IFERROR(VLOOKUP($A244,'The List'!$B1:$AS727,8,FALSE)," ")</f>
        <v xml:space="preserve"> </v>
      </c>
      <c r="G244" s="52" t="str">
        <f>IFERROR(VLOOKUP($A244,'The List'!$B1:$AS727,10,FALSE)," ")</f>
        <v xml:space="preserve"> </v>
      </c>
      <c r="H244" s="39"/>
      <c r="I244" s="53" t="str">
        <f>IFERROR(VLOOKUP($A244,'The List'!$B1:$AS727,16,FALSE)," ")</f>
        <v xml:space="preserve"> </v>
      </c>
      <c r="J244" s="53" t="str">
        <f>IFERROR(VLOOKUP($A244,'The List'!$B1:$AS727,17,FALSE)," ")</f>
        <v xml:space="preserve"> </v>
      </c>
      <c r="K244" s="53" t="str">
        <f>IFERROR(VLOOKUP($A244,'The List'!$B1:$AS727,18,FALSE)," ")</f>
        <v xml:space="preserve"> </v>
      </c>
      <c r="L244" s="53" t="str">
        <f>IFERROR(VLOOKUP($A244,'The List'!$B1:$AS727,19,FALSE)," ")</f>
        <v xml:space="preserve"> </v>
      </c>
      <c r="M244" s="53" t="str">
        <f>IFERROR(VLOOKUP($A244,'The List'!$B1:$AS727,20,FALSE)," ")</f>
        <v xml:space="preserve"> </v>
      </c>
      <c r="N244" s="53" t="str">
        <f>IFERROR(VLOOKUP($A244,'The List'!$B1:$AS727,21,FALSE)," ")</f>
        <v xml:space="preserve"> </v>
      </c>
      <c r="O244" s="53" t="str">
        <f>IFERROR(VLOOKUP($A244,'The List'!$B1:$AS727,22,FALSE)," ")</f>
        <v xml:space="preserve"> </v>
      </c>
      <c r="P244" s="53" t="str">
        <f>IFERROR(VLOOKUP($A244,'The List'!$B1:$AS727,23,FALSE)," ")</f>
        <v xml:space="preserve"> </v>
      </c>
      <c r="Q244" s="53" t="str">
        <f>IFERROR(VLOOKUP($A244,'The List'!$B1:$AS727,24,FALSE)," ")</f>
        <v xml:space="preserve"> </v>
      </c>
      <c r="R244" s="53" t="str">
        <f>IFERROR(VLOOKUP($A244,'The List'!$B1:$AS727,25,FALSE)," ")</f>
        <v xml:space="preserve"> </v>
      </c>
      <c r="S244" s="53" t="str">
        <f>IFERROR(VLOOKUP($A244,'The List'!$B1:$AS727,26,FALSE)," ")</f>
        <v xml:space="preserve"> </v>
      </c>
      <c r="T244" s="53" t="str">
        <f>IFERROR(VLOOKUP($A244,'The List'!$B1:$AS727,27,FALSE)," ")</f>
        <v xml:space="preserve"> </v>
      </c>
      <c r="U244" s="53" t="str">
        <f>IFERROR(VLOOKUP($A244,'The List'!$B1:$AS727,28,FALSE)," ")</f>
        <v xml:space="preserve"> </v>
      </c>
      <c r="V244" s="53" t="str">
        <f>IFERROR(VLOOKUP($A244,'The List'!$B1:$AS727,29,FALSE)," ")</f>
        <v xml:space="preserve"> </v>
      </c>
      <c r="W244" s="53" t="str">
        <f>IFERROR(VLOOKUP($A244,'The List'!$B1:$AS727,30,FALSE)," ")</f>
        <v xml:space="preserve"> </v>
      </c>
      <c r="X244" s="53" t="str">
        <f>IFERROR(VLOOKUP($A244,'The List'!$B1:$AS727,31,FALSE)," ")</f>
        <v xml:space="preserve"> </v>
      </c>
      <c r="Y244" s="53" t="str">
        <f>IFERROR(VLOOKUP($A244,'The List'!$B1:$AS727,32,FALSE)," ")</f>
        <v xml:space="preserve"> </v>
      </c>
      <c r="Z244" s="53" t="str">
        <f>IFERROR(VLOOKUP($A244,'The List'!$B1:$AS727,33,FALSE)," ")</f>
        <v xml:space="preserve"> </v>
      </c>
      <c r="AA244" s="55"/>
      <c r="AB244" s="60"/>
      <c r="AC244" s="60"/>
      <c r="AD244" s="60"/>
      <c r="AE244" s="60"/>
      <c r="AF244" s="60"/>
    </row>
    <row r="245" spans="1:32" ht="21.25" customHeight="1" x14ac:dyDescent="0.15">
      <c r="A245" s="23"/>
      <c r="B245" s="65" t="str">
        <f>IFERROR(VLOOKUP($A245,'The List'!$B1:$AS727,3,FALSE)," ")</f>
        <v xml:space="preserve"> </v>
      </c>
      <c r="C245" s="67" t="str">
        <f>IFERROR(VLOOKUP($A245,'The List'!$B1:$AS727,4,FALSE)," ")</f>
        <v xml:space="preserve"> </v>
      </c>
      <c r="D245" s="35" t="str">
        <f>IFERROR(VLOOKUP($A245,'The List'!$B1:$AS727,5,FALSE)," ")</f>
        <v xml:space="preserve"> </v>
      </c>
      <c r="E245" s="35" t="str">
        <f>IFERROR(VLOOKUP($A245,'The List'!$B1:$AS727,6,FALSE)," ")</f>
        <v xml:space="preserve"> </v>
      </c>
      <c r="F245" s="52" t="str">
        <f>IFERROR(VLOOKUP($A245,'The List'!$B1:$AS727,8,FALSE)," ")</f>
        <v xml:space="preserve"> </v>
      </c>
      <c r="G245" s="52" t="str">
        <f>IFERROR(VLOOKUP($A245,'The List'!$B1:$AS727,10,FALSE)," ")</f>
        <v xml:space="preserve"> </v>
      </c>
      <c r="H245" s="39"/>
      <c r="I245" s="53" t="str">
        <f>IFERROR(VLOOKUP($A245,'The List'!$B1:$AS727,16,FALSE)," ")</f>
        <v xml:space="preserve"> </v>
      </c>
      <c r="J245" s="53" t="str">
        <f>IFERROR(VLOOKUP($A245,'The List'!$B1:$AS727,17,FALSE)," ")</f>
        <v xml:space="preserve"> </v>
      </c>
      <c r="K245" s="53" t="str">
        <f>IFERROR(VLOOKUP($A245,'The List'!$B1:$AS727,18,FALSE)," ")</f>
        <v xml:space="preserve"> </v>
      </c>
      <c r="L245" s="53" t="str">
        <f>IFERROR(VLOOKUP($A245,'The List'!$B1:$AS727,19,FALSE)," ")</f>
        <v xml:space="preserve"> </v>
      </c>
      <c r="M245" s="53" t="str">
        <f>IFERROR(VLOOKUP($A245,'The List'!$B1:$AS727,20,FALSE)," ")</f>
        <v xml:space="preserve"> </v>
      </c>
      <c r="N245" s="53" t="str">
        <f>IFERROR(VLOOKUP($A245,'The List'!$B1:$AS727,21,FALSE)," ")</f>
        <v xml:space="preserve"> </v>
      </c>
      <c r="O245" s="53" t="str">
        <f>IFERROR(VLOOKUP($A245,'The List'!$B1:$AS727,22,FALSE)," ")</f>
        <v xml:space="preserve"> </v>
      </c>
      <c r="P245" s="53" t="str">
        <f>IFERROR(VLOOKUP($A245,'The List'!$B1:$AS727,23,FALSE)," ")</f>
        <v xml:space="preserve"> </v>
      </c>
      <c r="Q245" s="53" t="str">
        <f>IFERROR(VLOOKUP($A245,'The List'!$B1:$AS727,24,FALSE)," ")</f>
        <v xml:space="preserve"> </v>
      </c>
      <c r="R245" s="53" t="str">
        <f>IFERROR(VLOOKUP($A245,'The List'!$B1:$AS727,25,FALSE)," ")</f>
        <v xml:space="preserve"> </v>
      </c>
      <c r="S245" s="53" t="str">
        <f>IFERROR(VLOOKUP($A245,'The List'!$B1:$AS727,26,FALSE)," ")</f>
        <v xml:space="preserve"> </v>
      </c>
      <c r="T245" s="53" t="str">
        <f>IFERROR(VLOOKUP($A245,'The List'!$B1:$AS727,27,FALSE)," ")</f>
        <v xml:space="preserve"> </v>
      </c>
      <c r="U245" s="53" t="str">
        <f>IFERROR(VLOOKUP($A245,'The List'!$B1:$AS727,28,FALSE)," ")</f>
        <v xml:space="preserve"> </v>
      </c>
      <c r="V245" s="53" t="str">
        <f>IFERROR(VLOOKUP($A245,'The List'!$B1:$AS727,29,FALSE)," ")</f>
        <v xml:space="preserve"> </v>
      </c>
      <c r="W245" s="53" t="str">
        <f>IFERROR(VLOOKUP($A245,'The List'!$B1:$AS727,30,FALSE)," ")</f>
        <v xml:space="preserve"> </v>
      </c>
      <c r="X245" s="53" t="str">
        <f>IFERROR(VLOOKUP($A245,'The List'!$B1:$AS727,31,FALSE)," ")</f>
        <v xml:space="preserve"> </v>
      </c>
      <c r="Y245" s="53" t="str">
        <f>IFERROR(VLOOKUP($A245,'The List'!$B1:$AS727,32,FALSE)," ")</f>
        <v xml:space="preserve"> </v>
      </c>
      <c r="Z245" s="53" t="str">
        <f>IFERROR(VLOOKUP($A245,'The List'!$B1:$AS727,33,FALSE)," ")</f>
        <v xml:space="preserve"> </v>
      </c>
      <c r="AA245" s="55"/>
      <c r="AB245" s="60"/>
      <c r="AC245" s="60"/>
      <c r="AD245" s="60"/>
      <c r="AE245" s="60"/>
      <c r="AF245" s="60"/>
    </row>
    <row r="246" spans="1:32" ht="21.25" customHeight="1" x14ac:dyDescent="0.15">
      <c r="A246" s="23"/>
      <c r="B246" s="68" t="str">
        <f>IFERROR(VLOOKUP($A246,'The List'!$B1:$AS727,3,FALSE)," ")</f>
        <v xml:space="preserve"> </v>
      </c>
      <c r="C246" s="70" t="str">
        <f>IFERROR(VLOOKUP($A246,'The List'!$B1:$AS727,4,FALSE)," ")</f>
        <v xml:space="preserve"> </v>
      </c>
      <c r="D246" s="35" t="str">
        <f>IFERROR(VLOOKUP($A246,'The List'!$B1:$AS727,5,FALSE)," ")</f>
        <v xml:space="preserve"> </v>
      </c>
      <c r="E246" s="35" t="str">
        <f>IFERROR(VLOOKUP($A246,'The List'!$B1:$AS727,6,FALSE)," ")</f>
        <v xml:space="preserve"> </v>
      </c>
      <c r="F246" s="52" t="str">
        <f>IFERROR(VLOOKUP($A246,'The List'!$B1:$AS727,8,FALSE)," ")</f>
        <v xml:space="preserve"> </v>
      </c>
      <c r="G246" s="52" t="str">
        <f>IFERROR(VLOOKUP($A246,'The List'!$B1:$AS727,10,FALSE)," ")</f>
        <v xml:space="preserve"> </v>
      </c>
      <c r="H246" s="39"/>
      <c r="I246" s="53" t="str">
        <f>IFERROR(VLOOKUP($A246,'The List'!$B1:$AS727,16,FALSE)," ")</f>
        <v xml:space="preserve"> </v>
      </c>
      <c r="J246" s="53" t="str">
        <f>IFERROR(VLOOKUP($A246,'The List'!$B1:$AS727,17,FALSE)," ")</f>
        <v xml:space="preserve"> </v>
      </c>
      <c r="K246" s="53" t="str">
        <f>IFERROR(VLOOKUP($A246,'The List'!$B1:$AS727,18,FALSE)," ")</f>
        <v xml:space="preserve"> </v>
      </c>
      <c r="L246" s="53" t="str">
        <f>IFERROR(VLOOKUP($A246,'The List'!$B1:$AS727,19,FALSE)," ")</f>
        <v xml:space="preserve"> </v>
      </c>
      <c r="M246" s="53" t="str">
        <f>IFERROR(VLOOKUP($A246,'The List'!$B1:$AS727,20,FALSE)," ")</f>
        <v xml:space="preserve"> </v>
      </c>
      <c r="N246" s="53" t="str">
        <f>IFERROR(VLOOKUP($A246,'The List'!$B1:$AS727,21,FALSE)," ")</f>
        <v xml:space="preserve"> </v>
      </c>
      <c r="O246" s="53" t="str">
        <f>IFERROR(VLOOKUP($A246,'The List'!$B1:$AS727,22,FALSE)," ")</f>
        <v xml:space="preserve"> </v>
      </c>
      <c r="P246" s="53" t="str">
        <f>IFERROR(VLOOKUP($A246,'The List'!$B1:$AS727,23,FALSE)," ")</f>
        <v xml:space="preserve"> </v>
      </c>
      <c r="Q246" s="53" t="str">
        <f>IFERROR(VLOOKUP($A246,'The List'!$B1:$AS727,24,FALSE)," ")</f>
        <v xml:space="preserve"> </v>
      </c>
      <c r="R246" s="53" t="str">
        <f>IFERROR(VLOOKUP($A246,'The List'!$B1:$AS727,25,FALSE)," ")</f>
        <v xml:space="preserve"> </v>
      </c>
      <c r="S246" s="53" t="str">
        <f>IFERROR(VLOOKUP($A246,'The List'!$B1:$AS727,26,FALSE)," ")</f>
        <v xml:space="preserve"> </v>
      </c>
      <c r="T246" s="53" t="str">
        <f>IFERROR(VLOOKUP($A246,'The List'!$B1:$AS727,27,FALSE)," ")</f>
        <v xml:space="preserve"> </v>
      </c>
      <c r="U246" s="53" t="str">
        <f>IFERROR(VLOOKUP($A246,'The List'!$B1:$AS727,28,FALSE)," ")</f>
        <v xml:space="preserve"> </v>
      </c>
      <c r="V246" s="53" t="str">
        <f>IFERROR(VLOOKUP($A246,'The List'!$B1:$AS727,29,FALSE)," ")</f>
        <v xml:space="preserve"> </v>
      </c>
      <c r="W246" s="53" t="str">
        <f>IFERROR(VLOOKUP($A246,'The List'!$B1:$AS727,30,FALSE)," ")</f>
        <v xml:space="preserve"> </v>
      </c>
      <c r="X246" s="53" t="str">
        <f>IFERROR(VLOOKUP($A246,'The List'!$B1:$AS727,31,FALSE)," ")</f>
        <v xml:space="preserve"> </v>
      </c>
      <c r="Y246" s="53" t="str">
        <f>IFERROR(VLOOKUP($A246,'The List'!$B1:$AS727,32,FALSE)," ")</f>
        <v xml:space="preserve"> </v>
      </c>
      <c r="Z246" s="53" t="str">
        <f>IFERROR(VLOOKUP($A246,'The List'!$B1:$AS727,33,FALSE)," ")</f>
        <v xml:space="preserve"> </v>
      </c>
      <c r="AA246" s="55"/>
      <c r="AB246" s="60"/>
      <c r="AC246" s="60"/>
      <c r="AD246" s="60"/>
      <c r="AE246" s="60"/>
      <c r="AF246" s="60"/>
    </row>
    <row r="247" spans="1:32" ht="21.25" customHeight="1" x14ac:dyDescent="0.15">
      <c r="A247" s="23"/>
      <c r="B247" s="68" t="str">
        <f>IFERROR(VLOOKUP($A247,'The List'!$B1:$AS727,3,FALSE)," ")</f>
        <v xml:space="preserve"> </v>
      </c>
      <c r="C247" s="70" t="str">
        <f>IFERROR(VLOOKUP($A247,'The List'!$B1:$AS727,4,FALSE)," ")</f>
        <v xml:space="preserve"> </v>
      </c>
      <c r="D247" s="35" t="str">
        <f>IFERROR(VLOOKUP($A247,'The List'!$B1:$AS727,5,FALSE)," ")</f>
        <v xml:space="preserve"> </v>
      </c>
      <c r="E247" s="35" t="str">
        <f>IFERROR(VLOOKUP($A247,'The List'!$B1:$AS727,6,FALSE)," ")</f>
        <v xml:space="preserve"> </v>
      </c>
      <c r="F247" s="52" t="str">
        <f>IFERROR(VLOOKUP($A247,'The List'!$B1:$AS727,8,FALSE)," ")</f>
        <v xml:space="preserve"> </v>
      </c>
      <c r="G247" s="52" t="str">
        <f>IFERROR(VLOOKUP($A247,'The List'!$B1:$AS727,10,FALSE)," ")</f>
        <v xml:space="preserve"> </v>
      </c>
      <c r="H247" s="39"/>
      <c r="I247" s="53" t="str">
        <f>IFERROR(VLOOKUP($A247,'The List'!$B1:$AS727,16,FALSE)," ")</f>
        <v xml:space="preserve"> </v>
      </c>
      <c r="J247" s="53" t="str">
        <f>IFERROR(VLOOKUP($A247,'The List'!$B1:$AS727,17,FALSE)," ")</f>
        <v xml:space="preserve"> </v>
      </c>
      <c r="K247" s="53" t="str">
        <f>IFERROR(VLOOKUP($A247,'The List'!$B1:$AS727,18,FALSE)," ")</f>
        <v xml:space="preserve"> </v>
      </c>
      <c r="L247" s="53" t="str">
        <f>IFERROR(VLOOKUP($A247,'The List'!$B1:$AS727,19,FALSE)," ")</f>
        <v xml:space="preserve"> </v>
      </c>
      <c r="M247" s="53" t="str">
        <f>IFERROR(VLOOKUP($A247,'The List'!$B1:$AS727,20,FALSE)," ")</f>
        <v xml:space="preserve"> </v>
      </c>
      <c r="N247" s="53" t="str">
        <f>IFERROR(VLOOKUP($A247,'The List'!$B1:$AS727,21,FALSE)," ")</f>
        <v xml:space="preserve"> </v>
      </c>
      <c r="O247" s="53" t="str">
        <f>IFERROR(VLOOKUP($A247,'The List'!$B1:$AS727,22,FALSE)," ")</f>
        <v xml:space="preserve"> </v>
      </c>
      <c r="P247" s="53" t="str">
        <f>IFERROR(VLOOKUP($A247,'The List'!$B1:$AS727,23,FALSE)," ")</f>
        <v xml:space="preserve"> </v>
      </c>
      <c r="Q247" s="53" t="str">
        <f>IFERROR(VLOOKUP($A247,'The List'!$B1:$AS727,24,FALSE)," ")</f>
        <v xml:space="preserve"> </v>
      </c>
      <c r="R247" s="53" t="str">
        <f>IFERROR(VLOOKUP($A247,'The List'!$B1:$AS727,25,FALSE)," ")</f>
        <v xml:space="preserve"> </v>
      </c>
      <c r="S247" s="53" t="str">
        <f>IFERROR(VLOOKUP($A247,'The List'!$B1:$AS727,26,FALSE)," ")</f>
        <v xml:space="preserve"> </v>
      </c>
      <c r="T247" s="53" t="str">
        <f>IFERROR(VLOOKUP($A247,'The List'!$B1:$AS727,27,FALSE)," ")</f>
        <v xml:space="preserve"> </v>
      </c>
      <c r="U247" s="53" t="str">
        <f>IFERROR(VLOOKUP($A247,'The List'!$B1:$AS727,28,FALSE)," ")</f>
        <v xml:space="preserve"> </v>
      </c>
      <c r="V247" s="53" t="str">
        <f>IFERROR(VLOOKUP($A247,'The List'!$B1:$AS727,29,FALSE)," ")</f>
        <v xml:space="preserve"> </v>
      </c>
      <c r="W247" s="53" t="str">
        <f>IFERROR(VLOOKUP($A247,'The List'!$B1:$AS727,30,FALSE)," ")</f>
        <v xml:space="preserve"> </v>
      </c>
      <c r="X247" s="53" t="str">
        <f>IFERROR(VLOOKUP($A247,'The List'!$B1:$AS727,31,FALSE)," ")</f>
        <v xml:space="preserve"> </v>
      </c>
      <c r="Y247" s="53" t="str">
        <f>IFERROR(VLOOKUP($A247,'The List'!$B1:$AS727,32,FALSE)," ")</f>
        <v xml:space="preserve"> </v>
      </c>
      <c r="Z247" s="53" t="str">
        <f>IFERROR(VLOOKUP($A247,'The List'!$B1:$AS727,33,FALSE)," ")</f>
        <v xml:space="preserve"> </v>
      </c>
      <c r="AA247" s="55"/>
      <c r="AB247" s="60"/>
      <c r="AC247" s="60"/>
      <c r="AD247" s="60"/>
      <c r="AE247" s="60"/>
      <c r="AF247" s="60"/>
    </row>
    <row r="248" spans="1:32" ht="21.25" customHeight="1" x14ac:dyDescent="0.15">
      <c r="A248" s="23"/>
      <c r="B248" s="68" t="str">
        <f>IFERROR(VLOOKUP($A248,'The List'!$B1:$AS727,3,FALSE)," ")</f>
        <v xml:space="preserve"> </v>
      </c>
      <c r="C248" s="70" t="str">
        <f>IFERROR(VLOOKUP($A248,'The List'!$B1:$AS727,4,FALSE)," ")</f>
        <v xml:space="preserve"> </v>
      </c>
      <c r="D248" s="35" t="str">
        <f>IFERROR(VLOOKUP($A248,'The List'!$B1:$AS727,5,FALSE)," ")</f>
        <v xml:space="preserve"> </v>
      </c>
      <c r="E248" s="35" t="str">
        <f>IFERROR(VLOOKUP($A248,'The List'!$B1:$AS727,6,FALSE)," ")</f>
        <v xml:space="preserve"> </v>
      </c>
      <c r="F248" s="52" t="str">
        <f>IFERROR(VLOOKUP($A248,'The List'!$B1:$AS727,8,FALSE)," ")</f>
        <v xml:space="preserve"> </v>
      </c>
      <c r="G248" s="52" t="str">
        <f>IFERROR(VLOOKUP($A248,'The List'!$B1:$AS727,10,FALSE)," ")</f>
        <v xml:space="preserve"> </v>
      </c>
      <c r="H248" s="39"/>
      <c r="I248" s="53" t="str">
        <f>IFERROR(VLOOKUP($A248,'The List'!$B1:$AS727,16,FALSE)," ")</f>
        <v xml:space="preserve"> </v>
      </c>
      <c r="J248" s="53" t="str">
        <f>IFERROR(VLOOKUP($A248,'The List'!$B1:$AS727,17,FALSE)," ")</f>
        <v xml:space="preserve"> </v>
      </c>
      <c r="K248" s="53" t="str">
        <f>IFERROR(VLOOKUP($A248,'The List'!$B1:$AS727,18,FALSE)," ")</f>
        <v xml:space="preserve"> </v>
      </c>
      <c r="L248" s="53" t="str">
        <f>IFERROR(VLOOKUP($A248,'The List'!$B1:$AS727,19,FALSE)," ")</f>
        <v xml:space="preserve"> </v>
      </c>
      <c r="M248" s="53" t="str">
        <f>IFERROR(VLOOKUP($A248,'The List'!$B1:$AS727,20,FALSE)," ")</f>
        <v xml:space="preserve"> </v>
      </c>
      <c r="N248" s="53" t="str">
        <f>IFERROR(VLOOKUP($A248,'The List'!$B1:$AS727,21,FALSE)," ")</f>
        <v xml:space="preserve"> </v>
      </c>
      <c r="O248" s="53" t="str">
        <f>IFERROR(VLOOKUP($A248,'The List'!$B1:$AS727,22,FALSE)," ")</f>
        <v xml:space="preserve"> </v>
      </c>
      <c r="P248" s="53" t="str">
        <f>IFERROR(VLOOKUP($A248,'The List'!$B1:$AS727,23,FALSE)," ")</f>
        <v xml:space="preserve"> </v>
      </c>
      <c r="Q248" s="53" t="str">
        <f>IFERROR(VLOOKUP($A248,'The List'!$B1:$AS727,24,FALSE)," ")</f>
        <v xml:space="preserve"> </v>
      </c>
      <c r="R248" s="53" t="str">
        <f>IFERROR(VLOOKUP($A248,'The List'!$B1:$AS727,25,FALSE)," ")</f>
        <v xml:space="preserve"> </v>
      </c>
      <c r="S248" s="53" t="str">
        <f>IFERROR(VLOOKUP($A248,'The List'!$B1:$AS727,26,FALSE)," ")</f>
        <v xml:space="preserve"> </v>
      </c>
      <c r="T248" s="53" t="str">
        <f>IFERROR(VLOOKUP($A248,'The List'!$B1:$AS727,27,FALSE)," ")</f>
        <v xml:space="preserve"> </v>
      </c>
      <c r="U248" s="53" t="str">
        <f>IFERROR(VLOOKUP($A248,'The List'!$B1:$AS727,28,FALSE)," ")</f>
        <v xml:space="preserve"> </v>
      </c>
      <c r="V248" s="53" t="str">
        <f>IFERROR(VLOOKUP($A248,'The List'!$B1:$AS727,29,FALSE)," ")</f>
        <v xml:space="preserve"> </v>
      </c>
      <c r="W248" s="53" t="str">
        <f>IFERROR(VLOOKUP($A248,'The List'!$B1:$AS727,30,FALSE)," ")</f>
        <v xml:space="preserve"> </v>
      </c>
      <c r="X248" s="53" t="str">
        <f>IFERROR(VLOOKUP($A248,'The List'!$B1:$AS727,31,FALSE)," ")</f>
        <v xml:space="preserve"> </v>
      </c>
      <c r="Y248" s="53" t="str">
        <f>IFERROR(VLOOKUP($A248,'The List'!$B1:$AS727,32,FALSE)," ")</f>
        <v xml:space="preserve"> </v>
      </c>
      <c r="Z248" s="53" t="str">
        <f>IFERROR(VLOOKUP($A248,'The List'!$B1:$AS727,33,FALSE)," ")</f>
        <v xml:space="preserve"> </v>
      </c>
      <c r="AA248" s="55"/>
      <c r="AB248" s="60"/>
      <c r="AC248" s="60"/>
      <c r="AD248" s="60"/>
      <c r="AE248" s="60"/>
      <c r="AF248" s="60"/>
    </row>
    <row r="249" spans="1:32" ht="21.25" customHeight="1" x14ac:dyDescent="0.15">
      <c r="A249" s="23"/>
      <c r="B249" s="68" t="str">
        <f>IFERROR(VLOOKUP($A249,'The List'!$B1:$AS727,3,FALSE)," ")</f>
        <v xml:space="preserve"> </v>
      </c>
      <c r="C249" s="70" t="str">
        <f>IFERROR(VLOOKUP($A249,'The List'!$B1:$AS727,4,FALSE)," ")</f>
        <v xml:space="preserve"> </v>
      </c>
      <c r="D249" s="35" t="str">
        <f>IFERROR(VLOOKUP($A249,'The List'!$B1:$AS727,5,FALSE)," ")</f>
        <v xml:space="preserve"> </v>
      </c>
      <c r="E249" s="35" t="str">
        <f>IFERROR(VLOOKUP($A249,'The List'!$B1:$AS727,6,FALSE)," ")</f>
        <v xml:space="preserve"> </v>
      </c>
      <c r="F249" s="52" t="str">
        <f>IFERROR(VLOOKUP($A249,'The List'!$B1:$AS727,8,FALSE)," ")</f>
        <v xml:space="preserve"> </v>
      </c>
      <c r="G249" s="52" t="str">
        <f>IFERROR(VLOOKUP($A249,'The List'!$B1:$AS727,10,FALSE)," ")</f>
        <v xml:space="preserve"> </v>
      </c>
      <c r="H249" s="39"/>
      <c r="I249" s="53" t="str">
        <f>IFERROR(VLOOKUP($A249,'The List'!$B1:$AS727,16,FALSE)," ")</f>
        <v xml:space="preserve"> </v>
      </c>
      <c r="J249" s="53" t="str">
        <f>IFERROR(VLOOKUP($A249,'The List'!$B1:$AS727,17,FALSE)," ")</f>
        <v xml:space="preserve"> </v>
      </c>
      <c r="K249" s="53" t="str">
        <f>IFERROR(VLOOKUP($A249,'The List'!$B1:$AS727,18,FALSE)," ")</f>
        <v xml:space="preserve"> </v>
      </c>
      <c r="L249" s="53" t="str">
        <f>IFERROR(VLOOKUP($A249,'The List'!$B1:$AS727,19,FALSE)," ")</f>
        <v xml:space="preserve"> </v>
      </c>
      <c r="M249" s="53" t="str">
        <f>IFERROR(VLOOKUP($A249,'The List'!$B1:$AS727,20,FALSE)," ")</f>
        <v xml:space="preserve"> </v>
      </c>
      <c r="N249" s="53" t="str">
        <f>IFERROR(VLOOKUP($A249,'The List'!$B1:$AS727,21,FALSE)," ")</f>
        <v xml:space="preserve"> </v>
      </c>
      <c r="O249" s="53" t="str">
        <f>IFERROR(VLOOKUP($A249,'The List'!$B1:$AS727,22,FALSE)," ")</f>
        <v xml:space="preserve"> </v>
      </c>
      <c r="P249" s="53" t="str">
        <f>IFERROR(VLOOKUP($A249,'The List'!$B1:$AS727,23,FALSE)," ")</f>
        <v xml:space="preserve"> </v>
      </c>
      <c r="Q249" s="53" t="str">
        <f>IFERROR(VLOOKUP($A249,'The List'!$B1:$AS727,24,FALSE)," ")</f>
        <v xml:space="preserve"> </v>
      </c>
      <c r="R249" s="53" t="str">
        <f>IFERROR(VLOOKUP($A249,'The List'!$B1:$AS727,25,FALSE)," ")</f>
        <v xml:space="preserve"> </v>
      </c>
      <c r="S249" s="53" t="str">
        <f>IFERROR(VLOOKUP($A249,'The List'!$B1:$AS727,26,FALSE)," ")</f>
        <v xml:space="preserve"> </v>
      </c>
      <c r="T249" s="53" t="str">
        <f>IFERROR(VLOOKUP($A249,'The List'!$B1:$AS727,27,FALSE)," ")</f>
        <v xml:space="preserve"> </v>
      </c>
      <c r="U249" s="53" t="str">
        <f>IFERROR(VLOOKUP($A249,'The List'!$B1:$AS727,28,FALSE)," ")</f>
        <v xml:space="preserve"> </v>
      </c>
      <c r="V249" s="53" t="str">
        <f>IFERROR(VLOOKUP($A249,'The List'!$B1:$AS727,29,FALSE)," ")</f>
        <v xml:space="preserve"> </v>
      </c>
      <c r="W249" s="53" t="str">
        <f>IFERROR(VLOOKUP($A249,'The List'!$B1:$AS727,30,FALSE)," ")</f>
        <v xml:space="preserve"> </v>
      </c>
      <c r="X249" s="53" t="str">
        <f>IFERROR(VLOOKUP($A249,'The List'!$B1:$AS727,31,FALSE)," ")</f>
        <v xml:space="preserve"> </v>
      </c>
      <c r="Y249" s="53" t="str">
        <f>IFERROR(VLOOKUP($A249,'The List'!$B1:$AS727,32,FALSE)," ")</f>
        <v xml:space="preserve"> </v>
      </c>
      <c r="Z249" s="53" t="str">
        <f>IFERROR(VLOOKUP($A249,'The List'!$B1:$AS727,33,FALSE)," ")</f>
        <v xml:space="preserve"> </v>
      </c>
      <c r="AA249" s="55"/>
      <c r="AB249" s="60"/>
      <c r="AC249" s="60"/>
      <c r="AD249" s="60"/>
      <c r="AE249" s="60"/>
      <c r="AF249" s="60"/>
    </row>
    <row r="250" spans="1:32" ht="21.25" customHeight="1" x14ac:dyDescent="0.15">
      <c r="A250" s="23"/>
      <c r="B250" s="68" t="str">
        <f>IFERROR(VLOOKUP($A250,'The List'!$B1:$AS727,3,FALSE)," ")</f>
        <v xml:space="preserve"> </v>
      </c>
      <c r="C250" s="70" t="str">
        <f>IFERROR(VLOOKUP($A250,'The List'!$B1:$AS727,4,FALSE)," ")</f>
        <v xml:space="preserve"> </v>
      </c>
      <c r="D250" s="35" t="str">
        <f>IFERROR(VLOOKUP($A250,'The List'!$B1:$AS727,5,FALSE)," ")</f>
        <v xml:space="preserve"> </v>
      </c>
      <c r="E250" s="35" t="str">
        <f>IFERROR(VLOOKUP($A250,'The List'!$B1:$AS727,6,FALSE)," ")</f>
        <v xml:space="preserve"> </v>
      </c>
      <c r="F250" s="52" t="str">
        <f>IFERROR(VLOOKUP($A250,'The List'!$B1:$AS727,8,FALSE)," ")</f>
        <v xml:space="preserve"> </v>
      </c>
      <c r="G250" s="52" t="str">
        <f>IFERROR(VLOOKUP($A250,'The List'!$B1:$AS727,10,FALSE)," ")</f>
        <v xml:space="preserve"> </v>
      </c>
      <c r="H250" s="39"/>
      <c r="I250" s="53" t="str">
        <f>IFERROR(VLOOKUP($A250,'The List'!$B1:$AS727,16,FALSE)," ")</f>
        <v xml:space="preserve"> </v>
      </c>
      <c r="J250" s="53" t="str">
        <f>IFERROR(VLOOKUP($A250,'The List'!$B1:$AS727,17,FALSE)," ")</f>
        <v xml:space="preserve"> </v>
      </c>
      <c r="K250" s="53" t="str">
        <f>IFERROR(VLOOKUP($A250,'The List'!$B1:$AS727,18,FALSE)," ")</f>
        <v xml:space="preserve"> </v>
      </c>
      <c r="L250" s="53" t="str">
        <f>IFERROR(VLOOKUP($A250,'The List'!$B1:$AS727,19,FALSE)," ")</f>
        <v xml:space="preserve"> </v>
      </c>
      <c r="M250" s="53" t="str">
        <f>IFERROR(VLOOKUP($A250,'The List'!$B1:$AS727,20,FALSE)," ")</f>
        <v xml:space="preserve"> </v>
      </c>
      <c r="N250" s="53" t="str">
        <f>IFERROR(VLOOKUP($A250,'The List'!$B1:$AS727,21,FALSE)," ")</f>
        <v xml:space="preserve"> </v>
      </c>
      <c r="O250" s="53" t="str">
        <f>IFERROR(VLOOKUP($A250,'The List'!$B1:$AS727,22,FALSE)," ")</f>
        <v xml:space="preserve"> </v>
      </c>
      <c r="P250" s="53" t="str">
        <f>IFERROR(VLOOKUP($A250,'The List'!$B1:$AS727,23,FALSE)," ")</f>
        <v xml:space="preserve"> </v>
      </c>
      <c r="Q250" s="53" t="str">
        <f>IFERROR(VLOOKUP($A250,'The List'!$B1:$AS727,24,FALSE)," ")</f>
        <v xml:space="preserve"> </v>
      </c>
      <c r="R250" s="53" t="str">
        <f>IFERROR(VLOOKUP($A250,'The List'!$B1:$AS727,25,FALSE)," ")</f>
        <v xml:space="preserve"> </v>
      </c>
      <c r="S250" s="53" t="str">
        <f>IFERROR(VLOOKUP($A250,'The List'!$B1:$AS727,26,FALSE)," ")</f>
        <v xml:space="preserve"> </v>
      </c>
      <c r="T250" s="53" t="str">
        <f>IFERROR(VLOOKUP($A250,'The List'!$B1:$AS727,27,FALSE)," ")</f>
        <v xml:space="preserve"> </v>
      </c>
      <c r="U250" s="53" t="str">
        <f>IFERROR(VLOOKUP($A250,'The List'!$B1:$AS727,28,FALSE)," ")</f>
        <v xml:space="preserve"> </v>
      </c>
      <c r="V250" s="53" t="str">
        <f>IFERROR(VLOOKUP($A250,'The List'!$B1:$AS727,29,FALSE)," ")</f>
        <v xml:space="preserve"> </v>
      </c>
      <c r="W250" s="53" t="str">
        <f>IFERROR(VLOOKUP($A250,'The List'!$B1:$AS727,30,FALSE)," ")</f>
        <v xml:space="preserve"> </v>
      </c>
      <c r="X250" s="53" t="str">
        <f>IFERROR(VLOOKUP($A250,'The List'!$B1:$AS727,31,FALSE)," ")</f>
        <v xml:space="preserve"> </v>
      </c>
      <c r="Y250" s="53" t="str">
        <f>IFERROR(VLOOKUP($A250,'The List'!$B1:$AS727,32,FALSE)," ")</f>
        <v xml:space="preserve"> </v>
      </c>
      <c r="Z250" s="53" t="str">
        <f>IFERROR(VLOOKUP($A250,'The List'!$B1:$AS727,33,FALSE)," ")</f>
        <v xml:space="preserve"> </v>
      </c>
      <c r="AA250" s="55"/>
      <c r="AB250" s="60"/>
      <c r="AC250" s="60"/>
      <c r="AD250" s="60"/>
      <c r="AE250" s="60"/>
      <c r="AF250" s="60"/>
    </row>
    <row r="251" spans="1:32" ht="21.25" customHeight="1" x14ac:dyDescent="0.15">
      <c r="A251" s="23"/>
      <c r="B251" s="68" t="str">
        <f>IFERROR(VLOOKUP($A251,'The List'!$B1:$AS727,3,FALSE)," ")</f>
        <v xml:space="preserve"> </v>
      </c>
      <c r="C251" s="70" t="str">
        <f>IFERROR(VLOOKUP($A251,'The List'!$B1:$AS727,4,FALSE)," ")</f>
        <v xml:space="preserve"> </v>
      </c>
      <c r="D251" s="35" t="str">
        <f>IFERROR(VLOOKUP($A251,'The List'!$B1:$AS727,5,FALSE)," ")</f>
        <v xml:space="preserve"> </v>
      </c>
      <c r="E251" s="35" t="str">
        <f>IFERROR(VLOOKUP($A251,'The List'!$B1:$AS727,6,FALSE)," ")</f>
        <v xml:space="preserve"> </v>
      </c>
      <c r="F251" s="52" t="str">
        <f>IFERROR(VLOOKUP($A251,'The List'!$B1:$AS727,8,FALSE)," ")</f>
        <v xml:space="preserve"> </v>
      </c>
      <c r="G251" s="52" t="str">
        <f>IFERROR(VLOOKUP($A251,'The List'!$B1:$AS727,10,FALSE)," ")</f>
        <v xml:space="preserve"> </v>
      </c>
      <c r="H251" s="39"/>
      <c r="I251" s="53" t="str">
        <f>IFERROR(VLOOKUP($A251,'The List'!$B1:$AS727,16,FALSE)," ")</f>
        <v xml:space="preserve"> </v>
      </c>
      <c r="J251" s="53" t="str">
        <f>IFERROR(VLOOKUP($A251,'The List'!$B1:$AS727,17,FALSE)," ")</f>
        <v xml:space="preserve"> </v>
      </c>
      <c r="K251" s="53" t="str">
        <f>IFERROR(VLOOKUP($A251,'The List'!$B1:$AS727,18,FALSE)," ")</f>
        <v xml:space="preserve"> </v>
      </c>
      <c r="L251" s="53" t="str">
        <f>IFERROR(VLOOKUP($A251,'The List'!$B1:$AS727,19,FALSE)," ")</f>
        <v xml:space="preserve"> </v>
      </c>
      <c r="M251" s="53" t="str">
        <f>IFERROR(VLOOKUP($A251,'The List'!$B1:$AS727,20,FALSE)," ")</f>
        <v xml:space="preserve"> </v>
      </c>
      <c r="N251" s="53" t="str">
        <f>IFERROR(VLOOKUP($A251,'The List'!$B1:$AS727,21,FALSE)," ")</f>
        <v xml:space="preserve"> </v>
      </c>
      <c r="O251" s="53" t="str">
        <f>IFERROR(VLOOKUP($A251,'The List'!$B1:$AS727,22,FALSE)," ")</f>
        <v xml:space="preserve"> </v>
      </c>
      <c r="P251" s="53" t="str">
        <f>IFERROR(VLOOKUP($A251,'The List'!$B1:$AS727,23,FALSE)," ")</f>
        <v xml:space="preserve"> </v>
      </c>
      <c r="Q251" s="53" t="str">
        <f>IFERROR(VLOOKUP($A251,'The List'!$B1:$AS727,24,FALSE)," ")</f>
        <v xml:space="preserve"> </v>
      </c>
      <c r="R251" s="53" t="str">
        <f>IFERROR(VLOOKUP($A251,'The List'!$B1:$AS727,25,FALSE)," ")</f>
        <v xml:space="preserve"> </v>
      </c>
      <c r="S251" s="53" t="str">
        <f>IFERROR(VLOOKUP($A251,'The List'!$B1:$AS727,26,FALSE)," ")</f>
        <v xml:space="preserve"> </v>
      </c>
      <c r="T251" s="53" t="str">
        <f>IFERROR(VLOOKUP($A251,'The List'!$B1:$AS727,27,FALSE)," ")</f>
        <v xml:space="preserve"> </v>
      </c>
      <c r="U251" s="53" t="str">
        <f>IFERROR(VLOOKUP($A251,'The List'!$B1:$AS727,28,FALSE)," ")</f>
        <v xml:space="preserve"> </v>
      </c>
      <c r="V251" s="53" t="str">
        <f>IFERROR(VLOOKUP($A251,'The List'!$B1:$AS727,29,FALSE)," ")</f>
        <v xml:space="preserve"> </v>
      </c>
      <c r="W251" s="53" t="str">
        <f>IFERROR(VLOOKUP($A251,'The List'!$B1:$AS727,30,FALSE)," ")</f>
        <v xml:space="preserve"> </v>
      </c>
      <c r="X251" s="53" t="str">
        <f>IFERROR(VLOOKUP($A251,'The List'!$B1:$AS727,31,FALSE)," ")</f>
        <v xml:space="preserve"> </v>
      </c>
      <c r="Y251" s="53" t="str">
        <f>IFERROR(VLOOKUP($A251,'The List'!$B1:$AS727,32,FALSE)," ")</f>
        <v xml:space="preserve"> </v>
      </c>
      <c r="Z251" s="53" t="str">
        <f>IFERROR(VLOOKUP($A251,'The List'!$B1:$AS727,33,FALSE)," ")</f>
        <v xml:space="preserve"> </v>
      </c>
      <c r="AA251" s="55"/>
      <c r="AB251" s="60"/>
      <c r="AC251" s="60"/>
      <c r="AD251" s="60"/>
      <c r="AE251" s="60"/>
      <c r="AF251" s="60"/>
    </row>
    <row r="252" spans="1:32" ht="21.25" customHeight="1" x14ac:dyDescent="0.15">
      <c r="A252" s="23"/>
      <c r="B252" s="68" t="str">
        <f>IFERROR(VLOOKUP($A252,'The List'!$B1:$AS727,3,FALSE)," ")</f>
        <v xml:space="preserve"> </v>
      </c>
      <c r="C252" s="70" t="str">
        <f>IFERROR(VLOOKUP($A252,'The List'!$B1:$AS727,4,FALSE)," ")</f>
        <v xml:space="preserve"> </v>
      </c>
      <c r="D252" s="35" t="str">
        <f>IFERROR(VLOOKUP($A252,'The List'!$B1:$AS727,5,FALSE)," ")</f>
        <v xml:space="preserve"> </v>
      </c>
      <c r="E252" s="35" t="str">
        <f>IFERROR(VLOOKUP($A252,'The List'!$B1:$AS727,6,FALSE)," ")</f>
        <v xml:space="preserve"> </v>
      </c>
      <c r="F252" s="52" t="str">
        <f>IFERROR(VLOOKUP($A252,'The List'!$B1:$AS727,8,FALSE)," ")</f>
        <v xml:space="preserve"> </v>
      </c>
      <c r="G252" s="52" t="str">
        <f>IFERROR(VLOOKUP($A252,'The List'!$B1:$AS727,10,FALSE)," ")</f>
        <v xml:space="preserve"> </v>
      </c>
      <c r="H252" s="39"/>
      <c r="I252" s="53" t="str">
        <f>IFERROR(VLOOKUP($A252,'The List'!$B1:$AS727,16,FALSE)," ")</f>
        <v xml:space="preserve"> </v>
      </c>
      <c r="J252" s="53" t="str">
        <f>IFERROR(VLOOKUP($A252,'The List'!$B1:$AS727,17,FALSE)," ")</f>
        <v xml:space="preserve"> </v>
      </c>
      <c r="K252" s="53" t="str">
        <f>IFERROR(VLOOKUP($A252,'The List'!$B1:$AS727,18,FALSE)," ")</f>
        <v xml:space="preserve"> </v>
      </c>
      <c r="L252" s="53" t="str">
        <f>IFERROR(VLOOKUP($A252,'The List'!$B1:$AS727,19,FALSE)," ")</f>
        <v xml:space="preserve"> </v>
      </c>
      <c r="M252" s="53" t="str">
        <f>IFERROR(VLOOKUP($A252,'The List'!$B1:$AS727,20,FALSE)," ")</f>
        <v xml:space="preserve"> </v>
      </c>
      <c r="N252" s="53" t="str">
        <f>IFERROR(VLOOKUP($A252,'The List'!$B1:$AS727,21,FALSE)," ")</f>
        <v xml:space="preserve"> </v>
      </c>
      <c r="O252" s="53" t="str">
        <f>IFERROR(VLOOKUP($A252,'The List'!$B1:$AS727,22,FALSE)," ")</f>
        <v xml:space="preserve"> </v>
      </c>
      <c r="P252" s="53" t="str">
        <f>IFERROR(VLOOKUP($A252,'The List'!$B1:$AS727,23,FALSE)," ")</f>
        <v xml:space="preserve"> </v>
      </c>
      <c r="Q252" s="53" t="str">
        <f>IFERROR(VLOOKUP($A252,'The List'!$B1:$AS727,24,FALSE)," ")</f>
        <v xml:space="preserve"> </v>
      </c>
      <c r="R252" s="53" t="str">
        <f>IFERROR(VLOOKUP($A252,'The List'!$B1:$AS727,25,FALSE)," ")</f>
        <v xml:space="preserve"> </v>
      </c>
      <c r="S252" s="53" t="str">
        <f>IFERROR(VLOOKUP($A252,'The List'!$B1:$AS727,26,FALSE)," ")</f>
        <v xml:space="preserve"> </v>
      </c>
      <c r="T252" s="53" t="str">
        <f>IFERROR(VLOOKUP($A252,'The List'!$B1:$AS727,27,FALSE)," ")</f>
        <v xml:space="preserve"> </v>
      </c>
      <c r="U252" s="53" t="str">
        <f>IFERROR(VLOOKUP($A252,'The List'!$B1:$AS727,28,FALSE)," ")</f>
        <v xml:space="preserve"> </v>
      </c>
      <c r="V252" s="53" t="str">
        <f>IFERROR(VLOOKUP($A252,'The List'!$B1:$AS727,29,FALSE)," ")</f>
        <v xml:space="preserve"> </v>
      </c>
      <c r="W252" s="53" t="str">
        <f>IFERROR(VLOOKUP($A252,'The List'!$B1:$AS727,30,FALSE)," ")</f>
        <v xml:space="preserve"> </v>
      </c>
      <c r="X252" s="53" t="str">
        <f>IFERROR(VLOOKUP($A252,'The List'!$B1:$AS727,31,FALSE)," ")</f>
        <v xml:space="preserve"> </v>
      </c>
      <c r="Y252" s="53" t="str">
        <f>IFERROR(VLOOKUP($A252,'The List'!$B1:$AS727,32,FALSE)," ")</f>
        <v xml:space="preserve"> </v>
      </c>
      <c r="Z252" s="53" t="str">
        <f>IFERROR(VLOOKUP($A252,'The List'!$B1:$AS727,33,FALSE)," ")</f>
        <v xml:space="preserve"> </v>
      </c>
      <c r="AA252" s="55"/>
      <c r="AB252" s="60"/>
      <c r="AC252" s="60"/>
      <c r="AD252" s="60"/>
      <c r="AE252" s="60"/>
      <c r="AF252" s="60"/>
    </row>
    <row r="253" spans="1:32" ht="21.25" customHeight="1" x14ac:dyDescent="0.15">
      <c r="A253" s="72"/>
      <c r="B253" s="73" t="str">
        <f>IFERROR(VLOOKUP($A253,'The List'!$B1:$AS727,3,FALSE)," ")</f>
        <v xml:space="preserve"> </v>
      </c>
      <c r="C253" s="74" t="str">
        <f>IFERROR(VLOOKUP($A253,'The List'!$B1:$AS727,4,FALSE)," ")</f>
        <v xml:space="preserve"> </v>
      </c>
      <c r="D253" s="75" t="str">
        <f>IFERROR(VLOOKUP($A253,'The List'!$B1:$AS727,5,FALSE)," ")</f>
        <v xml:space="preserve"> </v>
      </c>
      <c r="E253" s="75" t="str">
        <f>IFERROR(VLOOKUP($A253,'The List'!$B1:$AS727,6,FALSE)," ")</f>
        <v xml:space="preserve"> </v>
      </c>
      <c r="F253" s="76" t="str">
        <f>IFERROR(VLOOKUP($A253,'The List'!$B1:$AS727,8,FALSE)," ")</f>
        <v xml:space="preserve"> </v>
      </c>
      <c r="G253" s="76" t="str">
        <f>IFERROR(VLOOKUP($A253,'The List'!$B1:$AS727,10,FALSE)," ")</f>
        <v xml:space="preserve"> </v>
      </c>
      <c r="H253" s="77"/>
      <c r="I253" s="78" t="str">
        <f>IFERROR(VLOOKUP($A253,'The List'!$B1:$AS727,16,FALSE)," ")</f>
        <v xml:space="preserve"> </v>
      </c>
      <c r="J253" s="78" t="str">
        <f>IFERROR(VLOOKUP($A253,'The List'!$B1:$AS727,17,FALSE)," ")</f>
        <v xml:space="preserve"> </v>
      </c>
      <c r="K253" s="78" t="str">
        <f>IFERROR(VLOOKUP($A253,'The List'!$B1:$AS727,18,FALSE)," ")</f>
        <v xml:space="preserve"> </v>
      </c>
      <c r="L253" s="78" t="str">
        <f>IFERROR(VLOOKUP($A253,'The List'!$B1:$AS727,19,FALSE)," ")</f>
        <v xml:space="preserve"> </v>
      </c>
      <c r="M253" s="78" t="str">
        <f>IFERROR(VLOOKUP($A253,'The List'!$B1:$AS727,20,FALSE)," ")</f>
        <v xml:space="preserve"> </v>
      </c>
      <c r="N253" s="78" t="str">
        <f>IFERROR(VLOOKUP($A253,'The List'!$B1:$AS727,21,FALSE)," ")</f>
        <v xml:space="preserve"> </v>
      </c>
      <c r="O253" s="78" t="str">
        <f>IFERROR(VLOOKUP($A253,'The List'!$B1:$AS727,22,FALSE)," ")</f>
        <v xml:space="preserve"> </v>
      </c>
      <c r="P253" s="78" t="str">
        <f>IFERROR(VLOOKUP($A253,'The List'!$B1:$AS727,23,FALSE)," ")</f>
        <v xml:space="preserve"> </v>
      </c>
      <c r="Q253" s="78" t="str">
        <f>IFERROR(VLOOKUP($A253,'The List'!$B1:$AS727,24,FALSE)," ")</f>
        <v xml:space="preserve"> </v>
      </c>
      <c r="R253" s="78" t="str">
        <f>IFERROR(VLOOKUP($A253,'The List'!$B1:$AS727,25,FALSE)," ")</f>
        <v xml:space="preserve"> </v>
      </c>
      <c r="S253" s="78" t="str">
        <f>IFERROR(VLOOKUP($A253,'The List'!$B1:$AS727,26,FALSE)," ")</f>
        <v xml:space="preserve"> </v>
      </c>
      <c r="T253" s="78" t="str">
        <f>IFERROR(VLOOKUP($A253,'The List'!$B1:$AS727,27,FALSE)," ")</f>
        <v xml:space="preserve"> </v>
      </c>
      <c r="U253" s="78" t="str">
        <f>IFERROR(VLOOKUP($A253,'The List'!$B1:$AS727,28,FALSE)," ")</f>
        <v xml:space="preserve"> </v>
      </c>
      <c r="V253" s="78" t="str">
        <f>IFERROR(VLOOKUP($A253,'The List'!$B1:$AS727,29,FALSE)," ")</f>
        <v xml:space="preserve"> </v>
      </c>
      <c r="W253" s="78" t="str">
        <f>IFERROR(VLOOKUP($A253,'The List'!$B1:$AS727,30,FALSE)," ")</f>
        <v xml:space="preserve"> </v>
      </c>
      <c r="X253" s="78" t="str">
        <f>IFERROR(VLOOKUP($A253,'The List'!$B1:$AS727,31,FALSE)," ")</f>
        <v xml:space="preserve"> </v>
      </c>
      <c r="Y253" s="78" t="str">
        <f>IFERROR(VLOOKUP($A253,'The List'!$B1:$AS727,32,FALSE)," ")</f>
        <v xml:space="preserve"> </v>
      </c>
      <c r="Z253" s="78" t="str">
        <f>IFERROR(VLOOKUP($A253,'The List'!$B1:$AS727,33,FALSE)," ")</f>
        <v xml:space="preserve"> </v>
      </c>
      <c r="AA253" s="55"/>
      <c r="AB253" s="60"/>
      <c r="AC253" s="60"/>
      <c r="AD253" s="60"/>
      <c r="AE253" s="60"/>
      <c r="AF253" s="60"/>
    </row>
    <row r="254" spans="1:32" ht="21.25" customHeight="1" x14ac:dyDescent="0.15">
      <c r="A254" s="79"/>
      <c r="B254" s="80"/>
      <c r="C254" s="81"/>
      <c r="D254" s="82"/>
      <c r="E254" s="117" t="str">
        <f>IFERROR(AVERAGE(E234:E253)," ")</f>
        <v xml:space="preserve"> </v>
      </c>
      <c r="F254" s="84">
        <f>SUM(F234:F253)</f>
        <v>0</v>
      </c>
      <c r="G254" s="84">
        <f>SUM(G234:G253)</f>
        <v>0</v>
      </c>
      <c r="H254" s="85"/>
      <c r="I254" s="86">
        <f>SUM(I234:I253)</f>
        <v>0</v>
      </c>
      <c r="J254" s="85" t="e">
        <f>AVERAGE(J234:J253)</f>
        <v>#DIV/0!</v>
      </c>
      <c r="K254" s="86">
        <f t="shared" ref="K254:Y254" si="16">SUM(K234:K253)</f>
        <v>0</v>
      </c>
      <c r="L254" s="86">
        <f t="shared" si="16"/>
        <v>0</v>
      </c>
      <c r="M254" s="86">
        <f t="shared" si="16"/>
        <v>0</v>
      </c>
      <c r="N254" s="86">
        <f t="shared" si="16"/>
        <v>0</v>
      </c>
      <c r="O254" s="86">
        <f t="shared" si="16"/>
        <v>0</v>
      </c>
      <c r="P254" s="86">
        <f t="shared" si="16"/>
        <v>0</v>
      </c>
      <c r="Q254" s="86">
        <f t="shared" si="16"/>
        <v>0</v>
      </c>
      <c r="R254" s="86">
        <f t="shared" si="16"/>
        <v>0</v>
      </c>
      <c r="S254" s="86">
        <f t="shared" si="16"/>
        <v>0</v>
      </c>
      <c r="T254" s="86">
        <f t="shared" si="16"/>
        <v>0</v>
      </c>
      <c r="U254" s="86">
        <f t="shared" si="16"/>
        <v>0</v>
      </c>
      <c r="V254" s="86">
        <f t="shared" si="16"/>
        <v>0</v>
      </c>
      <c r="W254" s="86">
        <f t="shared" si="16"/>
        <v>0</v>
      </c>
      <c r="X254" s="86">
        <f t="shared" si="16"/>
        <v>0</v>
      </c>
      <c r="Y254" s="86">
        <f t="shared" si="16"/>
        <v>0</v>
      </c>
      <c r="Z254" s="87">
        <f>IFERROR(X254/(X254+Y254),0)</f>
        <v>0</v>
      </c>
      <c r="AA254" s="55"/>
      <c r="AB254" s="88"/>
      <c r="AC254" s="88"/>
      <c r="AD254" s="88"/>
      <c r="AE254" s="88"/>
      <c r="AF254" s="88"/>
    </row>
    <row r="255" spans="1:32" ht="21.25" customHeight="1" x14ac:dyDescent="0.15">
      <c r="A255" s="89"/>
      <c r="B255" s="90"/>
      <c r="C255" s="91"/>
      <c r="D255" s="11"/>
      <c r="E255" s="11"/>
      <c r="F255" s="92"/>
      <c r="G255" s="93"/>
      <c r="H255" s="94"/>
      <c r="I255" s="9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60"/>
      <c r="AC255" s="60"/>
      <c r="AD255" s="60"/>
      <c r="AE255" s="60"/>
      <c r="AF255" s="60"/>
    </row>
    <row r="256" spans="1:32" ht="21.25" customHeight="1" x14ac:dyDescent="0.15">
      <c r="A256" s="24" t="s">
        <v>66</v>
      </c>
      <c r="B256" s="174" t="s">
        <v>68</v>
      </c>
      <c r="C256" s="165"/>
      <c r="D256" s="96" t="s">
        <v>69</v>
      </c>
      <c r="E256" s="96" t="s">
        <v>70</v>
      </c>
      <c r="F256" s="97" t="s">
        <v>72</v>
      </c>
      <c r="G256" s="97" t="s">
        <v>74</v>
      </c>
      <c r="H256" s="98"/>
      <c r="I256" s="99" t="s">
        <v>79</v>
      </c>
      <c r="J256" s="99" t="s">
        <v>97</v>
      </c>
      <c r="K256" s="99" t="s">
        <v>98</v>
      </c>
      <c r="L256" s="99" t="s">
        <v>99</v>
      </c>
      <c r="M256" s="99" t="s">
        <v>100</v>
      </c>
      <c r="N256" s="99" t="s">
        <v>101</v>
      </c>
      <c r="O256" s="99" t="s">
        <v>102</v>
      </c>
      <c r="P256" s="99" t="s">
        <v>103</v>
      </c>
      <c r="Q256" s="99" t="s">
        <v>104</v>
      </c>
      <c r="R256" s="55"/>
      <c r="S256" s="55"/>
      <c r="T256" s="55"/>
      <c r="U256" s="174" t="s">
        <v>850</v>
      </c>
      <c r="V256" s="175"/>
      <c r="W256" s="175"/>
      <c r="X256" s="174" t="s">
        <v>851</v>
      </c>
      <c r="Y256" s="175"/>
      <c r="Z256" s="175"/>
      <c r="AA256" s="55"/>
      <c r="AB256" s="55"/>
      <c r="AC256" s="55"/>
      <c r="AD256" s="55"/>
      <c r="AE256" s="55"/>
      <c r="AF256" s="55"/>
    </row>
    <row r="257" spans="1:32" ht="21.25" customHeight="1" x14ac:dyDescent="0.15">
      <c r="A257" s="118"/>
      <c r="B257" s="101" t="str">
        <f>IFERROR(VLOOKUP($A257,'The List'!$B1:$AS727,3,FALSE)," ")</f>
        <v xml:space="preserve"> </v>
      </c>
      <c r="C257" s="119" t="str">
        <f>IFERROR(VLOOKUP($A257,'The List'!$B1:$AS727,4,FALSE)," ")</f>
        <v xml:space="preserve"> </v>
      </c>
      <c r="D257" s="103" t="str">
        <f>IFERROR(VLOOKUP($A257,'The List'!$B1:$AS727,5,FALSE)," ")</f>
        <v xml:space="preserve"> </v>
      </c>
      <c r="E257" s="103" t="str">
        <f>IFERROR(VLOOKUP($A257,'The List'!$B1:$AS727,6,FALSE)," ")</f>
        <v xml:space="preserve"> </v>
      </c>
      <c r="F257" s="120" t="str">
        <f>IFERROR(VLOOKUP($A257,'The List'!$B1:$AS727,8,FALSE)," ")</f>
        <v xml:space="preserve"> </v>
      </c>
      <c r="G257" s="120" t="str">
        <f>IFERROR(VLOOKUP($A257,'The List'!$B1:$AS727,10,FALSE)," ")</f>
        <v xml:space="preserve"> </v>
      </c>
      <c r="H257" s="106"/>
      <c r="I257" s="121" t="str">
        <f>IFERROR(VLOOKUP($A257,'The List'!$B1:$AS727,35,FALSE)," ")</f>
        <v xml:space="preserve"> </v>
      </c>
      <c r="J257" s="121" t="str">
        <f>IFERROR(VLOOKUP($A257,'The List'!$B1:$AS727,36,FALSE)," ")</f>
        <v xml:space="preserve"> </v>
      </c>
      <c r="K257" s="121" t="str">
        <f>IFERROR(VLOOKUP($A257,'The List'!$B1:$AS727,37,FALSE)," ")</f>
        <v xml:space="preserve"> </v>
      </c>
      <c r="L257" s="121" t="str">
        <f>IFERROR(VLOOKUP($A257,'The List'!$B1:$AS727,38,FALSE)," ")</f>
        <v xml:space="preserve"> </v>
      </c>
      <c r="M257" s="121" t="str">
        <f>IFERROR(VLOOKUP($A257,'The List'!$B1:$AS727,39,FALSE)," ")</f>
        <v xml:space="preserve"> </v>
      </c>
      <c r="N257" s="121" t="str">
        <f>IFERROR(VLOOKUP($A257,'The List'!$B1:$AS727,40,FALSE)," ")</f>
        <v xml:space="preserve"> </v>
      </c>
      <c r="O257" s="121" t="str">
        <f>IFERROR(VLOOKUP($A257,'The List'!$B1:$AS727,41,FALSE)," ")</f>
        <v xml:space="preserve"> </v>
      </c>
      <c r="P257" s="121" t="str">
        <f>IFERROR(VLOOKUP($A257,'The List'!$B1:$AS727,42,FALSE)," ")</f>
        <v xml:space="preserve"> </v>
      </c>
      <c r="Q257" s="121" t="str">
        <f>IFERROR(VLOOKUP($A257,'The List'!$B1:$AS727,43,FALSE)," ")</f>
        <v xml:space="preserve"> </v>
      </c>
      <c r="R257" s="55"/>
      <c r="S257" s="55"/>
      <c r="T257" s="110" t="str">
        <f>A233</f>
        <v>TEAM 9</v>
      </c>
      <c r="U257" s="176">
        <f>F254+F260</f>
        <v>0</v>
      </c>
      <c r="V257" s="165"/>
      <c r="W257" s="165"/>
      <c r="X257" s="176">
        <f>G260+G254</f>
        <v>0</v>
      </c>
      <c r="Y257" s="165"/>
      <c r="Z257" s="165"/>
      <c r="AA257" s="55"/>
      <c r="AB257" s="55"/>
      <c r="AC257" s="55"/>
      <c r="AD257" s="55"/>
      <c r="AE257" s="55"/>
      <c r="AF257" s="55"/>
    </row>
    <row r="258" spans="1:32" ht="21.25" customHeight="1" x14ac:dyDescent="0.15">
      <c r="A258" s="23"/>
      <c r="B258" s="111" t="str">
        <f>IFERROR(VLOOKUP($A258,'The List'!$B1:$AS727,3,FALSE)," ")</f>
        <v xml:space="preserve"> </v>
      </c>
      <c r="C258" s="112" t="str">
        <f>IFERROR(VLOOKUP($A258,'The List'!$B1:$AS727,4,FALSE)," ")</f>
        <v xml:space="preserve"> </v>
      </c>
      <c r="D258" s="35" t="str">
        <f>IFERROR(VLOOKUP($A258,'The List'!$B1:$AS727,5,FALSE)," ")</f>
        <v xml:space="preserve"> </v>
      </c>
      <c r="E258" s="35" t="str">
        <f>IFERROR(VLOOKUP($A258,'The List'!$B1:$AS727,6,FALSE)," ")</f>
        <v xml:space="preserve"> </v>
      </c>
      <c r="F258" s="52" t="str">
        <f>IFERROR(VLOOKUP($A258,'The List'!$B1:$AS727,8,FALSE)," ")</f>
        <v xml:space="preserve"> </v>
      </c>
      <c r="G258" s="52" t="str">
        <f>IFERROR(VLOOKUP($A258,'The List'!$B1:$AS727,10,FALSE)," ")</f>
        <v xml:space="preserve"> </v>
      </c>
      <c r="H258" s="39"/>
      <c r="I258" s="53" t="str">
        <f>IFERROR(VLOOKUP($A258,'The List'!$B1:$AS727,35,FALSE)," ")</f>
        <v xml:space="preserve"> </v>
      </c>
      <c r="J258" s="53" t="str">
        <f>IFERROR(VLOOKUP($A258,'The List'!$B1:$AS727,36,FALSE)," ")</f>
        <v xml:space="preserve"> </v>
      </c>
      <c r="K258" s="53" t="str">
        <f>IFERROR(VLOOKUP($A258,'The List'!$B1:$AS727,37,FALSE)," ")</f>
        <v xml:space="preserve"> </v>
      </c>
      <c r="L258" s="53" t="str">
        <f>IFERROR(VLOOKUP($A258,'The List'!$B1:$AS727,38,FALSE)," ")</f>
        <v xml:space="preserve"> </v>
      </c>
      <c r="M258" s="53" t="str">
        <f>IFERROR(VLOOKUP($A258,'The List'!$B1:$AS727,39,FALSE)," ")</f>
        <v xml:space="preserve"> </v>
      </c>
      <c r="N258" s="53" t="str">
        <f>IFERROR(VLOOKUP($A258,'The List'!$B1:$AS727,40,FALSE)," ")</f>
        <v xml:space="preserve"> </v>
      </c>
      <c r="O258" s="53" t="str">
        <f>IFERROR(VLOOKUP($A258,'The List'!$B1:$AS727,41,FALSE)," ")</f>
        <v xml:space="preserve"> </v>
      </c>
      <c r="P258" s="53" t="str">
        <f>IFERROR(VLOOKUP($A258,'The List'!$B1:$AS727,42,FALSE)," ")</f>
        <v xml:space="preserve"> </v>
      </c>
      <c r="Q258" s="53" t="str">
        <f>IFERROR(VLOOKUP($A258,'The List'!$B1:$AS727,43,FALSE)," ")</f>
        <v xml:space="preserve"> </v>
      </c>
      <c r="R258" s="55"/>
      <c r="S258" s="55"/>
      <c r="T258" s="55"/>
      <c r="U258" s="165"/>
      <c r="V258" s="165"/>
      <c r="W258" s="165"/>
      <c r="X258" s="165"/>
      <c r="Y258" s="165"/>
      <c r="Z258" s="165"/>
      <c r="AA258" s="55"/>
      <c r="AB258" s="55"/>
      <c r="AC258" s="55"/>
      <c r="AD258" s="55"/>
      <c r="AE258" s="55"/>
      <c r="AF258" s="55"/>
    </row>
    <row r="259" spans="1:32" ht="21.25" customHeight="1" x14ac:dyDescent="0.15">
      <c r="A259" s="72"/>
      <c r="B259" s="113" t="str">
        <f>IFERROR(VLOOKUP($A259,'The List'!$B1:$AS727,3,FALSE)," ")</f>
        <v xml:space="preserve"> </v>
      </c>
      <c r="C259" s="114" t="str">
        <f>IFERROR(VLOOKUP($A259,'The List'!$B1:$AS727,4,FALSE)," ")</f>
        <v xml:space="preserve"> </v>
      </c>
      <c r="D259" s="75" t="str">
        <f>IFERROR(VLOOKUP($A259,'The List'!$B1:$AS727,5,FALSE)," ")</f>
        <v xml:space="preserve"> </v>
      </c>
      <c r="E259" s="75" t="str">
        <f>IFERROR(VLOOKUP($A259,'The List'!$B1:$AS727,6,FALSE)," ")</f>
        <v xml:space="preserve"> </v>
      </c>
      <c r="F259" s="76" t="str">
        <f>IFERROR(VLOOKUP($A259,'The List'!$B1:$AS727,8,FALSE)," ")</f>
        <v xml:space="preserve"> </v>
      </c>
      <c r="G259" s="76" t="str">
        <f>IFERROR(VLOOKUP($A259,'The List'!$B1:$AS727,10,FALSE)," ")</f>
        <v xml:space="preserve"> </v>
      </c>
      <c r="H259" s="77"/>
      <c r="I259" s="78" t="str">
        <f>IFERROR(VLOOKUP($A259,'The List'!$B1:$AS727,35,FALSE)," ")</f>
        <v xml:space="preserve"> </v>
      </c>
      <c r="J259" s="78" t="str">
        <f>IFERROR(VLOOKUP($A259,'The List'!$B1:$AS727,36,FALSE)," ")</f>
        <v xml:space="preserve"> </v>
      </c>
      <c r="K259" s="78" t="str">
        <f>IFERROR(VLOOKUP($A259,'The List'!$B1:$AS727,37,FALSE)," ")</f>
        <v xml:space="preserve"> </v>
      </c>
      <c r="L259" s="78" t="str">
        <f>IFERROR(VLOOKUP($A259,'The List'!$B1:$AS727,38,FALSE)," ")</f>
        <v xml:space="preserve"> </v>
      </c>
      <c r="M259" s="78" t="str">
        <f>IFERROR(VLOOKUP($A259,'The List'!$B1:$AS727,39,FALSE)," ")</f>
        <v xml:space="preserve"> </v>
      </c>
      <c r="N259" s="78" t="str">
        <f>IFERROR(VLOOKUP($A259,'The List'!$B1:$AS727,40,FALSE)," ")</f>
        <v xml:space="preserve"> </v>
      </c>
      <c r="O259" s="78" t="str">
        <f>IFERROR(VLOOKUP($A259,'The List'!$B1:$AS727,41,FALSE)," ")</f>
        <v xml:space="preserve"> </v>
      </c>
      <c r="P259" s="78" t="str">
        <f>IFERROR(VLOOKUP($A259,'The List'!$B1:$AS727,42,FALSE)," ")</f>
        <v xml:space="preserve"> </v>
      </c>
      <c r="Q259" s="78" t="str">
        <f>IFERROR(VLOOKUP($A259,'The List'!$B1:$AS727,43,FALSE)," ")</f>
        <v xml:space="preserve"> </v>
      </c>
      <c r="R259" s="55"/>
      <c r="S259" s="55"/>
      <c r="T259" s="55"/>
      <c r="U259" s="165"/>
      <c r="V259" s="165"/>
      <c r="W259" s="165"/>
      <c r="X259" s="165"/>
      <c r="Y259" s="165"/>
      <c r="Z259" s="165"/>
      <c r="AA259" s="55"/>
      <c r="AB259" s="55"/>
      <c r="AC259" s="55"/>
      <c r="AD259" s="55"/>
      <c r="AE259" s="55"/>
      <c r="AF259" s="55"/>
    </row>
    <row r="260" spans="1:32" ht="21.25" customHeight="1" x14ac:dyDescent="0.15">
      <c r="A260" s="79"/>
      <c r="B260" s="80"/>
      <c r="C260" s="81"/>
      <c r="D260" s="82"/>
      <c r="E260" s="117" t="str">
        <f>IFERROR(AVERAGE(E257:E259)," ")</f>
        <v xml:space="preserve"> </v>
      </c>
      <c r="F260" s="84">
        <f>SUM(F257:F259)</f>
        <v>0</v>
      </c>
      <c r="G260" s="84">
        <f>SUM(G257:G259)</f>
        <v>0</v>
      </c>
      <c r="H260" s="85"/>
      <c r="I260" s="86">
        <f t="shared" ref="I260:O260" si="17">SUM(I257:I259)</f>
        <v>0</v>
      </c>
      <c r="J260" s="85">
        <f t="shared" si="17"/>
        <v>0</v>
      </c>
      <c r="K260" s="86">
        <f t="shared" si="17"/>
        <v>0</v>
      </c>
      <c r="L260" s="86">
        <f t="shared" si="17"/>
        <v>0</v>
      </c>
      <c r="M260" s="86">
        <f t="shared" si="17"/>
        <v>0</v>
      </c>
      <c r="N260" s="86">
        <f t="shared" si="17"/>
        <v>0</v>
      </c>
      <c r="O260" s="86">
        <f t="shared" si="17"/>
        <v>0</v>
      </c>
      <c r="P260" s="115" t="e">
        <f>1-(O260/(N260+O260))</f>
        <v>#DIV/0!</v>
      </c>
      <c r="Q260" s="116" t="e">
        <f>O260/I260</f>
        <v>#DIV/0!</v>
      </c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</row>
    <row r="261" spans="1:32" ht="70.75" customHeight="1" x14ac:dyDescent="0.15">
      <c r="A261" s="89"/>
      <c r="B261" s="90"/>
      <c r="C261" s="91"/>
      <c r="D261" s="11"/>
      <c r="E261" s="11"/>
      <c r="F261" s="92"/>
      <c r="G261" s="93"/>
      <c r="H261" s="94"/>
      <c r="I261" s="9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60"/>
      <c r="AB261" s="60"/>
      <c r="AC261" s="60"/>
      <c r="AD261" s="60"/>
      <c r="AE261" s="60"/>
      <c r="AF261" s="60"/>
    </row>
    <row r="262" spans="1:32" ht="21.25" customHeight="1" x14ac:dyDescent="0.15">
      <c r="A262" s="25" t="s">
        <v>843</v>
      </c>
      <c r="B262" s="173" t="s">
        <v>68</v>
      </c>
      <c r="C262" s="170"/>
      <c r="D262" s="26" t="s">
        <v>69</v>
      </c>
      <c r="E262" s="26" t="s">
        <v>70</v>
      </c>
      <c r="F262" s="27" t="s">
        <v>72</v>
      </c>
      <c r="G262" s="27" t="s">
        <v>74</v>
      </c>
      <c r="H262" s="28"/>
      <c r="I262" s="30" t="s">
        <v>79</v>
      </c>
      <c r="J262" s="30" t="s">
        <v>80</v>
      </c>
      <c r="K262" s="30" t="s">
        <v>81</v>
      </c>
      <c r="L262" s="30" t="s">
        <v>82</v>
      </c>
      <c r="M262" s="30" t="s">
        <v>83</v>
      </c>
      <c r="N262" s="30" t="s">
        <v>84</v>
      </c>
      <c r="O262" s="30" t="s">
        <v>85</v>
      </c>
      <c r="P262" s="30" t="s">
        <v>86</v>
      </c>
      <c r="Q262" s="30" t="s">
        <v>87</v>
      </c>
      <c r="R262" s="30" t="s">
        <v>88</v>
      </c>
      <c r="S262" s="30" t="s">
        <v>89</v>
      </c>
      <c r="T262" s="30" t="s">
        <v>90</v>
      </c>
      <c r="U262" s="30" t="s">
        <v>91</v>
      </c>
      <c r="V262" s="30" t="s">
        <v>92</v>
      </c>
      <c r="W262" s="30" t="s">
        <v>93</v>
      </c>
      <c r="X262" s="30" t="s">
        <v>94</v>
      </c>
      <c r="Y262" s="30" t="s">
        <v>95</v>
      </c>
      <c r="Z262" s="30" t="s">
        <v>96</v>
      </c>
      <c r="AA262" s="55"/>
      <c r="AB262" s="56"/>
      <c r="AC262" s="56"/>
      <c r="AD262" s="56"/>
      <c r="AE262" s="56"/>
      <c r="AF262" s="56"/>
    </row>
    <row r="263" spans="1:32" ht="21.25" customHeight="1" x14ac:dyDescent="0.15">
      <c r="A263" s="23"/>
      <c r="B263" s="57" t="str">
        <f>IFERROR(VLOOKUP($A263,'The List'!$B1:$AS727,3,FALSE)," ")</f>
        <v xml:space="preserve"> </v>
      </c>
      <c r="C263" s="61" t="str">
        <f>IFERROR(VLOOKUP($A263,'The List'!$B1:$AS727,4,FALSE)," ")</f>
        <v xml:space="preserve"> </v>
      </c>
      <c r="D263" s="35" t="str">
        <f>IFERROR(VLOOKUP($A263,'The List'!$B1:$AS727,5,FALSE)," ")</f>
        <v xml:space="preserve"> </v>
      </c>
      <c r="E263" s="35" t="str">
        <f>IFERROR(VLOOKUP($A263,'The List'!$B1:$AS727,6,FALSE)," ")</f>
        <v xml:space="preserve"> </v>
      </c>
      <c r="F263" s="52" t="str">
        <f>IFERROR(VLOOKUP($A263,'The List'!$B1:$AS727,8,FALSE)," ")</f>
        <v xml:space="preserve"> </v>
      </c>
      <c r="G263" s="52" t="str">
        <f>IFERROR(VLOOKUP($A263,'The List'!$B1:$AS727,10,FALSE)," ")</f>
        <v xml:space="preserve"> </v>
      </c>
      <c r="H263" s="39"/>
      <c r="I263" s="53" t="str">
        <f>IFERROR(VLOOKUP($A263,'The List'!$B1:$AS727,16,FALSE)," ")</f>
        <v xml:space="preserve"> </v>
      </c>
      <c r="J263" s="53" t="str">
        <f>IFERROR(VLOOKUP($A263,'The List'!$B1:$AS727,17,FALSE)," ")</f>
        <v xml:space="preserve"> </v>
      </c>
      <c r="K263" s="53" t="str">
        <f>IFERROR(VLOOKUP($A263,'The List'!$B1:$AS727,18,FALSE)," ")</f>
        <v xml:space="preserve"> </v>
      </c>
      <c r="L263" s="53" t="str">
        <f>IFERROR(VLOOKUP($A263,'The List'!$B1:$AS727,19,FALSE)," ")</f>
        <v xml:space="preserve"> </v>
      </c>
      <c r="M263" s="53" t="str">
        <f>IFERROR(VLOOKUP($A263,'The List'!$B1:$AS727,20,FALSE)," ")</f>
        <v xml:space="preserve"> </v>
      </c>
      <c r="N263" s="53" t="str">
        <f>IFERROR(VLOOKUP($A263,'The List'!$B1:$AS727,21,FALSE)," ")</f>
        <v xml:space="preserve"> </v>
      </c>
      <c r="O263" s="53" t="str">
        <f>IFERROR(VLOOKUP($A263,'The List'!$B1:$AS727,22,FALSE)," ")</f>
        <v xml:space="preserve"> </v>
      </c>
      <c r="P263" s="53" t="str">
        <f>IFERROR(VLOOKUP($A263,'The List'!$B1:$AS727,23,FALSE)," ")</f>
        <v xml:space="preserve"> </v>
      </c>
      <c r="Q263" s="53" t="str">
        <f>IFERROR(VLOOKUP($A263,'The List'!$B1:$AS727,24,FALSE)," ")</f>
        <v xml:space="preserve"> </v>
      </c>
      <c r="R263" s="53" t="str">
        <f>IFERROR(VLOOKUP($A263,'The List'!$B1:$AS727,25,FALSE)," ")</f>
        <v xml:space="preserve"> </v>
      </c>
      <c r="S263" s="53" t="str">
        <f>IFERROR(VLOOKUP($A263,'The List'!$B1:$AS727,26,FALSE)," ")</f>
        <v xml:space="preserve"> </v>
      </c>
      <c r="T263" s="53" t="str">
        <f>IFERROR(VLOOKUP($A263,'The List'!$B1:$AS727,27,FALSE)," ")</f>
        <v xml:space="preserve"> </v>
      </c>
      <c r="U263" s="53" t="str">
        <f>IFERROR(VLOOKUP($A263,'The List'!$B1:$AS727,28,FALSE)," ")</f>
        <v xml:space="preserve"> </v>
      </c>
      <c r="V263" s="53" t="str">
        <f>IFERROR(VLOOKUP($A263,'The List'!$B1:$AS727,29,FALSE)," ")</f>
        <v xml:space="preserve"> </v>
      </c>
      <c r="W263" s="53" t="str">
        <f>IFERROR(VLOOKUP($A263,'The List'!$B1:$AS727,30,FALSE)," ")</f>
        <v xml:space="preserve"> </v>
      </c>
      <c r="X263" s="53" t="str">
        <f>IFERROR(VLOOKUP($A263,'The List'!$B1:$AS727,31,FALSE)," ")</f>
        <v xml:space="preserve"> </v>
      </c>
      <c r="Y263" s="53" t="str">
        <f>IFERROR(VLOOKUP($A263,'The List'!$B1:$AS727,32,FALSE)," ")</f>
        <v xml:space="preserve"> </v>
      </c>
      <c r="Z263" s="53" t="str">
        <f>IFERROR(VLOOKUP($A263,'The List'!$B1:$AS727,33,FALSE)," ")</f>
        <v xml:space="preserve"> </v>
      </c>
      <c r="AA263" s="55"/>
      <c r="AB263" s="60"/>
      <c r="AC263" s="60"/>
      <c r="AD263" s="60"/>
      <c r="AE263" s="60"/>
      <c r="AF263" s="60"/>
    </row>
    <row r="264" spans="1:32" ht="21.25" customHeight="1" x14ac:dyDescent="0.15">
      <c r="A264" s="23"/>
      <c r="B264" s="57" t="str">
        <f>IFERROR(VLOOKUP($A264,'The List'!$B1:$AS727,3,FALSE)," ")</f>
        <v xml:space="preserve"> </v>
      </c>
      <c r="C264" s="61" t="str">
        <f>IFERROR(VLOOKUP($A264,'The List'!$B1:$AS727,4,FALSE)," ")</f>
        <v xml:space="preserve"> </v>
      </c>
      <c r="D264" s="35" t="str">
        <f>IFERROR(VLOOKUP($A264,'The List'!$B1:$AS727,5,FALSE)," ")</f>
        <v xml:space="preserve"> </v>
      </c>
      <c r="E264" s="35" t="str">
        <f>IFERROR(VLOOKUP($A264,'The List'!$B1:$AS727,6,FALSE)," ")</f>
        <v xml:space="preserve"> </v>
      </c>
      <c r="F264" s="52" t="str">
        <f>IFERROR(VLOOKUP($A264,'The List'!$B1:$AS727,8,FALSE)," ")</f>
        <v xml:space="preserve"> </v>
      </c>
      <c r="G264" s="52" t="str">
        <f>IFERROR(VLOOKUP($A264,'The List'!$B1:$AS727,10,FALSE)," ")</f>
        <v xml:space="preserve"> </v>
      </c>
      <c r="H264" s="39"/>
      <c r="I264" s="53" t="str">
        <f>IFERROR(VLOOKUP($A264,'The List'!$B1:$AS727,16,FALSE)," ")</f>
        <v xml:space="preserve"> </v>
      </c>
      <c r="J264" s="53" t="str">
        <f>IFERROR(VLOOKUP($A264,'The List'!$B1:$AS727,17,FALSE)," ")</f>
        <v xml:space="preserve"> </v>
      </c>
      <c r="K264" s="53" t="str">
        <f>IFERROR(VLOOKUP($A264,'The List'!$B1:$AS727,18,FALSE)," ")</f>
        <v xml:space="preserve"> </v>
      </c>
      <c r="L264" s="53" t="str">
        <f>IFERROR(VLOOKUP($A264,'The List'!$B1:$AS727,19,FALSE)," ")</f>
        <v xml:space="preserve"> </v>
      </c>
      <c r="M264" s="53" t="str">
        <f>IFERROR(VLOOKUP($A264,'The List'!$B1:$AS727,20,FALSE)," ")</f>
        <v xml:space="preserve"> </v>
      </c>
      <c r="N264" s="53" t="str">
        <f>IFERROR(VLOOKUP($A264,'The List'!$B1:$AS727,21,FALSE)," ")</f>
        <v xml:space="preserve"> </v>
      </c>
      <c r="O264" s="53" t="str">
        <f>IFERROR(VLOOKUP($A264,'The List'!$B1:$AS727,22,FALSE)," ")</f>
        <v xml:space="preserve"> </v>
      </c>
      <c r="P264" s="53" t="str">
        <f>IFERROR(VLOOKUP($A264,'The List'!$B1:$AS727,23,FALSE)," ")</f>
        <v xml:space="preserve"> </v>
      </c>
      <c r="Q264" s="53" t="str">
        <f>IFERROR(VLOOKUP($A264,'The List'!$B1:$AS727,24,FALSE)," ")</f>
        <v xml:space="preserve"> </v>
      </c>
      <c r="R264" s="53" t="str">
        <f>IFERROR(VLOOKUP($A264,'The List'!$B1:$AS727,25,FALSE)," ")</f>
        <v xml:space="preserve"> </v>
      </c>
      <c r="S264" s="53" t="str">
        <f>IFERROR(VLOOKUP($A264,'The List'!$B1:$AS727,26,FALSE)," ")</f>
        <v xml:space="preserve"> </v>
      </c>
      <c r="T264" s="53" t="str">
        <f>IFERROR(VLOOKUP($A264,'The List'!$B1:$AS727,27,FALSE)," ")</f>
        <v xml:space="preserve"> </v>
      </c>
      <c r="U264" s="53" t="str">
        <f>IFERROR(VLOOKUP($A264,'The List'!$B1:$AS727,28,FALSE)," ")</f>
        <v xml:space="preserve"> </v>
      </c>
      <c r="V264" s="53" t="str">
        <f>IFERROR(VLOOKUP($A264,'The List'!$B1:$AS727,29,FALSE)," ")</f>
        <v xml:space="preserve"> </v>
      </c>
      <c r="W264" s="53" t="str">
        <f>IFERROR(VLOOKUP($A264,'The List'!$B1:$AS727,30,FALSE)," ")</f>
        <v xml:space="preserve"> </v>
      </c>
      <c r="X264" s="53" t="str">
        <f>IFERROR(VLOOKUP($A264,'The List'!$B1:$AS727,31,FALSE)," ")</f>
        <v xml:space="preserve"> </v>
      </c>
      <c r="Y264" s="53" t="str">
        <f>IFERROR(VLOOKUP($A264,'The List'!$B1:$AS727,32,FALSE)," ")</f>
        <v xml:space="preserve"> </v>
      </c>
      <c r="Z264" s="53" t="str">
        <f>IFERROR(VLOOKUP($A264,'The List'!$B1:$AS727,33,FALSE)," ")</f>
        <v xml:space="preserve"> </v>
      </c>
      <c r="AA264" s="55"/>
      <c r="AB264" s="60"/>
      <c r="AC264" s="60"/>
      <c r="AD264" s="60"/>
      <c r="AE264" s="60"/>
      <c r="AF264" s="60"/>
    </row>
    <row r="265" spans="1:32" ht="21.25" customHeight="1" x14ac:dyDescent="0.15">
      <c r="A265" s="23"/>
      <c r="B265" s="57" t="str">
        <f>IFERROR(VLOOKUP($A265,'The List'!$B1:$AS727,3,FALSE)," ")</f>
        <v xml:space="preserve"> </v>
      </c>
      <c r="C265" s="61" t="str">
        <f>IFERROR(VLOOKUP($A265,'The List'!$B1:$AS727,4,FALSE)," ")</f>
        <v xml:space="preserve"> </v>
      </c>
      <c r="D265" s="35" t="str">
        <f>IFERROR(VLOOKUP($A265,'The List'!$B1:$AS727,5,FALSE)," ")</f>
        <v xml:space="preserve"> </v>
      </c>
      <c r="E265" s="35" t="str">
        <f>IFERROR(VLOOKUP($A265,'The List'!$B1:$AS727,6,FALSE)," ")</f>
        <v xml:space="preserve"> </v>
      </c>
      <c r="F265" s="52" t="str">
        <f>IFERROR(VLOOKUP($A265,'The List'!$B1:$AS727,8,FALSE)," ")</f>
        <v xml:space="preserve"> </v>
      </c>
      <c r="G265" s="52" t="str">
        <f>IFERROR(VLOOKUP($A265,'The List'!$B1:$AS727,10,FALSE)," ")</f>
        <v xml:space="preserve"> </v>
      </c>
      <c r="H265" s="39"/>
      <c r="I265" s="53" t="str">
        <f>IFERROR(VLOOKUP($A265,'The List'!$B1:$AS727,16,FALSE)," ")</f>
        <v xml:space="preserve"> </v>
      </c>
      <c r="J265" s="53" t="str">
        <f>IFERROR(VLOOKUP($A265,'The List'!$B1:$AS727,17,FALSE)," ")</f>
        <v xml:space="preserve"> </v>
      </c>
      <c r="K265" s="53" t="str">
        <f>IFERROR(VLOOKUP($A265,'The List'!$B1:$AS727,18,FALSE)," ")</f>
        <v xml:space="preserve"> </v>
      </c>
      <c r="L265" s="53" t="str">
        <f>IFERROR(VLOOKUP($A265,'The List'!$B1:$AS727,19,FALSE)," ")</f>
        <v xml:space="preserve"> </v>
      </c>
      <c r="M265" s="53" t="str">
        <f>IFERROR(VLOOKUP($A265,'The List'!$B1:$AS727,20,FALSE)," ")</f>
        <v xml:space="preserve"> </v>
      </c>
      <c r="N265" s="53" t="str">
        <f>IFERROR(VLOOKUP($A265,'The List'!$B1:$AS727,21,FALSE)," ")</f>
        <v xml:space="preserve"> </v>
      </c>
      <c r="O265" s="53" t="str">
        <f>IFERROR(VLOOKUP($A265,'The List'!$B1:$AS727,22,FALSE)," ")</f>
        <v xml:space="preserve"> </v>
      </c>
      <c r="P265" s="53" t="str">
        <f>IFERROR(VLOOKUP($A265,'The List'!$B1:$AS727,23,FALSE)," ")</f>
        <v xml:space="preserve"> </v>
      </c>
      <c r="Q265" s="53" t="str">
        <f>IFERROR(VLOOKUP($A265,'The List'!$B1:$AS727,24,FALSE)," ")</f>
        <v xml:space="preserve"> </v>
      </c>
      <c r="R265" s="53" t="str">
        <f>IFERROR(VLOOKUP($A265,'The List'!$B1:$AS727,25,FALSE)," ")</f>
        <v xml:space="preserve"> </v>
      </c>
      <c r="S265" s="53" t="str">
        <f>IFERROR(VLOOKUP($A265,'The List'!$B1:$AS727,26,FALSE)," ")</f>
        <v xml:space="preserve"> </v>
      </c>
      <c r="T265" s="53" t="str">
        <f>IFERROR(VLOOKUP($A265,'The List'!$B1:$AS727,27,FALSE)," ")</f>
        <v xml:space="preserve"> </v>
      </c>
      <c r="U265" s="53" t="str">
        <f>IFERROR(VLOOKUP($A265,'The List'!$B1:$AS727,28,FALSE)," ")</f>
        <v xml:space="preserve"> </v>
      </c>
      <c r="V265" s="53" t="str">
        <f>IFERROR(VLOOKUP($A265,'The List'!$B1:$AS727,29,FALSE)," ")</f>
        <v xml:space="preserve"> </v>
      </c>
      <c r="W265" s="53" t="str">
        <f>IFERROR(VLOOKUP($A265,'The List'!$B1:$AS727,30,FALSE)," ")</f>
        <v xml:space="preserve"> </v>
      </c>
      <c r="X265" s="53" t="str">
        <f>IFERROR(VLOOKUP($A265,'The List'!$B1:$AS727,31,FALSE)," ")</f>
        <v xml:space="preserve"> </v>
      </c>
      <c r="Y265" s="53" t="str">
        <f>IFERROR(VLOOKUP($A265,'The List'!$B1:$AS727,32,FALSE)," ")</f>
        <v xml:space="preserve"> </v>
      </c>
      <c r="Z265" s="53" t="str">
        <f>IFERROR(VLOOKUP($A265,'The List'!$B1:$AS727,33,FALSE)," ")</f>
        <v xml:space="preserve"> </v>
      </c>
      <c r="AA265" s="55"/>
      <c r="AB265" s="60"/>
      <c r="AC265" s="60"/>
      <c r="AD265" s="60"/>
      <c r="AE265" s="60"/>
      <c r="AF265" s="60"/>
    </row>
    <row r="266" spans="1:32" ht="21.25" customHeight="1" x14ac:dyDescent="0.15">
      <c r="A266" s="23"/>
      <c r="B266" s="57" t="str">
        <f>IFERROR(VLOOKUP($A266,'The List'!$B1:$AS727,3,FALSE)," ")</f>
        <v xml:space="preserve"> </v>
      </c>
      <c r="C266" s="61" t="str">
        <f>IFERROR(VLOOKUP($A266,'The List'!$B1:$AS727,4,FALSE)," ")</f>
        <v xml:space="preserve"> </v>
      </c>
      <c r="D266" s="35" t="str">
        <f>IFERROR(VLOOKUP($A266,'The List'!$B1:$AS727,5,FALSE)," ")</f>
        <v xml:space="preserve"> </v>
      </c>
      <c r="E266" s="35" t="str">
        <f>IFERROR(VLOOKUP($A266,'The List'!$B1:$AS727,6,FALSE)," ")</f>
        <v xml:space="preserve"> </v>
      </c>
      <c r="F266" s="52" t="str">
        <f>IFERROR(VLOOKUP($A266,'The List'!$B1:$AS727,8,FALSE)," ")</f>
        <v xml:space="preserve"> </v>
      </c>
      <c r="G266" s="52" t="str">
        <f>IFERROR(VLOOKUP($A266,'The List'!$B1:$AS727,10,FALSE)," ")</f>
        <v xml:space="preserve"> </v>
      </c>
      <c r="H266" s="39"/>
      <c r="I266" s="53" t="str">
        <f>IFERROR(VLOOKUP($A266,'The List'!$B1:$AS727,16,FALSE)," ")</f>
        <v xml:space="preserve"> </v>
      </c>
      <c r="J266" s="53" t="str">
        <f>IFERROR(VLOOKUP($A266,'The List'!$B1:$AS727,17,FALSE)," ")</f>
        <v xml:space="preserve"> </v>
      </c>
      <c r="K266" s="53" t="str">
        <f>IFERROR(VLOOKUP($A266,'The List'!$B1:$AS727,18,FALSE)," ")</f>
        <v xml:space="preserve"> </v>
      </c>
      <c r="L266" s="53" t="str">
        <f>IFERROR(VLOOKUP($A266,'The List'!$B1:$AS727,19,FALSE)," ")</f>
        <v xml:space="preserve"> </v>
      </c>
      <c r="M266" s="53" t="str">
        <f>IFERROR(VLOOKUP($A266,'The List'!$B1:$AS727,20,FALSE)," ")</f>
        <v xml:space="preserve"> </v>
      </c>
      <c r="N266" s="53" t="str">
        <f>IFERROR(VLOOKUP($A266,'The List'!$B1:$AS727,21,FALSE)," ")</f>
        <v xml:space="preserve"> </v>
      </c>
      <c r="O266" s="53" t="str">
        <f>IFERROR(VLOOKUP($A266,'The List'!$B1:$AS727,22,FALSE)," ")</f>
        <v xml:space="preserve"> </v>
      </c>
      <c r="P266" s="53" t="str">
        <f>IFERROR(VLOOKUP($A266,'The List'!$B1:$AS727,23,FALSE)," ")</f>
        <v xml:space="preserve"> </v>
      </c>
      <c r="Q266" s="53" t="str">
        <f>IFERROR(VLOOKUP($A266,'The List'!$B1:$AS727,24,FALSE)," ")</f>
        <v xml:space="preserve"> </v>
      </c>
      <c r="R266" s="53" t="str">
        <f>IFERROR(VLOOKUP($A266,'The List'!$B1:$AS727,25,FALSE)," ")</f>
        <v xml:space="preserve"> </v>
      </c>
      <c r="S266" s="53" t="str">
        <f>IFERROR(VLOOKUP($A266,'The List'!$B1:$AS727,26,FALSE)," ")</f>
        <v xml:space="preserve"> </v>
      </c>
      <c r="T266" s="53" t="str">
        <f>IFERROR(VLOOKUP($A266,'The List'!$B1:$AS727,27,FALSE)," ")</f>
        <v xml:space="preserve"> </v>
      </c>
      <c r="U266" s="53" t="str">
        <f>IFERROR(VLOOKUP($A266,'The List'!$B1:$AS727,28,FALSE)," ")</f>
        <v xml:space="preserve"> </v>
      </c>
      <c r="V266" s="53" t="str">
        <f>IFERROR(VLOOKUP($A266,'The List'!$B1:$AS727,29,FALSE)," ")</f>
        <v xml:space="preserve"> </v>
      </c>
      <c r="W266" s="53" t="str">
        <f>IFERROR(VLOOKUP($A266,'The List'!$B1:$AS727,30,FALSE)," ")</f>
        <v xml:space="preserve"> </v>
      </c>
      <c r="X266" s="53" t="str">
        <f>IFERROR(VLOOKUP($A266,'The List'!$B1:$AS727,31,FALSE)," ")</f>
        <v xml:space="preserve"> </v>
      </c>
      <c r="Y266" s="53" t="str">
        <f>IFERROR(VLOOKUP($A266,'The List'!$B1:$AS727,32,FALSE)," ")</f>
        <v xml:space="preserve"> </v>
      </c>
      <c r="Z266" s="53" t="str">
        <f>IFERROR(VLOOKUP($A266,'The List'!$B1:$AS727,33,FALSE)," ")</f>
        <v xml:space="preserve"> </v>
      </c>
      <c r="AA266" s="55"/>
      <c r="AB266" s="60"/>
      <c r="AC266" s="60"/>
      <c r="AD266" s="60"/>
      <c r="AE266" s="60"/>
      <c r="AF266" s="60"/>
    </row>
    <row r="267" spans="1:32" ht="21.25" customHeight="1" x14ac:dyDescent="0.15">
      <c r="A267" s="23"/>
      <c r="B267" s="62" t="str">
        <f>IFERROR(VLOOKUP($A267,'The List'!$B1:$AS727,3,FALSE)," ")</f>
        <v xml:space="preserve"> </v>
      </c>
      <c r="C267" s="64" t="str">
        <f>IFERROR(VLOOKUP($A267,'The List'!$B1:$AS727,4,FALSE)," ")</f>
        <v xml:space="preserve"> </v>
      </c>
      <c r="D267" s="35" t="str">
        <f>IFERROR(VLOOKUP($A267,'The List'!$B1:$AS727,5,FALSE)," ")</f>
        <v xml:space="preserve"> </v>
      </c>
      <c r="E267" s="35" t="str">
        <f>IFERROR(VLOOKUP($A267,'The List'!$B1:$AS727,6,FALSE)," ")</f>
        <v xml:space="preserve"> </v>
      </c>
      <c r="F267" s="52" t="str">
        <f>IFERROR(VLOOKUP($A267,'The List'!$B1:$AS727,8,FALSE)," ")</f>
        <v xml:space="preserve"> </v>
      </c>
      <c r="G267" s="52" t="str">
        <f>IFERROR(VLOOKUP($A267,'The List'!$B1:$AS727,10,FALSE)," ")</f>
        <v xml:space="preserve"> </v>
      </c>
      <c r="H267" s="39"/>
      <c r="I267" s="53" t="str">
        <f>IFERROR(VLOOKUP($A267,'The List'!$B1:$AS727,16,FALSE)," ")</f>
        <v xml:space="preserve"> </v>
      </c>
      <c r="J267" s="53" t="str">
        <f>IFERROR(VLOOKUP($A267,'The List'!$B1:$AS727,17,FALSE)," ")</f>
        <v xml:space="preserve"> </v>
      </c>
      <c r="K267" s="53" t="str">
        <f>IFERROR(VLOOKUP($A267,'The List'!$B1:$AS727,18,FALSE)," ")</f>
        <v xml:space="preserve"> </v>
      </c>
      <c r="L267" s="53" t="str">
        <f>IFERROR(VLOOKUP($A267,'The List'!$B1:$AS727,19,FALSE)," ")</f>
        <v xml:space="preserve"> </v>
      </c>
      <c r="M267" s="53" t="str">
        <f>IFERROR(VLOOKUP($A267,'The List'!$B1:$AS727,20,FALSE)," ")</f>
        <v xml:space="preserve"> </v>
      </c>
      <c r="N267" s="53" t="str">
        <f>IFERROR(VLOOKUP($A267,'The List'!$B1:$AS727,21,FALSE)," ")</f>
        <v xml:space="preserve"> </v>
      </c>
      <c r="O267" s="53" t="str">
        <f>IFERROR(VLOOKUP($A267,'The List'!$B1:$AS727,22,FALSE)," ")</f>
        <v xml:space="preserve"> </v>
      </c>
      <c r="P267" s="53" t="str">
        <f>IFERROR(VLOOKUP($A267,'The List'!$B1:$AS727,23,FALSE)," ")</f>
        <v xml:space="preserve"> </v>
      </c>
      <c r="Q267" s="53" t="str">
        <f>IFERROR(VLOOKUP($A267,'The List'!$B1:$AS727,24,FALSE)," ")</f>
        <v xml:space="preserve"> </v>
      </c>
      <c r="R267" s="53" t="str">
        <f>IFERROR(VLOOKUP($A267,'The List'!$B1:$AS727,25,FALSE)," ")</f>
        <v xml:space="preserve"> </v>
      </c>
      <c r="S267" s="53" t="str">
        <f>IFERROR(VLOOKUP($A267,'The List'!$B1:$AS727,26,FALSE)," ")</f>
        <v xml:space="preserve"> </v>
      </c>
      <c r="T267" s="53" t="str">
        <f>IFERROR(VLOOKUP($A267,'The List'!$B1:$AS727,27,FALSE)," ")</f>
        <v xml:space="preserve"> </v>
      </c>
      <c r="U267" s="53" t="str">
        <f>IFERROR(VLOOKUP($A267,'The List'!$B1:$AS727,28,FALSE)," ")</f>
        <v xml:space="preserve"> </v>
      </c>
      <c r="V267" s="53" t="str">
        <f>IFERROR(VLOOKUP($A267,'The List'!$B1:$AS727,29,FALSE)," ")</f>
        <v xml:space="preserve"> </v>
      </c>
      <c r="W267" s="53" t="str">
        <f>IFERROR(VLOOKUP($A267,'The List'!$B1:$AS727,30,FALSE)," ")</f>
        <v xml:space="preserve"> </v>
      </c>
      <c r="X267" s="53" t="str">
        <f>IFERROR(VLOOKUP($A267,'The List'!$B1:$AS727,31,FALSE)," ")</f>
        <v xml:space="preserve"> </v>
      </c>
      <c r="Y267" s="53" t="str">
        <f>IFERROR(VLOOKUP($A267,'The List'!$B1:$AS727,32,FALSE)," ")</f>
        <v xml:space="preserve"> </v>
      </c>
      <c r="Z267" s="53" t="str">
        <f>IFERROR(VLOOKUP($A267,'The List'!$B1:$AS727,33,FALSE)," ")</f>
        <v xml:space="preserve"> </v>
      </c>
      <c r="AA267" s="55"/>
      <c r="AB267" s="60"/>
      <c r="AC267" s="60"/>
      <c r="AD267" s="60"/>
      <c r="AE267" s="60"/>
      <c r="AF267" s="60"/>
    </row>
    <row r="268" spans="1:32" ht="21.25" customHeight="1" x14ac:dyDescent="0.15">
      <c r="A268" s="23"/>
      <c r="B268" s="62" t="str">
        <f>IFERROR(VLOOKUP($A268,'The List'!$B1:$AS727,3,FALSE)," ")</f>
        <v xml:space="preserve"> </v>
      </c>
      <c r="C268" s="64" t="str">
        <f>IFERROR(VLOOKUP($A268,'The List'!$B1:$AS727,4,FALSE)," ")</f>
        <v xml:space="preserve"> </v>
      </c>
      <c r="D268" s="35" t="str">
        <f>IFERROR(VLOOKUP($A268,'The List'!$B1:$AS727,5,FALSE)," ")</f>
        <v xml:space="preserve"> </v>
      </c>
      <c r="E268" s="35" t="str">
        <f>IFERROR(VLOOKUP($A268,'The List'!$B1:$AS727,6,FALSE)," ")</f>
        <v xml:space="preserve"> </v>
      </c>
      <c r="F268" s="52" t="str">
        <f>IFERROR(VLOOKUP($A268,'The List'!$B1:$AS727,8,FALSE)," ")</f>
        <v xml:space="preserve"> </v>
      </c>
      <c r="G268" s="52" t="str">
        <f>IFERROR(VLOOKUP($A268,'The List'!$B1:$AS727,10,FALSE)," ")</f>
        <v xml:space="preserve"> </v>
      </c>
      <c r="H268" s="39"/>
      <c r="I268" s="53" t="str">
        <f>IFERROR(VLOOKUP($A268,'The List'!$B1:$AS727,16,FALSE)," ")</f>
        <v xml:space="preserve"> </v>
      </c>
      <c r="J268" s="53" t="str">
        <f>IFERROR(VLOOKUP($A268,'The List'!$B1:$AS727,17,FALSE)," ")</f>
        <v xml:space="preserve"> </v>
      </c>
      <c r="K268" s="53" t="str">
        <f>IFERROR(VLOOKUP($A268,'The List'!$B1:$AS727,18,FALSE)," ")</f>
        <v xml:space="preserve"> </v>
      </c>
      <c r="L268" s="53" t="str">
        <f>IFERROR(VLOOKUP($A268,'The List'!$B1:$AS727,19,FALSE)," ")</f>
        <v xml:space="preserve"> </v>
      </c>
      <c r="M268" s="53" t="str">
        <f>IFERROR(VLOOKUP($A268,'The List'!$B1:$AS727,20,FALSE)," ")</f>
        <v xml:space="preserve"> </v>
      </c>
      <c r="N268" s="53" t="str">
        <f>IFERROR(VLOOKUP($A268,'The List'!$B1:$AS727,21,FALSE)," ")</f>
        <v xml:space="preserve"> </v>
      </c>
      <c r="O268" s="53" t="str">
        <f>IFERROR(VLOOKUP($A268,'The List'!$B1:$AS727,22,FALSE)," ")</f>
        <v xml:space="preserve"> </v>
      </c>
      <c r="P268" s="53" t="str">
        <f>IFERROR(VLOOKUP($A268,'The List'!$B1:$AS727,23,FALSE)," ")</f>
        <v xml:space="preserve"> </v>
      </c>
      <c r="Q268" s="53" t="str">
        <f>IFERROR(VLOOKUP($A268,'The List'!$B1:$AS727,24,FALSE)," ")</f>
        <v xml:space="preserve"> </v>
      </c>
      <c r="R268" s="53" t="str">
        <f>IFERROR(VLOOKUP($A268,'The List'!$B1:$AS727,25,FALSE)," ")</f>
        <v xml:space="preserve"> </v>
      </c>
      <c r="S268" s="53" t="str">
        <f>IFERROR(VLOOKUP($A268,'The List'!$B1:$AS727,26,FALSE)," ")</f>
        <v xml:space="preserve"> </v>
      </c>
      <c r="T268" s="53" t="str">
        <f>IFERROR(VLOOKUP($A268,'The List'!$B1:$AS727,27,FALSE)," ")</f>
        <v xml:space="preserve"> </v>
      </c>
      <c r="U268" s="53" t="str">
        <f>IFERROR(VLOOKUP($A268,'The List'!$B1:$AS727,28,FALSE)," ")</f>
        <v xml:space="preserve"> </v>
      </c>
      <c r="V268" s="53" t="str">
        <f>IFERROR(VLOOKUP($A268,'The List'!$B1:$AS727,29,FALSE)," ")</f>
        <v xml:space="preserve"> </v>
      </c>
      <c r="W268" s="53" t="str">
        <f>IFERROR(VLOOKUP($A268,'The List'!$B1:$AS727,30,FALSE)," ")</f>
        <v xml:space="preserve"> </v>
      </c>
      <c r="X268" s="53" t="str">
        <f>IFERROR(VLOOKUP($A268,'The List'!$B1:$AS727,31,FALSE)," ")</f>
        <v xml:space="preserve"> </v>
      </c>
      <c r="Y268" s="53" t="str">
        <f>IFERROR(VLOOKUP($A268,'The List'!$B1:$AS727,32,FALSE)," ")</f>
        <v xml:space="preserve"> </v>
      </c>
      <c r="Z268" s="53" t="str">
        <f>IFERROR(VLOOKUP($A268,'The List'!$B1:$AS727,33,FALSE)," ")</f>
        <v xml:space="preserve"> </v>
      </c>
      <c r="AA268" s="55"/>
      <c r="AB268" s="60"/>
      <c r="AC268" s="60"/>
      <c r="AD268" s="60"/>
      <c r="AE268" s="60"/>
      <c r="AF268" s="60"/>
    </row>
    <row r="269" spans="1:32" ht="21.25" customHeight="1" x14ac:dyDescent="0.15">
      <c r="A269" s="23"/>
      <c r="B269" s="62" t="str">
        <f>IFERROR(VLOOKUP($A269,'The List'!$B1:$AS727,3,FALSE)," ")</f>
        <v xml:space="preserve"> </v>
      </c>
      <c r="C269" s="64" t="str">
        <f>IFERROR(VLOOKUP($A269,'The List'!$B1:$AS727,4,FALSE)," ")</f>
        <v xml:space="preserve"> </v>
      </c>
      <c r="D269" s="35" t="str">
        <f>IFERROR(VLOOKUP($A269,'The List'!$B1:$AS727,5,FALSE)," ")</f>
        <v xml:space="preserve"> </v>
      </c>
      <c r="E269" s="35" t="str">
        <f>IFERROR(VLOOKUP($A269,'The List'!$B1:$AS727,6,FALSE)," ")</f>
        <v xml:space="preserve"> </v>
      </c>
      <c r="F269" s="52" t="str">
        <f>IFERROR(VLOOKUP($A269,'The List'!$B1:$AS727,8,FALSE)," ")</f>
        <v xml:space="preserve"> </v>
      </c>
      <c r="G269" s="52" t="str">
        <f>IFERROR(VLOOKUP($A269,'The List'!$B1:$AS727,10,FALSE)," ")</f>
        <v xml:space="preserve"> </v>
      </c>
      <c r="H269" s="39"/>
      <c r="I269" s="53" t="str">
        <f>IFERROR(VLOOKUP($A269,'The List'!$B1:$AS727,16,FALSE)," ")</f>
        <v xml:space="preserve"> </v>
      </c>
      <c r="J269" s="53" t="str">
        <f>IFERROR(VLOOKUP($A269,'The List'!$B1:$AS727,17,FALSE)," ")</f>
        <v xml:space="preserve"> </v>
      </c>
      <c r="K269" s="53" t="str">
        <f>IFERROR(VLOOKUP($A269,'The List'!$B1:$AS727,18,FALSE)," ")</f>
        <v xml:space="preserve"> </v>
      </c>
      <c r="L269" s="53" t="str">
        <f>IFERROR(VLOOKUP($A269,'The List'!$B1:$AS727,19,FALSE)," ")</f>
        <v xml:space="preserve"> </v>
      </c>
      <c r="M269" s="53" t="str">
        <f>IFERROR(VLOOKUP($A269,'The List'!$B1:$AS727,20,FALSE)," ")</f>
        <v xml:space="preserve"> </v>
      </c>
      <c r="N269" s="53" t="str">
        <f>IFERROR(VLOOKUP($A269,'The List'!$B1:$AS727,21,FALSE)," ")</f>
        <v xml:space="preserve"> </v>
      </c>
      <c r="O269" s="53" t="str">
        <f>IFERROR(VLOOKUP($A269,'The List'!$B1:$AS727,22,FALSE)," ")</f>
        <v xml:space="preserve"> </v>
      </c>
      <c r="P269" s="53" t="str">
        <f>IFERROR(VLOOKUP($A269,'The List'!$B1:$AS727,23,FALSE)," ")</f>
        <v xml:space="preserve"> </v>
      </c>
      <c r="Q269" s="53" t="str">
        <f>IFERROR(VLOOKUP($A269,'The List'!$B1:$AS727,24,FALSE)," ")</f>
        <v xml:space="preserve"> </v>
      </c>
      <c r="R269" s="53" t="str">
        <f>IFERROR(VLOOKUP($A269,'The List'!$B1:$AS727,25,FALSE)," ")</f>
        <v xml:space="preserve"> </v>
      </c>
      <c r="S269" s="53" t="str">
        <f>IFERROR(VLOOKUP($A269,'The List'!$B1:$AS727,26,FALSE)," ")</f>
        <v xml:space="preserve"> </v>
      </c>
      <c r="T269" s="53" t="str">
        <f>IFERROR(VLOOKUP($A269,'The List'!$B1:$AS727,27,FALSE)," ")</f>
        <v xml:space="preserve"> </v>
      </c>
      <c r="U269" s="53" t="str">
        <f>IFERROR(VLOOKUP($A269,'The List'!$B1:$AS727,28,FALSE)," ")</f>
        <v xml:space="preserve"> </v>
      </c>
      <c r="V269" s="53" t="str">
        <f>IFERROR(VLOOKUP($A269,'The List'!$B1:$AS727,29,FALSE)," ")</f>
        <v xml:space="preserve"> </v>
      </c>
      <c r="W269" s="53" t="str">
        <f>IFERROR(VLOOKUP($A269,'The List'!$B1:$AS727,30,FALSE)," ")</f>
        <v xml:space="preserve"> </v>
      </c>
      <c r="X269" s="53" t="str">
        <f>IFERROR(VLOOKUP($A269,'The List'!$B1:$AS727,31,FALSE)," ")</f>
        <v xml:space="preserve"> </v>
      </c>
      <c r="Y269" s="53" t="str">
        <f>IFERROR(VLOOKUP($A269,'The List'!$B1:$AS727,32,FALSE)," ")</f>
        <v xml:space="preserve"> </v>
      </c>
      <c r="Z269" s="53" t="str">
        <f>IFERROR(VLOOKUP($A269,'The List'!$B1:$AS727,33,FALSE)," ")</f>
        <v xml:space="preserve"> </v>
      </c>
      <c r="AA269" s="55"/>
      <c r="AB269" s="60"/>
      <c r="AC269" s="60"/>
      <c r="AD269" s="60"/>
      <c r="AE269" s="60"/>
      <c r="AF269" s="60"/>
    </row>
    <row r="270" spans="1:32" ht="21.25" customHeight="1" x14ac:dyDescent="0.15">
      <c r="A270" s="23"/>
      <c r="B270" s="62" t="str">
        <f>IFERROR(VLOOKUP($A270,'The List'!$B1:$AS727,3,FALSE)," ")</f>
        <v xml:space="preserve"> </v>
      </c>
      <c r="C270" s="64" t="str">
        <f>IFERROR(VLOOKUP($A270,'The List'!$B1:$AS727,4,FALSE)," ")</f>
        <v xml:space="preserve"> </v>
      </c>
      <c r="D270" s="35" t="str">
        <f>IFERROR(VLOOKUP($A270,'The List'!$B1:$AS727,5,FALSE)," ")</f>
        <v xml:space="preserve"> </v>
      </c>
      <c r="E270" s="35" t="str">
        <f>IFERROR(VLOOKUP($A270,'The List'!$B1:$AS727,6,FALSE)," ")</f>
        <v xml:space="preserve"> </v>
      </c>
      <c r="F270" s="52" t="str">
        <f>IFERROR(VLOOKUP($A270,'The List'!$B1:$AS727,8,FALSE)," ")</f>
        <v xml:space="preserve"> </v>
      </c>
      <c r="G270" s="52" t="str">
        <f>IFERROR(VLOOKUP($A270,'The List'!$B1:$AS727,10,FALSE)," ")</f>
        <v xml:space="preserve"> </v>
      </c>
      <c r="H270" s="39"/>
      <c r="I270" s="53" t="str">
        <f>IFERROR(VLOOKUP($A270,'The List'!$B1:$AS727,16,FALSE)," ")</f>
        <v xml:space="preserve"> </v>
      </c>
      <c r="J270" s="53" t="str">
        <f>IFERROR(VLOOKUP($A270,'The List'!$B1:$AS727,17,FALSE)," ")</f>
        <v xml:space="preserve"> </v>
      </c>
      <c r="K270" s="53" t="str">
        <f>IFERROR(VLOOKUP($A270,'The List'!$B1:$AS727,18,FALSE)," ")</f>
        <v xml:space="preserve"> </v>
      </c>
      <c r="L270" s="53" t="str">
        <f>IFERROR(VLOOKUP($A270,'The List'!$B1:$AS727,19,FALSE)," ")</f>
        <v xml:space="preserve"> </v>
      </c>
      <c r="M270" s="53" t="str">
        <f>IFERROR(VLOOKUP($A270,'The List'!$B1:$AS727,20,FALSE)," ")</f>
        <v xml:space="preserve"> </v>
      </c>
      <c r="N270" s="53" t="str">
        <f>IFERROR(VLOOKUP($A270,'The List'!$B1:$AS727,21,FALSE)," ")</f>
        <v xml:space="preserve"> </v>
      </c>
      <c r="O270" s="53" t="str">
        <f>IFERROR(VLOOKUP($A270,'The List'!$B1:$AS727,22,FALSE)," ")</f>
        <v xml:space="preserve"> </v>
      </c>
      <c r="P270" s="53" t="str">
        <f>IFERROR(VLOOKUP($A270,'The List'!$B1:$AS727,23,FALSE)," ")</f>
        <v xml:space="preserve"> </v>
      </c>
      <c r="Q270" s="53" t="str">
        <f>IFERROR(VLOOKUP($A270,'The List'!$B1:$AS727,24,FALSE)," ")</f>
        <v xml:space="preserve"> </v>
      </c>
      <c r="R270" s="53" t="str">
        <f>IFERROR(VLOOKUP($A270,'The List'!$B1:$AS727,25,FALSE)," ")</f>
        <v xml:space="preserve"> </v>
      </c>
      <c r="S270" s="53" t="str">
        <f>IFERROR(VLOOKUP($A270,'The List'!$B1:$AS727,26,FALSE)," ")</f>
        <v xml:space="preserve"> </v>
      </c>
      <c r="T270" s="53" t="str">
        <f>IFERROR(VLOOKUP($A270,'The List'!$B1:$AS727,27,FALSE)," ")</f>
        <v xml:space="preserve"> </v>
      </c>
      <c r="U270" s="53" t="str">
        <f>IFERROR(VLOOKUP($A270,'The List'!$B1:$AS727,28,FALSE)," ")</f>
        <v xml:space="preserve"> </v>
      </c>
      <c r="V270" s="53" t="str">
        <f>IFERROR(VLOOKUP($A270,'The List'!$B1:$AS727,29,FALSE)," ")</f>
        <v xml:space="preserve"> </v>
      </c>
      <c r="W270" s="53" t="str">
        <f>IFERROR(VLOOKUP($A270,'The List'!$B1:$AS727,30,FALSE)," ")</f>
        <v xml:space="preserve"> </v>
      </c>
      <c r="X270" s="53" t="str">
        <f>IFERROR(VLOOKUP($A270,'The List'!$B1:$AS727,31,FALSE)," ")</f>
        <v xml:space="preserve"> </v>
      </c>
      <c r="Y270" s="53" t="str">
        <f>IFERROR(VLOOKUP($A270,'The List'!$B1:$AS727,32,FALSE)," ")</f>
        <v xml:space="preserve"> </v>
      </c>
      <c r="Z270" s="53" t="str">
        <f>IFERROR(VLOOKUP($A270,'The List'!$B1:$AS727,33,FALSE)," ")</f>
        <v xml:space="preserve"> </v>
      </c>
      <c r="AA270" s="55"/>
      <c r="AB270" s="60"/>
      <c r="AC270" s="60"/>
      <c r="AD270" s="60"/>
      <c r="AE270" s="60"/>
      <c r="AF270" s="60"/>
    </row>
    <row r="271" spans="1:32" ht="21.25" customHeight="1" x14ac:dyDescent="0.15">
      <c r="A271" s="23"/>
      <c r="B271" s="65" t="str">
        <f>IFERROR(VLOOKUP($A271,'The List'!$B1:$AS727,3,FALSE)," ")</f>
        <v xml:space="preserve"> </v>
      </c>
      <c r="C271" s="67" t="str">
        <f>IFERROR(VLOOKUP($A271,'The List'!$B1:$AS727,4,FALSE)," ")</f>
        <v xml:space="preserve"> </v>
      </c>
      <c r="D271" s="35" t="str">
        <f>IFERROR(VLOOKUP($A271,'The List'!$B1:$AS727,5,FALSE)," ")</f>
        <v xml:space="preserve"> </v>
      </c>
      <c r="E271" s="35" t="str">
        <f>IFERROR(VLOOKUP($A271,'The List'!$B1:$AS727,6,FALSE)," ")</f>
        <v xml:space="preserve"> </v>
      </c>
      <c r="F271" s="52" t="str">
        <f>IFERROR(VLOOKUP($A271,'The List'!$B1:$AS727,8,FALSE)," ")</f>
        <v xml:space="preserve"> </v>
      </c>
      <c r="G271" s="52" t="str">
        <f>IFERROR(VLOOKUP($A271,'The List'!$B1:$AS727,10,FALSE)," ")</f>
        <v xml:space="preserve"> </v>
      </c>
      <c r="H271" s="39"/>
      <c r="I271" s="53" t="str">
        <f>IFERROR(VLOOKUP($A271,'The List'!$B1:$AS727,16,FALSE)," ")</f>
        <v xml:space="preserve"> </v>
      </c>
      <c r="J271" s="53" t="str">
        <f>IFERROR(VLOOKUP($A271,'The List'!$B1:$AS727,17,FALSE)," ")</f>
        <v xml:space="preserve"> </v>
      </c>
      <c r="K271" s="53" t="str">
        <f>IFERROR(VLOOKUP($A271,'The List'!$B1:$AS727,18,FALSE)," ")</f>
        <v xml:space="preserve"> </v>
      </c>
      <c r="L271" s="53" t="str">
        <f>IFERROR(VLOOKUP($A271,'The List'!$B1:$AS727,19,FALSE)," ")</f>
        <v xml:space="preserve"> </v>
      </c>
      <c r="M271" s="53" t="str">
        <f>IFERROR(VLOOKUP($A271,'The List'!$B1:$AS727,20,FALSE)," ")</f>
        <v xml:space="preserve"> </v>
      </c>
      <c r="N271" s="53" t="str">
        <f>IFERROR(VLOOKUP($A271,'The List'!$B1:$AS727,21,FALSE)," ")</f>
        <v xml:space="preserve"> </v>
      </c>
      <c r="O271" s="53" t="str">
        <f>IFERROR(VLOOKUP($A271,'The List'!$B1:$AS727,22,FALSE)," ")</f>
        <v xml:space="preserve"> </v>
      </c>
      <c r="P271" s="53" t="str">
        <f>IFERROR(VLOOKUP($A271,'The List'!$B1:$AS727,23,FALSE)," ")</f>
        <v xml:space="preserve"> </v>
      </c>
      <c r="Q271" s="53" t="str">
        <f>IFERROR(VLOOKUP($A271,'The List'!$B1:$AS727,24,FALSE)," ")</f>
        <v xml:space="preserve"> </v>
      </c>
      <c r="R271" s="53" t="str">
        <f>IFERROR(VLOOKUP($A271,'The List'!$B1:$AS727,25,FALSE)," ")</f>
        <v xml:space="preserve"> </v>
      </c>
      <c r="S271" s="53" t="str">
        <f>IFERROR(VLOOKUP($A271,'The List'!$B1:$AS727,26,FALSE)," ")</f>
        <v xml:space="preserve"> </v>
      </c>
      <c r="T271" s="53" t="str">
        <f>IFERROR(VLOOKUP($A271,'The List'!$B1:$AS727,27,FALSE)," ")</f>
        <v xml:space="preserve"> </v>
      </c>
      <c r="U271" s="53" t="str">
        <f>IFERROR(VLOOKUP($A271,'The List'!$B1:$AS727,28,FALSE)," ")</f>
        <v xml:space="preserve"> </v>
      </c>
      <c r="V271" s="53" t="str">
        <f>IFERROR(VLOOKUP($A271,'The List'!$B1:$AS727,29,FALSE)," ")</f>
        <v xml:space="preserve"> </v>
      </c>
      <c r="W271" s="53" t="str">
        <f>IFERROR(VLOOKUP($A271,'The List'!$B1:$AS727,30,FALSE)," ")</f>
        <v xml:space="preserve"> </v>
      </c>
      <c r="X271" s="53" t="str">
        <f>IFERROR(VLOOKUP($A271,'The List'!$B1:$AS727,31,FALSE)," ")</f>
        <v xml:space="preserve"> </v>
      </c>
      <c r="Y271" s="53" t="str">
        <f>IFERROR(VLOOKUP($A271,'The List'!$B1:$AS727,32,FALSE)," ")</f>
        <v xml:space="preserve"> </v>
      </c>
      <c r="Z271" s="53" t="str">
        <f>IFERROR(VLOOKUP($A271,'The List'!$B1:$AS727,33,FALSE)," ")</f>
        <v xml:space="preserve"> </v>
      </c>
      <c r="AA271" s="55"/>
      <c r="AB271" s="60"/>
      <c r="AC271" s="60"/>
      <c r="AD271" s="60"/>
      <c r="AE271" s="60"/>
      <c r="AF271" s="60"/>
    </row>
    <row r="272" spans="1:32" ht="21.25" customHeight="1" x14ac:dyDescent="0.15">
      <c r="A272" s="23"/>
      <c r="B272" s="65" t="str">
        <f>IFERROR(VLOOKUP($A272,'The List'!$B1:$AS727,3,FALSE)," ")</f>
        <v xml:space="preserve"> </v>
      </c>
      <c r="C272" s="67" t="str">
        <f>IFERROR(VLOOKUP($A272,'The List'!$B1:$AS727,4,FALSE)," ")</f>
        <v xml:space="preserve"> </v>
      </c>
      <c r="D272" s="35" t="str">
        <f>IFERROR(VLOOKUP($A272,'The List'!$B1:$AS727,5,FALSE)," ")</f>
        <v xml:space="preserve"> </v>
      </c>
      <c r="E272" s="35" t="str">
        <f>IFERROR(VLOOKUP($A272,'The List'!$B1:$AS727,6,FALSE)," ")</f>
        <v xml:space="preserve"> </v>
      </c>
      <c r="F272" s="52" t="str">
        <f>IFERROR(VLOOKUP($A272,'The List'!$B1:$AS727,8,FALSE)," ")</f>
        <v xml:space="preserve"> </v>
      </c>
      <c r="G272" s="52" t="str">
        <f>IFERROR(VLOOKUP($A272,'The List'!$B1:$AS727,10,FALSE)," ")</f>
        <v xml:space="preserve"> </v>
      </c>
      <c r="H272" s="39"/>
      <c r="I272" s="53" t="str">
        <f>IFERROR(VLOOKUP($A272,'The List'!$B1:$AS727,16,FALSE)," ")</f>
        <v xml:space="preserve"> </v>
      </c>
      <c r="J272" s="53" t="str">
        <f>IFERROR(VLOOKUP($A272,'The List'!$B1:$AS727,17,FALSE)," ")</f>
        <v xml:space="preserve"> </v>
      </c>
      <c r="K272" s="53" t="str">
        <f>IFERROR(VLOOKUP($A272,'The List'!$B1:$AS727,18,FALSE)," ")</f>
        <v xml:space="preserve"> </v>
      </c>
      <c r="L272" s="53" t="str">
        <f>IFERROR(VLOOKUP($A272,'The List'!$B1:$AS727,19,FALSE)," ")</f>
        <v xml:space="preserve"> </v>
      </c>
      <c r="M272" s="53" t="str">
        <f>IFERROR(VLOOKUP($A272,'The List'!$B1:$AS727,20,FALSE)," ")</f>
        <v xml:space="preserve"> </v>
      </c>
      <c r="N272" s="53" t="str">
        <f>IFERROR(VLOOKUP($A272,'The List'!$B1:$AS727,21,FALSE)," ")</f>
        <v xml:space="preserve"> </v>
      </c>
      <c r="O272" s="53" t="str">
        <f>IFERROR(VLOOKUP($A272,'The List'!$B1:$AS727,22,FALSE)," ")</f>
        <v xml:space="preserve"> </v>
      </c>
      <c r="P272" s="53" t="str">
        <f>IFERROR(VLOOKUP($A272,'The List'!$B1:$AS727,23,FALSE)," ")</f>
        <v xml:space="preserve"> </v>
      </c>
      <c r="Q272" s="53" t="str">
        <f>IFERROR(VLOOKUP($A272,'The List'!$B1:$AS727,24,FALSE)," ")</f>
        <v xml:space="preserve"> </v>
      </c>
      <c r="R272" s="53" t="str">
        <f>IFERROR(VLOOKUP($A272,'The List'!$B1:$AS727,25,FALSE)," ")</f>
        <v xml:space="preserve"> </v>
      </c>
      <c r="S272" s="53" t="str">
        <f>IFERROR(VLOOKUP($A272,'The List'!$B1:$AS727,26,FALSE)," ")</f>
        <v xml:space="preserve"> </v>
      </c>
      <c r="T272" s="53" t="str">
        <f>IFERROR(VLOOKUP($A272,'The List'!$B1:$AS727,27,FALSE)," ")</f>
        <v xml:space="preserve"> </v>
      </c>
      <c r="U272" s="53" t="str">
        <f>IFERROR(VLOOKUP($A272,'The List'!$B1:$AS727,28,FALSE)," ")</f>
        <v xml:space="preserve"> </v>
      </c>
      <c r="V272" s="53" t="str">
        <f>IFERROR(VLOOKUP($A272,'The List'!$B1:$AS727,29,FALSE)," ")</f>
        <v xml:space="preserve"> </v>
      </c>
      <c r="W272" s="53" t="str">
        <f>IFERROR(VLOOKUP($A272,'The List'!$B1:$AS727,30,FALSE)," ")</f>
        <v xml:space="preserve"> </v>
      </c>
      <c r="X272" s="53" t="str">
        <f>IFERROR(VLOOKUP($A272,'The List'!$B1:$AS727,31,FALSE)," ")</f>
        <v xml:space="preserve"> </v>
      </c>
      <c r="Y272" s="53" t="str">
        <f>IFERROR(VLOOKUP($A272,'The List'!$B1:$AS727,32,FALSE)," ")</f>
        <v xml:space="preserve"> </v>
      </c>
      <c r="Z272" s="53" t="str">
        <f>IFERROR(VLOOKUP($A272,'The List'!$B1:$AS727,33,FALSE)," ")</f>
        <v xml:space="preserve"> </v>
      </c>
      <c r="AA272" s="55"/>
      <c r="AB272" s="60"/>
      <c r="AC272" s="60"/>
      <c r="AD272" s="60"/>
      <c r="AE272" s="60"/>
      <c r="AF272" s="60"/>
    </row>
    <row r="273" spans="1:32" ht="21.25" customHeight="1" x14ac:dyDescent="0.15">
      <c r="A273" s="23"/>
      <c r="B273" s="65" t="str">
        <f>IFERROR(VLOOKUP($A273,'The List'!$B1:$AS727,3,FALSE)," ")</f>
        <v xml:space="preserve"> </v>
      </c>
      <c r="C273" s="67" t="str">
        <f>IFERROR(VLOOKUP($A273,'The List'!$B1:$AS727,4,FALSE)," ")</f>
        <v xml:space="preserve"> </v>
      </c>
      <c r="D273" s="35" t="str">
        <f>IFERROR(VLOOKUP($A273,'The List'!$B1:$AS727,5,FALSE)," ")</f>
        <v xml:space="preserve"> </v>
      </c>
      <c r="E273" s="35" t="str">
        <f>IFERROR(VLOOKUP($A273,'The List'!$B1:$AS727,6,FALSE)," ")</f>
        <v xml:space="preserve"> </v>
      </c>
      <c r="F273" s="52" t="str">
        <f>IFERROR(VLOOKUP($A273,'The List'!$B1:$AS727,8,FALSE)," ")</f>
        <v xml:space="preserve"> </v>
      </c>
      <c r="G273" s="52" t="str">
        <f>IFERROR(VLOOKUP($A273,'The List'!$B1:$AS727,10,FALSE)," ")</f>
        <v xml:space="preserve"> </v>
      </c>
      <c r="H273" s="39"/>
      <c r="I273" s="53" t="str">
        <f>IFERROR(VLOOKUP($A273,'The List'!$B1:$AS727,16,FALSE)," ")</f>
        <v xml:space="preserve"> </v>
      </c>
      <c r="J273" s="53" t="str">
        <f>IFERROR(VLOOKUP($A273,'The List'!$B1:$AS727,17,FALSE)," ")</f>
        <v xml:space="preserve"> </v>
      </c>
      <c r="K273" s="53" t="str">
        <f>IFERROR(VLOOKUP($A273,'The List'!$B1:$AS727,18,FALSE)," ")</f>
        <v xml:space="preserve"> </v>
      </c>
      <c r="L273" s="53" t="str">
        <f>IFERROR(VLOOKUP($A273,'The List'!$B1:$AS727,19,FALSE)," ")</f>
        <v xml:space="preserve"> </v>
      </c>
      <c r="M273" s="53" t="str">
        <f>IFERROR(VLOOKUP($A273,'The List'!$B1:$AS727,20,FALSE)," ")</f>
        <v xml:space="preserve"> </v>
      </c>
      <c r="N273" s="53" t="str">
        <f>IFERROR(VLOOKUP($A273,'The List'!$B1:$AS727,21,FALSE)," ")</f>
        <v xml:space="preserve"> </v>
      </c>
      <c r="O273" s="53" t="str">
        <f>IFERROR(VLOOKUP($A273,'The List'!$B1:$AS727,22,FALSE)," ")</f>
        <v xml:space="preserve"> </v>
      </c>
      <c r="P273" s="53" t="str">
        <f>IFERROR(VLOOKUP($A273,'The List'!$B1:$AS727,23,FALSE)," ")</f>
        <v xml:space="preserve"> </v>
      </c>
      <c r="Q273" s="53" t="str">
        <f>IFERROR(VLOOKUP($A273,'The List'!$B1:$AS727,24,FALSE)," ")</f>
        <v xml:space="preserve"> </v>
      </c>
      <c r="R273" s="53" t="str">
        <f>IFERROR(VLOOKUP($A273,'The List'!$B1:$AS727,25,FALSE)," ")</f>
        <v xml:space="preserve"> </v>
      </c>
      <c r="S273" s="53" t="str">
        <f>IFERROR(VLOOKUP($A273,'The List'!$B1:$AS727,26,FALSE)," ")</f>
        <v xml:space="preserve"> </v>
      </c>
      <c r="T273" s="53" t="str">
        <f>IFERROR(VLOOKUP($A273,'The List'!$B1:$AS727,27,FALSE)," ")</f>
        <v xml:space="preserve"> </v>
      </c>
      <c r="U273" s="53" t="str">
        <f>IFERROR(VLOOKUP($A273,'The List'!$B1:$AS727,28,FALSE)," ")</f>
        <v xml:space="preserve"> </v>
      </c>
      <c r="V273" s="53" t="str">
        <f>IFERROR(VLOOKUP($A273,'The List'!$B1:$AS727,29,FALSE)," ")</f>
        <v xml:space="preserve"> </v>
      </c>
      <c r="W273" s="53" t="str">
        <f>IFERROR(VLOOKUP($A273,'The List'!$B1:$AS727,30,FALSE)," ")</f>
        <v xml:space="preserve"> </v>
      </c>
      <c r="X273" s="53" t="str">
        <f>IFERROR(VLOOKUP($A273,'The List'!$B1:$AS727,31,FALSE)," ")</f>
        <v xml:space="preserve"> </v>
      </c>
      <c r="Y273" s="53" t="str">
        <f>IFERROR(VLOOKUP($A273,'The List'!$B1:$AS727,32,FALSE)," ")</f>
        <v xml:space="preserve"> </v>
      </c>
      <c r="Z273" s="53" t="str">
        <f>IFERROR(VLOOKUP($A273,'The List'!$B1:$AS727,33,FALSE)," ")</f>
        <v xml:space="preserve"> </v>
      </c>
      <c r="AA273" s="55"/>
      <c r="AB273" s="60"/>
      <c r="AC273" s="60"/>
      <c r="AD273" s="60"/>
      <c r="AE273" s="60"/>
      <c r="AF273" s="60"/>
    </row>
    <row r="274" spans="1:32" ht="21.25" customHeight="1" x14ac:dyDescent="0.15">
      <c r="A274" s="23"/>
      <c r="B274" s="65" t="str">
        <f>IFERROR(VLOOKUP($A274,'The List'!$B1:$AS727,3,FALSE)," ")</f>
        <v xml:space="preserve"> </v>
      </c>
      <c r="C274" s="67" t="str">
        <f>IFERROR(VLOOKUP($A274,'The List'!$B1:$AS727,4,FALSE)," ")</f>
        <v xml:space="preserve"> </v>
      </c>
      <c r="D274" s="35" t="str">
        <f>IFERROR(VLOOKUP($A274,'The List'!$B1:$AS727,5,FALSE)," ")</f>
        <v xml:space="preserve"> </v>
      </c>
      <c r="E274" s="35" t="str">
        <f>IFERROR(VLOOKUP($A274,'The List'!$B1:$AS727,6,FALSE)," ")</f>
        <v xml:space="preserve"> </v>
      </c>
      <c r="F274" s="52" t="str">
        <f>IFERROR(VLOOKUP($A274,'The List'!$B1:$AS727,8,FALSE)," ")</f>
        <v xml:space="preserve"> </v>
      </c>
      <c r="G274" s="52" t="str">
        <f>IFERROR(VLOOKUP($A274,'The List'!$B1:$AS727,10,FALSE)," ")</f>
        <v xml:space="preserve"> </v>
      </c>
      <c r="H274" s="39"/>
      <c r="I274" s="53" t="str">
        <f>IFERROR(VLOOKUP($A274,'The List'!$B1:$AS727,16,FALSE)," ")</f>
        <v xml:space="preserve"> </v>
      </c>
      <c r="J274" s="53" t="str">
        <f>IFERROR(VLOOKUP($A274,'The List'!$B1:$AS727,17,FALSE)," ")</f>
        <v xml:space="preserve"> </v>
      </c>
      <c r="K274" s="53" t="str">
        <f>IFERROR(VLOOKUP($A274,'The List'!$B1:$AS727,18,FALSE)," ")</f>
        <v xml:space="preserve"> </v>
      </c>
      <c r="L274" s="53" t="str">
        <f>IFERROR(VLOOKUP($A274,'The List'!$B1:$AS727,19,FALSE)," ")</f>
        <v xml:space="preserve"> </v>
      </c>
      <c r="M274" s="53" t="str">
        <f>IFERROR(VLOOKUP($A274,'The List'!$B1:$AS727,20,FALSE)," ")</f>
        <v xml:space="preserve"> </v>
      </c>
      <c r="N274" s="53" t="str">
        <f>IFERROR(VLOOKUP($A274,'The List'!$B1:$AS727,21,FALSE)," ")</f>
        <v xml:space="preserve"> </v>
      </c>
      <c r="O274" s="53" t="str">
        <f>IFERROR(VLOOKUP($A274,'The List'!$B1:$AS727,22,FALSE)," ")</f>
        <v xml:space="preserve"> </v>
      </c>
      <c r="P274" s="53" t="str">
        <f>IFERROR(VLOOKUP($A274,'The List'!$B1:$AS727,23,FALSE)," ")</f>
        <v xml:space="preserve"> </v>
      </c>
      <c r="Q274" s="53" t="str">
        <f>IFERROR(VLOOKUP($A274,'The List'!$B1:$AS727,24,FALSE)," ")</f>
        <v xml:space="preserve"> </v>
      </c>
      <c r="R274" s="53" t="str">
        <f>IFERROR(VLOOKUP($A274,'The List'!$B1:$AS727,25,FALSE)," ")</f>
        <v xml:space="preserve"> </v>
      </c>
      <c r="S274" s="53" t="str">
        <f>IFERROR(VLOOKUP($A274,'The List'!$B1:$AS727,26,FALSE)," ")</f>
        <v xml:space="preserve"> </v>
      </c>
      <c r="T274" s="53" t="str">
        <f>IFERROR(VLOOKUP($A274,'The List'!$B1:$AS727,27,FALSE)," ")</f>
        <v xml:space="preserve"> </v>
      </c>
      <c r="U274" s="53" t="str">
        <f>IFERROR(VLOOKUP($A274,'The List'!$B1:$AS727,28,FALSE)," ")</f>
        <v xml:space="preserve"> </v>
      </c>
      <c r="V274" s="53" t="str">
        <f>IFERROR(VLOOKUP($A274,'The List'!$B1:$AS727,29,FALSE)," ")</f>
        <v xml:space="preserve"> </v>
      </c>
      <c r="W274" s="53" t="str">
        <f>IFERROR(VLOOKUP($A274,'The List'!$B1:$AS727,30,FALSE)," ")</f>
        <v xml:space="preserve"> </v>
      </c>
      <c r="X274" s="53" t="str">
        <f>IFERROR(VLOOKUP($A274,'The List'!$B1:$AS727,31,FALSE)," ")</f>
        <v xml:space="preserve"> </v>
      </c>
      <c r="Y274" s="53" t="str">
        <f>IFERROR(VLOOKUP($A274,'The List'!$B1:$AS727,32,FALSE)," ")</f>
        <v xml:space="preserve"> </v>
      </c>
      <c r="Z274" s="53" t="str">
        <f>IFERROR(VLOOKUP($A274,'The List'!$B1:$AS727,33,FALSE)," ")</f>
        <v xml:space="preserve"> </v>
      </c>
      <c r="AA274" s="55"/>
      <c r="AB274" s="60"/>
      <c r="AC274" s="60"/>
      <c r="AD274" s="60"/>
      <c r="AE274" s="60"/>
      <c r="AF274" s="60"/>
    </row>
    <row r="275" spans="1:32" ht="21.25" customHeight="1" x14ac:dyDescent="0.15">
      <c r="A275" s="23"/>
      <c r="B275" s="68" t="str">
        <f>IFERROR(VLOOKUP($A275,'The List'!$B1:$AS727,3,FALSE)," ")</f>
        <v xml:space="preserve"> </v>
      </c>
      <c r="C275" s="70" t="str">
        <f>IFERROR(VLOOKUP($A275,'The List'!$B1:$AS727,4,FALSE)," ")</f>
        <v xml:space="preserve"> </v>
      </c>
      <c r="D275" s="35" t="str">
        <f>IFERROR(VLOOKUP($A275,'The List'!$B1:$AS727,5,FALSE)," ")</f>
        <v xml:space="preserve"> </v>
      </c>
      <c r="E275" s="35" t="str">
        <f>IFERROR(VLOOKUP($A275,'The List'!$B1:$AS727,6,FALSE)," ")</f>
        <v xml:space="preserve"> </v>
      </c>
      <c r="F275" s="52" t="str">
        <f>IFERROR(VLOOKUP($A275,'The List'!$B1:$AS727,8,FALSE)," ")</f>
        <v xml:space="preserve"> </v>
      </c>
      <c r="G275" s="52" t="str">
        <f>IFERROR(VLOOKUP($A275,'The List'!$B1:$AS727,10,FALSE)," ")</f>
        <v xml:space="preserve"> </v>
      </c>
      <c r="H275" s="39"/>
      <c r="I275" s="53" t="str">
        <f>IFERROR(VLOOKUP($A275,'The List'!$B1:$AS727,16,FALSE)," ")</f>
        <v xml:space="preserve"> </v>
      </c>
      <c r="J275" s="53" t="str">
        <f>IFERROR(VLOOKUP($A275,'The List'!$B1:$AS727,17,FALSE)," ")</f>
        <v xml:space="preserve"> </v>
      </c>
      <c r="K275" s="53" t="str">
        <f>IFERROR(VLOOKUP($A275,'The List'!$B1:$AS727,18,FALSE)," ")</f>
        <v xml:space="preserve"> </v>
      </c>
      <c r="L275" s="53" t="str">
        <f>IFERROR(VLOOKUP($A275,'The List'!$B1:$AS727,19,FALSE)," ")</f>
        <v xml:space="preserve"> </v>
      </c>
      <c r="M275" s="53" t="str">
        <f>IFERROR(VLOOKUP($A275,'The List'!$B1:$AS727,20,FALSE)," ")</f>
        <v xml:space="preserve"> </v>
      </c>
      <c r="N275" s="53" t="str">
        <f>IFERROR(VLOOKUP($A275,'The List'!$B1:$AS727,21,FALSE)," ")</f>
        <v xml:space="preserve"> </v>
      </c>
      <c r="O275" s="53" t="str">
        <f>IFERROR(VLOOKUP($A275,'The List'!$B1:$AS727,22,FALSE)," ")</f>
        <v xml:space="preserve"> </v>
      </c>
      <c r="P275" s="53" t="str">
        <f>IFERROR(VLOOKUP($A275,'The List'!$B1:$AS727,23,FALSE)," ")</f>
        <v xml:space="preserve"> </v>
      </c>
      <c r="Q275" s="53" t="str">
        <f>IFERROR(VLOOKUP($A275,'The List'!$B1:$AS727,24,FALSE)," ")</f>
        <v xml:space="preserve"> </v>
      </c>
      <c r="R275" s="53" t="str">
        <f>IFERROR(VLOOKUP($A275,'The List'!$B1:$AS727,25,FALSE)," ")</f>
        <v xml:space="preserve"> </v>
      </c>
      <c r="S275" s="53" t="str">
        <f>IFERROR(VLOOKUP($A275,'The List'!$B1:$AS727,26,FALSE)," ")</f>
        <v xml:space="preserve"> </v>
      </c>
      <c r="T275" s="53" t="str">
        <f>IFERROR(VLOOKUP($A275,'The List'!$B1:$AS727,27,FALSE)," ")</f>
        <v xml:space="preserve"> </v>
      </c>
      <c r="U275" s="53" t="str">
        <f>IFERROR(VLOOKUP($A275,'The List'!$B1:$AS727,28,FALSE)," ")</f>
        <v xml:space="preserve"> </v>
      </c>
      <c r="V275" s="53" t="str">
        <f>IFERROR(VLOOKUP($A275,'The List'!$B1:$AS727,29,FALSE)," ")</f>
        <v xml:space="preserve"> </v>
      </c>
      <c r="W275" s="53" t="str">
        <f>IFERROR(VLOOKUP($A275,'The List'!$B1:$AS727,30,FALSE)," ")</f>
        <v xml:space="preserve"> </v>
      </c>
      <c r="X275" s="53" t="str">
        <f>IFERROR(VLOOKUP($A275,'The List'!$B1:$AS727,31,FALSE)," ")</f>
        <v xml:space="preserve"> </v>
      </c>
      <c r="Y275" s="53" t="str">
        <f>IFERROR(VLOOKUP($A275,'The List'!$B1:$AS727,32,FALSE)," ")</f>
        <v xml:space="preserve"> </v>
      </c>
      <c r="Z275" s="53" t="str">
        <f>IFERROR(VLOOKUP($A275,'The List'!$B1:$AS727,33,FALSE)," ")</f>
        <v xml:space="preserve"> </v>
      </c>
      <c r="AA275" s="55"/>
      <c r="AB275" s="60"/>
      <c r="AC275" s="60"/>
      <c r="AD275" s="60"/>
      <c r="AE275" s="60"/>
      <c r="AF275" s="60"/>
    </row>
    <row r="276" spans="1:32" ht="21.25" customHeight="1" x14ac:dyDescent="0.15">
      <c r="A276" s="23"/>
      <c r="B276" s="68" t="str">
        <f>IFERROR(VLOOKUP($A276,'The List'!$B1:$AS727,3,FALSE)," ")</f>
        <v xml:space="preserve"> </v>
      </c>
      <c r="C276" s="70" t="str">
        <f>IFERROR(VLOOKUP($A276,'The List'!$B1:$AS727,4,FALSE)," ")</f>
        <v xml:space="preserve"> </v>
      </c>
      <c r="D276" s="35" t="str">
        <f>IFERROR(VLOOKUP($A276,'The List'!$B1:$AS727,5,FALSE)," ")</f>
        <v xml:space="preserve"> </v>
      </c>
      <c r="E276" s="35" t="str">
        <f>IFERROR(VLOOKUP($A276,'The List'!$B1:$AS727,6,FALSE)," ")</f>
        <v xml:space="preserve"> </v>
      </c>
      <c r="F276" s="52" t="str">
        <f>IFERROR(VLOOKUP($A276,'The List'!$B1:$AS727,8,FALSE)," ")</f>
        <v xml:space="preserve"> </v>
      </c>
      <c r="G276" s="52" t="str">
        <f>IFERROR(VLOOKUP($A276,'The List'!$B1:$AS727,10,FALSE)," ")</f>
        <v xml:space="preserve"> </v>
      </c>
      <c r="H276" s="39"/>
      <c r="I276" s="53" t="str">
        <f>IFERROR(VLOOKUP($A276,'The List'!$B1:$AS727,16,FALSE)," ")</f>
        <v xml:space="preserve"> </v>
      </c>
      <c r="J276" s="53" t="str">
        <f>IFERROR(VLOOKUP($A276,'The List'!$B1:$AS727,17,FALSE)," ")</f>
        <v xml:space="preserve"> </v>
      </c>
      <c r="K276" s="53" t="str">
        <f>IFERROR(VLOOKUP($A276,'The List'!$B1:$AS727,18,FALSE)," ")</f>
        <v xml:space="preserve"> </v>
      </c>
      <c r="L276" s="53" t="str">
        <f>IFERROR(VLOOKUP($A276,'The List'!$B1:$AS727,19,FALSE)," ")</f>
        <v xml:space="preserve"> </v>
      </c>
      <c r="M276" s="53" t="str">
        <f>IFERROR(VLOOKUP($A276,'The List'!$B1:$AS727,20,FALSE)," ")</f>
        <v xml:space="preserve"> </v>
      </c>
      <c r="N276" s="53" t="str">
        <f>IFERROR(VLOOKUP($A276,'The List'!$B1:$AS727,21,FALSE)," ")</f>
        <v xml:space="preserve"> </v>
      </c>
      <c r="O276" s="53" t="str">
        <f>IFERROR(VLOOKUP($A276,'The List'!$B1:$AS727,22,FALSE)," ")</f>
        <v xml:space="preserve"> </v>
      </c>
      <c r="P276" s="53" t="str">
        <f>IFERROR(VLOOKUP($A276,'The List'!$B1:$AS727,23,FALSE)," ")</f>
        <v xml:space="preserve"> </v>
      </c>
      <c r="Q276" s="53" t="str">
        <f>IFERROR(VLOOKUP($A276,'The List'!$B1:$AS727,24,FALSE)," ")</f>
        <v xml:space="preserve"> </v>
      </c>
      <c r="R276" s="53" t="str">
        <f>IFERROR(VLOOKUP($A276,'The List'!$B1:$AS727,25,FALSE)," ")</f>
        <v xml:space="preserve"> </v>
      </c>
      <c r="S276" s="53" t="str">
        <f>IFERROR(VLOOKUP($A276,'The List'!$B1:$AS727,26,FALSE)," ")</f>
        <v xml:space="preserve"> </v>
      </c>
      <c r="T276" s="53" t="str">
        <f>IFERROR(VLOOKUP($A276,'The List'!$B1:$AS727,27,FALSE)," ")</f>
        <v xml:space="preserve"> </v>
      </c>
      <c r="U276" s="53" t="str">
        <f>IFERROR(VLOOKUP($A276,'The List'!$B1:$AS727,28,FALSE)," ")</f>
        <v xml:space="preserve"> </v>
      </c>
      <c r="V276" s="53" t="str">
        <f>IFERROR(VLOOKUP($A276,'The List'!$B1:$AS727,29,FALSE)," ")</f>
        <v xml:space="preserve"> </v>
      </c>
      <c r="W276" s="53" t="str">
        <f>IFERROR(VLOOKUP($A276,'The List'!$B1:$AS727,30,FALSE)," ")</f>
        <v xml:space="preserve"> </v>
      </c>
      <c r="X276" s="53" t="str">
        <f>IFERROR(VLOOKUP($A276,'The List'!$B1:$AS727,31,FALSE)," ")</f>
        <v xml:space="preserve"> </v>
      </c>
      <c r="Y276" s="53" t="str">
        <f>IFERROR(VLOOKUP($A276,'The List'!$B1:$AS727,32,FALSE)," ")</f>
        <v xml:space="preserve"> </v>
      </c>
      <c r="Z276" s="53" t="str">
        <f>IFERROR(VLOOKUP($A276,'The List'!$B1:$AS727,33,FALSE)," ")</f>
        <v xml:space="preserve"> </v>
      </c>
      <c r="AA276" s="55"/>
      <c r="AB276" s="60"/>
      <c r="AC276" s="60"/>
      <c r="AD276" s="60"/>
      <c r="AE276" s="60"/>
      <c r="AF276" s="60"/>
    </row>
    <row r="277" spans="1:32" ht="21.25" customHeight="1" x14ac:dyDescent="0.15">
      <c r="A277" s="23"/>
      <c r="B277" s="68" t="str">
        <f>IFERROR(VLOOKUP($A277,'The List'!$B1:$AS727,3,FALSE)," ")</f>
        <v xml:space="preserve"> </v>
      </c>
      <c r="C277" s="70" t="str">
        <f>IFERROR(VLOOKUP($A277,'The List'!$B1:$AS727,4,FALSE)," ")</f>
        <v xml:space="preserve"> </v>
      </c>
      <c r="D277" s="35" t="str">
        <f>IFERROR(VLOOKUP($A277,'The List'!$B1:$AS727,5,FALSE)," ")</f>
        <v xml:space="preserve"> </v>
      </c>
      <c r="E277" s="35" t="str">
        <f>IFERROR(VLOOKUP($A277,'The List'!$B1:$AS727,6,FALSE)," ")</f>
        <v xml:space="preserve"> </v>
      </c>
      <c r="F277" s="52" t="str">
        <f>IFERROR(VLOOKUP($A277,'The List'!$B1:$AS727,8,FALSE)," ")</f>
        <v xml:space="preserve"> </v>
      </c>
      <c r="G277" s="52" t="str">
        <f>IFERROR(VLOOKUP($A277,'The List'!$B1:$AS727,10,FALSE)," ")</f>
        <v xml:space="preserve"> </v>
      </c>
      <c r="H277" s="39"/>
      <c r="I277" s="53" t="str">
        <f>IFERROR(VLOOKUP($A277,'The List'!$B1:$AS727,16,FALSE)," ")</f>
        <v xml:space="preserve"> </v>
      </c>
      <c r="J277" s="53" t="str">
        <f>IFERROR(VLOOKUP($A277,'The List'!$B1:$AS727,17,FALSE)," ")</f>
        <v xml:space="preserve"> </v>
      </c>
      <c r="K277" s="53" t="str">
        <f>IFERROR(VLOOKUP($A277,'The List'!$B1:$AS727,18,FALSE)," ")</f>
        <v xml:space="preserve"> </v>
      </c>
      <c r="L277" s="53" t="str">
        <f>IFERROR(VLOOKUP($A277,'The List'!$B1:$AS727,19,FALSE)," ")</f>
        <v xml:space="preserve"> </v>
      </c>
      <c r="M277" s="53" t="str">
        <f>IFERROR(VLOOKUP($A277,'The List'!$B1:$AS727,20,FALSE)," ")</f>
        <v xml:space="preserve"> </v>
      </c>
      <c r="N277" s="53" t="str">
        <f>IFERROR(VLOOKUP($A277,'The List'!$B1:$AS727,21,FALSE)," ")</f>
        <v xml:space="preserve"> </v>
      </c>
      <c r="O277" s="53" t="str">
        <f>IFERROR(VLOOKUP($A277,'The List'!$B1:$AS727,22,FALSE)," ")</f>
        <v xml:space="preserve"> </v>
      </c>
      <c r="P277" s="53" t="str">
        <f>IFERROR(VLOOKUP($A277,'The List'!$B1:$AS727,23,FALSE)," ")</f>
        <v xml:space="preserve"> </v>
      </c>
      <c r="Q277" s="53" t="str">
        <f>IFERROR(VLOOKUP($A277,'The List'!$B1:$AS727,24,FALSE)," ")</f>
        <v xml:space="preserve"> </v>
      </c>
      <c r="R277" s="53" t="str">
        <f>IFERROR(VLOOKUP($A277,'The List'!$B1:$AS727,25,FALSE)," ")</f>
        <v xml:space="preserve"> </v>
      </c>
      <c r="S277" s="53" t="str">
        <f>IFERROR(VLOOKUP($A277,'The List'!$B1:$AS727,26,FALSE)," ")</f>
        <v xml:space="preserve"> </v>
      </c>
      <c r="T277" s="53" t="str">
        <f>IFERROR(VLOOKUP($A277,'The List'!$B1:$AS727,27,FALSE)," ")</f>
        <v xml:space="preserve"> </v>
      </c>
      <c r="U277" s="53" t="str">
        <f>IFERROR(VLOOKUP($A277,'The List'!$B1:$AS727,28,FALSE)," ")</f>
        <v xml:space="preserve"> </v>
      </c>
      <c r="V277" s="53" t="str">
        <f>IFERROR(VLOOKUP($A277,'The List'!$B1:$AS727,29,FALSE)," ")</f>
        <v xml:space="preserve"> </v>
      </c>
      <c r="W277" s="53" t="str">
        <f>IFERROR(VLOOKUP($A277,'The List'!$B1:$AS727,30,FALSE)," ")</f>
        <v xml:space="preserve"> </v>
      </c>
      <c r="X277" s="53" t="str">
        <f>IFERROR(VLOOKUP($A277,'The List'!$B1:$AS727,31,FALSE)," ")</f>
        <v xml:space="preserve"> </v>
      </c>
      <c r="Y277" s="53" t="str">
        <f>IFERROR(VLOOKUP($A277,'The List'!$B1:$AS727,32,FALSE)," ")</f>
        <v xml:space="preserve"> </v>
      </c>
      <c r="Z277" s="53" t="str">
        <f>IFERROR(VLOOKUP($A277,'The List'!$B1:$AS727,33,FALSE)," ")</f>
        <v xml:space="preserve"> </v>
      </c>
      <c r="AA277" s="55"/>
      <c r="AB277" s="60"/>
      <c r="AC277" s="60"/>
      <c r="AD277" s="60"/>
      <c r="AE277" s="60"/>
      <c r="AF277" s="60"/>
    </row>
    <row r="278" spans="1:32" ht="21.25" customHeight="1" x14ac:dyDescent="0.15">
      <c r="A278" s="23"/>
      <c r="B278" s="68" t="str">
        <f>IFERROR(VLOOKUP($A278,'The List'!$B1:$AS727,3,FALSE)," ")</f>
        <v xml:space="preserve"> </v>
      </c>
      <c r="C278" s="70" t="str">
        <f>IFERROR(VLOOKUP($A278,'The List'!$B1:$AS727,4,FALSE)," ")</f>
        <v xml:space="preserve"> </v>
      </c>
      <c r="D278" s="35" t="str">
        <f>IFERROR(VLOOKUP($A278,'The List'!$B1:$AS727,5,FALSE)," ")</f>
        <v xml:space="preserve"> </v>
      </c>
      <c r="E278" s="35" t="str">
        <f>IFERROR(VLOOKUP($A278,'The List'!$B1:$AS727,6,FALSE)," ")</f>
        <v xml:space="preserve"> </v>
      </c>
      <c r="F278" s="52" t="str">
        <f>IFERROR(VLOOKUP($A278,'The List'!$B1:$AS727,8,FALSE)," ")</f>
        <v xml:space="preserve"> </v>
      </c>
      <c r="G278" s="52" t="str">
        <f>IFERROR(VLOOKUP($A278,'The List'!$B1:$AS727,10,FALSE)," ")</f>
        <v xml:space="preserve"> </v>
      </c>
      <c r="H278" s="39"/>
      <c r="I278" s="53" t="str">
        <f>IFERROR(VLOOKUP($A278,'The List'!$B1:$AS727,16,FALSE)," ")</f>
        <v xml:space="preserve"> </v>
      </c>
      <c r="J278" s="53" t="str">
        <f>IFERROR(VLOOKUP($A278,'The List'!$B1:$AS727,17,FALSE)," ")</f>
        <v xml:space="preserve"> </v>
      </c>
      <c r="K278" s="53" t="str">
        <f>IFERROR(VLOOKUP($A278,'The List'!$B1:$AS727,18,FALSE)," ")</f>
        <v xml:space="preserve"> </v>
      </c>
      <c r="L278" s="53" t="str">
        <f>IFERROR(VLOOKUP($A278,'The List'!$B1:$AS727,19,FALSE)," ")</f>
        <v xml:space="preserve"> </v>
      </c>
      <c r="M278" s="53" t="str">
        <f>IFERROR(VLOOKUP($A278,'The List'!$B1:$AS727,20,FALSE)," ")</f>
        <v xml:space="preserve"> </v>
      </c>
      <c r="N278" s="53" t="str">
        <f>IFERROR(VLOOKUP($A278,'The List'!$B1:$AS727,21,FALSE)," ")</f>
        <v xml:space="preserve"> </v>
      </c>
      <c r="O278" s="53" t="str">
        <f>IFERROR(VLOOKUP($A278,'The List'!$B1:$AS727,22,FALSE)," ")</f>
        <v xml:space="preserve"> </v>
      </c>
      <c r="P278" s="53" t="str">
        <f>IFERROR(VLOOKUP($A278,'The List'!$B1:$AS727,23,FALSE)," ")</f>
        <v xml:space="preserve"> </v>
      </c>
      <c r="Q278" s="53" t="str">
        <f>IFERROR(VLOOKUP($A278,'The List'!$B1:$AS727,24,FALSE)," ")</f>
        <v xml:space="preserve"> </v>
      </c>
      <c r="R278" s="53" t="str">
        <f>IFERROR(VLOOKUP($A278,'The List'!$B1:$AS727,25,FALSE)," ")</f>
        <v xml:space="preserve"> </v>
      </c>
      <c r="S278" s="53" t="str">
        <f>IFERROR(VLOOKUP($A278,'The List'!$B1:$AS727,26,FALSE)," ")</f>
        <v xml:space="preserve"> </v>
      </c>
      <c r="T278" s="53" t="str">
        <f>IFERROR(VLOOKUP($A278,'The List'!$B1:$AS727,27,FALSE)," ")</f>
        <v xml:space="preserve"> </v>
      </c>
      <c r="U278" s="53" t="str">
        <f>IFERROR(VLOOKUP($A278,'The List'!$B1:$AS727,28,FALSE)," ")</f>
        <v xml:space="preserve"> </v>
      </c>
      <c r="V278" s="53" t="str">
        <f>IFERROR(VLOOKUP($A278,'The List'!$B1:$AS727,29,FALSE)," ")</f>
        <v xml:space="preserve"> </v>
      </c>
      <c r="W278" s="53" t="str">
        <f>IFERROR(VLOOKUP($A278,'The List'!$B1:$AS727,30,FALSE)," ")</f>
        <v xml:space="preserve"> </v>
      </c>
      <c r="X278" s="53" t="str">
        <f>IFERROR(VLOOKUP($A278,'The List'!$B1:$AS727,31,FALSE)," ")</f>
        <v xml:space="preserve"> </v>
      </c>
      <c r="Y278" s="53" t="str">
        <f>IFERROR(VLOOKUP($A278,'The List'!$B1:$AS727,32,FALSE)," ")</f>
        <v xml:space="preserve"> </v>
      </c>
      <c r="Z278" s="53" t="str">
        <f>IFERROR(VLOOKUP($A278,'The List'!$B1:$AS727,33,FALSE)," ")</f>
        <v xml:space="preserve"> </v>
      </c>
      <c r="AA278" s="55"/>
      <c r="AB278" s="60"/>
      <c r="AC278" s="60"/>
      <c r="AD278" s="60"/>
      <c r="AE278" s="60"/>
      <c r="AF278" s="60"/>
    </row>
    <row r="279" spans="1:32" ht="21.25" customHeight="1" x14ac:dyDescent="0.15">
      <c r="A279" s="23"/>
      <c r="B279" s="68" t="str">
        <f>IFERROR(VLOOKUP($A279,'The List'!$B1:$AS727,3,FALSE)," ")</f>
        <v xml:space="preserve"> </v>
      </c>
      <c r="C279" s="70" t="str">
        <f>IFERROR(VLOOKUP($A279,'The List'!$B1:$AS727,4,FALSE)," ")</f>
        <v xml:space="preserve"> </v>
      </c>
      <c r="D279" s="35" t="str">
        <f>IFERROR(VLOOKUP($A279,'The List'!$B1:$AS727,5,FALSE)," ")</f>
        <v xml:space="preserve"> </v>
      </c>
      <c r="E279" s="35" t="str">
        <f>IFERROR(VLOOKUP($A279,'The List'!$B1:$AS727,6,FALSE)," ")</f>
        <v xml:space="preserve"> </v>
      </c>
      <c r="F279" s="52" t="str">
        <f>IFERROR(VLOOKUP($A279,'The List'!$B1:$AS727,8,FALSE)," ")</f>
        <v xml:space="preserve"> </v>
      </c>
      <c r="G279" s="52" t="str">
        <f>IFERROR(VLOOKUP($A279,'The List'!$B1:$AS727,10,FALSE)," ")</f>
        <v xml:space="preserve"> </v>
      </c>
      <c r="H279" s="39"/>
      <c r="I279" s="53" t="str">
        <f>IFERROR(VLOOKUP($A279,'The List'!$B1:$AS727,16,FALSE)," ")</f>
        <v xml:space="preserve"> </v>
      </c>
      <c r="J279" s="53" t="str">
        <f>IFERROR(VLOOKUP($A279,'The List'!$B1:$AS727,17,FALSE)," ")</f>
        <v xml:space="preserve"> </v>
      </c>
      <c r="K279" s="53" t="str">
        <f>IFERROR(VLOOKUP($A279,'The List'!$B1:$AS727,18,FALSE)," ")</f>
        <v xml:space="preserve"> </v>
      </c>
      <c r="L279" s="53" t="str">
        <f>IFERROR(VLOOKUP($A279,'The List'!$B1:$AS727,19,FALSE)," ")</f>
        <v xml:space="preserve"> </v>
      </c>
      <c r="M279" s="53" t="str">
        <f>IFERROR(VLOOKUP($A279,'The List'!$B1:$AS727,20,FALSE)," ")</f>
        <v xml:space="preserve"> </v>
      </c>
      <c r="N279" s="53" t="str">
        <f>IFERROR(VLOOKUP($A279,'The List'!$B1:$AS727,21,FALSE)," ")</f>
        <v xml:space="preserve"> </v>
      </c>
      <c r="O279" s="53" t="str">
        <f>IFERROR(VLOOKUP($A279,'The List'!$B1:$AS727,22,FALSE)," ")</f>
        <v xml:space="preserve"> </v>
      </c>
      <c r="P279" s="53" t="str">
        <f>IFERROR(VLOOKUP($A279,'The List'!$B1:$AS727,23,FALSE)," ")</f>
        <v xml:space="preserve"> </v>
      </c>
      <c r="Q279" s="53" t="str">
        <f>IFERROR(VLOOKUP($A279,'The List'!$B1:$AS727,24,FALSE)," ")</f>
        <v xml:space="preserve"> </v>
      </c>
      <c r="R279" s="53" t="str">
        <f>IFERROR(VLOOKUP($A279,'The List'!$B1:$AS727,25,FALSE)," ")</f>
        <v xml:space="preserve"> </v>
      </c>
      <c r="S279" s="53" t="str">
        <f>IFERROR(VLOOKUP($A279,'The List'!$B1:$AS727,26,FALSE)," ")</f>
        <v xml:space="preserve"> </v>
      </c>
      <c r="T279" s="53" t="str">
        <f>IFERROR(VLOOKUP($A279,'The List'!$B1:$AS727,27,FALSE)," ")</f>
        <v xml:space="preserve"> </v>
      </c>
      <c r="U279" s="53" t="str">
        <f>IFERROR(VLOOKUP($A279,'The List'!$B1:$AS727,28,FALSE)," ")</f>
        <v xml:space="preserve"> </v>
      </c>
      <c r="V279" s="53" t="str">
        <f>IFERROR(VLOOKUP($A279,'The List'!$B1:$AS727,29,FALSE)," ")</f>
        <v xml:space="preserve"> </v>
      </c>
      <c r="W279" s="53" t="str">
        <f>IFERROR(VLOOKUP($A279,'The List'!$B1:$AS727,30,FALSE)," ")</f>
        <v xml:space="preserve"> </v>
      </c>
      <c r="X279" s="53" t="str">
        <f>IFERROR(VLOOKUP($A279,'The List'!$B1:$AS727,31,FALSE)," ")</f>
        <v xml:space="preserve"> </v>
      </c>
      <c r="Y279" s="53" t="str">
        <f>IFERROR(VLOOKUP($A279,'The List'!$B1:$AS727,32,FALSE)," ")</f>
        <v xml:space="preserve"> </v>
      </c>
      <c r="Z279" s="53" t="str">
        <f>IFERROR(VLOOKUP($A279,'The List'!$B1:$AS727,33,FALSE)," ")</f>
        <v xml:space="preserve"> </v>
      </c>
      <c r="AA279" s="55"/>
      <c r="AB279" s="60"/>
      <c r="AC279" s="60"/>
      <c r="AD279" s="60"/>
      <c r="AE279" s="60"/>
      <c r="AF279" s="60"/>
    </row>
    <row r="280" spans="1:32" ht="21.25" customHeight="1" x14ac:dyDescent="0.15">
      <c r="A280" s="23"/>
      <c r="B280" s="68" t="str">
        <f>IFERROR(VLOOKUP($A280,'The List'!$B1:$AS727,3,FALSE)," ")</f>
        <v xml:space="preserve"> </v>
      </c>
      <c r="C280" s="70" t="str">
        <f>IFERROR(VLOOKUP($A280,'The List'!$B1:$AS727,4,FALSE)," ")</f>
        <v xml:space="preserve"> </v>
      </c>
      <c r="D280" s="35" t="str">
        <f>IFERROR(VLOOKUP($A280,'The List'!$B1:$AS727,5,FALSE)," ")</f>
        <v xml:space="preserve"> </v>
      </c>
      <c r="E280" s="35" t="str">
        <f>IFERROR(VLOOKUP($A280,'The List'!$B1:$AS727,6,FALSE)," ")</f>
        <v xml:space="preserve"> </v>
      </c>
      <c r="F280" s="52" t="str">
        <f>IFERROR(VLOOKUP($A280,'The List'!$B1:$AS727,8,FALSE)," ")</f>
        <v xml:space="preserve"> </v>
      </c>
      <c r="G280" s="52" t="str">
        <f>IFERROR(VLOOKUP($A280,'The List'!$B1:$AS727,10,FALSE)," ")</f>
        <v xml:space="preserve"> </v>
      </c>
      <c r="H280" s="39"/>
      <c r="I280" s="53" t="str">
        <f>IFERROR(VLOOKUP($A280,'The List'!$B1:$AS727,16,FALSE)," ")</f>
        <v xml:space="preserve"> </v>
      </c>
      <c r="J280" s="53" t="str">
        <f>IFERROR(VLOOKUP($A280,'The List'!$B1:$AS727,17,FALSE)," ")</f>
        <v xml:space="preserve"> </v>
      </c>
      <c r="K280" s="53" t="str">
        <f>IFERROR(VLOOKUP($A280,'The List'!$B1:$AS727,18,FALSE)," ")</f>
        <v xml:space="preserve"> </v>
      </c>
      <c r="L280" s="53" t="str">
        <f>IFERROR(VLOOKUP($A280,'The List'!$B1:$AS727,19,FALSE)," ")</f>
        <v xml:space="preserve"> </v>
      </c>
      <c r="M280" s="53" t="str">
        <f>IFERROR(VLOOKUP($A280,'The List'!$B1:$AS727,20,FALSE)," ")</f>
        <v xml:space="preserve"> </v>
      </c>
      <c r="N280" s="53" t="str">
        <f>IFERROR(VLOOKUP($A280,'The List'!$B1:$AS727,21,FALSE)," ")</f>
        <v xml:space="preserve"> </v>
      </c>
      <c r="O280" s="53" t="str">
        <f>IFERROR(VLOOKUP($A280,'The List'!$B1:$AS727,22,FALSE)," ")</f>
        <v xml:space="preserve"> </v>
      </c>
      <c r="P280" s="53" t="str">
        <f>IFERROR(VLOOKUP($A280,'The List'!$B1:$AS727,23,FALSE)," ")</f>
        <v xml:space="preserve"> </v>
      </c>
      <c r="Q280" s="53" t="str">
        <f>IFERROR(VLOOKUP($A280,'The List'!$B1:$AS727,24,FALSE)," ")</f>
        <v xml:space="preserve"> </v>
      </c>
      <c r="R280" s="53" t="str">
        <f>IFERROR(VLOOKUP($A280,'The List'!$B1:$AS727,25,FALSE)," ")</f>
        <v xml:space="preserve"> </v>
      </c>
      <c r="S280" s="53" t="str">
        <f>IFERROR(VLOOKUP($A280,'The List'!$B1:$AS727,26,FALSE)," ")</f>
        <v xml:space="preserve"> </v>
      </c>
      <c r="T280" s="53" t="str">
        <f>IFERROR(VLOOKUP($A280,'The List'!$B1:$AS727,27,FALSE)," ")</f>
        <v xml:space="preserve"> </v>
      </c>
      <c r="U280" s="53" t="str">
        <f>IFERROR(VLOOKUP($A280,'The List'!$B1:$AS727,28,FALSE)," ")</f>
        <v xml:space="preserve"> </v>
      </c>
      <c r="V280" s="53" t="str">
        <f>IFERROR(VLOOKUP($A280,'The List'!$B1:$AS727,29,FALSE)," ")</f>
        <v xml:space="preserve"> </v>
      </c>
      <c r="W280" s="53" t="str">
        <f>IFERROR(VLOOKUP($A280,'The List'!$B1:$AS727,30,FALSE)," ")</f>
        <v xml:space="preserve"> </v>
      </c>
      <c r="X280" s="53" t="str">
        <f>IFERROR(VLOOKUP($A280,'The List'!$B1:$AS727,31,FALSE)," ")</f>
        <v xml:space="preserve"> </v>
      </c>
      <c r="Y280" s="53" t="str">
        <f>IFERROR(VLOOKUP($A280,'The List'!$B1:$AS727,32,FALSE)," ")</f>
        <v xml:space="preserve"> </v>
      </c>
      <c r="Z280" s="53" t="str">
        <f>IFERROR(VLOOKUP($A280,'The List'!$B1:$AS727,33,FALSE)," ")</f>
        <v xml:space="preserve"> </v>
      </c>
      <c r="AA280" s="55"/>
      <c r="AB280" s="60"/>
      <c r="AC280" s="60"/>
      <c r="AD280" s="60"/>
      <c r="AE280" s="60"/>
      <c r="AF280" s="60"/>
    </row>
    <row r="281" spans="1:32" ht="21.25" customHeight="1" x14ac:dyDescent="0.15">
      <c r="A281" s="23"/>
      <c r="B281" s="68" t="str">
        <f>IFERROR(VLOOKUP($A281,'The List'!$B1:$AS727,3,FALSE)," ")</f>
        <v xml:space="preserve"> </v>
      </c>
      <c r="C281" s="70" t="str">
        <f>IFERROR(VLOOKUP($A281,'The List'!$B1:$AS727,4,FALSE)," ")</f>
        <v xml:space="preserve"> </v>
      </c>
      <c r="D281" s="35" t="str">
        <f>IFERROR(VLOOKUP($A281,'The List'!$B1:$AS727,5,FALSE)," ")</f>
        <v xml:space="preserve"> </v>
      </c>
      <c r="E281" s="35" t="str">
        <f>IFERROR(VLOOKUP($A281,'The List'!$B1:$AS727,6,FALSE)," ")</f>
        <v xml:space="preserve"> </v>
      </c>
      <c r="F281" s="52" t="str">
        <f>IFERROR(VLOOKUP($A281,'The List'!$B1:$AS727,8,FALSE)," ")</f>
        <v xml:space="preserve"> </v>
      </c>
      <c r="G281" s="52" t="str">
        <f>IFERROR(VLOOKUP($A281,'The List'!$B1:$AS727,10,FALSE)," ")</f>
        <v xml:space="preserve"> </v>
      </c>
      <c r="H281" s="39"/>
      <c r="I281" s="53" t="str">
        <f>IFERROR(VLOOKUP($A281,'The List'!$B1:$AS727,16,FALSE)," ")</f>
        <v xml:space="preserve"> </v>
      </c>
      <c r="J281" s="53" t="str">
        <f>IFERROR(VLOOKUP($A281,'The List'!$B1:$AS727,17,FALSE)," ")</f>
        <v xml:space="preserve"> </v>
      </c>
      <c r="K281" s="53" t="str">
        <f>IFERROR(VLOOKUP($A281,'The List'!$B1:$AS727,18,FALSE)," ")</f>
        <v xml:space="preserve"> </v>
      </c>
      <c r="L281" s="53" t="str">
        <f>IFERROR(VLOOKUP($A281,'The List'!$B1:$AS727,19,FALSE)," ")</f>
        <v xml:space="preserve"> </v>
      </c>
      <c r="M281" s="53" t="str">
        <f>IFERROR(VLOOKUP($A281,'The List'!$B1:$AS727,20,FALSE)," ")</f>
        <v xml:space="preserve"> </v>
      </c>
      <c r="N281" s="53" t="str">
        <f>IFERROR(VLOOKUP($A281,'The List'!$B1:$AS727,21,FALSE)," ")</f>
        <v xml:space="preserve"> </v>
      </c>
      <c r="O281" s="53" t="str">
        <f>IFERROR(VLOOKUP($A281,'The List'!$B1:$AS727,22,FALSE)," ")</f>
        <v xml:space="preserve"> </v>
      </c>
      <c r="P281" s="53" t="str">
        <f>IFERROR(VLOOKUP($A281,'The List'!$B1:$AS727,23,FALSE)," ")</f>
        <v xml:space="preserve"> </v>
      </c>
      <c r="Q281" s="53" t="str">
        <f>IFERROR(VLOOKUP($A281,'The List'!$B1:$AS727,24,FALSE)," ")</f>
        <v xml:space="preserve"> </v>
      </c>
      <c r="R281" s="53" t="str">
        <f>IFERROR(VLOOKUP($A281,'The List'!$B1:$AS727,25,FALSE)," ")</f>
        <v xml:space="preserve"> </v>
      </c>
      <c r="S281" s="53" t="str">
        <f>IFERROR(VLOOKUP($A281,'The List'!$B1:$AS727,26,FALSE)," ")</f>
        <v xml:space="preserve"> </v>
      </c>
      <c r="T281" s="53" t="str">
        <f>IFERROR(VLOOKUP($A281,'The List'!$B1:$AS727,27,FALSE)," ")</f>
        <v xml:space="preserve"> </v>
      </c>
      <c r="U281" s="53" t="str">
        <f>IFERROR(VLOOKUP($A281,'The List'!$B1:$AS727,28,FALSE)," ")</f>
        <v xml:space="preserve"> </v>
      </c>
      <c r="V281" s="53" t="str">
        <f>IFERROR(VLOOKUP($A281,'The List'!$B1:$AS727,29,FALSE)," ")</f>
        <v xml:space="preserve"> </v>
      </c>
      <c r="W281" s="53" t="str">
        <f>IFERROR(VLOOKUP($A281,'The List'!$B1:$AS727,30,FALSE)," ")</f>
        <v xml:space="preserve"> </v>
      </c>
      <c r="X281" s="53" t="str">
        <f>IFERROR(VLOOKUP($A281,'The List'!$B1:$AS727,31,FALSE)," ")</f>
        <v xml:space="preserve"> </v>
      </c>
      <c r="Y281" s="53" t="str">
        <f>IFERROR(VLOOKUP($A281,'The List'!$B1:$AS727,32,FALSE)," ")</f>
        <v xml:space="preserve"> </v>
      </c>
      <c r="Z281" s="53" t="str">
        <f>IFERROR(VLOOKUP($A281,'The List'!$B1:$AS727,33,FALSE)," ")</f>
        <v xml:space="preserve"> </v>
      </c>
      <c r="AA281" s="55"/>
      <c r="AB281" s="60"/>
      <c r="AC281" s="60"/>
      <c r="AD281" s="60"/>
      <c r="AE281" s="60"/>
      <c r="AF281" s="60"/>
    </row>
    <row r="282" spans="1:32" ht="21.25" customHeight="1" x14ac:dyDescent="0.15">
      <c r="A282" s="72"/>
      <c r="B282" s="73" t="str">
        <f>IFERROR(VLOOKUP($A282,'The List'!$B1:$AS727,3,FALSE)," ")</f>
        <v xml:space="preserve"> </v>
      </c>
      <c r="C282" s="74" t="str">
        <f>IFERROR(VLOOKUP($A282,'The List'!$B1:$AS727,4,FALSE)," ")</f>
        <v xml:space="preserve"> </v>
      </c>
      <c r="D282" s="75" t="str">
        <f>IFERROR(VLOOKUP($A282,'The List'!$B1:$AS727,5,FALSE)," ")</f>
        <v xml:space="preserve"> </v>
      </c>
      <c r="E282" s="75" t="str">
        <f>IFERROR(VLOOKUP($A282,'The List'!$B1:$AS727,6,FALSE)," ")</f>
        <v xml:space="preserve"> </v>
      </c>
      <c r="F282" s="76" t="str">
        <f>IFERROR(VLOOKUP($A282,'The List'!$B1:$AS727,8,FALSE)," ")</f>
        <v xml:space="preserve"> </v>
      </c>
      <c r="G282" s="76" t="str">
        <f>IFERROR(VLOOKUP($A282,'The List'!$B1:$AS727,10,FALSE)," ")</f>
        <v xml:space="preserve"> </v>
      </c>
      <c r="H282" s="77"/>
      <c r="I282" s="78" t="str">
        <f>IFERROR(VLOOKUP($A282,'The List'!$B1:$AS727,16,FALSE)," ")</f>
        <v xml:space="preserve"> </v>
      </c>
      <c r="J282" s="78" t="str">
        <f>IFERROR(VLOOKUP($A282,'The List'!$B1:$AS727,17,FALSE)," ")</f>
        <v xml:space="preserve"> </v>
      </c>
      <c r="K282" s="78" t="str">
        <f>IFERROR(VLOOKUP($A282,'The List'!$B1:$AS727,18,FALSE)," ")</f>
        <v xml:space="preserve"> </v>
      </c>
      <c r="L282" s="78" t="str">
        <f>IFERROR(VLOOKUP($A282,'The List'!$B1:$AS727,19,FALSE)," ")</f>
        <v xml:space="preserve"> </v>
      </c>
      <c r="M282" s="78" t="str">
        <f>IFERROR(VLOOKUP($A282,'The List'!$B1:$AS727,20,FALSE)," ")</f>
        <v xml:space="preserve"> </v>
      </c>
      <c r="N282" s="78" t="str">
        <f>IFERROR(VLOOKUP($A282,'The List'!$B1:$AS727,21,FALSE)," ")</f>
        <v xml:space="preserve"> </v>
      </c>
      <c r="O282" s="78" t="str">
        <f>IFERROR(VLOOKUP($A282,'The List'!$B1:$AS727,22,FALSE)," ")</f>
        <v xml:space="preserve"> </v>
      </c>
      <c r="P282" s="78" t="str">
        <f>IFERROR(VLOOKUP($A282,'The List'!$B1:$AS727,23,FALSE)," ")</f>
        <v xml:space="preserve"> </v>
      </c>
      <c r="Q282" s="78" t="str">
        <f>IFERROR(VLOOKUP($A282,'The List'!$B1:$AS727,24,FALSE)," ")</f>
        <v xml:space="preserve"> </v>
      </c>
      <c r="R282" s="78" t="str">
        <f>IFERROR(VLOOKUP($A282,'The List'!$B1:$AS727,25,FALSE)," ")</f>
        <v xml:space="preserve"> </v>
      </c>
      <c r="S282" s="78" t="str">
        <f>IFERROR(VLOOKUP($A282,'The List'!$B1:$AS727,26,FALSE)," ")</f>
        <v xml:space="preserve"> </v>
      </c>
      <c r="T282" s="78" t="str">
        <f>IFERROR(VLOOKUP($A282,'The List'!$B1:$AS727,27,FALSE)," ")</f>
        <v xml:space="preserve"> </v>
      </c>
      <c r="U282" s="78" t="str">
        <f>IFERROR(VLOOKUP($A282,'The List'!$B1:$AS727,28,FALSE)," ")</f>
        <v xml:space="preserve"> </v>
      </c>
      <c r="V282" s="78" t="str">
        <f>IFERROR(VLOOKUP($A282,'The List'!$B1:$AS727,29,FALSE)," ")</f>
        <v xml:space="preserve"> </v>
      </c>
      <c r="W282" s="78" t="str">
        <f>IFERROR(VLOOKUP($A282,'The List'!$B1:$AS727,30,FALSE)," ")</f>
        <v xml:space="preserve"> </v>
      </c>
      <c r="X282" s="78" t="str">
        <f>IFERROR(VLOOKUP($A282,'The List'!$B1:$AS727,31,FALSE)," ")</f>
        <v xml:space="preserve"> </v>
      </c>
      <c r="Y282" s="78" t="str">
        <f>IFERROR(VLOOKUP($A282,'The List'!$B1:$AS727,32,FALSE)," ")</f>
        <v xml:space="preserve"> </v>
      </c>
      <c r="Z282" s="78" t="str">
        <f>IFERROR(VLOOKUP($A282,'The List'!$B1:$AS727,33,FALSE)," ")</f>
        <v xml:space="preserve"> </v>
      </c>
      <c r="AA282" s="55"/>
      <c r="AB282" s="60"/>
      <c r="AC282" s="60"/>
      <c r="AD282" s="60"/>
      <c r="AE282" s="60"/>
      <c r="AF282" s="60"/>
    </row>
    <row r="283" spans="1:32" ht="21.25" customHeight="1" x14ac:dyDescent="0.15">
      <c r="A283" s="79"/>
      <c r="B283" s="80"/>
      <c r="C283" s="81"/>
      <c r="D283" s="82"/>
      <c r="E283" s="117" t="str">
        <f>IFERROR(AVERAGE(E263:E282)," ")</f>
        <v xml:space="preserve"> </v>
      </c>
      <c r="F283" s="84">
        <f>SUM(F263:F282)</f>
        <v>0</v>
      </c>
      <c r="G283" s="84">
        <f>SUM(G263:G282)</f>
        <v>0</v>
      </c>
      <c r="H283" s="85"/>
      <c r="I283" s="86">
        <f>SUM(I263:I282)</f>
        <v>0</v>
      </c>
      <c r="J283" s="85" t="e">
        <f>AVERAGE(J263:J282)</f>
        <v>#DIV/0!</v>
      </c>
      <c r="K283" s="86">
        <f t="shared" ref="K283:Y283" si="18">SUM(K263:K282)</f>
        <v>0</v>
      </c>
      <c r="L283" s="86">
        <f t="shared" si="18"/>
        <v>0</v>
      </c>
      <c r="M283" s="86">
        <f t="shared" si="18"/>
        <v>0</v>
      </c>
      <c r="N283" s="86">
        <f t="shared" si="18"/>
        <v>0</v>
      </c>
      <c r="O283" s="86">
        <f t="shared" si="18"/>
        <v>0</v>
      </c>
      <c r="P283" s="86">
        <f t="shared" si="18"/>
        <v>0</v>
      </c>
      <c r="Q283" s="86">
        <f t="shared" si="18"/>
        <v>0</v>
      </c>
      <c r="R283" s="86">
        <f t="shared" si="18"/>
        <v>0</v>
      </c>
      <c r="S283" s="86">
        <f t="shared" si="18"/>
        <v>0</v>
      </c>
      <c r="T283" s="86">
        <f t="shared" si="18"/>
        <v>0</v>
      </c>
      <c r="U283" s="86">
        <f t="shared" si="18"/>
        <v>0</v>
      </c>
      <c r="V283" s="86">
        <f t="shared" si="18"/>
        <v>0</v>
      </c>
      <c r="W283" s="86">
        <f t="shared" si="18"/>
        <v>0</v>
      </c>
      <c r="X283" s="86">
        <f t="shared" si="18"/>
        <v>0</v>
      </c>
      <c r="Y283" s="86">
        <f t="shared" si="18"/>
        <v>0</v>
      </c>
      <c r="Z283" s="87">
        <f>IFERROR(X283/(X283+Y283),0)</f>
        <v>0</v>
      </c>
      <c r="AA283" s="55"/>
      <c r="AB283" s="88"/>
      <c r="AC283" s="88"/>
      <c r="AD283" s="88"/>
      <c r="AE283" s="88"/>
      <c r="AF283" s="88"/>
    </row>
    <row r="284" spans="1:32" ht="21.25" customHeight="1" x14ac:dyDescent="0.15">
      <c r="A284" s="89"/>
      <c r="B284" s="90"/>
      <c r="C284" s="91"/>
      <c r="D284" s="11"/>
      <c r="E284" s="11"/>
      <c r="F284" s="92"/>
      <c r="G284" s="93"/>
      <c r="H284" s="94"/>
      <c r="I284" s="9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60"/>
      <c r="AC284" s="60"/>
      <c r="AD284" s="60"/>
      <c r="AE284" s="60"/>
      <c r="AF284" s="60"/>
    </row>
    <row r="285" spans="1:32" ht="21.25" customHeight="1" x14ac:dyDescent="0.15">
      <c r="A285" s="24" t="s">
        <v>66</v>
      </c>
      <c r="B285" s="174" t="s">
        <v>68</v>
      </c>
      <c r="C285" s="165"/>
      <c r="D285" s="96" t="s">
        <v>69</v>
      </c>
      <c r="E285" s="96" t="s">
        <v>70</v>
      </c>
      <c r="F285" s="97" t="s">
        <v>72</v>
      </c>
      <c r="G285" s="97" t="s">
        <v>74</v>
      </c>
      <c r="H285" s="98"/>
      <c r="I285" s="99" t="s">
        <v>79</v>
      </c>
      <c r="J285" s="99" t="s">
        <v>97</v>
      </c>
      <c r="K285" s="99" t="s">
        <v>98</v>
      </c>
      <c r="L285" s="99" t="s">
        <v>99</v>
      </c>
      <c r="M285" s="99" t="s">
        <v>100</v>
      </c>
      <c r="N285" s="99" t="s">
        <v>101</v>
      </c>
      <c r="O285" s="99" t="s">
        <v>102</v>
      </c>
      <c r="P285" s="99" t="s">
        <v>103</v>
      </c>
      <c r="Q285" s="99" t="s">
        <v>104</v>
      </c>
      <c r="R285" s="55"/>
      <c r="S285" s="55"/>
      <c r="T285" s="55"/>
      <c r="U285" s="174" t="s">
        <v>850</v>
      </c>
      <c r="V285" s="175"/>
      <c r="W285" s="175"/>
      <c r="X285" s="174" t="s">
        <v>851</v>
      </c>
      <c r="Y285" s="175"/>
      <c r="Z285" s="175"/>
      <c r="AA285" s="55"/>
      <c r="AB285" s="55"/>
      <c r="AC285" s="55"/>
      <c r="AD285" s="55"/>
      <c r="AE285" s="55"/>
      <c r="AF285" s="55"/>
    </row>
    <row r="286" spans="1:32" ht="21.25" customHeight="1" x14ac:dyDescent="0.15">
      <c r="A286" s="118"/>
      <c r="B286" s="101" t="str">
        <f>IFERROR(VLOOKUP($A286,'The List'!$B1:$AS727,3,FALSE)," ")</f>
        <v xml:space="preserve"> </v>
      </c>
      <c r="C286" s="119" t="str">
        <f>IFERROR(VLOOKUP($A286,'The List'!$B1:$AS727,4,FALSE)," ")</f>
        <v xml:space="preserve"> </v>
      </c>
      <c r="D286" s="103" t="str">
        <f>IFERROR(VLOOKUP($A286,'The List'!$B1:$AS727,5,FALSE)," ")</f>
        <v xml:space="preserve"> </v>
      </c>
      <c r="E286" s="103" t="str">
        <f>IFERROR(VLOOKUP($A286,'The List'!$B1:$AS727,6,FALSE)," ")</f>
        <v xml:space="preserve"> </v>
      </c>
      <c r="F286" s="120" t="str">
        <f>IFERROR(VLOOKUP($A286,'The List'!$B1:$AS727,8,FALSE)," ")</f>
        <v xml:space="preserve"> </v>
      </c>
      <c r="G286" s="120" t="str">
        <f>IFERROR(VLOOKUP($A286,'The List'!$B1:$AS727,10,FALSE)," ")</f>
        <v xml:space="preserve"> </v>
      </c>
      <c r="H286" s="106"/>
      <c r="I286" s="121" t="str">
        <f>IFERROR(VLOOKUP($A286,'The List'!$B1:$AS727,35,FALSE)," ")</f>
        <v xml:space="preserve"> </v>
      </c>
      <c r="J286" s="121" t="str">
        <f>IFERROR(VLOOKUP($A286,'The List'!$B1:$AS727,36,FALSE)," ")</f>
        <v xml:space="preserve"> </v>
      </c>
      <c r="K286" s="121" t="str">
        <f>IFERROR(VLOOKUP($A286,'The List'!$B1:$AS727,37,FALSE)," ")</f>
        <v xml:space="preserve"> </v>
      </c>
      <c r="L286" s="121" t="str">
        <f>IFERROR(VLOOKUP($A286,'The List'!$B1:$AS727,38,FALSE)," ")</f>
        <v xml:space="preserve"> </v>
      </c>
      <c r="M286" s="121" t="str">
        <f>IFERROR(VLOOKUP($A286,'The List'!$B1:$AS727,39,FALSE)," ")</f>
        <v xml:space="preserve"> </v>
      </c>
      <c r="N286" s="121" t="str">
        <f>IFERROR(VLOOKUP($A286,'The List'!$B1:$AS727,40,FALSE)," ")</f>
        <v xml:space="preserve"> </v>
      </c>
      <c r="O286" s="121" t="str">
        <f>IFERROR(VLOOKUP($A286,'The List'!$B1:$AS727,41,FALSE)," ")</f>
        <v xml:space="preserve"> </v>
      </c>
      <c r="P286" s="121" t="str">
        <f>IFERROR(VLOOKUP($A286,'The List'!$B1:$AS727,42,FALSE)," ")</f>
        <v xml:space="preserve"> </v>
      </c>
      <c r="Q286" s="121" t="str">
        <f>IFERROR(VLOOKUP($A286,'The List'!$B1:$AS727,43,FALSE)," ")</f>
        <v xml:space="preserve"> </v>
      </c>
      <c r="R286" s="55"/>
      <c r="S286" s="55"/>
      <c r="T286" s="110" t="str">
        <f>A262</f>
        <v>TEAM 10</v>
      </c>
      <c r="U286" s="176">
        <f>F283+F289</f>
        <v>0</v>
      </c>
      <c r="V286" s="165"/>
      <c r="W286" s="165"/>
      <c r="X286" s="176">
        <f>G289+G283</f>
        <v>0</v>
      </c>
      <c r="Y286" s="165"/>
      <c r="Z286" s="165"/>
      <c r="AA286" s="55"/>
      <c r="AB286" s="55"/>
      <c r="AC286" s="55"/>
      <c r="AD286" s="55"/>
      <c r="AE286" s="55"/>
      <c r="AF286" s="55"/>
    </row>
    <row r="287" spans="1:32" ht="21.25" customHeight="1" x14ac:dyDescent="0.15">
      <c r="A287" s="23"/>
      <c r="B287" s="111" t="str">
        <f>IFERROR(VLOOKUP($A287,'The List'!$B1:$AS727,3,FALSE)," ")</f>
        <v xml:space="preserve"> </v>
      </c>
      <c r="C287" s="112" t="str">
        <f>IFERROR(VLOOKUP($A287,'The List'!$B1:$AS727,4,FALSE)," ")</f>
        <v xml:space="preserve"> </v>
      </c>
      <c r="D287" s="35" t="str">
        <f>IFERROR(VLOOKUP($A287,'The List'!$B1:$AS727,5,FALSE)," ")</f>
        <v xml:space="preserve"> </v>
      </c>
      <c r="E287" s="35" t="str">
        <f>IFERROR(VLOOKUP($A287,'The List'!$B1:$AS727,6,FALSE)," ")</f>
        <v xml:space="preserve"> </v>
      </c>
      <c r="F287" s="52" t="str">
        <f>IFERROR(VLOOKUP($A287,'The List'!$B1:$AS727,8,FALSE)," ")</f>
        <v xml:space="preserve"> </v>
      </c>
      <c r="G287" s="52" t="str">
        <f>IFERROR(VLOOKUP($A287,'The List'!$B1:$AS727,10,FALSE)," ")</f>
        <v xml:space="preserve"> </v>
      </c>
      <c r="H287" s="39"/>
      <c r="I287" s="53" t="str">
        <f>IFERROR(VLOOKUP($A287,'The List'!$B1:$AS727,35,FALSE)," ")</f>
        <v xml:space="preserve"> </v>
      </c>
      <c r="J287" s="53" t="str">
        <f>IFERROR(VLOOKUP($A287,'The List'!$B1:$AS727,36,FALSE)," ")</f>
        <v xml:space="preserve"> </v>
      </c>
      <c r="K287" s="53" t="str">
        <f>IFERROR(VLOOKUP($A287,'The List'!$B1:$AS727,37,FALSE)," ")</f>
        <v xml:space="preserve"> </v>
      </c>
      <c r="L287" s="53" t="str">
        <f>IFERROR(VLOOKUP($A287,'The List'!$B1:$AS727,38,FALSE)," ")</f>
        <v xml:space="preserve"> </v>
      </c>
      <c r="M287" s="53" t="str">
        <f>IFERROR(VLOOKUP($A287,'The List'!$B1:$AS727,39,FALSE)," ")</f>
        <v xml:space="preserve"> </v>
      </c>
      <c r="N287" s="53" t="str">
        <f>IFERROR(VLOOKUP($A287,'The List'!$B1:$AS727,40,FALSE)," ")</f>
        <v xml:space="preserve"> </v>
      </c>
      <c r="O287" s="53" t="str">
        <f>IFERROR(VLOOKUP($A287,'The List'!$B1:$AS727,41,FALSE)," ")</f>
        <v xml:space="preserve"> </v>
      </c>
      <c r="P287" s="53" t="str">
        <f>IFERROR(VLOOKUP($A287,'The List'!$B1:$AS727,42,FALSE)," ")</f>
        <v xml:space="preserve"> </v>
      </c>
      <c r="Q287" s="53" t="str">
        <f>IFERROR(VLOOKUP($A287,'The List'!$B1:$AS727,43,FALSE)," ")</f>
        <v xml:space="preserve"> </v>
      </c>
      <c r="R287" s="55"/>
      <c r="S287" s="55"/>
      <c r="T287" s="55"/>
      <c r="U287" s="165"/>
      <c r="V287" s="165"/>
      <c r="W287" s="165"/>
      <c r="X287" s="165"/>
      <c r="Y287" s="165"/>
      <c r="Z287" s="165"/>
      <c r="AA287" s="55"/>
      <c r="AB287" s="55"/>
      <c r="AC287" s="55"/>
      <c r="AD287" s="55"/>
      <c r="AE287" s="55"/>
      <c r="AF287" s="55"/>
    </row>
    <row r="288" spans="1:32" ht="21.25" customHeight="1" x14ac:dyDescent="0.15">
      <c r="A288" s="72"/>
      <c r="B288" s="113" t="str">
        <f>IFERROR(VLOOKUP($A288,'The List'!$B1:$AS727,3,FALSE)," ")</f>
        <v xml:space="preserve"> </v>
      </c>
      <c r="C288" s="114" t="str">
        <f>IFERROR(VLOOKUP($A288,'The List'!$B1:$AS727,4,FALSE)," ")</f>
        <v xml:space="preserve"> </v>
      </c>
      <c r="D288" s="75" t="str">
        <f>IFERROR(VLOOKUP($A288,'The List'!$B1:$AS727,5,FALSE)," ")</f>
        <v xml:space="preserve"> </v>
      </c>
      <c r="E288" s="75" t="str">
        <f>IFERROR(VLOOKUP($A288,'The List'!$B1:$AS727,6,FALSE)," ")</f>
        <v xml:space="preserve"> </v>
      </c>
      <c r="F288" s="76" t="str">
        <f>IFERROR(VLOOKUP($A288,'The List'!$B1:$AS727,8,FALSE)," ")</f>
        <v xml:space="preserve"> </v>
      </c>
      <c r="G288" s="76" t="str">
        <f>IFERROR(VLOOKUP($A288,'The List'!$B1:$AS727,10,FALSE)," ")</f>
        <v xml:space="preserve"> </v>
      </c>
      <c r="H288" s="77"/>
      <c r="I288" s="78" t="str">
        <f>IFERROR(VLOOKUP($A288,'The List'!$B1:$AS727,35,FALSE)," ")</f>
        <v xml:space="preserve"> </v>
      </c>
      <c r="J288" s="78" t="str">
        <f>IFERROR(VLOOKUP($A288,'The List'!$B1:$AS727,36,FALSE)," ")</f>
        <v xml:space="preserve"> </v>
      </c>
      <c r="K288" s="78" t="str">
        <f>IFERROR(VLOOKUP($A288,'The List'!$B1:$AS727,37,FALSE)," ")</f>
        <v xml:space="preserve"> </v>
      </c>
      <c r="L288" s="78" t="str">
        <f>IFERROR(VLOOKUP($A288,'The List'!$B1:$AS727,38,FALSE)," ")</f>
        <v xml:space="preserve"> </v>
      </c>
      <c r="M288" s="78" t="str">
        <f>IFERROR(VLOOKUP($A288,'The List'!$B1:$AS727,39,FALSE)," ")</f>
        <v xml:space="preserve"> </v>
      </c>
      <c r="N288" s="78" t="str">
        <f>IFERROR(VLOOKUP($A288,'The List'!$B1:$AS727,40,FALSE)," ")</f>
        <v xml:space="preserve"> </v>
      </c>
      <c r="O288" s="78" t="str">
        <f>IFERROR(VLOOKUP($A288,'The List'!$B1:$AS727,41,FALSE)," ")</f>
        <v xml:space="preserve"> </v>
      </c>
      <c r="P288" s="78" t="str">
        <f>IFERROR(VLOOKUP($A288,'The List'!$B1:$AS727,42,FALSE)," ")</f>
        <v xml:space="preserve"> </v>
      </c>
      <c r="Q288" s="78" t="str">
        <f>IFERROR(VLOOKUP($A288,'The List'!$B1:$AS727,43,FALSE)," ")</f>
        <v xml:space="preserve"> </v>
      </c>
      <c r="R288" s="55"/>
      <c r="S288" s="55"/>
      <c r="T288" s="55"/>
      <c r="U288" s="165"/>
      <c r="V288" s="165"/>
      <c r="W288" s="165"/>
      <c r="X288" s="165"/>
      <c r="Y288" s="165"/>
      <c r="Z288" s="165"/>
      <c r="AA288" s="55"/>
      <c r="AB288" s="55"/>
      <c r="AC288" s="55"/>
      <c r="AD288" s="55"/>
      <c r="AE288" s="55"/>
      <c r="AF288" s="55"/>
    </row>
    <row r="289" spans="1:32" ht="21.25" customHeight="1" x14ac:dyDescent="0.15">
      <c r="A289" s="79"/>
      <c r="B289" s="80"/>
      <c r="C289" s="81"/>
      <c r="D289" s="82"/>
      <c r="E289" s="117" t="str">
        <f>IFERROR(AVERAGE(E286:E288)," ")</f>
        <v xml:space="preserve"> </v>
      </c>
      <c r="F289" s="84">
        <f>SUM(F286:F288)</f>
        <v>0</v>
      </c>
      <c r="G289" s="84">
        <f>SUM(G286:G288)</f>
        <v>0</v>
      </c>
      <c r="H289" s="85"/>
      <c r="I289" s="86">
        <f t="shared" ref="I289:O289" si="19">SUM(I286:I288)</f>
        <v>0</v>
      </c>
      <c r="J289" s="85">
        <f t="shared" si="19"/>
        <v>0</v>
      </c>
      <c r="K289" s="86">
        <f t="shared" si="19"/>
        <v>0</v>
      </c>
      <c r="L289" s="86">
        <f t="shared" si="19"/>
        <v>0</v>
      </c>
      <c r="M289" s="86">
        <f t="shared" si="19"/>
        <v>0</v>
      </c>
      <c r="N289" s="86">
        <f t="shared" si="19"/>
        <v>0</v>
      </c>
      <c r="O289" s="86">
        <f t="shared" si="19"/>
        <v>0</v>
      </c>
      <c r="P289" s="115" t="e">
        <f>1-(O289/(N289+O289))</f>
        <v>#DIV/0!</v>
      </c>
      <c r="Q289" s="116" t="e">
        <f>O289/I289</f>
        <v>#DIV/0!</v>
      </c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</row>
    <row r="290" spans="1:32" ht="70.75" customHeight="1" x14ac:dyDescent="0.15">
      <c r="A290" s="89"/>
      <c r="B290" s="90"/>
      <c r="C290" s="91"/>
      <c r="D290" s="11"/>
      <c r="E290" s="11"/>
      <c r="F290" s="92"/>
      <c r="G290" s="93"/>
      <c r="H290" s="94"/>
      <c r="I290" s="9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60"/>
      <c r="AB290" s="60"/>
      <c r="AC290" s="60"/>
      <c r="AD290" s="60"/>
      <c r="AE290" s="60"/>
      <c r="AF290" s="60"/>
    </row>
    <row r="291" spans="1:32" ht="21.25" customHeight="1" x14ac:dyDescent="0.15">
      <c r="A291" s="25" t="s">
        <v>844</v>
      </c>
      <c r="B291" s="173" t="s">
        <v>68</v>
      </c>
      <c r="C291" s="170"/>
      <c r="D291" s="26" t="s">
        <v>69</v>
      </c>
      <c r="E291" s="26" t="s">
        <v>70</v>
      </c>
      <c r="F291" s="27" t="s">
        <v>72</v>
      </c>
      <c r="G291" s="27" t="s">
        <v>74</v>
      </c>
      <c r="H291" s="28"/>
      <c r="I291" s="30" t="s">
        <v>79</v>
      </c>
      <c r="J291" s="30" t="s">
        <v>80</v>
      </c>
      <c r="K291" s="30" t="s">
        <v>81</v>
      </c>
      <c r="L291" s="30" t="s">
        <v>82</v>
      </c>
      <c r="M291" s="30" t="s">
        <v>83</v>
      </c>
      <c r="N291" s="30" t="s">
        <v>84</v>
      </c>
      <c r="O291" s="30" t="s">
        <v>85</v>
      </c>
      <c r="P291" s="30" t="s">
        <v>86</v>
      </c>
      <c r="Q291" s="30" t="s">
        <v>87</v>
      </c>
      <c r="R291" s="30" t="s">
        <v>88</v>
      </c>
      <c r="S291" s="30" t="s">
        <v>89</v>
      </c>
      <c r="T291" s="30" t="s">
        <v>90</v>
      </c>
      <c r="U291" s="30" t="s">
        <v>91</v>
      </c>
      <c r="V291" s="30" t="s">
        <v>92</v>
      </c>
      <c r="W291" s="30" t="s">
        <v>93</v>
      </c>
      <c r="X291" s="30" t="s">
        <v>94</v>
      </c>
      <c r="Y291" s="30" t="s">
        <v>95</v>
      </c>
      <c r="Z291" s="30" t="s">
        <v>96</v>
      </c>
      <c r="AA291" s="55"/>
      <c r="AB291" s="56"/>
      <c r="AC291" s="56"/>
      <c r="AD291" s="56"/>
      <c r="AE291" s="56"/>
      <c r="AF291" s="56"/>
    </row>
    <row r="292" spans="1:32" ht="21.25" customHeight="1" x14ac:dyDescent="0.15">
      <c r="A292" s="23"/>
      <c r="B292" s="57" t="str">
        <f>IFERROR(VLOOKUP($A292,'The List'!$B1:$AS727,3,FALSE)," ")</f>
        <v xml:space="preserve"> </v>
      </c>
      <c r="C292" s="61" t="str">
        <f>IFERROR(VLOOKUP($A292,'The List'!$B1:$AS727,4,FALSE)," ")</f>
        <v xml:space="preserve"> </v>
      </c>
      <c r="D292" s="35" t="str">
        <f>IFERROR(VLOOKUP($A292,'The List'!$B1:$AS727,5,FALSE)," ")</f>
        <v xml:space="preserve"> </v>
      </c>
      <c r="E292" s="35" t="str">
        <f>IFERROR(VLOOKUP($A292,'The List'!$B1:$AS727,6,FALSE)," ")</f>
        <v xml:space="preserve"> </v>
      </c>
      <c r="F292" s="52" t="str">
        <f>IFERROR(VLOOKUP($A292,'The List'!$B1:$AS727,8,FALSE)," ")</f>
        <v xml:space="preserve"> </v>
      </c>
      <c r="G292" s="52" t="str">
        <f>IFERROR(VLOOKUP($A292,'The List'!$B1:$AS727,10,FALSE)," ")</f>
        <v xml:space="preserve"> </v>
      </c>
      <c r="H292" s="39"/>
      <c r="I292" s="53" t="str">
        <f>IFERROR(VLOOKUP($A292,'The List'!$B1:$AS727,16,FALSE)," ")</f>
        <v xml:space="preserve"> </v>
      </c>
      <c r="J292" s="53" t="str">
        <f>IFERROR(VLOOKUP($A292,'The List'!$B1:$AS727,17,FALSE)," ")</f>
        <v xml:space="preserve"> </v>
      </c>
      <c r="K292" s="53" t="str">
        <f>IFERROR(VLOOKUP($A292,'The List'!$B1:$AS727,18,FALSE)," ")</f>
        <v xml:space="preserve"> </v>
      </c>
      <c r="L292" s="53" t="str">
        <f>IFERROR(VLOOKUP($A292,'The List'!$B1:$AS727,19,FALSE)," ")</f>
        <v xml:space="preserve"> </v>
      </c>
      <c r="M292" s="53" t="str">
        <f>IFERROR(VLOOKUP($A292,'The List'!$B1:$AS727,20,FALSE)," ")</f>
        <v xml:space="preserve"> </v>
      </c>
      <c r="N292" s="53" t="str">
        <f>IFERROR(VLOOKUP($A292,'The List'!$B1:$AS727,21,FALSE)," ")</f>
        <v xml:space="preserve"> </v>
      </c>
      <c r="O292" s="53" t="str">
        <f>IFERROR(VLOOKUP($A292,'The List'!$B1:$AS727,22,FALSE)," ")</f>
        <v xml:space="preserve"> </v>
      </c>
      <c r="P292" s="53" t="str">
        <f>IFERROR(VLOOKUP($A292,'The List'!$B1:$AS727,23,FALSE)," ")</f>
        <v xml:space="preserve"> </v>
      </c>
      <c r="Q292" s="53" t="str">
        <f>IFERROR(VLOOKUP($A292,'The List'!$B1:$AS727,24,FALSE)," ")</f>
        <v xml:space="preserve"> </v>
      </c>
      <c r="R292" s="53" t="str">
        <f>IFERROR(VLOOKUP($A292,'The List'!$B1:$AS727,25,FALSE)," ")</f>
        <v xml:space="preserve"> </v>
      </c>
      <c r="S292" s="53" t="str">
        <f>IFERROR(VLOOKUP($A292,'The List'!$B1:$AS727,26,FALSE)," ")</f>
        <v xml:space="preserve"> </v>
      </c>
      <c r="T292" s="53" t="str">
        <f>IFERROR(VLOOKUP($A292,'The List'!$B1:$AS727,27,FALSE)," ")</f>
        <v xml:space="preserve"> </v>
      </c>
      <c r="U292" s="53" t="str">
        <f>IFERROR(VLOOKUP($A292,'The List'!$B1:$AS727,28,FALSE)," ")</f>
        <v xml:space="preserve"> </v>
      </c>
      <c r="V292" s="53" t="str">
        <f>IFERROR(VLOOKUP($A292,'The List'!$B1:$AS727,29,FALSE)," ")</f>
        <v xml:space="preserve"> </v>
      </c>
      <c r="W292" s="53" t="str">
        <f>IFERROR(VLOOKUP($A292,'The List'!$B1:$AS727,30,FALSE)," ")</f>
        <v xml:space="preserve"> </v>
      </c>
      <c r="X292" s="53" t="str">
        <f>IFERROR(VLOOKUP($A292,'The List'!$B1:$AS727,31,FALSE)," ")</f>
        <v xml:space="preserve"> </v>
      </c>
      <c r="Y292" s="53" t="str">
        <f>IFERROR(VLOOKUP($A292,'The List'!$B1:$AS727,32,FALSE)," ")</f>
        <v xml:space="preserve"> </v>
      </c>
      <c r="Z292" s="53" t="str">
        <f>IFERROR(VLOOKUP($A292,'The List'!$B1:$AS727,33,FALSE)," ")</f>
        <v xml:space="preserve"> </v>
      </c>
      <c r="AA292" s="55"/>
      <c r="AB292" s="60"/>
      <c r="AC292" s="60"/>
      <c r="AD292" s="60"/>
      <c r="AE292" s="60"/>
      <c r="AF292" s="60"/>
    </row>
    <row r="293" spans="1:32" ht="21.25" customHeight="1" x14ac:dyDescent="0.15">
      <c r="A293" s="23"/>
      <c r="B293" s="57" t="str">
        <f>IFERROR(VLOOKUP($A293,'The List'!$B1:$AS727,3,FALSE)," ")</f>
        <v xml:space="preserve"> </v>
      </c>
      <c r="C293" s="61" t="str">
        <f>IFERROR(VLOOKUP($A293,'The List'!$B1:$AS727,4,FALSE)," ")</f>
        <v xml:space="preserve"> </v>
      </c>
      <c r="D293" s="35" t="str">
        <f>IFERROR(VLOOKUP($A293,'The List'!$B1:$AS727,5,FALSE)," ")</f>
        <v xml:space="preserve"> </v>
      </c>
      <c r="E293" s="35" t="str">
        <f>IFERROR(VLOOKUP($A293,'The List'!$B1:$AS727,6,FALSE)," ")</f>
        <v xml:space="preserve"> </v>
      </c>
      <c r="F293" s="52" t="str">
        <f>IFERROR(VLOOKUP($A293,'The List'!$B1:$AS727,8,FALSE)," ")</f>
        <v xml:space="preserve"> </v>
      </c>
      <c r="G293" s="52" t="str">
        <f>IFERROR(VLOOKUP($A293,'The List'!$B1:$AS727,10,FALSE)," ")</f>
        <v xml:space="preserve"> </v>
      </c>
      <c r="H293" s="39"/>
      <c r="I293" s="53" t="str">
        <f>IFERROR(VLOOKUP($A293,'The List'!$B1:$AS727,16,FALSE)," ")</f>
        <v xml:space="preserve"> </v>
      </c>
      <c r="J293" s="53" t="str">
        <f>IFERROR(VLOOKUP($A293,'The List'!$B1:$AS727,17,FALSE)," ")</f>
        <v xml:space="preserve"> </v>
      </c>
      <c r="K293" s="53" t="str">
        <f>IFERROR(VLOOKUP($A293,'The List'!$B1:$AS727,18,FALSE)," ")</f>
        <v xml:space="preserve"> </v>
      </c>
      <c r="L293" s="53" t="str">
        <f>IFERROR(VLOOKUP($A293,'The List'!$B1:$AS727,19,FALSE)," ")</f>
        <v xml:space="preserve"> </v>
      </c>
      <c r="M293" s="53" t="str">
        <f>IFERROR(VLOOKUP($A293,'The List'!$B1:$AS727,20,FALSE)," ")</f>
        <v xml:space="preserve"> </v>
      </c>
      <c r="N293" s="53" t="str">
        <f>IFERROR(VLOOKUP($A293,'The List'!$B1:$AS727,21,FALSE)," ")</f>
        <v xml:space="preserve"> </v>
      </c>
      <c r="O293" s="53" t="str">
        <f>IFERROR(VLOOKUP($A293,'The List'!$B1:$AS727,22,FALSE)," ")</f>
        <v xml:space="preserve"> </v>
      </c>
      <c r="P293" s="53" t="str">
        <f>IFERROR(VLOOKUP($A293,'The List'!$B1:$AS727,23,FALSE)," ")</f>
        <v xml:space="preserve"> </v>
      </c>
      <c r="Q293" s="53" t="str">
        <f>IFERROR(VLOOKUP($A293,'The List'!$B1:$AS727,24,FALSE)," ")</f>
        <v xml:space="preserve"> </v>
      </c>
      <c r="R293" s="53" t="str">
        <f>IFERROR(VLOOKUP($A293,'The List'!$B1:$AS727,25,FALSE)," ")</f>
        <v xml:space="preserve"> </v>
      </c>
      <c r="S293" s="53" t="str">
        <f>IFERROR(VLOOKUP($A293,'The List'!$B1:$AS727,26,FALSE)," ")</f>
        <v xml:space="preserve"> </v>
      </c>
      <c r="T293" s="53" t="str">
        <f>IFERROR(VLOOKUP($A293,'The List'!$B1:$AS727,27,FALSE)," ")</f>
        <v xml:space="preserve"> </v>
      </c>
      <c r="U293" s="53" t="str">
        <f>IFERROR(VLOOKUP($A293,'The List'!$B1:$AS727,28,FALSE)," ")</f>
        <v xml:space="preserve"> </v>
      </c>
      <c r="V293" s="53" t="str">
        <f>IFERROR(VLOOKUP($A293,'The List'!$B1:$AS727,29,FALSE)," ")</f>
        <v xml:space="preserve"> </v>
      </c>
      <c r="W293" s="53" t="str">
        <f>IFERROR(VLOOKUP($A293,'The List'!$B1:$AS727,30,FALSE)," ")</f>
        <v xml:space="preserve"> </v>
      </c>
      <c r="X293" s="53" t="str">
        <f>IFERROR(VLOOKUP($A293,'The List'!$B1:$AS727,31,FALSE)," ")</f>
        <v xml:space="preserve"> </v>
      </c>
      <c r="Y293" s="53" t="str">
        <f>IFERROR(VLOOKUP($A293,'The List'!$B1:$AS727,32,FALSE)," ")</f>
        <v xml:space="preserve"> </v>
      </c>
      <c r="Z293" s="53" t="str">
        <f>IFERROR(VLOOKUP($A293,'The List'!$B1:$AS727,33,FALSE)," ")</f>
        <v xml:space="preserve"> </v>
      </c>
      <c r="AA293" s="55"/>
      <c r="AB293" s="60"/>
      <c r="AC293" s="60"/>
      <c r="AD293" s="60"/>
      <c r="AE293" s="60"/>
      <c r="AF293" s="60"/>
    </row>
    <row r="294" spans="1:32" ht="21.25" customHeight="1" x14ac:dyDescent="0.15">
      <c r="A294" s="23"/>
      <c r="B294" s="57" t="str">
        <f>IFERROR(VLOOKUP($A294,'The List'!$B1:$AS727,3,FALSE)," ")</f>
        <v xml:space="preserve"> </v>
      </c>
      <c r="C294" s="61" t="str">
        <f>IFERROR(VLOOKUP($A294,'The List'!$B1:$AS727,4,FALSE)," ")</f>
        <v xml:space="preserve"> </v>
      </c>
      <c r="D294" s="35" t="str">
        <f>IFERROR(VLOOKUP($A294,'The List'!$B1:$AS727,5,FALSE)," ")</f>
        <v xml:space="preserve"> </v>
      </c>
      <c r="E294" s="35" t="str">
        <f>IFERROR(VLOOKUP($A294,'The List'!$B1:$AS727,6,FALSE)," ")</f>
        <v xml:space="preserve"> </v>
      </c>
      <c r="F294" s="52" t="str">
        <f>IFERROR(VLOOKUP($A294,'The List'!$B1:$AS727,8,FALSE)," ")</f>
        <v xml:space="preserve"> </v>
      </c>
      <c r="G294" s="52" t="str">
        <f>IFERROR(VLOOKUP($A294,'The List'!$B1:$AS727,10,FALSE)," ")</f>
        <v xml:space="preserve"> </v>
      </c>
      <c r="H294" s="39"/>
      <c r="I294" s="53" t="str">
        <f>IFERROR(VLOOKUP($A294,'The List'!$B1:$AS727,16,FALSE)," ")</f>
        <v xml:space="preserve"> </v>
      </c>
      <c r="J294" s="53" t="str">
        <f>IFERROR(VLOOKUP($A294,'The List'!$B1:$AS727,17,FALSE)," ")</f>
        <v xml:space="preserve"> </v>
      </c>
      <c r="K294" s="53" t="str">
        <f>IFERROR(VLOOKUP($A294,'The List'!$B1:$AS727,18,FALSE)," ")</f>
        <v xml:space="preserve"> </v>
      </c>
      <c r="L294" s="53" t="str">
        <f>IFERROR(VLOOKUP($A294,'The List'!$B1:$AS727,19,FALSE)," ")</f>
        <v xml:space="preserve"> </v>
      </c>
      <c r="M294" s="53" t="str">
        <f>IFERROR(VLOOKUP($A294,'The List'!$B1:$AS727,20,FALSE)," ")</f>
        <v xml:space="preserve"> </v>
      </c>
      <c r="N294" s="53" t="str">
        <f>IFERROR(VLOOKUP($A294,'The List'!$B1:$AS727,21,FALSE)," ")</f>
        <v xml:space="preserve"> </v>
      </c>
      <c r="O294" s="53" t="str">
        <f>IFERROR(VLOOKUP($A294,'The List'!$B1:$AS727,22,FALSE)," ")</f>
        <v xml:space="preserve"> </v>
      </c>
      <c r="P294" s="53" t="str">
        <f>IFERROR(VLOOKUP($A294,'The List'!$B1:$AS727,23,FALSE)," ")</f>
        <v xml:space="preserve"> </v>
      </c>
      <c r="Q294" s="53" t="str">
        <f>IFERROR(VLOOKUP($A294,'The List'!$B1:$AS727,24,FALSE)," ")</f>
        <v xml:space="preserve"> </v>
      </c>
      <c r="R294" s="53" t="str">
        <f>IFERROR(VLOOKUP($A294,'The List'!$B1:$AS727,25,FALSE)," ")</f>
        <v xml:space="preserve"> </v>
      </c>
      <c r="S294" s="53" t="str">
        <f>IFERROR(VLOOKUP($A294,'The List'!$B1:$AS727,26,FALSE)," ")</f>
        <v xml:space="preserve"> </v>
      </c>
      <c r="T294" s="53" t="str">
        <f>IFERROR(VLOOKUP($A294,'The List'!$B1:$AS727,27,FALSE)," ")</f>
        <v xml:space="preserve"> </v>
      </c>
      <c r="U294" s="53" t="str">
        <f>IFERROR(VLOOKUP($A294,'The List'!$B1:$AS727,28,FALSE)," ")</f>
        <v xml:space="preserve"> </v>
      </c>
      <c r="V294" s="53" t="str">
        <f>IFERROR(VLOOKUP($A294,'The List'!$B1:$AS727,29,FALSE)," ")</f>
        <v xml:space="preserve"> </v>
      </c>
      <c r="W294" s="53" t="str">
        <f>IFERROR(VLOOKUP($A294,'The List'!$B1:$AS727,30,FALSE)," ")</f>
        <v xml:space="preserve"> </v>
      </c>
      <c r="X294" s="53" t="str">
        <f>IFERROR(VLOOKUP($A294,'The List'!$B1:$AS727,31,FALSE)," ")</f>
        <v xml:space="preserve"> </v>
      </c>
      <c r="Y294" s="53" t="str">
        <f>IFERROR(VLOOKUP($A294,'The List'!$B1:$AS727,32,FALSE)," ")</f>
        <v xml:space="preserve"> </v>
      </c>
      <c r="Z294" s="53" t="str">
        <f>IFERROR(VLOOKUP($A294,'The List'!$B1:$AS727,33,FALSE)," ")</f>
        <v xml:space="preserve"> </v>
      </c>
      <c r="AA294" s="55"/>
      <c r="AB294" s="60"/>
      <c r="AC294" s="60"/>
      <c r="AD294" s="60"/>
      <c r="AE294" s="60"/>
      <c r="AF294" s="60"/>
    </row>
    <row r="295" spans="1:32" ht="21.25" customHeight="1" x14ac:dyDescent="0.15">
      <c r="A295" s="23"/>
      <c r="B295" s="57" t="str">
        <f>IFERROR(VLOOKUP($A295,'The List'!$B1:$AS727,3,FALSE)," ")</f>
        <v xml:space="preserve"> </v>
      </c>
      <c r="C295" s="61" t="str">
        <f>IFERROR(VLOOKUP($A295,'The List'!$B1:$AS727,4,FALSE)," ")</f>
        <v xml:space="preserve"> </v>
      </c>
      <c r="D295" s="35" t="str">
        <f>IFERROR(VLOOKUP($A295,'The List'!$B1:$AS727,5,FALSE)," ")</f>
        <v xml:space="preserve"> </v>
      </c>
      <c r="E295" s="35" t="str">
        <f>IFERROR(VLOOKUP($A295,'The List'!$B1:$AS727,6,FALSE)," ")</f>
        <v xml:space="preserve"> </v>
      </c>
      <c r="F295" s="52" t="str">
        <f>IFERROR(VLOOKUP($A295,'The List'!$B1:$AS727,8,FALSE)," ")</f>
        <v xml:space="preserve"> </v>
      </c>
      <c r="G295" s="52" t="str">
        <f>IFERROR(VLOOKUP($A295,'The List'!$B1:$AS727,10,FALSE)," ")</f>
        <v xml:space="preserve"> </v>
      </c>
      <c r="H295" s="39"/>
      <c r="I295" s="53" t="str">
        <f>IFERROR(VLOOKUP($A295,'The List'!$B1:$AS727,16,FALSE)," ")</f>
        <v xml:space="preserve"> </v>
      </c>
      <c r="J295" s="53" t="str">
        <f>IFERROR(VLOOKUP($A295,'The List'!$B1:$AS727,17,FALSE)," ")</f>
        <v xml:space="preserve"> </v>
      </c>
      <c r="K295" s="53" t="str">
        <f>IFERROR(VLOOKUP($A295,'The List'!$B1:$AS727,18,FALSE)," ")</f>
        <v xml:space="preserve"> </v>
      </c>
      <c r="L295" s="53" t="str">
        <f>IFERROR(VLOOKUP($A295,'The List'!$B1:$AS727,19,FALSE)," ")</f>
        <v xml:space="preserve"> </v>
      </c>
      <c r="M295" s="53" t="str">
        <f>IFERROR(VLOOKUP($A295,'The List'!$B1:$AS727,20,FALSE)," ")</f>
        <v xml:space="preserve"> </v>
      </c>
      <c r="N295" s="53" t="str">
        <f>IFERROR(VLOOKUP($A295,'The List'!$B1:$AS727,21,FALSE)," ")</f>
        <v xml:space="preserve"> </v>
      </c>
      <c r="O295" s="53" t="str">
        <f>IFERROR(VLOOKUP($A295,'The List'!$B1:$AS727,22,FALSE)," ")</f>
        <v xml:space="preserve"> </v>
      </c>
      <c r="P295" s="53" t="str">
        <f>IFERROR(VLOOKUP($A295,'The List'!$B1:$AS727,23,FALSE)," ")</f>
        <v xml:space="preserve"> </v>
      </c>
      <c r="Q295" s="53" t="str">
        <f>IFERROR(VLOOKUP($A295,'The List'!$B1:$AS727,24,FALSE)," ")</f>
        <v xml:space="preserve"> </v>
      </c>
      <c r="R295" s="53" t="str">
        <f>IFERROR(VLOOKUP($A295,'The List'!$B1:$AS727,25,FALSE)," ")</f>
        <v xml:space="preserve"> </v>
      </c>
      <c r="S295" s="53" t="str">
        <f>IFERROR(VLOOKUP($A295,'The List'!$B1:$AS727,26,FALSE)," ")</f>
        <v xml:space="preserve"> </v>
      </c>
      <c r="T295" s="53" t="str">
        <f>IFERROR(VLOOKUP($A295,'The List'!$B1:$AS727,27,FALSE)," ")</f>
        <v xml:space="preserve"> </v>
      </c>
      <c r="U295" s="53" t="str">
        <f>IFERROR(VLOOKUP($A295,'The List'!$B1:$AS727,28,FALSE)," ")</f>
        <v xml:space="preserve"> </v>
      </c>
      <c r="V295" s="53" t="str">
        <f>IFERROR(VLOOKUP($A295,'The List'!$B1:$AS727,29,FALSE)," ")</f>
        <v xml:space="preserve"> </v>
      </c>
      <c r="W295" s="53" t="str">
        <f>IFERROR(VLOOKUP($A295,'The List'!$B1:$AS727,30,FALSE)," ")</f>
        <v xml:space="preserve"> </v>
      </c>
      <c r="X295" s="53" t="str">
        <f>IFERROR(VLOOKUP($A295,'The List'!$B1:$AS727,31,FALSE)," ")</f>
        <v xml:space="preserve"> </v>
      </c>
      <c r="Y295" s="53" t="str">
        <f>IFERROR(VLOOKUP($A295,'The List'!$B1:$AS727,32,FALSE)," ")</f>
        <v xml:space="preserve"> </v>
      </c>
      <c r="Z295" s="53" t="str">
        <f>IFERROR(VLOOKUP($A295,'The List'!$B1:$AS727,33,FALSE)," ")</f>
        <v xml:space="preserve"> </v>
      </c>
      <c r="AA295" s="55"/>
      <c r="AB295" s="60"/>
      <c r="AC295" s="60"/>
      <c r="AD295" s="60"/>
      <c r="AE295" s="60"/>
      <c r="AF295" s="60"/>
    </row>
    <row r="296" spans="1:32" ht="21.25" customHeight="1" x14ac:dyDescent="0.15">
      <c r="A296" s="23"/>
      <c r="B296" s="62" t="str">
        <f>IFERROR(VLOOKUP($A296,'The List'!$B1:$AS727,3,FALSE)," ")</f>
        <v xml:space="preserve"> </v>
      </c>
      <c r="C296" s="64" t="str">
        <f>IFERROR(VLOOKUP($A296,'The List'!$B1:$AS727,4,FALSE)," ")</f>
        <v xml:space="preserve"> </v>
      </c>
      <c r="D296" s="35" t="str">
        <f>IFERROR(VLOOKUP($A296,'The List'!$B1:$AS727,5,FALSE)," ")</f>
        <v xml:space="preserve"> </v>
      </c>
      <c r="E296" s="35" t="str">
        <f>IFERROR(VLOOKUP($A296,'The List'!$B1:$AS727,6,FALSE)," ")</f>
        <v xml:space="preserve"> </v>
      </c>
      <c r="F296" s="52" t="str">
        <f>IFERROR(VLOOKUP($A296,'The List'!$B1:$AS727,8,FALSE)," ")</f>
        <v xml:space="preserve"> </v>
      </c>
      <c r="G296" s="52" t="str">
        <f>IFERROR(VLOOKUP($A296,'The List'!$B1:$AS727,10,FALSE)," ")</f>
        <v xml:space="preserve"> </v>
      </c>
      <c r="H296" s="39"/>
      <c r="I296" s="53" t="str">
        <f>IFERROR(VLOOKUP($A296,'The List'!$B1:$AS727,16,FALSE)," ")</f>
        <v xml:space="preserve"> </v>
      </c>
      <c r="J296" s="53" t="str">
        <f>IFERROR(VLOOKUP($A296,'The List'!$B1:$AS727,17,FALSE)," ")</f>
        <v xml:space="preserve"> </v>
      </c>
      <c r="K296" s="53" t="str">
        <f>IFERROR(VLOOKUP($A296,'The List'!$B1:$AS727,18,FALSE)," ")</f>
        <v xml:space="preserve"> </v>
      </c>
      <c r="L296" s="53" t="str">
        <f>IFERROR(VLOOKUP($A296,'The List'!$B1:$AS727,19,FALSE)," ")</f>
        <v xml:space="preserve"> </v>
      </c>
      <c r="M296" s="53" t="str">
        <f>IFERROR(VLOOKUP($A296,'The List'!$B1:$AS727,20,FALSE)," ")</f>
        <v xml:space="preserve"> </v>
      </c>
      <c r="N296" s="53" t="str">
        <f>IFERROR(VLOOKUP($A296,'The List'!$B1:$AS727,21,FALSE)," ")</f>
        <v xml:space="preserve"> </v>
      </c>
      <c r="O296" s="53" t="str">
        <f>IFERROR(VLOOKUP($A296,'The List'!$B1:$AS727,22,FALSE)," ")</f>
        <v xml:space="preserve"> </v>
      </c>
      <c r="P296" s="53" t="str">
        <f>IFERROR(VLOOKUP($A296,'The List'!$B1:$AS727,23,FALSE)," ")</f>
        <v xml:space="preserve"> </v>
      </c>
      <c r="Q296" s="53" t="str">
        <f>IFERROR(VLOOKUP($A296,'The List'!$B1:$AS727,24,FALSE)," ")</f>
        <v xml:space="preserve"> </v>
      </c>
      <c r="R296" s="53" t="str">
        <f>IFERROR(VLOOKUP($A296,'The List'!$B1:$AS727,25,FALSE)," ")</f>
        <v xml:space="preserve"> </v>
      </c>
      <c r="S296" s="53" t="str">
        <f>IFERROR(VLOOKUP($A296,'The List'!$B1:$AS727,26,FALSE)," ")</f>
        <v xml:space="preserve"> </v>
      </c>
      <c r="T296" s="53" t="str">
        <f>IFERROR(VLOOKUP($A296,'The List'!$B1:$AS727,27,FALSE)," ")</f>
        <v xml:space="preserve"> </v>
      </c>
      <c r="U296" s="53" t="str">
        <f>IFERROR(VLOOKUP($A296,'The List'!$B1:$AS727,28,FALSE)," ")</f>
        <v xml:space="preserve"> </v>
      </c>
      <c r="V296" s="53" t="str">
        <f>IFERROR(VLOOKUP($A296,'The List'!$B1:$AS727,29,FALSE)," ")</f>
        <v xml:space="preserve"> </v>
      </c>
      <c r="W296" s="53" t="str">
        <f>IFERROR(VLOOKUP($A296,'The List'!$B1:$AS727,30,FALSE)," ")</f>
        <v xml:space="preserve"> </v>
      </c>
      <c r="X296" s="53" t="str">
        <f>IFERROR(VLOOKUP($A296,'The List'!$B1:$AS727,31,FALSE)," ")</f>
        <v xml:space="preserve"> </v>
      </c>
      <c r="Y296" s="53" t="str">
        <f>IFERROR(VLOOKUP($A296,'The List'!$B1:$AS727,32,FALSE)," ")</f>
        <v xml:space="preserve"> </v>
      </c>
      <c r="Z296" s="53" t="str">
        <f>IFERROR(VLOOKUP($A296,'The List'!$B1:$AS727,33,FALSE)," ")</f>
        <v xml:space="preserve"> </v>
      </c>
      <c r="AA296" s="55"/>
      <c r="AB296" s="60"/>
      <c r="AC296" s="60"/>
      <c r="AD296" s="60"/>
      <c r="AE296" s="60"/>
      <c r="AF296" s="60"/>
    </row>
    <row r="297" spans="1:32" ht="21.25" customHeight="1" x14ac:dyDescent="0.15">
      <c r="A297" s="23"/>
      <c r="B297" s="62" t="str">
        <f>IFERROR(VLOOKUP($A297,'The List'!$B1:$AS727,3,FALSE)," ")</f>
        <v xml:space="preserve"> </v>
      </c>
      <c r="C297" s="64" t="str">
        <f>IFERROR(VLOOKUP($A297,'The List'!$B1:$AS727,4,FALSE)," ")</f>
        <v xml:space="preserve"> </v>
      </c>
      <c r="D297" s="35" t="str">
        <f>IFERROR(VLOOKUP($A297,'The List'!$B1:$AS727,5,FALSE)," ")</f>
        <v xml:space="preserve"> </v>
      </c>
      <c r="E297" s="35" t="str">
        <f>IFERROR(VLOOKUP($A297,'The List'!$B1:$AS727,6,FALSE)," ")</f>
        <v xml:space="preserve"> </v>
      </c>
      <c r="F297" s="52" t="str">
        <f>IFERROR(VLOOKUP($A297,'The List'!$B1:$AS727,8,FALSE)," ")</f>
        <v xml:space="preserve"> </v>
      </c>
      <c r="G297" s="52" t="str">
        <f>IFERROR(VLOOKUP($A297,'The List'!$B1:$AS727,10,FALSE)," ")</f>
        <v xml:space="preserve"> </v>
      </c>
      <c r="H297" s="39"/>
      <c r="I297" s="53" t="str">
        <f>IFERROR(VLOOKUP($A297,'The List'!$B1:$AS727,16,FALSE)," ")</f>
        <v xml:space="preserve"> </v>
      </c>
      <c r="J297" s="53" t="str">
        <f>IFERROR(VLOOKUP($A297,'The List'!$B1:$AS727,17,FALSE)," ")</f>
        <v xml:space="preserve"> </v>
      </c>
      <c r="K297" s="53" t="str">
        <f>IFERROR(VLOOKUP($A297,'The List'!$B1:$AS727,18,FALSE)," ")</f>
        <v xml:space="preserve"> </v>
      </c>
      <c r="L297" s="53" t="str">
        <f>IFERROR(VLOOKUP($A297,'The List'!$B1:$AS727,19,FALSE)," ")</f>
        <v xml:space="preserve"> </v>
      </c>
      <c r="M297" s="53" t="str">
        <f>IFERROR(VLOOKUP($A297,'The List'!$B1:$AS727,20,FALSE)," ")</f>
        <v xml:space="preserve"> </v>
      </c>
      <c r="N297" s="53" t="str">
        <f>IFERROR(VLOOKUP($A297,'The List'!$B1:$AS727,21,FALSE)," ")</f>
        <v xml:space="preserve"> </v>
      </c>
      <c r="O297" s="53" t="str">
        <f>IFERROR(VLOOKUP($A297,'The List'!$B1:$AS727,22,FALSE)," ")</f>
        <v xml:space="preserve"> </v>
      </c>
      <c r="P297" s="53" t="str">
        <f>IFERROR(VLOOKUP($A297,'The List'!$B1:$AS727,23,FALSE)," ")</f>
        <v xml:space="preserve"> </v>
      </c>
      <c r="Q297" s="53" t="str">
        <f>IFERROR(VLOOKUP($A297,'The List'!$B1:$AS727,24,FALSE)," ")</f>
        <v xml:space="preserve"> </v>
      </c>
      <c r="R297" s="53" t="str">
        <f>IFERROR(VLOOKUP($A297,'The List'!$B1:$AS727,25,FALSE)," ")</f>
        <v xml:space="preserve"> </v>
      </c>
      <c r="S297" s="53" t="str">
        <f>IFERROR(VLOOKUP($A297,'The List'!$B1:$AS727,26,FALSE)," ")</f>
        <v xml:space="preserve"> </v>
      </c>
      <c r="T297" s="53" t="str">
        <f>IFERROR(VLOOKUP($A297,'The List'!$B1:$AS727,27,FALSE)," ")</f>
        <v xml:space="preserve"> </v>
      </c>
      <c r="U297" s="53" t="str">
        <f>IFERROR(VLOOKUP($A297,'The List'!$B1:$AS727,28,FALSE)," ")</f>
        <v xml:space="preserve"> </v>
      </c>
      <c r="V297" s="53" t="str">
        <f>IFERROR(VLOOKUP($A297,'The List'!$B1:$AS727,29,FALSE)," ")</f>
        <v xml:space="preserve"> </v>
      </c>
      <c r="W297" s="53" t="str">
        <f>IFERROR(VLOOKUP($A297,'The List'!$B1:$AS727,30,FALSE)," ")</f>
        <v xml:space="preserve"> </v>
      </c>
      <c r="X297" s="53" t="str">
        <f>IFERROR(VLOOKUP($A297,'The List'!$B1:$AS727,31,FALSE)," ")</f>
        <v xml:space="preserve"> </v>
      </c>
      <c r="Y297" s="53" t="str">
        <f>IFERROR(VLOOKUP($A297,'The List'!$B1:$AS727,32,FALSE)," ")</f>
        <v xml:space="preserve"> </v>
      </c>
      <c r="Z297" s="53" t="str">
        <f>IFERROR(VLOOKUP($A297,'The List'!$B1:$AS727,33,FALSE)," ")</f>
        <v xml:space="preserve"> </v>
      </c>
      <c r="AA297" s="55"/>
      <c r="AB297" s="60"/>
      <c r="AC297" s="60"/>
      <c r="AD297" s="60"/>
      <c r="AE297" s="60"/>
      <c r="AF297" s="60"/>
    </row>
    <row r="298" spans="1:32" ht="21.25" customHeight="1" x14ac:dyDescent="0.15">
      <c r="A298" s="23"/>
      <c r="B298" s="62" t="str">
        <f>IFERROR(VLOOKUP($A298,'The List'!$B1:$AS727,3,FALSE)," ")</f>
        <v xml:space="preserve"> </v>
      </c>
      <c r="C298" s="64" t="str">
        <f>IFERROR(VLOOKUP($A298,'The List'!$B1:$AS727,4,FALSE)," ")</f>
        <v xml:space="preserve"> </v>
      </c>
      <c r="D298" s="35" t="str">
        <f>IFERROR(VLOOKUP($A298,'The List'!$B1:$AS727,5,FALSE)," ")</f>
        <v xml:space="preserve"> </v>
      </c>
      <c r="E298" s="35" t="str">
        <f>IFERROR(VLOOKUP($A298,'The List'!$B1:$AS727,6,FALSE)," ")</f>
        <v xml:space="preserve"> </v>
      </c>
      <c r="F298" s="52" t="str">
        <f>IFERROR(VLOOKUP($A298,'The List'!$B1:$AS727,8,FALSE)," ")</f>
        <v xml:space="preserve"> </v>
      </c>
      <c r="G298" s="52" t="str">
        <f>IFERROR(VLOOKUP($A298,'The List'!$B1:$AS727,10,FALSE)," ")</f>
        <v xml:space="preserve"> </v>
      </c>
      <c r="H298" s="39"/>
      <c r="I298" s="53" t="str">
        <f>IFERROR(VLOOKUP($A298,'The List'!$B1:$AS727,16,FALSE)," ")</f>
        <v xml:space="preserve"> </v>
      </c>
      <c r="J298" s="53" t="str">
        <f>IFERROR(VLOOKUP($A298,'The List'!$B1:$AS727,17,FALSE)," ")</f>
        <v xml:space="preserve"> </v>
      </c>
      <c r="K298" s="53" t="str">
        <f>IFERROR(VLOOKUP($A298,'The List'!$B1:$AS727,18,FALSE)," ")</f>
        <v xml:space="preserve"> </v>
      </c>
      <c r="L298" s="53" t="str">
        <f>IFERROR(VLOOKUP($A298,'The List'!$B1:$AS727,19,FALSE)," ")</f>
        <v xml:space="preserve"> </v>
      </c>
      <c r="M298" s="53" t="str">
        <f>IFERROR(VLOOKUP($A298,'The List'!$B1:$AS727,20,FALSE)," ")</f>
        <v xml:space="preserve"> </v>
      </c>
      <c r="N298" s="53" t="str">
        <f>IFERROR(VLOOKUP($A298,'The List'!$B1:$AS727,21,FALSE)," ")</f>
        <v xml:space="preserve"> </v>
      </c>
      <c r="O298" s="53" t="str">
        <f>IFERROR(VLOOKUP($A298,'The List'!$B1:$AS727,22,FALSE)," ")</f>
        <v xml:space="preserve"> </v>
      </c>
      <c r="P298" s="53" t="str">
        <f>IFERROR(VLOOKUP($A298,'The List'!$B1:$AS727,23,FALSE)," ")</f>
        <v xml:space="preserve"> </v>
      </c>
      <c r="Q298" s="53" t="str">
        <f>IFERROR(VLOOKUP($A298,'The List'!$B1:$AS727,24,FALSE)," ")</f>
        <v xml:space="preserve"> </v>
      </c>
      <c r="R298" s="53" t="str">
        <f>IFERROR(VLOOKUP($A298,'The List'!$B1:$AS727,25,FALSE)," ")</f>
        <v xml:space="preserve"> </v>
      </c>
      <c r="S298" s="53" t="str">
        <f>IFERROR(VLOOKUP($A298,'The List'!$B1:$AS727,26,FALSE)," ")</f>
        <v xml:space="preserve"> </v>
      </c>
      <c r="T298" s="53" t="str">
        <f>IFERROR(VLOOKUP($A298,'The List'!$B1:$AS727,27,FALSE)," ")</f>
        <v xml:space="preserve"> </v>
      </c>
      <c r="U298" s="53" t="str">
        <f>IFERROR(VLOOKUP($A298,'The List'!$B1:$AS727,28,FALSE)," ")</f>
        <v xml:space="preserve"> </v>
      </c>
      <c r="V298" s="53" t="str">
        <f>IFERROR(VLOOKUP($A298,'The List'!$B1:$AS727,29,FALSE)," ")</f>
        <v xml:space="preserve"> </v>
      </c>
      <c r="W298" s="53" t="str">
        <f>IFERROR(VLOOKUP($A298,'The List'!$B1:$AS727,30,FALSE)," ")</f>
        <v xml:space="preserve"> </v>
      </c>
      <c r="X298" s="53" t="str">
        <f>IFERROR(VLOOKUP($A298,'The List'!$B1:$AS727,31,FALSE)," ")</f>
        <v xml:space="preserve"> </v>
      </c>
      <c r="Y298" s="53" t="str">
        <f>IFERROR(VLOOKUP($A298,'The List'!$B1:$AS727,32,FALSE)," ")</f>
        <v xml:space="preserve"> </v>
      </c>
      <c r="Z298" s="53" t="str">
        <f>IFERROR(VLOOKUP($A298,'The List'!$B1:$AS727,33,FALSE)," ")</f>
        <v xml:space="preserve"> </v>
      </c>
      <c r="AA298" s="55"/>
      <c r="AB298" s="60"/>
      <c r="AC298" s="60"/>
      <c r="AD298" s="60"/>
      <c r="AE298" s="60"/>
      <c r="AF298" s="60"/>
    </row>
    <row r="299" spans="1:32" ht="21.25" customHeight="1" x14ac:dyDescent="0.15">
      <c r="A299" s="23"/>
      <c r="B299" s="62" t="str">
        <f>IFERROR(VLOOKUP($A299,'The List'!$B1:$AS727,3,FALSE)," ")</f>
        <v xml:space="preserve"> </v>
      </c>
      <c r="C299" s="64" t="str">
        <f>IFERROR(VLOOKUP($A299,'The List'!$B1:$AS727,4,FALSE)," ")</f>
        <v xml:space="preserve"> </v>
      </c>
      <c r="D299" s="35" t="str">
        <f>IFERROR(VLOOKUP($A299,'The List'!$B1:$AS727,5,FALSE)," ")</f>
        <v xml:space="preserve"> </v>
      </c>
      <c r="E299" s="35" t="str">
        <f>IFERROR(VLOOKUP($A299,'The List'!$B1:$AS727,6,FALSE)," ")</f>
        <v xml:space="preserve"> </v>
      </c>
      <c r="F299" s="52" t="str">
        <f>IFERROR(VLOOKUP($A299,'The List'!$B1:$AS727,8,FALSE)," ")</f>
        <v xml:space="preserve"> </v>
      </c>
      <c r="G299" s="52" t="str">
        <f>IFERROR(VLOOKUP($A299,'The List'!$B1:$AS727,10,FALSE)," ")</f>
        <v xml:space="preserve"> </v>
      </c>
      <c r="H299" s="39"/>
      <c r="I299" s="53" t="str">
        <f>IFERROR(VLOOKUP($A299,'The List'!$B1:$AS727,16,FALSE)," ")</f>
        <v xml:space="preserve"> </v>
      </c>
      <c r="J299" s="53" t="str">
        <f>IFERROR(VLOOKUP($A299,'The List'!$B1:$AS727,17,FALSE)," ")</f>
        <v xml:space="preserve"> </v>
      </c>
      <c r="K299" s="53" t="str">
        <f>IFERROR(VLOOKUP($A299,'The List'!$B1:$AS727,18,FALSE)," ")</f>
        <v xml:space="preserve"> </v>
      </c>
      <c r="L299" s="53" t="str">
        <f>IFERROR(VLOOKUP($A299,'The List'!$B1:$AS727,19,FALSE)," ")</f>
        <v xml:space="preserve"> </v>
      </c>
      <c r="M299" s="53" t="str">
        <f>IFERROR(VLOOKUP($A299,'The List'!$B1:$AS727,20,FALSE)," ")</f>
        <v xml:space="preserve"> </v>
      </c>
      <c r="N299" s="53" t="str">
        <f>IFERROR(VLOOKUP($A299,'The List'!$B1:$AS727,21,FALSE)," ")</f>
        <v xml:space="preserve"> </v>
      </c>
      <c r="O299" s="53" t="str">
        <f>IFERROR(VLOOKUP($A299,'The List'!$B1:$AS727,22,FALSE)," ")</f>
        <v xml:space="preserve"> </v>
      </c>
      <c r="P299" s="53" t="str">
        <f>IFERROR(VLOOKUP($A299,'The List'!$B1:$AS727,23,FALSE)," ")</f>
        <v xml:space="preserve"> </v>
      </c>
      <c r="Q299" s="53" t="str">
        <f>IFERROR(VLOOKUP($A299,'The List'!$B1:$AS727,24,FALSE)," ")</f>
        <v xml:space="preserve"> </v>
      </c>
      <c r="R299" s="53" t="str">
        <f>IFERROR(VLOOKUP($A299,'The List'!$B1:$AS727,25,FALSE)," ")</f>
        <v xml:space="preserve"> </v>
      </c>
      <c r="S299" s="53" t="str">
        <f>IFERROR(VLOOKUP($A299,'The List'!$B1:$AS727,26,FALSE)," ")</f>
        <v xml:space="preserve"> </v>
      </c>
      <c r="T299" s="53" t="str">
        <f>IFERROR(VLOOKUP($A299,'The List'!$B1:$AS727,27,FALSE)," ")</f>
        <v xml:space="preserve"> </v>
      </c>
      <c r="U299" s="53" t="str">
        <f>IFERROR(VLOOKUP($A299,'The List'!$B1:$AS727,28,FALSE)," ")</f>
        <v xml:space="preserve"> </v>
      </c>
      <c r="V299" s="53" t="str">
        <f>IFERROR(VLOOKUP($A299,'The List'!$B1:$AS727,29,FALSE)," ")</f>
        <v xml:space="preserve"> </v>
      </c>
      <c r="W299" s="53" t="str">
        <f>IFERROR(VLOOKUP($A299,'The List'!$B1:$AS727,30,FALSE)," ")</f>
        <v xml:space="preserve"> </v>
      </c>
      <c r="X299" s="53" t="str">
        <f>IFERROR(VLOOKUP($A299,'The List'!$B1:$AS727,31,FALSE)," ")</f>
        <v xml:space="preserve"> </v>
      </c>
      <c r="Y299" s="53" t="str">
        <f>IFERROR(VLOOKUP($A299,'The List'!$B1:$AS727,32,FALSE)," ")</f>
        <v xml:space="preserve"> </v>
      </c>
      <c r="Z299" s="53" t="str">
        <f>IFERROR(VLOOKUP($A299,'The List'!$B1:$AS727,33,FALSE)," ")</f>
        <v xml:space="preserve"> </v>
      </c>
      <c r="AA299" s="55"/>
      <c r="AB299" s="60"/>
      <c r="AC299" s="60"/>
      <c r="AD299" s="60"/>
      <c r="AE299" s="60"/>
      <c r="AF299" s="60"/>
    </row>
    <row r="300" spans="1:32" ht="21.25" customHeight="1" x14ac:dyDescent="0.15">
      <c r="A300" s="23"/>
      <c r="B300" s="65" t="str">
        <f>IFERROR(VLOOKUP($A300,'The List'!$B1:$AS727,3,FALSE)," ")</f>
        <v xml:space="preserve"> </v>
      </c>
      <c r="C300" s="67" t="str">
        <f>IFERROR(VLOOKUP($A300,'The List'!$B1:$AS727,4,FALSE)," ")</f>
        <v xml:space="preserve"> </v>
      </c>
      <c r="D300" s="35" t="str">
        <f>IFERROR(VLOOKUP($A300,'The List'!$B1:$AS727,5,FALSE)," ")</f>
        <v xml:space="preserve"> </v>
      </c>
      <c r="E300" s="35" t="str">
        <f>IFERROR(VLOOKUP($A300,'The List'!$B1:$AS727,6,FALSE)," ")</f>
        <v xml:space="preserve"> </v>
      </c>
      <c r="F300" s="52" t="str">
        <f>IFERROR(VLOOKUP($A300,'The List'!$B1:$AS727,8,FALSE)," ")</f>
        <v xml:space="preserve"> </v>
      </c>
      <c r="G300" s="52" t="str">
        <f>IFERROR(VLOOKUP($A300,'The List'!$B1:$AS727,10,FALSE)," ")</f>
        <v xml:space="preserve"> </v>
      </c>
      <c r="H300" s="39"/>
      <c r="I300" s="53" t="str">
        <f>IFERROR(VLOOKUP($A300,'The List'!$B1:$AS727,16,FALSE)," ")</f>
        <v xml:space="preserve"> </v>
      </c>
      <c r="J300" s="53" t="str">
        <f>IFERROR(VLOOKUP($A300,'The List'!$B1:$AS727,17,FALSE)," ")</f>
        <v xml:space="preserve"> </v>
      </c>
      <c r="K300" s="53" t="str">
        <f>IFERROR(VLOOKUP($A300,'The List'!$B1:$AS727,18,FALSE)," ")</f>
        <v xml:space="preserve"> </v>
      </c>
      <c r="L300" s="53" t="str">
        <f>IFERROR(VLOOKUP($A300,'The List'!$B1:$AS727,19,FALSE)," ")</f>
        <v xml:space="preserve"> </v>
      </c>
      <c r="M300" s="53" t="str">
        <f>IFERROR(VLOOKUP($A300,'The List'!$B1:$AS727,20,FALSE)," ")</f>
        <v xml:space="preserve"> </v>
      </c>
      <c r="N300" s="53" t="str">
        <f>IFERROR(VLOOKUP($A300,'The List'!$B1:$AS727,21,FALSE)," ")</f>
        <v xml:space="preserve"> </v>
      </c>
      <c r="O300" s="53" t="str">
        <f>IFERROR(VLOOKUP($A300,'The List'!$B1:$AS727,22,FALSE)," ")</f>
        <v xml:space="preserve"> </v>
      </c>
      <c r="P300" s="53" t="str">
        <f>IFERROR(VLOOKUP($A300,'The List'!$B1:$AS727,23,FALSE)," ")</f>
        <v xml:space="preserve"> </v>
      </c>
      <c r="Q300" s="53" t="str">
        <f>IFERROR(VLOOKUP($A300,'The List'!$B1:$AS727,24,FALSE)," ")</f>
        <v xml:space="preserve"> </v>
      </c>
      <c r="R300" s="53" t="str">
        <f>IFERROR(VLOOKUP($A300,'The List'!$B1:$AS727,25,FALSE)," ")</f>
        <v xml:space="preserve"> </v>
      </c>
      <c r="S300" s="53" t="str">
        <f>IFERROR(VLOOKUP($A300,'The List'!$B1:$AS727,26,FALSE)," ")</f>
        <v xml:space="preserve"> </v>
      </c>
      <c r="T300" s="53" t="str">
        <f>IFERROR(VLOOKUP($A300,'The List'!$B1:$AS727,27,FALSE)," ")</f>
        <v xml:space="preserve"> </v>
      </c>
      <c r="U300" s="53" t="str">
        <f>IFERROR(VLOOKUP($A300,'The List'!$B1:$AS727,28,FALSE)," ")</f>
        <v xml:space="preserve"> </v>
      </c>
      <c r="V300" s="53" t="str">
        <f>IFERROR(VLOOKUP($A300,'The List'!$B1:$AS727,29,FALSE)," ")</f>
        <v xml:space="preserve"> </v>
      </c>
      <c r="W300" s="53" t="str">
        <f>IFERROR(VLOOKUP($A300,'The List'!$B1:$AS727,30,FALSE)," ")</f>
        <v xml:space="preserve"> </v>
      </c>
      <c r="X300" s="53" t="str">
        <f>IFERROR(VLOOKUP($A300,'The List'!$B1:$AS727,31,FALSE)," ")</f>
        <v xml:space="preserve"> </v>
      </c>
      <c r="Y300" s="53" t="str">
        <f>IFERROR(VLOOKUP($A300,'The List'!$B1:$AS727,32,FALSE)," ")</f>
        <v xml:space="preserve"> </v>
      </c>
      <c r="Z300" s="53" t="str">
        <f>IFERROR(VLOOKUP($A300,'The List'!$B1:$AS727,33,FALSE)," ")</f>
        <v xml:space="preserve"> </v>
      </c>
      <c r="AA300" s="55"/>
      <c r="AB300" s="60"/>
      <c r="AC300" s="60"/>
      <c r="AD300" s="60"/>
      <c r="AE300" s="60"/>
      <c r="AF300" s="60"/>
    </row>
    <row r="301" spans="1:32" ht="21.25" customHeight="1" x14ac:dyDescent="0.15">
      <c r="A301" s="23"/>
      <c r="B301" s="65" t="str">
        <f>IFERROR(VLOOKUP($A301,'The List'!$B1:$AS727,3,FALSE)," ")</f>
        <v xml:space="preserve"> </v>
      </c>
      <c r="C301" s="67" t="str">
        <f>IFERROR(VLOOKUP($A301,'The List'!$B1:$AS727,4,FALSE)," ")</f>
        <v xml:space="preserve"> </v>
      </c>
      <c r="D301" s="35" t="str">
        <f>IFERROR(VLOOKUP($A301,'The List'!$B1:$AS727,5,FALSE)," ")</f>
        <v xml:space="preserve"> </v>
      </c>
      <c r="E301" s="35" t="str">
        <f>IFERROR(VLOOKUP($A301,'The List'!$B1:$AS727,6,FALSE)," ")</f>
        <v xml:space="preserve"> </v>
      </c>
      <c r="F301" s="52" t="str">
        <f>IFERROR(VLOOKUP($A301,'The List'!$B1:$AS727,8,FALSE)," ")</f>
        <v xml:space="preserve"> </v>
      </c>
      <c r="G301" s="52" t="str">
        <f>IFERROR(VLOOKUP($A301,'The List'!$B1:$AS727,10,FALSE)," ")</f>
        <v xml:space="preserve"> </v>
      </c>
      <c r="H301" s="39"/>
      <c r="I301" s="53" t="str">
        <f>IFERROR(VLOOKUP($A301,'The List'!$B1:$AS727,16,FALSE)," ")</f>
        <v xml:space="preserve"> </v>
      </c>
      <c r="J301" s="53" t="str">
        <f>IFERROR(VLOOKUP($A301,'The List'!$B1:$AS727,17,FALSE)," ")</f>
        <v xml:space="preserve"> </v>
      </c>
      <c r="K301" s="53" t="str">
        <f>IFERROR(VLOOKUP($A301,'The List'!$B1:$AS727,18,FALSE)," ")</f>
        <v xml:space="preserve"> </v>
      </c>
      <c r="L301" s="53" t="str">
        <f>IFERROR(VLOOKUP($A301,'The List'!$B1:$AS727,19,FALSE)," ")</f>
        <v xml:space="preserve"> </v>
      </c>
      <c r="M301" s="53" t="str">
        <f>IFERROR(VLOOKUP($A301,'The List'!$B1:$AS727,20,FALSE)," ")</f>
        <v xml:space="preserve"> </v>
      </c>
      <c r="N301" s="53" t="str">
        <f>IFERROR(VLOOKUP($A301,'The List'!$B1:$AS727,21,FALSE)," ")</f>
        <v xml:space="preserve"> </v>
      </c>
      <c r="O301" s="53" t="str">
        <f>IFERROR(VLOOKUP($A301,'The List'!$B1:$AS727,22,FALSE)," ")</f>
        <v xml:space="preserve"> </v>
      </c>
      <c r="P301" s="53" t="str">
        <f>IFERROR(VLOOKUP($A301,'The List'!$B1:$AS727,23,FALSE)," ")</f>
        <v xml:space="preserve"> </v>
      </c>
      <c r="Q301" s="53" t="str">
        <f>IFERROR(VLOOKUP($A301,'The List'!$B1:$AS727,24,FALSE)," ")</f>
        <v xml:space="preserve"> </v>
      </c>
      <c r="R301" s="53" t="str">
        <f>IFERROR(VLOOKUP($A301,'The List'!$B1:$AS727,25,FALSE)," ")</f>
        <v xml:space="preserve"> </v>
      </c>
      <c r="S301" s="53" t="str">
        <f>IFERROR(VLOOKUP($A301,'The List'!$B1:$AS727,26,FALSE)," ")</f>
        <v xml:space="preserve"> </v>
      </c>
      <c r="T301" s="53" t="str">
        <f>IFERROR(VLOOKUP($A301,'The List'!$B1:$AS727,27,FALSE)," ")</f>
        <v xml:space="preserve"> </v>
      </c>
      <c r="U301" s="53" t="str">
        <f>IFERROR(VLOOKUP($A301,'The List'!$B1:$AS727,28,FALSE)," ")</f>
        <v xml:space="preserve"> </v>
      </c>
      <c r="V301" s="53" t="str">
        <f>IFERROR(VLOOKUP($A301,'The List'!$B1:$AS727,29,FALSE)," ")</f>
        <v xml:space="preserve"> </v>
      </c>
      <c r="W301" s="53" t="str">
        <f>IFERROR(VLOOKUP($A301,'The List'!$B1:$AS727,30,FALSE)," ")</f>
        <v xml:space="preserve"> </v>
      </c>
      <c r="X301" s="53" t="str">
        <f>IFERROR(VLOOKUP($A301,'The List'!$B1:$AS727,31,FALSE)," ")</f>
        <v xml:space="preserve"> </v>
      </c>
      <c r="Y301" s="53" t="str">
        <f>IFERROR(VLOOKUP($A301,'The List'!$B1:$AS727,32,FALSE)," ")</f>
        <v xml:space="preserve"> </v>
      </c>
      <c r="Z301" s="53" t="str">
        <f>IFERROR(VLOOKUP($A301,'The List'!$B1:$AS727,33,FALSE)," ")</f>
        <v xml:space="preserve"> </v>
      </c>
      <c r="AA301" s="55"/>
      <c r="AB301" s="60"/>
      <c r="AC301" s="60"/>
      <c r="AD301" s="60"/>
      <c r="AE301" s="60"/>
      <c r="AF301" s="60"/>
    </row>
    <row r="302" spans="1:32" ht="21.25" customHeight="1" x14ac:dyDescent="0.15">
      <c r="A302" s="23"/>
      <c r="B302" s="65" t="str">
        <f>IFERROR(VLOOKUP($A302,'The List'!$B1:$AS727,3,FALSE)," ")</f>
        <v xml:space="preserve"> </v>
      </c>
      <c r="C302" s="67" t="str">
        <f>IFERROR(VLOOKUP($A302,'The List'!$B1:$AS727,4,FALSE)," ")</f>
        <v xml:space="preserve"> </v>
      </c>
      <c r="D302" s="35" t="str">
        <f>IFERROR(VLOOKUP($A302,'The List'!$B1:$AS727,5,FALSE)," ")</f>
        <v xml:space="preserve"> </v>
      </c>
      <c r="E302" s="35" t="str">
        <f>IFERROR(VLOOKUP($A302,'The List'!$B1:$AS727,6,FALSE)," ")</f>
        <v xml:space="preserve"> </v>
      </c>
      <c r="F302" s="52" t="str">
        <f>IFERROR(VLOOKUP($A302,'The List'!$B1:$AS727,8,FALSE)," ")</f>
        <v xml:space="preserve"> </v>
      </c>
      <c r="G302" s="52" t="str">
        <f>IFERROR(VLOOKUP($A302,'The List'!$B1:$AS727,10,FALSE)," ")</f>
        <v xml:space="preserve"> </v>
      </c>
      <c r="H302" s="39"/>
      <c r="I302" s="53" t="str">
        <f>IFERROR(VLOOKUP($A302,'The List'!$B1:$AS727,16,FALSE)," ")</f>
        <v xml:space="preserve"> </v>
      </c>
      <c r="J302" s="53" t="str">
        <f>IFERROR(VLOOKUP($A302,'The List'!$B1:$AS727,17,FALSE)," ")</f>
        <v xml:space="preserve"> </v>
      </c>
      <c r="K302" s="53" t="str">
        <f>IFERROR(VLOOKUP($A302,'The List'!$B1:$AS727,18,FALSE)," ")</f>
        <v xml:space="preserve"> </v>
      </c>
      <c r="L302" s="53" t="str">
        <f>IFERROR(VLOOKUP($A302,'The List'!$B1:$AS727,19,FALSE)," ")</f>
        <v xml:space="preserve"> </v>
      </c>
      <c r="M302" s="53" t="str">
        <f>IFERROR(VLOOKUP($A302,'The List'!$B1:$AS727,20,FALSE)," ")</f>
        <v xml:space="preserve"> </v>
      </c>
      <c r="N302" s="53" t="str">
        <f>IFERROR(VLOOKUP($A302,'The List'!$B1:$AS727,21,FALSE)," ")</f>
        <v xml:space="preserve"> </v>
      </c>
      <c r="O302" s="53" t="str">
        <f>IFERROR(VLOOKUP($A302,'The List'!$B1:$AS727,22,FALSE)," ")</f>
        <v xml:space="preserve"> </v>
      </c>
      <c r="P302" s="53" t="str">
        <f>IFERROR(VLOOKUP($A302,'The List'!$B1:$AS727,23,FALSE)," ")</f>
        <v xml:space="preserve"> </v>
      </c>
      <c r="Q302" s="53" t="str">
        <f>IFERROR(VLOOKUP($A302,'The List'!$B1:$AS727,24,FALSE)," ")</f>
        <v xml:space="preserve"> </v>
      </c>
      <c r="R302" s="53" t="str">
        <f>IFERROR(VLOOKUP($A302,'The List'!$B1:$AS727,25,FALSE)," ")</f>
        <v xml:space="preserve"> </v>
      </c>
      <c r="S302" s="53" t="str">
        <f>IFERROR(VLOOKUP($A302,'The List'!$B1:$AS727,26,FALSE)," ")</f>
        <v xml:space="preserve"> </v>
      </c>
      <c r="T302" s="53" t="str">
        <f>IFERROR(VLOOKUP($A302,'The List'!$B1:$AS727,27,FALSE)," ")</f>
        <v xml:space="preserve"> </v>
      </c>
      <c r="U302" s="53" t="str">
        <f>IFERROR(VLOOKUP($A302,'The List'!$B1:$AS727,28,FALSE)," ")</f>
        <v xml:space="preserve"> </v>
      </c>
      <c r="V302" s="53" t="str">
        <f>IFERROR(VLOOKUP($A302,'The List'!$B1:$AS727,29,FALSE)," ")</f>
        <v xml:space="preserve"> </v>
      </c>
      <c r="W302" s="53" t="str">
        <f>IFERROR(VLOOKUP($A302,'The List'!$B1:$AS727,30,FALSE)," ")</f>
        <v xml:space="preserve"> </v>
      </c>
      <c r="X302" s="53" t="str">
        <f>IFERROR(VLOOKUP($A302,'The List'!$B1:$AS727,31,FALSE)," ")</f>
        <v xml:space="preserve"> </v>
      </c>
      <c r="Y302" s="53" t="str">
        <f>IFERROR(VLOOKUP($A302,'The List'!$B1:$AS727,32,FALSE)," ")</f>
        <v xml:space="preserve"> </v>
      </c>
      <c r="Z302" s="53" t="str">
        <f>IFERROR(VLOOKUP($A302,'The List'!$B1:$AS727,33,FALSE)," ")</f>
        <v xml:space="preserve"> </v>
      </c>
      <c r="AA302" s="55"/>
      <c r="AB302" s="60"/>
      <c r="AC302" s="60"/>
      <c r="AD302" s="60"/>
      <c r="AE302" s="60"/>
      <c r="AF302" s="60"/>
    </row>
    <row r="303" spans="1:32" ht="21.25" customHeight="1" x14ac:dyDescent="0.15">
      <c r="A303" s="23"/>
      <c r="B303" s="65" t="str">
        <f>IFERROR(VLOOKUP($A303,'The List'!$B1:$AS727,3,FALSE)," ")</f>
        <v xml:space="preserve"> </v>
      </c>
      <c r="C303" s="67" t="str">
        <f>IFERROR(VLOOKUP($A303,'The List'!$B1:$AS727,4,FALSE)," ")</f>
        <v xml:space="preserve"> </v>
      </c>
      <c r="D303" s="35" t="str">
        <f>IFERROR(VLOOKUP($A303,'The List'!$B1:$AS727,5,FALSE)," ")</f>
        <v xml:space="preserve"> </v>
      </c>
      <c r="E303" s="35" t="str">
        <f>IFERROR(VLOOKUP($A303,'The List'!$B1:$AS727,6,FALSE)," ")</f>
        <v xml:space="preserve"> </v>
      </c>
      <c r="F303" s="52" t="str">
        <f>IFERROR(VLOOKUP($A303,'The List'!$B1:$AS727,8,FALSE)," ")</f>
        <v xml:space="preserve"> </v>
      </c>
      <c r="G303" s="52" t="str">
        <f>IFERROR(VLOOKUP($A303,'The List'!$B1:$AS727,10,FALSE)," ")</f>
        <v xml:space="preserve"> </v>
      </c>
      <c r="H303" s="39"/>
      <c r="I303" s="53" t="str">
        <f>IFERROR(VLOOKUP($A303,'The List'!$B1:$AS727,16,FALSE)," ")</f>
        <v xml:space="preserve"> </v>
      </c>
      <c r="J303" s="53" t="str">
        <f>IFERROR(VLOOKUP($A303,'The List'!$B1:$AS727,17,FALSE)," ")</f>
        <v xml:space="preserve"> </v>
      </c>
      <c r="K303" s="53" t="str">
        <f>IFERROR(VLOOKUP($A303,'The List'!$B1:$AS727,18,FALSE)," ")</f>
        <v xml:space="preserve"> </v>
      </c>
      <c r="L303" s="53" t="str">
        <f>IFERROR(VLOOKUP($A303,'The List'!$B1:$AS727,19,FALSE)," ")</f>
        <v xml:space="preserve"> </v>
      </c>
      <c r="M303" s="53" t="str">
        <f>IFERROR(VLOOKUP($A303,'The List'!$B1:$AS727,20,FALSE)," ")</f>
        <v xml:space="preserve"> </v>
      </c>
      <c r="N303" s="53" t="str">
        <f>IFERROR(VLOOKUP($A303,'The List'!$B1:$AS727,21,FALSE)," ")</f>
        <v xml:space="preserve"> </v>
      </c>
      <c r="O303" s="53" t="str">
        <f>IFERROR(VLOOKUP($A303,'The List'!$B1:$AS727,22,FALSE)," ")</f>
        <v xml:space="preserve"> </v>
      </c>
      <c r="P303" s="53" t="str">
        <f>IFERROR(VLOOKUP($A303,'The List'!$B1:$AS727,23,FALSE)," ")</f>
        <v xml:space="preserve"> </v>
      </c>
      <c r="Q303" s="53" t="str">
        <f>IFERROR(VLOOKUP($A303,'The List'!$B1:$AS727,24,FALSE)," ")</f>
        <v xml:space="preserve"> </v>
      </c>
      <c r="R303" s="53" t="str">
        <f>IFERROR(VLOOKUP($A303,'The List'!$B1:$AS727,25,FALSE)," ")</f>
        <v xml:space="preserve"> </v>
      </c>
      <c r="S303" s="53" t="str">
        <f>IFERROR(VLOOKUP($A303,'The List'!$B1:$AS727,26,FALSE)," ")</f>
        <v xml:space="preserve"> </v>
      </c>
      <c r="T303" s="53" t="str">
        <f>IFERROR(VLOOKUP($A303,'The List'!$B1:$AS727,27,FALSE)," ")</f>
        <v xml:space="preserve"> </v>
      </c>
      <c r="U303" s="53" t="str">
        <f>IFERROR(VLOOKUP($A303,'The List'!$B1:$AS727,28,FALSE)," ")</f>
        <v xml:space="preserve"> </v>
      </c>
      <c r="V303" s="53" t="str">
        <f>IFERROR(VLOOKUP($A303,'The List'!$B1:$AS727,29,FALSE)," ")</f>
        <v xml:space="preserve"> </v>
      </c>
      <c r="W303" s="53" t="str">
        <f>IFERROR(VLOOKUP($A303,'The List'!$B1:$AS727,30,FALSE)," ")</f>
        <v xml:space="preserve"> </v>
      </c>
      <c r="X303" s="53" t="str">
        <f>IFERROR(VLOOKUP($A303,'The List'!$B1:$AS727,31,FALSE)," ")</f>
        <v xml:space="preserve"> </v>
      </c>
      <c r="Y303" s="53" t="str">
        <f>IFERROR(VLOOKUP($A303,'The List'!$B1:$AS727,32,FALSE)," ")</f>
        <v xml:space="preserve"> </v>
      </c>
      <c r="Z303" s="53" t="str">
        <f>IFERROR(VLOOKUP($A303,'The List'!$B1:$AS727,33,FALSE)," ")</f>
        <v xml:space="preserve"> </v>
      </c>
      <c r="AA303" s="55"/>
      <c r="AB303" s="60"/>
      <c r="AC303" s="60"/>
      <c r="AD303" s="60"/>
      <c r="AE303" s="60"/>
      <c r="AF303" s="60"/>
    </row>
    <row r="304" spans="1:32" ht="21.25" customHeight="1" x14ac:dyDescent="0.15">
      <c r="A304" s="23"/>
      <c r="B304" s="68" t="str">
        <f>IFERROR(VLOOKUP($A304,'The List'!$B1:$AS727,3,FALSE)," ")</f>
        <v xml:space="preserve"> </v>
      </c>
      <c r="C304" s="70" t="str">
        <f>IFERROR(VLOOKUP($A304,'The List'!$B1:$AS727,4,FALSE)," ")</f>
        <v xml:space="preserve"> </v>
      </c>
      <c r="D304" s="35" t="str">
        <f>IFERROR(VLOOKUP($A304,'The List'!$B1:$AS727,5,FALSE)," ")</f>
        <v xml:space="preserve"> </v>
      </c>
      <c r="E304" s="35" t="str">
        <f>IFERROR(VLOOKUP($A304,'The List'!$B1:$AS727,6,FALSE)," ")</f>
        <v xml:space="preserve"> </v>
      </c>
      <c r="F304" s="52" t="str">
        <f>IFERROR(VLOOKUP($A304,'The List'!$B1:$AS727,8,FALSE)," ")</f>
        <v xml:space="preserve"> </v>
      </c>
      <c r="G304" s="52" t="str">
        <f>IFERROR(VLOOKUP($A304,'The List'!$B1:$AS727,10,FALSE)," ")</f>
        <v xml:space="preserve"> </v>
      </c>
      <c r="H304" s="39"/>
      <c r="I304" s="53" t="str">
        <f>IFERROR(VLOOKUP($A304,'The List'!$B1:$AS727,16,FALSE)," ")</f>
        <v xml:space="preserve"> </v>
      </c>
      <c r="J304" s="53" t="str">
        <f>IFERROR(VLOOKUP($A304,'The List'!$B1:$AS727,17,FALSE)," ")</f>
        <v xml:space="preserve"> </v>
      </c>
      <c r="K304" s="53" t="str">
        <f>IFERROR(VLOOKUP($A304,'The List'!$B1:$AS727,18,FALSE)," ")</f>
        <v xml:space="preserve"> </v>
      </c>
      <c r="L304" s="53" t="str">
        <f>IFERROR(VLOOKUP($A304,'The List'!$B1:$AS727,19,FALSE)," ")</f>
        <v xml:space="preserve"> </v>
      </c>
      <c r="M304" s="53" t="str">
        <f>IFERROR(VLOOKUP($A304,'The List'!$B1:$AS727,20,FALSE)," ")</f>
        <v xml:space="preserve"> </v>
      </c>
      <c r="N304" s="53" t="str">
        <f>IFERROR(VLOOKUP($A304,'The List'!$B1:$AS727,21,FALSE)," ")</f>
        <v xml:space="preserve"> </v>
      </c>
      <c r="O304" s="53" t="str">
        <f>IFERROR(VLOOKUP($A304,'The List'!$B1:$AS727,22,FALSE)," ")</f>
        <v xml:space="preserve"> </v>
      </c>
      <c r="P304" s="53" t="str">
        <f>IFERROR(VLOOKUP($A304,'The List'!$B1:$AS727,23,FALSE)," ")</f>
        <v xml:space="preserve"> </v>
      </c>
      <c r="Q304" s="53" t="str">
        <f>IFERROR(VLOOKUP($A304,'The List'!$B1:$AS727,24,FALSE)," ")</f>
        <v xml:space="preserve"> </v>
      </c>
      <c r="R304" s="53" t="str">
        <f>IFERROR(VLOOKUP($A304,'The List'!$B1:$AS727,25,FALSE)," ")</f>
        <v xml:space="preserve"> </v>
      </c>
      <c r="S304" s="53" t="str">
        <f>IFERROR(VLOOKUP($A304,'The List'!$B1:$AS727,26,FALSE)," ")</f>
        <v xml:space="preserve"> </v>
      </c>
      <c r="T304" s="53" t="str">
        <f>IFERROR(VLOOKUP($A304,'The List'!$B1:$AS727,27,FALSE)," ")</f>
        <v xml:space="preserve"> </v>
      </c>
      <c r="U304" s="53" t="str">
        <f>IFERROR(VLOOKUP($A304,'The List'!$B1:$AS727,28,FALSE)," ")</f>
        <v xml:space="preserve"> </v>
      </c>
      <c r="V304" s="53" t="str">
        <f>IFERROR(VLOOKUP($A304,'The List'!$B1:$AS727,29,FALSE)," ")</f>
        <v xml:space="preserve"> </v>
      </c>
      <c r="W304" s="53" t="str">
        <f>IFERROR(VLOOKUP($A304,'The List'!$B1:$AS727,30,FALSE)," ")</f>
        <v xml:space="preserve"> </v>
      </c>
      <c r="X304" s="53" t="str">
        <f>IFERROR(VLOOKUP($A304,'The List'!$B1:$AS727,31,FALSE)," ")</f>
        <v xml:space="preserve"> </v>
      </c>
      <c r="Y304" s="53" t="str">
        <f>IFERROR(VLOOKUP($A304,'The List'!$B1:$AS727,32,FALSE)," ")</f>
        <v xml:space="preserve"> </v>
      </c>
      <c r="Z304" s="53" t="str">
        <f>IFERROR(VLOOKUP($A304,'The List'!$B1:$AS727,33,FALSE)," ")</f>
        <v xml:space="preserve"> </v>
      </c>
      <c r="AA304" s="55"/>
      <c r="AB304" s="60"/>
      <c r="AC304" s="60"/>
      <c r="AD304" s="60"/>
      <c r="AE304" s="60"/>
      <c r="AF304" s="60"/>
    </row>
    <row r="305" spans="1:32" ht="21.25" customHeight="1" x14ac:dyDescent="0.15">
      <c r="A305" s="23"/>
      <c r="B305" s="68" t="str">
        <f>IFERROR(VLOOKUP($A305,'The List'!$B1:$AS727,3,FALSE)," ")</f>
        <v xml:space="preserve"> </v>
      </c>
      <c r="C305" s="70" t="str">
        <f>IFERROR(VLOOKUP($A305,'The List'!$B1:$AS727,4,FALSE)," ")</f>
        <v xml:space="preserve"> </v>
      </c>
      <c r="D305" s="35" t="str">
        <f>IFERROR(VLOOKUP($A305,'The List'!$B1:$AS727,5,FALSE)," ")</f>
        <v xml:space="preserve"> </v>
      </c>
      <c r="E305" s="35" t="str">
        <f>IFERROR(VLOOKUP($A305,'The List'!$B1:$AS727,6,FALSE)," ")</f>
        <v xml:space="preserve"> </v>
      </c>
      <c r="F305" s="52" t="str">
        <f>IFERROR(VLOOKUP($A305,'The List'!$B1:$AS727,8,FALSE)," ")</f>
        <v xml:space="preserve"> </v>
      </c>
      <c r="G305" s="52" t="str">
        <f>IFERROR(VLOOKUP($A305,'The List'!$B1:$AS727,10,FALSE)," ")</f>
        <v xml:space="preserve"> </v>
      </c>
      <c r="H305" s="39"/>
      <c r="I305" s="53" t="str">
        <f>IFERROR(VLOOKUP($A305,'The List'!$B1:$AS727,16,FALSE)," ")</f>
        <v xml:space="preserve"> </v>
      </c>
      <c r="J305" s="53" t="str">
        <f>IFERROR(VLOOKUP($A305,'The List'!$B1:$AS727,17,FALSE)," ")</f>
        <v xml:space="preserve"> </v>
      </c>
      <c r="K305" s="53" t="str">
        <f>IFERROR(VLOOKUP($A305,'The List'!$B1:$AS727,18,FALSE)," ")</f>
        <v xml:space="preserve"> </v>
      </c>
      <c r="L305" s="53" t="str">
        <f>IFERROR(VLOOKUP($A305,'The List'!$B1:$AS727,19,FALSE)," ")</f>
        <v xml:space="preserve"> </v>
      </c>
      <c r="M305" s="53" t="str">
        <f>IFERROR(VLOOKUP($A305,'The List'!$B1:$AS727,20,FALSE)," ")</f>
        <v xml:space="preserve"> </v>
      </c>
      <c r="N305" s="53" t="str">
        <f>IFERROR(VLOOKUP($A305,'The List'!$B1:$AS727,21,FALSE)," ")</f>
        <v xml:space="preserve"> </v>
      </c>
      <c r="O305" s="53" t="str">
        <f>IFERROR(VLOOKUP($A305,'The List'!$B1:$AS727,22,FALSE)," ")</f>
        <v xml:space="preserve"> </v>
      </c>
      <c r="P305" s="53" t="str">
        <f>IFERROR(VLOOKUP($A305,'The List'!$B1:$AS727,23,FALSE)," ")</f>
        <v xml:space="preserve"> </v>
      </c>
      <c r="Q305" s="53" t="str">
        <f>IFERROR(VLOOKUP($A305,'The List'!$B1:$AS727,24,FALSE)," ")</f>
        <v xml:space="preserve"> </v>
      </c>
      <c r="R305" s="53" t="str">
        <f>IFERROR(VLOOKUP($A305,'The List'!$B1:$AS727,25,FALSE)," ")</f>
        <v xml:space="preserve"> </v>
      </c>
      <c r="S305" s="53" t="str">
        <f>IFERROR(VLOOKUP($A305,'The List'!$B1:$AS727,26,FALSE)," ")</f>
        <v xml:space="preserve"> </v>
      </c>
      <c r="T305" s="53" t="str">
        <f>IFERROR(VLOOKUP($A305,'The List'!$B1:$AS727,27,FALSE)," ")</f>
        <v xml:space="preserve"> </v>
      </c>
      <c r="U305" s="53" t="str">
        <f>IFERROR(VLOOKUP($A305,'The List'!$B1:$AS727,28,FALSE)," ")</f>
        <v xml:space="preserve"> </v>
      </c>
      <c r="V305" s="53" t="str">
        <f>IFERROR(VLOOKUP($A305,'The List'!$B1:$AS727,29,FALSE)," ")</f>
        <v xml:space="preserve"> </v>
      </c>
      <c r="W305" s="53" t="str">
        <f>IFERROR(VLOOKUP($A305,'The List'!$B1:$AS727,30,FALSE)," ")</f>
        <v xml:space="preserve"> </v>
      </c>
      <c r="X305" s="53" t="str">
        <f>IFERROR(VLOOKUP($A305,'The List'!$B1:$AS727,31,FALSE)," ")</f>
        <v xml:space="preserve"> </v>
      </c>
      <c r="Y305" s="53" t="str">
        <f>IFERROR(VLOOKUP($A305,'The List'!$B1:$AS727,32,FALSE)," ")</f>
        <v xml:space="preserve"> </v>
      </c>
      <c r="Z305" s="53" t="str">
        <f>IFERROR(VLOOKUP($A305,'The List'!$B1:$AS727,33,FALSE)," ")</f>
        <v xml:space="preserve"> </v>
      </c>
      <c r="AA305" s="55"/>
      <c r="AB305" s="60"/>
      <c r="AC305" s="60"/>
      <c r="AD305" s="60"/>
      <c r="AE305" s="60"/>
      <c r="AF305" s="60"/>
    </row>
    <row r="306" spans="1:32" ht="21.25" customHeight="1" x14ac:dyDescent="0.15">
      <c r="A306" s="23"/>
      <c r="B306" s="68" t="str">
        <f>IFERROR(VLOOKUP($A306,'The List'!$B1:$AS727,3,FALSE)," ")</f>
        <v xml:space="preserve"> </v>
      </c>
      <c r="C306" s="70" t="str">
        <f>IFERROR(VLOOKUP($A306,'The List'!$B1:$AS727,4,FALSE)," ")</f>
        <v xml:space="preserve"> </v>
      </c>
      <c r="D306" s="35" t="str">
        <f>IFERROR(VLOOKUP($A306,'The List'!$B1:$AS727,5,FALSE)," ")</f>
        <v xml:space="preserve"> </v>
      </c>
      <c r="E306" s="35" t="str">
        <f>IFERROR(VLOOKUP($A306,'The List'!$B1:$AS727,6,FALSE)," ")</f>
        <v xml:space="preserve"> </v>
      </c>
      <c r="F306" s="52" t="str">
        <f>IFERROR(VLOOKUP($A306,'The List'!$B1:$AS727,8,FALSE)," ")</f>
        <v xml:space="preserve"> </v>
      </c>
      <c r="G306" s="52" t="str">
        <f>IFERROR(VLOOKUP($A306,'The List'!$B1:$AS727,10,FALSE)," ")</f>
        <v xml:space="preserve"> </v>
      </c>
      <c r="H306" s="39"/>
      <c r="I306" s="53" t="str">
        <f>IFERROR(VLOOKUP($A306,'The List'!$B1:$AS727,16,FALSE)," ")</f>
        <v xml:space="preserve"> </v>
      </c>
      <c r="J306" s="53" t="str">
        <f>IFERROR(VLOOKUP($A306,'The List'!$B1:$AS727,17,FALSE)," ")</f>
        <v xml:space="preserve"> </v>
      </c>
      <c r="K306" s="53" t="str">
        <f>IFERROR(VLOOKUP($A306,'The List'!$B1:$AS727,18,FALSE)," ")</f>
        <v xml:space="preserve"> </v>
      </c>
      <c r="L306" s="53" t="str">
        <f>IFERROR(VLOOKUP($A306,'The List'!$B1:$AS727,19,FALSE)," ")</f>
        <v xml:space="preserve"> </v>
      </c>
      <c r="M306" s="53" t="str">
        <f>IFERROR(VLOOKUP($A306,'The List'!$B1:$AS727,20,FALSE)," ")</f>
        <v xml:space="preserve"> </v>
      </c>
      <c r="N306" s="53" t="str">
        <f>IFERROR(VLOOKUP($A306,'The List'!$B1:$AS727,21,FALSE)," ")</f>
        <v xml:space="preserve"> </v>
      </c>
      <c r="O306" s="53" t="str">
        <f>IFERROR(VLOOKUP($A306,'The List'!$B1:$AS727,22,FALSE)," ")</f>
        <v xml:space="preserve"> </v>
      </c>
      <c r="P306" s="53" t="str">
        <f>IFERROR(VLOOKUP($A306,'The List'!$B1:$AS727,23,FALSE)," ")</f>
        <v xml:space="preserve"> </v>
      </c>
      <c r="Q306" s="53" t="str">
        <f>IFERROR(VLOOKUP($A306,'The List'!$B1:$AS727,24,FALSE)," ")</f>
        <v xml:space="preserve"> </v>
      </c>
      <c r="R306" s="53" t="str">
        <f>IFERROR(VLOOKUP($A306,'The List'!$B1:$AS727,25,FALSE)," ")</f>
        <v xml:space="preserve"> </v>
      </c>
      <c r="S306" s="53" t="str">
        <f>IFERROR(VLOOKUP($A306,'The List'!$B1:$AS727,26,FALSE)," ")</f>
        <v xml:space="preserve"> </v>
      </c>
      <c r="T306" s="53" t="str">
        <f>IFERROR(VLOOKUP($A306,'The List'!$B1:$AS727,27,FALSE)," ")</f>
        <v xml:space="preserve"> </v>
      </c>
      <c r="U306" s="53" t="str">
        <f>IFERROR(VLOOKUP($A306,'The List'!$B1:$AS727,28,FALSE)," ")</f>
        <v xml:space="preserve"> </v>
      </c>
      <c r="V306" s="53" t="str">
        <f>IFERROR(VLOOKUP($A306,'The List'!$B1:$AS727,29,FALSE)," ")</f>
        <v xml:space="preserve"> </v>
      </c>
      <c r="W306" s="53" t="str">
        <f>IFERROR(VLOOKUP($A306,'The List'!$B1:$AS727,30,FALSE)," ")</f>
        <v xml:space="preserve"> </v>
      </c>
      <c r="X306" s="53" t="str">
        <f>IFERROR(VLOOKUP($A306,'The List'!$B1:$AS727,31,FALSE)," ")</f>
        <v xml:space="preserve"> </v>
      </c>
      <c r="Y306" s="53" t="str">
        <f>IFERROR(VLOOKUP($A306,'The List'!$B1:$AS727,32,FALSE)," ")</f>
        <v xml:space="preserve"> </v>
      </c>
      <c r="Z306" s="53" t="str">
        <f>IFERROR(VLOOKUP($A306,'The List'!$B1:$AS727,33,FALSE)," ")</f>
        <v xml:space="preserve"> </v>
      </c>
      <c r="AA306" s="55"/>
      <c r="AB306" s="60"/>
      <c r="AC306" s="60"/>
      <c r="AD306" s="60"/>
      <c r="AE306" s="60"/>
      <c r="AF306" s="60"/>
    </row>
    <row r="307" spans="1:32" ht="21.25" customHeight="1" x14ac:dyDescent="0.15">
      <c r="A307" s="23"/>
      <c r="B307" s="68" t="str">
        <f>IFERROR(VLOOKUP($A307,'The List'!$B1:$AS727,3,FALSE)," ")</f>
        <v xml:space="preserve"> </v>
      </c>
      <c r="C307" s="70" t="str">
        <f>IFERROR(VLOOKUP($A307,'The List'!$B1:$AS727,4,FALSE)," ")</f>
        <v xml:space="preserve"> </v>
      </c>
      <c r="D307" s="35" t="str">
        <f>IFERROR(VLOOKUP($A307,'The List'!$B1:$AS727,5,FALSE)," ")</f>
        <v xml:space="preserve"> </v>
      </c>
      <c r="E307" s="35" t="str">
        <f>IFERROR(VLOOKUP($A307,'The List'!$B1:$AS727,6,FALSE)," ")</f>
        <v xml:space="preserve"> </v>
      </c>
      <c r="F307" s="52" t="str">
        <f>IFERROR(VLOOKUP($A307,'The List'!$B1:$AS727,8,FALSE)," ")</f>
        <v xml:space="preserve"> </v>
      </c>
      <c r="G307" s="52" t="str">
        <f>IFERROR(VLOOKUP($A307,'The List'!$B1:$AS727,10,FALSE)," ")</f>
        <v xml:space="preserve"> </v>
      </c>
      <c r="H307" s="39"/>
      <c r="I307" s="53" t="str">
        <f>IFERROR(VLOOKUP($A307,'The List'!$B1:$AS727,16,FALSE)," ")</f>
        <v xml:space="preserve"> </v>
      </c>
      <c r="J307" s="53" t="str">
        <f>IFERROR(VLOOKUP($A307,'The List'!$B1:$AS727,17,FALSE)," ")</f>
        <v xml:space="preserve"> </v>
      </c>
      <c r="K307" s="53" t="str">
        <f>IFERROR(VLOOKUP($A307,'The List'!$B1:$AS727,18,FALSE)," ")</f>
        <v xml:space="preserve"> </v>
      </c>
      <c r="L307" s="53" t="str">
        <f>IFERROR(VLOOKUP($A307,'The List'!$B1:$AS727,19,FALSE)," ")</f>
        <v xml:space="preserve"> </v>
      </c>
      <c r="M307" s="53" t="str">
        <f>IFERROR(VLOOKUP($A307,'The List'!$B1:$AS727,20,FALSE)," ")</f>
        <v xml:space="preserve"> </v>
      </c>
      <c r="N307" s="53" t="str">
        <f>IFERROR(VLOOKUP($A307,'The List'!$B1:$AS727,21,FALSE)," ")</f>
        <v xml:space="preserve"> </v>
      </c>
      <c r="O307" s="53" t="str">
        <f>IFERROR(VLOOKUP($A307,'The List'!$B1:$AS727,22,FALSE)," ")</f>
        <v xml:space="preserve"> </v>
      </c>
      <c r="P307" s="53" t="str">
        <f>IFERROR(VLOOKUP($A307,'The List'!$B1:$AS727,23,FALSE)," ")</f>
        <v xml:space="preserve"> </v>
      </c>
      <c r="Q307" s="53" t="str">
        <f>IFERROR(VLOOKUP($A307,'The List'!$B1:$AS727,24,FALSE)," ")</f>
        <v xml:space="preserve"> </v>
      </c>
      <c r="R307" s="53" t="str">
        <f>IFERROR(VLOOKUP($A307,'The List'!$B1:$AS727,25,FALSE)," ")</f>
        <v xml:space="preserve"> </v>
      </c>
      <c r="S307" s="53" t="str">
        <f>IFERROR(VLOOKUP($A307,'The List'!$B1:$AS727,26,FALSE)," ")</f>
        <v xml:space="preserve"> </v>
      </c>
      <c r="T307" s="53" t="str">
        <f>IFERROR(VLOOKUP($A307,'The List'!$B1:$AS727,27,FALSE)," ")</f>
        <v xml:space="preserve"> </v>
      </c>
      <c r="U307" s="53" t="str">
        <f>IFERROR(VLOOKUP($A307,'The List'!$B1:$AS727,28,FALSE)," ")</f>
        <v xml:space="preserve"> </v>
      </c>
      <c r="V307" s="53" t="str">
        <f>IFERROR(VLOOKUP($A307,'The List'!$B1:$AS727,29,FALSE)," ")</f>
        <v xml:space="preserve"> </v>
      </c>
      <c r="W307" s="53" t="str">
        <f>IFERROR(VLOOKUP($A307,'The List'!$B1:$AS727,30,FALSE)," ")</f>
        <v xml:space="preserve"> </v>
      </c>
      <c r="X307" s="53" t="str">
        <f>IFERROR(VLOOKUP($A307,'The List'!$B1:$AS727,31,FALSE)," ")</f>
        <v xml:space="preserve"> </v>
      </c>
      <c r="Y307" s="53" t="str">
        <f>IFERROR(VLOOKUP($A307,'The List'!$B1:$AS727,32,FALSE)," ")</f>
        <v xml:space="preserve"> </v>
      </c>
      <c r="Z307" s="53" t="str">
        <f>IFERROR(VLOOKUP($A307,'The List'!$B1:$AS727,33,FALSE)," ")</f>
        <v xml:space="preserve"> </v>
      </c>
      <c r="AA307" s="55"/>
      <c r="AB307" s="60"/>
      <c r="AC307" s="60"/>
      <c r="AD307" s="60"/>
      <c r="AE307" s="60"/>
      <c r="AF307" s="60"/>
    </row>
    <row r="308" spans="1:32" ht="21.25" customHeight="1" x14ac:dyDescent="0.15">
      <c r="A308" s="23"/>
      <c r="B308" s="68" t="str">
        <f>IFERROR(VLOOKUP($A308,'The List'!$B1:$AS727,3,FALSE)," ")</f>
        <v xml:space="preserve"> </v>
      </c>
      <c r="C308" s="70" t="str">
        <f>IFERROR(VLOOKUP($A308,'The List'!$B1:$AS727,4,FALSE)," ")</f>
        <v xml:space="preserve"> </v>
      </c>
      <c r="D308" s="35" t="str">
        <f>IFERROR(VLOOKUP($A308,'The List'!$B1:$AS727,5,FALSE)," ")</f>
        <v xml:space="preserve"> </v>
      </c>
      <c r="E308" s="35" t="str">
        <f>IFERROR(VLOOKUP($A308,'The List'!$B1:$AS727,6,FALSE)," ")</f>
        <v xml:space="preserve"> </v>
      </c>
      <c r="F308" s="52" t="str">
        <f>IFERROR(VLOOKUP($A308,'The List'!$B1:$AS727,8,FALSE)," ")</f>
        <v xml:space="preserve"> </v>
      </c>
      <c r="G308" s="52" t="str">
        <f>IFERROR(VLOOKUP($A308,'The List'!$B1:$AS727,10,FALSE)," ")</f>
        <v xml:space="preserve"> </v>
      </c>
      <c r="H308" s="39"/>
      <c r="I308" s="53" t="str">
        <f>IFERROR(VLOOKUP($A308,'The List'!$B1:$AS727,16,FALSE)," ")</f>
        <v xml:space="preserve"> </v>
      </c>
      <c r="J308" s="53" t="str">
        <f>IFERROR(VLOOKUP($A308,'The List'!$B1:$AS727,17,FALSE)," ")</f>
        <v xml:space="preserve"> </v>
      </c>
      <c r="K308" s="53" t="str">
        <f>IFERROR(VLOOKUP($A308,'The List'!$B1:$AS727,18,FALSE)," ")</f>
        <v xml:space="preserve"> </v>
      </c>
      <c r="L308" s="53" t="str">
        <f>IFERROR(VLOOKUP($A308,'The List'!$B1:$AS727,19,FALSE)," ")</f>
        <v xml:space="preserve"> </v>
      </c>
      <c r="M308" s="53" t="str">
        <f>IFERROR(VLOOKUP($A308,'The List'!$B1:$AS727,20,FALSE)," ")</f>
        <v xml:space="preserve"> </v>
      </c>
      <c r="N308" s="53" t="str">
        <f>IFERROR(VLOOKUP($A308,'The List'!$B1:$AS727,21,FALSE)," ")</f>
        <v xml:space="preserve"> </v>
      </c>
      <c r="O308" s="53" t="str">
        <f>IFERROR(VLOOKUP($A308,'The List'!$B1:$AS727,22,FALSE)," ")</f>
        <v xml:space="preserve"> </v>
      </c>
      <c r="P308" s="53" t="str">
        <f>IFERROR(VLOOKUP($A308,'The List'!$B1:$AS727,23,FALSE)," ")</f>
        <v xml:space="preserve"> </v>
      </c>
      <c r="Q308" s="53" t="str">
        <f>IFERROR(VLOOKUP($A308,'The List'!$B1:$AS727,24,FALSE)," ")</f>
        <v xml:space="preserve"> </v>
      </c>
      <c r="R308" s="53" t="str">
        <f>IFERROR(VLOOKUP($A308,'The List'!$B1:$AS727,25,FALSE)," ")</f>
        <v xml:space="preserve"> </v>
      </c>
      <c r="S308" s="53" t="str">
        <f>IFERROR(VLOOKUP($A308,'The List'!$B1:$AS727,26,FALSE)," ")</f>
        <v xml:space="preserve"> </v>
      </c>
      <c r="T308" s="53" t="str">
        <f>IFERROR(VLOOKUP($A308,'The List'!$B1:$AS727,27,FALSE)," ")</f>
        <v xml:space="preserve"> </v>
      </c>
      <c r="U308" s="53" t="str">
        <f>IFERROR(VLOOKUP($A308,'The List'!$B1:$AS727,28,FALSE)," ")</f>
        <v xml:space="preserve"> </v>
      </c>
      <c r="V308" s="53" t="str">
        <f>IFERROR(VLOOKUP($A308,'The List'!$B1:$AS727,29,FALSE)," ")</f>
        <v xml:space="preserve"> </v>
      </c>
      <c r="W308" s="53" t="str">
        <f>IFERROR(VLOOKUP($A308,'The List'!$B1:$AS727,30,FALSE)," ")</f>
        <v xml:space="preserve"> </v>
      </c>
      <c r="X308" s="53" t="str">
        <f>IFERROR(VLOOKUP($A308,'The List'!$B1:$AS727,31,FALSE)," ")</f>
        <v xml:space="preserve"> </v>
      </c>
      <c r="Y308" s="53" t="str">
        <f>IFERROR(VLOOKUP($A308,'The List'!$B1:$AS727,32,FALSE)," ")</f>
        <v xml:space="preserve"> </v>
      </c>
      <c r="Z308" s="53" t="str">
        <f>IFERROR(VLOOKUP($A308,'The List'!$B1:$AS727,33,FALSE)," ")</f>
        <v xml:space="preserve"> </v>
      </c>
      <c r="AA308" s="55"/>
      <c r="AB308" s="60"/>
      <c r="AC308" s="60"/>
      <c r="AD308" s="60"/>
      <c r="AE308" s="60"/>
      <c r="AF308" s="60"/>
    </row>
    <row r="309" spans="1:32" ht="21.25" customHeight="1" x14ac:dyDescent="0.15">
      <c r="A309" s="23"/>
      <c r="B309" s="68" t="str">
        <f>IFERROR(VLOOKUP($A309,'The List'!$B1:$AS727,3,FALSE)," ")</f>
        <v xml:space="preserve"> </v>
      </c>
      <c r="C309" s="70" t="str">
        <f>IFERROR(VLOOKUP($A309,'The List'!$B1:$AS727,4,FALSE)," ")</f>
        <v xml:space="preserve"> </v>
      </c>
      <c r="D309" s="35" t="str">
        <f>IFERROR(VLOOKUP($A309,'The List'!$B1:$AS727,5,FALSE)," ")</f>
        <v xml:space="preserve"> </v>
      </c>
      <c r="E309" s="35" t="str">
        <f>IFERROR(VLOOKUP($A309,'The List'!$B1:$AS727,6,FALSE)," ")</f>
        <v xml:space="preserve"> </v>
      </c>
      <c r="F309" s="52" t="str">
        <f>IFERROR(VLOOKUP($A309,'The List'!$B1:$AS727,8,FALSE)," ")</f>
        <v xml:space="preserve"> </v>
      </c>
      <c r="G309" s="52" t="str">
        <f>IFERROR(VLOOKUP($A309,'The List'!$B1:$AS727,10,FALSE)," ")</f>
        <v xml:space="preserve"> </v>
      </c>
      <c r="H309" s="39"/>
      <c r="I309" s="53" t="str">
        <f>IFERROR(VLOOKUP($A309,'The List'!$B1:$AS727,16,FALSE)," ")</f>
        <v xml:space="preserve"> </v>
      </c>
      <c r="J309" s="53" t="str">
        <f>IFERROR(VLOOKUP($A309,'The List'!$B1:$AS727,17,FALSE)," ")</f>
        <v xml:space="preserve"> </v>
      </c>
      <c r="K309" s="53" t="str">
        <f>IFERROR(VLOOKUP($A309,'The List'!$B1:$AS727,18,FALSE)," ")</f>
        <v xml:space="preserve"> </v>
      </c>
      <c r="L309" s="53" t="str">
        <f>IFERROR(VLOOKUP($A309,'The List'!$B1:$AS727,19,FALSE)," ")</f>
        <v xml:space="preserve"> </v>
      </c>
      <c r="M309" s="53" t="str">
        <f>IFERROR(VLOOKUP($A309,'The List'!$B1:$AS727,20,FALSE)," ")</f>
        <v xml:space="preserve"> </v>
      </c>
      <c r="N309" s="53" t="str">
        <f>IFERROR(VLOOKUP($A309,'The List'!$B1:$AS727,21,FALSE)," ")</f>
        <v xml:space="preserve"> </v>
      </c>
      <c r="O309" s="53" t="str">
        <f>IFERROR(VLOOKUP($A309,'The List'!$B1:$AS727,22,FALSE)," ")</f>
        <v xml:space="preserve"> </v>
      </c>
      <c r="P309" s="53" t="str">
        <f>IFERROR(VLOOKUP($A309,'The List'!$B1:$AS727,23,FALSE)," ")</f>
        <v xml:space="preserve"> </v>
      </c>
      <c r="Q309" s="53" t="str">
        <f>IFERROR(VLOOKUP($A309,'The List'!$B1:$AS727,24,FALSE)," ")</f>
        <v xml:space="preserve"> </v>
      </c>
      <c r="R309" s="53" t="str">
        <f>IFERROR(VLOOKUP($A309,'The List'!$B1:$AS727,25,FALSE)," ")</f>
        <v xml:space="preserve"> </v>
      </c>
      <c r="S309" s="53" t="str">
        <f>IFERROR(VLOOKUP($A309,'The List'!$B1:$AS727,26,FALSE)," ")</f>
        <v xml:space="preserve"> </v>
      </c>
      <c r="T309" s="53" t="str">
        <f>IFERROR(VLOOKUP($A309,'The List'!$B1:$AS727,27,FALSE)," ")</f>
        <v xml:space="preserve"> </v>
      </c>
      <c r="U309" s="53" t="str">
        <f>IFERROR(VLOOKUP($A309,'The List'!$B1:$AS727,28,FALSE)," ")</f>
        <v xml:space="preserve"> </v>
      </c>
      <c r="V309" s="53" t="str">
        <f>IFERROR(VLOOKUP($A309,'The List'!$B1:$AS727,29,FALSE)," ")</f>
        <v xml:space="preserve"> </v>
      </c>
      <c r="W309" s="53" t="str">
        <f>IFERROR(VLOOKUP($A309,'The List'!$B1:$AS727,30,FALSE)," ")</f>
        <v xml:space="preserve"> </v>
      </c>
      <c r="X309" s="53" t="str">
        <f>IFERROR(VLOOKUP($A309,'The List'!$B1:$AS727,31,FALSE)," ")</f>
        <v xml:space="preserve"> </v>
      </c>
      <c r="Y309" s="53" t="str">
        <f>IFERROR(VLOOKUP($A309,'The List'!$B1:$AS727,32,FALSE)," ")</f>
        <v xml:space="preserve"> </v>
      </c>
      <c r="Z309" s="53" t="str">
        <f>IFERROR(VLOOKUP($A309,'The List'!$B1:$AS727,33,FALSE)," ")</f>
        <v xml:space="preserve"> </v>
      </c>
      <c r="AA309" s="55"/>
      <c r="AB309" s="60"/>
      <c r="AC309" s="60"/>
      <c r="AD309" s="60"/>
      <c r="AE309" s="60"/>
      <c r="AF309" s="60"/>
    </row>
    <row r="310" spans="1:32" ht="21.25" customHeight="1" x14ac:dyDescent="0.15">
      <c r="A310" s="23"/>
      <c r="B310" s="68" t="str">
        <f>IFERROR(VLOOKUP($A310,'The List'!$B1:$AS727,3,FALSE)," ")</f>
        <v xml:space="preserve"> </v>
      </c>
      <c r="C310" s="70" t="str">
        <f>IFERROR(VLOOKUP($A310,'The List'!$B1:$AS727,4,FALSE)," ")</f>
        <v xml:space="preserve"> </v>
      </c>
      <c r="D310" s="35" t="str">
        <f>IFERROR(VLOOKUP($A310,'The List'!$B1:$AS727,5,FALSE)," ")</f>
        <v xml:space="preserve"> </v>
      </c>
      <c r="E310" s="35" t="str">
        <f>IFERROR(VLOOKUP($A310,'The List'!$B1:$AS727,6,FALSE)," ")</f>
        <v xml:space="preserve"> </v>
      </c>
      <c r="F310" s="52" t="str">
        <f>IFERROR(VLOOKUP($A310,'The List'!$B1:$AS727,8,FALSE)," ")</f>
        <v xml:space="preserve"> </v>
      </c>
      <c r="G310" s="52" t="str">
        <f>IFERROR(VLOOKUP($A310,'The List'!$B1:$AS727,10,FALSE)," ")</f>
        <v xml:space="preserve"> </v>
      </c>
      <c r="H310" s="39"/>
      <c r="I310" s="53" t="str">
        <f>IFERROR(VLOOKUP($A310,'The List'!$B1:$AS727,16,FALSE)," ")</f>
        <v xml:space="preserve"> </v>
      </c>
      <c r="J310" s="53" t="str">
        <f>IFERROR(VLOOKUP($A310,'The List'!$B1:$AS727,17,FALSE)," ")</f>
        <v xml:space="preserve"> </v>
      </c>
      <c r="K310" s="53" t="str">
        <f>IFERROR(VLOOKUP($A310,'The List'!$B1:$AS727,18,FALSE)," ")</f>
        <v xml:space="preserve"> </v>
      </c>
      <c r="L310" s="53" t="str">
        <f>IFERROR(VLOOKUP($A310,'The List'!$B1:$AS727,19,FALSE)," ")</f>
        <v xml:space="preserve"> </v>
      </c>
      <c r="M310" s="53" t="str">
        <f>IFERROR(VLOOKUP($A310,'The List'!$B1:$AS727,20,FALSE)," ")</f>
        <v xml:space="preserve"> </v>
      </c>
      <c r="N310" s="53" t="str">
        <f>IFERROR(VLOOKUP($A310,'The List'!$B1:$AS727,21,FALSE)," ")</f>
        <v xml:space="preserve"> </v>
      </c>
      <c r="O310" s="53" t="str">
        <f>IFERROR(VLOOKUP($A310,'The List'!$B1:$AS727,22,FALSE)," ")</f>
        <v xml:space="preserve"> </v>
      </c>
      <c r="P310" s="53" t="str">
        <f>IFERROR(VLOOKUP($A310,'The List'!$B1:$AS727,23,FALSE)," ")</f>
        <v xml:space="preserve"> </v>
      </c>
      <c r="Q310" s="53" t="str">
        <f>IFERROR(VLOOKUP($A310,'The List'!$B1:$AS727,24,FALSE)," ")</f>
        <v xml:space="preserve"> </v>
      </c>
      <c r="R310" s="53" t="str">
        <f>IFERROR(VLOOKUP($A310,'The List'!$B1:$AS727,25,FALSE)," ")</f>
        <v xml:space="preserve"> </v>
      </c>
      <c r="S310" s="53" t="str">
        <f>IFERROR(VLOOKUP($A310,'The List'!$B1:$AS727,26,FALSE)," ")</f>
        <v xml:space="preserve"> </v>
      </c>
      <c r="T310" s="53" t="str">
        <f>IFERROR(VLOOKUP($A310,'The List'!$B1:$AS727,27,FALSE)," ")</f>
        <v xml:space="preserve"> </v>
      </c>
      <c r="U310" s="53" t="str">
        <f>IFERROR(VLOOKUP($A310,'The List'!$B1:$AS727,28,FALSE)," ")</f>
        <v xml:space="preserve"> </v>
      </c>
      <c r="V310" s="53" t="str">
        <f>IFERROR(VLOOKUP($A310,'The List'!$B1:$AS727,29,FALSE)," ")</f>
        <v xml:space="preserve"> </v>
      </c>
      <c r="W310" s="53" t="str">
        <f>IFERROR(VLOOKUP($A310,'The List'!$B1:$AS727,30,FALSE)," ")</f>
        <v xml:space="preserve"> </v>
      </c>
      <c r="X310" s="53" t="str">
        <f>IFERROR(VLOOKUP($A310,'The List'!$B1:$AS727,31,FALSE)," ")</f>
        <v xml:space="preserve"> </v>
      </c>
      <c r="Y310" s="53" t="str">
        <f>IFERROR(VLOOKUP($A310,'The List'!$B1:$AS727,32,FALSE)," ")</f>
        <v xml:space="preserve"> </v>
      </c>
      <c r="Z310" s="53" t="str">
        <f>IFERROR(VLOOKUP($A310,'The List'!$B1:$AS727,33,FALSE)," ")</f>
        <v xml:space="preserve"> </v>
      </c>
      <c r="AA310" s="55"/>
      <c r="AB310" s="60"/>
      <c r="AC310" s="60"/>
      <c r="AD310" s="60"/>
      <c r="AE310" s="60"/>
      <c r="AF310" s="60"/>
    </row>
    <row r="311" spans="1:32" ht="21.25" customHeight="1" x14ac:dyDescent="0.15">
      <c r="A311" s="72"/>
      <c r="B311" s="73" t="str">
        <f>IFERROR(VLOOKUP($A311,'The List'!$B1:$AS727,3,FALSE)," ")</f>
        <v xml:space="preserve"> </v>
      </c>
      <c r="C311" s="74" t="str">
        <f>IFERROR(VLOOKUP($A311,'The List'!$B1:$AS727,4,FALSE)," ")</f>
        <v xml:space="preserve"> </v>
      </c>
      <c r="D311" s="75" t="str">
        <f>IFERROR(VLOOKUP($A311,'The List'!$B1:$AS727,5,FALSE)," ")</f>
        <v xml:space="preserve"> </v>
      </c>
      <c r="E311" s="75" t="str">
        <f>IFERROR(VLOOKUP($A311,'The List'!$B1:$AS727,6,FALSE)," ")</f>
        <v xml:space="preserve"> </v>
      </c>
      <c r="F311" s="76" t="str">
        <f>IFERROR(VLOOKUP($A311,'The List'!$B1:$AS727,8,FALSE)," ")</f>
        <v xml:space="preserve"> </v>
      </c>
      <c r="G311" s="76" t="str">
        <f>IFERROR(VLOOKUP($A311,'The List'!$B1:$AS727,10,FALSE)," ")</f>
        <v xml:space="preserve"> </v>
      </c>
      <c r="H311" s="77"/>
      <c r="I311" s="78" t="str">
        <f>IFERROR(VLOOKUP($A311,'The List'!$B1:$AS727,16,FALSE)," ")</f>
        <v xml:space="preserve"> </v>
      </c>
      <c r="J311" s="78" t="str">
        <f>IFERROR(VLOOKUP($A311,'The List'!$B1:$AS727,17,FALSE)," ")</f>
        <v xml:space="preserve"> </v>
      </c>
      <c r="K311" s="78" t="str">
        <f>IFERROR(VLOOKUP($A311,'The List'!$B1:$AS727,18,FALSE)," ")</f>
        <v xml:space="preserve"> </v>
      </c>
      <c r="L311" s="78" t="str">
        <f>IFERROR(VLOOKUP($A311,'The List'!$B1:$AS727,19,FALSE)," ")</f>
        <v xml:space="preserve"> </v>
      </c>
      <c r="M311" s="78" t="str">
        <f>IFERROR(VLOOKUP($A311,'The List'!$B1:$AS727,20,FALSE)," ")</f>
        <v xml:space="preserve"> </v>
      </c>
      <c r="N311" s="78" t="str">
        <f>IFERROR(VLOOKUP($A311,'The List'!$B1:$AS727,21,FALSE)," ")</f>
        <v xml:space="preserve"> </v>
      </c>
      <c r="O311" s="78" t="str">
        <f>IFERROR(VLOOKUP($A311,'The List'!$B1:$AS727,22,FALSE)," ")</f>
        <v xml:space="preserve"> </v>
      </c>
      <c r="P311" s="78" t="str">
        <f>IFERROR(VLOOKUP($A311,'The List'!$B1:$AS727,23,FALSE)," ")</f>
        <v xml:space="preserve"> </v>
      </c>
      <c r="Q311" s="78" t="str">
        <f>IFERROR(VLOOKUP($A311,'The List'!$B1:$AS727,24,FALSE)," ")</f>
        <v xml:space="preserve"> </v>
      </c>
      <c r="R311" s="78" t="str">
        <f>IFERROR(VLOOKUP($A311,'The List'!$B1:$AS727,25,FALSE)," ")</f>
        <v xml:space="preserve"> </v>
      </c>
      <c r="S311" s="78" t="str">
        <f>IFERROR(VLOOKUP($A311,'The List'!$B1:$AS727,26,FALSE)," ")</f>
        <v xml:space="preserve"> </v>
      </c>
      <c r="T311" s="78" t="str">
        <f>IFERROR(VLOOKUP($A311,'The List'!$B1:$AS727,27,FALSE)," ")</f>
        <v xml:space="preserve"> </v>
      </c>
      <c r="U311" s="78" t="str">
        <f>IFERROR(VLOOKUP($A311,'The List'!$B1:$AS727,28,FALSE)," ")</f>
        <v xml:space="preserve"> </v>
      </c>
      <c r="V311" s="78" t="str">
        <f>IFERROR(VLOOKUP($A311,'The List'!$B1:$AS727,29,FALSE)," ")</f>
        <v xml:space="preserve"> </v>
      </c>
      <c r="W311" s="78" t="str">
        <f>IFERROR(VLOOKUP($A311,'The List'!$B1:$AS727,30,FALSE)," ")</f>
        <v xml:space="preserve"> </v>
      </c>
      <c r="X311" s="78" t="str">
        <f>IFERROR(VLOOKUP($A311,'The List'!$B1:$AS727,31,FALSE)," ")</f>
        <v xml:space="preserve"> </v>
      </c>
      <c r="Y311" s="78" t="str">
        <f>IFERROR(VLOOKUP($A311,'The List'!$B1:$AS727,32,FALSE)," ")</f>
        <v xml:space="preserve"> </v>
      </c>
      <c r="Z311" s="78" t="str">
        <f>IFERROR(VLOOKUP($A311,'The List'!$B1:$AS727,33,FALSE)," ")</f>
        <v xml:space="preserve"> </v>
      </c>
      <c r="AA311" s="55"/>
      <c r="AB311" s="60"/>
      <c r="AC311" s="60"/>
      <c r="AD311" s="60"/>
      <c r="AE311" s="60"/>
      <c r="AF311" s="60"/>
    </row>
    <row r="312" spans="1:32" ht="21.25" customHeight="1" x14ac:dyDescent="0.15">
      <c r="A312" s="79"/>
      <c r="B312" s="80"/>
      <c r="C312" s="81"/>
      <c r="D312" s="82"/>
      <c r="E312" s="117" t="str">
        <f>IFERROR(AVERAGE(E292:E311)," ")</f>
        <v xml:space="preserve"> </v>
      </c>
      <c r="F312" s="84">
        <f>SUM(F292:F311)</f>
        <v>0</v>
      </c>
      <c r="G312" s="84">
        <f>SUM(G292:G311)</f>
        <v>0</v>
      </c>
      <c r="H312" s="85"/>
      <c r="I312" s="86">
        <f>SUM(I292:I311)</f>
        <v>0</v>
      </c>
      <c r="J312" s="85" t="e">
        <f>AVERAGE(J292:J311)</f>
        <v>#DIV/0!</v>
      </c>
      <c r="K312" s="86">
        <f t="shared" ref="K312:Y312" si="20">SUM(K292:K311)</f>
        <v>0</v>
      </c>
      <c r="L312" s="86">
        <f t="shared" si="20"/>
        <v>0</v>
      </c>
      <c r="M312" s="86">
        <f t="shared" si="20"/>
        <v>0</v>
      </c>
      <c r="N312" s="86">
        <f t="shared" si="20"/>
        <v>0</v>
      </c>
      <c r="O312" s="86">
        <f t="shared" si="20"/>
        <v>0</v>
      </c>
      <c r="P312" s="86">
        <f t="shared" si="20"/>
        <v>0</v>
      </c>
      <c r="Q312" s="86">
        <f t="shared" si="20"/>
        <v>0</v>
      </c>
      <c r="R312" s="86">
        <f t="shared" si="20"/>
        <v>0</v>
      </c>
      <c r="S312" s="86">
        <f t="shared" si="20"/>
        <v>0</v>
      </c>
      <c r="T312" s="86">
        <f t="shared" si="20"/>
        <v>0</v>
      </c>
      <c r="U312" s="86">
        <f t="shared" si="20"/>
        <v>0</v>
      </c>
      <c r="V312" s="86">
        <f t="shared" si="20"/>
        <v>0</v>
      </c>
      <c r="W312" s="86">
        <f t="shared" si="20"/>
        <v>0</v>
      </c>
      <c r="X312" s="86">
        <f t="shared" si="20"/>
        <v>0</v>
      </c>
      <c r="Y312" s="86">
        <f t="shared" si="20"/>
        <v>0</v>
      </c>
      <c r="Z312" s="87">
        <f>IFERROR(X312/(X312+Y312),0)</f>
        <v>0</v>
      </c>
      <c r="AA312" s="55"/>
      <c r="AB312" s="88"/>
      <c r="AC312" s="88"/>
      <c r="AD312" s="88"/>
      <c r="AE312" s="88"/>
      <c r="AF312" s="88"/>
    </row>
    <row r="313" spans="1:32" ht="21.25" customHeight="1" x14ac:dyDescent="0.15">
      <c r="A313" s="89"/>
      <c r="B313" s="90"/>
      <c r="C313" s="91"/>
      <c r="D313" s="11"/>
      <c r="E313" s="11"/>
      <c r="F313" s="92"/>
      <c r="G313" s="93"/>
      <c r="H313" s="94"/>
      <c r="I313" s="9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60"/>
      <c r="AC313" s="60"/>
      <c r="AD313" s="60"/>
      <c r="AE313" s="60"/>
      <c r="AF313" s="60"/>
    </row>
    <row r="314" spans="1:32" ht="21.25" customHeight="1" x14ac:dyDescent="0.15">
      <c r="A314" s="24" t="s">
        <v>66</v>
      </c>
      <c r="B314" s="174" t="s">
        <v>68</v>
      </c>
      <c r="C314" s="165"/>
      <c r="D314" s="96" t="s">
        <v>69</v>
      </c>
      <c r="E314" s="96" t="s">
        <v>70</v>
      </c>
      <c r="F314" s="97" t="s">
        <v>72</v>
      </c>
      <c r="G314" s="97" t="s">
        <v>74</v>
      </c>
      <c r="H314" s="98"/>
      <c r="I314" s="99" t="s">
        <v>79</v>
      </c>
      <c r="J314" s="99" t="s">
        <v>97</v>
      </c>
      <c r="K314" s="99" t="s">
        <v>98</v>
      </c>
      <c r="L314" s="99" t="s">
        <v>99</v>
      </c>
      <c r="M314" s="99" t="s">
        <v>100</v>
      </c>
      <c r="N314" s="99" t="s">
        <v>101</v>
      </c>
      <c r="O314" s="99" t="s">
        <v>102</v>
      </c>
      <c r="P314" s="99" t="s">
        <v>103</v>
      </c>
      <c r="Q314" s="99" t="s">
        <v>104</v>
      </c>
      <c r="R314" s="55"/>
      <c r="S314" s="55"/>
      <c r="T314" s="55"/>
      <c r="U314" s="174" t="s">
        <v>850</v>
      </c>
      <c r="V314" s="175"/>
      <c r="W314" s="175"/>
      <c r="X314" s="174" t="s">
        <v>851</v>
      </c>
      <c r="Y314" s="175"/>
      <c r="Z314" s="175"/>
      <c r="AA314" s="55"/>
      <c r="AB314" s="55"/>
      <c r="AC314" s="55"/>
      <c r="AD314" s="55"/>
      <c r="AE314" s="55"/>
      <c r="AF314" s="55"/>
    </row>
    <row r="315" spans="1:32" ht="21.25" customHeight="1" x14ac:dyDescent="0.15">
      <c r="A315" s="118"/>
      <c r="B315" s="101" t="str">
        <f>IFERROR(VLOOKUP($A315,'The List'!$B1:$AS727,3,FALSE)," ")</f>
        <v xml:space="preserve"> </v>
      </c>
      <c r="C315" s="119" t="str">
        <f>IFERROR(VLOOKUP($A315,'The List'!$B1:$AS727,4,FALSE)," ")</f>
        <v xml:space="preserve"> </v>
      </c>
      <c r="D315" s="103" t="str">
        <f>IFERROR(VLOOKUP($A315,'The List'!$B1:$AS727,5,FALSE)," ")</f>
        <v xml:space="preserve"> </v>
      </c>
      <c r="E315" s="103" t="str">
        <f>IFERROR(VLOOKUP($A315,'The List'!$B1:$AS727,6,FALSE)," ")</f>
        <v xml:space="preserve"> </v>
      </c>
      <c r="F315" s="120" t="str">
        <f>IFERROR(VLOOKUP($A315,'The List'!$B1:$AS727,8,FALSE)," ")</f>
        <v xml:space="preserve"> </v>
      </c>
      <c r="G315" s="120" t="str">
        <f>IFERROR(VLOOKUP($A315,'The List'!$B1:$AS727,10,FALSE)," ")</f>
        <v xml:space="preserve"> </v>
      </c>
      <c r="H315" s="106"/>
      <c r="I315" s="121" t="str">
        <f>IFERROR(VLOOKUP($A315,'The List'!$B1:$AS727,35,FALSE)," ")</f>
        <v xml:space="preserve"> </v>
      </c>
      <c r="J315" s="121" t="str">
        <f>IFERROR(VLOOKUP($A315,'The List'!$B1:$AS727,36,FALSE)," ")</f>
        <v xml:space="preserve"> </v>
      </c>
      <c r="K315" s="121" t="str">
        <f>IFERROR(VLOOKUP($A315,'The List'!$B1:$AS727,37,FALSE)," ")</f>
        <v xml:space="preserve"> </v>
      </c>
      <c r="L315" s="121" t="str">
        <f>IFERROR(VLOOKUP($A315,'The List'!$B1:$AS727,38,FALSE)," ")</f>
        <v xml:space="preserve"> </v>
      </c>
      <c r="M315" s="121" t="str">
        <f>IFERROR(VLOOKUP($A315,'The List'!$B1:$AS727,39,FALSE)," ")</f>
        <v xml:space="preserve"> </v>
      </c>
      <c r="N315" s="121" t="str">
        <f>IFERROR(VLOOKUP($A315,'The List'!$B1:$AS727,40,FALSE)," ")</f>
        <v xml:space="preserve"> </v>
      </c>
      <c r="O315" s="121" t="str">
        <f>IFERROR(VLOOKUP($A315,'The List'!$B1:$AS727,41,FALSE)," ")</f>
        <v xml:space="preserve"> </v>
      </c>
      <c r="P315" s="121" t="str">
        <f>IFERROR(VLOOKUP($A315,'The List'!$B1:$AS727,42,FALSE)," ")</f>
        <v xml:space="preserve"> </v>
      </c>
      <c r="Q315" s="121" t="str">
        <f>IFERROR(VLOOKUP($A315,'The List'!$B1:$AS727,43,FALSE)," ")</f>
        <v xml:space="preserve"> </v>
      </c>
      <c r="R315" s="55"/>
      <c r="S315" s="55"/>
      <c r="T315" s="110" t="str">
        <f>A291</f>
        <v>TEAM 11</v>
      </c>
      <c r="U315" s="176">
        <f>F312+F318</f>
        <v>0</v>
      </c>
      <c r="V315" s="165"/>
      <c r="W315" s="165"/>
      <c r="X315" s="176">
        <f>G318+G312</f>
        <v>0</v>
      </c>
      <c r="Y315" s="165"/>
      <c r="Z315" s="165"/>
      <c r="AA315" s="55"/>
      <c r="AB315" s="55"/>
      <c r="AC315" s="55"/>
      <c r="AD315" s="55"/>
      <c r="AE315" s="55"/>
      <c r="AF315" s="55"/>
    </row>
    <row r="316" spans="1:32" ht="21.25" customHeight="1" x14ac:dyDescent="0.15">
      <c r="A316" s="23"/>
      <c r="B316" s="111" t="str">
        <f>IFERROR(VLOOKUP($A316,'The List'!$B1:$AS727,3,FALSE)," ")</f>
        <v xml:space="preserve"> </v>
      </c>
      <c r="C316" s="112" t="str">
        <f>IFERROR(VLOOKUP($A316,'The List'!$B1:$AS727,4,FALSE)," ")</f>
        <v xml:space="preserve"> </v>
      </c>
      <c r="D316" s="35" t="str">
        <f>IFERROR(VLOOKUP($A316,'The List'!$B1:$AS727,5,FALSE)," ")</f>
        <v xml:space="preserve"> </v>
      </c>
      <c r="E316" s="35" t="str">
        <f>IFERROR(VLOOKUP($A316,'The List'!$B1:$AS727,6,FALSE)," ")</f>
        <v xml:space="preserve"> </v>
      </c>
      <c r="F316" s="52" t="str">
        <f>IFERROR(VLOOKUP($A316,'The List'!$B1:$AS727,8,FALSE)," ")</f>
        <v xml:space="preserve"> </v>
      </c>
      <c r="G316" s="52" t="str">
        <f>IFERROR(VLOOKUP($A316,'The List'!$B1:$AS727,10,FALSE)," ")</f>
        <v xml:space="preserve"> </v>
      </c>
      <c r="H316" s="39"/>
      <c r="I316" s="53" t="str">
        <f>IFERROR(VLOOKUP($A316,'The List'!$B1:$AS727,35,FALSE)," ")</f>
        <v xml:space="preserve"> </v>
      </c>
      <c r="J316" s="53" t="str">
        <f>IFERROR(VLOOKUP($A316,'The List'!$B1:$AS727,36,FALSE)," ")</f>
        <v xml:space="preserve"> </v>
      </c>
      <c r="K316" s="53" t="str">
        <f>IFERROR(VLOOKUP($A316,'The List'!$B1:$AS727,37,FALSE)," ")</f>
        <v xml:space="preserve"> </v>
      </c>
      <c r="L316" s="53" t="str">
        <f>IFERROR(VLOOKUP($A316,'The List'!$B1:$AS727,38,FALSE)," ")</f>
        <v xml:space="preserve"> </v>
      </c>
      <c r="M316" s="53" t="str">
        <f>IFERROR(VLOOKUP($A316,'The List'!$B1:$AS727,39,FALSE)," ")</f>
        <v xml:space="preserve"> </v>
      </c>
      <c r="N316" s="53" t="str">
        <f>IFERROR(VLOOKUP($A316,'The List'!$B1:$AS727,40,FALSE)," ")</f>
        <v xml:space="preserve"> </v>
      </c>
      <c r="O316" s="53" t="str">
        <f>IFERROR(VLOOKUP($A316,'The List'!$B1:$AS727,41,FALSE)," ")</f>
        <v xml:space="preserve"> </v>
      </c>
      <c r="P316" s="53" t="str">
        <f>IFERROR(VLOOKUP($A316,'The List'!$B1:$AS727,42,FALSE)," ")</f>
        <v xml:space="preserve"> </v>
      </c>
      <c r="Q316" s="53" t="str">
        <f>IFERROR(VLOOKUP($A316,'The List'!$B1:$AS727,43,FALSE)," ")</f>
        <v xml:space="preserve"> </v>
      </c>
      <c r="R316" s="55"/>
      <c r="S316" s="55"/>
      <c r="T316" s="55"/>
      <c r="U316" s="165"/>
      <c r="V316" s="165"/>
      <c r="W316" s="165"/>
      <c r="X316" s="165"/>
      <c r="Y316" s="165"/>
      <c r="Z316" s="165"/>
      <c r="AA316" s="55"/>
      <c r="AB316" s="55"/>
      <c r="AC316" s="55"/>
      <c r="AD316" s="55"/>
      <c r="AE316" s="55"/>
      <c r="AF316" s="55"/>
    </row>
    <row r="317" spans="1:32" ht="21.25" customHeight="1" x14ac:dyDescent="0.15">
      <c r="A317" s="72"/>
      <c r="B317" s="113" t="str">
        <f>IFERROR(VLOOKUP($A317,'The List'!$B1:$AS727,3,FALSE)," ")</f>
        <v xml:space="preserve"> </v>
      </c>
      <c r="C317" s="114" t="str">
        <f>IFERROR(VLOOKUP($A317,'The List'!$B1:$AS727,4,FALSE)," ")</f>
        <v xml:space="preserve"> </v>
      </c>
      <c r="D317" s="75" t="str">
        <f>IFERROR(VLOOKUP($A317,'The List'!$B1:$AS727,5,FALSE)," ")</f>
        <v xml:space="preserve"> </v>
      </c>
      <c r="E317" s="75" t="str">
        <f>IFERROR(VLOOKUP($A317,'The List'!$B1:$AS727,6,FALSE)," ")</f>
        <v xml:space="preserve"> </v>
      </c>
      <c r="F317" s="76" t="str">
        <f>IFERROR(VLOOKUP($A317,'The List'!$B1:$AS727,8,FALSE)," ")</f>
        <v xml:space="preserve"> </v>
      </c>
      <c r="G317" s="76" t="str">
        <f>IFERROR(VLOOKUP($A317,'The List'!$B1:$AS727,10,FALSE)," ")</f>
        <v xml:space="preserve"> </v>
      </c>
      <c r="H317" s="77"/>
      <c r="I317" s="78" t="str">
        <f>IFERROR(VLOOKUP($A317,'The List'!$B1:$AS727,35,FALSE)," ")</f>
        <v xml:space="preserve"> </v>
      </c>
      <c r="J317" s="78" t="str">
        <f>IFERROR(VLOOKUP($A317,'The List'!$B1:$AS727,36,FALSE)," ")</f>
        <v xml:space="preserve"> </v>
      </c>
      <c r="K317" s="78" t="str">
        <f>IFERROR(VLOOKUP($A317,'The List'!$B1:$AS727,37,FALSE)," ")</f>
        <v xml:space="preserve"> </v>
      </c>
      <c r="L317" s="78" t="str">
        <f>IFERROR(VLOOKUP($A317,'The List'!$B1:$AS727,38,FALSE)," ")</f>
        <v xml:space="preserve"> </v>
      </c>
      <c r="M317" s="78" t="str">
        <f>IFERROR(VLOOKUP($A317,'The List'!$B1:$AS727,39,FALSE)," ")</f>
        <v xml:space="preserve"> </v>
      </c>
      <c r="N317" s="78" t="str">
        <f>IFERROR(VLOOKUP($A317,'The List'!$B1:$AS727,40,FALSE)," ")</f>
        <v xml:space="preserve"> </v>
      </c>
      <c r="O317" s="78" t="str">
        <f>IFERROR(VLOOKUP($A317,'The List'!$B1:$AS727,41,FALSE)," ")</f>
        <v xml:space="preserve"> </v>
      </c>
      <c r="P317" s="78" t="str">
        <f>IFERROR(VLOOKUP($A317,'The List'!$B1:$AS727,42,FALSE)," ")</f>
        <v xml:space="preserve"> </v>
      </c>
      <c r="Q317" s="78" t="str">
        <f>IFERROR(VLOOKUP($A317,'The List'!$B1:$AS727,43,FALSE)," ")</f>
        <v xml:space="preserve"> </v>
      </c>
      <c r="R317" s="55"/>
      <c r="S317" s="55"/>
      <c r="T317" s="55"/>
      <c r="U317" s="165"/>
      <c r="V317" s="165"/>
      <c r="W317" s="165"/>
      <c r="X317" s="165"/>
      <c r="Y317" s="165"/>
      <c r="Z317" s="165"/>
      <c r="AA317" s="55"/>
      <c r="AB317" s="55"/>
      <c r="AC317" s="55"/>
      <c r="AD317" s="55"/>
      <c r="AE317" s="55"/>
      <c r="AF317" s="55"/>
    </row>
    <row r="318" spans="1:32" ht="21.25" customHeight="1" x14ac:dyDescent="0.15">
      <c r="A318" s="79"/>
      <c r="B318" s="80"/>
      <c r="C318" s="81"/>
      <c r="D318" s="82"/>
      <c r="E318" s="117" t="str">
        <f>IFERROR(AVERAGE(E315:E317)," ")</f>
        <v xml:space="preserve"> </v>
      </c>
      <c r="F318" s="84">
        <f>SUM(F315:F317)</f>
        <v>0</v>
      </c>
      <c r="G318" s="84">
        <f>SUM(G315:G317)</f>
        <v>0</v>
      </c>
      <c r="H318" s="85"/>
      <c r="I318" s="86">
        <f t="shared" ref="I318:O318" si="21">SUM(I315:I317)</f>
        <v>0</v>
      </c>
      <c r="J318" s="85">
        <f t="shared" si="21"/>
        <v>0</v>
      </c>
      <c r="K318" s="86">
        <f t="shared" si="21"/>
        <v>0</v>
      </c>
      <c r="L318" s="86">
        <f t="shared" si="21"/>
        <v>0</v>
      </c>
      <c r="M318" s="86">
        <f t="shared" si="21"/>
        <v>0</v>
      </c>
      <c r="N318" s="86">
        <f t="shared" si="21"/>
        <v>0</v>
      </c>
      <c r="O318" s="86">
        <f t="shared" si="21"/>
        <v>0</v>
      </c>
      <c r="P318" s="115" t="e">
        <f>1-(O318/(N318+O318))</f>
        <v>#DIV/0!</v>
      </c>
      <c r="Q318" s="116" t="e">
        <f>O318/I318</f>
        <v>#DIV/0!</v>
      </c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</row>
    <row r="319" spans="1:32" ht="70.75" customHeight="1" x14ac:dyDescent="0.15">
      <c r="A319" s="89"/>
      <c r="B319" s="90"/>
      <c r="C319" s="91"/>
      <c r="D319" s="11"/>
      <c r="E319" s="11"/>
      <c r="F319" s="92"/>
      <c r="G319" s="93"/>
      <c r="H319" s="94"/>
      <c r="I319" s="9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60"/>
      <c r="AB319" s="60"/>
      <c r="AC319" s="60"/>
      <c r="AD319" s="60"/>
      <c r="AE319" s="60"/>
      <c r="AF319" s="60"/>
    </row>
    <row r="320" spans="1:32" ht="21.25" customHeight="1" x14ac:dyDescent="0.15">
      <c r="A320" s="25" t="s">
        <v>845</v>
      </c>
      <c r="B320" s="173" t="s">
        <v>68</v>
      </c>
      <c r="C320" s="170"/>
      <c r="D320" s="26" t="s">
        <v>69</v>
      </c>
      <c r="E320" s="26" t="s">
        <v>70</v>
      </c>
      <c r="F320" s="27" t="s">
        <v>72</v>
      </c>
      <c r="G320" s="27" t="s">
        <v>74</v>
      </c>
      <c r="H320" s="28"/>
      <c r="I320" s="30" t="s">
        <v>79</v>
      </c>
      <c r="J320" s="30" t="s">
        <v>80</v>
      </c>
      <c r="K320" s="30" t="s">
        <v>81</v>
      </c>
      <c r="L320" s="30" t="s">
        <v>82</v>
      </c>
      <c r="M320" s="30" t="s">
        <v>83</v>
      </c>
      <c r="N320" s="30" t="s">
        <v>84</v>
      </c>
      <c r="O320" s="30" t="s">
        <v>85</v>
      </c>
      <c r="P320" s="30" t="s">
        <v>86</v>
      </c>
      <c r="Q320" s="30" t="s">
        <v>87</v>
      </c>
      <c r="R320" s="30" t="s">
        <v>88</v>
      </c>
      <c r="S320" s="30" t="s">
        <v>89</v>
      </c>
      <c r="T320" s="30" t="s">
        <v>90</v>
      </c>
      <c r="U320" s="30" t="s">
        <v>91</v>
      </c>
      <c r="V320" s="30" t="s">
        <v>92</v>
      </c>
      <c r="W320" s="30" t="s">
        <v>93</v>
      </c>
      <c r="X320" s="30" t="s">
        <v>94</v>
      </c>
      <c r="Y320" s="30" t="s">
        <v>95</v>
      </c>
      <c r="Z320" s="30" t="s">
        <v>96</v>
      </c>
      <c r="AA320" s="55"/>
      <c r="AB320" s="56"/>
      <c r="AC320" s="56"/>
      <c r="AD320" s="56"/>
      <c r="AE320" s="56"/>
      <c r="AF320" s="56"/>
    </row>
    <row r="321" spans="1:32" ht="21.25" customHeight="1" x14ac:dyDescent="0.15">
      <c r="A321" s="23"/>
      <c r="B321" s="57" t="str">
        <f>IFERROR(VLOOKUP($A321,'The List'!$B1:$AS727,3,FALSE)," ")</f>
        <v xml:space="preserve"> </v>
      </c>
      <c r="C321" s="61" t="str">
        <f>IFERROR(VLOOKUP($A321,'The List'!$B1:$AS727,4,FALSE)," ")</f>
        <v xml:space="preserve"> </v>
      </c>
      <c r="D321" s="35" t="str">
        <f>IFERROR(VLOOKUP($A321,'The List'!$B1:$AS727,5,FALSE)," ")</f>
        <v xml:space="preserve"> </v>
      </c>
      <c r="E321" s="35" t="str">
        <f>IFERROR(VLOOKUP($A321,'The List'!$B1:$AS727,6,FALSE)," ")</f>
        <v xml:space="preserve"> </v>
      </c>
      <c r="F321" s="52" t="str">
        <f>IFERROR(VLOOKUP($A321,'The List'!$B1:$AS727,8,FALSE)," ")</f>
        <v xml:space="preserve"> </v>
      </c>
      <c r="G321" s="52" t="str">
        <f>IFERROR(VLOOKUP($A321,'The List'!$B1:$AS727,10,FALSE)," ")</f>
        <v xml:space="preserve"> </v>
      </c>
      <c r="H321" s="39"/>
      <c r="I321" s="53" t="str">
        <f>IFERROR(VLOOKUP($A321,'The List'!$B1:$AS727,16,FALSE)," ")</f>
        <v xml:space="preserve"> </v>
      </c>
      <c r="J321" s="53" t="str">
        <f>IFERROR(VLOOKUP($A321,'The List'!$B1:$AS727,17,FALSE)," ")</f>
        <v xml:space="preserve"> </v>
      </c>
      <c r="K321" s="53" t="str">
        <f>IFERROR(VLOOKUP($A321,'The List'!$B1:$AS727,18,FALSE)," ")</f>
        <v xml:space="preserve"> </v>
      </c>
      <c r="L321" s="53" t="str">
        <f>IFERROR(VLOOKUP($A321,'The List'!$B1:$AS727,19,FALSE)," ")</f>
        <v xml:space="preserve"> </v>
      </c>
      <c r="M321" s="53" t="str">
        <f>IFERROR(VLOOKUP($A321,'The List'!$B1:$AS727,20,FALSE)," ")</f>
        <v xml:space="preserve"> </v>
      </c>
      <c r="N321" s="53" t="str">
        <f>IFERROR(VLOOKUP($A321,'The List'!$B1:$AS727,21,FALSE)," ")</f>
        <v xml:space="preserve"> </v>
      </c>
      <c r="O321" s="53" t="str">
        <f>IFERROR(VLOOKUP($A321,'The List'!$B1:$AS727,22,FALSE)," ")</f>
        <v xml:space="preserve"> </v>
      </c>
      <c r="P321" s="53" t="str">
        <f>IFERROR(VLOOKUP($A321,'The List'!$B1:$AS727,23,FALSE)," ")</f>
        <v xml:space="preserve"> </v>
      </c>
      <c r="Q321" s="53" t="str">
        <f>IFERROR(VLOOKUP($A321,'The List'!$B1:$AS727,24,FALSE)," ")</f>
        <v xml:space="preserve"> </v>
      </c>
      <c r="R321" s="53" t="str">
        <f>IFERROR(VLOOKUP($A321,'The List'!$B1:$AS727,25,FALSE)," ")</f>
        <v xml:space="preserve"> </v>
      </c>
      <c r="S321" s="53" t="str">
        <f>IFERROR(VLOOKUP($A321,'The List'!$B1:$AS727,26,FALSE)," ")</f>
        <v xml:space="preserve"> </v>
      </c>
      <c r="T321" s="53" t="str">
        <f>IFERROR(VLOOKUP($A321,'The List'!$B1:$AS727,27,FALSE)," ")</f>
        <v xml:space="preserve"> </v>
      </c>
      <c r="U321" s="53" t="str">
        <f>IFERROR(VLOOKUP($A321,'The List'!$B1:$AS727,28,FALSE)," ")</f>
        <v xml:space="preserve"> </v>
      </c>
      <c r="V321" s="53" t="str">
        <f>IFERROR(VLOOKUP($A321,'The List'!$B1:$AS727,29,FALSE)," ")</f>
        <v xml:space="preserve"> </v>
      </c>
      <c r="W321" s="53" t="str">
        <f>IFERROR(VLOOKUP($A321,'The List'!$B1:$AS727,30,FALSE)," ")</f>
        <v xml:space="preserve"> </v>
      </c>
      <c r="X321" s="53" t="str">
        <f>IFERROR(VLOOKUP($A321,'The List'!$B1:$AS727,31,FALSE)," ")</f>
        <v xml:space="preserve"> </v>
      </c>
      <c r="Y321" s="53" t="str">
        <f>IFERROR(VLOOKUP($A321,'The List'!$B1:$AS727,32,FALSE)," ")</f>
        <v xml:space="preserve"> </v>
      </c>
      <c r="Z321" s="53" t="str">
        <f>IFERROR(VLOOKUP($A321,'The List'!$B1:$AS727,33,FALSE)," ")</f>
        <v xml:space="preserve"> </v>
      </c>
      <c r="AA321" s="55"/>
      <c r="AB321" s="60"/>
      <c r="AC321" s="60"/>
      <c r="AD321" s="60"/>
      <c r="AE321" s="60"/>
      <c r="AF321" s="60"/>
    </row>
    <row r="322" spans="1:32" ht="21.25" customHeight="1" x14ac:dyDescent="0.15">
      <c r="A322" s="23"/>
      <c r="B322" s="57" t="str">
        <f>IFERROR(VLOOKUP($A322,'The List'!$B1:$AS727,3,FALSE)," ")</f>
        <v xml:space="preserve"> </v>
      </c>
      <c r="C322" s="61" t="str">
        <f>IFERROR(VLOOKUP($A322,'The List'!$B1:$AS727,4,FALSE)," ")</f>
        <v xml:space="preserve"> </v>
      </c>
      <c r="D322" s="35" t="str">
        <f>IFERROR(VLOOKUP($A322,'The List'!$B1:$AS727,5,FALSE)," ")</f>
        <v xml:space="preserve"> </v>
      </c>
      <c r="E322" s="35" t="str">
        <f>IFERROR(VLOOKUP($A322,'The List'!$B1:$AS727,6,FALSE)," ")</f>
        <v xml:space="preserve"> </v>
      </c>
      <c r="F322" s="52" t="str">
        <f>IFERROR(VLOOKUP($A322,'The List'!$B1:$AS727,8,FALSE)," ")</f>
        <v xml:space="preserve"> </v>
      </c>
      <c r="G322" s="52" t="str">
        <f>IFERROR(VLOOKUP($A322,'The List'!$B1:$AS727,10,FALSE)," ")</f>
        <v xml:space="preserve"> </v>
      </c>
      <c r="H322" s="39"/>
      <c r="I322" s="53" t="str">
        <f>IFERROR(VLOOKUP($A322,'The List'!$B1:$AS727,16,FALSE)," ")</f>
        <v xml:space="preserve"> </v>
      </c>
      <c r="J322" s="53" t="str">
        <f>IFERROR(VLOOKUP($A322,'The List'!$B1:$AS727,17,FALSE)," ")</f>
        <v xml:space="preserve"> </v>
      </c>
      <c r="K322" s="53" t="str">
        <f>IFERROR(VLOOKUP($A322,'The List'!$B1:$AS727,18,FALSE)," ")</f>
        <v xml:space="preserve"> </v>
      </c>
      <c r="L322" s="53" t="str">
        <f>IFERROR(VLOOKUP($A322,'The List'!$B1:$AS727,19,FALSE)," ")</f>
        <v xml:space="preserve"> </v>
      </c>
      <c r="M322" s="53" t="str">
        <f>IFERROR(VLOOKUP($A322,'The List'!$B1:$AS727,20,FALSE)," ")</f>
        <v xml:space="preserve"> </v>
      </c>
      <c r="N322" s="53" t="str">
        <f>IFERROR(VLOOKUP($A322,'The List'!$B1:$AS727,21,FALSE)," ")</f>
        <v xml:space="preserve"> </v>
      </c>
      <c r="O322" s="53" t="str">
        <f>IFERROR(VLOOKUP($A322,'The List'!$B1:$AS727,22,FALSE)," ")</f>
        <v xml:space="preserve"> </v>
      </c>
      <c r="P322" s="53" t="str">
        <f>IFERROR(VLOOKUP($A322,'The List'!$B1:$AS727,23,FALSE)," ")</f>
        <v xml:space="preserve"> </v>
      </c>
      <c r="Q322" s="53" t="str">
        <f>IFERROR(VLOOKUP($A322,'The List'!$B1:$AS727,24,FALSE)," ")</f>
        <v xml:space="preserve"> </v>
      </c>
      <c r="R322" s="53" t="str">
        <f>IFERROR(VLOOKUP($A322,'The List'!$B1:$AS727,25,FALSE)," ")</f>
        <v xml:space="preserve"> </v>
      </c>
      <c r="S322" s="53" t="str">
        <f>IFERROR(VLOOKUP($A322,'The List'!$B1:$AS727,26,FALSE)," ")</f>
        <v xml:space="preserve"> </v>
      </c>
      <c r="T322" s="53" t="str">
        <f>IFERROR(VLOOKUP($A322,'The List'!$B1:$AS727,27,FALSE)," ")</f>
        <v xml:space="preserve"> </v>
      </c>
      <c r="U322" s="53" t="str">
        <f>IFERROR(VLOOKUP($A322,'The List'!$B1:$AS727,28,FALSE)," ")</f>
        <v xml:space="preserve"> </v>
      </c>
      <c r="V322" s="53" t="str">
        <f>IFERROR(VLOOKUP($A322,'The List'!$B1:$AS727,29,FALSE)," ")</f>
        <v xml:space="preserve"> </v>
      </c>
      <c r="W322" s="53" t="str">
        <f>IFERROR(VLOOKUP($A322,'The List'!$B1:$AS727,30,FALSE)," ")</f>
        <v xml:space="preserve"> </v>
      </c>
      <c r="X322" s="53" t="str">
        <f>IFERROR(VLOOKUP($A322,'The List'!$B1:$AS727,31,FALSE)," ")</f>
        <v xml:space="preserve"> </v>
      </c>
      <c r="Y322" s="53" t="str">
        <f>IFERROR(VLOOKUP($A322,'The List'!$B1:$AS727,32,FALSE)," ")</f>
        <v xml:space="preserve"> </v>
      </c>
      <c r="Z322" s="53" t="str">
        <f>IFERROR(VLOOKUP($A322,'The List'!$B1:$AS727,33,FALSE)," ")</f>
        <v xml:space="preserve"> </v>
      </c>
      <c r="AA322" s="55"/>
      <c r="AB322" s="60"/>
      <c r="AC322" s="60"/>
      <c r="AD322" s="60"/>
      <c r="AE322" s="60"/>
      <c r="AF322" s="60"/>
    </row>
    <row r="323" spans="1:32" ht="21.25" customHeight="1" x14ac:dyDescent="0.15">
      <c r="A323" s="23"/>
      <c r="B323" s="57" t="str">
        <f>IFERROR(VLOOKUP($A323,'The List'!$B1:$AS727,3,FALSE)," ")</f>
        <v xml:space="preserve"> </v>
      </c>
      <c r="C323" s="61" t="str">
        <f>IFERROR(VLOOKUP($A323,'The List'!$B1:$AS727,4,FALSE)," ")</f>
        <v xml:space="preserve"> </v>
      </c>
      <c r="D323" s="35" t="str">
        <f>IFERROR(VLOOKUP($A323,'The List'!$B1:$AS727,5,FALSE)," ")</f>
        <v xml:space="preserve"> </v>
      </c>
      <c r="E323" s="35" t="str">
        <f>IFERROR(VLOOKUP($A323,'The List'!$B1:$AS727,6,FALSE)," ")</f>
        <v xml:space="preserve"> </v>
      </c>
      <c r="F323" s="52" t="str">
        <f>IFERROR(VLOOKUP($A323,'The List'!$B1:$AS727,8,FALSE)," ")</f>
        <v xml:space="preserve"> </v>
      </c>
      <c r="G323" s="52" t="str">
        <f>IFERROR(VLOOKUP($A323,'The List'!$B1:$AS727,10,FALSE)," ")</f>
        <v xml:space="preserve"> </v>
      </c>
      <c r="H323" s="39"/>
      <c r="I323" s="53" t="str">
        <f>IFERROR(VLOOKUP($A323,'The List'!$B1:$AS727,16,FALSE)," ")</f>
        <v xml:space="preserve"> </v>
      </c>
      <c r="J323" s="53" t="str">
        <f>IFERROR(VLOOKUP($A323,'The List'!$B1:$AS727,17,FALSE)," ")</f>
        <v xml:space="preserve"> </v>
      </c>
      <c r="K323" s="53" t="str">
        <f>IFERROR(VLOOKUP($A323,'The List'!$B1:$AS727,18,FALSE)," ")</f>
        <v xml:space="preserve"> </v>
      </c>
      <c r="L323" s="53" t="str">
        <f>IFERROR(VLOOKUP($A323,'The List'!$B1:$AS727,19,FALSE)," ")</f>
        <v xml:space="preserve"> </v>
      </c>
      <c r="M323" s="53" t="str">
        <f>IFERROR(VLOOKUP($A323,'The List'!$B1:$AS727,20,FALSE)," ")</f>
        <v xml:space="preserve"> </v>
      </c>
      <c r="N323" s="53" t="str">
        <f>IFERROR(VLOOKUP($A323,'The List'!$B1:$AS727,21,FALSE)," ")</f>
        <v xml:space="preserve"> </v>
      </c>
      <c r="O323" s="53" t="str">
        <f>IFERROR(VLOOKUP($A323,'The List'!$B1:$AS727,22,FALSE)," ")</f>
        <v xml:space="preserve"> </v>
      </c>
      <c r="P323" s="53" t="str">
        <f>IFERROR(VLOOKUP($A323,'The List'!$B1:$AS727,23,FALSE)," ")</f>
        <v xml:space="preserve"> </v>
      </c>
      <c r="Q323" s="53" t="str">
        <f>IFERROR(VLOOKUP($A323,'The List'!$B1:$AS727,24,FALSE)," ")</f>
        <v xml:space="preserve"> </v>
      </c>
      <c r="R323" s="53" t="str">
        <f>IFERROR(VLOOKUP($A323,'The List'!$B1:$AS727,25,FALSE)," ")</f>
        <v xml:space="preserve"> </v>
      </c>
      <c r="S323" s="53" t="str">
        <f>IFERROR(VLOOKUP($A323,'The List'!$B1:$AS727,26,FALSE)," ")</f>
        <v xml:space="preserve"> </v>
      </c>
      <c r="T323" s="53" t="str">
        <f>IFERROR(VLOOKUP($A323,'The List'!$B1:$AS727,27,FALSE)," ")</f>
        <v xml:space="preserve"> </v>
      </c>
      <c r="U323" s="53" t="str">
        <f>IFERROR(VLOOKUP($A323,'The List'!$B1:$AS727,28,FALSE)," ")</f>
        <v xml:space="preserve"> </v>
      </c>
      <c r="V323" s="53" t="str">
        <f>IFERROR(VLOOKUP($A323,'The List'!$B1:$AS727,29,FALSE)," ")</f>
        <v xml:space="preserve"> </v>
      </c>
      <c r="W323" s="53" t="str">
        <f>IFERROR(VLOOKUP($A323,'The List'!$B1:$AS727,30,FALSE)," ")</f>
        <v xml:space="preserve"> </v>
      </c>
      <c r="X323" s="53" t="str">
        <f>IFERROR(VLOOKUP($A323,'The List'!$B1:$AS727,31,FALSE)," ")</f>
        <v xml:space="preserve"> </v>
      </c>
      <c r="Y323" s="53" t="str">
        <f>IFERROR(VLOOKUP($A323,'The List'!$B1:$AS727,32,FALSE)," ")</f>
        <v xml:space="preserve"> </v>
      </c>
      <c r="Z323" s="53" t="str">
        <f>IFERROR(VLOOKUP($A323,'The List'!$B1:$AS727,33,FALSE)," ")</f>
        <v xml:space="preserve"> </v>
      </c>
      <c r="AA323" s="55"/>
      <c r="AB323" s="60"/>
      <c r="AC323" s="60"/>
      <c r="AD323" s="60"/>
      <c r="AE323" s="60"/>
      <c r="AF323" s="60"/>
    </row>
    <row r="324" spans="1:32" ht="21.25" customHeight="1" x14ac:dyDescent="0.15">
      <c r="A324" s="23"/>
      <c r="B324" s="57" t="str">
        <f>IFERROR(VLOOKUP($A324,'The List'!$B1:$AS727,3,FALSE)," ")</f>
        <v xml:space="preserve"> </v>
      </c>
      <c r="C324" s="61" t="str">
        <f>IFERROR(VLOOKUP($A324,'The List'!$B1:$AS727,4,FALSE)," ")</f>
        <v xml:space="preserve"> </v>
      </c>
      <c r="D324" s="35" t="str">
        <f>IFERROR(VLOOKUP($A324,'The List'!$B1:$AS727,5,FALSE)," ")</f>
        <v xml:space="preserve"> </v>
      </c>
      <c r="E324" s="35" t="str">
        <f>IFERROR(VLOOKUP($A324,'The List'!$B1:$AS727,6,FALSE)," ")</f>
        <v xml:space="preserve"> </v>
      </c>
      <c r="F324" s="52" t="str">
        <f>IFERROR(VLOOKUP($A324,'The List'!$B1:$AS727,8,FALSE)," ")</f>
        <v xml:space="preserve"> </v>
      </c>
      <c r="G324" s="52" t="str">
        <f>IFERROR(VLOOKUP($A324,'The List'!$B1:$AS727,10,FALSE)," ")</f>
        <v xml:space="preserve"> </v>
      </c>
      <c r="H324" s="39"/>
      <c r="I324" s="53" t="str">
        <f>IFERROR(VLOOKUP($A324,'The List'!$B1:$AS727,16,FALSE)," ")</f>
        <v xml:space="preserve"> </v>
      </c>
      <c r="J324" s="53" t="str">
        <f>IFERROR(VLOOKUP($A324,'The List'!$B1:$AS727,17,FALSE)," ")</f>
        <v xml:space="preserve"> </v>
      </c>
      <c r="K324" s="53" t="str">
        <f>IFERROR(VLOOKUP($A324,'The List'!$B1:$AS727,18,FALSE)," ")</f>
        <v xml:space="preserve"> </v>
      </c>
      <c r="L324" s="53" t="str">
        <f>IFERROR(VLOOKUP($A324,'The List'!$B1:$AS727,19,FALSE)," ")</f>
        <v xml:space="preserve"> </v>
      </c>
      <c r="M324" s="53" t="str">
        <f>IFERROR(VLOOKUP($A324,'The List'!$B1:$AS727,20,FALSE)," ")</f>
        <v xml:space="preserve"> </v>
      </c>
      <c r="N324" s="53" t="str">
        <f>IFERROR(VLOOKUP($A324,'The List'!$B1:$AS727,21,FALSE)," ")</f>
        <v xml:space="preserve"> </v>
      </c>
      <c r="O324" s="53" t="str">
        <f>IFERROR(VLOOKUP($A324,'The List'!$B1:$AS727,22,FALSE)," ")</f>
        <v xml:space="preserve"> </v>
      </c>
      <c r="P324" s="53" t="str">
        <f>IFERROR(VLOOKUP($A324,'The List'!$B1:$AS727,23,FALSE)," ")</f>
        <v xml:space="preserve"> </v>
      </c>
      <c r="Q324" s="53" t="str">
        <f>IFERROR(VLOOKUP($A324,'The List'!$B1:$AS727,24,FALSE)," ")</f>
        <v xml:space="preserve"> </v>
      </c>
      <c r="R324" s="53" t="str">
        <f>IFERROR(VLOOKUP($A324,'The List'!$B1:$AS727,25,FALSE)," ")</f>
        <v xml:space="preserve"> </v>
      </c>
      <c r="S324" s="53" t="str">
        <f>IFERROR(VLOOKUP($A324,'The List'!$B1:$AS727,26,FALSE)," ")</f>
        <v xml:space="preserve"> </v>
      </c>
      <c r="T324" s="53" t="str">
        <f>IFERROR(VLOOKUP($A324,'The List'!$B1:$AS727,27,FALSE)," ")</f>
        <v xml:space="preserve"> </v>
      </c>
      <c r="U324" s="53" t="str">
        <f>IFERROR(VLOOKUP($A324,'The List'!$B1:$AS727,28,FALSE)," ")</f>
        <v xml:space="preserve"> </v>
      </c>
      <c r="V324" s="53" t="str">
        <f>IFERROR(VLOOKUP($A324,'The List'!$B1:$AS727,29,FALSE)," ")</f>
        <v xml:space="preserve"> </v>
      </c>
      <c r="W324" s="53" t="str">
        <f>IFERROR(VLOOKUP($A324,'The List'!$B1:$AS727,30,FALSE)," ")</f>
        <v xml:space="preserve"> </v>
      </c>
      <c r="X324" s="53" t="str">
        <f>IFERROR(VLOOKUP($A324,'The List'!$B1:$AS727,31,FALSE)," ")</f>
        <v xml:space="preserve"> </v>
      </c>
      <c r="Y324" s="53" t="str">
        <f>IFERROR(VLOOKUP($A324,'The List'!$B1:$AS727,32,FALSE)," ")</f>
        <v xml:space="preserve"> </v>
      </c>
      <c r="Z324" s="53" t="str">
        <f>IFERROR(VLOOKUP($A324,'The List'!$B1:$AS727,33,FALSE)," ")</f>
        <v xml:space="preserve"> </v>
      </c>
      <c r="AA324" s="55"/>
      <c r="AB324" s="60"/>
      <c r="AC324" s="60"/>
      <c r="AD324" s="60"/>
      <c r="AE324" s="60"/>
      <c r="AF324" s="60"/>
    </row>
    <row r="325" spans="1:32" ht="21.25" customHeight="1" x14ac:dyDescent="0.15">
      <c r="A325" s="23"/>
      <c r="B325" s="62" t="str">
        <f>IFERROR(VLOOKUP($A325,'The List'!$B1:$AS727,3,FALSE)," ")</f>
        <v xml:space="preserve"> </v>
      </c>
      <c r="C325" s="64" t="str">
        <f>IFERROR(VLOOKUP($A325,'The List'!$B1:$AS727,4,FALSE)," ")</f>
        <v xml:space="preserve"> </v>
      </c>
      <c r="D325" s="35" t="str">
        <f>IFERROR(VLOOKUP($A325,'The List'!$B1:$AS727,5,FALSE)," ")</f>
        <v xml:space="preserve"> </v>
      </c>
      <c r="E325" s="35" t="str">
        <f>IFERROR(VLOOKUP($A325,'The List'!$B1:$AS727,6,FALSE)," ")</f>
        <v xml:space="preserve"> </v>
      </c>
      <c r="F325" s="52" t="str">
        <f>IFERROR(VLOOKUP($A325,'The List'!$B1:$AS727,8,FALSE)," ")</f>
        <v xml:space="preserve"> </v>
      </c>
      <c r="G325" s="52" t="str">
        <f>IFERROR(VLOOKUP($A325,'The List'!$B1:$AS727,10,FALSE)," ")</f>
        <v xml:space="preserve"> </v>
      </c>
      <c r="H325" s="39"/>
      <c r="I325" s="53" t="str">
        <f>IFERROR(VLOOKUP($A325,'The List'!$B1:$AS727,16,FALSE)," ")</f>
        <v xml:space="preserve"> </v>
      </c>
      <c r="J325" s="53" t="str">
        <f>IFERROR(VLOOKUP($A325,'The List'!$B1:$AS727,17,FALSE)," ")</f>
        <v xml:space="preserve"> </v>
      </c>
      <c r="K325" s="53" t="str">
        <f>IFERROR(VLOOKUP($A325,'The List'!$B1:$AS727,18,FALSE)," ")</f>
        <v xml:space="preserve"> </v>
      </c>
      <c r="L325" s="53" t="str">
        <f>IFERROR(VLOOKUP($A325,'The List'!$B1:$AS727,19,FALSE)," ")</f>
        <v xml:space="preserve"> </v>
      </c>
      <c r="M325" s="53" t="str">
        <f>IFERROR(VLOOKUP($A325,'The List'!$B1:$AS727,20,FALSE)," ")</f>
        <v xml:space="preserve"> </v>
      </c>
      <c r="N325" s="53" t="str">
        <f>IFERROR(VLOOKUP($A325,'The List'!$B1:$AS727,21,FALSE)," ")</f>
        <v xml:space="preserve"> </v>
      </c>
      <c r="O325" s="53" t="str">
        <f>IFERROR(VLOOKUP($A325,'The List'!$B1:$AS727,22,FALSE)," ")</f>
        <v xml:space="preserve"> </v>
      </c>
      <c r="P325" s="53" t="str">
        <f>IFERROR(VLOOKUP($A325,'The List'!$B1:$AS727,23,FALSE)," ")</f>
        <v xml:space="preserve"> </v>
      </c>
      <c r="Q325" s="53" t="str">
        <f>IFERROR(VLOOKUP($A325,'The List'!$B1:$AS727,24,FALSE)," ")</f>
        <v xml:space="preserve"> </v>
      </c>
      <c r="R325" s="53" t="str">
        <f>IFERROR(VLOOKUP($A325,'The List'!$B1:$AS727,25,FALSE)," ")</f>
        <v xml:space="preserve"> </v>
      </c>
      <c r="S325" s="53" t="str">
        <f>IFERROR(VLOOKUP($A325,'The List'!$B1:$AS727,26,FALSE)," ")</f>
        <v xml:space="preserve"> </v>
      </c>
      <c r="T325" s="53" t="str">
        <f>IFERROR(VLOOKUP($A325,'The List'!$B1:$AS727,27,FALSE)," ")</f>
        <v xml:space="preserve"> </v>
      </c>
      <c r="U325" s="53" t="str">
        <f>IFERROR(VLOOKUP($A325,'The List'!$B1:$AS727,28,FALSE)," ")</f>
        <v xml:space="preserve"> </v>
      </c>
      <c r="V325" s="53" t="str">
        <f>IFERROR(VLOOKUP($A325,'The List'!$B1:$AS727,29,FALSE)," ")</f>
        <v xml:space="preserve"> </v>
      </c>
      <c r="W325" s="53" t="str">
        <f>IFERROR(VLOOKUP($A325,'The List'!$B1:$AS727,30,FALSE)," ")</f>
        <v xml:space="preserve"> </v>
      </c>
      <c r="X325" s="53" t="str">
        <f>IFERROR(VLOOKUP($A325,'The List'!$B1:$AS727,31,FALSE)," ")</f>
        <v xml:space="preserve"> </v>
      </c>
      <c r="Y325" s="53" t="str">
        <f>IFERROR(VLOOKUP($A325,'The List'!$B1:$AS727,32,FALSE)," ")</f>
        <v xml:space="preserve"> </v>
      </c>
      <c r="Z325" s="53" t="str">
        <f>IFERROR(VLOOKUP($A325,'The List'!$B1:$AS727,33,FALSE)," ")</f>
        <v xml:space="preserve"> </v>
      </c>
      <c r="AA325" s="55"/>
      <c r="AB325" s="60"/>
      <c r="AC325" s="60"/>
      <c r="AD325" s="60"/>
      <c r="AE325" s="60"/>
      <c r="AF325" s="60"/>
    </row>
    <row r="326" spans="1:32" ht="21.25" customHeight="1" x14ac:dyDescent="0.15">
      <c r="A326" s="23"/>
      <c r="B326" s="62" t="str">
        <f>IFERROR(VLOOKUP($A326,'The List'!$B1:$AS727,3,FALSE)," ")</f>
        <v xml:space="preserve"> </v>
      </c>
      <c r="C326" s="64" t="str">
        <f>IFERROR(VLOOKUP($A326,'The List'!$B1:$AS727,4,FALSE)," ")</f>
        <v xml:space="preserve"> </v>
      </c>
      <c r="D326" s="35" t="str">
        <f>IFERROR(VLOOKUP($A326,'The List'!$B1:$AS727,5,FALSE)," ")</f>
        <v xml:space="preserve"> </v>
      </c>
      <c r="E326" s="35" t="str">
        <f>IFERROR(VLOOKUP($A326,'The List'!$B1:$AS727,6,FALSE)," ")</f>
        <v xml:space="preserve"> </v>
      </c>
      <c r="F326" s="52" t="str">
        <f>IFERROR(VLOOKUP($A326,'The List'!$B1:$AS727,8,FALSE)," ")</f>
        <v xml:space="preserve"> </v>
      </c>
      <c r="G326" s="52" t="str">
        <f>IFERROR(VLOOKUP($A326,'The List'!$B1:$AS727,10,FALSE)," ")</f>
        <v xml:space="preserve"> </v>
      </c>
      <c r="H326" s="39"/>
      <c r="I326" s="53" t="str">
        <f>IFERROR(VLOOKUP($A326,'The List'!$B1:$AS727,16,FALSE)," ")</f>
        <v xml:space="preserve"> </v>
      </c>
      <c r="J326" s="53" t="str">
        <f>IFERROR(VLOOKUP($A326,'The List'!$B1:$AS727,17,FALSE)," ")</f>
        <v xml:space="preserve"> </v>
      </c>
      <c r="K326" s="53" t="str">
        <f>IFERROR(VLOOKUP($A326,'The List'!$B1:$AS727,18,FALSE)," ")</f>
        <v xml:space="preserve"> </v>
      </c>
      <c r="L326" s="53" t="str">
        <f>IFERROR(VLOOKUP($A326,'The List'!$B1:$AS727,19,FALSE)," ")</f>
        <v xml:space="preserve"> </v>
      </c>
      <c r="M326" s="53" t="str">
        <f>IFERROR(VLOOKUP($A326,'The List'!$B1:$AS727,20,FALSE)," ")</f>
        <v xml:space="preserve"> </v>
      </c>
      <c r="N326" s="53" t="str">
        <f>IFERROR(VLOOKUP($A326,'The List'!$B1:$AS727,21,FALSE)," ")</f>
        <v xml:space="preserve"> </v>
      </c>
      <c r="O326" s="53" t="str">
        <f>IFERROR(VLOOKUP($A326,'The List'!$B1:$AS727,22,FALSE)," ")</f>
        <v xml:space="preserve"> </v>
      </c>
      <c r="P326" s="53" t="str">
        <f>IFERROR(VLOOKUP($A326,'The List'!$B1:$AS727,23,FALSE)," ")</f>
        <v xml:space="preserve"> </v>
      </c>
      <c r="Q326" s="53" t="str">
        <f>IFERROR(VLOOKUP($A326,'The List'!$B1:$AS727,24,FALSE)," ")</f>
        <v xml:space="preserve"> </v>
      </c>
      <c r="R326" s="53" t="str">
        <f>IFERROR(VLOOKUP($A326,'The List'!$B1:$AS727,25,FALSE)," ")</f>
        <v xml:space="preserve"> </v>
      </c>
      <c r="S326" s="53" t="str">
        <f>IFERROR(VLOOKUP($A326,'The List'!$B1:$AS727,26,FALSE)," ")</f>
        <v xml:space="preserve"> </v>
      </c>
      <c r="T326" s="53" t="str">
        <f>IFERROR(VLOOKUP($A326,'The List'!$B1:$AS727,27,FALSE)," ")</f>
        <v xml:space="preserve"> </v>
      </c>
      <c r="U326" s="53" t="str">
        <f>IFERROR(VLOOKUP($A326,'The List'!$B1:$AS727,28,FALSE)," ")</f>
        <v xml:space="preserve"> </v>
      </c>
      <c r="V326" s="53" t="str">
        <f>IFERROR(VLOOKUP($A326,'The List'!$B1:$AS727,29,FALSE)," ")</f>
        <v xml:space="preserve"> </v>
      </c>
      <c r="W326" s="53" t="str">
        <f>IFERROR(VLOOKUP($A326,'The List'!$B1:$AS727,30,FALSE)," ")</f>
        <v xml:space="preserve"> </v>
      </c>
      <c r="X326" s="53" t="str">
        <f>IFERROR(VLOOKUP($A326,'The List'!$B1:$AS727,31,FALSE)," ")</f>
        <v xml:space="preserve"> </v>
      </c>
      <c r="Y326" s="53" t="str">
        <f>IFERROR(VLOOKUP($A326,'The List'!$B1:$AS727,32,FALSE)," ")</f>
        <v xml:space="preserve"> </v>
      </c>
      <c r="Z326" s="53" t="str">
        <f>IFERROR(VLOOKUP($A326,'The List'!$B1:$AS727,33,FALSE)," ")</f>
        <v xml:space="preserve"> </v>
      </c>
      <c r="AA326" s="55"/>
      <c r="AB326" s="60"/>
      <c r="AC326" s="60"/>
      <c r="AD326" s="60"/>
      <c r="AE326" s="60"/>
      <c r="AF326" s="60"/>
    </row>
    <row r="327" spans="1:32" ht="21.25" customHeight="1" x14ac:dyDescent="0.15">
      <c r="A327" s="23"/>
      <c r="B327" s="62" t="str">
        <f>IFERROR(VLOOKUP($A327,'The List'!$B1:$AS727,3,FALSE)," ")</f>
        <v xml:space="preserve"> </v>
      </c>
      <c r="C327" s="64" t="str">
        <f>IFERROR(VLOOKUP($A327,'The List'!$B1:$AS727,4,FALSE)," ")</f>
        <v xml:space="preserve"> </v>
      </c>
      <c r="D327" s="35" t="str">
        <f>IFERROR(VLOOKUP($A327,'The List'!$B1:$AS727,5,FALSE)," ")</f>
        <v xml:space="preserve"> </v>
      </c>
      <c r="E327" s="35" t="str">
        <f>IFERROR(VLOOKUP($A327,'The List'!$B1:$AS727,6,FALSE)," ")</f>
        <v xml:space="preserve"> </v>
      </c>
      <c r="F327" s="52" t="str">
        <f>IFERROR(VLOOKUP($A327,'The List'!$B1:$AS727,8,FALSE)," ")</f>
        <v xml:space="preserve"> </v>
      </c>
      <c r="G327" s="52" t="str">
        <f>IFERROR(VLOOKUP($A327,'The List'!$B1:$AS727,10,FALSE)," ")</f>
        <v xml:space="preserve"> </v>
      </c>
      <c r="H327" s="39"/>
      <c r="I327" s="53" t="str">
        <f>IFERROR(VLOOKUP($A327,'The List'!$B1:$AS727,16,FALSE)," ")</f>
        <v xml:space="preserve"> </v>
      </c>
      <c r="J327" s="53" t="str">
        <f>IFERROR(VLOOKUP($A327,'The List'!$B1:$AS727,17,FALSE)," ")</f>
        <v xml:space="preserve"> </v>
      </c>
      <c r="K327" s="53" t="str">
        <f>IFERROR(VLOOKUP($A327,'The List'!$B1:$AS727,18,FALSE)," ")</f>
        <v xml:space="preserve"> </v>
      </c>
      <c r="L327" s="53" t="str">
        <f>IFERROR(VLOOKUP($A327,'The List'!$B1:$AS727,19,FALSE)," ")</f>
        <v xml:space="preserve"> </v>
      </c>
      <c r="M327" s="53" t="str">
        <f>IFERROR(VLOOKUP($A327,'The List'!$B1:$AS727,20,FALSE)," ")</f>
        <v xml:space="preserve"> </v>
      </c>
      <c r="N327" s="53" t="str">
        <f>IFERROR(VLOOKUP($A327,'The List'!$B1:$AS727,21,FALSE)," ")</f>
        <v xml:space="preserve"> </v>
      </c>
      <c r="O327" s="53" t="str">
        <f>IFERROR(VLOOKUP($A327,'The List'!$B1:$AS727,22,FALSE)," ")</f>
        <v xml:space="preserve"> </v>
      </c>
      <c r="P327" s="53" t="str">
        <f>IFERROR(VLOOKUP($A327,'The List'!$B1:$AS727,23,FALSE)," ")</f>
        <v xml:space="preserve"> </v>
      </c>
      <c r="Q327" s="53" t="str">
        <f>IFERROR(VLOOKUP($A327,'The List'!$B1:$AS727,24,FALSE)," ")</f>
        <v xml:space="preserve"> </v>
      </c>
      <c r="R327" s="53" t="str">
        <f>IFERROR(VLOOKUP($A327,'The List'!$B1:$AS727,25,FALSE)," ")</f>
        <v xml:space="preserve"> </v>
      </c>
      <c r="S327" s="53" t="str">
        <f>IFERROR(VLOOKUP($A327,'The List'!$B1:$AS727,26,FALSE)," ")</f>
        <v xml:space="preserve"> </v>
      </c>
      <c r="T327" s="53" t="str">
        <f>IFERROR(VLOOKUP($A327,'The List'!$B1:$AS727,27,FALSE)," ")</f>
        <v xml:space="preserve"> </v>
      </c>
      <c r="U327" s="53" t="str">
        <f>IFERROR(VLOOKUP($A327,'The List'!$B1:$AS727,28,FALSE)," ")</f>
        <v xml:space="preserve"> </v>
      </c>
      <c r="V327" s="53" t="str">
        <f>IFERROR(VLOOKUP($A327,'The List'!$B1:$AS727,29,FALSE)," ")</f>
        <v xml:space="preserve"> </v>
      </c>
      <c r="W327" s="53" t="str">
        <f>IFERROR(VLOOKUP($A327,'The List'!$B1:$AS727,30,FALSE)," ")</f>
        <v xml:space="preserve"> </v>
      </c>
      <c r="X327" s="53" t="str">
        <f>IFERROR(VLOOKUP($A327,'The List'!$B1:$AS727,31,FALSE)," ")</f>
        <v xml:space="preserve"> </v>
      </c>
      <c r="Y327" s="53" t="str">
        <f>IFERROR(VLOOKUP($A327,'The List'!$B1:$AS727,32,FALSE)," ")</f>
        <v xml:space="preserve"> </v>
      </c>
      <c r="Z327" s="53" t="str">
        <f>IFERROR(VLOOKUP($A327,'The List'!$B1:$AS727,33,FALSE)," ")</f>
        <v xml:space="preserve"> </v>
      </c>
      <c r="AA327" s="55"/>
      <c r="AB327" s="60"/>
      <c r="AC327" s="60"/>
      <c r="AD327" s="60"/>
      <c r="AE327" s="60"/>
      <c r="AF327" s="60"/>
    </row>
    <row r="328" spans="1:32" ht="21.25" customHeight="1" x14ac:dyDescent="0.15">
      <c r="A328" s="23"/>
      <c r="B328" s="62" t="str">
        <f>IFERROR(VLOOKUP($A328,'The List'!$B1:$AS727,3,FALSE)," ")</f>
        <v xml:space="preserve"> </v>
      </c>
      <c r="C328" s="64" t="str">
        <f>IFERROR(VLOOKUP($A328,'The List'!$B1:$AS727,4,FALSE)," ")</f>
        <v xml:space="preserve"> </v>
      </c>
      <c r="D328" s="35" t="str">
        <f>IFERROR(VLOOKUP($A328,'The List'!$B1:$AS727,5,FALSE)," ")</f>
        <v xml:space="preserve"> </v>
      </c>
      <c r="E328" s="35" t="str">
        <f>IFERROR(VLOOKUP($A328,'The List'!$B1:$AS727,6,FALSE)," ")</f>
        <v xml:space="preserve"> </v>
      </c>
      <c r="F328" s="52" t="str">
        <f>IFERROR(VLOOKUP($A328,'The List'!$B1:$AS727,8,FALSE)," ")</f>
        <v xml:space="preserve"> </v>
      </c>
      <c r="G328" s="52" t="str">
        <f>IFERROR(VLOOKUP($A328,'The List'!$B1:$AS727,10,FALSE)," ")</f>
        <v xml:space="preserve"> </v>
      </c>
      <c r="H328" s="39"/>
      <c r="I328" s="53" t="str">
        <f>IFERROR(VLOOKUP($A328,'The List'!$B1:$AS727,16,FALSE)," ")</f>
        <v xml:space="preserve"> </v>
      </c>
      <c r="J328" s="53" t="str">
        <f>IFERROR(VLOOKUP($A328,'The List'!$B1:$AS727,17,FALSE)," ")</f>
        <v xml:space="preserve"> </v>
      </c>
      <c r="K328" s="53" t="str">
        <f>IFERROR(VLOOKUP($A328,'The List'!$B1:$AS727,18,FALSE)," ")</f>
        <v xml:space="preserve"> </v>
      </c>
      <c r="L328" s="53" t="str">
        <f>IFERROR(VLOOKUP($A328,'The List'!$B1:$AS727,19,FALSE)," ")</f>
        <v xml:space="preserve"> </v>
      </c>
      <c r="M328" s="53" t="str">
        <f>IFERROR(VLOOKUP($A328,'The List'!$B1:$AS727,20,FALSE)," ")</f>
        <v xml:space="preserve"> </v>
      </c>
      <c r="N328" s="53" t="str">
        <f>IFERROR(VLOOKUP($A328,'The List'!$B1:$AS727,21,FALSE)," ")</f>
        <v xml:space="preserve"> </v>
      </c>
      <c r="O328" s="53" t="str">
        <f>IFERROR(VLOOKUP($A328,'The List'!$B1:$AS727,22,FALSE)," ")</f>
        <v xml:space="preserve"> </v>
      </c>
      <c r="P328" s="53" t="str">
        <f>IFERROR(VLOOKUP($A328,'The List'!$B1:$AS727,23,FALSE)," ")</f>
        <v xml:space="preserve"> </v>
      </c>
      <c r="Q328" s="53" t="str">
        <f>IFERROR(VLOOKUP($A328,'The List'!$B1:$AS727,24,FALSE)," ")</f>
        <v xml:space="preserve"> </v>
      </c>
      <c r="R328" s="53" t="str">
        <f>IFERROR(VLOOKUP($A328,'The List'!$B1:$AS727,25,FALSE)," ")</f>
        <v xml:space="preserve"> </v>
      </c>
      <c r="S328" s="53" t="str">
        <f>IFERROR(VLOOKUP($A328,'The List'!$B1:$AS727,26,FALSE)," ")</f>
        <v xml:space="preserve"> </v>
      </c>
      <c r="T328" s="53" t="str">
        <f>IFERROR(VLOOKUP($A328,'The List'!$B1:$AS727,27,FALSE)," ")</f>
        <v xml:space="preserve"> </v>
      </c>
      <c r="U328" s="53" t="str">
        <f>IFERROR(VLOOKUP($A328,'The List'!$B1:$AS727,28,FALSE)," ")</f>
        <v xml:space="preserve"> </v>
      </c>
      <c r="V328" s="53" t="str">
        <f>IFERROR(VLOOKUP($A328,'The List'!$B1:$AS727,29,FALSE)," ")</f>
        <v xml:space="preserve"> </v>
      </c>
      <c r="W328" s="53" t="str">
        <f>IFERROR(VLOOKUP($A328,'The List'!$B1:$AS727,30,FALSE)," ")</f>
        <v xml:space="preserve"> </v>
      </c>
      <c r="X328" s="53" t="str">
        <f>IFERROR(VLOOKUP($A328,'The List'!$B1:$AS727,31,FALSE)," ")</f>
        <v xml:space="preserve"> </v>
      </c>
      <c r="Y328" s="53" t="str">
        <f>IFERROR(VLOOKUP($A328,'The List'!$B1:$AS727,32,FALSE)," ")</f>
        <v xml:space="preserve"> </v>
      </c>
      <c r="Z328" s="53" t="str">
        <f>IFERROR(VLOOKUP($A328,'The List'!$B1:$AS727,33,FALSE)," ")</f>
        <v xml:space="preserve"> </v>
      </c>
      <c r="AA328" s="55"/>
      <c r="AB328" s="60"/>
      <c r="AC328" s="60"/>
      <c r="AD328" s="60"/>
      <c r="AE328" s="60"/>
      <c r="AF328" s="60"/>
    </row>
    <row r="329" spans="1:32" ht="21.25" customHeight="1" x14ac:dyDescent="0.15">
      <c r="A329" s="23"/>
      <c r="B329" s="65" t="str">
        <f>IFERROR(VLOOKUP($A329,'The List'!$B1:$AS727,3,FALSE)," ")</f>
        <v xml:space="preserve"> </v>
      </c>
      <c r="C329" s="67" t="str">
        <f>IFERROR(VLOOKUP($A329,'The List'!$B1:$AS727,4,FALSE)," ")</f>
        <v xml:space="preserve"> </v>
      </c>
      <c r="D329" s="35" t="str">
        <f>IFERROR(VLOOKUP($A329,'The List'!$B1:$AS727,5,FALSE)," ")</f>
        <v xml:space="preserve"> </v>
      </c>
      <c r="E329" s="35" t="str">
        <f>IFERROR(VLOOKUP($A329,'The List'!$B1:$AS727,6,FALSE)," ")</f>
        <v xml:space="preserve"> </v>
      </c>
      <c r="F329" s="52" t="str">
        <f>IFERROR(VLOOKUP($A329,'The List'!$B1:$AS727,8,FALSE)," ")</f>
        <v xml:space="preserve"> </v>
      </c>
      <c r="G329" s="52" t="str">
        <f>IFERROR(VLOOKUP($A329,'The List'!$B1:$AS727,10,FALSE)," ")</f>
        <v xml:space="preserve"> </v>
      </c>
      <c r="H329" s="39"/>
      <c r="I329" s="53" t="str">
        <f>IFERROR(VLOOKUP($A329,'The List'!$B1:$AS727,16,FALSE)," ")</f>
        <v xml:space="preserve"> </v>
      </c>
      <c r="J329" s="53" t="str">
        <f>IFERROR(VLOOKUP($A329,'The List'!$B1:$AS727,17,FALSE)," ")</f>
        <v xml:space="preserve"> </v>
      </c>
      <c r="K329" s="53" t="str">
        <f>IFERROR(VLOOKUP($A329,'The List'!$B1:$AS727,18,FALSE)," ")</f>
        <v xml:space="preserve"> </v>
      </c>
      <c r="L329" s="53" t="str">
        <f>IFERROR(VLOOKUP($A329,'The List'!$B1:$AS727,19,FALSE)," ")</f>
        <v xml:space="preserve"> </v>
      </c>
      <c r="M329" s="53" t="str">
        <f>IFERROR(VLOOKUP($A329,'The List'!$B1:$AS727,20,FALSE)," ")</f>
        <v xml:space="preserve"> </v>
      </c>
      <c r="N329" s="53" t="str">
        <f>IFERROR(VLOOKUP($A329,'The List'!$B1:$AS727,21,FALSE)," ")</f>
        <v xml:space="preserve"> </v>
      </c>
      <c r="O329" s="53" t="str">
        <f>IFERROR(VLOOKUP($A329,'The List'!$B1:$AS727,22,FALSE)," ")</f>
        <v xml:space="preserve"> </v>
      </c>
      <c r="P329" s="53" t="str">
        <f>IFERROR(VLOOKUP($A329,'The List'!$B1:$AS727,23,FALSE)," ")</f>
        <v xml:space="preserve"> </v>
      </c>
      <c r="Q329" s="53" t="str">
        <f>IFERROR(VLOOKUP($A329,'The List'!$B1:$AS727,24,FALSE)," ")</f>
        <v xml:space="preserve"> </v>
      </c>
      <c r="R329" s="53" t="str">
        <f>IFERROR(VLOOKUP($A329,'The List'!$B1:$AS727,25,FALSE)," ")</f>
        <v xml:space="preserve"> </v>
      </c>
      <c r="S329" s="53" t="str">
        <f>IFERROR(VLOOKUP($A329,'The List'!$B1:$AS727,26,FALSE)," ")</f>
        <v xml:space="preserve"> </v>
      </c>
      <c r="T329" s="53" t="str">
        <f>IFERROR(VLOOKUP($A329,'The List'!$B1:$AS727,27,FALSE)," ")</f>
        <v xml:space="preserve"> </v>
      </c>
      <c r="U329" s="53" t="str">
        <f>IFERROR(VLOOKUP($A329,'The List'!$B1:$AS727,28,FALSE)," ")</f>
        <v xml:space="preserve"> </v>
      </c>
      <c r="V329" s="53" t="str">
        <f>IFERROR(VLOOKUP($A329,'The List'!$B1:$AS727,29,FALSE)," ")</f>
        <v xml:space="preserve"> </v>
      </c>
      <c r="W329" s="53" t="str">
        <f>IFERROR(VLOOKUP($A329,'The List'!$B1:$AS727,30,FALSE)," ")</f>
        <v xml:space="preserve"> </v>
      </c>
      <c r="X329" s="53" t="str">
        <f>IFERROR(VLOOKUP($A329,'The List'!$B1:$AS727,31,FALSE)," ")</f>
        <v xml:space="preserve"> </v>
      </c>
      <c r="Y329" s="53" t="str">
        <f>IFERROR(VLOOKUP($A329,'The List'!$B1:$AS727,32,FALSE)," ")</f>
        <v xml:space="preserve"> </v>
      </c>
      <c r="Z329" s="53" t="str">
        <f>IFERROR(VLOOKUP($A329,'The List'!$B1:$AS727,33,FALSE)," ")</f>
        <v xml:space="preserve"> </v>
      </c>
      <c r="AA329" s="55"/>
      <c r="AB329" s="60"/>
      <c r="AC329" s="60"/>
      <c r="AD329" s="60"/>
      <c r="AE329" s="60"/>
      <c r="AF329" s="60"/>
    </row>
    <row r="330" spans="1:32" ht="21.25" customHeight="1" x14ac:dyDescent="0.15">
      <c r="A330" s="23"/>
      <c r="B330" s="65" t="str">
        <f>IFERROR(VLOOKUP($A330,'The List'!$B1:$AS727,3,FALSE)," ")</f>
        <v xml:space="preserve"> </v>
      </c>
      <c r="C330" s="67" t="str">
        <f>IFERROR(VLOOKUP($A330,'The List'!$B1:$AS727,4,FALSE)," ")</f>
        <v xml:space="preserve"> </v>
      </c>
      <c r="D330" s="35" t="str">
        <f>IFERROR(VLOOKUP($A330,'The List'!$B1:$AS727,5,FALSE)," ")</f>
        <v xml:space="preserve"> </v>
      </c>
      <c r="E330" s="35" t="str">
        <f>IFERROR(VLOOKUP($A330,'The List'!$B1:$AS727,6,FALSE)," ")</f>
        <v xml:space="preserve"> </v>
      </c>
      <c r="F330" s="52" t="str">
        <f>IFERROR(VLOOKUP($A330,'The List'!$B1:$AS727,8,FALSE)," ")</f>
        <v xml:space="preserve"> </v>
      </c>
      <c r="G330" s="52" t="str">
        <f>IFERROR(VLOOKUP($A330,'The List'!$B1:$AS727,10,FALSE)," ")</f>
        <v xml:space="preserve"> </v>
      </c>
      <c r="H330" s="39"/>
      <c r="I330" s="53" t="str">
        <f>IFERROR(VLOOKUP($A330,'The List'!$B1:$AS727,16,FALSE)," ")</f>
        <v xml:space="preserve"> </v>
      </c>
      <c r="J330" s="53" t="str">
        <f>IFERROR(VLOOKUP($A330,'The List'!$B1:$AS727,17,FALSE)," ")</f>
        <v xml:space="preserve"> </v>
      </c>
      <c r="K330" s="53" t="str">
        <f>IFERROR(VLOOKUP($A330,'The List'!$B1:$AS727,18,FALSE)," ")</f>
        <v xml:space="preserve"> </v>
      </c>
      <c r="L330" s="53" t="str">
        <f>IFERROR(VLOOKUP($A330,'The List'!$B1:$AS727,19,FALSE)," ")</f>
        <v xml:space="preserve"> </v>
      </c>
      <c r="M330" s="53" t="str">
        <f>IFERROR(VLOOKUP($A330,'The List'!$B1:$AS727,20,FALSE)," ")</f>
        <v xml:space="preserve"> </v>
      </c>
      <c r="N330" s="53" t="str">
        <f>IFERROR(VLOOKUP($A330,'The List'!$B1:$AS727,21,FALSE)," ")</f>
        <v xml:space="preserve"> </v>
      </c>
      <c r="O330" s="53" t="str">
        <f>IFERROR(VLOOKUP($A330,'The List'!$B1:$AS727,22,FALSE)," ")</f>
        <v xml:space="preserve"> </v>
      </c>
      <c r="P330" s="53" t="str">
        <f>IFERROR(VLOOKUP($A330,'The List'!$B1:$AS727,23,FALSE)," ")</f>
        <v xml:space="preserve"> </v>
      </c>
      <c r="Q330" s="53" t="str">
        <f>IFERROR(VLOOKUP($A330,'The List'!$B1:$AS727,24,FALSE)," ")</f>
        <v xml:space="preserve"> </v>
      </c>
      <c r="R330" s="53" t="str">
        <f>IFERROR(VLOOKUP($A330,'The List'!$B1:$AS727,25,FALSE)," ")</f>
        <v xml:space="preserve"> </v>
      </c>
      <c r="S330" s="53" t="str">
        <f>IFERROR(VLOOKUP($A330,'The List'!$B1:$AS727,26,FALSE)," ")</f>
        <v xml:space="preserve"> </v>
      </c>
      <c r="T330" s="53" t="str">
        <f>IFERROR(VLOOKUP($A330,'The List'!$B1:$AS727,27,FALSE)," ")</f>
        <v xml:space="preserve"> </v>
      </c>
      <c r="U330" s="53" t="str">
        <f>IFERROR(VLOOKUP($A330,'The List'!$B1:$AS727,28,FALSE)," ")</f>
        <v xml:space="preserve"> </v>
      </c>
      <c r="V330" s="53" t="str">
        <f>IFERROR(VLOOKUP($A330,'The List'!$B1:$AS727,29,FALSE)," ")</f>
        <v xml:space="preserve"> </v>
      </c>
      <c r="W330" s="53" t="str">
        <f>IFERROR(VLOOKUP($A330,'The List'!$B1:$AS727,30,FALSE)," ")</f>
        <v xml:space="preserve"> </v>
      </c>
      <c r="X330" s="53" t="str">
        <f>IFERROR(VLOOKUP($A330,'The List'!$B1:$AS727,31,FALSE)," ")</f>
        <v xml:space="preserve"> </v>
      </c>
      <c r="Y330" s="53" t="str">
        <f>IFERROR(VLOOKUP($A330,'The List'!$B1:$AS727,32,FALSE)," ")</f>
        <v xml:space="preserve"> </v>
      </c>
      <c r="Z330" s="53" t="str">
        <f>IFERROR(VLOOKUP($A330,'The List'!$B1:$AS727,33,FALSE)," ")</f>
        <v xml:space="preserve"> </v>
      </c>
      <c r="AA330" s="55"/>
      <c r="AB330" s="60"/>
      <c r="AC330" s="60"/>
      <c r="AD330" s="60"/>
      <c r="AE330" s="60"/>
      <c r="AF330" s="60"/>
    </row>
    <row r="331" spans="1:32" ht="21.25" customHeight="1" x14ac:dyDescent="0.15">
      <c r="A331" s="23"/>
      <c r="B331" s="65" t="str">
        <f>IFERROR(VLOOKUP($A331,'The List'!$B1:$AS727,3,FALSE)," ")</f>
        <v xml:space="preserve"> </v>
      </c>
      <c r="C331" s="67" t="str">
        <f>IFERROR(VLOOKUP($A331,'The List'!$B1:$AS727,4,FALSE)," ")</f>
        <v xml:space="preserve"> </v>
      </c>
      <c r="D331" s="35" t="str">
        <f>IFERROR(VLOOKUP($A331,'The List'!$B1:$AS727,5,FALSE)," ")</f>
        <v xml:space="preserve"> </v>
      </c>
      <c r="E331" s="35" t="str">
        <f>IFERROR(VLOOKUP($A331,'The List'!$B1:$AS727,6,FALSE)," ")</f>
        <v xml:space="preserve"> </v>
      </c>
      <c r="F331" s="52" t="str">
        <f>IFERROR(VLOOKUP($A331,'The List'!$B1:$AS727,8,FALSE)," ")</f>
        <v xml:space="preserve"> </v>
      </c>
      <c r="G331" s="52" t="str">
        <f>IFERROR(VLOOKUP($A331,'The List'!$B1:$AS727,10,FALSE)," ")</f>
        <v xml:space="preserve"> </v>
      </c>
      <c r="H331" s="39"/>
      <c r="I331" s="53" t="str">
        <f>IFERROR(VLOOKUP($A331,'The List'!$B1:$AS727,16,FALSE)," ")</f>
        <v xml:space="preserve"> </v>
      </c>
      <c r="J331" s="53" t="str">
        <f>IFERROR(VLOOKUP($A331,'The List'!$B1:$AS727,17,FALSE)," ")</f>
        <v xml:space="preserve"> </v>
      </c>
      <c r="K331" s="53" t="str">
        <f>IFERROR(VLOOKUP($A331,'The List'!$B1:$AS727,18,FALSE)," ")</f>
        <v xml:space="preserve"> </v>
      </c>
      <c r="L331" s="53" t="str">
        <f>IFERROR(VLOOKUP($A331,'The List'!$B1:$AS727,19,FALSE)," ")</f>
        <v xml:space="preserve"> </v>
      </c>
      <c r="M331" s="53" t="str">
        <f>IFERROR(VLOOKUP($A331,'The List'!$B1:$AS727,20,FALSE)," ")</f>
        <v xml:space="preserve"> </v>
      </c>
      <c r="N331" s="53" t="str">
        <f>IFERROR(VLOOKUP($A331,'The List'!$B1:$AS727,21,FALSE)," ")</f>
        <v xml:space="preserve"> </v>
      </c>
      <c r="O331" s="53" t="str">
        <f>IFERROR(VLOOKUP($A331,'The List'!$B1:$AS727,22,FALSE)," ")</f>
        <v xml:space="preserve"> </v>
      </c>
      <c r="P331" s="53" t="str">
        <f>IFERROR(VLOOKUP($A331,'The List'!$B1:$AS727,23,FALSE)," ")</f>
        <v xml:space="preserve"> </v>
      </c>
      <c r="Q331" s="53" t="str">
        <f>IFERROR(VLOOKUP($A331,'The List'!$B1:$AS727,24,FALSE)," ")</f>
        <v xml:space="preserve"> </v>
      </c>
      <c r="R331" s="53" t="str">
        <f>IFERROR(VLOOKUP($A331,'The List'!$B1:$AS727,25,FALSE)," ")</f>
        <v xml:space="preserve"> </v>
      </c>
      <c r="S331" s="53" t="str">
        <f>IFERROR(VLOOKUP($A331,'The List'!$B1:$AS727,26,FALSE)," ")</f>
        <v xml:space="preserve"> </v>
      </c>
      <c r="T331" s="53" t="str">
        <f>IFERROR(VLOOKUP($A331,'The List'!$B1:$AS727,27,FALSE)," ")</f>
        <v xml:space="preserve"> </v>
      </c>
      <c r="U331" s="53" t="str">
        <f>IFERROR(VLOOKUP($A331,'The List'!$B1:$AS727,28,FALSE)," ")</f>
        <v xml:space="preserve"> </v>
      </c>
      <c r="V331" s="53" t="str">
        <f>IFERROR(VLOOKUP($A331,'The List'!$B1:$AS727,29,FALSE)," ")</f>
        <v xml:space="preserve"> </v>
      </c>
      <c r="W331" s="53" t="str">
        <f>IFERROR(VLOOKUP($A331,'The List'!$B1:$AS727,30,FALSE)," ")</f>
        <v xml:space="preserve"> </v>
      </c>
      <c r="X331" s="53" t="str">
        <f>IFERROR(VLOOKUP($A331,'The List'!$B1:$AS727,31,FALSE)," ")</f>
        <v xml:space="preserve"> </v>
      </c>
      <c r="Y331" s="53" t="str">
        <f>IFERROR(VLOOKUP($A331,'The List'!$B1:$AS727,32,FALSE)," ")</f>
        <v xml:space="preserve"> </v>
      </c>
      <c r="Z331" s="53" t="str">
        <f>IFERROR(VLOOKUP($A331,'The List'!$B1:$AS727,33,FALSE)," ")</f>
        <v xml:space="preserve"> </v>
      </c>
      <c r="AA331" s="55"/>
      <c r="AB331" s="60"/>
      <c r="AC331" s="60"/>
      <c r="AD331" s="60"/>
      <c r="AE331" s="60"/>
      <c r="AF331" s="60"/>
    </row>
    <row r="332" spans="1:32" ht="21.25" customHeight="1" x14ac:dyDescent="0.15">
      <c r="A332" s="23"/>
      <c r="B332" s="65" t="str">
        <f>IFERROR(VLOOKUP($A332,'The List'!$B1:$AS727,3,FALSE)," ")</f>
        <v xml:space="preserve"> </v>
      </c>
      <c r="C332" s="67" t="str">
        <f>IFERROR(VLOOKUP($A332,'The List'!$B1:$AS727,4,FALSE)," ")</f>
        <v xml:space="preserve"> </v>
      </c>
      <c r="D332" s="35" t="str">
        <f>IFERROR(VLOOKUP($A332,'The List'!$B1:$AS727,5,FALSE)," ")</f>
        <v xml:space="preserve"> </v>
      </c>
      <c r="E332" s="35" t="str">
        <f>IFERROR(VLOOKUP($A332,'The List'!$B1:$AS727,6,FALSE)," ")</f>
        <v xml:space="preserve"> </v>
      </c>
      <c r="F332" s="52" t="str">
        <f>IFERROR(VLOOKUP($A332,'The List'!$B1:$AS727,8,FALSE)," ")</f>
        <v xml:space="preserve"> </v>
      </c>
      <c r="G332" s="52" t="str">
        <f>IFERROR(VLOOKUP($A332,'The List'!$B1:$AS727,10,FALSE)," ")</f>
        <v xml:space="preserve"> </v>
      </c>
      <c r="H332" s="39"/>
      <c r="I332" s="53" t="str">
        <f>IFERROR(VLOOKUP($A332,'The List'!$B1:$AS727,16,FALSE)," ")</f>
        <v xml:space="preserve"> </v>
      </c>
      <c r="J332" s="53" t="str">
        <f>IFERROR(VLOOKUP($A332,'The List'!$B1:$AS727,17,FALSE)," ")</f>
        <v xml:space="preserve"> </v>
      </c>
      <c r="K332" s="53" t="str">
        <f>IFERROR(VLOOKUP($A332,'The List'!$B1:$AS727,18,FALSE)," ")</f>
        <v xml:space="preserve"> </v>
      </c>
      <c r="L332" s="53" t="str">
        <f>IFERROR(VLOOKUP($A332,'The List'!$B1:$AS727,19,FALSE)," ")</f>
        <v xml:space="preserve"> </v>
      </c>
      <c r="M332" s="53" t="str">
        <f>IFERROR(VLOOKUP($A332,'The List'!$B1:$AS727,20,FALSE)," ")</f>
        <v xml:space="preserve"> </v>
      </c>
      <c r="N332" s="53" t="str">
        <f>IFERROR(VLOOKUP($A332,'The List'!$B1:$AS727,21,FALSE)," ")</f>
        <v xml:space="preserve"> </v>
      </c>
      <c r="O332" s="53" t="str">
        <f>IFERROR(VLOOKUP($A332,'The List'!$B1:$AS727,22,FALSE)," ")</f>
        <v xml:space="preserve"> </v>
      </c>
      <c r="P332" s="53" t="str">
        <f>IFERROR(VLOOKUP($A332,'The List'!$B1:$AS727,23,FALSE)," ")</f>
        <v xml:space="preserve"> </v>
      </c>
      <c r="Q332" s="53" t="str">
        <f>IFERROR(VLOOKUP($A332,'The List'!$B1:$AS727,24,FALSE)," ")</f>
        <v xml:space="preserve"> </v>
      </c>
      <c r="R332" s="53" t="str">
        <f>IFERROR(VLOOKUP($A332,'The List'!$B1:$AS727,25,FALSE)," ")</f>
        <v xml:space="preserve"> </v>
      </c>
      <c r="S332" s="53" t="str">
        <f>IFERROR(VLOOKUP($A332,'The List'!$B1:$AS727,26,FALSE)," ")</f>
        <v xml:space="preserve"> </v>
      </c>
      <c r="T332" s="53" t="str">
        <f>IFERROR(VLOOKUP($A332,'The List'!$B1:$AS727,27,FALSE)," ")</f>
        <v xml:space="preserve"> </v>
      </c>
      <c r="U332" s="53" t="str">
        <f>IFERROR(VLOOKUP($A332,'The List'!$B1:$AS727,28,FALSE)," ")</f>
        <v xml:space="preserve"> </v>
      </c>
      <c r="V332" s="53" t="str">
        <f>IFERROR(VLOOKUP($A332,'The List'!$B1:$AS727,29,FALSE)," ")</f>
        <v xml:space="preserve"> </v>
      </c>
      <c r="W332" s="53" t="str">
        <f>IFERROR(VLOOKUP($A332,'The List'!$B1:$AS727,30,FALSE)," ")</f>
        <v xml:space="preserve"> </v>
      </c>
      <c r="X332" s="53" t="str">
        <f>IFERROR(VLOOKUP($A332,'The List'!$B1:$AS727,31,FALSE)," ")</f>
        <v xml:space="preserve"> </v>
      </c>
      <c r="Y332" s="53" t="str">
        <f>IFERROR(VLOOKUP($A332,'The List'!$B1:$AS727,32,FALSE)," ")</f>
        <v xml:space="preserve"> </v>
      </c>
      <c r="Z332" s="53" t="str">
        <f>IFERROR(VLOOKUP($A332,'The List'!$B1:$AS727,33,FALSE)," ")</f>
        <v xml:space="preserve"> </v>
      </c>
      <c r="AA332" s="55"/>
      <c r="AB332" s="60"/>
      <c r="AC332" s="60"/>
      <c r="AD332" s="60"/>
      <c r="AE332" s="60"/>
      <c r="AF332" s="60"/>
    </row>
    <row r="333" spans="1:32" ht="21.25" customHeight="1" x14ac:dyDescent="0.15">
      <c r="A333" s="23"/>
      <c r="B333" s="68" t="str">
        <f>IFERROR(VLOOKUP($A333,'The List'!$B1:$AS727,3,FALSE)," ")</f>
        <v xml:space="preserve"> </v>
      </c>
      <c r="C333" s="70" t="str">
        <f>IFERROR(VLOOKUP($A333,'The List'!$B1:$AS727,4,FALSE)," ")</f>
        <v xml:space="preserve"> </v>
      </c>
      <c r="D333" s="35" t="str">
        <f>IFERROR(VLOOKUP($A333,'The List'!$B1:$AS727,5,FALSE)," ")</f>
        <v xml:space="preserve"> </v>
      </c>
      <c r="E333" s="35" t="str">
        <f>IFERROR(VLOOKUP($A333,'The List'!$B1:$AS727,6,FALSE)," ")</f>
        <v xml:space="preserve"> </v>
      </c>
      <c r="F333" s="52" t="str">
        <f>IFERROR(VLOOKUP($A333,'The List'!$B1:$AS727,8,FALSE)," ")</f>
        <v xml:space="preserve"> </v>
      </c>
      <c r="G333" s="52" t="str">
        <f>IFERROR(VLOOKUP($A333,'The List'!$B1:$AS727,10,FALSE)," ")</f>
        <v xml:space="preserve"> </v>
      </c>
      <c r="H333" s="39"/>
      <c r="I333" s="53" t="str">
        <f>IFERROR(VLOOKUP($A333,'The List'!$B1:$AS727,16,FALSE)," ")</f>
        <v xml:space="preserve"> </v>
      </c>
      <c r="J333" s="53" t="str">
        <f>IFERROR(VLOOKUP($A333,'The List'!$B1:$AS727,17,FALSE)," ")</f>
        <v xml:space="preserve"> </v>
      </c>
      <c r="K333" s="53" t="str">
        <f>IFERROR(VLOOKUP($A333,'The List'!$B1:$AS727,18,FALSE)," ")</f>
        <v xml:space="preserve"> </v>
      </c>
      <c r="L333" s="53" t="str">
        <f>IFERROR(VLOOKUP($A333,'The List'!$B1:$AS727,19,FALSE)," ")</f>
        <v xml:space="preserve"> </v>
      </c>
      <c r="M333" s="53" t="str">
        <f>IFERROR(VLOOKUP($A333,'The List'!$B1:$AS727,20,FALSE)," ")</f>
        <v xml:space="preserve"> </v>
      </c>
      <c r="N333" s="53" t="str">
        <f>IFERROR(VLOOKUP($A333,'The List'!$B1:$AS727,21,FALSE)," ")</f>
        <v xml:space="preserve"> </v>
      </c>
      <c r="O333" s="53" t="str">
        <f>IFERROR(VLOOKUP($A333,'The List'!$B1:$AS727,22,FALSE)," ")</f>
        <v xml:space="preserve"> </v>
      </c>
      <c r="P333" s="53" t="str">
        <f>IFERROR(VLOOKUP($A333,'The List'!$B1:$AS727,23,FALSE)," ")</f>
        <v xml:space="preserve"> </v>
      </c>
      <c r="Q333" s="53" t="str">
        <f>IFERROR(VLOOKUP($A333,'The List'!$B1:$AS727,24,FALSE)," ")</f>
        <v xml:space="preserve"> </v>
      </c>
      <c r="R333" s="53" t="str">
        <f>IFERROR(VLOOKUP($A333,'The List'!$B1:$AS727,25,FALSE)," ")</f>
        <v xml:space="preserve"> </v>
      </c>
      <c r="S333" s="53" t="str">
        <f>IFERROR(VLOOKUP($A333,'The List'!$B1:$AS727,26,FALSE)," ")</f>
        <v xml:space="preserve"> </v>
      </c>
      <c r="T333" s="53" t="str">
        <f>IFERROR(VLOOKUP($A333,'The List'!$B1:$AS727,27,FALSE)," ")</f>
        <v xml:space="preserve"> </v>
      </c>
      <c r="U333" s="53" t="str">
        <f>IFERROR(VLOOKUP($A333,'The List'!$B1:$AS727,28,FALSE)," ")</f>
        <v xml:space="preserve"> </v>
      </c>
      <c r="V333" s="53" t="str">
        <f>IFERROR(VLOOKUP($A333,'The List'!$B1:$AS727,29,FALSE)," ")</f>
        <v xml:space="preserve"> </v>
      </c>
      <c r="W333" s="53" t="str">
        <f>IFERROR(VLOOKUP($A333,'The List'!$B1:$AS727,30,FALSE)," ")</f>
        <v xml:space="preserve"> </v>
      </c>
      <c r="X333" s="53" t="str">
        <f>IFERROR(VLOOKUP($A333,'The List'!$B1:$AS727,31,FALSE)," ")</f>
        <v xml:space="preserve"> </v>
      </c>
      <c r="Y333" s="53" t="str">
        <f>IFERROR(VLOOKUP($A333,'The List'!$B1:$AS727,32,FALSE)," ")</f>
        <v xml:space="preserve"> </v>
      </c>
      <c r="Z333" s="53" t="str">
        <f>IFERROR(VLOOKUP($A333,'The List'!$B1:$AS727,33,FALSE)," ")</f>
        <v xml:space="preserve"> </v>
      </c>
      <c r="AA333" s="55"/>
      <c r="AB333" s="60"/>
      <c r="AC333" s="60"/>
      <c r="AD333" s="60"/>
      <c r="AE333" s="60"/>
      <c r="AF333" s="60"/>
    </row>
    <row r="334" spans="1:32" ht="21.25" customHeight="1" x14ac:dyDescent="0.15">
      <c r="A334" s="23"/>
      <c r="B334" s="68" t="str">
        <f>IFERROR(VLOOKUP($A334,'The List'!$B1:$AS727,3,FALSE)," ")</f>
        <v xml:space="preserve"> </v>
      </c>
      <c r="C334" s="70" t="str">
        <f>IFERROR(VLOOKUP($A334,'The List'!$B1:$AS727,4,FALSE)," ")</f>
        <v xml:space="preserve"> </v>
      </c>
      <c r="D334" s="35" t="str">
        <f>IFERROR(VLOOKUP($A334,'The List'!$B1:$AS727,5,FALSE)," ")</f>
        <v xml:space="preserve"> </v>
      </c>
      <c r="E334" s="35" t="str">
        <f>IFERROR(VLOOKUP($A334,'The List'!$B1:$AS727,6,FALSE)," ")</f>
        <v xml:space="preserve"> </v>
      </c>
      <c r="F334" s="52" t="str">
        <f>IFERROR(VLOOKUP($A334,'The List'!$B1:$AS727,8,FALSE)," ")</f>
        <v xml:space="preserve"> </v>
      </c>
      <c r="G334" s="52" t="str">
        <f>IFERROR(VLOOKUP($A334,'The List'!$B1:$AS727,10,FALSE)," ")</f>
        <v xml:space="preserve"> </v>
      </c>
      <c r="H334" s="39"/>
      <c r="I334" s="53" t="str">
        <f>IFERROR(VLOOKUP($A334,'The List'!$B1:$AS727,16,FALSE)," ")</f>
        <v xml:space="preserve"> </v>
      </c>
      <c r="J334" s="53" t="str">
        <f>IFERROR(VLOOKUP($A334,'The List'!$B1:$AS727,17,FALSE)," ")</f>
        <v xml:space="preserve"> </v>
      </c>
      <c r="K334" s="53" t="str">
        <f>IFERROR(VLOOKUP($A334,'The List'!$B1:$AS727,18,FALSE)," ")</f>
        <v xml:space="preserve"> </v>
      </c>
      <c r="L334" s="53" t="str">
        <f>IFERROR(VLOOKUP($A334,'The List'!$B1:$AS727,19,FALSE)," ")</f>
        <v xml:space="preserve"> </v>
      </c>
      <c r="M334" s="53" t="str">
        <f>IFERROR(VLOOKUP($A334,'The List'!$B1:$AS727,20,FALSE)," ")</f>
        <v xml:space="preserve"> </v>
      </c>
      <c r="N334" s="53" t="str">
        <f>IFERROR(VLOOKUP($A334,'The List'!$B1:$AS727,21,FALSE)," ")</f>
        <v xml:space="preserve"> </v>
      </c>
      <c r="O334" s="53" t="str">
        <f>IFERROR(VLOOKUP($A334,'The List'!$B1:$AS727,22,FALSE)," ")</f>
        <v xml:space="preserve"> </v>
      </c>
      <c r="P334" s="53" t="str">
        <f>IFERROR(VLOOKUP($A334,'The List'!$B1:$AS727,23,FALSE)," ")</f>
        <v xml:space="preserve"> </v>
      </c>
      <c r="Q334" s="53" t="str">
        <f>IFERROR(VLOOKUP($A334,'The List'!$B1:$AS727,24,FALSE)," ")</f>
        <v xml:space="preserve"> </v>
      </c>
      <c r="R334" s="53" t="str">
        <f>IFERROR(VLOOKUP($A334,'The List'!$B1:$AS727,25,FALSE)," ")</f>
        <v xml:space="preserve"> </v>
      </c>
      <c r="S334" s="53" t="str">
        <f>IFERROR(VLOOKUP($A334,'The List'!$B1:$AS727,26,FALSE)," ")</f>
        <v xml:space="preserve"> </v>
      </c>
      <c r="T334" s="53" t="str">
        <f>IFERROR(VLOOKUP($A334,'The List'!$B1:$AS727,27,FALSE)," ")</f>
        <v xml:space="preserve"> </v>
      </c>
      <c r="U334" s="53" t="str">
        <f>IFERROR(VLOOKUP($A334,'The List'!$B1:$AS727,28,FALSE)," ")</f>
        <v xml:space="preserve"> </v>
      </c>
      <c r="V334" s="53" t="str">
        <f>IFERROR(VLOOKUP($A334,'The List'!$B1:$AS727,29,FALSE)," ")</f>
        <v xml:space="preserve"> </v>
      </c>
      <c r="W334" s="53" t="str">
        <f>IFERROR(VLOOKUP($A334,'The List'!$B1:$AS727,30,FALSE)," ")</f>
        <v xml:space="preserve"> </v>
      </c>
      <c r="X334" s="53" t="str">
        <f>IFERROR(VLOOKUP($A334,'The List'!$B1:$AS727,31,FALSE)," ")</f>
        <v xml:space="preserve"> </v>
      </c>
      <c r="Y334" s="53" t="str">
        <f>IFERROR(VLOOKUP($A334,'The List'!$B1:$AS727,32,FALSE)," ")</f>
        <v xml:space="preserve"> </v>
      </c>
      <c r="Z334" s="53" t="str">
        <f>IFERROR(VLOOKUP($A334,'The List'!$B1:$AS727,33,FALSE)," ")</f>
        <v xml:space="preserve"> </v>
      </c>
      <c r="AA334" s="55"/>
      <c r="AB334" s="60"/>
      <c r="AC334" s="60"/>
      <c r="AD334" s="60"/>
      <c r="AE334" s="60"/>
      <c r="AF334" s="60"/>
    </row>
    <row r="335" spans="1:32" ht="21.25" customHeight="1" x14ac:dyDescent="0.15">
      <c r="A335" s="23"/>
      <c r="B335" s="68" t="str">
        <f>IFERROR(VLOOKUP($A335,'The List'!$B1:$AS727,3,FALSE)," ")</f>
        <v xml:space="preserve"> </v>
      </c>
      <c r="C335" s="70" t="str">
        <f>IFERROR(VLOOKUP($A335,'The List'!$B1:$AS727,4,FALSE)," ")</f>
        <v xml:space="preserve"> </v>
      </c>
      <c r="D335" s="35" t="str">
        <f>IFERROR(VLOOKUP($A335,'The List'!$B1:$AS727,5,FALSE)," ")</f>
        <v xml:space="preserve"> </v>
      </c>
      <c r="E335" s="35" t="str">
        <f>IFERROR(VLOOKUP($A335,'The List'!$B1:$AS727,6,FALSE)," ")</f>
        <v xml:space="preserve"> </v>
      </c>
      <c r="F335" s="52" t="str">
        <f>IFERROR(VLOOKUP($A335,'The List'!$B1:$AS727,8,FALSE)," ")</f>
        <v xml:space="preserve"> </v>
      </c>
      <c r="G335" s="52" t="str">
        <f>IFERROR(VLOOKUP($A335,'The List'!$B1:$AS727,10,FALSE)," ")</f>
        <v xml:space="preserve"> </v>
      </c>
      <c r="H335" s="39"/>
      <c r="I335" s="53" t="str">
        <f>IFERROR(VLOOKUP($A335,'The List'!$B1:$AS727,16,FALSE)," ")</f>
        <v xml:space="preserve"> </v>
      </c>
      <c r="J335" s="53" t="str">
        <f>IFERROR(VLOOKUP($A335,'The List'!$B1:$AS727,17,FALSE)," ")</f>
        <v xml:space="preserve"> </v>
      </c>
      <c r="K335" s="53" t="str">
        <f>IFERROR(VLOOKUP($A335,'The List'!$B1:$AS727,18,FALSE)," ")</f>
        <v xml:space="preserve"> </v>
      </c>
      <c r="L335" s="53" t="str">
        <f>IFERROR(VLOOKUP($A335,'The List'!$B1:$AS727,19,FALSE)," ")</f>
        <v xml:space="preserve"> </v>
      </c>
      <c r="M335" s="53" t="str">
        <f>IFERROR(VLOOKUP($A335,'The List'!$B1:$AS727,20,FALSE)," ")</f>
        <v xml:space="preserve"> </v>
      </c>
      <c r="N335" s="53" t="str">
        <f>IFERROR(VLOOKUP($A335,'The List'!$B1:$AS727,21,FALSE)," ")</f>
        <v xml:space="preserve"> </v>
      </c>
      <c r="O335" s="53" t="str">
        <f>IFERROR(VLOOKUP($A335,'The List'!$B1:$AS727,22,FALSE)," ")</f>
        <v xml:space="preserve"> </v>
      </c>
      <c r="P335" s="53" t="str">
        <f>IFERROR(VLOOKUP($A335,'The List'!$B1:$AS727,23,FALSE)," ")</f>
        <v xml:space="preserve"> </v>
      </c>
      <c r="Q335" s="53" t="str">
        <f>IFERROR(VLOOKUP($A335,'The List'!$B1:$AS727,24,FALSE)," ")</f>
        <v xml:space="preserve"> </v>
      </c>
      <c r="R335" s="53" t="str">
        <f>IFERROR(VLOOKUP($A335,'The List'!$B1:$AS727,25,FALSE)," ")</f>
        <v xml:space="preserve"> </v>
      </c>
      <c r="S335" s="53" t="str">
        <f>IFERROR(VLOOKUP($A335,'The List'!$B1:$AS727,26,FALSE)," ")</f>
        <v xml:space="preserve"> </v>
      </c>
      <c r="T335" s="53" t="str">
        <f>IFERROR(VLOOKUP($A335,'The List'!$B1:$AS727,27,FALSE)," ")</f>
        <v xml:space="preserve"> </v>
      </c>
      <c r="U335" s="53" t="str">
        <f>IFERROR(VLOOKUP($A335,'The List'!$B1:$AS727,28,FALSE)," ")</f>
        <v xml:space="preserve"> </v>
      </c>
      <c r="V335" s="53" t="str">
        <f>IFERROR(VLOOKUP($A335,'The List'!$B1:$AS727,29,FALSE)," ")</f>
        <v xml:space="preserve"> </v>
      </c>
      <c r="W335" s="53" t="str">
        <f>IFERROR(VLOOKUP($A335,'The List'!$B1:$AS727,30,FALSE)," ")</f>
        <v xml:space="preserve"> </v>
      </c>
      <c r="X335" s="53" t="str">
        <f>IFERROR(VLOOKUP($A335,'The List'!$B1:$AS727,31,FALSE)," ")</f>
        <v xml:space="preserve"> </v>
      </c>
      <c r="Y335" s="53" t="str">
        <f>IFERROR(VLOOKUP($A335,'The List'!$B1:$AS727,32,FALSE)," ")</f>
        <v xml:space="preserve"> </v>
      </c>
      <c r="Z335" s="53" t="str">
        <f>IFERROR(VLOOKUP($A335,'The List'!$B1:$AS727,33,FALSE)," ")</f>
        <v xml:space="preserve"> </v>
      </c>
      <c r="AA335" s="55"/>
      <c r="AB335" s="60"/>
      <c r="AC335" s="60"/>
      <c r="AD335" s="60"/>
      <c r="AE335" s="60"/>
      <c r="AF335" s="60"/>
    </row>
    <row r="336" spans="1:32" ht="21.25" customHeight="1" x14ac:dyDescent="0.15">
      <c r="A336" s="23"/>
      <c r="B336" s="68" t="str">
        <f>IFERROR(VLOOKUP($A336,'The List'!$B1:$AS727,3,FALSE)," ")</f>
        <v xml:space="preserve"> </v>
      </c>
      <c r="C336" s="70" t="str">
        <f>IFERROR(VLOOKUP($A336,'The List'!$B1:$AS727,4,FALSE)," ")</f>
        <v xml:space="preserve"> </v>
      </c>
      <c r="D336" s="35" t="str">
        <f>IFERROR(VLOOKUP($A336,'The List'!$B1:$AS727,5,FALSE)," ")</f>
        <v xml:space="preserve"> </v>
      </c>
      <c r="E336" s="35" t="str">
        <f>IFERROR(VLOOKUP($A336,'The List'!$B1:$AS727,6,FALSE)," ")</f>
        <v xml:space="preserve"> </v>
      </c>
      <c r="F336" s="52" t="str">
        <f>IFERROR(VLOOKUP($A336,'The List'!$B1:$AS727,8,FALSE)," ")</f>
        <v xml:space="preserve"> </v>
      </c>
      <c r="G336" s="52" t="str">
        <f>IFERROR(VLOOKUP($A336,'The List'!$B1:$AS727,10,FALSE)," ")</f>
        <v xml:space="preserve"> </v>
      </c>
      <c r="H336" s="39"/>
      <c r="I336" s="53" t="str">
        <f>IFERROR(VLOOKUP($A336,'The List'!$B1:$AS727,16,FALSE)," ")</f>
        <v xml:space="preserve"> </v>
      </c>
      <c r="J336" s="53" t="str">
        <f>IFERROR(VLOOKUP($A336,'The List'!$B1:$AS727,17,FALSE)," ")</f>
        <v xml:space="preserve"> </v>
      </c>
      <c r="K336" s="53" t="str">
        <f>IFERROR(VLOOKUP($A336,'The List'!$B1:$AS727,18,FALSE)," ")</f>
        <v xml:space="preserve"> </v>
      </c>
      <c r="L336" s="53" t="str">
        <f>IFERROR(VLOOKUP($A336,'The List'!$B1:$AS727,19,FALSE)," ")</f>
        <v xml:space="preserve"> </v>
      </c>
      <c r="M336" s="53" t="str">
        <f>IFERROR(VLOOKUP($A336,'The List'!$B1:$AS727,20,FALSE)," ")</f>
        <v xml:space="preserve"> </v>
      </c>
      <c r="N336" s="53" t="str">
        <f>IFERROR(VLOOKUP($A336,'The List'!$B1:$AS727,21,FALSE)," ")</f>
        <v xml:space="preserve"> </v>
      </c>
      <c r="O336" s="53" t="str">
        <f>IFERROR(VLOOKUP($A336,'The List'!$B1:$AS727,22,FALSE)," ")</f>
        <v xml:space="preserve"> </v>
      </c>
      <c r="P336" s="53" t="str">
        <f>IFERROR(VLOOKUP($A336,'The List'!$B1:$AS727,23,FALSE)," ")</f>
        <v xml:space="preserve"> </v>
      </c>
      <c r="Q336" s="53" t="str">
        <f>IFERROR(VLOOKUP($A336,'The List'!$B1:$AS727,24,FALSE)," ")</f>
        <v xml:space="preserve"> </v>
      </c>
      <c r="R336" s="53" t="str">
        <f>IFERROR(VLOOKUP($A336,'The List'!$B1:$AS727,25,FALSE)," ")</f>
        <v xml:space="preserve"> </v>
      </c>
      <c r="S336" s="53" t="str">
        <f>IFERROR(VLOOKUP($A336,'The List'!$B1:$AS727,26,FALSE)," ")</f>
        <v xml:space="preserve"> </v>
      </c>
      <c r="T336" s="53" t="str">
        <f>IFERROR(VLOOKUP($A336,'The List'!$B1:$AS727,27,FALSE)," ")</f>
        <v xml:space="preserve"> </v>
      </c>
      <c r="U336" s="53" t="str">
        <f>IFERROR(VLOOKUP($A336,'The List'!$B1:$AS727,28,FALSE)," ")</f>
        <v xml:space="preserve"> </v>
      </c>
      <c r="V336" s="53" t="str">
        <f>IFERROR(VLOOKUP($A336,'The List'!$B1:$AS727,29,FALSE)," ")</f>
        <v xml:space="preserve"> </v>
      </c>
      <c r="W336" s="53" t="str">
        <f>IFERROR(VLOOKUP($A336,'The List'!$B1:$AS727,30,FALSE)," ")</f>
        <v xml:space="preserve"> </v>
      </c>
      <c r="X336" s="53" t="str">
        <f>IFERROR(VLOOKUP($A336,'The List'!$B1:$AS727,31,FALSE)," ")</f>
        <v xml:space="preserve"> </v>
      </c>
      <c r="Y336" s="53" t="str">
        <f>IFERROR(VLOOKUP($A336,'The List'!$B1:$AS727,32,FALSE)," ")</f>
        <v xml:space="preserve"> </v>
      </c>
      <c r="Z336" s="53" t="str">
        <f>IFERROR(VLOOKUP($A336,'The List'!$B1:$AS727,33,FALSE)," ")</f>
        <v xml:space="preserve"> </v>
      </c>
      <c r="AA336" s="55"/>
      <c r="AB336" s="60"/>
      <c r="AC336" s="60"/>
      <c r="AD336" s="60"/>
      <c r="AE336" s="60"/>
      <c r="AF336" s="60"/>
    </row>
    <row r="337" spans="1:32" ht="21.25" customHeight="1" x14ac:dyDescent="0.15">
      <c r="A337" s="23"/>
      <c r="B337" s="68" t="str">
        <f>IFERROR(VLOOKUP($A337,'The List'!$B1:$AS727,3,FALSE)," ")</f>
        <v xml:space="preserve"> </v>
      </c>
      <c r="C337" s="70" t="str">
        <f>IFERROR(VLOOKUP($A337,'The List'!$B1:$AS727,4,FALSE)," ")</f>
        <v xml:space="preserve"> </v>
      </c>
      <c r="D337" s="35" t="str">
        <f>IFERROR(VLOOKUP($A337,'The List'!$B1:$AS727,5,FALSE)," ")</f>
        <v xml:space="preserve"> </v>
      </c>
      <c r="E337" s="35" t="str">
        <f>IFERROR(VLOOKUP($A337,'The List'!$B1:$AS727,6,FALSE)," ")</f>
        <v xml:space="preserve"> </v>
      </c>
      <c r="F337" s="52" t="str">
        <f>IFERROR(VLOOKUP($A337,'The List'!$B1:$AS727,8,FALSE)," ")</f>
        <v xml:space="preserve"> </v>
      </c>
      <c r="G337" s="52" t="str">
        <f>IFERROR(VLOOKUP($A337,'The List'!$B1:$AS727,10,FALSE)," ")</f>
        <v xml:space="preserve"> </v>
      </c>
      <c r="H337" s="39"/>
      <c r="I337" s="53" t="str">
        <f>IFERROR(VLOOKUP($A337,'The List'!$B1:$AS727,16,FALSE)," ")</f>
        <v xml:space="preserve"> </v>
      </c>
      <c r="J337" s="53" t="str">
        <f>IFERROR(VLOOKUP($A337,'The List'!$B1:$AS727,17,FALSE)," ")</f>
        <v xml:space="preserve"> </v>
      </c>
      <c r="K337" s="53" t="str">
        <f>IFERROR(VLOOKUP($A337,'The List'!$B1:$AS727,18,FALSE)," ")</f>
        <v xml:space="preserve"> </v>
      </c>
      <c r="L337" s="53" t="str">
        <f>IFERROR(VLOOKUP($A337,'The List'!$B1:$AS727,19,FALSE)," ")</f>
        <v xml:space="preserve"> </v>
      </c>
      <c r="M337" s="53" t="str">
        <f>IFERROR(VLOOKUP($A337,'The List'!$B1:$AS727,20,FALSE)," ")</f>
        <v xml:space="preserve"> </v>
      </c>
      <c r="N337" s="53" t="str">
        <f>IFERROR(VLOOKUP($A337,'The List'!$B1:$AS727,21,FALSE)," ")</f>
        <v xml:space="preserve"> </v>
      </c>
      <c r="O337" s="53" t="str">
        <f>IFERROR(VLOOKUP($A337,'The List'!$B1:$AS727,22,FALSE)," ")</f>
        <v xml:space="preserve"> </v>
      </c>
      <c r="P337" s="53" t="str">
        <f>IFERROR(VLOOKUP($A337,'The List'!$B1:$AS727,23,FALSE)," ")</f>
        <v xml:space="preserve"> </v>
      </c>
      <c r="Q337" s="53" t="str">
        <f>IFERROR(VLOOKUP($A337,'The List'!$B1:$AS727,24,FALSE)," ")</f>
        <v xml:space="preserve"> </v>
      </c>
      <c r="R337" s="53" t="str">
        <f>IFERROR(VLOOKUP($A337,'The List'!$B1:$AS727,25,FALSE)," ")</f>
        <v xml:space="preserve"> </v>
      </c>
      <c r="S337" s="53" t="str">
        <f>IFERROR(VLOOKUP($A337,'The List'!$B1:$AS727,26,FALSE)," ")</f>
        <v xml:space="preserve"> </v>
      </c>
      <c r="T337" s="53" t="str">
        <f>IFERROR(VLOOKUP($A337,'The List'!$B1:$AS727,27,FALSE)," ")</f>
        <v xml:space="preserve"> </v>
      </c>
      <c r="U337" s="53" t="str">
        <f>IFERROR(VLOOKUP($A337,'The List'!$B1:$AS727,28,FALSE)," ")</f>
        <v xml:space="preserve"> </v>
      </c>
      <c r="V337" s="53" t="str">
        <f>IFERROR(VLOOKUP($A337,'The List'!$B1:$AS727,29,FALSE)," ")</f>
        <v xml:space="preserve"> </v>
      </c>
      <c r="W337" s="53" t="str">
        <f>IFERROR(VLOOKUP($A337,'The List'!$B1:$AS727,30,FALSE)," ")</f>
        <v xml:space="preserve"> </v>
      </c>
      <c r="X337" s="53" t="str">
        <f>IFERROR(VLOOKUP($A337,'The List'!$B1:$AS727,31,FALSE)," ")</f>
        <v xml:space="preserve"> </v>
      </c>
      <c r="Y337" s="53" t="str">
        <f>IFERROR(VLOOKUP($A337,'The List'!$B1:$AS727,32,FALSE)," ")</f>
        <v xml:space="preserve"> </v>
      </c>
      <c r="Z337" s="53" t="str">
        <f>IFERROR(VLOOKUP($A337,'The List'!$B1:$AS727,33,FALSE)," ")</f>
        <v xml:space="preserve"> </v>
      </c>
      <c r="AA337" s="55"/>
      <c r="AB337" s="60"/>
      <c r="AC337" s="60"/>
      <c r="AD337" s="60"/>
      <c r="AE337" s="60"/>
      <c r="AF337" s="60"/>
    </row>
    <row r="338" spans="1:32" ht="21.25" customHeight="1" x14ac:dyDescent="0.15">
      <c r="A338" s="23"/>
      <c r="B338" s="68" t="str">
        <f>IFERROR(VLOOKUP($A338,'The List'!$B1:$AS727,3,FALSE)," ")</f>
        <v xml:space="preserve"> </v>
      </c>
      <c r="C338" s="70" t="str">
        <f>IFERROR(VLOOKUP($A338,'The List'!$B1:$AS727,4,FALSE)," ")</f>
        <v xml:space="preserve"> </v>
      </c>
      <c r="D338" s="35" t="str">
        <f>IFERROR(VLOOKUP($A338,'The List'!$B1:$AS727,5,FALSE)," ")</f>
        <v xml:space="preserve"> </v>
      </c>
      <c r="E338" s="35" t="str">
        <f>IFERROR(VLOOKUP($A338,'The List'!$B1:$AS727,6,FALSE)," ")</f>
        <v xml:space="preserve"> </v>
      </c>
      <c r="F338" s="52" t="str">
        <f>IFERROR(VLOOKUP($A338,'The List'!$B1:$AS727,8,FALSE)," ")</f>
        <v xml:space="preserve"> </v>
      </c>
      <c r="G338" s="52" t="str">
        <f>IFERROR(VLOOKUP($A338,'The List'!$B1:$AS727,10,FALSE)," ")</f>
        <v xml:space="preserve"> </v>
      </c>
      <c r="H338" s="39"/>
      <c r="I338" s="53" t="str">
        <f>IFERROR(VLOOKUP($A338,'The List'!$B1:$AS727,16,FALSE)," ")</f>
        <v xml:space="preserve"> </v>
      </c>
      <c r="J338" s="53" t="str">
        <f>IFERROR(VLOOKUP($A338,'The List'!$B1:$AS727,17,FALSE)," ")</f>
        <v xml:space="preserve"> </v>
      </c>
      <c r="K338" s="53" t="str">
        <f>IFERROR(VLOOKUP($A338,'The List'!$B1:$AS727,18,FALSE)," ")</f>
        <v xml:space="preserve"> </v>
      </c>
      <c r="L338" s="53" t="str">
        <f>IFERROR(VLOOKUP($A338,'The List'!$B1:$AS727,19,FALSE)," ")</f>
        <v xml:space="preserve"> </v>
      </c>
      <c r="M338" s="53" t="str">
        <f>IFERROR(VLOOKUP($A338,'The List'!$B1:$AS727,20,FALSE)," ")</f>
        <v xml:space="preserve"> </v>
      </c>
      <c r="N338" s="53" t="str">
        <f>IFERROR(VLOOKUP($A338,'The List'!$B1:$AS727,21,FALSE)," ")</f>
        <v xml:space="preserve"> </v>
      </c>
      <c r="O338" s="53" t="str">
        <f>IFERROR(VLOOKUP($A338,'The List'!$B1:$AS727,22,FALSE)," ")</f>
        <v xml:space="preserve"> </v>
      </c>
      <c r="P338" s="53" t="str">
        <f>IFERROR(VLOOKUP($A338,'The List'!$B1:$AS727,23,FALSE)," ")</f>
        <v xml:space="preserve"> </v>
      </c>
      <c r="Q338" s="53" t="str">
        <f>IFERROR(VLOOKUP($A338,'The List'!$B1:$AS727,24,FALSE)," ")</f>
        <v xml:space="preserve"> </v>
      </c>
      <c r="R338" s="53" t="str">
        <f>IFERROR(VLOOKUP($A338,'The List'!$B1:$AS727,25,FALSE)," ")</f>
        <v xml:space="preserve"> </v>
      </c>
      <c r="S338" s="53" t="str">
        <f>IFERROR(VLOOKUP($A338,'The List'!$B1:$AS727,26,FALSE)," ")</f>
        <v xml:space="preserve"> </v>
      </c>
      <c r="T338" s="53" t="str">
        <f>IFERROR(VLOOKUP($A338,'The List'!$B1:$AS727,27,FALSE)," ")</f>
        <v xml:space="preserve"> </v>
      </c>
      <c r="U338" s="53" t="str">
        <f>IFERROR(VLOOKUP($A338,'The List'!$B1:$AS727,28,FALSE)," ")</f>
        <v xml:space="preserve"> </v>
      </c>
      <c r="V338" s="53" t="str">
        <f>IFERROR(VLOOKUP($A338,'The List'!$B1:$AS727,29,FALSE)," ")</f>
        <v xml:space="preserve"> </v>
      </c>
      <c r="W338" s="53" t="str">
        <f>IFERROR(VLOOKUP($A338,'The List'!$B1:$AS727,30,FALSE)," ")</f>
        <v xml:space="preserve"> </v>
      </c>
      <c r="X338" s="53" t="str">
        <f>IFERROR(VLOOKUP($A338,'The List'!$B1:$AS727,31,FALSE)," ")</f>
        <v xml:space="preserve"> </v>
      </c>
      <c r="Y338" s="53" t="str">
        <f>IFERROR(VLOOKUP($A338,'The List'!$B1:$AS727,32,FALSE)," ")</f>
        <v xml:space="preserve"> </v>
      </c>
      <c r="Z338" s="53" t="str">
        <f>IFERROR(VLOOKUP($A338,'The List'!$B1:$AS727,33,FALSE)," ")</f>
        <v xml:space="preserve"> </v>
      </c>
      <c r="AA338" s="55"/>
      <c r="AB338" s="60"/>
      <c r="AC338" s="60"/>
      <c r="AD338" s="60"/>
      <c r="AE338" s="60"/>
      <c r="AF338" s="60"/>
    </row>
    <row r="339" spans="1:32" ht="21.25" customHeight="1" x14ac:dyDescent="0.15">
      <c r="A339" s="23"/>
      <c r="B339" s="68" t="str">
        <f>IFERROR(VLOOKUP($A339,'The List'!$B1:$AS727,3,FALSE)," ")</f>
        <v xml:space="preserve"> </v>
      </c>
      <c r="C339" s="70" t="str">
        <f>IFERROR(VLOOKUP($A339,'The List'!$B1:$AS727,4,FALSE)," ")</f>
        <v xml:space="preserve"> </v>
      </c>
      <c r="D339" s="35" t="str">
        <f>IFERROR(VLOOKUP($A339,'The List'!$B1:$AS727,5,FALSE)," ")</f>
        <v xml:space="preserve"> </v>
      </c>
      <c r="E339" s="35" t="str">
        <f>IFERROR(VLOOKUP($A339,'The List'!$B1:$AS727,6,FALSE)," ")</f>
        <v xml:space="preserve"> </v>
      </c>
      <c r="F339" s="52" t="str">
        <f>IFERROR(VLOOKUP($A339,'The List'!$B1:$AS727,8,FALSE)," ")</f>
        <v xml:space="preserve"> </v>
      </c>
      <c r="G339" s="52" t="str">
        <f>IFERROR(VLOOKUP($A339,'The List'!$B1:$AS727,10,FALSE)," ")</f>
        <v xml:space="preserve"> </v>
      </c>
      <c r="H339" s="39"/>
      <c r="I339" s="53" t="str">
        <f>IFERROR(VLOOKUP($A339,'The List'!$B1:$AS727,16,FALSE)," ")</f>
        <v xml:space="preserve"> </v>
      </c>
      <c r="J339" s="53" t="str">
        <f>IFERROR(VLOOKUP($A339,'The List'!$B1:$AS727,17,FALSE)," ")</f>
        <v xml:space="preserve"> </v>
      </c>
      <c r="K339" s="53" t="str">
        <f>IFERROR(VLOOKUP($A339,'The List'!$B1:$AS727,18,FALSE)," ")</f>
        <v xml:space="preserve"> </v>
      </c>
      <c r="L339" s="53" t="str">
        <f>IFERROR(VLOOKUP($A339,'The List'!$B1:$AS727,19,FALSE)," ")</f>
        <v xml:space="preserve"> </v>
      </c>
      <c r="M339" s="53" t="str">
        <f>IFERROR(VLOOKUP($A339,'The List'!$B1:$AS727,20,FALSE)," ")</f>
        <v xml:space="preserve"> </v>
      </c>
      <c r="N339" s="53" t="str">
        <f>IFERROR(VLOOKUP($A339,'The List'!$B1:$AS727,21,FALSE)," ")</f>
        <v xml:space="preserve"> </v>
      </c>
      <c r="O339" s="53" t="str">
        <f>IFERROR(VLOOKUP($A339,'The List'!$B1:$AS727,22,FALSE)," ")</f>
        <v xml:space="preserve"> </v>
      </c>
      <c r="P339" s="53" t="str">
        <f>IFERROR(VLOOKUP($A339,'The List'!$B1:$AS727,23,FALSE)," ")</f>
        <v xml:space="preserve"> </v>
      </c>
      <c r="Q339" s="53" t="str">
        <f>IFERROR(VLOOKUP($A339,'The List'!$B1:$AS727,24,FALSE)," ")</f>
        <v xml:space="preserve"> </v>
      </c>
      <c r="R339" s="53" t="str">
        <f>IFERROR(VLOOKUP($A339,'The List'!$B1:$AS727,25,FALSE)," ")</f>
        <v xml:space="preserve"> </v>
      </c>
      <c r="S339" s="53" t="str">
        <f>IFERROR(VLOOKUP($A339,'The List'!$B1:$AS727,26,FALSE)," ")</f>
        <v xml:space="preserve"> </v>
      </c>
      <c r="T339" s="53" t="str">
        <f>IFERROR(VLOOKUP($A339,'The List'!$B1:$AS727,27,FALSE)," ")</f>
        <v xml:space="preserve"> </v>
      </c>
      <c r="U339" s="53" t="str">
        <f>IFERROR(VLOOKUP($A339,'The List'!$B1:$AS727,28,FALSE)," ")</f>
        <v xml:space="preserve"> </v>
      </c>
      <c r="V339" s="53" t="str">
        <f>IFERROR(VLOOKUP($A339,'The List'!$B1:$AS727,29,FALSE)," ")</f>
        <v xml:space="preserve"> </v>
      </c>
      <c r="W339" s="53" t="str">
        <f>IFERROR(VLOOKUP($A339,'The List'!$B1:$AS727,30,FALSE)," ")</f>
        <v xml:space="preserve"> </v>
      </c>
      <c r="X339" s="53" t="str">
        <f>IFERROR(VLOOKUP($A339,'The List'!$B1:$AS727,31,FALSE)," ")</f>
        <v xml:space="preserve"> </v>
      </c>
      <c r="Y339" s="53" t="str">
        <f>IFERROR(VLOOKUP($A339,'The List'!$B1:$AS727,32,FALSE)," ")</f>
        <v xml:space="preserve"> </v>
      </c>
      <c r="Z339" s="53" t="str">
        <f>IFERROR(VLOOKUP($A339,'The List'!$B1:$AS727,33,FALSE)," ")</f>
        <v xml:space="preserve"> </v>
      </c>
      <c r="AA339" s="55"/>
      <c r="AB339" s="60"/>
      <c r="AC339" s="60"/>
      <c r="AD339" s="60"/>
      <c r="AE339" s="60"/>
      <c r="AF339" s="60"/>
    </row>
    <row r="340" spans="1:32" ht="21.25" customHeight="1" x14ac:dyDescent="0.15">
      <c r="A340" s="72"/>
      <c r="B340" s="73" t="str">
        <f>IFERROR(VLOOKUP($A340,'The List'!$B1:$AS727,3,FALSE)," ")</f>
        <v xml:space="preserve"> </v>
      </c>
      <c r="C340" s="74" t="str">
        <f>IFERROR(VLOOKUP($A340,'The List'!$B1:$AS727,4,FALSE)," ")</f>
        <v xml:space="preserve"> </v>
      </c>
      <c r="D340" s="75" t="str">
        <f>IFERROR(VLOOKUP($A340,'The List'!$B1:$AS727,5,FALSE)," ")</f>
        <v xml:space="preserve"> </v>
      </c>
      <c r="E340" s="75" t="str">
        <f>IFERROR(VLOOKUP($A340,'The List'!$B1:$AS727,6,FALSE)," ")</f>
        <v xml:space="preserve"> </v>
      </c>
      <c r="F340" s="76" t="str">
        <f>IFERROR(VLOOKUP($A340,'The List'!$B1:$AS727,8,FALSE)," ")</f>
        <v xml:space="preserve"> </v>
      </c>
      <c r="G340" s="76" t="str">
        <f>IFERROR(VLOOKUP($A340,'The List'!$B1:$AS727,10,FALSE)," ")</f>
        <v xml:space="preserve"> </v>
      </c>
      <c r="H340" s="77"/>
      <c r="I340" s="78" t="str">
        <f>IFERROR(VLOOKUP($A340,'The List'!$B1:$AS727,16,FALSE)," ")</f>
        <v xml:space="preserve"> </v>
      </c>
      <c r="J340" s="78" t="str">
        <f>IFERROR(VLOOKUP($A340,'The List'!$B1:$AS727,17,FALSE)," ")</f>
        <v xml:space="preserve"> </v>
      </c>
      <c r="K340" s="78" t="str">
        <f>IFERROR(VLOOKUP($A340,'The List'!$B1:$AS727,18,FALSE)," ")</f>
        <v xml:space="preserve"> </v>
      </c>
      <c r="L340" s="78" t="str">
        <f>IFERROR(VLOOKUP($A340,'The List'!$B1:$AS727,19,FALSE)," ")</f>
        <v xml:space="preserve"> </v>
      </c>
      <c r="M340" s="78" t="str">
        <f>IFERROR(VLOOKUP($A340,'The List'!$B1:$AS727,20,FALSE)," ")</f>
        <v xml:space="preserve"> </v>
      </c>
      <c r="N340" s="78" t="str">
        <f>IFERROR(VLOOKUP($A340,'The List'!$B1:$AS727,21,FALSE)," ")</f>
        <v xml:space="preserve"> </v>
      </c>
      <c r="O340" s="78" t="str">
        <f>IFERROR(VLOOKUP($A340,'The List'!$B1:$AS727,22,FALSE)," ")</f>
        <v xml:space="preserve"> </v>
      </c>
      <c r="P340" s="78" t="str">
        <f>IFERROR(VLOOKUP($A340,'The List'!$B1:$AS727,23,FALSE)," ")</f>
        <v xml:space="preserve"> </v>
      </c>
      <c r="Q340" s="78" t="str">
        <f>IFERROR(VLOOKUP($A340,'The List'!$B1:$AS727,24,FALSE)," ")</f>
        <v xml:space="preserve"> </v>
      </c>
      <c r="R340" s="78" t="str">
        <f>IFERROR(VLOOKUP($A340,'The List'!$B1:$AS727,25,FALSE)," ")</f>
        <v xml:space="preserve"> </v>
      </c>
      <c r="S340" s="78" t="str">
        <f>IFERROR(VLOOKUP($A340,'The List'!$B1:$AS727,26,FALSE)," ")</f>
        <v xml:space="preserve"> </v>
      </c>
      <c r="T340" s="78" t="str">
        <f>IFERROR(VLOOKUP($A340,'The List'!$B1:$AS727,27,FALSE)," ")</f>
        <v xml:space="preserve"> </v>
      </c>
      <c r="U340" s="78" t="str">
        <f>IFERROR(VLOOKUP($A340,'The List'!$B1:$AS727,28,FALSE)," ")</f>
        <v xml:space="preserve"> </v>
      </c>
      <c r="V340" s="78" t="str">
        <f>IFERROR(VLOOKUP($A340,'The List'!$B1:$AS727,29,FALSE)," ")</f>
        <v xml:space="preserve"> </v>
      </c>
      <c r="W340" s="78" t="str">
        <f>IFERROR(VLOOKUP($A340,'The List'!$B1:$AS727,30,FALSE)," ")</f>
        <v xml:space="preserve"> </v>
      </c>
      <c r="X340" s="78" t="str">
        <f>IFERROR(VLOOKUP($A340,'The List'!$B1:$AS727,31,FALSE)," ")</f>
        <v xml:space="preserve"> </v>
      </c>
      <c r="Y340" s="78" t="str">
        <f>IFERROR(VLOOKUP($A340,'The List'!$B1:$AS727,32,FALSE)," ")</f>
        <v xml:space="preserve"> </v>
      </c>
      <c r="Z340" s="78" t="str">
        <f>IFERROR(VLOOKUP($A340,'The List'!$B1:$AS727,33,FALSE)," ")</f>
        <v xml:space="preserve"> </v>
      </c>
      <c r="AA340" s="55"/>
      <c r="AB340" s="60"/>
      <c r="AC340" s="60"/>
      <c r="AD340" s="60"/>
      <c r="AE340" s="60"/>
      <c r="AF340" s="60"/>
    </row>
    <row r="341" spans="1:32" ht="21.25" customHeight="1" x14ac:dyDescent="0.15">
      <c r="A341" s="79"/>
      <c r="B341" s="80"/>
      <c r="C341" s="81"/>
      <c r="D341" s="82"/>
      <c r="E341" s="117" t="str">
        <f>IFERROR(AVERAGE(E321:E340)," ")</f>
        <v xml:space="preserve"> </v>
      </c>
      <c r="F341" s="84">
        <f>SUM(F321:F340)</f>
        <v>0</v>
      </c>
      <c r="G341" s="84">
        <f>SUM(G321:G340)</f>
        <v>0</v>
      </c>
      <c r="H341" s="85"/>
      <c r="I341" s="86">
        <f>SUM(I321:I340)</f>
        <v>0</v>
      </c>
      <c r="J341" s="85" t="e">
        <f>AVERAGE(J321:J340)</f>
        <v>#DIV/0!</v>
      </c>
      <c r="K341" s="86">
        <f t="shared" ref="K341:Y341" si="22">SUM(K321:K340)</f>
        <v>0</v>
      </c>
      <c r="L341" s="86">
        <f t="shared" si="22"/>
        <v>0</v>
      </c>
      <c r="M341" s="86">
        <f t="shared" si="22"/>
        <v>0</v>
      </c>
      <c r="N341" s="86">
        <f t="shared" si="22"/>
        <v>0</v>
      </c>
      <c r="O341" s="86">
        <f t="shared" si="22"/>
        <v>0</v>
      </c>
      <c r="P341" s="86">
        <f t="shared" si="22"/>
        <v>0</v>
      </c>
      <c r="Q341" s="86">
        <f t="shared" si="22"/>
        <v>0</v>
      </c>
      <c r="R341" s="86">
        <f t="shared" si="22"/>
        <v>0</v>
      </c>
      <c r="S341" s="86">
        <f t="shared" si="22"/>
        <v>0</v>
      </c>
      <c r="T341" s="86">
        <f t="shared" si="22"/>
        <v>0</v>
      </c>
      <c r="U341" s="86">
        <f t="shared" si="22"/>
        <v>0</v>
      </c>
      <c r="V341" s="86">
        <f t="shared" si="22"/>
        <v>0</v>
      </c>
      <c r="W341" s="86">
        <f t="shared" si="22"/>
        <v>0</v>
      </c>
      <c r="X341" s="86">
        <f t="shared" si="22"/>
        <v>0</v>
      </c>
      <c r="Y341" s="86">
        <f t="shared" si="22"/>
        <v>0</v>
      </c>
      <c r="Z341" s="87">
        <f>IFERROR(X341/(X341+Y341),0)</f>
        <v>0</v>
      </c>
      <c r="AA341" s="55"/>
      <c r="AB341" s="88"/>
      <c r="AC341" s="88"/>
      <c r="AD341" s="88"/>
      <c r="AE341" s="88"/>
      <c r="AF341" s="88"/>
    </row>
    <row r="342" spans="1:32" ht="21.25" customHeight="1" x14ac:dyDescent="0.15">
      <c r="A342" s="89"/>
      <c r="B342" s="90"/>
      <c r="C342" s="91"/>
      <c r="D342" s="11"/>
      <c r="E342" s="11"/>
      <c r="F342" s="92"/>
      <c r="G342" s="93"/>
      <c r="H342" s="94"/>
      <c r="I342" s="9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60"/>
      <c r="AC342" s="60"/>
      <c r="AD342" s="60"/>
      <c r="AE342" s="60"/>
      <c r="AF342" s="60"/>
    </row>
    <row r="343" spans="1:32" ht="21.25" customHeight="1" x14ac:dyDescent="0.15">
      <c r="A343" s="24" t="s">
        <v>66</v>
      </c>
      <c r="B343" s="174" t="s">
        <v>68</v>
      </c>
      <c r="C343" s="165"/>
      <c r="D343" s="96" t="s">
        <v>69</v>
      </c>
      <c r="E343" s="96" t="s">
        <v>70</v>
      </c>
      <c r="F343" s="97" t="s">
        <v>72</v>
      </c>
      <c r="G343" s="97" t="s">
        <v>74</v>
      </c>
      <c r="H343" s="98"/>
      <c r="I343" s="99" t="s">
        <v>79</v>
      </c>
      <c r="J343" s="99" t="s">
        <v>97</v>
      </c>
      <c r="K343" s="99" t="s">
        <v>98</v>
      </c>
      <c r="L343" s="99" t="s">
        <v>99</v>
      </c>
      <c r="M343" s="99" t="s">
        <v>100</v>
      </c>
      <c r="N343" s="99" t="s">
        <v>101</v>
      </c>
      <c r="O343" s="99" t="s">
        <v>102</v>
      </c>
      <c r="P343" s="99" t="s">
        <v>103</v>
      </c>
      <c r="Q343" s="99" t="s">
        <v>104</v>
      </c>
      <c r="R343" s="55"/>
      <c r="S343" s="55"/>
      <c r="T343" s="55"/>
      <c r="U343" s="174" t="s">
        <v>850</v>
      </c>
      <c r="V343" s="175"/>
      <c r="W343" s="175"/>
      <c r="X343" s="174" t="s">
        <v>851</v>
      </c>
      <c r="Y343" s="175"/>
      <c r="Z343" s="175"/>
      <c r="AA343" s="55"/>
      <c r="AB343" s="55"/>
      <c r="AC343" s="55"/>
      <c r="AD343" s="55"/>
      <c r="AE343" s="55"/>
      <c r="AF343" s="55"/>
    </row>
    <row r="344" spans="1:32" ht="21.25" customHeight="1" x14ac:dyDescent="0.15">
      <c r="A344" s="118"/>
      <c r="B344" s="101" t="str">
        <f>IFERROR(VLOOKUP($A344,'The List'!$B1:$AS727,3,FALSE)," ")</f>
        <v xml:space="preserve"> </v>
      </c>
      <c r="C344" s="119" t="str">
        <f>IFERROR(VLOOKUP($A344,'The List'!$B1:$AS727,4,FALSE)," ")</f>
        <v xml:space="preserve"> </v>
      </c>
      <c r="D344" s="103" t="str">
        <f>IFERROR(VLOOKUP($A344,'The List'!$B1:$AS727,5,FALSE)," ")</f>
        <v xml:space="preserve"> </v>
      </c>
      <c r="E344" s="103" t="str">
        <f>IFERROR(VLOOKUP($A344,'The List'!$B1:$AS727,6,FALSE)," ")</f>
        <v xml:space="preserve"> </v>
      </c>
      <c r="F344" s="120" t="str">
        <f>IFERROR(VLOOKUP($A344,'The List'!$B1:$AS727,8,FALSE)," ")</f>
        <v xml:space="preserve"> </v>
      </c>
      <c r="G344" s="120" t="str">
        <f>IFERROR(VLOOKUP($A344,'The List'!$B1:$AS727,10,FALSE)," ")</f>
        <v xml:space="preserve"> </v>
      </c>
      <c r="H344" s="106"/>
      <c r="I344" s="121" t="str">
        <f>IFERROR(VLOOKUP($A344,'The List'!$B1:$AS727,35,FALSE)," ")</f>
        <v xml:space="preserve"> </v>
      </c>
      <c r="J344" s="121" t="str">
        <f>IFERROR(VLOOKUP($A344,'The List'!$B1:$AS727,36,FALSE)," ")</f>
        <v xml:space="preserve"> </v>
      </c>
      <c r="K344" s="121" t="str">
        <f>IFERROR(VLOOKUP($A344,'The List'!$B1:$AS727,37,FALSE)," ")</f>
        <v xml:space="preserve"> </v>
      </c>
      <c r="L344" s="121" t="str">
        <f>IFERROR(VLOOKUP($A344,'The List'!$B1:$AS727,38,FALSE)," ")</f>
        <v xml:space="preserve"> </v>
      </c>
      <c r="M344" s="121" t="str">
        <f>IFERROR(VLOOKUP($A344,'The List'!$B1:$AS727,39,FALSE)," ")</f>
        <v xml:space="preserve"> </v>
      </c>
      <c r="N344" s="121" t="str">
        <f>IFERROR(VLOOKUP($A344,'The List'!$B1:$AS727,40,FALSE)," ")</f>
        <v xml:space="preserve"> </v>
      </c>
      <c r="O344" s="121" t="str">
        <f>IFERROR(VLOOKUP($A344,'The List'!$B1:$AS727,41,FALSE)," ")</f>
        <v xml:space="preserve"> </v>
      </c>
      <c r="P344" s="121" t="str">
        <f>IFERROR(VLOOKUP($A344,'The List'!$B1:$AS727,42,FALSE)," ")</f>
        <v xml:space="preserve"> </v>
      </c>
      <c r="Q344" s="121" t="str">
        <f>IFERROR(VLOOKUP($A344,'The List'!$B1:$AS727,43,FALSE)," ")</f>
        <v xml:space="preserve"> </v>
      </c>
      <c r="R344" s="55"/>
      <c r="S344" s="55"/>
      <c r="T344" s="110" t="str">
        <f>A320</f>
        <v>TEAM 12</v>
      </c>
      <c r="U344" s="176">
        <f>F341+F347</f>
        <v>0</v>
      </c>
      <c r="V344" s="165"/>
      <c r="W344" s="165"/>
      <c r="X344" s="176">
        <f>G347+G341</f>
        <v>0</v>
      </c>
      <c r="Y344" s="165"/>
      <c r="Z344" s="165"/>
      <c r="AA344" s="55"/>
      <c r="AB344" s="55"/>
      <c r="AC344" s="55"/>
      <c r="AD344" s="55"/>
      <c r="AE344" s="55"/>
      <c r="AF344" s="55"/>
    </row>
    <row r="345" spans="1:32" ht="21.25" customHeight="1" x14ac:dyDescent="0.15">
      <c r="A345" s="23"/>
      <c r="B345" s="111" t="str">
        <f>IFERROR(VLOOKUP($A345,'The List'!$B1:$AS727,3,FALSE)," ")</f>
        <v xml:space="preserve"> </v>
      </c>
      <c r="C345" s="112" t="str">
        <f>IFERROR(VLOOKUP($A345,'The List'!$B1:$AS727,4,FALSE)," ")</f>
        <v xml:space="preserve"> </v>
      </c>
      <c r="D345" s="35" t="str">
        <f>IFERROR(VLOOKUP($A345,'The List'!$B1:$AS727,5,FALSE)," ")</f>
        <v xml:space="preserve"> </v>
      </c>
      <c r="E345" s="35" t="str">
        <f>IFERROR(VLOOKUP($A345,'The List'!$B1:$AS727,6,FALSE)," ")</f>
        <v xml:space="preserve"> </v>
      </c>
      <c r="F345" s="52" t="str">
        <f>IFERROR(VLOOKUP($A345,'The List'!$B1:$AS727,8,FALSE)," ")</f>
        <v xml:space="preserve"> </v>
      </c>
      <c r="G345" s="52" t="str">
        <f>IFERROR(VLOOKUP($A345,'The List'!$B1:$AS727,10,FALSE)," ")</f>
        <v xml:space="preserve"> </v>
      </c>
      <c r="H345" s="39"/>
      <c r="I345" s="53" t="str">
        <f>IFERROR(VLOOKUP($A345,'The List'!$B1:$AS727,35,FALSE)," ")</f>
        <v xml:space="preserve"> </v>
      </c>
      <c r="J345" s="53" t="str">
        <f>IFERROR(VLOOKUP($A345,'The List'!$B1:$AS727,36,FALSE)," ")</f>
        <v xml:space="preserve"> </v>
      </c>
      <c r="K345" s="53" t="str">
        <f>IFERROR(VLOOKUP($A345,'The List'!$B1:$AS727,37,FALSE)," ")</f>
        <v xml:space="preserve"> </v>
      </c>
      <c r="L345" s="53" t="str">
        <f>IFERROR(VLOOKUP($A345,'The List'!$B1:$AS727,38,FALSE)," ")</f>
        <v xml:space="preserve"> </v>
      </c>
      <c r="M345" s="53" t="str">
        <f>IFERROR(VLOOKUP($A345,'The List'!$B1:$AS727,39,FALSE)," ")</f>
        <v xml:space="preserve"> </v>
      </c>
      <c r="N345" s="53" t="str">
        <f>IFERROR(VLOOKUP($A345,'The List'!$B1:$AS727,40,FALSE)," ")</f>
        <v xml:space="preserve"> </v>
      </c>
      <c r="O345" s="53" t="str">
        <f>IFERROR(VLOOKUP($A345,'The List'!$B1:$AS727,41,FALSE)," ")</f>
        <v xml:space="preserve"> </v>
      </c>
      <c r="P345" s="53" t="str">
        <f>IFERROR(VLOOKUP($A345,'The List'!$B1:$AS727,42,FALSE)," ")</f>
        <v xml:space="preserve"> </v>
      </c>
      <c r="Q345" s="53" t="str">
        <f>IFERROR(VLOOKUP($A345,'The List'!$B1:$AS727,43,FALSE)," ")</f>
        <v xml:space="preserve"> </v>
      </c>
      <c r="R345" s="55"/>
      <c r="S345" s="55"/>
      <c r="T345" s="55"/>
      <c r="U345" s="165"/>
      <c r="V345" s="165"/>
      <c r="W345" s="165"/>
      <c r="X345" s="165"/>
      <c r="Y345" s="165"/>
      <c r="Z345" s="165"/>
      <c r="AA345" s="55"/>
      <c r="AB345" s="55"/>
      <c r="AC345" s="55"/>
      <c r="AD345" s="55"/>
      <c r="AE345" s="55"/>
      <c r="AF345" s="55"/>
    </row>
    <row r="346" spans="1:32" ht="21.25" customHeight="1" x14ac:dyDescent="0.15">
      <c r="A346" s="72"/>
      <c r="B346" s="113" t="str">
        <f>IFERROR(VLOOKUP($A346,'The List'!$B1:$AS727,3,FALSE)," ")</f>
        <v xml:space="preserve"> </v>
      </c>
      <c r="C346" s="114" t="str">
        <f>IFERROR(VLOOKUP($A346,'The List'!$B1:$AS727,4,FALSE)," ")</f>
        <v xml:space="preserve"> </v>
      </c>
      <c r="D346" s="75" t="str">
        <f>IFERROR(VLOOKUP($A346,'The List'!$B1:$AS727,5,FALSE)," ")</f>
        <v xml:space="preserve"> </v>
      </c>
      <c r="E346" s="75" t="str">
        <f>IFERROR(VLOOKUP($A346,'The List'!$B1:$AS727,6,FALSE)," ")</f>
        <v xml:space="preserve"> </v>
      </c>
      <c r="F346" s="76" t="str">
        <f>IFERROR(VLOOKUP($A346,'The List'!$B1:$AS727,8,FALSE)," ")</f>
        <v xml:space="preserve"> </v>
      </c>
      <c r="G346" s="76" t="str">
        <f>IFERROR(VLOOKUP($A346,'The List'!$B1:$AS727,10,FALSE)," ")</f>
        <v xml:space="preserve"> </v>
      </c>
      <c r="H346" s="77"/>
      <c r="I346" s="78" t="str">
        <f>IFERROR(VLOOKUP($A346,'The List'!$B1:$AS727,35,FALSE)," ")</f>
        <v xml:space="preserve"> </v>
      </c>
      <c r="J346" s="78" t="str">
        <f>IFERROR(VLOOKUP($A346,'The List'!$B1:$AS727,36,FALSE)," ")</f>
        <v xml:space="preserve"> </v>
      </c>
      <c r="K346" s="78" t="str">
        <f>IFERROR(VLOOKUP($A346,'The List'!$B1:$AS727,37,FALSE)," ")</f>
        <v xml:space="preserve"> </v>
      </c>
      <c r="L346" s="78" t="str">
        <f>IFERROR(VLOOKUP($A346,'The List'!$B1:$AS727,38,FALSE)," ")</f>
        <v xml:space="preserve"> </v>
      </c>
      <c r="M346" s="78" t="str">
        <f>IFERROR(VLOOKUP($A346,'The List'!$B1:$AS727,39,FALSE)," ")</f>
        <v xml:space="preserve"> </v>
      </c>
      <c r="N346" s="78" t="str">
        <f>IFERROR(VLOOKUP($A346,'The List'!$B1:$AS727,40,FALSE)," ")</f>
        <v xml:space="preserve"> </v>
      </c>
      <c r="O346" s="78" t="str">
        <f>IFERROR(VLOOKUP($A346,'The List'!$B1:$AS727,41,FALSE)," ")</f>
        <v xml:space="preserve"> </v>
      </c>
      <c r="P346" s="78" t="str">
        <f>IFERROR(VLOOKUP($A346,'The List'!$B1:$AS727,42,FALSE)," ")</f>
        <v xml:space="preserve"> </v>
      </c>
      <c r="Q346" s="78" t="str">
        <f>IFERROR(VLOOKUP($A346,'The List'!$B1:$AS727,43,FALSE)," ")</f>
        <v xml:space="preserve"> </v>
      </c>
      <c r="R346" s="55"/>
      <c r="S346" s="55"/>
      <c r="T346" s="55"/>
      <c r="U346" s="165"/>
      <c r="V346" s="165"/>
      <c r="W346" s="165"/>
      <c r="X346" s="165"/>
      <c r="Y346" s="165"/>
      <c r="Z346" s="165"/>
      <c r="AA346" s="55"/>
      <c r="AB346" s="55"/>
      <c r="AC346" s="55"/>
      <c r="AD346" s="55"/>
      <c r="AE346" s="55"/>
      <c r="AF346" s="55"/>
    </row>
    <row r="347" spans="1:32" ht="21.25" customHeight="1" x14ac:dyDescent="0.15">
      <c r="A347" s="79"/>
      <c r="B347" s="80"/>
      <c r="C347" s="81"/>
      <c r="D347" s="82"/>
      <c r="E347" s="117" t="str">
        <f>IFERROR(AVERAGE(E344:E346)," ")</f>
        <v xml:space="preserve"> </v>
      </c>
      <c r="F347" s="84">
        <f>SUM(F344:F346)</f>
        <v>0</v>
      </c>
      <c r="G347" s="84">
        <f>SUM(G344:G346)</f>
        <v>0</v>
      </c>
      <c r="H347" s="85"/>
      <c r="I347" s="86">
        <f t="shared" ref="I347:O347" si="23">SUM(I344:I346)</f>
        <v>0</v>
      </c>
      <c r="J347" s="85">
        <f t="shared" si="23"/>
        <v>0</v>
      </c>
      <c r="K347" s="86">
        <f t="shared" si="23"/>
        <v>0</v>
      </c>
      <c r="L347" s="86">
        <f t="shared" si="23"/>
        <v>0</v>
      </c>
      <c r="M347" s="86">
        <f t="shared" si="23"/>
        <v>0</v>
      </c>
      <c r="N347" s="86">
        <f t="shared" si="23"/>
        <v>0</v>
      </c>
      <c r="O347" s="86">
        <f t="shared" si="23"/>
        <v>0</v>
      </c>
      <c r="P347" s="115" t="e">
        <f>1-(O347/(N347+O347))</f>
        <v>#DIV/0!</v>
      </c>
      <c r="Q347" s="116" t="e">
        <f>O347/I347</f>
        <v>#DIV/0!</v>
      </c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</row>
    <row r="348" spans="1:32" ht="70.75" customHeight="1" x14ac:dyDescent="0.15">
      <c r="A348" s="89"/>
      <c r="B348" s="90"/>
      <c r="C348" s="91"/>
      <c r="D348" s="11"/>
      <c r="E348" s="11"/>
      <c r="F348" s="92"/>
      <c r="G348" s="93"/>
      <c r="H348" s="94"/>
      <c r="I348" s="9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60"/>
      <c r="AB348" s="60"/>
      <c r="AC348" s="60"/>
      <c r="AD348" s="60"/>
      <c r="AE348" s="60"/>
      <c r="AF348" s="60"/>
    </row>
    <row r="349" spans="1:32" ht="21.25" customHeight="1" x14ac:dyDescent="0.15">
      <c r="A349" s="25" t="s">
        <v>846</v>
      </c>
      <c r="B349" s="173" t="s">
        <v>68</v>
      </c>
      <c r="C349" s="170"/>
      <c r="D349" s="26" t="s">
        <v>69</v>
      </c>
      <c r="E349" s="26" t="s">
        <v>70</v>
      </c>
      <c r="F349" s="27" t="s">
        <v>72</v>
      </c>
      <c r="G349" s="27" t="s">
        <v>74</v>
      </c>
      <c r="H349" s="28"/>
      <c r="I349" s="30" t="s">
        <v>79</v>
      </c>
      <c r="J349" s="30" t="s">
        <v>80</v>
      </c>
      <c r="K349" s="30" t="s">
        <v>81</v>
      </c>
      <c r="L349" s="30" t="s">
        <v>82</v>
      </c>
      <c r="M349" s="30" t="s">
        <v>83</v>
      </c>
      <c r="N349" s="30" t="s">
        <v>84</v>
      </c>
      <c r="O349" s="30" t="s">
        <v>85</v>
      </c>
      <c r="P349" s="30" t="s">
        <v>86</v>
      </c>
      <c r="Q349" s="30" t="s">
        <v>87</v>
      </c>
      <c r="R349" s="30" t="s">
        <v>88</v>
      </c>
      <c r="S349" s="30" t="s">
        <v>89</v>
      </c>
      <c r="T349" s="30" t="s">
        <v>90</v>
      </c>
      <c r="U349" s="30" t="s">
        <v>91</v>
      </c>
      <c r="V349" s="30" t="s">
        <v>92</v>
      </c>
      <c r="W349" s="30" t="s">
        <v>93</v>
      </c>
      <c r="X349" s="30" t="s">
        <v>94</v>
      </c>
      <c r="Y349" s="30" t="s">
        <v>95</v>
      </c>
      <c r="Z349" s="30" t="s">
        <v>96</v>
      </c>
      <c r="AA349" s="55"/>
      <c r="AB349" s="56"/>
      <c r="AC349" s="56"/>
      <c r="AD349" s="56"/>
      <c r="AE349" s="56"/>
      <c r="AF349" s="56"/>
    </row>
    <row r="350" spans="1:32" ht="21.25" customHeight="1" x14ac:dyDescent="0.15">
      <c r="A350" s="23"/>
      <c r="B350" s="57" t="str">
        <f>IFERROR(VLOOKUP($A350,'The List'!$B1:$AS727,3,FALSE)," ")</f>
        <v xml:space="preserve"> </v>
      </c>
      <c r="C350" s="61" t="str">
        <f>IFERROR(VLOOKUP($A350,'The List'!$B1:$AS727,4,FALSE)," ")</f>
        <v xml:space="preserve"> </v>
      </c>
      <c r="D350" s="35" t="str">
        <f>IFERROR(VLOOKUP($A350,'The List'!$B1:$AS727,5,FALSE)," ")</f>
        <v xml:space="preserve"> </v>
      </c>
      <c r="E350" s="35" t="str">
        <f>IFERROR(VLOOKUP($A350,'The List'!$B1:$AS727,6,FALSE)," ")</f>
        <v xml:space="preserve"> </v>
      </c>
      <c r="F350" s="52" t="str">
        <f>IFERROR(VLOOKUP($A350,'The List'!$B1:$AS727,8,FALSE)," ")</f>
        <v xml:space="preserve"> </v>
      </c>
      <c r="G350" s="52" t="str">
        <f>IFERROR(VLOOKUP($A350,'The List'!$B1:$AS727,10,FALSE)," ")</f>
        <v xml:space="preserve"> </v>
      </c>
      <c r="H350" s="39"/>
      <c r="I350" s="53" t="str">
        <f>IFERROR(VLOOKUP($A350,'The List'!$B1:$AS727,16,FALSE)," ")</f>
        <v xml:space="preserve"> </v>
      </c>
      <c r="J350" s="53" t="str">
        <f>IFERROR(VLOOKUP($A350,'The List'!$B1:$AS727,17,FALSE)," ")</f>
        <v xml:space="preserve"> </v>
      </c>
      <c r="K350" s="53" t="str">
        <f>IFERROR(VLOOKUP($A350,'The List'!$B1:$AS727,18,FALSE)," ")</f>
        <v xml:space="preserve"> </v>
      </c>
      <c r="L350" s="53" t="str">
        <f>IFERROR(VLOOKUP($A350,'The List'!$B1:$AS727,19,FALSE)," ")</f>
        <v xml:space="preserve"> </v>
      </c>
      <c r="M350" s="53" t="str">
        <f>IFERROR(VLOOKUP($A350,'The List'!$B1:$AS727,20,FALSE)," ")</f>
        <v xml:space="preserve"> </v>
      </c>
      <c r="N350" s="53" t="str">
        <f>IFERROR(VLOOKUP($A350,'The List'!$B1:$AS727,21,FALSE)," ")</f>
        <v xml:space="preserve"> </v>
      </c>
      <c r="O350" s="53" t="str">
        <f>IFERROR(VLOOKUP($A350,'The List'!$B1:$AS727,22,FALSE)," ")</f>
        <v xml:space="preserve"> </v>
      </c>
      <c r="P350" s="53" t="str">
        <f>IFERROR(VLOOKUP($A350,'The List'!$B1:$AS727,23,FALSE)," ")</f>
        <v xml:space="preserve"> </v>
      </c>
      <c r="Q350" s="53" t="str">
        <f>IFERROR(VLOOKUP($A350,'The List'!$B1:$AS727,24,FALSE)," ")</f>
        <v xml:space="preserve"> </v>
      </c>
      <c r="R350" s="53" t="str">
        <f>IFERROR(VLOOKUP($A350,'The List'!$B1:$AS727,25,FALSE)," ")</f>
        <v xml:space="preserve"> </v>
      </c>
      <c r="S350" s="53" t="str">
        <f>IFERROR(VLOOKUP($A350,'The List'!$B1:$AS727,26,FALSE)," ")</f>
        <v xml:space="preserve"> </v>
      </c>
      <c r="T350" s="53" t="str">
        <f>IFERROR(VLOOKUP($A350,'The List'!$B1:$AS727,27,FALSE)," ")</f>
        <v xml:space="preserve"> </v>
      </c>
      <c r="U350" s="53" t="str">
        <f>IFERROR(VLOOKUP($A350,'The List'!$B1:$AS727,28,FALSE)," ")</f>
        <v xml:space="preserve"> </v>
      </c>
      <c r="V350" s="53" t="str">
        <f>IFERROR(VLOOKUP($A350,'The List'!$B1:$AS727,29,FALSE)," ")</f>
        <v xml:space="preserve"> </v>
      </c>
      <c r="W350" s="53" t="str">
        <f>IFERROR(VLOOKUP($A350,'The List'!$B1:$AS727,30,FALSE)," ")</f>
        <v xml:space="preserve"> </v>
      </c>
      <c r="X350" s="53" t="str">
        <f>IFERROR(VLOOKUP($A350,'The List'!$B1:$AS727,31,FALSE)," ")</f>
        <v xml:space="preserve"> </v>
      </c>
      <c r="Y350" s="53" t="str">
        <f>IFERROR(VLOOKUP($A350,'The List'!$B1:$AS727,32,FALSE)," ")</f>
        <v xml:space="preserve"> </v>
      </c>
      <c r="Z350" s="53" t="str">
        <f>IFERROR(VLOOKUP($A350,'The List'!$B1:$AS727,33,FALSE)," ")</f>
        <v xml:space="preserve"> </v>
      </c>
      <c r="AA350" s="55"/>
      <c r="AB350" s="60"/>
      <c r="AC350" s="60"/>
      <c r="AD350" s="60"/>
      <c r="AE350" s="60"/>
      <c r="AF350" s="60"/>
    </row>
    <row r="351" spans="1:32" ht="21.25" customHeight="1" x14ac:dyDescent="0.15">
      <c r="A351" s="23"/>
      <c r="B351" s="57" t="str">
        <f>IFERROR(VLOOKUP($A351,'The List'!$B1:$AS727,3,FALSE)," ")</f>
        <v xml:space="preserve"> </v>
      </c>
      <c r="C351" s="61" t="str">
        <f>IFERROR(VLOOKUP($A351,'The List'!$B1:$AS727,4,FALSE)," ")</f>
        <v xml:space="preserve"> </v>
      </c>
      <c r="D351" s="35" t="str">
        <f>IFERROR(VLOOKUP($A351,'The List'!$B1:$AS727,5,FALSE)," ")</f>
        <v xml:space="preserve"> </v>
      </c>
      <c r="E351" s="35" t="str">
        <f>IFERROR(VLOOKUP($A351,'The List'!$B1:$AS727,6,FALSE)," ")</f>
        <v xml:space="preserve"> </v>
      </c>
      <c r="F351" s="52" t="str">
        <f>IFERROR(VLOOKUP($A351,'The List'!$B1:$AS727,8,FALSE)," ")</f>
        <v xml:space="preserve"> </v>
      </c>
      <c r="G351" s="52" t="str">
        <f>IFERROR(VLOOKUP($A351,'The List'!$B1:$AS727,10,FALSE)," ")</f>
        <v xml:space="preserve"> </v>
      </c>
      <c r="H351" s="39"/>
      <c r="I351" s="53" t="str">
        <f>IFERROR(VLOOKUP($A351,'The List'!$B1:$AS727,16,FALSE)," ")</f>
        <v xml:space="preserve"> </v>
      </c>
      <c r="J351" s="53" t="str">
        <f>IFERROR(VLOOKUP($A351,'The List'!$B1:$AS727,17,FALSE)," ")</f>
        <v xml:space="preserve"> </v>
      </c>
      <c r="K351" s="53" t="str">
        <f>IFERROR(VLOOKUP($A351,'The List'!$B1:$AS727,18,FALSE)," ")</f>
        <v xml:space="preserve"> </v>
      </c>
      <c r="L351" s="53" t="str">
        <f>IFERROR(VLOOKUP($A351,'The List'!$B1:$AS727,19,FALSE)," ")</f>
        <v xml:space="preserve"> </v>
      </c>
      <c r="M351" s="53" t="str">
        <f>IFERROR(VLOOKUP($A351,'The List'!$B1:$AS727,20,FALSE)," ")</f>
        <v xml:space="preserve"> </v>
      </c>
      <c r="N351" s="53" t="str">
        <f>IFERROR(VLOOKUP($A351,'The List'!$B1:$AS727,21,FALSE)," ")</f>
        <v xml:space="preserve"> </v>
      </c>
      <c r="O351" s="53" t="str">
        <f>IFERROR(VLOOKUP($A351,'The List'!$B1:$AS727,22,FALSE)," ")</f>
        <v xml:space="preserve"> </v>
      </c>
      <c r="P351" s="53" t="str">
        <f>IFERROR(VLOOKUP($A351,'The List'!$B1:$AS727,23,FALSE)," ")</f>
        <v xml:space="preserve"> </v>
      </c>
      <c r="Q351" s="53" t="str">
        <f>IFERROR(VLOOKUP($A351,'The List'!$B1:$AS727,24,FALSE)," ")</f>
        <v xml:space="preserve"> </v>
      </c>
      <c r="R351" s="53" t="str">
        <f>IFERROR(VLOOKUP($A351,'The List'!$B1:$AS727,25,FALSE)," ")</f>
        <v xml:space="preserve"> </v>
      </c>
      <c r="S351" s="53" t="str">
        <f>IFERROR(VLOOKUP($A351,'The List'!$B1:$AS727,26,FALSE)," ")</f>
        <v xml:space="preserve"> </v>
      </c>
      <c r="T351" s="53" t="str">
        <f>IFERROR(VLOOKUP($A351,'The List'!$B1:$AS727,27,FALSE)," ")</f>
        <v xml:space="preserve"> </v>
      </c>
      <c r="U351" s="53" t="str">
        <f>IFERROR(VLOOKUP($A351,'The List'!$B1:$AS727,28,FALSE)," ")</f>
        <v xml:space="preserve"> </v>
      </c>
      <c r="V351" s="53" t="str">
        <f>IFERROR(VLOOKUP($A351,'The List'!$B1:$AS727,29,FALSE)," ")</f>
        <v xml:space="preserve"> </v>
      </c>
      <c r="W351" s="53" t="str">
        <f>IFERROR(VLOOKUP($A351,'The List'!$B1:$AS727,30,FALSE)," ")</f>
        <v xml:space="preserve"> </v>
      </c>
      <c r="X351" s="53" t="str">
        <f>IFERROR(VLOOKUP($A351,'The List'!$B1:$AS727,31,FALSE)," ")</f>
        <v xml:space="preserve"> </v>
      </c>
      <c r="Y351" s="53" t="str">
        <f>IFERROR(VLOOKUP($A351,'The List'!$B1:$AS727,32,FALSE)," ")</f>
        <v xml:space="preserve"> </v>
      </c>
      <c r="Z351" s="53" t="str">
        <f>IFERROR(VLOOKUP($A351,'The List'!$B1:$AS727,33,FALSE)," ")</f>
        <v xml:space="preserve"> </v>
      </c>
      <c r="AA351" s="55"/>
      <c r="AB351" s="60"/>
      <c r="AC351" s="60"/>
      <c r="AD351" s="60"/>
      <c r="AE351" s="60"/>
      <c r="AF351" s="60"/>
    </row>
    <row r="352" spans="1:32" ht="21.25" customHeight="1" x14ac:dyDescent="0.15">
      <c r="A352" s="23"/>
      <c r="B352" s="57" t="str">
        <f>IFERROR(VLOOKUP($A352,'The List'!$B1:$AS727,3,FALSE)," ")</f>
        <v xml:space="preserve"> </v>
      </c>
      <c r="C352" s="61" t="str">
        <f>IFERROR(VLOOKUP($A352,'The List'!$B1:$AS727,4,FALSE)," ")</f>
        <v xml:space="preserve"> </v>
      </c>
      <c r="D352" s="35" t="str">
        <f>IFERROR(VLOOKUP($A352,'The List'!$B1:$AS727,5,FALSE)," ")</f>
        <v xml:space="preserve"> </v>
      </c>
      <c r="E352" s="35" t="str">
        <f>IFERROR(VLOOKUP($A352,'The List'!$B1:$AS727,6,FALSE)," ")</f>
        <v xml:space="preserve"> </v>
      </c>
      <c r="F352" s="52" t="str">
        <f>IFERROR(VLOOKUP($A352,'The List'!$B1:$AS727,8,FALSE)," ")</f>
        <v xml:space="preserve"> </v>
      </c>
      <c r="G352" s="52" t="str">
        <f>IFERROR(VLOOKUP($A352,'The List'!$B1:$AS727,10,FALSE)," ")</f>
        <v xml:space="preserve"> </v>
      </c>
      <c r="H352" s="39"/>
      <c r="I352" s="53" t="str">
        <f>IFERROR(VLOOKUP($A352,'The List'!$B1:$AS727,16,FALSE)," ")</f>
        <v xml:space="preserve"> </v>
      </c>
      <c r="J352" s="53" t="str">
        <f>IFERROR(VLOOKUP($A352,'The List'!$B1:$AS727,17,FALSE)," ")</f>
        <v xml:space="preserve"> </v>
      </c>
      <c r="K352" s="53" t="str">
        <f>IFERROR(VLOOKUP($A352,'The List'!$B1:$AS727,18,FALSE)," ")</f>
        <v xml:space="preserve"> </v>
      </c>
      <c r="L352" s="53" t="str">
        <f>IFERROR(VLOOKUP($A352,'The List'!$B1:$AS727,19,FALSE)," ")</f>
        <v xml:space="preserve"> </v>
      </c>
      <c r="M352" s="53" t="str">
        <f>IFERROR(VLOOKUP($A352,'The List'!$B1:$AS727,20,FALSE)," ")</f>
        <v xml:space="preserve"> </v>
      </c>
      <c r="N352" s="53" t="str">
        <f>IFERROR(VLOOKUP($A352,'The List'!$B1:$AS727,21,FALSE)," ")</f>
        <v xml:space="preserve"> </v>
      </c>
      <c r="O352" s="53" t="str">
        <f>IFERROR(VLOOKUP($A352,'The List'!$B1:$AS727,22,FALSE)," ")</f>
        <v xml:space="preserve"> </v>
      </c>
      <c r="P352" s="53" t="str">
        <f>IFERROR(VLOOKUP($A352,'The List'!$B1:$AS727,23,FALSE)," ")</f>
        <v xml:space="preserve"> </v>
      </c>
      <c r="Q352" s="53" t="str">
        <f>IFERROR(VLOOKUP($A352,'The List'!$B1:$AS727,24,FALSE)," ")</f>
        <v xml:space="preserve"> </v>
      </c>
      <c r="R352" s="53" t="str">
        <f>IFERROR(VLOOKUP($A352,'The List'!$B1:$AS727,25,FALSE)," ")</f>
        <v xml:space="preserve"> </v>
      </c>
      <c r="S352" s="53" t="str">
        <f>IFERROR(VLOOKUP($A352,'The List'!$B1:$AS727,26,FALSE)," ")</f>
        <v xml:space="preserve"> </v>
      </c>
      <c r="T352" s="53" t="str">
        <f>IFERROR(VLOOKUP($A352,'The List'!$B1:$AS727,27,FALSE)," ")</f>
        <v xml:space="preserve"> </v>
      </c>
      <c r="U352" s="53" t="str">
        <f>IFERROR(VLOOKUP($A352,'The List'!$B1:$AS727,28,FALSE)," ")</f>
        <v xml:space="preserve"> </v>
      </c>
      <c r="V352" s="53" t="str">
        <f>IFERROR(VLOOKUP($A352,'The List'!$B1:$AS727,29,FALSE)," ")</f>
        <v xml:space="preserve"> </v>
      </c>
      <c r="W352" s="53" t="str">
        <f>IFERROR(VLOOKUP($A352,'The List'!$B1:$AS727,30,FALSE)," ")</f>
        <v xml:space="preserve"> </v>
      </c>
      <c r="X352" s="53" t="str">
        <f>IFERROR(VLOOKUP($A352,'The List'!$B1:$AS727,31,FALSE)," ")</f>
        <v xml:space="preserve"> </v>
      </c>
      <c r="Y352" s="53" t="str">
        <f>IFERROR(VLOOKUP($A352,'The List'!$B1:$AS727,32,FALSE)," ")</f>
        <v xml:space="preserve"> </v>
      </c>
      <c r="Z352" s="53" t="str">
        <f>IFERROR(VLOOKUP($A352,'The List'!$B1:$AS727,33,FALSE)," ")</f>
        <v xml:space="preserve"> </v>
      </c>
      <c r="AA352" s="55"/>
      <c r="AB352" s="60"/>
      <c r="AC352" s="60"/>
      <c r="AD352" s="60"/>
      <c r="AE352" s="60"/>
      <c r="AF352" s="60"/>
    </row>
    <row r="353" spans="1:32" ht="21.25" customHeight="1" x14ac:dyDescent="0.15">
      <c r="A353" s="23"/>
      <c r="B353" s="57" t="str">
        <f>IFERROR(VLOOKUP($A353,'The List'!$B1:$AS727,3,FALSE)," ")</f>
        <v xml:space="preserve"> </v>
      </c>
      <c r="C353" s="61" t="str">
        <f>IFERROR(VLOOKUP($A353,'The List'!$B1:$AS727,4,FALSE)," ")</f>
        <v xml:space="preserve"> </v>
      </c>
      <c r="D353" s="35" t="str">
        <f>IFERROR(VLOOKUP($A353,'The List'!$B1:$AS727,5,FALSE)," ")</f>
        <v xml:space="preserve"> </v>
      </c>
      <c r="E353" s="35" t="str">
        <f>IFERROR(VLOOKUP($A353,'The List'!$B1:$AS727,6,FALSE)," ")</f>
        <v xml:space="preserve"> </v>
      </c>
      <c r="F353" s="52" t="str">
        <f>IFERROR(VLOOKUP($A353,'The List'!$B1:$AS727,8,FALSE)," ")</f>
        <v xml:space="preserve"> </v>
      </c>
      <c r="G353" s="52" t="str">
        <f>IFERROR(VLOOKUP($A353,'The List'!$B1:$AS727,10,FALSE)," ")</f>
        <v xml:space="preserve"> </v>
      </c>
      <c r="H353" s="39"/>
      <c r="I353" s="53" t="str">
        <f>IFERROR(VLOOKUP($A353,'The List'!$B1:$AS727,16,FALSE)," ")</f>
        <v xml:space="preserve"> </v>
      </c>
      <c r="J353" s="53" t="str">
        <f>IFERROR(VLOOKUP($A353,'The List'!$B1:$AS727,17,FALSE)," ")</f>
        <v xml:space="preserve"> </v>
      </c>
      <c r="K353" s="53" t="str">
        <f>IFERROR(VLOOKUP($A353,'The List'!$B1:$AS727,18,FALSE)," ")</f>
        <v xml:space="preserve"> </v>
      </c>
      <c r="L353" s="53" t="str">
        <f>IFERROR(VLOOKUP($A353,'The List'!$B1:$AS727,19,FALSE)," ")</f>
        <v xml:space="preserve"> </v>
      </c>
      <c r="M353" s="53" t="str">
        <f>IFERROR(VLOOKUP($A353,'The List'!$B1:$AS727,20,FALSE)," ")</f>
        <v xml:space="preserve"> </v>
      </c>
      <c r="N353" s="53" t="str">
        <f>IFERROR(VLOOKUP($A353,'The List'!$B1:$AS727,21,FALSE)," ")</f>
        <v xml:space="preserve"> </v>
      </c>
      <c r="O353" s="53" t="str">
        <f>IFERROR(VLOOKUP($A353,'The List'!$B1:$AS727,22,FALSE)," ")</f>
        <v xml:space="preserve"> </v>
      </c>
      <c r="P353" s="53" t="str">
        <f>IFERROR(VLOOKUP($A353,'The List'!$B1:$AS727,23,FALSE)," ")</f>
        <v xml:space="preserve"> </v>
      </c>
      <c r="Q353" s="53" t="str">
        <f>IFERROR(VLOOKUP($A353,'The List'!$B1:$AS727,24,FALSE)," ")</f>
        <v xml:space="preserve"> </v>
      </c>
      <c r="R353" s="53" t="str">
        <f>IFERROR(VLOOKUP($A353,'The List'!$B1:$AS727,25,FALSE)," ")</f>
        <v xml:space="preserve"> </v>
      </c>
      <c r="S353" s="53" t="str">
        <f>IFERROR(VLOOKUP($A353,'The List'!$B1:$AS727,26,FALSE)," ")</f>
        <v xml:space="preserve"> </v>
      </c>
      <c r="T353" s="53" t="str">
        <f>IFERROR(VLOOKUP($A353,'The List'!$B1:$AS727,27,FALSE)," ")</f>
        <v xml:space="preserve"> </v>
      </c>
      <c r="U353" s="53" t="str">
        <f>IFERROR(VLOOKUP($A353,'The List'!$B1:$AS727,28,FALSE)," ")</f>
        <v xml:space="preserve"> </v>
      </c>
      <c r="V353" s="53" t="str">
        <f>IFERROR(VLOOKUP($A353,'The List'!$B1:$AS727,29,FALSE)," ")</f>
        <v xml:space="preserve"> </v>
      </c>
      <c r="W353" s="53" t="str">
        <f>IFERROR(VLOOKUP($A353,'The List'!$B1:$AS727,30,FALSE)," ")</f>
        <v xml:space="preserve"> </v>
      </c>
      <c r="X353" s="53" t="str">
        <f>IFERROR(VLOOKUP($A353,'The List'!$B1:$AS727,31,FALSE)," ")</f>
        <v xml:space="preserve"> </v>
      </c>
      <c r="Y353" s="53" t="str">
        <f>IFERROR(VLOOKUP($A353,'The List'!$B1:$AS727,32,FALSE)," ")</f>
        <v xml:space="preserve"> </v>
      </c>
      <c r="Z353" s="53" t="str">
        <f>IFERROR(VLOOKUP($A353,'The List'!$B1:$AS727,33,FALSE)," ")</f>
        <v xml:space="preserve"> </v>
      </c>
      <c r="AA353" s="55"/>
      <c r="AB353" s="60"/>
      <c r="AC353" s="60"/>
      <c r="AD353" s="60"/>
      <c r="AE353" s="60"/>
      <c r="AF353" s="60"/>
    </row>
    <row r="354" spans="1:32" ht="21.25" customHeight="1" x14ac:dyDescent="0.15">
      <c r="A354" s="23"/>
      <c r="B354" s="62" t="str">
        <f>IFERROR(VLOOKUP($A354,'The List'!$B1:$AS727,3,FALSE)," ")</f>
        <v xml:space="preserve"> </v>
      </c>
      <c r="C354" s="64" t="str">
        <f>IFERROR(VLOOKUP($A354,'The List'!$B1:$AS727,4,FALSE)," ")</f>
        <v xml:space="preserve"> </v>
      </c>
      <c r="D354" s="35" t="str">
        <f>IFERROR(VLOOKUP($A354,'The List'!$B1:$AS727,5,FALSE)," ")</f>
        <v xml:space="preserve"> </v>
      </c>
      <c r="E354" s="35" t="str">
        <f>IFERROR(VLOOKUP($A354,'The List'!$B1:$AS727,6,FALSE)," ")</f>
        <v xml:space="preserve"> </v>
      </c>
      <c r="F354" s="52" t="str">
        <f>IFERROR(VLOOKUP($A354,'The List'!$B1:$AS727,8,FALSE)," ")</f>
        <v xml:space="preserve"> </v>
      </c>
      <c r="G354" s="52" t="str">
        <f>IFERROR(VLOOKUP($A354,'The List'!$B1:$AS727,10,FALSE)," ")</f>
        <v xml:space="preserve"> </v>
      </c>
      <c r="H354" s="39"/>
      <c r="I354" s="53" t="str">
        <f>IFERROR(VLOOKUP($A354,'The List'!$B1:$AS727,16,FALSE)," ")</f>
        <v xml:space="preserve"> </v>
      </c>
      <c r="J354" s="53" t="str">
        <f>IFERROR(VLOOKUP($A354,'The List'!$B1:$AS727,17,FALSE)," ")</f>
        <v xml:space="preserve"> </v>
      </c>
      <c r="K354" s="53" t="str">
        <f>IFERROR(VLOOKUP($A354,'The List'!$B1:$AS727,18,FALSE)," ")</f>
        <v xml:space="preserve"> </v>
      </c>
      <c r="L354" s="53" t="str">
        <f>IFERROR(VLOOKUP($A354,'The List'!$B1:$AS727,19,FALSE)," ")</f>
        <v xml:space="preserve"> </v>
      </c>
      <c r="M354" s="53" t="str">
        <f>IFERROR(VLOOKUP($A354,'The List'!$B1:$AS727,20,FALSE)," ")</f>
        <v xml:space="preserve"> </v>
      </c>
      <c r="N354" s="53" t="str">
        <f>IFERROR(VLOOKUP($A354,'The List'!$B1:$AS727,21,FALSE)," ")</f>
        <v xml:space="preserve"> </v>
      </c>
      <c r="O354" s="53" t="str">
        <f>IFERROR(VLOOKUP($A354,'The List'!$B1:$AS727,22,FALSE)," ")</f>
        <v xml:space="preserve"> </v>
      </c>
      <c r="P354" s="53" t="str">
        <f>IFERROR(VLOOKUP($A354,'The List'!$B1:$AS727,23,FALSE)," ")</f>
        <v xml:space="preserve"> </v>
      </c>
      <c r="Q354" s="53" t="str">
        <f>IFERROR(VLOOKUP($A354,'The List'!$B1:$AS727,24,FALSE)," ")</f>
        <v xml:space="preserve"> </v>
      </c>
      <c r="R354" s="53" t="str">
        <f>IFERROR(VLOOKUP($A354,'The List'!$B1:$AS727,25,FALSE)," ")</f>
        <v xml:space="preserve"> </v>
      </c>
      <c r="S354" s="53" t="str">
        <f>IFERROR(VLOOKUP($A354,'The List'!$B1:$AS727,26,FALSE)," ")</f>
        <v xml:space="preserve"> </v>
      </c>
      <c r="T354" s="53" t="str">
        <f>IFERROR(VLOOKUP($A354,'The List'!$B1:$AS727,27,FALSE)," ")</f>
        <v xml:space="preserve"> </v>
      </c>
      <c r="U354" s="53" t="str">
        <f>IFERROR(VLOOKUP($A354,'The List'!$B1:$AS727,28,FALSE)," ")</f>
        <v xml:space="preserve"> </v>
      </c>
      <c r="V354" s="53" t="str">
        <f>IFERROR(VLOOKUP($A354,'The List'!$B1:$AS727,29,FALSE)," ")</f>
        <v xml:space="preserve"> </v>
      </c>
      <c r="W354" s="53" t="str">
        <f>IFERROR(VLOOKUP($A354,'The List'!$B1:$AS727,30,FALSE)," ")</f>
        <v xml:space="preserve"> </v>
      </c>
      <c r="X354" s="53" t="str">
        <f>IFERROR(VLOOKUP($A354,'The List'!$B1:$AS727,31,FALSE)," ")</f>
        <v xml:space="preserve"> </v>
      </c>
      <c r="Y354" s="53" t="str">
        <f>IFERROR(VLOOKUP($A354,'The List'!$B1:$AS727,32,FALSE)," ")</f>
        <v xml:space="preserve"> </v>
      </c>
      <c r="Z354" s="53" t="str">
        <f>IFERROR(VLOOKUP($A354,'The List'!$B1:$AS727,33,FALSE)," ")</f>
        <v xml:space="preserve"> </v>
      </c>
      <c r="AA354" s="55"/>
      <c r="AB354" s="60"/>
      <c r="AC354" s="60"/>
      <c r="AD354" s="60"/>
      <c r="AE354" s="60"/>
      <c r="AF354" s="60"/>
    </row>
    <row r="355" spans="1:32" ht="21.25" customHeight="1" x14ac:dyDescent="0.15">
      <c r="A355" s="23"/>
      <c r="B355" s="62" t="str">
        <f>IFERROR(VLOOKUP($A355,'The List'!$B1:$AS727,3,FALSE)," ")</f>
        <v xml:space="preserve"> </v>
      </c>
      <c r="C355" s="64" t="str">
        <f>IFERROR(VLOOKUP($A355,'The List'!$B1:$AS727,4,FALSE)," ")</f>
        <v xml:space="preserve"> </v>
      </c>
      <c r="D355" s="35" t="str">
        <f>IFERROR(VLOOKUP($A355,'The List'!$B1:$AS727,5,FALSE)," ")</f>
        <v xml:space="preserve"> </v>
      </c>
      <c r="E355" s="35" t="str">
        <f>IFERROR(VLOOKUP($A355,'The List'!$B1:$AS727,6,FALSE)," ")</f>
        <v xml:space="preserve"> </v>
      </c>
      <c r="F355" s="52" t="str">
        <f>IFERROR(VLOOKUP($A355,'The List'!$B1:$AS727,8,FALSE)," ")</f>
        <v xml:space="preserve"> </v>
      </c>
      <c r="G355" s="52" t="str">
        <f>IFERROR(VLOOKUP($A355,'The List'!$B1:$AS727,10,FALSE)," ")</f>
        <v xml:space="preserve"> </v>
      </c>
      <c r="H355" s="39"/>
      <c r="I355" s="53" t="str">
        <f>IFERROR(VLOOKUP($A355,'The List'!$B1:$AS727,16,FALSE)," ")</f>
        <v xml:space="preserve"> </v>
      </c>
      <c r="J355" s="53" t="str">
        <f>IFERROR(VLOOKUP($A355,'The List'!$B1:$AS727,17,FALSE)," ")</f>
        <v xml:space="preserve"> </v>
      </c>
      <c r="K355" s="53" t="str">
        <f>IFERROR(VLOOKUP($A355,'The List'!$B1:$AS727,18,FALSE)," ")</f>
        <v xml:space="preserve"> </v>
      </c>
      <c r="L355" s="53" t="str">
        <f>IFERROR(VLOOKUP($A355,'The List'!$B1:$AS727,19,FALSE)," ")</f>
        <v xml:space="preserve"> </v>
      </c>
      <c r="M355" s="53" t="str">
        <f>IFERROR(VLOOKUP($A355,'The List'!$B1:$AS727,20,FALSE)," ")</f>
        <v xml:space="preserve"> </v>
      </c>
      <c r="N355" s="53" t="str">
        <f>IFERROR(VLOOKUP($A355,'The List'!$B1:$AS727,21,FALSE)," ")</f>
        <v xml:space="preserve"> </v>
      </c>
      <c r="O355" s="53" t="str">
        <f>IFERROR(VLOOKUP($A355,'The List'!$B1:$AS727,22,FALSE)," ")</f>
        <v xml:space="preserve"> </v>
      </c>
      <c r="P355" s="53" t="str">
        <f>IFERROR(VLOOKUP($A355,'The List'!$B1:$AS727,23,FALSE)," ")</f>
        <v xml:space="preserve"> </v>
      </c>
      <c r="Q355" s="53" t="str">
        <f>IFERROR(VLOOKUP($A355,'The List'!$B1:$AS727,24,FALSE)," ")</f>
        <v xml:space="preserve"> </v>
      </c>
      <c r="R355" s="53" t="str">
        <f>IFERROR(VLOOKUP($A355,'The List'!$B1:$AS727,25,FALSE)," ")</f>
        <v xml:space="preserve"> </v>
      </c>
      <c r="S355" s="53" t="str">
        <f>IFERROR(VLOOKUP($A355,'The List'!$B1:$AS727,26,FALSE)," ")</f>
        <v xml:space="preserve"> </v>
      </c>
      <c r="T355" s="53" t="str">
        <f>IFERROR(VLOOKUP($A355,'The List'!$B1:$AS727,27,FALSE)," ")</f>
        <v xml:space="preserve"> </v>
      </c>
      <c r="U355" s="53" t="str">
        <f>IFERROR(VLOOKUP($A355,'The List'!$B1:$AS727,28,FALSE)," ")</f>
        <v xml:space="preserve"> </v>
      </c>
      <c r="V355" s="53" t="str">
        <f>IFERROR(VLOOKUP($A355,'The List'!$B1:$AS727,29,FALSE)," ")</f>
        <v xml:space="preserve"> </v>
      </c>
      <c r="W355" s="53" t="str">
        <f>IFERROR(VLOOKUP($A355,'The List'!$B1:$AS727,30,FALSE)," ")</f>
        <v xml:space="preserve"> </v>
      </c>
      <c r="X355" s="53" t="str">
        <f>IFERROR(VLOOKUP($A355,'The List'!$B1:$AS727,31,FALSE)," ")</f>
        <v xml:space="preserve"> </v>
      </c>
      <c r="Y355" s="53" t="str">
        <f>IFERROR(VLOOKUP($A355,'The List'!$B1:$AS727,32,FALSE)," ")</f>
        <v xml:space="preserve"> </v>
      </c>
      <c r="Z355" s="53" t="str">
        <f>IFERROR(VLOOKUP($A355,'The List'!$B1:$AS727,33,FALSE)," ")</f>
        <v xml:space="preserve"> </v>
      </c>
      <c r="AA355" s="55"/>
      <c r="AB355" s="60"/>
      <c r="AC355" s="60"/>
      <c r="AD355" s="60"/>
      <c r="AE355" s="60"/>
      <c r="AF355" s="60"/>
    </row>
    <row r="356" spans="1:32" ht="21.25" customHeight="1" x14ac:dyDescent="0.15">
      <c r="A356" s="23"/>
      <c r="B356" s="62" t="str">
        <f>IFERROR(VLOOKUP($A356,'The List'!$B1:$AS727,3,FALSE)," ")</f>
        <v xml:space="preserve"> </v>
      </c>
      <c r="C356" s="64" t="str">
        <f>IFERROR(VLOOKUP($A356,'The List'!$B1:$AS727,4,FALSE)," ")</f>
        <v xml:space="preserve"> </v>
      </c>
      <c r="D356" s="35" t="str">
        <f>IFERROR(VLOOKUP($A356,'The List'!$B1:$AS727,5,FALSE)," ")</f>
        <v xml:space="preserve"> </v>
      </c>
      <c r="E356" s="35" t="str">
        <f>IFERROR(VLOOKUP($A356,'The List'!$B1:$AS727,6,FALSE)," ")</f>
        <v xml:space="preserve"> </v>
      </c>
      <c r="F356" s="52" t="str">
        <f>IFERROR(VLOOKUP($A356,'The List'!$B1:$AS727,8,FALSE)," ")</f>
        <v xml:space="preserve"> </v>
      </c>
      <c r="G356" s="52" t="str">
        <f>IFERROR(VLOOKUP($A356,'The List'!$B1:$AS727,10,FALSE)," ")</f>
        <v xml:space="preserve"> </v>
      </c>
      <c r="H356" s="39"/>
      <c r="I356" s="53" t="str">
        <f>IFERROR(VLOOKUP($A356,'The List'!$B1:$AS727,16,FALSE)," ")</f>
        <v xml:space="preserve"> </v>
      </c>
      <c r="J356" s="53" t="str">
        <f>IFERROR(VLOOKUP($A356,'The List'!$B1:$AS727,17,FALSE)," ")</f>
        <v xml:space="preserve"> </v>
      </c>
      <c r="K356" s="53" t="str">
        <f>IFERROR(VLOOKUP($A356,'The List'!$B1:$AS727,18,FALSE)," ")</f>
        <v xml:space="preserve"> </v>
      </c>
      <c r="L356" s="53" t="str">
        <f>IFERROR(VLOOKUP($A356,'The List'!$B1:$AS727,19,FALSE)," ")</f>
        <v xml:space="preserve"> </v>
      </c>
      <c r="M356" s="53" t="str">
        <f>IFERROR(VLOOKUP($A356,'The List'!$B1:$AS727,20,FALSE)," ")</f>
        <v xml:space="preserve"> </v>
      </c>
      <c r="N356" s="53" t="str">
        <f>IFERROR(VLOOKUP($A356,'The List'!$B1:$AS727,21,FALSE)," ")</f>
        <v xml:space="preserve"> </v>
      </c>
      <c r="O356" s="53" t="str">
        <f>IFERROR(VLOOKUP($A356,'The List'!$B1:$AS727,22,FALSE)," ")</f>
        <v xml:space="preserve"> </v>
      </c>
      <c r="P356" s="53" t="str">
        <f>IFERROR(VLOOKUP($A356,'The List'!$B1:$AS727,23,FALSE)," ")</f>
        <v xml:space="preserve"> </v>
      </c>
      <c r="Q356" s="53" t="str">
        <f>IFERROR(VLOOKUP($A356,'The List'!$B1:$AS727,24,FALSE)," ")</f>
        <v xml:space="preserve"> </v>
      </c>
      <c r="R356" s="53" t="str">
        <f>IFERROR(VLOOKUP($A356,'The List'!$B1:$AS727,25,FALSE)," ")</f>
        <v xml:space="preserve"> </v>
      </c>
      <c r="S356" s="53" t="str">
        <f>IFERROR(VLOOKUP($A356,'The List'!$B1:$AS727,26,FALSE)," ")</f>
        <v xml:space="preserve"> </v>
      </c>
      <c r="T356" s="53" t="str">
        <f>IFERROR(VLOOKUP($A356,'The List'!$B1:$AS727,27,FALSE)," ")</f>
        <v xml:space="preserve"> </v>
      </c>
      <c r="U356" s="53" t="str">
        <f>IFERROR(VLOOKUP($A356,'The List'!$B1:$AS727,28,FALSE)," ")</f>
        <v xml:space="preserve"> </v>
      </c>
      <c r="V356" s="53" t="str">
        <f>IFERROR(VLOOKUP($A356,'The List'!$B1:$AS727,29,FALSE)," ")</f>
        <v xml:space="preserve"> </v>
      </c>
      <c r="W356" s="53" t="str">
        <f>IFERROR(VLOOKUP($A356,'The List'!$B1:$AS727,30,FALSE)," ")</f>
        <v xml:space="preserve"> </v>
      </c>
      <c r="X356" s="53" t="str">
        <f>IFERROR(VLOOKUP($A356,'The List'!$B1:$AS727,31,FALSE)," ")</f>
        <v xml:space="preserve"> </v>
      </c>
      <c r="Y356" s="53" t="str">
        <f>IFERROR(VLOOKUP($A356,'The List'!$B1:$AS727,32,FALSE)," ")</f>
        <v xml:space="preserve"> </v>
      </c>
      <c r="Z356" s="53" t="str">
        <f>IFERROR(VLOOKUP($A356,'The List'!$B1:$AS727,33,FALSE)," ")</f>
        <v xml:space="preserve"> </v>
      </c>
      <c r="AA356" s="55"/>
      <c r="AB356" s="60"/>
      <c r="AC356" s="60"/>
      <c r="AD356" s="60"/>
      <c r="AE356" s="60"/>
      <c r="AF356" s="60"/>
    </row>
    <row r="357" spans="1:32" ht="21.25" customHeight="1" x14ac:dyDescent="0.15">
      <c r="A357" s="23"/>
      <c r="B357" s="62" t="str">
        <f>IFERROR(VLOOKUP($A357,'The List'!$B1:$AS727,3,FALSE)," ")</f>
        <v xml:space="preserve"> </v>
      </c>
      <c r="C357" s="64" t="str">
        <f>IFERROR(VLOOKUP($A357,'The List'!$B1:$AS727,4,FALSE)," ")</f>
        <v xml:space="preserve"> </v>
      </c>
      <c r="D357" s="35" t="str">
        <f>IFERROR(VLOOKUP($A357,'The List'!$B1:$AS727,5,FALSE)," ")</f>
        <v xml:space="preserve"> </v>
      </c>
      <c r="E357" s="35" t="str">
        <f>IFERROR(VLOOKUP($A357,'The List'!$B1:$AS727,6,FALSE)," ")</f>
        <v xml:space="preserve"> </v>
      </c>
      <c r="F357" s="52" t="str">
        <f>IFERROR(VLOOKUP($A357,'The List'!$B1:$AS727,8,FALSE)," ")</f>
        <v xml:space="preserve"> </v>
      </c>
      <c r="G357" s="52" t="str">
        <f>IFERROR(VLOOKUP($A357,'The List'!$B1:$AS727,10,FALSE)," ")</f>
        <v xml:space="preserve"> </v>
      </c>
      <c r="H357" s="39"/>
      <c r="I357" s="53" t="str">
        <f>IFERROR(VLOOKUP($A357,'The List'!$B1:$AS727,16,FALSE)," ")</f>
        <v xml:space="preserve"> </v>
      </c>
      <c r="J357" s="53" t="str">
        <f>IFERROR(VLOOKUP($A357,'The List'!$B1:$AS727,17,FALSE)," ")</f>
        <v xml:space="preserve"> </v>
      </c>
      <c r="K357" s="53" t="str">
        <f>IFERROR(VLOOKUP($A357,'The List'!$B1:$AS727,18,FALSE)," ")</f>
        <v xml:space="preserve"> </v>
      </c>
      <c r="L357" s="53" t="str">
        <f>IFERROR(VLOOKUP($A357,'The List'!$B1:$AS727,19,FALSE)," ")</f>
        <v xml:space="preserve"> </v>
      </c>
      <c r="M357" s="53" t="str">
        <f>IFERROR(VLOOKUP($A357,'The List'!$B1:$AS727,20,FALSE)," ")</f>
        <v xml:space="preserve"> </v>
      </c>
      <c r="N357" s="53" t="str">
        <f>IFERROR(VLOOKUP($A357,'The List'!$B1:$AS727,21,FALSE)," ")</f>
        <v xml:space="preserve"> </v>
      </c>
      <c r="O357" s="53" t="str">
        <f>IFERROR(VLOOKUP($A357,'The List'!$B1:$AS727,22,FALSE)," ")</f>
        <v xml:space="preserve"> </v>
      </c>
      <c r="P357" s="53" t="str">
        <f>IFERROR(VLOOKUP($A357,'The List'!$B1:$AS727,23,FALSE)," ")</f>
        <v xml:space="preserve"> </v>
      </c>
      <c r="Q357" s="53" t="str">
        <f>IFERROR(VLOOKUP($A357,'The List'!$B1:$AS727,24,FALSE)," ")</f>
        <v xml:space="preserve"> </v>
      </c>
      <c r="R357" s="53" t="str">
        <f>IFERROR(VLOOKUP($A357,'The List'!$B1:$AS727,25,FALSE)," ")</f>
        <v xml:space="preserve"> </v>
      </c>
      <c r="S357" s="53" t="str">
        <f>IFERROR(VLOOKUP($A357,'The List'!$B1:$AS727,26,FALSE)," ")</f>
        <v xml:space="preserve"> </v>
      </c>
      <c r="T357" s="53" t="str">
        <f>IFERROR(VLOOKUP($A357,'The List'!$B1:$AS727,27,FALSE)," ")</f>
        <v xml:space="preserve"> </v>
      </c>
      <c r="U357" s="53" t="str">
        <f>IFERROR(VLOOKUP($A357,'The List'!$B1:$AS727,28,FALSE)," ")</f>
        <v xml:space="preserve"> </v>
      </c>
      <c r="V357" s="53" t="str">
        <f>IFERROR(VLOOKUP($A357,'The List'!$B1:$AS727,29,FALSE)," ")</f>
        <v xml:space="preserve"> </v>
      </c>
      <c r="W357" s="53" t="str">
        <f>IFERROR(VLOOKUP($A357,'The List'!$B1:$AS727,30,FALSE)," ")</f>
        <v xml:space="preserve"> </v>
      </c>
      <c r="X357" s="53" t="str">
        <f>IFERROR(VLOOKUP($A357,'The List'!$B1:$AS727,31,FALSE)," ")</f>
        <v xml:space="preserve"> </v>
      </c>
      <c r="Y357" s="53" t="str">
        <f>IFERROR(VLOOKUP($A357,'The List'!$B1:$AS727,32,FALSE)," ")</f>
        <v xml:space="preserve"> </v>
      </c>
      <c r="Z357" s="53" t="str">
        <f>IFERROR(VLOOKUP($A357,'The List'!$B1:$AS727,33,FALSE)," ")</f>
        <v xml:space="preserve"> </v>
      </c>
      <c r="AA357" s="55"/>
      <c r="AB357" s="60"/>
      <c r="AC357" s="60"/>
      <c r="AD357" s="60"/>
      <c r="AE357" s="60"/>
      <c r="AF357" s="60"/>
    </row>
    <row r="358" spans="1:32" ht="21.25" customHeight="1" x14ac:dyDescent="0.15">
      <c r="A358" s="23"/>
      <c r="B358" s="65" t="str">
        <f>IFERROR(VLOOKUP($A358,'The List'!$B1:$AS727,3,FALSE)," ")</f>
        <v xml:space="preserve"> </v>
      </c>
      <c r="C358" s="67" t="str">
        <f>IFERROR(VLOOKUP($A358,'The List'!$B1:$AS727,4,FALSE)," ")</f>
        <v xml:space="preserve"> </v>
      </c>
      <c r="D358" s="35" t="str">
        <f>IFERROR(VLOOKUP($A358,'The List'!$B1:$AS727,5,FALSE)," ")</f>
        <v xml:space="preserve"> </v>
      </c>
      <c r="E358" s="35" t="str">
        <f>IFERROR(VLOOKUP($A358,'The List'!$B1:$AS727,6,FALSE)," ")</f>
        <v xml:space="preserve"> </v>
      </c>
      <c r="F358" s="52" t="str">
        <f>IFERROR(VLOOKUP($A358,'The List'!$B1:$AS727,8,FALSE)," ")</f>
        <v xml:space="preserve"> </v>
      </c>
      <c r="G358" s="52" t="str">
        <f>IFERROR(VLOOKUP($A358,'The List'!$B1:$AS727,10,FALSE)," ")</f>
        <v xml:space="preserve"> </v>
      </c>
      <c r="H358" s="39"/>
      <c r="I358" s="53" t="str">
        <f>IFERROR(VLOOKUP($A358,'The List'!$B1:$AS727,16,FALSE)," ")</f>
        <v xml:space="preserve"> </v>
      </c>
      <c r="J358" s="53" t="str">
        <f>IFERROR(VLOOKUP($A358,'The List'!$B1:$AS727,17,FALSE)," ")</f>
        <v xml:space="preserve"> </v>
      </c>
      <c r="K358" s="53" t="str">
        <f>IFERROR(VLOOKUP($A358,'The List'!$B1:$AS727,18,FALSE)," ")</f>
        <v xml:space="preserve"> </v>
      </c>
      <c r="L358" s="53" t="str">
        <f>IFERROR(VLOOKUP($A358,'The List'!$B1:$AS727,19,FALSE)," ")</f>
        <v xml:space="preserve"> </v>
      </c>
      <c r="M358" s="53" t="str">
        <f>IFERROR(VLOOKUP($A358,'The List'!$B1:$AS727,20,FALSE)," ")</f>
        <v xml:space="preserve"> </v>
      </c>
      <c r="N358" s="53" t="str">
        <f>IFERROR(VLOOKUP($A358,'The List'!$B1:$AS727,21,FALSE)," ")</f>
        <v xml:space="preserve"> </v>
      </c>
      <c r="O358" s="53" t="str">
        <f>IFERROR(VLOOKUP($A358,'The List'!$B1:$AS727,22,FALSE)," ")</f>
        <v xml:space="preserve"> </v>
      </c>
      <c r="P358" s="53" t="str">
        <f>IFERROR(VLOOKUP($A358,'The List'!$B1:$AS727,23,FALSE)," ")</f>
        <v xml:space="preserve"> </v>
      </c>
      <c r="Q358" s="53" t="str">
        <f>IFERROR(VLOOKUP($A358,'The List'!$B1:$AS727,24,FALSE)," ")</f>
        <v xml:space="preserve"> </v>
      </c>
      <c r="R358" s="53" t="str">
        <f>IFERROR(VLOOKUP($A358,'The List'!$B1:$AS727,25,FALSE)," ")</f>
        <v xml:space="preserve"> </v>
      </c>
      <c r="S358" s="53" t="str">
        <f>IFERROR(VLOOKUP($A358,'The List'!$B1:$AS727,26,FALSE)," ")</f>
        <v xml:space="preserve"> </v>
      </c>
      <c r="T358" s="53" t="str">
        <f>IFERROR(VLOOKUP($A358,'The List'!$B1:$AS727,27,FALSE)," ")</f>
        <v xml:space="preserve"> </v>
      </c>
      <c r="U358" s="53" t="str">
        <f>IFERROR(VLOOKUP($A358,'The List'!$B1:$AS727,28,FALSE)," ")</f>
        <v xml:space="preserve"> </v>
      </c>
      <c r="V358" s="53" t="str">
        <f>IFERROR(VLOOKUP($A358,'The List'!$B1:$AS727,29,FALSE)," ")</f>
        <v xml:space="preserve"> </v>
      </c>
      <c r="W358" s="53" t="str">
        <f>IFERROR(VLOOKUP($A358,'The List'!$B1:$AS727,30,FALSE)," ")</f>
        <v xml:space="preserve"> </v>
      </c>
      <c r="X358" s="53" t="str">
        <f>IFERROR(VLOOKUP($A358,'The List'!$B1:$AS727,31,FALSE)," ")</f>
        <v xml:space="preserve"> </v>
      </c>
      <c r="Y358" s="53" t="str">
        <f>IFERROR(VLOOKUP($A358,'The List'!$B1:$AS727,32,FALSE)," ")</f>
        <v xml:space="preserve"> </v>
      </c>
      <c r="Z358" s="53" t="str">
        <f>IFERROR(VLOOKUP($A358,'The List'!$B1:$AS727,33,FALSE)," ")</f>
        <v xml:space="preserve"> </v>
      </c>
      <c r="AA358" s="55"/>
      <c r="AB358" s="60"/>
      <c r="AC358" s="60"/>
      <c r="AD358" s="60"/>
      <c r="AE358" s="60"/>
      <c r="AF358" s="60"/>
    </row>
    <row r="359" spans="1:32" ht="21.25" customHeight="1" x14ac:dyDescent="0.15">
      <c r="A359" s="23"/>
      <c r="B359" s="65" t="str">
        <f>IFERROR(VLOOKUP($A359,'The List'!$B1:$AS727,3,FALSE)," ")</f>
        <v xml:space="preserve"> </v>
      </c>
      <c r="C359" s="67" t="str">
        <f>IFERROR(VLOOKUP($A359,'The List'!$B1:$AS727,4,FALSE)," ")</f>
        <v xml:space="preserve"> </v>
      </c>
      <c r="D359" s="35" t="str">
        <f>IFERROR(VLOOKUP($A359,'The List'!$B1:$AS727,5,FALSE)," ")</f>
        <v xml:space="preserve"> </v>
      </c>
      <c r="E359" s="35" t="str">
        <f>IFERROR(VLOOKUP($A359,'The List'!$B1:$AS727,6,FALSE)," ")</f>
        <v xml:space="preserve"> </v>
      </c>
      <c r="F359" s="52" t="str">
        <f>IFERROR(VLOOKUP($A359,'The List'!$B1:$AS727,8,FALSE)," ")</f>
        <v xml:space="preserve"> </v>
      </c>
      <c r="G359" s="52" t="str">
        <f>IFERROR(VLOOKUP($A359,'The List'!$B1:$AS727,10,FALSE)," ")</f>
        <v xml:space="preserve"> </v>
      </c>
      <c r="H359" s="39"/>
      <c r="I359" s="53" t="str">
        <f>IFERROR(VLOOKUP($A359,'The List'!$B1:$AS727,16,FALSE)," ")</f>
        <v xml:space="preserve"> </v>
      </c>
      <c r="J359" s="53" t="str">
        <f>IFERROR(VLOOKUP($A359,'The List'!$B1:$AS727,17,FALSE)," ")</f>
        <v xml:space="preserve"> </v>
      </c>
      <c r="K359" s="53" t="str">
        <f>IFERROR(VLOOKUP($A359,'The List'!$B1:$AS727,18,FALSE)," ")</f>
        <v xml:space="preserve"> </v>
      </c>
      <c r="L359" s="53" t="str">
        <f>IFERROR(VLOOKUP($A359,'The List'!$B1:$AS727,19,FALSE)," ")</f>
        <v xml:space="preserve"> </v>
      </c>
      <c r="M359" s="53" t="str">
        <f>IFERROR(VLOOKUP($A359,'The List'!$B1:$AS727,20,FALSE)," ")</f>
        <v xml:space="preserve"> </v>
      </c>
      <c r="N359" s="53" t="str">
        <f>IFERROR(VLOOKUP($A359,'The List'!$B1:$AS727,21,FALSE)," ")</f>
        <v xml:space="preserve"> </v>
      </c>
      <c r="O359" s="53" t="str">
        <f>IFERROR(VLOOKUP($A359,'The List'!$B1:$AS727,22,FALSE)," ")</f>
        <v xml:space="preserve"> </v>
      </c>
      <c r="P359" s="53" t="str">
        <f>IFERROR(VLOOKUP($A359,'The List'!$B1:$AS727,23,FALSE)," ")</f>
        <v xml:space="preserve"> </v>
      </c>
      <c r="Q359" s="53" t="str">
        <f>IFERROR(VLOOKUP($A359,'The List'!$B1:$AS727,24,FALSE)," ")</f>
        <v xml:space="preserve"> </v>
      </c>
      <c r="R359" s="53" t="str">
        <f>IFERROR(VLOOKUP($A359,'The List'!$B1:$AS727,25,FALSE)," ")</f>
        <v xml:space="preserve"> </v>
      </c>
      <c r="S359" s="53" t="str">
        <f>IFERROR(VLOOKUP($A359,'The List'!$B1:$AS727,26,FALSE)," ")</f>
        <v xml:space="preserve"> </v>
      </c>
      <c r="T359" s="53" t="str">
        <f>IFERROR(VLOOKUP($A359,'The List'!$B1:$AS727,27,FALSE)," ")</f>
        <v xml:space="preserve"> </v>
      </c>
      <c r="U359" s="53" t="str">
        <f>IFERROR(VLOOKUP($A359,'The List'!$B1:$AS727,28,FALSE)," ")</f>
        <v xml:space="preserve"> </v>
      </c>
      <c r="V359" s="53" t="str">
        <f>IFERROR(VLOOKUP($A359,'The List'!$B1:$AS727,29,FALSE)," ")</f>
        <v xml:space="preserve"> </v>
      </c>
      <c r="W359" s="53" t="str">
        <f>IFERROR(VLOOKUP($A359,'The List'!$B1:$AS727,30,FALSE)," ")</f>
        <v xml:space="preserve"> </v>
      </c>
      <c r="X359" s="53" t="str">
        <f>IFERROR(VLOOKUP($A359,'The List'!$B1:$AS727,31,FALSE)," ")</f>
        <v xml:space="preserve"> </v>
      </c>
      <c r="Y359" s="53" t="str">
        <f>IFERROR(VLOOKUP($A359,'The List'!$B1:$AS727,32,FALSE)," ")</f>
        <v xml:space="preserve"> </v>
      </c>
      <c r="Z359" s="53" t="str">
        <f>IFERROR(VLOOKUP($A359,'The List'!$B1:$AS727,33,FALSE)," ")</f>
        <v xml:space="preserve"> </v>
      </c>
      <c r="AA359" s="55"/>
      <c r="AB359" s="60"/>
      <c r="AC359" s="60"/>
      <c r="AD359" s="60"/>
      <c r="AE359" s="60"/>
      <c r="AF359" s="60"/>
    </row>
    <row r="360" spans="1:32" ht="21.25" customHeight="1" x14ac:dyDescent="0.15">
      <c r="A360" s="23"/>
      <c r="B360" s="65" t="str">
        <f>IFERROR(VLOOKUP($A360,'The List'!$B1:$AS727,3,FALSE)," ")</f>
        <v xml:space="preserve"> </v>
      </c>
      <c r="C360" s="67" t="str">
        <f>IFERROR(VLOOKUP($A360,'The List'!$B1:$AS727,4,FALSE)," ")</f>
        <v xml:space="preserve"> </v>
      </c>
      <c r="D360" s="35" t="str">
        <f>IFERROR(VLOOKUP($A360,'The List'!$B1:$AS727,5,FALSE)," ")</f>
        <v xml:space="preserve"> </v>
      </c>
      <c r="E360" s="35" t="str">
        <f>IFERROR(VLOOKUP($A360,'The List'!$B1:$AS727,6,FALSE)," ")</f>
        <v xml:space="preserve"> </v>
      </c>
      <c r="F360" s="52" t="str">
        <f>IFERROR(VLOOKUP($A360,'The List'!$B1:$AS727,8,FALSE)," ")</f>
        <v xml:space="preserve"> </v>
      </c>
      <c r="G360" s="52" t="str">
        <f>IFERROR(VLOOKUP($A360,'The List'!$B1:$AS727,10,FALSE)," ")</f>
        <v xml:space="preserve"> </v>
      </c>
      <c r="H360" s="39"/>
      <c r="I360" s="53" t="str">
        <f>IFERROR(VLOOKUP($A360,'The List'!$B1:$AS727,16,FALSE)," ")</f>
        <v xml:space="preserve"> </v>
      </c>
      <c r="J360" s="53" t="str">
        <f>IFERROR(VLOOKUP($A360,'The List'!$B1:$AS727,17,FALSE)," ")</f>
        <v xml:space="preserve"> </v>
      </c>
      <c r="K360" s="53" t="str">
        <f>IFERROR(VLOOKUP($A360,'The List'!$B1:$AS727,18,FALSE)," ")</f>
        <v xml:space="preserve"> </v>
      </c>
      <c r="L360" s="53" t="str">
        <f>IFERROR(VLOOKUP($A360,'The List'!$B1:$AS727,19,FALSE)," ")</f>
        <v xml:space="preserve"> </v>
      </c>
      <c r="M360" s="53" t="str">
        <f>IFERROR(VLOOKUP($A360,'The List'!$B1:$AS727,20,FALSE)," ")</f>
        <v xml:space="preserve"> </v>
      </c>
      <c r="N360" s="53" t="str">
        <f>IFERROR(VLOOKUP($A360,'The List'!$B1:$AS727,21,FALSE)," ")</f>
        <v xml:space="preserve"> </v>
      </c>
      <c r="O360" s="53" t="str">
        <f>IFERROR(VLOOKUP($A360,'The List'!$B1:$AS727,22,FALSE)," ")</f>
        <v xml:space="preserve"> </v>
      </c>
      <c r="P360" s="53" t="str">
        <f>IFERROR(VLOOKUP($A360,'The List'!$B1:$AS727,23,FALSE)," ")</f>
        <v xml:space="preserve"> </v>
      </c>
      <c r="Q360" s="53" t="str">
        <f>IFERROR(VLOOKUP($A360,'The List'!$B1:$AS727,24,FALSE)," ")</f>
        <v xml:space="preserve"> </v>
      </c>
      <c r="R360" s="53" t="str">
        <f>IFERROR(VLOOKUP($A360,'The List'!$B1:$AS727,25,FALSE)," ")</f>
        <v xml:space="preserve"> </v>
      </c>
      <c r="S360" s="53" t="str">
        <f>IFERROR(VLOOKUP($A360,'The List'!$B1:$AS727,26,FALSE)," ")</f>
        <v xml:space="preserve"> </v>
      </c>
      <c r="T360" s="53" t="str">
        <f>IFERROR(VLOOKUP($A360,'The List'!$B1:$AS727,27,FALSE)," ")</f>
        <v xml:space="preserve"> </v>
      </c>
      <c r="U360" s="53" t="str">
        <f>IFERROR(VLOOKUP($A360,'The List'!$B1:$AS727,28,FALSE)," ")</f>
        <v xml:space="preserve"> </v>
      </c>
      <c r="V360" s="53" t="str">
        <f>IFERROR(VLOOKUP($A360,'The List'!$B1:$AS727,29,FALSE)," ")</f>
        <v xml:space="preserve"> </v>
      </c>
      <c r="W360" s="53" t="str">
        <f>IFERROR(VLOOKUP($A360,'The List'!$B1:$AS727,30,FALSE)," ")</f>
        <v xml:space="preserve"> </v>
      </c>
      <c r="X360" s="53" t="str">
        <f>IFERROR(VLOOKUP($A360,'The List'!$B1:$AS727,31,FALSE)," ")</f>
        <v xml:space="preserve"> </v>
      </c>
      <c r="Y360" s="53" t="str">
        <f>IFERROR(VLOOKUP($A360,'The List'!$B1:$AS727,32,FALSE)," ")</f>
        <v xml:space="preserve"> </v>
      </c>
      <c r="Z360" s="53" t="str">
        <f>IFERROR(VLOOKUP($A360,'The List'!$B1:$AS727,33,FALSE)," ")</f>
        <v xml:space="preserve"> </v>
      </c>
      <c r="AA360" s="55"/>
      <c r="AB360" s="60"/>
      <c r="AC360" s="60"/>
      <c r="AD360" s="60"/>
      <c r="AE360" s="60"/>
      <c r="AF360" s="60"/>
    </row>
    <row r="361" spans="1:32" ht="21.25" customHeight="1" x14ac:dyDescent="0.15">
      <c r="A361" s="23"/>
      <c r="B361" s="65" t="str">
        <f>IFERROR(VLOOKUP($A361,'The List'!$B1:$AS727,3,FALSE)," ")</f>
        <v xml:space="preserve"> </v>
      </c>
      <c r="C361" s="67" t="str">
        <f>IFERROR(VLOOKUP($A361,'The List'!$B1:$AS727,4,FALSE)," ")</f>
        <v xml:space="preserve"> </v>
      </c>
      <c r="D361" s="35" t="str">
        <f>IFERROR(VLOOKUP($A361,'The List'!$B1:$AS727,5,FALSE)," ")</f>
        <v xml:space="preserve"> </v>
      </c>
      <c r="E361" s="35" t="str">
        <f>IFERROR(VLOOKUP($A361,'The List'!$B1:$AS727,6,FALSE)," ")</f>
        <v xml:space="preserve"> </v>
      </c>
      <c r="F361" s="52" t="str">
        <f>IFERROR(VLOOKUP($A361,'The List'!$B1:$AS727,8,FALSE)," ")</f>
        <v xml:space="preserve"> </v>
      </c>
      <c r="G361" s="52" t="str">
        <f>IFERROR(VLOOKUP($A361,'The List'!$B1:$AS727,10,FALSE)," ")</f>
        <v xml:space="preserve"> </v>
      </c>
      <c r="H361" s="39"/>
      <c r="I361" s="53" t="str">
        <f>IFERROR(VLOOKUP($A361,'The List'!$B1:$AS727,16,FALSE)," ")</f>
        <v xml:space="preserve"> </v>
      </c>
      <c r="J361" s="53" t="str">
        <f>IFERROR(VLOOKUP($A361,'The List'!$B1:$AS727,17,FALSE)," ")</f>
        <v xml:space="preserve"> </v>
      </c>
      <c r="K361" s="53" t="str">
        <f>IFERROR(VLOOKUP($A361,'The List'!$B1:$AS727,18,FALSE)," ")</f>
        <v xml:space="preserve"> </v>
      </c>
      <c r="L361" s="53" t="str">
        <f>IFERROR(VLOOKUP($A361,'The List'!$B1:$AS727,19,FALSE)," ")</f>
        <v xml:space="preserve"> </v>
      </c>
      <c r="M361" s="53" t="str">
        <f>IFERROR(VLOOKUP($A361,'The List'!$B1:$AS727,20,FALSE)," ")</f>
        <v xml:space="preserve"> </v>
      </c>
      <c r="N361" s="53" t="str">
        <f>IFERROR(VLOOKUP($A361,'The List'!$B1:$AS727,21,FALSE)," ")</f>
        <v xml:space="preserve"> </v>
      </c>
      <c r="O361" s="53" t="str">
        <f>IFERROR(VLOOKUP($A361,'The List'!$B1:$AS727,22,FALSE)," ")</f>
        <v xml:space="preserve"> </v>
      </c>
      <c r="P361" s="53" t="str">
        <f>IFERROR(VLOOKUP($A361,'The List'!$B1:$AS727,23,FALSE)," ")</f>
        <v xml:space="preserve"> </v>
      </c>
      <c r="Q361" s="53" t="str">
        <f>IFERROR(VLOOKUP($A361,'The List'!$B1:$AS727,24,FALSE)," ")</f>
        <v xml:space="preserve"> </v>
      </c>
      <c r="R361" s="53" t="str">
        <f>IFERROR(VLOOKUP($A361,'The List'!$B1:$AS727,25,FALSE)," ")</f>
        <v xml:space="preserve"> </v>
      </c>
      <c r="S361" s="53" t="str">
        <f>IFERROR(VLOOKUP($A361,'The List'!$B1:$AS727,26,FALSE)," ")</f>
        <v xml:space="preserve"> </v>
      </c>
      <c r="T361" s="53" t="str">
        <f>IFERROR(VLOOKUP($A361,'The List'!$B1:$AS727,27,FALSE)," ")</f>
        <v xml:space="preserve"> </v>
      </c>
      <c r="U361" s="53" t="str">
        <f>IFERROR(VLOOKUP($A361,'The List'!$B1:$AS727,28,FALSE)," ")</f>
        <v xml:space="preserve"> </v>
      </c>
      <c r="V361" s="53" t="str">
        <f>IFERROR(VLOOKUP($A361,'The List'!$B1:$AS727,29,FALSE)," ")</f>
        <v xml:space="preserve"> </v>
      </c>
      <c r="W361" s="53" t="str">
        <f>IFERROR(VLOOKUP($A361,'The List'!$B1:$AS727,30,FALSE)," ")</f>
        <v xml:space="preserve"> </v>
      </c>
      <c r="X361" s="53" t="str">
        <f>IFERROR(VLOOKUP($A361,'The List'!$B1:$AS727,31,FALSE)," ")</f>
        <v xml:space="preserve"> </v>
      </c>
      <c r="Y361" s="53" t="str">
        <f>IFERROR(VLOOKUP($A361,'The List'!$B1:$AS727,32,FALSE)," ")</f>
        <v xml:space="preserve"> </v>
      </c>
      <c r="Z361" s="53" t="str">
        <f>IFERROR(VLOOKUP($A361,'The List'!$B1:$AS727,33,FALSE)," ")</f>
        <v xml:space="preserve"> </v>
      </c>
      <c r="AA361" s="55"/>
      <c r="AB361" s="60"/>
      <c r="AC361" s="60"/>
      <c r="AD361" s="60"/>
      <c r="AE361" s="60"/>
      <c r="AF361" s="60"/>
    </row>
    <row r="362" spans="1:32" ht="21.25" customHeight="1" x14ac:dyDescent="0.15">
      <c r="A362" s="23"/>
      <c r="B362" s="68" t="str">
        <f>IFERROR(VLOOKUP($A362,'The List'!$B1:$AS727,3,FALSE)," ")</f>
        <v xml:space="preserve"> </v>
      </c>
      <c r="C362" s="70" t="str">
        <f>IFERROR(VLOOKUP($A362,'The List'!$B1:$AS727,4,FALSE)," ")</f>
        <v xml:space="preserve"> </v>
      </c>
      <c r="D362" s="35" t="str">
        <f>IFERROR(VLOOKUP($A362,'The List'!$B1:$AS727,5,FALSE)," ")</f>
        <v xml:space="preserve"> </v>
      </c>
      <c r="E362" s="35" t="str">
        <f>IFERROR(VLOOKUP($A362,'The List'!$B1:$AS727,6,FALSE)," ")</f>
        <v xml:space="preserve"> </v>
      </c>
      <c r="F362" s="52" t="str">
        <f>IFERROR(VLOOKUP($A362,'The List'!$B1:$AS727,8,FALSE)," ")</f>
        <v xml:space="preserve"> </v>
      </c>
      <c r="G362" s="52" t="str">
        <f>IFERROR(VLOOKUP($A362,'The List'!$B1:$AS727,10,FALSE)," ")</f>
        <v xml:space="preserve"> </v>
      </c>
      <c r="H362" s="39"/>
      <c r="I362" s="53" t="str">
        <f>IFERROR(VLOOKUP($A362,'The List'!$B1:$AS727,16,FALSE)," ")</f>
        <v xml:space="preserve"> </v>
      </c>
      <c r="J362" s="53" t="str">
        <f>IFERROR(VLOOKUP($A362,'The List'!$B1:$AS727,17,FALSE)," ")</f>
        <v xml:space="preserve"> </v>
      </c>
      <c r="K362" s="53" t="str">
        <f>IFERROR(VLOOKUP($A362,'The List'!$B1:$AS727,18,FALSE)," ")</f>
        <v xml:space="preserve"> </v>
      </c>
      <c r="L362" s="53" t="str">
        <f>IFERROR(VLOOKUP($A362,'The List'!$B1:$AS727,19,FALSE)," ")</f>
        <v xml:space="preserve"> </v>
      </c>
      <c r="M362" s="53" t="str">
        <f>IFERROR(VLOOKUP($A362,'The List'!$B1:$AS727,20,FALSE)," ")</f>
        <v xml:space="preserve"> </v>
      </c>
      <c r="N362" s="53" t="str">
        <f>IFERROR(VLOOKUP($A362,'The List'!$B1:$AS727,21,FALSE)," ")</f>
        <v xml:space="preserve"> </v>
      </c>
      <c r="O362" s="53" t="str">
        <f>IFERROR(VLOOKUP($A362,'The List'!$B1:$AS727,22,FALSE)," ")</f>
        <v xml:space="preserve"> </v>
      </c>
      <c r="P362" s="53" t="str">
        <f>IFERROR(VLOOKUP($A362,'The List'!$B1:$AS727,23,FALSE)," ")</f>
        <v xml:space="preserve"> </v>
      </c>
      <c r="Q362" s="53" t="str">
        <f>IFERROR(VLOOKUP($A362,'The List'!$B1:$AS727,24,FALSE)," ")</f>
        <v xml:space="preserve"> </v>
      </c>
      <c r="R362" s="53" t="str">
        <f>IFERROR(VLOOKUP($A362,'The List'!$B1:$AS727,25,FALSE)," ")</f>
        <v xml:space="preserve"> </v>
      </c>
      <c r="S362" s="53" t="str">
        <f>IFERROR(VLOOKUP($A362,'The List'!$B1:$AS727,26,FALSE)," ")</f>
        <v xml:space="preserve"> </v>
      </c>
      <c r="T362" s="53" t="str">
        <f>IFERROR(VLOOKUP($A362,'The List'!$B1:$AS727,27,FALSE)," ")</f>
        <v xml:space="preserve"> </v>
      </c>
      <c r="U362" s="53" t="str">
        <f>IFERROR(VLOOKUP($A362,'The List'!$B1:$AS727,28,FALSE)," ")</f>
        <v xml:space="preserve"> </v>
      </c>
      <c r="V362" s="53" t="str">
        <f>IFERROR(VLOOKUP($A362,'The List'!$B1:$AS727,29,FALSE)," ")</f>
        <v xml:space="preserve"> </v>
      </c>
      <c r="W362" s="53" t="str">
        <f>IFERROR(VLOOKUP($A362,'The List'!$B1:$AS727,30,FALSE)," ")</f>
        <v xml:space="preserve"> </v>
      </c>
      <c r="X362" s="53" t="str">
        <f>IFERROR(VLOOKUP($A362,'The List'!$B1:$AS727,31,FALSE)," ")</f>
        <v xml:space="preserve"> </v>
      </c>
      <c r="Y362" s="53" t="str">
        <f>IFERROR(VLOOKUP($A362,'The List'!$B1:$AS727,32,FALSE)," ")</f>
        <v xml:space="preserve"> </v>
      </c>
      <c r="Z362" s="53" t="str">
        <f>IFERROR(VLOOKUP($A362,'The List'!$B1:$AS727,33,FALSE)," ")</f>
        <v xml:space="preserve"> </v>
      </c>
      <c r="AA362" s="55"/>
      <c r="AB362" s="60"/>
      <c r="AC362" s="60"/>
      <c r="AD362" s="60"/>
      <c r="AE362" s="60"/>
      <c r="AF362" s="60"/>
    </row>
    <row r="363" spans="1:32" ht="21.25" customHeight="1" x14ac:dyDescent="0.15">
      <c r="A363" s="23"/>
      <c r="B363" s="68" t="str">
        <f>IFERROR(VLOOKUP($A363,'The List'!$B1:$AS727,3,FALSE)," ")</f>
        <v xml:space="preserve"> </v>
      </c>
      <c r="C363" s="70" t="str">
        <f>IFERROR(VLOOKUP($A363,'The List'!$B1:$AS727,4,FALSE)," ")</f>
        <v xml:space="preserve"> </v>
      </c>
      <c r="D363" s="35" t="str">
        <f>IFERROR(VLOOKUP($A363,'The List'!$B1:$AS727,5,FALSE)," ")</f>
        <v xml:space="preserve"> </v>
      </c>
      <c r="E363" s="35" t="str">
        <f>IFERROR(VLOOKUP($A363,'The List'!$B1:$AS727,6,FALSE)," ")</f>
        <v xml:space="preserve"> </v>
      </c>
      <c r="F363" s="52" t="str">
        <f>IFERROR(VLOOKUP($A363,'The List'!$B1:$AS727,8,FALSE)," ")</f>
        <v xml:space="preserve"> </v>
      </c>
      <c r="G363" s="52" t="str">
        <f>IFERROR(VLOOKUP($A363,'The List'!$B1:$AS727,10,FALSE)," ")</f>
        <v xml:space="preserve"> </v>
      </c>
      <c r="H363" s="39"/>
      <c r="I363" s="53" t="str">
        <f>IFERROR(VLOOKUP($A363,'The List'!$B1:$AS727,16,FALSE)," ")</f>
        <v xml:space="preserve"> </v>
      </c>
      <c r="J363" s="53" t="str">
        <f>IFERROR(VLOOKUP($A363,'The List'!$B1:$AS727,17,FALSE)," ")</f>
        <v xml:space="preserve"> </v>
      </c>
      <c r="K363" s="53" t="str">
        <f>IFERROR(VLOOKUP($A363,'The List'!$B1:$AS727,18,FALSE)," ")</f>
        <v xml:space="preserve"> </v>
      </c>
      <c r="L363" s="53" t="str">
        <f>IFERROR(VLOOKUP($A363,'The List'!$B1:$AS727,19,FALSE)," ")</f>
        <v xml:space="preserve"> </v>
      </c>
      <c r="M363" s="53" t="str">
        <f>IFERROR(VLOOKUP($A363,'The List'!$B1:$AS727,20,FALSE)," ")</f>
        <v xml:space="preserve"> </v>
      </c>
      <c r="N363" s="53" t="str">
        <f>IFERROR(VLOOKUP($A363,'The List'!$B1:$AS727,21,FALSE)," ")</f>
        <v xml:space="preserve"> </v>
      </c>
      <c r="O363" s="53" t="str">
        <f>IFERROR(VLOOKUP($A363,'The List'!$B1:$AS727,22,FALSE)," ")</f>
        <v xml:space="preserve"> </v>
      </c>
      <c r="P363" s="53" t="str">
        <f>IFERROR(VLOOKUP($A363,'The List'!$B1:$AS727,23,FALSE)," ")</f>
        <v xml:space="preserve"> </v>
      </c>
      <c r="Q363" s="53" t="str">
        <f>IFERROR(VLOOKUP($A363,'The List'!$B1:$AS727,24,FALSE)," ")</f>
        <v xml:space="preserve"> </v>
      </c>
      <c r="R363" s="53" t="str">
        <f>IFERROR(VLOOKUP($A363,'The List'!$B1:$AS727,25,FALSE)," ")</f>
        <v xml:space="preserve"> </v>
      </c>
      <c r="S363" s="53" t="str">
        <f>IFERROR(VLOOKUP($A363,'The List'!$B1:$AS727,26,FALSE)," ")</f>
        <v xml:space="preserve"> </v>
      </c>
      <c r="T363" s="53" t="str">
        <f>IFERROR(VLOOKUP($A363,'The List'!$B1:$AS727,27,FALSE)," ")</f>
        <v xml:space="preserve"> </v>
      </c>
      <c r="U363" s="53" t="str">
        <f>IFERROR(VLOOKUP($A363,'The List'!$B1:$AS727,28,FALSE)," ")</f>
        <v xml:space="preserve"> </v>
      </c>
      <c r="V363" s="53" t="str">
        <f>IFERROR(VLOOKUP($A363,'The List'!$B1:$AS727,29,FALSE)," ")</f>
        <v xml:space="preserve"> </v>
      </c>
      <c r="W363" s="53" t="str">
        <f>IFERROR(VLOOKUP($A363,'The List'!$B1:$AS727,30,FALSE)," ")</f>
        <v xml:space="preserve"> </v>
      </c>
      <c r="X363" s="53" t="str">
        <f>IFERROR(VLOOKUP($A363,'The List'!$B1:$AS727,31,FALSE)," ")</f>
        <v xml:space="preserve"> </v>
      </c>
      <c r="Y363" s="53" t="str">
        <f>IFERROR(VLOOKUP($A363,'The List'!$B1:$AS727,32,FALSE)," ")</f>
        <v xml:space="preserve"> </v>
      </c>
      <c r="Z363" s="53" t="str">
        <f>IFERROR(VLOOKUP($A363,'The List'!$B1:$AS727,33,FALSE)," ")</f>
        <v xml:space="preserve"> </v>
      </c>
      <c r="AA363" s="55"/>
      <c r="AB363" s="60"/>
      <c r="AC363" s="60"/>
      <c r="AD363" s="60"/>
      <c r="AE363" s="60"/>
      <c r="AF363" s="60"/>
    </row>
    <row r="364" spans="1:32" ht="21.25" customHeight="1" x14ac:dyDescent="0.15">
      <c r="A364" s="23"/>
      <c r="B364" s="68" t="str">
        <f>IFERROR(VLOOKUP($A364,'The List'!$B1:$AS727,3,FALSE)," ")</f>
        <v xml:space="preserve"> </v>
      </c>
      <c r="C364" s="70" t="str">
        <f>IFERROR(VLOOKUP($A364,'The List'!$B1:$AS727,4,FALSE)," ")</f>
        <v xml:space="preserve"> </v>
      </c>
      <c r="D364" s="35" t="str">
        <f>IFERROR(VLOOKUP($A364,'The List'!$B1:$AS727,5,FALSE)," ")</f>
        <v xml:space="preserve"> </v>
      </c>
      <c r="E364" s="35" t="str">
        <f>IFERROR(VLOOKUP($A364,'The List'!$B1:$AS727,6,FALSE)," ")</f>
        <v xml:space="preserve"> </v>
      </c>
      <c r="F364" s="52" t="str">
        <f>IFERROR(VLOOKUP($A364,'The List'!$B1:$AS727,8,FALSE)," ")</f>
        <v xml:space="preserve"> </v>
      </c>
      <c r="G364" s="52" t="str">
        <f>IFERROR(VLOOKUP($A364,'The List'!$B1:$AS727,10,FALSE)," ")</f>
        <v xml:space="preserve"> </v>
      </c>
      <c r="H364" s="39"/>
      <c r="I364" s="53" t="str">
        <f>IFERROR(VLOOKUP($A364,'The List'!$B1:$AS727,16,FALSE)," ")</f>
        <v xml:space="preserve"> </v>
      </c>
      <c r="J364" s="53" t="str">
        <f>IFERROR(VLOOKUP($A364,'The List'!$B1:$AS727,17,FALSE)," ")</f>
        <v xml:space="preserve"> </v>
      </c>
      <c r="K364" s="53" t="str">
        <f>IFERROR(VLOOKUP($A364,'The List'!$B1:$AS727,18,FALSE)," ")</f>
        <v xml:space="preserve"> </v>
      </c>
      <c r="L364" s="53" t="str">
        <f>IFERROR(VLOOKUP($A364,'The List'!$B1:$AS727,19,FALSE)," ")</f>
        <v xml:space="preserve"> </v>
      </c>
      <c r="M364" s="53" t="str">
        <f>IFERROR(VLOOKUP($A364,'The List'!$B1:$AS727,20,FALSE)," ")</f>
        <v xml:space="preserve"> </v>
      </c>
      <c r="N364" s="53" t="str">
        <f>IFERROR(VLOOKUP($A364,'The List'!$B1:$AS727,21,FALSE)," ")</f>
        <v xml:space="preserve"> </v>
      </c>
      <c r="O364" s="53" t="str">
        <f>IFERROR(VLOOKUP($A364,'The List'!$B1:$AS727,22,FALSE)," ")</f>
        <v xml:space="preserve"> </v>
      </c>
      <c r="P364" s="53" t="str">
        <f>IFERROR(VLOOKUP($A364,'The List'!$B1:$AS727,23,FALSE)," ")</f>
        <v xml:space="preserve"> </v>
      </c>
      <c r="Q364" s="53" t="str">
        <f>IFERROR(VLOOKUP($A364,'The List'!$B1:$AS727,24,FALSE)," ")</f>
        <v xml:space="preserve"> </v>
      </c>
      <c r="R364" s="53" t="str">
        <f>IFERROR(VLOOKUP($A364,'The List'!$B1:$AS727,25,FALSE)," ")</f>
        <v xml:space="preserve"> </v>
      </c>
      <c r="S364" s="53" t="str">
        <f>IFERROR(VLOOKUP($A364,'The List'!$B1:$AS727,26,FALSE)," ")</f>
        <v xml:space="preserve"> </v>
      </c>
      <c r="T364" s="53" t="str">
        <f>IFERROR(VLOOKUP($A364,'The List'!$B1:$AS727,27,FALSE)," ")</f>
        <v xml:space="preserve"> </v>
      </c>
      <c r="U364" s="53" t="str">
        <f>IFERROR(VLOOKUP($A364,'The List'!$B1:$AS727,28,FALSE)," ")</f>
        <v xml:space="preserve"> </v>
      </c>
      <c r="V364" s="53" t="str">
        <f>IFERROR(VLOOKUP($A364,'The List'!$B1:$AS727,29,FALSE)," ")</f>
        <v xml:space="preserve"> </v>
      </c>
      <c r="W364" s="53" t="str">
        <f>IFERROR(VLOOKUP($A364,'The List'!$B1:$AS727,30,FALSE)," ")</f>
        <v xml:space="preserve"> </v>
      </c>
      <c r="X364" s="53" t="str">
        <f>IFERROR(VLOOKUP($A364,'The List'!$B1:$AS727,31,FALSE)," ")</f>
        <v xml:space="preserve"> </v>
      </c>
      <c r="Y364" s="53" t="str">
        <f>IFERROR(VLOOKUP($A364,'The List'!$B1:$AS727,32,FALSE)," ")</f>
        <v xml:space="preserve"> </v>
      </c>
      <c r="Z364" s="53" t="str">
        <f>IFERROR(VLOOKUP($A364,'The List'!$B1:$AS727,33,FALSE)," ")</f>
        <v xml:space="preserve"> </v>
      </c>
      <c r="AA364" s="55"/>
      <c r="AB364" s="60"/>
      <c r="AC364" s="60"/>
      <c r="AD364" s="60"/>
      <c r="AE364" s="60"/>
      <c r="AF364" s="60"/>
    </row>
    <row r="365" spans="1:32" ht="21.25" customHeight="1" x14ac:dyDescent="0.15">
      <c r="A365" s="23"/>
      <c r="B365" s="68" t="str">
        <f>IFERROR(VLOOKUP($A365,'The List'!$B1:$AS727,3,FALSE)," ")</f>
        <v xml:space="preserve"> </v>
      </c>
      <c r="C365" s="70" t="str">
        <f>IFERROR(VLOOKUP($A365,'The List'!$B1:$AS727,4,FALSE)," ")</f>
        <v xml:space="preserve"> </v>
      </c>
      <c r="D365" s="35" t="str">
        <f>IFERROR(VLOOKUP($A365,'The List'!$B1:$AS727,5,FALSE)," ")</f>
        <v xml:space="preserve"> </v>
      </c>
      <c r="E365" s="35" t="str">
        <f>IFERROR(VLOOKUP($A365,'The List'!$B1:$AS727,6,FALSE)," ")</f>
        <v xml:space="preserve"> </v>
      </c>
      <c r="F365" s="52" t="str">
        <f>IFERROR(VLOOKUP($A365,'The List'!$B1:$AS727,8,FALSE)," ")</f>
        <v xml:space="preserve"> </v>
      </c>
      <c r="G365" s="52" t="str">
        <f>IFERROR(VLOOKUP($A365,'The List'!$B1:$AS727,10,FALSE)," ")</f>
        <v xml:space="preserve"> </v>
      </c>
      <c r="H365" s="39"/>
      <c r="I365" s="53" t="str">
        <f>IFERROR(VLOOKUP($A365,'The List'!$B1:$AS727,16,FALSE)," ")</f>
        <v xml:space="preserve"> </v>
      </c>
      <c r="J365" s="53" t="str">
        <f>IFERROR(VLOOKUP($A365,'The List'!$B1:$AS727,17,FALSE)," ")</f>
        <v xml:space="preserve"> </v>
      </c>
      <c r="K365" s="53" t="str">
        <f>IFERROR(VLOOKUP($A365,'The List'!$B1:$AS727,18,FALSE)," ")</f>
        <v xml:space="preserve"> </v>
      </c>
      <c r="L365" s="53" t="str">
        <f>IFERROR(VLOOKUP($A365,'The List'!$B1:$AS727,19,FALSE)," ")</f>
        <v xml:space="preserve"> </v>
      </c>
      <c r="M365" s="53" t="str">
        <f>IFERROR(VLOOKUP($A365,'The List'!$B1:$AS727,20,FALSE)," ")</f>
        <v xml:space="preserve"> </v>
      </c>
      <c r="N365" s="53" t="str">
        <f>IFERROR(VLOOKUP($A365,'The List'!$B1:$AS727,21,FALSE)," ")</f>
        <v xml:space="preserve"> </v>
      </c>
      <c r="O365" s="53" t="str">
        <f>IFERROR(VLOOKUP($A365,'The List'!$B1:$AS727,22,FALSE)," ")</f>
        <v xml:space="preserve"> </v>
      </c>
      <c r="P365" s="53" t="str">
        <f>IFERROR(VLOOKUP($A365,'The List'!$B1:$AS727,23,FALSE)," ")</f>
        <v xml:space="preserve"> </v>
      </c>
      <c r="Q365" s="53" t="str">
        <f>IFERROR(VLOOKUP($A365,'The List'!$B1:$AS727,24,FALSE)," ")</f>
        <v xml:space="preserve"> </v>
      </c>
      <c r="R365" s="53" t="str">
        <f>IFERROR(VLOOKUP($A365,'The List'!$B1:$AS727,25,FALSE)," ")</f>
        <v xml:space="preserve"> </v>
      </c>
      <c r="S365" s="53" t="str">
        <f>IFERROR(VLOOKUP($A365,'The List'!$B1:$AS727,26,FALSE)," ")</f>
        <v xml:space="preserve"> </v>
      </c>
      <c r="T365" s="53" t="str">
        <f>IFERROR(VLOOKUP($A365,'The List'!$B1:$AS727,27,FALSE)," ")</f>
        <v xml:space="preserve"> </v>
      </c>
      <c r="U365" s="53" t="str">
        <f>IFERROR(VLOOKUP($A365,'The List'!$B1:$AS727,28,FALSE)," ")</f>
        <v xml:space="preserve"> </v>
      </c>
      <c r="V365" s="53" t="str">
        <f>IFERROR(VLOOKUP($A365,'The List'!$B1:$AS727,29,FALSE)," ")</f>
        <v xml:space="preserve"> </v>
      </c>
      <c r="W365" s="53" t="str">
        <f>IFERROR(VLOOKUP($A365,'The List'!$B1:$AS727,30,FALSE)," ")</f>
        <v xml:space="preserve"> </v>
      </c>
      <c r="X365" s="53" t="str">
        <f>IFERROR(VLOOKUP($A365,'The List'!$B1:$AS727,31,FALSE)," ")</f>
        <v xml:space="preserve"> </v>
      </c>
      <c r="Y365" s="53" t="str">
        <f>IFERROR(VLOOKUP($A365,'The List'!$B1:$AS727,32,FALSE)," ")</f>
        <v xml:space="preserve"> </v>
      </c>
      <c r="Z365" s="53" t="str">
        <f>IFERROR(VLOOKUP($A365,'The List'!$B1:$AS727,33,FALSE)," ")</f>
        <v xml:space="preserve"> </v>
      </c>
      <c r="AA365" s="55"/>
      <c r="AB365" s="60"/>
      <c r="AC365" s="60"/>
      <c r="AD365" s="60"/>
      <c r="AE365" s="60"/>
      <c r="AF365" s="60"/>
    </row>
    <row r="366" spans="1:32" ht="21.25" customHeight="1" x14ac:dyDescent="0.15">
      <c r="A366" s="23"/>
      <c r="B366" s="68" t="str">
        <f>IFERROR(VLOOKUP($A366,'The List'!$B1:$AS727,3,FALSE)," ")</f>
        <v xml:space="preserve"> </v>
      </c>
      <c r="C366" s="70" t="str">
        <f>IFERROR(VLOOKUP($A366,'The List'!$B1:$AS727,4,FALSE)," ")</f>
        <v xml:space="preserve"> </v>
      </c>
      <c r="D366" s="35" t="str">
        <f>IFERROR(VLOOKUP($A366,'The List'!$B1:$AS727,5,FALSE)," ")</f>
        <v xml:space="preserve"> </v>
      </c>
      <c r="E366" s="35" t="str">
        <f>IFERROR(VLOOKUP($A366,'The List'!$B1:$AS727,6,FALSE)," ")</f>
        <v xml:space="preserve"> </v>
      </c>
      <c r="F366" s="52" t="str">
        <f>IFERROR(VLOOKUP($A366,'The List'!$B1:$AS727,8,FALSE)," ")</f>
        <v xml:space="preserve"> </v>
      </c>
      <c r="G366" s="52" t="str">
        <f>IFERROR(VLOOKUP($A366,'The List'!$B1:$AS727,10,FALSE)," ")</f>
        <v xml:space="preserve"> </v>
      </c>
      <c r="H366" s="39"/>
      <c r="I366" s="53" t="str">
        <f>IFERROR(VLOOKUP($A366,'The List'!$B1:$AS727,16,FALSE)," ")</f>
        <v xml:space="preserve"> </v>
      </c>
      <c r="J366" s="53" t="str">
        <f>IFERROR(VLOOKUP($A366,'The List'!$B1:$AS727,17,FALSE)," ")</f>
        <v xml:space="preserve"> </v>
      </c>
      <c r="K366" s="53" t="str">
        <f>IFERROR(VLOOKUP($A366,'The List'!$B1:$AS727,18,FALSE)," ")</f>
        <v xml:space="preserve"> </v>
      </c>
      <c r="L366" s="53" t="str">
        <f>IFERROR(VLOOKUP($A366,'The List'!$B1:$AS727,19,FALSE)," ")</f>
        <v xml:space="preserve"> </v>
      </c>
      <c r="M366" s="53" t="str">
        <f>IFERROR(VLOOKUP($A366,'The List'!$B1:$AS727,20,FALSE)," ")</f>
        <v xml:space="preserve"> </v>
      </c>
      <c r="N366" s="53" t="str">
        <f>IFERROR(VLOOKUP($A366,'The List'!$B1:$AS727,21,FALSE)," ")</f>
        <v xml:space="preserve"> </v>
      </c>
      <c r="O366" s="53" t="str">
        <f>IFERROR(VLOOKUP($A366,'The List'!$B1:$AS727,22,FALSE)," ")</f>
        <v xml:space="preserve"> </v>
      </c>
      <c r="P366" s="53" t="str">
        <f>IFERROR(VLOOKUP($A366,'The List'!$B1:$AS727,23,FALSE)," ")</f>
        <v xml:space="preserve"> </v>
      </c>
      <c r="Q366" s="53" t="str">
        <f>IFERROR(VLOOKUP($A366,'The List'!$B1:$AS727,24,FALSE)," ")</f>
        <v xml:space="preserve"> </v>
      </c>
      <c r="R366" s="53" t="str">
        <f>IFERROR(VLOOKUP($A366,'The List'!$B1:$AS727,25,FALSE)," ")</f>
        <v xml:space="preserve"> </v>
      </c>
      <c r="S366" s="53" t="str">
        <f>IFERROR(VLOOKUP($A366,'The List'!$B1:$AS727,26,FALSE)," ")</f>
        <v xml:space="preserve"> </v>
      </c>
      <c r="T366" s="53" t="str">
        <f>IFERROR(VLOOKUP($A366,'The List'!$B1:$AS727,27,FALSE)," ")</f>
        <v xml:space="preserve"> </v>
      </c>
      <c r="U366" s="53" t="str">
        <f>IFERROR(VLOOKUP($A366,'The List'!$B1:$AS727,28,FALSE)," ")</f>
        <v xml:space="preserve"> </v>
      </c>
      <c r="V366" s="53" t="str">
        <f>IFERROR(VLOOKUP($A366,'The List'!$B1:$AS727,29,FALSE)," ")</f>
        <v xml:space="preserve"> </v>
      </c>
      <c r="W366" s="53" t="str">
        <f>IFERROR(VLOOKUP($A366,'The List'!$B1:$AS727,30,FALSE)," ")</f>
        <v xml:space="preserve"> </v>
      </c>
      <c r="X366" s="53" t="str">
        <f>IFERROR(VLOOKUP($A366,'The List'!$B1:$AS727,31,FALSE)," ")</f>
        <v xml:space="preserve"> </v>
      </c>
      <c r="Y366" s="53" t="str">
        <f>IFERROR(VLOOKUP($A366,'The List'!$B1:$AS727,32,FALSE)," ")</f>
        <v xml:space="preserve"> </v>
      </c>
      <c r="Z366" s="53" t="str">
        <f>IFERROR(VLOOKUP($A366,'The List'!$B1:$AS727,33,FALSE)," ")</f>
        <v xml:space="preserve"> </v>
      </c>
      <c r="AA366" s="55"/>
      <c r="AB366" s="60"/>
      <c r="AC366" s="60"/>
      <c r="AD366" s="60"/>
      <c r="AE366" s="60"/>
      <c r="AF366" s="60"/>
    </row>
    <row r="367" spans="1:32" ht="21.25" customHeight="1" x14ac:dyDescent="0.15">
      <c r="A367" s="23"/>
      <c r="B367" s="68" t="str">
        <f>IFERROR(VLOOKUP($A367,'The List'!$B1:$AS727,3,FALSE)," ")</f>
        <v xml:space="preserve"> </v>
      </c>
      <c r="C367" s="70" t="str">
        <f>IFERROR(VLOOKUP($A367,'The List'!$B1:$AS727,4,FALSE)," ")</f>
        <v xml:space="preserve"> </v>
      </c>
      <c r="D367" s="35" t="str">
        <f>IFERROR(VLOOKUP($A367,'The List'!$B1:$AS727,5,FALSE)," ")</f>
        <v xml:space="preserve"> </v>
      </c>
      <c r="E367" s="35" t="str">
        <f>IFERROR(VLOOKUP($A367,'The List'!$B1:$AS727,6,FALSE)," ")</f>
        <v xml:space="preserve"> </v>
      </c>
      <c r="F367" s="52" t="str">
        <f>IFERROR(VLOOKUP($A367,'The List'!$B1:$AS727,8,FALSE)," ")</f>
        <v xml:space="preserve"> </v>
      </c>
      <c r="G367" s="52" t="str">
        <f>IFERROR(VLOOKUP($A367,'The List'!$B1:$AS727,10,FALSE)," ")</f>
        <v xml:space="preserve"> </v>
      </c>
      <c r="H367" s="39"/>
      <c r="I367" s="53" t="str">
        <f>IFERROR(VLOOKUP($A367,'The List'!$B1:$AS727,16,FALSE)," ")</f>
        <v xml:space="preserve"> </v>
      </c>
      <c r="J367" s="53" t="str">
        <f>IFERROR(VLOOKUP($A367,'The List'!$B1:$AS727,17,FALSE)," ")</f>
        <v xml:space="preserve"> </v>
      </c>
      <c r="K367" s="53" t="str">
        <f>IFERROR(VLOOKUP($A367,'The List'!$B1:$AS727,18,FALSE)," ")</f>
        <v xml:space="preserve"> </v>
      </c>
      <c r="L367" s="53" t="str">
        <f>IFERROR(VLOOKUP($A367,'The List'!$B1:$AS727,19,FALSE)," ")</f>
        <v xml:space="preserve"> </v>
      </c>
      <c r="M367" s="53" t="str">
        <f>IFERROR(VLOOKUP($A367,'The List'!$B1:$AS727,20,FALSE)," ")</f>
        <v xml:space="preserve"> </v>
      </c>
      <c r="N367" s="53" t="str">
        <f>IFERROR(VLOOKUP($A367,'The List'!$B1:$AS727,21,FALSE)," ")</f>
        <v xml:space="preserve"> </v>
      </c>
      <c r="O367" s="53" t="str">
        <f>IFERROR(VLOOKUP($A367,'The List'!$B1:$AS727,22,FALSE)," ")</f>
        <v xml:space="preserve"> </v>
      </c>
      <c r="P367" s="53" t="str">
        <f>IFERROR(VLOOKUP($A367,'The List'!$B1:$AS727,23,FALSE)," ")</f>
        <v xml:space="preserve"> </v>
      </c>
      <c r="Q367" s="53" t="str">
        <f>IFERROR(VLOOKUP($A367,'The List'!$B1:$AS727,24,FALSE)," ")</f>
        <v xml:space="preserve"> </v>
      </c>
      <c r="R367" s="53" t="str">
        <f>IFERROR(VLOOKUP($A367,'The List'!$B1:$AS727,25,FALSE)," ")</f>
        <v xml:space="preserve"> </v>
      </c>
      <c r="S367" s="53" t="str">
        <f>IFERROR(VLOOKUP($A367,'The List'!$B1:$AS727,26,FALSE)," ")</f>
        <v xml:space="preserve"> </v>
      </c>
      <c r="T367" s="53" t="str">
        <f>IFERROR(VLOOKUP($A367,'The List'!$B1:$AS727,27,FALSE)," ")</f>
        <v xml:space="preserve"> </v>
      </c>
      <c r="U367" s="53" t="str">
        <f>IFERROR(VLOOKUP($A367,'The List'!$B1:$AS727,28,FALSE)," ")</f>
        <v xml:space="preserve"> </v>
      </c>
      <c r="V367" s="53" t="str">
        <f>IFERROR(VLOOKUP($A367,'The List'!$B1:$AS727,29,FALSE)," ")</f>
        <v xml:space="preserve"> </v>
      </c>
      <c r="W367" s="53" t="str">
        <f>IFERROR(VLOOKUP($A367,'The List'!$B1:$AS727,30,FALSE)," ")</f>
        <v xml:space="preserve"> </v>
      </c>
      <c r="X367" s="53" t="str">
        <f>IFERROR(VLOOKUP($A367,'The List'!$B1:$AS727,31,FALSE)," ")</f>
        <v xml:space="preserve"> </v>
      </c>
      <c r="Y367" s="53" t="str">
        <f>IFERROR(VLOOKUP($A367,'The List'!$B1:$AS727,32,FALSE)," ")</f>
        <v xml:space="preserve"> </v>
      </c>
      <c r="Z367" s="53" t="str">
        <f>IFERROR(VLOOKUP($A367,'The List'!$B1:$AS727,33,FALSE)," ")</f>
        <v xml:space="preserve"> </v>
      </c>
      <c r="AA367" s="55"/>
      <c r="AB367" s="60"/>
      <c r="AC367" s="60"/>
      <c r="AD367" s="60"/>
      <c r="AE367" s="60"/>
      <c r="AF367" s="60"/>
    </row>
    <row r="368" spans="1:32" ht="21.25" customHeight="1" x14ac:dyDescent="0.15">
      <c r="A368" s="23"/>
      <c r="B368" s="68" t="str">
        <f>IFERROR(VLOOKUP($A368,'The List'!$B1:$AS727,3,FALSE)," ")</f>
        <v xml:space="preserve"> </v>
      </c>
      <c r="C368" s="70" t="str">
        <f>IFERROR(VLOOKUP($A368,'The List'!$B1:$AS727,4,FALSE)," ")</f>
        <v xml:space="preserve"> </v>
      </c>
      <c r="D368" s="35" t="str">
        <f>IFERROR(VLOOKUP($A368,'The List'!$B1:$AS727,5,FALSE)," ")</f>
        <v xml:space="preserve"> </v>
      </c>
      <c r="E368" s="35" t="str">
        <f>IFERROR(VLOOKUP($A368,'The List'!$B1:$AS727,6,FALSE)," ")</f>
        <v xml:space="preserve"> </v>
      </c>
      <c r="F368" s="52" t="str">
        <f>IFERROR(VLOOKUP($A368,'The List'!$B1:$AS727,8,FALSE)," ")</f>
        <v xml:space="preserve"> </v>
      </c>
      <c r="G368" s="52" t="str">
        <f>IFERROR(VLOOKUP($A368,'The List'!$B1:$AS727,10,FALSE)," ")</f>
        <v xml:space="preserve"> </v>
      </c>
      <c r="H368" s="39"/>
      <c r="I368" s="53" t="str">
        <f>IFERROR(VLOOKUP($A368,'The List'!$B1:$AS727,16,FALSE)," ")</f>
        <v xml:space="preserve"> </v>
      </c>
      <c r="J368" s="53" t="str">
        <f>IFERROR(VLOOKUP($A368,'The List'!$B1:$AS727,17,FALSE)," ")</f>
        <v xml:space="preserve"> </v>
      </c>
      <c r="K368" s="53" t="str">
        <f>IFERROR(VLOOKUP($A368,'The List'!$B1:$AS727,18,FALSE)," ")</f>
        <v xml:space="preserve"> </v>
      </c>
      <c r="L368" s="53" t="str">
        <f>IFERROR(VLOOKUP($A368,'The List'!$B1:$AS727,19,FALSE)," ")</f>
        <v xml:space="preserve"> </v>
      </c>
      <c r="M368" s="53" t="str">
        <f>IFERROR(VLOOKUP($A368,'The List'!$B1:$AS727,20,FALSE)," ")</f>
        <v xml:space="preserve"> </v>
      </c>
      <c r="N368" s="53" t="str">
        <f>IFERROR(VLOOKUP($A368,'The List'!$B1:$AS727,21,FALSE)," ")</f>
        <v xml:space="preserve"> </v>
      </c>
      <c r="O368" s="53" t="str">
        <f>IFERROR(VLOOKUP($A368,'The List'!$B1:$AS727,22,FALSE)," ")</f>
        <v xml:space="preserve"> </v>
      </c>
      <c r="P368" s="53" t="str">
        <f>IFERROR(VLOOKUP($A368,'The List'!$B1:$AS727,23,FALSE)," ")</f>
        <v xml:space="preserve"> </v>
      </c>
      <c r="Q368" s="53" t="str">
        <f>IFERROR(VLOOKUP($A368,'The List'!$B1:$AS727,24,FALSE)," ")</f>
        <v xml:space="preserve"> </v>
      </c>
      <c r="R368" s="53" t="str">
        <f>IFERROR(VLOOKUP($A368,'The List'!$B1:$AS727,25,FALSE)," ")</f>
        <v xml:space="preserve"> </v>
      </c>
      <c r="S368" s="53" t="str">
        <f>IFERROR(VLOOKUP($A368,'The List'!$B1:$AS727,26,FALSE)," ")</f>
        <v xml:space="preserve"> </v>
      </c>
      <c r="T368" s="53" t="str">
        <f>IFERROR(VLOOKUP($A368,'The List'!$B1:$AS727,27,FALSE)," ")</f>
        <v xml:space="preserve"> </v>
      </c>
      <c r="U368" s="53" t="str">
        <f>IFERROR(VLOOKUP($A368,'The List'!$B1:$AS727,28,FALSE)," ")</f>
        <v xml:space="preserve"> </v>
      </c>
      <c r="V368" s="53" t="str">
        <f>IFERROR(VLOOKUP($A368,'The List'!$B1:$AS727,29,FALSE)," ")</f>
        <v xml:space="preserve"> </v>
      </c>
      <c r="W368" s="53" t="str">
        <f>IFERROR(VLOOKUP($A368,'The List'!$B1:$AS727,30,FALSE)," ")</f>
        <v xml:space="preserve"> </v>
      </c>
      <c r="X368" s="53" t="str">
        <f>IFERROR(VLOOKUP($A368,'The List'!$B1:$AS727,31,FALSE)," ")</f>
        <v xml:space="preserve"> </v>
      </c>
      <c r="Y368" s="53" t="str">
        <f>IFERROR(VLOOKUP($A368,'The List'!$B1:$AS727,32,FALSE)," ")</f>
        <v xml:space="preserve"> </v>
      </c>
      <c r="Z368" s="53" t="str">
        <f>IFERROR(VLOOKUP($A368,'The List'!$B1:$AS727,33,FALSE)," ")</f>
        <v xml:space="preserve"> </v>
      </c>
      <c r="AA368" s="55"/>
      <c r="AB368" s="60"/>
      <c r="AC368" s="60"/>
      <c r="AD368" s="60"/>
      <c r="AE368" s="60"/>
      <c r="AF368" s="60"/>
    </row>
    <row r="369" spans="1:32" ht="21.25" customHeight="1" x14ac:dyDescent="0.15">
      <c r="A369" s="72"/>
      <c r="B369" s="73" t="str">
        <f>IFERROR(VLOOKUP($A369,'The List'!$B1:$AS727,3,FALSE)," ")</f>
        <v xml:space="preserve"> </v>
      </c>
      <c r="C369" s="74" t="str">
        <f>IFERROR(VLOOKUP($A369,'The List'!$B1:$AS727,4,FALSE)," ")</f>
        <v xml:space="preserve"> </v>
      </c>
      <c r="D369" s="75" t="str">
        <f>IFERROR(VLOOKUP($A369,'The List'!$B1:$AS727,5,FALSE)," ")</f>
        <v xml:space="preserve"> </v>
      </c>
      <c r="E369" s="75" t="str">
        <f>IFERROR(VLOOKUP($A369,'The List'!$B1:$AS727,6,FALSE)," ")</f>
        <v xml:space="preserve"> </v>
      </c>
      <c r="F369" s="76" t="str">
        <f>IFERROR(VLOOKUP($A369,'The List'!$B1:$AS727,8,FALSE)," ")</f>
        <v xml:space="preserve"> </v>
      </c>
      <c r="G369" s="76" t="str">
        <f>IFERROR(VLOOKUP($A369,'The List'!$B1:$AS727,10,FALSE)," ")</f>
        <v xml:space="preserve"> </v>
      </c>
      <c r="H369" s="77"/>
      <c r="I369" s="78" t="str">
        <f>IFERROR(VLOOKUP($A369,'The List'!$B1:$AS727,16,FALSE)," ")</f>
        <v xml:space="preserve"> </v>
      </c>
      <c r="J369" s="78" t="str">
        <f>IFERROR(VLOOKUP($A369,'The List'!$B1:$AS727,17,FALSE)," ")</f>
        <v xml:space="preserve"> </v>
      </c>
      <c r="K369" s="78" t="str">
        <f>IFERROR(VLOOKUP($A369,'The List'!$B1:$AS727,18,FALSE)," ")</f>
        <v xml:space="preserve"> </v>
      </c>
      <c r="L369" s="78" t="str">
        <f>IFERROR(VLOOKUP($A369,'The List'!$B1:$AS727,19,FALSE)," ")</f>
        <v xml:space="preserve"> </v>
      </c>
      <c r="M369" s="78" t="str">
        <f>IFERROR(VLOOKUP($A369,'The List'!$B1:$AS727,20,FALSE)," ")</f>
        <v xml:space="preserve"> </v>
      </c>
      <c r="N369" s="78" t="str">
        <f>IFERROR(VLOOKUP($A369,'The List'!$B1:$AS727,21,FALSE)," ")</f>
        <v xml:space="preserve"> </v>
      </c>
      <c r="O369" s="78" t="str">
        <f>IFERROR(VLOOKUP($A369,'The List'!$B1:$AS727,22,FALSE)," ")</f>
        <v xml:space="preserve"> </v>
      </c>
      <c r="P369" s="78" t="str">
        <f>IFERROR(VLOOKUP($A369,'The List'!$B1:$AS727,23,FALSE)," ")</f>
        <v xml:space="preserve"> </v>
      </c>
      <c r="Q369" s="78" t="str">
        <f>IFERROR(VLOOKUP($A369,'The List'!$B1:$AS727,24,FALSE)," ")</f>
        <v xml:space="preserve"> </v>
      </c>
      <c r="R369" s="78" t="str">
        <f>IFERROR(VLOOKUP($A369,'The List'!$B1:$AS727,25,FALSE)," ")</f>
        <v xml:space="preserve"> </v>
      </c>
      <c r="S369" s="78" t="str">
        <f>IFERROR(VLOOKUP($A369,'The List'!$B1:$AS727,26,FALSE)," ")</f>
        <v xml:space="preserve"> </v>
      </c>
      <c r="T369" s="78" t="str">
        <f>IFERROR(VLOOKUP($A369,'The List'!$B1:$AS727,27,FALSE)," ")</f>
        <v xml:space="preserve"> </v>
      </c>
      <c r="U369" s="78" t="str">
        <f>IFERROR(VLOOKUP($A369,'The List'!$B1:$AS727,28,FALSE)," ")</f>
        <v xml:space="preserve"> </v>
      </c>
      <c r="V369" s="78" t="str">
        <f>IFERROR(VLOOKUP($A369,'The List'!$B1:$AS727,29,FALSE)," ")</f>
        <v xml:space="preserve"> </v>
      </c>
      <c r="W369" s="78" t="str">
        <f>IFERROR(VLOOKUP($A369,'The List'!$B1:$AS727,30,FALSE)," ")</f>
        <v xml:space="preserve"> </v>
      </c>
      <c r="X369" s="78" t="str">
        <f>IFERROR(VLOOKUP($A369,'The List'!$B1:$AS727,31,FALSE)," ")</f>
        <v xml:space="preserve"> </v>
      </c>
      <c r="Y369" s="78" t="str">
        <f>IFERROR(VLOOKUP($A369,'The List'!$B1:$AS727,32,FALSE)," ")</f>
        <v xml:space="preserve"> </v>
      </c>
      <c r="Z369" s="78" t="str">
        <f>IFERROR(VLOOKUP($A369,'The List'!$B1:$AS727,33,FALSE)," ")</f>
        <v xml:space="preserve"> </v>
      </c>
      <c r="AA369" s="55"/>
      <c r="AB369" s="60"/>
      <c r="AC369" s="60"/>
      <c r="AD369" s="60"/>
      <c r="AE369" s="60"/>
      <c r="AF369" s="60"/>
    </row>
    <row r="370" spans="1:32" ht="21.25" customHeight="1" x14ac:dyDescent="0.15">
      <c r="A370" s="79"/>
      <c r="B370" s="80"/>
      <c r="C370" s="81"/>
      <c r="D370" s="82"/>
      <c r="E370" s="117" t="str">
        <f>IFERROR(AVERAGE(E350:E369)," ")</f>
        <v xml:space="preserve"> </v>
      </c>
      <c r="F370" s="84">
        <f>SUM(F350:F369)</f>
        <v>0</v>
      </c>
      <c r="G370" s="84">
        <f>SUM(G350:G369)</f>
        <v>0</v>
      </c>
      <c r="H370" s="85"/>
      <c r="I370" s="86">
        <f>SUM(I350:I369)</f>
        <v>0</v>
      </c>
      <c r="J370" s="85" t="e">
        <f>AVERAGE(J350:J369)</f>
        <v>#DIV/0!</v>
      </c>
      <c r="K370" s="86">
        <f t="shared" ref="K370:Y370" si="24">SUM(K350:K369)</f>
        <v>0</v>
      </c>
      <c r="L370" s="86">
        <f t="shared" si="24"/>
        <v>0</v>
      </c>
      <c r="M370" s="86">
        <f t="shared" si="24"/>
        <v>0</v>
      </c>
      <c r="N370" s="86">
        <f t="shared" si="24"/>
        <v>0</v>
      </c>
      <c r="O370" s="86">
        <f t="shared" si="24"/>
        <v>0</v>
      </c>
      <c r="P370" s="86">
        <f t="shared" si="24"/>
        <v>0</v>
      </c>
      <c r="Q370" s="86">
        <f t="shared" si="24"/>
        <v>0</v>
      </c>
      <c r="R370" s="86">
        <f t="shared" si="24"/>
        <v>0</v>
      </c>
      <c r="S370" s="86">
        <f t="shared" si="24"/>
        <v>0</v>
      </c>
      <c r="T370" s="86">
        <f t="shared" si="24"/>
        <v>0</v>
      </c>
      <c r="U370" s="86">
        <f t="shared" si="24"/>
        <v>0</v>
      </c>
      <c r="V370" s="86">
        <f t="shared" si="24"/>
        <v>0</v>
      </c>
      <c r="W370" s="86">
        <f t="shared" si="24"/>
        <v>0</v>
      </c>
      <c r="X370" s="86">
        <f t="shared" si="24"/>
        <v>0</v>
      </c>
      <c r="Y370" s="86">
        <f t="shared" si="24"/>
        <v>0</v>
      </c>
      <c r="Z370" s="87">
        <f>IFERROR(X370/(X370+Y370),0)</f>
        <v>0</v>
      </c>
      <c r="AA370" s="55"/>
      <c r="AB370" s="88"/>
      <c r="AC370" s="88"/>
      <c r="AD370" s="88"/>
      <c r="AE370" s="88"/>
      <c r="AF370" s="88"/>
    </row>
    <row r="371" spans="1:32" ht="21.25" customHeight="1" x14ac:dyDescent="0.15">
      <c r="A371" s="89"/>
      <c r="B371" s="90"/>
      <c r="C371" s="91"/>
      <c r="D371" s="11"/>
      <c r="E371" s="11"/>
      <c r="F371" s="92"/>
      <c r="G371" s="93"/>
      <c r="H371" s="94"/>
      <c r="I371" s="9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60"/>
      <c r="AC371" s="60"/>
      <c r="AD371" s="60"/>
      <c r="AE371" s="60"/>
      <c r="AF371" s="60"/>
    </row>
    <row r="372" spans="1:32" ht="21.25" customHeight="1" x14ac:dyDescent="0.15">
      <c r="A372" s="24" t="s">
        <v>66</v>
      </c>
      <c r="B372" s="174" t="s">
        <v>68</v>
      </c>
      <c r="C372" s="165"/>
      <c r="D372" s="96" t="s">
        <v>69</v>
      </c>
      <c r="E372" s="96" t="s">
        <v>70</v>
      </c>
      <c r="F372" s="97" t="s">
        <v>72</v>
      </c>
      <c r="G372" s="97" t="s">
        <v>74</v>
      </c>
      <c r="H372" s="98"/>
      <c r="I372" s="99" t="s">
        <v>79</v>
      </c>
      <c r="J372" s="99" t="s">
        <v>97</v>
      </c>
      <c r="K372" s="99" t="s">
        <v>98</v>
      </c>
      <c r="L372" s="99" t="s">
        <v>99</v>
      </c>
      <c r="M372" s="99" t="s">
        <v>100</v>
      </c>
      <c r="N372" s="99" t="s">
        <v>101</v>
      </c>
      <c r="O372" s="99" t="s">
        <v>102</v>
      </c>
      <c r="P372" s="99" t="s">
        <v>103</v>
      </c>
      <c r="Q372" s="99" t="s">
        <v>104</v>
      </c>
      <c r="R372" s="55"/>
      <c r="S372" s="55"/>
      <c r="T372" s="55"/>
      <c r="U372" s="174" t="s">
        <v>850</v>
      </c>
      <c r="V372" s="175"/>
      <c r="W372" s="175"/>
      <c r="X372" s="174" t="s">
        <v>851</v>
      </c>
      <c r="Y372" s="175"/>
      <c r="Z372" s="175"/>
      <c r="AA372" s="55"/>
      <c r="AB372" s="55"/>
      <c r="AC372" s="55"/>
      <c r="AD372" s="55"/>
      <c r="AE372" s="55"/>
      <c r="AF372" s="55"/>
    </row>
    <row r="373" spans="1:32" ht="21.25" customHeight="1" x14ac:dyDescent="0.15">
      <c r="A373" s="118"/>
      <c r="B373" s="101" t="str">
        <f>IFERROR(VLOOKUP($A373,'The List'!$B1:$AS727,3,FALSE)," ")</f>
        <v xml:space="preserve"> </v>
      </c>
      <c r="C373" s="119" t="str">
        <f>IFERROR(VLOOKUP($A373,'The List'!$B1:$AS727,4,FALSE)," ")</f>
        <v xml:space="preserve"> </v>
      </c>
      <c r="D373" s="103" t="str">
        <f>IFERROR(VLOOKUP($A373,'The List'!$B1:$AS727,5,FALSE)," ")</f>
        <v xml:space="preserve"> </v>
      </c>
      <c r="E373" s="103" t="str">
        <f>IFERROR(VLOOKUP($A373,'The List'!$B1:$AS727,6,FALSE)," ")</f>
        <v xml:space="preserve"> </v>
      </c>
      <c r="F373" s="120" t="str">
        <f>IFERROR(VLOOKUP($A373,'The List'!$B1:$AS727,8,FALSE)," ")</f>
        <v xml:space="preserve"> </v>
      </c>
      <c r="G373" s="120" t="str">
        <f>IFERROR(VLOOKUP($A373,'The List'!$B1:$AS727,10,FALSE)," ")</f>
        <v xml:space="preserve"> </v>
      </c>
      <c r="H373" s="106"/>
      <c r="I373" s="121" t="str">
        <f>IFERROR(VLOOKUP($A373,'The List'!$B1:$AS727,35,FALSE)," ")</f>
        <v xml:space="preserve"> </v>
      </c>
      <c r="J373" s="121" t="str">
        <f>IFERROR(VLOOKUP($A373,'The List'!$B1:$AS727,36,FALSE)," ")</f>
        <v xml:space="preserve"> </v>
      </c>
      <c r="K373" s="121" t="str">
        <f>IFERROR(VLOOKUP($A373,'The List'!$B1:$AS727,37,FALSE)," ")</f>
        <v xml:space="preserve"> </v>
      </c>
      <c r="L373" s="121" t="str">
        <f>IFERROR(VLOOKUP($A373,'The List'!$B1:$AS727,38,FALSE)," ")</f>
        <v xml:space="preserve"> </v>
      </c>
      <c r="M373" s="121" t="str">
        <f>IFERROR(VLOOKUP($A373,'The List'!$B1:$AS727,39,FALSE)," ")</f>
        <v xml:space="preserve"> </v>
      </c>
      <c r="N373" s="121" t="str">
        <f>IFERROR(VLOOKUP($A373,'The List'!$B1:$AS727,40,FALSE)," ")</f>
        <v xml:space="preserve"> </v>
      </c>
      <c r="O373" s="121" t="str">
        <f>IFERROR(VLOOKUP($A373,'The List'!$B1:$AS727,41,FALSE)," ")</f>
        <v xml:space="preserve"> </v>
      </c>
      <c r="P373" s="121" t="str">
        <f>IFERROR(VLOOKUP($A373,'The List'!$B1:$AS727,42,FALSE)," ")</f>
        <v xml:space="preserve"> </v>
      </c>
      <c r="Q373" s="121" t="str">
        <f>IFERROR(VLOOKUP($A373,'The List'!$B1:$AS727,43,FALSE)," ")</f>
        <v xml:space="preserve"> </v>
      </c>
      <c r="R373" s="55"/>
      <c r="S373" s="55"/>
      <c r="T373" s="110" t="str">
        <f>A349</f>
        <v>TEAM 13</v>
      </c>
      <c r="U373" s="176">
        <f>F370+F376</f>
        <v>0</v>
      </c>
      <c r="V373" s="165"/>
      <c r="W373" s="165"/>
      <c r="X373" s="176">
        <f>G376+G370</f>
        <v>0</v>
      </c>
      <c r="Y373" s="165"/>
      <c r="Z373" s="165"/>
      <c r="AA373" s="55"/>
      <c r="AB373" s="55"/>
      <c r="AC373" s="55"/>
      <c r="AD373" s="55"/>
      <c r="AE373" s="55"/>
      <c r="AF373" s="55"/>
    </row>
    <row r="374" spans="1:32" ht="21.25" customHeight="1" x14ac:dyDescent="0.15">
      <c r="A374" s="23"/>
      <c r="B374" s="111" t="str">
        <f>IFERROR(VLOOKUP($A374,'The List'!$B1:$AS727,3,FALSE)," ")</f>
        <v xml:space="preserve"> </v>
      </c>
      <c r="C374" s="112" t="str">
        <f>IFERROR(VLOOKUP($A374,'The List'!$B1:$AS727,4,FALSE)," ")</f>
        <v xml:space="preserve"> </v>
      </c>
      <c r="D374" s="35" t="str">
        <f>IFERROR(VLOOKUP($A374,'The List'!$B1:$AS727,5,FALSE)," ")</f>
        <v xml:space="preserve"> </v>
      </c>
      <c r="E374" s="35" t="str">
        <f>IFERROR(VLOOKUP($A374,'The List'!$B1:$AS727,6,FALSE)," ")</f>
        <v xml:space="preserve"> </v>
      </c>
      <c r="F374" s="52" t="str">
        <f>IFERROR(VLOOKUP($A374,'The List'!$B1:$AS727,8,FALSE)," ")</f>
        <v xml:space="preserve"> </v>
      </c>
      <c r="G374" s="52" t="str">
        <f>IFERROR(VLOOKUP($A374,'The List'!$B1:$AS727,10,FALSE)," ")</f>
        <v xml:space="preserve"> </v>
      </c>
      <c r="H374" s="39"/>
      <c r="I374" s="53" t="str">
        <f>IFERROR(VLOOKUP($A374,'The List'!$B1:$AS727,35,FALSE)," ")</f>
        <v xml:space="preserve"> </v>
      </c>
      <c r="J374" s="53" t="str">
        <f>IFERROR(VLOOKUP($A374,'The List'!$B1:$AS727,36,FALSE)," ")</f>
        <v xml:space="preserve"> </v>
      </c>
      <c r="K374" s="53" t="str">
        <f>IFERROR(VLOOKUP($A374,'The List'!$B1:$AS727,37,FALSE)," ")</f>
        <v xml:space="preserve"> </v>
      </c>
      <c r="L374" s="53" t="str">
        <f>IFERROR(VLOOKUP($A374,'The List'!$B1:$AS727,38,FALSE)," ")</f>
        <v xml:space="preserve"> </v>
      </c>
      <c r="M374" s="53" t="str">
        <f>IFERROR(VLOOKUP($A374,'The List'!$B1:$AS727,39,FALSE)," ")</f>
        <v xml:space="preserve"> </v>
      </c>
      <c r="N374" s="53" t="str">
        <f>IFERROR(VLOOKUP($A374,'The List'!$B1:$AS727,40,FALSE)," ")</f>
        <v xml:space="preserve"> </v>
      </c>
      <c r="O374" s="53" t="str">
        <f>IFERROR(VLOOKUP($A374,'The List'!$B1:$AS727,41,FALSE)," ")</f>
        <v xml:space="preserve"> </v>
      </c>
      <c r="P374" s="53" t="str">
        <f>IFERROR(VLOOKUP($A374,'The List'!$B1:$AS727,42,FALSE)," ")</f>
        <v xml:space="preserve"> </v>
      </c>
      <c r="Q374" s="53" t="str">
        <f>IFERROR(VLOOKUP($A374,'The List'!$B1:$AS727,43,FALSE)," ")</f>
        <v xml:space="preserve"> </v>
      </c>
      <c r="R374" s="55"/>
      <c r="S374" s="55"/>
      <c r="T374" s="55"/>
      <c r="U374" s="165"/>
      <c r="V374" s="165"/>
      <c r="W374" s="165"/>
      <c r="X374" s="165"/>
      <c r="Y374" s="165"/>
      <c r="Z374" s="165"/>
      <c r="AA374" s="55"/>
      <c r="AB374" s="55"/>
      <c r="AC374" s="55"/>
      <c r="AD374" s="55"/>
      <c r="AE374" s="55"/>
      <c r="AF374" s="55"/>
    </row>
    <row r="375" spans="1:32" ht="21.25" customHeight="1" x14ac:dyDescent="0.15">
      <c r="A375" s="72"/>
      <c r="B375" s="113" t="str">
        <f>IFERROR(VLOOKUP($A375,'The List'!$B1:$AS727,3,FALSE)," ")</f>
        <v xml:space="preserve"> </v>
      </c>
      <c r="C375" s="114" t="str">
        <f>IFERROR(VLOOKUP($A375,'The List'!$B1:$AS727,4,FALSE)," ")</f>
        <v xml:space="preserve"> </v>
      </c>
      <c r="D375" s="75" t="str">
        <f>IFERROR(VLOOKUP($A375,'The List'!$B1:$AS727,5,FALSE)," ")</f>
        <v xml:space="preserve"> </v>
      </c>
      <c r="E375" s="75" t="str">
        <f>IFERROR(VLOOKUP($A375,'The List'!$B1:$AS727,6,FALSE)," ")</f>
        <v xml:space="preserve"> </v>
      </c>
      <c r="F375" s="76" t="str">
        <f>IFERROR(VLOOKUP($A375,'The List'!$B1:$AS727,8,FALSE)," ")</f>
        <v xml:space="preserve"> </v>
      </c>
      <c r="G375" s="76" t="str">
        <f>IFERROR(VLOOKUP($A375,'The List'!$B1:$AS727,10,FALSE)," ")</f>
        <v xml:space="preserve"> </v>
      </c>
      <c r="H375" s="77"/>
      <c r="I375" s="78" t="str">
        <f>IFERROR(VLOOKUP($A375,'The List'!$B1:$AS727,35,FALSE)," ")</f>
        <v xml:space="preserve"> </v>
      </c>
      <c r="J375" s="78" t="str">
        <f>IFERROR(VLOOKUP($A375,'The List'!$B1:$AS727,36,FALSE)," ")</f>
        <v xml:space="preserve"> </v>
      </c>
      <c r="K375" s="78" t="str">
        <f>IFERROR(VLOOKUP($A375,'The List'!$B1:$AS727,37,FALSE)," ")</f>
        <v xml:space="preserve"> </v>
      </c>
      <c r="L375" s="78" t="str">
        <f>IFERROR(VLOOKUP($A375,'The List'!$B1:$AS727,38,FALSE)," ")</f>
        <v xml:space="preserve"> </v>
      </c>
      <c r="M375" s="78" t="str">
        <f>IFERROR(VLOOKUP($A375,'The List'!$B1:$AS727,39,FALSE)," ")</f>
        <v xml:space="preserve"> </v>
      </c>
      <c r="N375" s="78" t="str">
        <f>IFERROR(VLOOKUP($A375,'The List'!$B1:$AS727,40,FALSE)," ")</f>
        <v xml:space="preserve"> </v>
      </c>
      <c r="O375" s="78" t="str">
        <f>IFERROR(VLOOKUP($A375,'The List'!$B1:$AS727,41,FALSE)," ")</f>
        <v xml:space="preserve"> </v>
      </c>
      <c r="P375" s="78" t="str">
        <f>IFERROR(VLOOKUP($A375,'The List'!$B1:$AS727,42,FALSE)," ")</f>
        <v xml:space="preserve"> </v>
      </c>
      <c r="Q375" s="78" t="str">
        <f>IFERROR(VLOOKUP($A375,'The List'!$B1:$AS727,43,FALSE)," ")</f>
        <v xml:space="preserve"> </v>
      </c>
      <c r="R375" s="55"/>
      <c r="S375" s="55"/>
      <c r="T375" s="55"/>
      <c r="U375" s="165"/>
      <c r="V375" s="165"/>
      <c r="W375" s="165"/>
      <c r="X375" s="165"/>
      <c r="Y375" s="165"/>
      <c r="Z375" s="165"/>
      <c r="AA375" s="55"/>
      <c r="AB375" s="55"/>
      <c r="AC375" s="55"/>
      <c r="AD375" s="55"/>
      <c r="AE375" s="55"/>
      <c r="AF375" s="55"/>
    </row>
    <row r="376" spans="1:32" ht="21.25" customHeight="1" x14ac:dyDescent="0.15">
      <c r="A376" s="79"/>
      <c r="B376" s="80"/>
      <c r="C376" s="81"/>
      <c r="D376" s="82"/>
      <c r="E376" s="117" t="str">
        <f>IFERROR(AVERAGE(E373:E375)," ")</f>
        <v xml:space="preserve"> </v>
      </c>
      <c r="F376" s="84">
        <f>SUM(F373:F375)</f>
        <v>0</v>
      </c>
      <c r="G376" s="84">
        <f>SUM(G373:G375)</f>
        <v>0</v>
      </c>
      <c r="H376" s="85"/>
      <c r="I376" s="86">
        <f t="shared" ref="I376:O376" si="25">SUM(I373:I375)</f>
        <v>0</v>
      </c>
      <c r="J376" s="85">
        <f t="shared" si="25"/>
        <v>0</v>
      </c>
      <c r="K376" s="86">
        <f t="shared" si="25"/>
        <v>0</v>
      </c>
      <c r="L376" s="86">
        <f t="shared" si="25"/>
        <v>0</v>
      </c>
      <c r="M376" s="86">
        <f t="shared" si="25"/>
        <v>0</v>
      </c>
      <c r="N376" s="86">
        <f t="shared" si="25"/>
        <v>0</v>
      </c>
      <c r="O376" s="86">
        <f t="shared" si="25"/>
        <v>0</v>
      </c>
      <c r="P376" s="115" t="e">
        <f>1-(O376/(N376+O376))</f>
        <v>#DIV/0!</v>
      </c>
      <c r="Q376" s="116" t="e">
        <f>O376/I376</f>
        <v>#DIV/0!</v>
      </c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</row>
    <row r="377" spans="1:32" ht="70.75" customHeight="1" x14ac:dyDescent="0.15">
      <c r="A377" s="89"/>
      <c r="B377" s="90"/>
      <c r="C377" s="91"/>
      <c r="D377" s="11"/>
      <c r="E377" s="11"/>
      <c r="F377" s="92"/>
      <c r="G377" s="93"/>
      <c r="H377" s="94"/>
      <c r="I377" s="9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60"/>
      <c r="AB377" s="60"/>
      <c r="AC377" s="60"/>
      <c r="AD377" s="60"/>
      <c r="AE377" s="60"/>
      <c r="AF377" s="60"/>
    </row>
    <row r="378" spans="1:32" ht="21.25" customHeight="1" x14ac:dyDescent="0.15">
      <c r="A378" s="25" t="s">
        <v>847</v>
      </c>
      <c r="B378" s="173" t="s">
        <v>68</v>
      </c>
      <c r="C378" s="170"/>
      <c r="D378" s="26" t="s">
        <v>69</v>
      </c>
      <c r="E378" s="26" t="s">
        <v>70</v>
      </c>
      <c r="F378" s="27" t="s">
        <v>72</v>
      </c>
      <c r="G378" s="27" t="s">
        <v>74</v>
      </c>
      <c r="H378" s="28"/>
      <c r="I378" s="30" t="s">
        <v>79</v>
      </c>
      <c r="J378" s="30" t="s">
        <v>80</v>
      </c>
      <c r="K378" s="30" t="s">
        <v>81</v>
      </c>
      <c r="L378" s="30" t="s">
        <v>82</v>
      </c>
      <c r="M378" s="30" t="s">
        <v>83</v>
      </c>
      <c r="N378" s="30" t="s">
        <v>84</v>
      </c>
      <c r="O378" s="30" t="s">
        <v>85</v>
      </c>
      <c r="P378" s="30" t="s">
        <v>86</v>
      </c>
      <c r="Q378" s="30" t="s">
        <v>87</v>
      </c>
      <c r="R378" s="30" t="s">
        <v>88</v>
      </c>
      <c r="S378" s="30" t="s">
        <v>89</v>
      </c>
      <c r="T378" s="30" t="s">
        <v>90</v>
      </c>
      <c r="U378" s="30" t="s">
        <v>91</v>
      </c>
      <c r="V378" s="30" t="s">
        <v>92</v>
      </c>
      <c r="W378" s="30" t="s">
        <v>93</v>
      </c>
      <c r="X378" s="30" t="s">
        <v>94</v>
      </c>
      <c r="Y378" s="30" t="s">
        <v>95</v>
      </c>
      <c r="Z378" s="30" t="s">
        <v>96</v>
      </c>
      <c r="AA378" s="55"/>
      <c r="AB378" s="56"/>
      <c r="AC378" s="56"/>
      <c r="AD378" s="56"/>
      <c r="AE378" s="56"/>
      <c r="AF378" s="56"/>
    </row>
    <row r="379" spans="1:32" ht="21.25" customHeight="1" x14ac:dyDescent="0.15">
      <c r="A379" s="23"/>
      <c r="B379" s="57" t="str">
        <f>IFERROR(VLOOKUP($A379,'The List'!$B1:$AS727,3,FALSE)," ")</f>
        <v xml:space="preserve"> </v>
      </c>
      <c r="C379" s="61" t="str">
        <f>IFERROR(VLOOKUP($A379,'The List'!$B1:$AS727,4,FALSE)," ")</f>
        <v xml:space="preserve"> </v>
      </c>
      <c r="D379" s="35" t="str">
        <f>IFERROR(VLOOKUP($A379,'The List'!$B1:$AS727,5,FALSE)," ")</f>
        <v xml:space="preserve"> </v>
      </c>
      <c r="E379" s="35" t="str">
        <f>IFERROR(VLOOKUP($A379,'The List'!$B1:$AS727,6,FALSE)," ")</f>
        <v xml:space="preserve"> </v>
      </c>
      <c r="F379" s="52" t="str">
        <f>IFERROR(VLOOKUP($A379,'The List'!$B1:$AS727,8,FALSE)," ")</f>
        <v xml:space="preserve"> </v>
      </c>
      <c r="G379" s="52" t="str">
        <f>IFERROR(VLOOKUP($A379,'The List'!$B1:$AS727,10,FALSE)," ")</f>
        <v xml:space="preserve"> </v>
      </c>
      <c r="H379" s="39"/>
      <c r="I379" s="53" t="str">
        <f>IFERROR(VLOOKUP($A379,'The List'!$B1:$AS727,16,FALSE)," ")</f>
        <v xml:space="preserve"> </v>
      </c>
      <c r="J379" s="53" t="str">
        <f>IFERROR(VLOOKUP($A379,'The List'!$B1:$AS727,17,FALSE)," ")</f>
        <v xml:space="preserve"> </v>
      </c>
      <c r="K379" s="53" t="str">
        <f>IFERROR(VLOOKUP($A379,'The List'!$B1:$AS727,18,FALSE)," ")</f>
        <v xml:space="preserve"> </v>
      </c>
      <c r="L379" s="53" t="str">
        <f>IFERROR(VLOOKUP($A379,'The List'!$B1:$AS727,19,FALSE)," ")</f>
        <v xml:space="preserve"> </v>
      </c>
      <c r="M379" s="53" t="str">
        <f>IFERROR(VLOOKUP($A379,'The List'!$B1:$AS727,20,FALSE)," ")</f>
        <v xml:space="preserve"> </v>
      </c>
      <c r="N379" s="53" t="str">
        <f>IFERROR(VLOOKUP($A379,'The List'!$B1:$AS727,21,FALSE)," ")</f>
        <v xml:space="preserve"> </v>
      </c>
      <c r="O379" s="53" t="str">
        <f>IFERROR(VLOOKUP($A379,'The List'!$B1:$AS727,22,FALSE)," ")</f>
        <v xml:space="preserve"> </v>
      </c>
      <c r="P379" s="53" t="str">
        <f>IFERROR(VLOOKUP($A379,'The List'!$B1:$AS727,23,FALSE)," ")</f>
        <v xml:space="preserve"> </v>
      </c>
      <c r="Q379" s="53" t="str">
        <f>IFERROR(VLOOKUP($A379,'The List'!$B1:$AS727,24,FALSE)," ")</f>
        <v xml:space="preserve"> </v>
      </c>
      <c r="R379" s="53" t="str">
        <f>IFERROR(VLOOKUP($A379,'The List'!$B1:$AS727,25,FALSE)," ")</f>
        <v xml:space="preserve"> </v>
      </c>
      <c r="S379" s="53" t="str">
        <f>IFERROR(VLOOKUP($A379,'The List'!$B1:$AS727,26,FALSE)," ")</f>
        <v xml:space="preserve"> </v>
      </c>
      <c r="T379" s="53" t="str">
        <f>IFERROR(VLOOKUP($A379,'The List'!$B1:$AS727,27,FALSE)," ")</f>
        <v xml:space="preserve"> </v>
      </c>
      <c r="U379" s="53" t="str">
        <f>IFERROR(VLOOKUP($A379,'The List'!$B1:$AS727,28,FALSE)," ")</f>
        <v xml:space="preserve"> </v>
      </c>
      <c r="V379" s="53" t="str">
        <f>IFERROR(VLOOKUP($A379,'The List'!$B1:$AS727,29,FALSE)," ")</f>
        <v xml:space="preserve"> </v>
      </c>
      <c r="W379" s="53" t="str">
        <f>IFERROR(VLOOKUP($A379,'The List'!$B1:$AS727,30,FALSE)," ")</f>
        <v xml:space="preserve"> </v>
      </c>
      <c r="X379" s="53" t="str">
        <f>IFERROR(VLOOKUP($A379,'The List'!$B1:$AS727,31,FALSE)," ")</f>
        <v xml:space="preserve"> </v>
      </c>
      <c r="Y379" s="53" t="str">
        <f>IFERROR(VLOOKUP($A379,'The List'!$B1:$AS727,32,FALSE)," ")</f>
        <v xml:space="preserve"> </v>
      </c>
      <c r="Z379" s="53" t="str">
        <f>IFERROR(VLOOKUP($A379,'The List'!$B1:$AS727,33,FALSE)," ")</f>
        <v xml:space="preserve"> </v>
      </c>
      <c r="AA379" s="55"/>
      <c r="AB379" s="60"/>
      <c r="AC379" s="60"/>
      <c r="AD379" s="60"/>
      <c r="AE379" s="60"/>
      <c r="AF379" s="60"/>
    </row>
    <row r="380" spans="1:32" ht="21.25" customHeight="1" x14ac:dyDescent="0.15">
      <c r="A380" s="23"/>
      <c r="B380" s="57" t="str">
        <f>IFERROR(VLOOKUP($A380,'The List'!$B1:$AS727,3,FALSE)," ")</f>
        <v xml:space="preserve"> </v>
      </c>
      <c r="C380" s="61" t="str">
        <f>IFERROR(VLOOKUP($A380,'The List'!$B1:$AS727,4,FALSE)," ")</f>
        <v xml:space="preserve"> </v>
      </c>
      <c r="D380" s="35" t="str">
        <f>IFERROR(VLOOKUP($A380,'The List'!$B1:$AS727,5,FALSE)," ")</f>
        <v xml:space="preserve"> </v>
      </c>
      <c r="E380" s="35" t="str">
        <f>IFERROR(VLOOKUP($A380,'The List'!$B1:$AS727,6,FALSE)," ")</f>
        <v xml:space="preserve"> </v>
      </c>
      <c r="F380" s="52" t="str">
        <f>IFERROR(VLOOKUP($A380,'The List'!$B1:$AS727,8,FALSE)," ")</f>
        <v xml:space="preserve"> </v>
      </c>
      <c r="G380" s="52" t="str">
        <f>IFERROR(VLOOKUP($A380,'The List'!$B1:$AS727,10,FALSE)," ")</f>
        <v xml:space="preserve"> </v>
      </c>
      <c r="H380" s="39"/>
      <c r="I380" s="53" t="str">
        <f>IFERROR(VLOOKUP($A380,'The List'!$B1:$AS727,16,FALSE)," ")</f>
        <v xml:space="preserve"> </v>
      </c>
      <c r="J380" s="53" t="str">
        <f>IFERROR(VLOOKUP($A380,'The List'!$B1:$AS727,17,FALSE)," ")</f>
        <v xml:space="preserve"> </v>
      </c>
      <c r="K380" s="53" t="str">
        <f>IFERROR(VLOOKUP($A380,'The List'!$B1:$AS727,18,FALSE)," ")</f>
        <v xml:space="preserve"> </v>
      </c>
      <c r="L380" s="53" t="str">
        <f>IFERROR(VLOOKUP($A380,'The List'!$B1:$AS727,19,FALSE)," ")</f>
        <v xml:space="preserve"> </v>
      </c>
      <c r="M380" s="53" t="str">
        <f>IFERROR(VLOOKUP($A380,'The List'!$B1:$AS727,20,FALSE)," ")</f>
        <v xml:space="preserve"> </v>
      </c>
      <c r="N380" s="53" t="str">
        <f>IFERROR(VLOOKUP($A380,'The List'!$B1:$AS727,21,FALSE)," ")</f>
        <v xml:space="preserve"> </v>
      </c>
      <c r="O380" s="53" t="str">
        <f>IFERROR(VLOOKUP($A380,'The List'!$B1:$AS727,22,FALSE)," ")</f>
        <v xml:space="preserve"> </v>
      </c>
      <c r="P380" s="53" t="str">
        <f>IFERROR(VLOOKUP($A380,'The List'!$B1:$AS727,23,FALSE)," ")</f>
        <v xml:space="preserve"> </v>
      </c>
      <c r="Q380" s="53" t="str">
        <f>IFERROR(VLOOKUP($A380,'The List'!$B1:$AS727,24,FALSE)," ")</f>
        <v xml:space="preserve"> </v>
      </c>
      <c r="R380" s="53" t="str">
        <f>IFERROR(VLOOKUP($A380,'The List'!$B1:$AS727,25,FALSE)," ")</f>
        <v xml:space="preserve"> </v>
      </c>
      <c r="S380" s="53" t="str">
        <f>IFERROR(VLOOKUP($A380,'The List'!$B1:$AS727,26,FALSE)," ")</f>
        <v xml:space="preserve"> </v>
      </c>
      <c r="T380" s="53" t="str">
        <f>IFERROR(VLOOKUP($A380,'The List'!$B1:$AS727,27,FALSE)," ")</f>
        <v xml:space="preserve"> </v>
      </c>
      <c r="U380" s="53" t="str">
        <f>IFERROR(VLOOKUP($A380,'The List'!$B1:$AS727,28,FALSE)," ")</f>
        <v xml:space="preserve"> </v>
      </c>
      <c r="V380" s="53" t="str">
        <f>IFERROR(VLOOKUP($A380,'The List'!$B1:$AS727,29,FALSE)," ")</f>
        <v xml:space="preserve"> </v>
      </c>
      <c r="W380" s="53" t="str">
        <f>IFERROR(VLOOKUP($A380,'The List'!$B1:$AS727,30,FALSE)," ")</f>
        <v xml:space="preserve"> </v>
      </c>
      <c r="X380" s="53" t="str">
        <f>IFERROR(VLOOKUP($A380,'The List'!$B1:$AS727,31,FALSE)," ")</f>
        <v xml:space="preserve"> </v>
      </c>
      <c r="Y380" s="53" t="str">
        <f>IFERROR(VLOOKUP($A380,'The List'!$B1:$AS727,32,FALSE)," ")</f>
        <v xml:space="preserve"> </v>
      </c>
      <c r="Z380" s="53" t="str">
        <f>IFERROR(VLOOKUP($A380,'The List'!$B1:$AS727,33,FALSE)," ")</f>
        <v xml:space="preserve"> </v>
      </c>
      <c r="AA380" s="55"/>
      <c r="AB380" s="60"/>
      <c r="AC380" s="60"/>
      <c r="AD380" s="60"/>
      <c r="AE380" s="60"/>
      <c r="AF380" s="60"/>
    </row>
    <row r="381" spans="1:32" ht="21.25" customHeight="1" x14ac:dyDescent="0.15">
      <c r="A381" s="23"/>
      <c r="B381" s="57" t="str">
        <f>IFERROR(VLOOKUP($A381,'The List'!$B1:$AS727,3,FALSE)," ")</f>
        <v xml:space="preserve"> </v>
      </c>
      <c r="C381" s="61" t="str">
        <f>IFERROR(VLOOKUP($A381,'The List'!$B1:$AS727,4,FALSE)," ")</f>
        <v xml:space="preserve"> </v>
      </c>
      <c r="D381" s="35" t="str">
        <f>IFERROR(VLOOKUP($A381,'The List'!$B1:$AS727,5,FALSE)," ")</f>
        <v xml:space="preserve"> </v>
      </c>
      <c r="E381" s="35" t="str">
        <f>IFERROR(VLOOKUP($A381,'The List'!$B1:$AS727,6,FALSE)," ")</f>
        <v xml:space="preserve"> </v>
      </c>
      <c r="F381" s="52" t="str">
        <f>IFERROR(VLOOKUP($A381,'The List'!$B1:$AS727,8,FALSE)," ")</f>
        <v xml:space="preserve"> </v>
      </c>
      <c r="G381" s="52" t="str">
        <f>IFERROR(VLOOKUP($A381,'The List'!$B1:$AS727,10,FALSE)," ")</f>
        <v xml:space="preserve"> </v>
      </c>
      <c r="H381" s="39"/>
      <c r="I381" s="53" t="str">
        <f>IFERROR(VLOOKUP($A381,'The List'!$B1:$AS727,16,FALSE)," ")</f>
        <v xml:space="preserve"> </v>
      </c>
      <c r="J381" s="53" t="str">
        <f>IFERROR(VLOOKUP($A381,'The List'!$B1:$AS727,17,FALSE)," ")</f>
        <v xml:space="preserve"> </v>
      </c>
      <c r="K381" s="53" t="str">
        <f>IFERROR(VLOOKUP($A381,'The List'!$B1:$AS727,18,FALSE)," ")</f>
        <v xml:space="preserve"> </v>
      </c>
      <c r="L381" s="53" t="str">
        <f>IFERROR(VLOOKUP($A381,'The List'!$B1:$AS727,19,FALSE)," ")</f>
        <v xml:space="preserve"> </v>
      </c>
      <c r="M381" s="53" t="str">
        <f>IFERROR(VLOOKUP($A381,'The List'!$B1:$AS727,20,FALSE)," ")</f>
        <v xml:space="preserve"> </v>
      </c>
      <c r="N381" s="53" t="str">
        <f>IFERROR(VLOOKUP($A381,'The List'!$B1:$AS727,21,FALSE)," ")</f>
        <v xml:space="preserve"> </v>
      </c>
      <c r="O381" s="53" t="str">
        <f>IFERROR(VLOOKUP($A381,'The List'!$B1:$AS727,22,FALSE)," ")</f>
        <v xml:space="preserve"> </v>
      </c>
      <c r="P381" s="53" t="str">
        <f>IFERROR(VLOOKUP($A381,'The List'!$B1:$AS727,23,FALSE)," ")</f>
        <v xml:space="preserve"> </v>
      </c>
      <c r="Q381" s="53" t="str">
        <f>IFERROR(VLOOKUP($A381,'The List'!$B1:$AS727,24,FALSE)," ")</f>
        <v xml:space="preserve"> </v>
      </c>
      <c r="R381" s="53" t="str">
        <f>IFERROR(VLOOKUP($A381,'The List'!$B1:$AS727,25,FALSE)," ")</f>
        <v xml:space="preserve"> </v>
      </c>
      <c r="S381" s="53" t="str">
        <f>IFERROR(VLOOKUP($A381,'The List'!$B1:$AS727,26,FALSE)," ")</f>
        <v xml:space="preserve"> </v>
      </c>
      <c r="T381" s="53" t="str">
        <f>IFERROR(VLOOKUP($A381,'The List'!$B1:$AS727,27,FALSE)," ")</f>
        <v xml:space="preserve"> </v>
      </c>
      <c r="U381" s="53" t="str">
        <f>IFERROR(VLOOKUP($A381,'The List'!$B1:$AS727,28,FALSE)," ")</f>
        <v xml:space="preserve"> </v>
      </c>
      <c r="V381" s="53" t="str">
        <f>IFERROR(VLOOKUP($A381,'The List'!$B1:$AS727,29,FALSE)," ")</f>
        <v xml:space="preserve"> </v>
      </c>
      <c r="W381" s="53" t="str">
        <f>IFERROR(VLOOKUP($A381,'The List'!$B1:$AS727,30,FALSE)," ")</f>
        <v xml:space="preserve"> </v>
      </c>
      <c r="X381" s="53" t="str">
        <f>IFERROR(VLOOKUP($A381,'The List'!$B1:$AS727,31,FALSE)," ")</f>
        <v xml:space="preserve"> </v>
      </c>
      <c r="Y381" s="53" t="str">
        <f>IFERROR(VLOOKUP($A381,'The List'!$B1:$AS727,32,FALSE)," ")</f>
        <v xml:space="preserve"> </v>
      </c>
      <c r="Z381" s="53" t="str">
        <f>IFERROR(VLOOKUP($A381,'The List'!$B1:$AS727,33,FALSE)," ")</f>
        <v xml:space="preserve"> </v>
      </c>
      <c r="AA381" s="55"/>
      <c r="AB381" s="60"/>
      <c r="AC381" s="60"/>
      <c r="AD381" s="60"/>
      <c r="AE381" s="60"/>
      <c r="AF381" s="60"/>
    </row>
    <row r="382" spans="1:32" ht="21.25" customHeight="1" x14ac:dyDescent="0.15">
      <c r="A382" s="23"/>
      <c r="B382" s="57" t="str">
        <f>IFERROR(VLOOKUP($A382,'The List'!$B1:$AS727,3,FALSE)," ")</f>
        <v xml:space="preserve"> </v>
      </c>
      <c r="C382" s="61" t="str">
        <f>IFERROR(VLOOKUP($A382,'The List'!$B1:$AS727,4,FALSE)," ")</f>
        <v xml:space="preserve"> </v>
      </c>
      <c r="D382" s="35" t="str">
        <f>IFERROR(VLOOKUP($A382,'The List'!$B1:$AS727,5,FALSE)," ")</f>
        <v xml:space="preserve"> </v>
      </c>
      <c r="E382" s="35" t="str">
        <f>IFERROR(VLOOKUP($A382,'The List'!$B1:$AS727,6,FALSE)," ")</f>
        <v xml:space="preserve"> </v>
      </c>
      <c r="F382" s="52" t="str">
        <f>IFERROR(VLOOKUP($A382,'The List'!$B1:$AS727,8,FALSE)," ")</f>
        <v xml:space="preserve"> </v>
      </c>
      <c r="G382" s="52" t="str">
        <f>IFERROR(VLOOKUP($A382,'The List'!$B1:$AS727,10,FALSE)," ")</f>
        <v xml:space="preserve"> </v>
      </c>
      <c r="H382" s="39"/>
      <c r="I382" s="53" t="str">
        <f>IFERROR(VLOOKUP($A382,'The List'!$B1:$AS727,16,FALSE)," ")</f>
        <v xml:space="preserve"> </v>
      </c>
      <c r="J382" s="53" t="str">
        <f>IFERROR(VLOOKUP($A382,'The List'!$B1:$AS727,17,FALSE)," ")</f>
        <v xml:space="preserve"> </v>
      </c>
      <c r="K382" s="53" t="str">
        <f>IFERROR(VLOOKUP($A382,'The List'!$B1:$AS727,18,FALSE)," ")</f>
        <v xml:space="preserve"> </v>
      </c>
      <c r="L382" s="53" t="str">
        <f>IFERROR(VLOOKUP($A382,'The List'!$B1:$AS727,19,FALSE)," ")</f>
        <v xml:space="preserve"> </v>
      </c>
      <c r="M382" s="53" t="str">
        <f>IFERROR(VLOOKUP($A382,'The List'!$B1:$AS727,20,FALSE)," ")</f>
        <v xml:space="preserve"> </v>
      </c>
      <c r="N382" s="53" t="str">
        <f>IFERROR(VLOOKUP($A382,'The List'!$B1:$AS727,21,FALSE)," ")</f>
        <v xml:space="preserve"> </v>
      </c>
      <c r="O382" s="53" t="str">
        <f>IFERROR(VLOOKUP($A382,'The List'!$B1:$AS727,22,FALSE)," ")</f>
        <v xml:space="preserve"> </v>
      </c>
      <c r="P382" s="53" t="str">
        <f>IFERROR(VLOOKUP($A382,'The List'!$B1:$AS727,23,FALSE)," ")</f>
        <v xml:space="preserve"> </v>
      </c>
      <c r="Q382" s="53" t="str">
        <f>IFERROR(VLOOKUP($A382,'The List'!$B1:$AS727,24,FALSE)," ")</f>
        <v xml:space="preserve"> </v>
      </c>
      <c r="R382" s="53" t="str">
        <f>IFERROR(VLOOKUP($A382,'The List'!$B1:$AS727,25,FALSE)," ")</f>
        <v xml:space="preserve"> </v>
      </c>
      <c r="S382" s="53" t="str">
        <f>IFERROR(VLOOKUP($A382,'The List'!$B1:$AS727,26,FALSE)," ")</f>
        <v xml:space="preserve"> </v>
      </c>
      <c r="T382" s="53" t="str">
        <f>IFERROR(VLOOKUP($A382,'The List'!$B1:$AS727,27,FALSE)," ")</f>
        <v xml:space="preserve"> </v>
      </c>
      <c r="U382" s="53" t="str">
        <f>IFERROR(VLOOKUP($A382,'The List'!$B1:$AS727,28,FALSE)," ")</f>
        <v xml:space="preserve"> </v>
      </c>
      <c r="V382" s="53" t="str">
        <f>IFERROR(VLOOKUP($A382,'The List'!$B1:$AS727,29,FALSE)," ")</f>
        <v xml:space="preserve"> </v>
      </c>
      <c r="W382" s="53" t="str">
        <f>IFERROR(VLOOKUP($A382,'The List'!$B1:$AS727,30,FALSE)," ")</f>
        <v xml:space="preserve"> </v>
      </c>
      <c r="X382" s="53" t="str">
        <f>IFERROR(VLOOKUP($A382,'The List'!$B1:$AS727,31,FALSE)," ")</f>
        <v xml:space="preserve"> </v>
      </c>
      <c r="Y382" s="53" t="str">
        <f>IFERROR(VLOOKUP($A382,'The List'!$B1:$AS727,32,FALSE)," ")</f>
        <v xml:space="preserve"> </v>
      </c>
      <c r="Z382" s="53" t="str">
        <f>IFERROR(VLOOKUP($A382,'The List'!$B1:$AS727,33,FALSE)," ")</f>
        <v xml:space="preserve"> </v>
      </c>
      <c r="AA382" s="55"/>
      <c r="AB382" s="60"/>
      <c r="AC382" s="60"/>
      <c r="AD382" s="60"/>
      <c r="AE382" s="60"/>
      <c r="AF382" s="60"/>
    </row>
    <row r="383" spans="1:32" ht="21.25" customHeight="1" x14ac:dyDescent="0.15">
      <c r="A383" s="23"/>
      <c r="B383" s="62" t="str">
        <f>IFERROR(VLOOKUP($A383,'The List'!$B1:$AS727,3,FALSE)," ")</f>
        <v xml:space="preserve"> </v>
      </c>
      <c r="C383" s="64" t="str">
        <f>IFERROR(VLOOKUP($A383,'The List'!$B1:$AS727,4,FALSE)," ")</f>
        <v xml:space="preserve"> </v>
      </c>
      <c r="D383" s="35" t="str">
        <f>IFERROR(VLOOKUP($A383,'The List'!$B1:$AS727,5,FALSE)," ")</f>
        <v xml:space="preserve"> </v>
      </c>
      <c r="E383" s="35" t="str">
        <f>IFERROR(VLOOKUP($A383,'The List'!$B1:$AS727,6,FALSE)," ")</f>
        <v xml:space="preserve"> </v>
      </c>
      <c r="F383" s="52" t="str">
        <f>IFERROR(VLOOKUP($A383,'The List'!$B1:$AS727,8,FALSE)," ")</f>
        <v xml:space="preserve"> </v>
      </c>
      <c r="G383" s="52" t="str">
        <f>IFERROR(VLOOKUP($A383,'The List'!$B1:$AS727,10,FALSE)," ")</f>
        <v xml:space="preserve"> </v>
      </c>
      <c r="H383" s="39"/>
      <c r="I383" s="53" t="str">
        <f>IFERROR(VLOOKUP($A383,'The List'!$B1:$AS727,16,FALSE)," ")</f>
        <v xml:space="preserve"> </v>
      </c>
      <c r="J383" s="53" t="str">
        <f>IFERROR(VLOOKUP($A383,'The List'!$B1:$AS727,17,FALSE)," ")</f>
        <v xml:space="preserve"> </v>
      </c>
      <c r="K383" s="53" t="str">
        <f>IFERROR(VLOOKUP($A383,'The List'!$B1:$AS727,18,FALSE)," ")</f>
        <v xml:space="preserve"> </v>
      </c>
      <c r="L383" s="53" t="str">
        <f>IFERROR(VLOOKUP($A383,'The List'!$B1:$AS727,19,FALSE)," ")</f>
        <v xml:space="preserve"> </v>
      </c>
      <c r="M383" s="53" t="str">
        <f>IFERROR(VLOOKUP($A383,'The List'!$B1:$AS727,20,FALSE)," ")</f>
        <v xml:space="preserve"> </v>
      </c>
      <c r="N383" s="53" t="str">
        <f>IFERROR(VLOOKUP($A383,'The List'!$B1:$AS727,21,FALSE)," ")</f>
        <v xml:space="preserve"> </v>
      </c>
      <c r="O383" s="53" t="str">
        <f>IFERROR(VLOOKUP($A383,'The List'!$B1:$AS727,22,FALSE)," ")</f>
        <v xml:space="preserve"> </v>
      </c>
      <c r="P383" s="53" t="str">
        <f>IFERROR(VLOOKUP($A383,'The List'!$B1:$AS727,23,FALSE)," ")</f>
        <v xml:space="preserve"> </v>
      </c>
      <c r="Q383" s="53" t="str">
        <f>IFERROR(VLOOKUP($A383,'The List'!$B1:$AS727,24,FALSE)," ")</f>
        <v xml:space="preserve"> </v>
      </c>
      <c r="R383" s="53" t="str">
        <f>IFERROR(VLOOKUP($A383,'The List'!$B1:$AS727,25,FALSE)," ")</f>
        <v xml:space="preserve"> </v>
      </c>
      <c r="S383" s="53" t="str">
        <f>IFERROR(VLOOKUP($A383,'The List'!$B1:$AS727,26,FALSE)," ")</f>
        <v xml:space="preserve"> </v>
      </c>
      <c r="T383" s="53" t="str">
        <f>IFERROR(VLOOKUP($A383,'The List'!$B1:$AS727,27,FALSE)," ")</f>
        <v xml:space="preserve"> </v>
      </c>
      <c r="U383" s="53" t="str">
        <f>IFERROR(VLOOKUP($A383,'The List'!$B1:$AS727,28,FALSE)," ")</f>
        <v xml:space="preserve"> </v>
      </c>
      <c r="V383" s="53" t="str">
        <f>IFERROR(VLOOKUP($A383,'The List'!$B1:$AS727,29,FALSE)," ")</f>
        <v xml:space="preserve"> </v>
      </c>
      <c r="W383" s="53" t="str">
        <f>IFERROR(VLOOKUP($A383,'The List'!$B1:$AS727,30,FALSE)," ")</f>
        <v xml:space="preserve"> </v>
      </c>
      <c r="X383" s="53" t="str">
        <f>IFERROR(VLOOKUP($A383,'The List'!$B1:$AS727,31,FALSE)," ")</f>
        <v xml:space="preserve"> </v>
      </c>
      <c r="Y383" s="53" t="str">
        <f>IFERROR(VLOOKUP($A383,'The List'!$B1:$AS727,32,FALSE)," ")</f>
        <v xml:space="preserve"> </v>
      </c>
      <c r="Z383" s="53" t="str">
        <f>IFERROR(VLOOKUP($A383,'The List'!$B1:$AS727,33,FALSE)," ")</f>
        <v xml:space="preserve"> </v>
      </c>
      <c r="AA383" s="55"/>
      <c r="AB383" s="60"/>
      <c r="AC383" s="60"/>
      <c r="AD383" s="60"/>
      <c r="AE383" s="60"/>
      <c r="AF383" s="60"/>
    </row>
    <row r="384" spans="1:32" ht="21.25" customHeight="1" x14ac:dyDescent="0.15">
      <c r="A384" s="23"/>
      <c r="B384" s="62" t="str">
        <f>IFERROR(VLOOKUP($A384,'The List'!$B1:$AS727,3,FALSE)," ")</f>
        <v xml:space="preserve"> </v>
      </c>
      <c r="C384" s="64" t="str">
        <f>IFERROR(VLOOKUP($A384,'The List'!$B1:$AS727,4,FALSE)," ")</f>
        <v xml:space="preserve"> </v>
      </c>
      <c r="D384" s="35" t="str">
        <f>IFERROR(VLOOKUP($A384,'The List'!$B1:$AS727,5,FALSE)," ")</f>
        <v xml:space="preserve"> </v>
      </c>
      <c r="E384" s="35" t="str">
        <f>IFERROR(VLOOKUP($A384,'The List'!$B1:$AS727,6,FALSE)," ")</f>
        <v xml:space="preserve"> </v>
      </c>
      <c r="F384" s="52" t="str">
        <f>IFERROR(VLOOKUP($A384,'The List'!$B1:$AS727,8,FALSE)," ")</f>
        <v xml:space="preserve"> </v>
      </c>
      <c r="G384" s="52" t="str">
        <f>IFERROR(VLOOKUP($A384,'The List'!$B1:$AS727,10,FALSE)," ")</f>
        <v xml:space="preserve"> </v>
      </c>
      <c r="H384" s="39"/>
      <c r="I384" s="53" t="str">
        <f>IFERROR(VLOOKUP($A384,'The List'!$B1:$AS727,16,FALSE)," ")</f>
        <v xml:space="preserve"> </v>
      </c>
      <c r="J384" s="53" t="str">
        <f>IFERROR(VLOOKUP($A384,'The List'!$B1:$AS727,17,FALSE)," ")</f>
        <v xml:space="preserve"> </v>
      </c>
      <c r="K384" s="53" t="str">
        <f>IFERROR(VLOOKUP($A384,'The List'!$B1:$AS727,18,FALSE)," ")</f>
        <v xml:space="preserve"> </v>
      </c>
      <c r="L384" s="53" t="str">
        <f>IFERROR(VLOOKUP($A384,'The List'!$B1:$AS727,19,FALSE)," ")</f>
        <v xml:space="preserve"> </v>
      </c>
      <c r="M384" s="53" t="str">
        <f>IFERROR(VLOOKUP($A384,'The List'!$B1:$AS727,20,FALSE)," ")</f>
        <v xml:space="preserve"> </v>
      </c>
      <c r="N384" s="53" t="str">
        <f>IFERROR(VLOOKUP($A384,'The List'!$B1:$AS727,21,FALSE)," ")</f>
        <v xml:space="preserve"> </v>
      </c>
      <c r="O384" s="53" t="str">
        <f>IFERROR(VLOOKUP($A384,'The List'!$B1:$AS727,22,FALSE)," ")</f>
        <v xml:space="preserve"> </v>
      </c>
      <c r="P384" s="53" t="str">
        <f>IFERROR(VLOOKUP($A384,'The List'!$B1:$AS727,23,FALSE)," ")</f>
        <v xml:space="preserve"> </v>
      </c>
      <c r="Q384" s="53" t="str">
        <f>IFERROR(VLOOKUP($A384,'The List'!$B1:$AS727,24,FALSE)," ")</f>
        <v xml:space="preserve"> </v>
      </c>
      <c r="R384" s="53" t="str">
        <f>IFERROR(VLOOKUP($A384,'The List'!$B1:$AS727,25,FALSE)," ")</f>
        <v xml:space="preserve"> </v>
      </c>
      <c r="S384" s="53" t="str">
        <f>IFERROR(VLOOKUP($A384,'The List'!$B1:$AS727,26,FALSE)," ")</f>
        <v xml:space="preserve"> </v>
      </c>
      <c r="T384" s="53" t="str">
        <f>IFERROR(VLOOKUP($A384,'The List'!$B1:$AS727,27,FALSE)," ")</f>
        <v xml:space="preserve"> </v>
      </c>
      <c r="U384" s="53" t="str">
        <f>IFERROR(VLOOKUP($A384,'The List'!$B1:$AS727,28,FALSE)," ")</f>
        <v xml:space="preserve"> </v>
      </c>
      <c r="V384" s="53" t="str">
        <f>IFERROR(VLOOKUP($A384,'The List'!$B1:$AS727,29,FALSE)," ")</f>
        <v xml:space="preserve"> </v>
      </c>
      <c r="W384" s="53" t="str">
        <f>IFERROR(VLOOKUP($A384,'The List'!$B1:$AS727,30,FALSE)," ")</f>
        <v xml:space="preserve"> </v>
      </c>
      <c r="X384" s="53" t="str">
        <f>IFERROR(VLOOKUP($A384,'The List'!$B1:$AS727,31,FALSE)," ")</f>
        <v xml:space="preserve"> </v>
      </c>
      <c r="Y384" s="53" t="str">
        <f>IFERROR(VLOOKUP($A384,'The List'!$B1:$AS727,32,FALSE)," ")</f>
        <v xml:space="preserve"> </v>
      </c>
      <c r="Z384" s="53" t="str">
        <f>IFERROR(VLOOKUP($A384,'The List'!$B1:$AS727,33,FALSE)," ")</f>
        <v xml:space="preserve"> </v>
      </c>
      <c r="AA384" s="55"/>
      <c r="AB384" s="60"/>
      <c r="AC384" s="60"/>
      <c r="AD384" s="60"/>
      <c r="AE384" s="60"/>
      <c r="AF384" s="60"/>
    </row>
    <row r="385" spans="1:32" ht="21.25" customHeight="1" x14ac:dyDescent="0.15">
      <c r="A385" s="23"/>
      <c r="B385" s="62" t="str">
        <f>IFERROR(VLOOKUP($A385,'The List'!$B1:$AS727,3,FALSE)," ")</f>
        <v xml:space="preserve"> </v>
      </c>
      <c r="C385" s="64" t="str">
        <f>IFERROR(VLOOKUP($A385,'The List'!$B1:$AS727,4,FALSE)," ")</f>
        <v xml:space="preserve"> </v>
      </c>
      <c r="D385" s="35" t="str">
        <f>IFERROR(VLOOKUP($A385,'The List'!$B1:$AS727,5,FALSE)," ")</f>
        <v xml:space="preserve"> </v>
      </c>
      <c r="E385" s="35" t="str">
        <f>IFERROR(VLOOKUP($A385,'The List'!$B1:$AS727,6,FALSE)," ")</f>
        <v xml:space="preserve"> </v>
      </c>
      <c r="F385" s="52" t="str">
        <f>IFERROR(VLOOKUP($A385,'The List'!$B1:$AS727,8,FALSE)," ")</f>
        <v xml:space="preserve"> </v>
      </c>
      <c r="G385" s="52" t="str">
        <f>IFERROR(VLOOKUP($A385,'The List'!$B1:$AS727,10,FALSE)," ")</f>
        <v xml:space="preserve"> </v>
      </c>
      <c r="H385" s="39"/>
      <c r="I385" s="53" t="str">
        <f>IFERROR(VLOOKUP($A385,'The List'!$B1:$AS727,16,FALSE)," ")</f>
        <v xml:space="preserve"> </v>
      </c>
      <c r="J385" s="53" t="str">
        <f>IFERROR(VLOOKUP($A385,'The List'!$B1:$AS727,17,FALSE)," ")</f>
        <v xml:space="preserve"> </v>
      </c>
      <c r="K385" s="53" t="str">
        <f>IFERROR(VLOOKUP($A385,'The List'!$B1:$AS727,18,FALSE)," ")</f>
        <v xml:space="preserve"> </v>
      </c>
      <c r="L385" s="53" t="str">
        <f>IFERROR(VLOOKUP($A385,'The List'!$B1:$AS727,19,FALSE)," ")</f>
        <v xml:space="preserve"> </v>
      </c>
      <c r="M385" s="53" t="str">
        <f>IFERROR(VLOOKUP($A385,'The List'!$B1:$AS727,20,FALSE)," ")</f>
        <v xml:space="preserve"> </v>
      </c>
      <c r="N385" s="53" t="str">
        <f>IFERROR(VLOOKUP($A385,'The List'!$B1:$AS727,21,FALSE)," ")</f>
        <v xml:space="preserve"> </v>
      </c>
      <c r="O385" s="53" t="str">
        <f>IFERROR(VLOOKUP($A385,'The List'!$B1:$AS727,22,FALSE)," ")</f>
        <v xml:space="preserve"> </v>
      </c>
      <c r="P385" s="53" t="str">
        <f>IFERROR(VLOOKUP($A385,'The List'!$B1:$AS727,23,FALSE)," ")</f>
        <v xml:space="preserve"> </v>
      </c>
      <c r="Q385" s="53" t="str">
        <f>IFERROR(VLOOKUP($A385,'The List'!$B1:$AS727,24,FALSE)," ")</f>
        <v xml:space="preserve"> </v>
      </c>
      <c r="R385" s="53" t="str">
        <f>IFERROR(VLOOKUP($A385,'The List'!$B1:$AS727,25,FALSE)," ")</f>
        <v xml:space="preserve"> </v>
      </c>
      <c r="S385" s="53" t="str">
        <f>IFERROR(VLOOKUP($A385,'The List'!$B1:$AS727,26,FALSE)," ")</f>
        <v xml:space="preserve"> </v>
      </c>
      <c r="T385" s="53" t="str">
        <f>IFERROR(VLOOKUP($A385,'The List'!$B1:$AS727,27,FALSE)," ")</f>
        <v xml:space="preserve"> </v>
      </c>
      <c r="U385" s="53" t="str">
        <f>IFERROR(VLOOKUP($A385,'The List'!$B1:$AS727,28,FALSE)," ")</f>
        <v xml:space="preserve"> </v>
      </c>
      <c r="V385" s="53" t="str">
        <f>IFERROR(VLOOKUP($A385,'The List'!$B1:$AS727,29,FALSE)," ")</f>
        <v xml:space="preserve"> </v>
      </c>
      <c r="W385" s="53" t="str">
        <f>IFERROR(VLOOKUP($A385,'The List'!$B1:$AS727,30,FALSE)," ")</f>
        <v xml:space="preserve"> </v>
      </c>
      <c r="X385" s="53" t="str">
        <f>IFERROR(VLOOKUP($A385,'The List'!$B1:$AS727,31,FALSE)," ")</f>
        <v xml:space="preserve"> </v>
      </c>
      <c r="Y385" s="53" t="str">
        <f>IFERROR(VLOOKUP($A385,'The List'!$B1:$AS727,32,FALSE)," ")</f>
        <v xml:space="preserve"> </v>
      </c>
      <c r="Z385" s="53" t="str">
        <f>IFERROR(VLOOKUP($A385,'The List'!$B1:$AS727,33,FALSE)," ")</f>
        <v xml:space="preserve"> </v>
      </c>
      <c r="AA385" s="55"/>
      <c r="AB385" s="60"/>
      <c r="AC385" s="60"/>
      <c r="AD385" s="60"/>
      <c r="AE385" s="60"/>
      <c r="AF385" s="60"/>
    </row>
    <row r="386" spans="1:32" ht="21.25" customHeight="1" x14ac:dyDescent="0.15">
      <c r="A386" s="23"/>
      <c r="B386" s="62" t="str">
        <f>IFERROR(VLOOKUP($A386,'The List'!$B1:$AS727,3,FALSE)," ")</f>
        <v xml:space="preserve"> </v>
      </c>
      <c r="C386" s="64" t="str">
        <f>IFERROR(VLOOKUP($A386,'The List'!$B1:$AS727,4,FALSE)," ")</f>
        <v xml:space="preserve"> </v>
      </c>
      <c r="D386" s="35" t="str">
        <f>IFERROR(VLOOKUP($A386,'The List'!$B1:$AS727,5,FALSE)," ")</f>
        <v xml:space="preserve"> </v>
      </c>
      <c r="E386" s="35" t="str">
        <f>IFERROR(VLOOKUP($A386,'The List'!$B1:$AS727,6,FALSE)," ")</f>
        <v xml:space="preserve"> </v>
      </c>
      <c r="F386" s="52" t="str">
        <f>IFERROR(VLOOKUP($A386,'The List'!$B1:$AS727,8,FALSE)," ")</f>
        <v xml:space="preserve"> </v>
      </c>
      <c r="G386" s="52" t="str">
        <f>IFERROR(VLOOKUP($A386,'The List'!$B1:$AS727,10,FALSE)," ")</f>
        <v xml:space="preserve"> </v>
      </c>
      <c r="H386" s="39"/>
      <c r="I386" s="53" t="str">
        <f>IFERROR(VLOOKUP($A386,'The List'!$B1:$AS727,16,FALSE)," ")</f>
        <v xml:space="preserve"> </v>
      </c>
      <c r="J386" s="53" t="str">
        <f>IFERROR(VLOOKUP($A386,'The List'!$B1:$AS727,17,FALSE)," ")</f>
        <v xml:space="preserve"> </v>
      </c>
      <c r="K386" s="53" t="str">
        <f>IFERROR(VLOOKUP($A386,'The List'!$B1:$AS727,18,FALSE)," ")</f>
        <v xml:space="preserve"> </v>
      </c>
      <c r="L386" s="53" t="str">
        <f>IFERROR(VLOOKUP($A386,'The List'!$B1:$AS727,19,FALSE)," ")</f>
        <v xml:space="preserve"> </v>
      </c>
      <c r="M386" s="53" t="str">
        <f>IFERROR(VLOOKUP($A386,'The List'!$B1:$AS727,20,FALSE)," ")</f>
        <v xml:space="preserve"> </v>
      </c>
      <c r="N386" s="53" t="str">
        <f>IFERROR(VLOOKUP($A386,'The List'!$B1:$AS727,21,FALSE)," ")</f>
        <v xml:space="preserve"> </v>
      </c>
      <c r="O386" s="53" t="str">
        <f>IFERROR(VLOOKUP($A386,'The List'!$B1:$AS727,22,FALSE)," ")</f>
        <v xml:space="preserve"> </v>
      </c>
      <c r="P386" s="53" t="str">
        <f>IFERROR(VLOOKUP($A386,'The List'!$B1:$AS727,23,FALSE)," ")</f>
        <v xml:space="preserve"> </v>
      </c>
      <c r="Q386" s="53" t="str">
        <f>IFERROR(VLOOKUP($A386,'The List'!$B1:$AS727,24,FALSE)," ")</f>
        <v xml:space="preserve"> </v>
      </c>
      <c r="R386" s="53" t="str">
        <f>IFERROR(VLOOKUP($A386,'The List'!$B1:$AS727,25,FALSE)," ")</f>
        <v xml:space="preserve"> </v>
      </c>
      <c r="S386" s="53" t="str">
        <f>IFERROR(VLOOKUP($A386,'The List'!$B1:$AS727,26,FALSE)," ")</f>
        <v xml:space="preserve"> </v>
      </c>
      <c r="T386" s="53" t="str">
        <f>IFERROR(VLOOKUP($A386,'The List'!$B1:$AS727,27,FALSE)," ")</f>
        <v xml:space="preserve"> </v>
      </c>
      <c r="U386" s="53" t="str">
        <f>IFERROR(VLOOKUP($A386,'The List'!$B1:$AS727,28,FALSE)," ")</f>
        <v xml:space="preserve"> </v>
      </c>
      <c r="V386" s="53" t="str">
        <f>IFERROR(VLOOKUP($A386,'The List'!$B1:$AS727,29,FALSE)," ")</f>
        <v xml:space="preserve"> </v>
      </c>
      <c r="W386" s="53" t="str">
        <f>IFERROR(VLOOKUP($A386,'The List'!$B1:$AS727,30,FALSE)," ")</f>
        <v xml:space="preserve"> </v>
      </c>
      <c r="X386" s="53" t="str">
        <f>IFERROR(VLOOKUP($A386,'The List'!$B1:$AS727,31,FALSE)," ")</f>
        <v xml:space="preserve"> </v>
      </c>
      <c r="Y386" s="53" t="str">
        <f>IFERROR(VLOOKUP($A386,'The List'!$B1:$AS727,32,FALSE)," ")</f>
        <v xml:space="preserve"> </v>
      </c>
      <c r="Z386" s="53" t="str">
        <f>IFERROR(VLOOKUP($A386,'The List'!$B1:$AS727,33,FALSE)," ")</f>
        <v xml:space="preserve"> </v>
      </c>
      <c r="AA386" s="55"/>
      <c r="AB386" s="60"/>
      <c r="AC386" s="60"/>
      <c r="AD386" s="60"/>
      <c r="AE386" s="60"/>
      <c r="AF386" s="60"/>
    </row>
    <row r="387" spans="1:32" ht="21.25" customHeight="1" x14ac:dyDescent="0.15">
      <c r="A387" s="23"/>
      <c r="B387" s="65" t="str">
        <f>IFERROR(VLOOKUP($A387,'The List'!$B1:$AS727,3,FALSE)," ")</f>
        <v xml:space="preserve"> </v>
      </c>
      <c r="C387" s="67" t="str">
        <f>IFERROR(VLOOKUP($A387,'The List'!$B1:$AS727,4,FALSE)," ")</f>
        <v xml:space="preserve"> </v>
      </c>
      <c r="D387" s="35" t="str">
        <f>IFERROR(VLOOKUP($A387,'The List'!$B1:$AS727,5,FALSE)," ")</f>
        <v xml:space="preserve"> </v>
      </c>
      <c r="E387" s="35" t="str">
        <f>IFERROR(VLOOKUP($A387,'The List'!$B1:$AS727,6,FALSE)," ")</f>
        <v xml:space="preserve"> </v>
      </c>
      <c r="F387" s="52" t="str">
        <f>IFERROR(VLOOKUP($A387,'The List'!$B1:$AS727,8,FALSE)," ")</f>
        <v xml:space="preserve"> </v>
      </c>
      <c r="G387" s="52" t="str">
        <f>IFERROR(VLOOKUP($A387,'The List'!$B1:$AS727,10,FALSE)," ")</f>
        <v xml:space="preserve"> </v>
      </c>
      <c r="H387" s="39"/>
      <c r="I387" s="53" t="str">
        <f>IFERROR(VLOOKUP($A387,'The List'!$B1:$AS727,16,FALSE)," ")</f>
        <v xml:space="preserve"> </v>
      </c>
      <c r="J387" s="53" t="str">
        <f>IFERROR(VLOOKUP($A387,'The List'!$B1:$AS727,17,FALSE)," ")</f>
        <v xml:space="preserve"> </v>
      </c>
      <c r="K387" s="53" t="str">
        <f>IFERROR(VLOOKUP($A387,'The List'!$B1:$AS727,18,FALSE)," ")</f>
        <v xml:space="preserve"> </v>
      </c>
      <c r="L387" s="53" t="str">
        <f>IFERROR(VLOOKUP($A387,'The List'!$B1:$AS727,19,FALSE)," ")</f>
        <v xml:space="preserve"> </v>
      </c>
      <c r="M387" s="53" t="str">
        <f>IFERROR(VLOOKUP($A387,'The List'!$B1:$AS727,20,FALSE)," ")</f>
        <v xml:space="preserve"> </v>
      </c>
      <c r="N387" s="53" t="str">
        <f>IFERROR(VLOOKUP($A387,'The List'!$B1:$AS727,21,FALSE)," ")</f>
        <v xml:space="preserve"> </v>
      </c>
      <c r="O387" s="53" t="str">
        <f>IFERROR(VLOOKUP($A387,'The List'!$B1:$AS727,22,FALSE)," ")</f>
        <v xml:space="preserve"> </v>
      </c>
      <c r="P387" s="53" t="str">
        <f>IFERROR(VLOOKUP($A387,'The List'!$B1:$AS727,23,FALSE)," ")</f>
        <v xml:space="preserve"> </v>
      </c>
      <c r="Q387" s="53" t="str">
        <f>IFERROR(VLOOKUP($A387,'The List'!$B1:$AS727,24,FALSE)," ")</f>
        <v xml:space="preserve"> </v>
      </c>
      <c r="R387" s="53" t="str">
        <f>IFERROR(VLOOKUP($A387,'The List'!$B1:$AS727,25,FALSE)," ")</f>
        <v xml:space="preserve"> </v>
      </c>
      <c r="S387" s="53" t="str">
        <f>IFERROR(VLOOKUP($A387,'The List'!$B1:$AS727,26,FALSE)," ")</f>
        <v xml:space="preserve"> </v>
      </c>
      <c r="T387" s="53" t="str">
        <f>IFERROR(VLOOKUP($A387,'The List'!$B1:$AS727,27,FALSE)," ")</f>
        <v xml:space="preserve"> </v>
      </c>
      <c r="U387" s="53" t="str">
        <f>IFERROR(VLOOKUP($A387,'The List'!$B1:$AS727,28,FALSE)," ")</f>
        <v xml:space="preserve"> </v>
      </c>
      <c r="V387" s="53" t="str">
        <f>IFERROR(VLOOKUP($A387,'The List'!$B1:$AS727,29,FALSE)," ")</f>
        <v xml:space="preserve"> </v>
      </c>
      <c r="W387" s="53" t="str">
        <f>IFERROR(VLOOKUP($A387,'The List'!$B1:$AS727,30,FALSE)," ")</f>
        <v xml:space="preserve"> </v>
      </c>
      <c r="X387" s="53" t="str">
        <f>IFERROR(VLOOKUP($A387,'The List'!$B1:$AS727,31,FALSE)," ")</f>
        <v xml:space="preserve"> </v>
      </c>
      <c r="Y387" s="53" t="str">
        <f>IFERROR(VLOOKUP($A387,'The List'!$B1:$AS727,32,FALSE)," ")</f>
        <v xml:space="preserve"> </v>
      </c>
      <c r="Z387" s="53" t="str">
        <f>IFERROR(VLOOKUP($A387,'The List'!$B1:$AS727,33,FALSE)," ")</f>
        <v xml:space="preserve"> </v>
      </c>
      <c r="AA387" s="55"/>
      <c r="AB387" s="60"/>
      <c r="AC387" s="60"/>
      <c r="AD387" s="60"/>
      <c r="AE387" s="60"/>
      <c r="AF387" s="60"/>
    </row>
    <row r="388" spans="1:32" ht="21.25" customHeight="1" x14ac:dyDescent="0.15">
      <c r="A388" s="23"/>
      <c r="B388" s="65" t="str">
        <f>IFERROR(VLOOKUP($A388,'The List'!$B1:$AS727,3,FALSE)," ")</f>
        <v xml:space="preserve"> </v>
      </c>
      <c r="C388" s="67" t="str">
        <f>IFERROR(VLOOKUP($A388,'The List'!$B1:$AS727,4,FALSE)," ")</f>
        <v xml:space="preserve"> </v>
      </c>
      <c r="D388" s="35" t="str">
        <f>IFERROR(VLOOKUP($A388,'The List'!$B1:$AS727,5,FALSE)," ")</f>
        <v xml:space="preserve"> </v>
      </c>
      <c r="E388" s="35" t="str">
        <f>IFERROR(VLOOKUP($A388,'The List'!$B1:$AS727,6,FALSE)," ")</f>
        <v xml:space="preserve"> </v>
      </c>
      <c r="F388" s="52" t="str">
        <f>IFERROR(VLOOKUP($A388,'The List'!$B1:$AS727,8,FALSE)," ")</f>
        <v xml:space="preserve"> </v>
      </c>
      <c r="G388" s="52" t="str">
        <f>IFERROR(VLOOKUP($A388,'The List'!$B1:$AS727,10,FALSE)," ")</f>
        <v xml:space="preserve"> </v>
      </c>
      <c r="H388" s="39"/>
      <c r="I388" s="53" t="str">
        <f>IFERROR(VLOOKUP($A388,'The List'!$B1:$AS727,16,FALSE)," ")</f>
        <v xml:space="preserve"> </v>
      </c>
      <c r="J388" s="53" t="str">
        <f>IFERROR(VLOOKUP($A388,'The List'!$B1:$AS727,17,FALSE)," ")</f>
        <v xml:space="preserve"> </v>
      </c>
      <c r="K388" s="53" t="str">
        <f>IFERROR(VLOOKUP($A388,'The List'!$B1:$AS727,18,FALSE)," ")</f>
        <v xml:space="preserve"> </v>
      </c>
      <c r="L388" s="53" t="str">
        <f>IFERROR(VLOOKUP($A388,'The List'!$B1:$AS727,19,FALSE)," ")</f>
        <v xml:space="preserve"> </v>
      </c>
      <c r="M388" s="53" t="str">
        <f>IFERROR(VLOOKUP($A388,'The List'!$B1:$AS727,20,FALSE)," ")</f>
        <v xml:space="preserve"> </v>
      </c>
      <c r="N388" s="53" t="str">
        <f>IFERROR(VLOOKUP($A388,'The List'!$B1:$AS727,21,FALSE)," ")</f>
        <v xml:space="preserve"> </v>
      </c>
      <c r="O388" s="53" t="str">
        <f>IFERROR(VLOOKUP($A388,'The List'!$B1:$AS727,22,FALSE)," ")</f>
        <v xml:space="preserve"> </v>
      </c>
      <c r="P388" s="53" t="str">
        <f>IFERROR(VLOOKUP($A388,'The List'!$B1:$AS727,23,FALSE)," ")</f>
        <v xml:space="preserve"> </v>
      </c>
      <c r="Q388" s="53" t="str">
        <f>IFERROR(VLOOKUP($A388,'The List'!$B1:$AS727,24,FALSE)," ")</f>
        <v xml:space="preserve"> </v>
      </c>
      <c r="R388" s="53" t="str">
        <f>IFERROR(VLOOKUP($A388,'The List'!$B1:$AS727,25,FALSE)," ")</f>
        <v xml:space="preserve"> </v>
      </c>
      <c r="S388" s="53" t="str">
        <f>IFERROR(VLOOKUP($A388,'The List'!$B1:$AS727,26,FALSE)," ")</f>
        <v xml:space="preserve"> </v>
      </c>
      <c r="T388" s="53" t="str">
        <f>IFERROR(VLOOKUP($A388,'The List'!$B1:$AS727,27,FALSE)," ")</f>
        <v xml:space="preserve"> </v>
      </c>
      <c r="U388" s="53" t="str">
        <f>IFERROR(VLOOKUP($A388,'The List'!$B1:$AS727,28,FALSE)," ")</f>
        <v xml:space="preserve"> </v>
      </c>
      <c r="V388" s="53" t="str">
        <f>IFERROR(VLOOKUP($A388,'The List'!$B1:$AS727,29,FALSE)," ")</f>
        <v xml:space="preserve"> </v>
      </c>
      <c r="W388" s="53" t="str">
        <f>IFERROR(VLOOKUP($A388,'The List'!$B1:$AS727,30,FALSE)," ")</f>
        <v xml:space="preserve"> </v>
      </c>
      <c r="X388" s="53" t="str">
        <f>IFERROR(VLOOKUP($A388,'The List'!$B1:$AS727,31,FALSE)," ")</f>
        <v xml:space="preserve"> </v>
      </c>
      <c r="Y388" s="53" t="str">
        <f>IFERROR(VLOOKUP($A388,'The List'!$B1:$AS727,32,FALSE)," ")</f>
        <v xml:space="preserve"> </v>
      </c>
      <c r="Z388" s="53" t="str">
        <f>IFERROR(VLOOKUP($A388,'The List'!$B1:$AS727,33,FALSE)," ")</f>
        <v xml:space="preserve"> </v>
      </c>
      <c r="AA388" s="55"/>
      <c r="AB388" s="60"/>
      <c r="AC388" s="60"/>
      <c r="AD388" s="60"/>
      <c r="AE388" s="60"/>
      <c r="AF388" s="60"/>
    </row>
    <row r="389" spans="1:32" ht="21.25" customHeight="1" x14ac:dyDescent="0.15">
      <c r="A389" s="23"/>
      <c r="B389" s="65" t="str">
        <f>IFERROR(VLOOKUP($A389,'The List'!$B1:$AS727,3,FALSE)," ")</f>
        <v xml:space="preserve"> </v>
      </c>
      <c r="C389" s="67" t="str">
        <f>IFERROR(VLOOKUP($A389,'The List'!$B1:$AS727,4,FALSE)," ")</f>
        <v xml:space="preserve"> </v>
      </c>
      <c r="D389" s="35" t="str">
        <f>IFERROR(VLOOKUP($A389,'The List'!$B1:$AS727,5,FALSE)," ")</f>
        <v xml:space="preserve"> </v>
      </c>
      <c r="E389" s="35" t="str">
        <f>IFERROR(VLOOKUP($A389,'The List'!$B1:$AS727,6,FALSE)," ")</f>
        <v xml:space="preserve"> </v>
      </c>
      <c r="F389" s="52" t="str">
        <f>IFERROR(VLOOKUP($A389,'The List'!$B1:$AS727,8,FALSE)," ")</f>
        <v xml:space="preserve"> </v>
      </c>
      <c r="G389" s="52" t="str">
        <f>IFERROR(VLOOKUP($A389,'The List'!$B1:$AS727,10,FALSE)," ")</f>
        <v xml:space="preserve"> </v>
      </c>
      <c r="H389" s="39"/>
      <c r="I389" s="53" t="str">
        <f>IFERROR(VLOOKUP($A389,'The List'!$B1:$AS727,16,FALSE)," ")</f>
        <v xml:space="preserve"> </v>
      </c>
      <c r="J389" s="53" t="str">
        <f>IFERROR(VLOOKUP($A389,'The List'!$B1:$AS727,17,FALSE)," ")</f>
        <v xml:space="preserve"> </v>
      </c>
      <c r="K389" s="53" t="str">
        <f>IFERROR(VLOOKUP($A389,'The List'!$B1:$AS727,18,FALSE)," ")</f>
        <v xml:space="preserve"> </v>
      </c>
      <c r="L389" s="53" t="str">
        <f>IFERROR(VLOOKUP($A389,'The List'!$B1:$AS727,19,FALSE)," ")</f>
        <v xml:space="preserve"> </v>
      </c>
      <c r="M389" s="53" t="str">
        <f>IFERROR(VLOOKUP($A389,'The List'!$B1:$AS727,20,FALSE)," ")</f>
        <v xml:space="preserve"> </v>
      </c>
      <c r="N389" s="53" t="str">
        <f>IFERROR(VLOOKUP($A389,'The List'!$B1:$AS727,21,FALSE)," ")</f>
        <v xml:space="preserve"> </v>
      </c>
      <c r="O389" s="53" t="str">
        <f>IFERROR(VLOOKUP($A389,'The List'!$B1:$AS727,22,FALSE)," ")</f>
        <v xml:space="preserve"> </v>
      </c>
      <c r="P389" s="53" t="str">
        <f>IFERROR(VLOOKUP($A389,'The List'!$B1:$AS727,23,FALSE)," ")</f>
        <v xml:space="preserve"> </v>
      </c>
      <c r="Q389" s="53" t="str">
        <f>IFERROR(VLOOKUP($A389,'The List'!$B1:$AS727,24,FALSE)," ")</f>
        <v xml:space="preserve"> </v>
      </c>
      <c r="R389" s="53" t="str">
        <f>IFERROR(VLOOKUP($A389,'The List'!$B1:$AS727,25,FALSE)," ")</f>
        <v xml:space="preserve"> </v>
      </c>
      <c r="S389" s="53" t="str">
        <f>IFERROR(VLOOKUP($A389,'The List'!$B1:$AS727,26,FALSE)," ")</f>
        <v xml:space="preserve"> </v>
      </c>
      <c r="T389" s="53" t="str">
        <f>IFERROR(VLOOKUP($A389,'The List'!$B1:$AS727,27,FALSE)," ")</f>
        <v xml:space="preserve"> </v>
      </c>
      <c r="U389" s="53" t="str">
        <f>IFERROR(VLOOKUP($A389,'The List'!$B1:$AS727,28,FALSE)," ")</f>
        <v xml:space="preserve"> </v>
      </c>
      <c r="V389" s="53" t="str">
        <f>IFERROR(VLOOKUP($A389,'The List'!$B1:$AS727,29,FALSE)," ")</f>
        <v xml:space="preserve"> </v>
      </c>
      <c r="W389" s="53" t="str">
        <f>IFERROR(VLOOKUP($A389,'The List'!$B1:$AS727,30,FALSE)," ")</f>
        <v xml:space="preserve"> </v>
      </c>
      <c r="X389" s="53" t="str">
        <f>IFERROR(VLOOKUP($A389,'The List'!$B1:$AS727,31,FALSE)," ")</f>
        <v xml:space="preserve"> </v>
      </c>
      <c r="Y389" s="53" t="str">
        <f>IFERROR(VLOOKUP($A389,'The List'!$B1:$AS727,32,FALSE)," ")</f>
        <v xml:space="preserve"> </v>
      </c>
      <c r="Z389" s="53" t="str">
        <f>IFERROR(VLOOKUP($A389,'The List'!$B1:$AS727,33,FALSE)," ")</f>
        <v xml:space="preserve"> </v>
      </c>
      <c r="AA389" s="55"/>
      <c r="AB389" s="60"/>
      <c r="AC389" s="60"/>
      <c r="AD389" s="60"/>
      <c r="AE389" s="60"/>
      <c r="AF389" s="60"/>
    </row>
    <row r="390" spans="1:32" ht="21.25" customHeight="1" x14ac:dyDescent="0.15">
      <c r="A390" s="23"/>
      <c r="B390" s="65" t="str">
        <f>IFERROR(VLOOKUP($A390,'The List'!$B1:$AS727,3,FALSE)," ")</f>
        <v xml:space="preserve"> </v>
      </c>
      <c r="C390" s="67" t="str">
        <f>IFERROR(VLOOKUP($A390,'The List'!$B1:$AS727,4,FALSE)," ")</f>
        <v xml:space="preserve"> </v>
      </c>
      <c r="D390" s="35" t="str">
        <f>IFERROR(VLOOKUP($A390,'The List'!$B1:$AS727,5,FALSE)," ")</f>
        <v xml:space="preserve"> </v>
      </c>
      <c r="E390" s="35" t="str">
        <f>IFERROR(VLOOKUP($A390,'The List'!$B1:$AS727,6,FALSE)," ")</f>
        <v xml:space="preserve"> </v>
      </c>
      <c r="F390" s="52" t="str">
        <f>IFERROR(VLOOKUP($A390,'The List'!$B1:$AS727,8,FALSE)," ")</f>
        <v xml:space="preserve"> </v>
      </c>
      <c r="G390" s="52" t="str">
        <f>IFERROR(VLOOKUP($A390,'The List'!$B1:$AS727,10,FALSE)," ")</f>
        <v xml:space="preserve"> </v>
      </c>
      <c r="H390" s="39"/>
      <c r="I390" s="53" t="str">
        <f>IFERROR(VLOOKUP($A390,'The List'!$B1:$AS727,16,FALSE)," ")</f>
        <v xml:space="preserve"> </v>
      </c>
      <c r="J390" s="53" t="str">
        <f>IFERROR(VLOOKUP($A390,'The List'!$B1:$AS727,17,FALSE)," ")</f>
        <v xml:space="preserve"> </v>
      </c>
      <c r="K390" s="53" t="str">
        <f>IFERROR(VLOOKUP($A390,'The List'!$B1:$AS727,18,FALSE)," ")</f>
        <v xml:space="preserve"> </v>
      </c>
      <c r="L390" s="53" t="str">
        <f>IFERROR(VLOOKUP($A390,'The List'!$B1:$AS727,19,FALSE)," ")</f>
        <v xml:space="preserve"> </v>
      </c>
      <c r="M390" s="53" t="str">
        <f>IFERROR(VLOOKUP($A390,'The List'!$B1:$AS727,20,FALSE)," ")</f>
        <v xml:space="preserve"> </v>
      </c>
      <c r="N390" s="53" t="str">
        <f>IFERROR(VLOOKUP($A390,'The List'!$B1:$AS727,21,FALSE)," ")</f>
        <v xml:space="preserve"> </v>
      </c>
      <c r="O390" s="53" t="str">
        <f>IFERROR(VLOOKUP($A390,'The List'!$B1:$AS727,22,FALSE)," ")</f>
        <v xml:space="preserve"> </v>
      </c>
      <c r="P390" s="53" t="str">
        <f>IFERROR(VLOOKUP($A390,'The List'!$B1:$AS727,23,FALSE)," ")</f>
        <v xml:space="preserve"> </v>
      </c>
      <c r="Q390" s="53" t="str">
        <f>IFERROR(VLOOKUP($A390,'The List'!$B1:$AS727,24,FALSE)," ")</f>
        <v xml:space="preserve"> </v>
      </c>
      <c r="R390" s="53" t="str">
        <f>IFERROR(VLOOKUP($A390,'The List'!$B1:$AS727,25,FALSE)," ")</f>
        <v xml:space="preserve"> </v>
      </c>
      <c r="S390" s="53" t="str">
        <f>IFERROR(VLOOKUP($A390,'The List'!$B1:$AS727,26,FALSE)," ")</f>
        <v xml:space="preserve"> </v>
      </c>
      <c r="T390" s="53" t="str">
        <f>IFERROR(VLOOKUP($A390,'The List'!$B1:$AS727,27,FALSE)," ")</f>
        <v xml:space="preserve"> </v>
      </c>
      <c r="U390" s="53" t="str">
        <f>IFERROR(VLOOKUP($A390,'The List'!$B1:$AS727,28,FALSE)," ")</f>
        <v xml:space="preserve"> </v>
      </c>
      <c r="V390" s="53" t="str">
        <f>IFERROR(VLOOKUP($A390,'The List'!$B1:$AS727,29,FALSE)," ")</f>
        <v xml:space="preserve"> </v>
      </c>
      <c r="W390" s="53" t="str">
        <f>IFERROR(VLOOKUP($A390,'The List'!$B1:$AS727,30,FALSE)," ")</f>
        <v xml:space="preserve"> </v>
      </c>
      <c r="X390" s="53" t="str">
        <f>IFERROR(VLOOKUP($A390,'The List'!$B1:$AS727,31,FALSE)," ")</f>
        <v xml:space="preserve"> </v>
      </c>
      <c r="Y390" s="53" t="str">
        <f>IFERROR(VLOOKUP($A390,'The List'!$B1:$AS727,32,FALSE)," ")</f>
        <v xml:space="preserve"> </v>
      </c>
      <c r="Z390" s="53" t="str">
        <f>IFERROR(VLOOKUP($A390,'The List'!$B1:$AS727,33,FALSE)," ")</f>
        <v xml:space="preserve"> </v>
      </c>
      <c r="AA390" s="55"/>
      <c r="AB390" s="60"/>
      <c r="AC390" s="60"/>
      <c r="AD390" s="60"/>
      <c r="AE390" s="60"/>
      <c r="AF390" s="60"/>
    </row>
    <row r="391" spans="1:32" ht="21.25" customHeight="1" x14ac:dyDescent="0.15">
      <c r="A391" s="23"/>
      <c r="B391" s="68" t="str">
        <f>IFERROR(VLOOKUP($A391,'The List'!$B1:$AS727,3,FALSE)," ")</f>
        <v xml:space="preserve"> </v>
      </c>
      <c r="C391" s="70" t="str">
        <f>IFERROR(VLOOKUP($A391,'The List'!$B1:$AS727,4,FALSE)," ")</f>
        <v xml:space="preserve"> </v>
      </c>
      <c r="D391" s="35" t="str">
        <f>IFERROR(VLOOKUP($A391,'The List'!$B1:$AS727,5,FALSE)," ")</f>
        <v xml:space="preserve"> </v>
      </c>
      <c r="E391" s="35" t="str">
        <f>IFERROR(VLOOKUP($A391,'The List'!$B1:$AS727,6,FALSE)," ")</f>
        <v xml:space="preserve"> </v>
      </c>
      <c r="F391" s="52" t="str">
        <f>IFERROR(VLOOKUP($A391,'The List'!$B1:$AS727,8,FALSE)," ")</f>
        <v xml:space="preserve"> </v>
      </c>
      <c r="G391" s="52" t="str">
        <f>IFERROR(VLOOKUP($A391,'The List'!$B1:$AS727,10,FALSE)," ")</f>
        <v xml:space="preserve"> </v>
      </c>
      <c r="H391" s="39"/>
      <c r="I391" s="53" t="str">
        <f>IFERROR(VLOOKUP($A391,'The List'!$B1:$AS727,16,FALSE)," ")</f>
        <v xml:space="preserve"> </v>
      </c>
      <c r="J391" s="53" t="str">
        <f>IFERROR(VLOOKUP($A391,'The List'!$B1:$AS727,17,FALSE)," ")</f>
        <v xml:space="preserve"> </v>
      </c>
      <c r="K391" s="53" t="str">
        <f>IFERROR(VLOOKUP($A391,'The List'!$B1:$AS727,18,FALSE)," ")</f>
        <v xml:space="preserve"> </v>
      </c>
      <c r="L391" s="53" t="str">
        <f>IFERROR(VLOOKUP($A391,'The List'!$B1:$AS727,19,FALSE)," ")</f>
        <v xml:space="preserve"> </v>
      </c>
      <c r="M391" s="53" t="str">
        <f>IFERROR(VLOOKUP($A391,'The List'!$B1:$AS727,20,FALSE)," ")</f>
        <v xml:space="preserve"> </v>
      </c>
      <c r="N391" s="53" t="str">
        <f>IFERROR(VLOOKUP($A391,'The List'!$B1:$AS727,21,FALSE)," ")</f>
        <v xml:space="preserve"> </v>
      </c>
      <c r="O391" s="53" t="str">
        <f>IFERROR(VLOOKUP($A391,'The List'!$B1:$AS727,22,FALSE)," ")</f>
        <v xml:space="preserve"> </v>
      </c>
      <c r="P391" s="53" t="str">
        <f>IFERROR(VLOOKUP($A391,'The List'!$B1:$AS727,23,FALSE)," ")</f>
        <v xml:space="preserve"> </v>
      </c>
      <c r="Q391" s="53" t="str">
        <f>IFERROR(VLOOKUP($A391,'The List'!$B1:$AS727,24,FALSE)," ")</f>
        <v xml:space="preserve"> </v>
      </c>
      <c r="R391" s="53" t="str">
        <f>IFERROR(VLOOKUP($A391,'The List'!$B1:$AS727,25,FALSE)," ")</f>
        <v xml:space="preserve"> </v>
      </c>
      <c r="S391" s="53" t="str">
        <f>IFERROR(VLOOKUP($A391,'The List'!$B1:$AS727,26,FALSE)," ")</f>
        <v xml:space="preserve"> </v>
      </c>
      <c r="T391" s="53" t="str">
        <f>IFERROR(VLOOKUP($A391,'The List'!$B1:$AS727,27,FALSE)," ")</f>
        <v xml:space="preserve"> </v>
      </c>
      <c r="U391" s="53" t="str">
        <f>IFERROR(VLOOKUP($A391,'The List'!$B1:$AS727,28,FALSE)," ")</f>
        <v xml:space="preserve"> </v>
      </c>
      <c r="V391" s="53" t="str">
        <f>IFERROR(VLOOKUP($A391,'The List'!$B1:$AS727,29,FALSE)," ")</f>
        <v xml:space="preserve"> </v>
      </c>
      <c r="W391" s="53" t="str">
        <f>IFERROR(VLOOKUP($A391,'The List'!$B1:$AS727,30,FALSE)," ")</f>
        <v xml:space="preserve"> </v>
      </c>
      <c r="X391" s="53" t="str">
        <f>IFERROR(VLOOKUP($A391,'The List'!$B1:$AS727,31,FALSE)," ")</f>
        <v xml:space="preserve"> </v>
      </c>
      <c r="Y391" s="53" t="str">
        <f>IFERROR(VLOOKUP($A391,'The List'!$B1:$AS727,32,FALSE)," ")</f>
        <v xml:space="preserve"> </v>
      </c>
      <c r="Z391" s="53" t="str">
        <f>IFERROR(VLOOKUP($A391,'The List'!$B1:$AS727,33,FALSE)," ")</f>
        <v xml:space="preserve"> </v>
      </c>
      <c r="AA391" s="55"/>
      <c r="AB391" s="60"/>
      <c r="AC391" s="60"/>
      <c r="AD391" s="60"/>
      <c r="AE391" s="60"/>
      <c r="AF391" s="60"/>
    </row>
    <row r="392" spans="1:32" ht="21.25" customHeight="1" x14ac:dyDescent="0.15">
      <c r="A392" s="23"/>
      <c r="B392" s="68" t="str">
        <f>IFERROR(VLOOKUP($A392,'The List'!$B1:$AS727,3,FALSE)," ")</f>
        <v xml:space="preserve"> </v>
      </c>
      <c r="C392" s="70" t="str">
        <f>IFERROR(VLOOKUP($A392,'The List'!$B1:$AS727,4,FALSE)," ")</f>
        <v xml:space="preserve"> </v>
      </c>
      <c r="D392" s="35" t="str">
        <f>IFERROR(VLOOKUP($A392,'The List'!$B1:$AS727,5,FALSE)," ")</f>
        <v xml:space="preserve"> </v>
      </c>
      <c r="E392" s="35" t="str">
        <f>IFERROR(VLOOKUP($A392,'The List'!$B1:$AS727,6,FALSE)," ")</f>
        <v xml:space="preserve"> </v>
      </c>
      <c r="F392" s="52" t="str">
        <f>IFERROR(VLOOKUP($A392,'The List'!$B1:$AS727,8,FALSE)," ")</f>
        <v xml:space="preserve"> </v>
      </c>
      <c r="G392" s="52" t="str">
        <f>IFERROR(VLOOKUP($A392,'The List'!$B1:$AS727,10,FALSE)," ")</f>
        <v xml:space="preserve"> </v>
      </c>
      <c r="H392" s="39"/>
      <c r="I392" s="53" t="str">
        <f>IFERROR(VLOOKUP($A392,'The List'!$B1:$AS727,16,FALSE)," ")</f>
        <v xml:space="preserve"> </v>
      </c>
      <c r="J392" s="53" t="str">
        <f>IFERROR(VLOOKUP($A392,'The List'!$B1:$AS727,17,FALSE)," ")</f>
        <v xml:space="preserve"> </v>
      </c>
      <c r="K392" s="53" t="str">
        <f>IFERROR(VLOOKUP($A392,'The List'!$B1:$AS727,18,FALSE)," ")</f>
        <v xml:space="preserve"> </v>
      </c>
      <c r="L392" s="53" t="str">
        <f>IFERROR(VLOOKUP($A392,'The List'!$B1:$AS727,19,FALSE)," ")</f>
        <v xml:space="preserve"> </v>
      </c>
      <c r="M392" s="53" t="str">
        <f>IFERROR(VLOOKUP($A392,'The List'!$B1:$AS727,20,FALSE)," ")</f>
        <v xml:space="preserve"> </v>
      </c>
      <c r="N392" s="53" t="str">
        <f>IFERROR(VLOOKUP($A392,'The List'!$B1:$AS727,21,FALSE)," ")</f>
        <v xml:space="preserve"> </v>
      </c>
      <c r="O392" s="53" t="str">
        <f>IFERROR(VLOOKUP($A392,'The List'!$B1:$AS727,22,FALSE)," ")</f>
        <v xml:space="preserve"> </v>
      </c>
      <c r="P392" s="53" t="str">
        <f>IFERROR(VLOOKUP($A392,'The List'!$B1:$AS727,23,FALSE)," ")</f>
        <v xml:space="preserve"> </v>
      </c>
      <c r="Q392" s="53" t="str">
        <f>IFERROR(VLOOKUP($A392,'The List'!$B1:$AS727,24,FALSE)," ")</f>
        <v xml:space="preserve"> </v>
      </c>
      <c r="R392" s="53" t="str">
        <f>IFERROR(VLOOKUP($A392,'The List'!$B1:$AS727,25,FALSE)," ")</f>
        <v xml:space="preserve"> </v>
      </c>
      <c r="S392" s="53" t="str">
        <f>IFERROR(VLOOKUP($A392,'The List'!$B1:$AS727,26,FALSE)," ")</f>
        <v xml:space="preserve"> </v>
      </c>
      <c r="T392" s="53" t="str">
        <f>IFERROR(VLOOKUP($A392,'The List'!$B1:$AS727,27,FALSE)," ")</f>
        <v xml:space="preserve"> </v>
      </c>
      <c r="U392" s="53" t="str">
        <f>IFERROR(VLOOKUP($A392,'The List'!$B1:$AS727,28,FALSE)," ")</f>
        <v xml:space="preserve"> </v>
      </c>
      <c r="V392" s="53" t="str">
        <f>IFERROR(VLOOKUP($A392,'The List'!$B1:$AS727,29,FALSE)," ")</f>
        <v xml:space="preserve"> </v>
      </c>
      <c r="W392" s="53" t="str">
        <f>IFERROR(VLOOKUP($A392,'The List'!$B1:$AS727,30,FALSE)," ")</f>
        <v xml:space="preserve"> </v>
      </c>
      <c r="X392" s="53" t="str">
        <f>IFERROR(VLOOKUP($A392,'The List'!$B1:$AS727,31,FALSE)," ")</f>
        <v xml:space="preserve"> </v>
      </c>
      <c r="Y392" s="53" t="str">
        <f>IFERROR(VLOOKUP($A392,'The List'!$B1:$AS727,32,FALSE)," ")</f>
        <v xml:space="preserve"> </v>
      </c>
      <c r="Z392" s="53" t="str">
        <f>IFERROR(VLOOKUP($A392,'The List'!$B1:$AS727,33,FALSE)," ")</f>
        <v xml:space="preserve"> </v>
      </c>
      <c r="AA392" s="55"/>
      <c r="AB392" s="60"/>
      <c r="AC392" s="60"/>
      <c r="AD392" s="60"/>
      <c r="AE392" s="60"/>
      <c r="AF392" s="60"/>
    </row>
    <row r="393" spans="1:32" ht="21.25" customHeight="1" x14ac:dyDescent="0.15">
      <c r="A393" s="23"/>
      <c r="B393" s="68" t="str">
        <f>IFERROR(VLOOKUP($A393,'The List'!$B1:$AS727,3,FALSE)," ")</f>
        <v xml:space="preserve"> </v>
      </c>
      <c r="C393" s="70" t="str">
        <f>IFERROR(VLOOKUP($A393,'The List'!$B1:$AS727,4,FALSE)," ")</f>
        <v xml:space="preserve"> </v>
      </c>
      <c r="D393" s="35" t="str">
        <f>IFERROR(VLOOKUP($A393,'The List'!$B1:$AS727,5,FALSE)," ")</f>
        <v xml:space="preserve"> </v>
      </c>
      <c r="E393" s="35" t="str">
        <f>IFERROR(VLOOKUP($A393,'The List'!$B1:$AS727,6,FALSE)," ")</f>
        <v xml:space="preserve"> </v>
      </c>
      <c r="F393" s="52" t="str">
        <f>IFERROR(VLOOKUP($A393,'The List'!$B1:$AS727,8,FALSE)," ")</f>
        <v xml:space="preserve"> </v>
      </c>
      <c r="G393" s="52" t="str">
        <f>IFERROR(VLOOKUP($A393,'The List'!$B1:$AS727,10,FALSE)," ")</f>
        <v xml:space="preserve"> </v>
      </c>
      <c r="H393" s="39"/>
      <c r="I393" s="53" t="str">
        <f>IFERROR(VLOOKUP($A393,'The List'!$B1:$AS727,16,FALSE)," ")</f>
        <v xml:space="preserve"> </v>
      </c>
      <c r="J393" s="53" t="str">
        <f>IFERROR(VLOOKUP($A393,'The List'!$B1:$AS727,17,FALSE)," ")</f>
        <v xml:space="preserve"> </v>
      </c>
      <c r="K393" s="53" t="str">
        <f>IFERROR(VLOOKUP($A393,'The List'!$B1:$AS727,18,FALSE)," ")</f>
        <v xml:space="preserve"> </v>
      </c>
      <c r="L393" s="53" t="str">
        <f>IFERROR(VLOOKUP($A393,'The List'!$B1:$AS727,19,FALSE)," ")</f>
        <v xml:space="preserve"> </v>
      </c>
      <c r="M393" s="53" t="str">
        <f>IFERROR(VLOOKUP($A393,'The List'!$B1:$AS727,20,FALSE)," ")</f>
        <v xml:space="preserve"> </v>
      </c>
      <c r="N393" s="53" t="str">
        <f>IFERROR(VLOOKUP($A393,'The List'!$B1:$AS727,21,FALSE)," ")</f>
        <v xml:space="preserve"> </v>
      </c>
      <c r="O393" s="53" t="str">
        <f>IFERROR(VLOOKUP($A393,'The List'!$B1:$AS727,22,FALSE)," ")</f>
        <v xml:space="preserve"> </v>
      </c>
      <c r="P393" s="53" t="str">
        <f>IFERROR(VLOOKUP($A393,'The List'!$B1:$AS727,23,FALSE)," ")</f>
        <v xml:space="preserve"> </v>
      </c>
      <c r="Q393" s="53" t="str">
        <f>IFERROR(VLOOKUP($A393,'The List'!$B1:$AS727,24,FALSE)," ")</f>
        <v xml:space="preserve"> </v>
      </c>
      <c r="R393" s="53" t="str">
        <f>IFERROR(VLOOKUP($A393,'The List'!$B1:$AS727,25,FALSE)," ")</f>
        <v xml:space="preserve"> </v>
      </c>
      <c r="S393" s="53" t="str">
        <f>IFERROR(VLOOKUP($A393,'The List'!$B1:$AS727,26,FALSE)," ")</f>
        <v xml:space="preserve"> </v>
      </c>
      <c r="T393" s="53" t="str">
        <f>IFERROR(VLOOKUP($A393,'The List'!$B1:$AS727,27,FALSE)," ")</f>
        <v xml:space="preserve"> </v>
      </c>
      <c r="U393" s="53" t="str">
        <f>IFERROR(VLOOKUP($A393,'The List'!$B1:$AS727,28,FALSE)," ")</f>
        <v xml:space="preserve"> </v>
      </c>
      <c r="V393" s="53" t="str">
        <f>IFERROR(VLOOKUP($A393,'The List'!$B1:$AS727,29,FALSE)," ")</f>
        <v xml:space="preserve"> </v>
      </c>
      <c r="W393" s="53" t="str">
        <f>IFERROR(VLOOKUP($A393,'The List'!$B1:$AS727,30,FALSE)," ")</f>
        <v xml:space="preserve"> </v>
      </c>
      <c r="X393" s="53" t="str">
        <f>IFERROR(VLOOKUP($A393,'The List'!$B1:$AS727,31,FALSE)," ")</f>
        <v xml:space="preserve"> </v>
      </c>
      <c r="Y393" s="53" t="str">
        <f>IFERROR(VLOOKUP($A393,'The List'!$B1:$AS727,32,FALSE)," ")</f>
        <v xml:space="preserve"> </v>
      </c>
      <c r="Z393" s="53" t="str">
        <f>IFERROR(VLOOKUP($A393,'The List'!$B1:$AS727,33,FALSE)," ")</f>
        <v xml:space="preserve"> </v>
      </c>
      <c r="AA393" s="55"/>
      <c r="AB393" s="60"/>
      <c r="AC393" s="60"/>
      <c r="AD393" s="60"/>
      <c r="AE393" s="60"/>
      <c r="AF393" s="60"/>
    </row>
    <row r="394" spans="1:32" ht="21.25" customHeight="1" x14ac:dyDescent="0.15">
      <c r="A394" s="23"/>
      <c r="B394" s="68" t="str">
        <f>IFERROR(VLOOKUP($A394,'The List'!$B1:$AS727,3,FALSE)," ")</f>
        <v xml:space="preserve"> </v>
      </c>
      <c r="C394" s="70" t="str">
        <f>IFERROR(VLOOKUP($A394,'The List'!$B1:$AS727,4,FALSE)," ")</f>
        <v xml:space="preserve"> </v>
      </c>
      <c r="D394" s="35" t="str">
        <f>IFERROR(VLOOKUP($A394,'The List'!$B1:$AS727,5,FALSE)," ")</f>
        <v xml:space="preserve"> </v>
      </c>
      <c r="E394" s="35" t="str">
        <f>IFERROR(VLOOKUP($A394,'The List'!$B1:$AS727,6,FALSE)," ")</f>
        <v xml:space="preserve"> </v>
      </c>
      <c r="F394" s="52" t="str">
        <f>IFERROR(VLOOKUP($A394,'The List'!$B1:$AS727,8,FALSE)," ")</f>
        <v xml:space="preserve"> </v>
      </c>
      <c r="G394" s="52" t="str">
        <f>IFERROR(VLOOKUP($A394,'The List'!$B1:$AS727,10,FALSE)," ")</f>
        <v xml:space="preserve"> </v>
      </c>
      <c r="H394" s="39"/>
      <c r="I394" s="53" t="str">
        <f>IFERROR(VLOOKUP($A394,'The List'!$B1:$AS727,16,FALSE)," ")</f>
        <v xml:space="preserve"> </v>
      </c>
      <c r="J394" s="53" t="str">
        <f>IFERROR(VLOOKUP($A394,'The List'!$B1:$AS727,17,FALSE)," ")</f>
        <v xml:space="preserve"> </v>
      </c>
      <c r="K394" s="53" t="str">
        <f>IFERROR(VLOOKUP($A394,'The List'!$B1:$AS727,18,FALSE)," ")</f>
        <v xml:space="preserve"> </v>
      </c>
      <c r="L394" s="53" t="str">
        <f>IFERROR(VLOOKUP($A394,'The List'!$B1:$AS727,19,FALSE)," ")</f>
        <v xml:space="preserve"> </v>
      </c>
      <c r="M394" s="53" t="str">
        <f>IFERROR(VLOOKUP($A394,'The List'!$B1:$AS727,20,FALSE)," ")</f>
        <v xml:space="preserve"> </v>
      </c>
      <c r="N394" s="53" t="str">
        <f>IFERROR(VLOOKUP($A394,'The List'!$B1:$AS727,21,FALSE)," ")</f>
        <v xml:space="preserve"> </v>
      </c>
      <c r="O394" s="53" t="str">
        <f>IFERROR(VLOOKUP($A394,'The List'!$B1:$AS727,22,FALSE)," ")</f>
        <v xml:space="preserve"> </v>
      </c>
      <c r="P394" s="53" t="str">
        <f>IFERROR(VLOOKUP($A394,'The List'!$B1:$AS727,23,FALSE)," ")</f>
        <v xml:space="preserve"> </v>
      </c>
      <c r="Q394" s="53" t="str">
        <f>IFERROR(VLOOKUP($A394,'The List'!$B1:$AS727,24,FALSE)," ")</f>
        <v xml:space="preserve"> </v>
      </c>
      <c r="R394" s="53" t="str">
        <f>IFERROR(VLOOKUP($A394,'The List'!$B1:$AS727,25,FALSE)," ")</f>
        <v xml:space="preserve"> </v>
      </c>
      <c r="S394" s="53" t="str">
        <f>IFERROR(VLOOKUP($A394,'The List'!$B1:$AS727,26,FALSE)," ")</f>
        <v xml:space="preserve"> </v>
      </c>
      <c r="T394" s="53" t="str">
        <f>IFERROR(VLOOKUP($A394,'The List'!$B1:$AS727,27,FALSE)," ")</f>
        <v xml:space="preserve"> </v>
      </c>
      <c r="U394" s="53" t="str">
        <f>IFERROR(VLOOKUP($A394,'The List'!$B1:$AS727,28,FALSE)," ")</f>
        <v xml:space="preserve"> </v>
      </c>
      <c r="V394" s="53" t="str">
        <f>IFERROR(VLOOKUP($A394,'The List'!$B1:$AS727,29,FALSE)," ")</f>
        <v xml:space="preserve"> </v>
      </c>
      <c r="W394" s="53" t="str">
        <f>IFERROR(VLOOKUP($A394,'The List'!$B1:$AS727,30,FALSE)," ")</f>
        <v xml:space="preserve"> </v>
      </c>
      <c r="X394" s="53" t="str">
        <f>IFERROR(VLOOKUP($A394,'The List'!$B1:$AS727,31,FALSE)," ")</f>
        <v xml:space="preserve"> </v>
      </c>
      <c r="Y394" s="53" t="str">
        <f>IFERROR(VLOOKUP($A394,'The List'!$B1:$AS727,32,FALSE)," ")</f>
        <v xml:space="preserve"> </v>
      </c>
      <c r="Z394" s="53" t="str">
        <f>IFERROR(VLOOKUP($A394,'The List'!$B1:$AS727,33,FALSE)," ")</f>
        <v xml:space="preserve"> </v>
      </c>
      <c r="AA394" s="55"/>
      <c r="AB394" s="60"/>
      <c r="AC394" s="60"/>
      <c r="AD394" s="60"/>
      <c r="AE394" s="60"/>
      <c r="AF394" s="60"/>
    </row>
    <row r="395" spans="1:32" ht="21.25" customHeight="1" x14ac:dyDescent="0.15">
      <c r="A395" s="23"/>
      <c r="B395" s="68" t="str">
        <f>IFERROR(VLOOKUP($A395,'The List'!$B1:$AS727,3,FALSE)," ")</f>
        <v xml:space="preserve"> </v>
      </c>
      <c r="C395" s="70" t="str">
        <f>IFERROR(VLOOKUP($A395,'The List'!$B1:$AS727,4,FALSE)," ")</f>
        <v xml:space="preserve"> </v>
      </c>
      <c r="D395" s="35" t="str">
        <f>IFERROR(VLOOKUP($A395,'The List'!$B1:$AS727,5,FALSE)," ")</f>
        <v xml:space="preserve"> </v>
      </c>
      <c r="E395" s="35" t="str">
        <f>IFERROR(VLOOKUP($A395,'The List'!$B1:$AS727,6,FALSE)," ")</f>
        <v xml:space="preserve"> </v>
      </c>
      <c r="F395" s="52" t="str">
        <f>IFERROR(VLOOKUP($A395,'The List'!$B1:$AS727,8,FALSE)," ")</f>
        <v xml:space="preserve"> </v>
      </c>
      <c r="G395" s="52" t="str">
        <f>IFERROR(VLOOKUP($A395,'The List'!$B1:$AS727,10,FALSE)," ")</f>
        <v xml:space="preserve"> </v>
      </c>
      <c r="H395" s="39"/>
      <c r="I395" s="53" t="str">
        <f>IFERROR(VLOOKUP($A395,'The List'!$B1:$AS727,16,FALSE)," ")</f>
        <v xml:space="preserve"> </v>
      </c>
      <c r="J395" s="53" t="str">
        <f>IFERROR(VLOOKUP($A395,'The List'!$B1:$AS727,17,FALSE)," ")</f>
        <v xml:space="preserve"> </v>
      </c>
      <c r="K395" s="53" t="str">
        <f>IFERROR(VLOOKUP($A395,'The List'!$B1:$AS727,18,FALSE)," ")</f>
        <v xml:space="preserve"> </v>
      </c>
      <c r="L395" s="53" t="str">
        <f>IFERROR(VLOOKUP($A395,'The List'!$B1:$AS727,19,FALSE)," ")</f>
        <v xml:space="preserve"> </v>
      </c>
      <c r="M395" s="53" t="str">
        <f>IFERROR(VLOOKUP($A395,'The List'!$B1:$AS727,20,FALSE)," ")</f>
        <v xml:space="preserve"> </v>
      </c>
      <c r="N395" s="53" t="str">
        <f>IFERROR(VLOOKUP($A395,'The List'!$B1:$AS727,21,FALSE)," ")</f>
        <v xml:space="preserve"> </v>
      </c>
      <c r="O395" s="53" t="str">
        <f>IFERROR(VLOOKUP($A395,'The List'!$B1:$AS727,22,FALSE)," ")</f>
        <v xml:space="preserve"> </v>
      </c>
      <c r="P395" s="53" t="str">
        <f>IFERROR(VLOOKUP($A395,'The List'!$B1:$AS727,23,FALSE)," ")</f>
        <v xml:space="preserve"> </v>
      </c>
      <c r="Q395" s="53" t="str">
        <f>IFERROR(VLOOKUP($A395,'The List'!$B1:$AS727,24,FALSE)," ")</f>
        <v xml:space="preserve"> </v>
      </c>
      <c r="R395" s="53" t="str">
        <f>IFERROR(VLOOKUP($A395,'The List'!$B1:$AS727,25,FALSE)," ")</f>
        <v xml:space="preserve"> </v>
      </c>
      <c r="S395" s="53" t="str">
        <f>IFERROR(VLOOKUP($A395,'The List'!$B1:$AS727,26,FALSE)," ")</f>
        <v xml:space="preserve"> </v>
      </c>
      <c r="T395" s="53" t="str">
        <f>IFERROR(VLOOKUP($A395,'The List'!$B1:$AS727,27,FALSE)," ")</f>
        <v xml:space="preserve"> </v>
      </c>
      <c r="U395" s="53" t="str">
        <f>IFERROR(VLOOKUP($A395,'The List'!$B1:$AS727,28,FALSE)," ")</f>
        <v xml:space="preserve"> </v>
      </c>
      <c r="V395" s="53" t="str">
        <f>IFERROR(VLOOKUP($A395,'The List'!$B1:$AS727,29,FALSE)," ")</f>
        <v xml:space="preserve"> </v>
      </c>
      <c r="W395" s="53" t="str">
        <f>IFERROR(VLOOKUP($A395,'The List'!$B1:$AS727,30,FALSE)," ")</f>
        <v xml:space="preserve"> </v>
      </c>
      <c r="X395" s="53" t="str">
        <f>IFERROR(VLOOKUP($A395,'The List'!$B1:$AS727,31,FALSE)," ")</f>
        <v xml:space="preserve"> </v>
      </c>
      <c r="Y395" s="53" t="str">
        <f>IFERROR(VLOOKUP($A395,'The List'!$B1:$AS727,32,FALSE)," ")</f>
        <v xml:space="preserve"> </v>
      </c>
      <c r="Z395" s="53" t="str">
        <f>IFERROR(VLOOKUP($A395,'The List'!$B1:$AS727,33,FALSE)," ")</f>
        <v xml:space="preserve"> </v>
      </c>
      <c r="AA395" s="55"/>
      <c r="AB395" s="60"/>
      <c r="AC395" s="60"/>
      <c r="AD395" s="60"/>
      <c r="AE395" s="60"/>
      <c r="AF395" s="60"/>
    </row>
    <row r="396" spans="1:32" ht="21.25" customHeight="1" x14ac:dyDescent="0.15">
      <c r="A396" s="23"/>
      <c r="B396" s="68" t="str">
        <f>IFERROR(VLOOKUP($A396,'The List'!$B1:$AS727,3,FALSE)," ")</f>
        <v xml:space="preserve"> </v>
      </c>
      <c r="C396" s="70" t="str">
        <f>IFERROR(VLOOKUP($A396,'The List'!$B1:$AS727,4,FALSE)," ")</f>
        <v xml:space="preserve"> </v>
      </c>
      <c r="D396" s="35" t="str">
        <f>IFERROR(VLOOKUP($A396,'The List'!$B1:$AS727,5,FALSE)," ")</f>
        <v xml:space="preserve"> </v>
      </c>
      <c r="E396" s="35" t="str">
        <f>IFERROR(VLOOKUP($A396,'The List'!$B1:$AS727,6,FALSE)," ")</f>
        <v xml:space="preserve"> </v>
      </c>
      <c r="F396" s="52" t="str">
        <f>IFERROR(VLOOKUP($A396,'The List'!$B1:$AS727,8,FALSE)," ")</f>
        <v xml:space="preserve"> </v>
      </c>
      <c r="G396" s="52" t="str">
        <f>IFERROR(VLOOKUP($A396,'The List'!$B1:$AS727,10,FALSE)," ")</f>
        <v xml:space="preserve"> </v>
      </c>
      <c r="H396" s="39"/>
      <c r="I396" s="53" t="str">
        <f>IFERROR(VLOOKUP($A396,'The List'!$B1:$AS727,16,FALSE)," ")</f>
        <v xml:space="preserve"> </v>
      </c>
      <c r="J396" s="53" t="str">
        <f>IFERROR(VLOOKUP($A396,'The List'!$B1:$AS727,17,FALSE)," ")</f>
        <v xml:space="preserve"> </v>
      </c>
      <c r="K396" s="53" t="str">
        <f>IFERROR(VLOOKUP($A396,'The List'!$B1:$AS727,18,FALSE)," ")</f>
        <v xml:space="preserve"> </v>
      </c>
      <c r="L396" s="53" t="str">
        <f>IFERROR(VLOOKUP($A396,'The List'!$B1:$AS727,19,FALSE)," ")</f>
        <v xml:space="preserve"> </v>
      </c>
      <c r="M396" s="53" t="str">
        <f>IFERROR(VLOOKUP($A396,'The List'!$B1:$AS727,20,FALSE)," ")</f>
        <v xml:space="preserve"> </v>
      </c>
      <c r="N396" s="53" t="str">
        <f>IFERROR(VLOOKUP($A396,'The List'!$B1:$AS727,21,FALSE)," ")</f>
        <v xml:space="preserve"> </v>
      </c>
      <c r="O396" s="53" t="str">
        <f>IFERROR(VLOOKUP($A396,'The List'!$B1:$AS727,22,FALSE)," ")</f>
        <v xml:space="preserve"> </v>
      </c>
      <c r="P396" s="53" t="str">
        <f>IFERROR(VLOOKUP($A396,'The List'!$B1:$AS727,23,FALSE)," ")</f>
        <v xml:space="preserve"> </v>
      </c>
      <c r="Q396" s="53" t="str">
        <f>IFERROR(VLOOKUP($A396,'The List'!$B1:$AS727,24,FALSE)," ")</f>
        <v xml:space="preserve"> </v>
      </c>
      <c r="R396" s="53" t="str">
        <f>IFERROR(VLOOKUP($A396,'The List'!$B1:$AS727,25,FALSE)," ")</f>
        <v xml:space="preserve"> </v>
      </c>
      <c r="S396" s="53" t="str">
        <f>IFERROR(VLOOKUP($A396,'The List'!$B1:$AS727,26,FALSE)," ")</f>
        <v xml:space="preserve"> </v>
      </c>
      <c r="T396" s="53" t="str">
        <f>IFERROR(VLOOKUP($A396,'The List'!$B1:$AS727,27,FALSE)," ")</f>
        <v xml:space="preserve"> </v>
      </c>
      <c r="U396" s="53" t="str">
        <f>IFERROR(VLOOKUP($A396,'The List'!$B1:$AS727,28,FALSE)," ")</f>
        <v xml:space="preserve"> </v>
      </c>
      <c r="V396" s="53" t="str">
        <f>IFERROR(VLOOKUP($A396,'The List'!$B1:$AS727,29,FALSE)," ")</f>
        <v xml:space="preserve"> </v>
      </c>
      <c r="W396" s="53" t="str">
        <f>IFERROR(VLOOKUP($A396,'The List'!$B1:$AS727,30,FALSE)," ")</f>
        <v xml:space="preserve"> </v>
      </c>
      <c r="X396" s="53" t="str">
        <f>IFERROR(VLOOKUP($A396,'The List'!$B1:$AS727,31,FALSE)," ")</f>
        <v xml:space="preserve"> </v>
      </c>
      <c r="Y396" s="53" t="str">
        <f>IFERROR(VLOOKUP($A396,'The List'!$B1:$AS727,32,FALSE)," ")</f>
        <v xml:space="preserve"> </v>
      </c>
      <c r="Z396" s="53" t="str">
        <f>IFERROR(VLOOKUP($A396,'The List'!$B1:$AS727,33,FALSE)," ")</f>
        <v xml:space="preserve"> </v>
      </c>
      <c r="AA396" s="55"/>
      <c r="AB396" s="60"/>
      <c r="AC396" s="60"/>
      <c r="AD396" s="60"/>
      <c r="AE396" s="60"/>
      <c r="AF396" s="60"/>
    </row>
    <row r="397" spans="1:32" ht="21.25" customHeight="1" x14ac:dyDescent="0.15">
      <c r="A397" s="23"/>
      <c r="B397" s="68" t="str">
        <f>IFERROR(VLOOKUP($A397,'The List'!$B1:$AS727,3,FALSE)," ")</f>
        <v xml:space="preserve"> </v>
      </c>
      <c r="C397" s="70" t="str">
        <f>IFERROR(VLOOKUP($A397,'The List'!$B1:$AS727,4,FALSE)," ")</f>
        <v xml:space="preserve"> </v>
      </c>
      <c r="D397" s="35" t="str">
        <f>IFERROR(VLOOKUP($A397,'The List'!$B1:$AS727,5,FALSE)," ")</f>
        <v xml:space="preserve"> </v>
      </c>
      <c r="E397" s="35" t="str">
        <f>IFERROR(VLOOKUP($A397,'The List'!$B1:$AS727,6,FALSE)," ")</f>
        <v xml:space="preserve"> </v>
      </c>
      <c r="F397" s="52" t="str">
        <f>IFERROR(VLOOKUP($A397,'The List'!$B1:$AS727,8,FALSE)," ")</f>
        <v xml:space="preserve"> </v>
      </c>
      <c r="G397" s="52" t="str">
        <f>IFERROR(VLOOKUP($A397,'The List'!$B1:$AS727,10,FALSE)," ")</f>
        <v xml:space="preserve"> </v>
      </c>
      <c r="H397" s="39"/>
      <c r="I397" s="53" t="str">
        <f>IFERROR(VLOOKUP($A397,'The List'!$B1:$AS727,16,FALSE)," ")</f>
        <v xml:space="preserve"> </v>
      </c>
      <c r="J397" s="53" t="str">
        <f>IFERROR(VLOOKUP($A397,'The List'!$B1:$AS727,17,FALSE)," ")</f>
        <v xml:space="preserve"> </v>
      </c>
      <c r="K397" s="53" t="str">
        <f>IFERROR(VLOOKUP($A397,'The List'!$B1:$AS727,18,FALSE)," ")</f>
        <v xml:space="preserve"> </v>
      </c>
      <c r="L397" s="53" t="str">
        <f>IFERROR(VLOOKUP($A397,'The List'!$B1:$AS727,19,FALSE)," ")</f>
        <v xml:space="preserve"> </v>
      </c>
      <c r="M397" s="53" t="str">
        <f>IFERROR(VLOOKUP($A397,'The List'!$B1:$AS727,20,FALSE)," ")</f>
        <v xml:space="preserve"> </v>
      </c>
      <c r="N397" s="53" t="str">
        <f>IFERROR(VLOOKUP($A397,'The List'!$B1:$AS727,21,FALSE)," ")</f>
        <v xml:space="preserve"> </v>
      </c>
      <c r="O397" s="53" t="str">
        <f>IFERROR(VLOOKUP($A397,'The List'!$B1:$AS727,22,FALSE)," ")</f>
        <v xml:space="preserve"> </v>
      </c>
      <c r="P397" s="53" t="str">
        <f>IFERROR(VLOOKUP($A397,'The List'!$B1:$AS727,23,FALSE)," ")</f>
        <v xml:space="preserve"> </v>
      </c>
      <c r="Q397" s="53" t="str">
        <f>IFERROR(VLOOKUP($A397,'The List'!$B1:$AS727,24,FALSE)," ")</f>
        <v xml:space="preserve"> </v>
      </c>
      <c r="R397" s="53" t="str">
        <f>IFERROR(VLOOKUP($A397,'The List'!$B1:$AS727,25,FALSE)," ")</f>
        <v xml:space="preserve"> </v>
      </c>
      <c r="S397" s="53" t="str">
        <f>IFERROR(VLOOKUP($A397,'The List'!$B1:$AS727,26,FALSE)," ")</f>
        <v xml:space="preserve"> </v>
      </c>
      <c r="T397" s="53" t="str">
        <f>IFERROR(VLOOKUP($A397,'The List'!$B1:$AS727,27,FALSE)," ")</f>
        <v xml:space="preserve"> </v>
      </c>
      <c r="U397" s="53" t="str">
        <f>IFERROR(VLOOKUP($A397,'The List'!$B1:$AS727,28,FALSE)," ")</f>
        <v xml:space="preserve"> </v>
      </c>
      <c r="V397" s="53" t="str">
        <f>IFERROR(VLOOKUP($A397,'The List'!$B1:$AS727,29,FALSE)," ")</f>
        <v xml:space="preserve"> </v>
      </c>
      <c r="W397" s="53" t="str">
        <f>IFERROR(VLOOKUP($A397,'The List'!$B1:$AS727,30,FALSE)," ")</f>
        <v xml:space="preserve"> </v>
      </c>
      <c r="X397" s="53" t="str">
        <f>IFERROR(VLOOKUP($A397,'The List'!$B1:$AS727,31,FALSE)," ")</f>
        <v xml:space="preserve"> </v>
      </c>
      <c r="Y397" s="53" t="str">
        <f>IFERROR(VLOOKUP($A397,'The List'!$B1:$AS727,32,FALSE)," ")</f>
        <v xml:space="preserve"> </v>
      </c>
      <c r="Z397" s="53" t="str">
        <f>IFERROR(VLOOKUP($A397,'The List'!$B1:$AS727,33,FALSE)," ")</f>
        <v xml:space="preserve"> </v>
      </c>
      <c r="AA397" s="55"/>
      <c r="AB397" s="60"/>
      <c r="AC397" s="60"/>
      <c r="AD397" s="60"/>
      <c r="AE397" s="60"/>
      <c r="AF397" s="60"/>
    </row>
    <row r="398" spans="1:32" ht="21.25" customHeight="1" x14ac:dyDescent="0.15">
      <c r="A398" s="72"/>
      <c r="B398" s="73" t="str">
        <f>IFERROR(VLOOKUP($A398,'The List'!$B1:$AS727,3,FALSE)," ")</f>
        <v xml:space="preserve"> </v>
      </c>
      <c r="C398" s="74" t="str">
        <f>IFERROR(VLOOKUP($A398,'The List'!$B1:$AS727,4,FALSE)," ")</f>
        <v xml:space="preserve"> </v>
      </c>
      <c r="D398" s="75" t="str">
        <f>IFERROR(VLOOKUP($A398,'The List'!$B1:$AS727,5,FALSE)," ")</f>
        <v xml:space="preserve"> </v>
      </c>
      <c r="E398" s="75" t="str">
        <f>IFERROR(VLOOKUP($A398,'The List'!$B1:$AS727,6,FALSE)," ")</f>
        <v xml:space="preserve"> </v>
      </c>
      <c r="F398" s="76" t="str">
        <f>IFERROR(VLOOKUP($A398,'The List'!$B1:$AS727,8,FALSE)," ")</f>
        <v xml:space="preserve"> </v>
      </c>
      <c r="G398" s="76" t="str">
        <f>IFERROR(VLOOKUP($A398,'The List'!$B1:$AS727,10,FALSE)," ")</f>
        <v xml:space="preserve"> </v>
      </c>
      <c r="H398" s="77"/>
      <c r="I398" s="78" t="str">
        <f>IFERROR(VLOOKUP($A398,'The List'!$B1:$AS727,16,FALSE)," ")</f>
        <v xml:space="preserve"> </v>
      </c>
      <c r="J398" s="78" t="str">
        <f>IFERROR(VLOOKUP($A398,'The List'!$B1:$AS727,17,FALSE)," ")</f>
        <v xml:space="preserve"> </v>
      </c>
      <c r="K398" s="78" t="str">
        <f>IFERROR(VLOOKUP($A398,'The List'!$B1:$AS727,18,FALSE)," ")</f>
        <v xml:space="preserve"> </v>
      </c>
      <c r="L398" s="78" t="str">
        <f>IFERROR(VLOOKUP($A398,'The List'!$B1:$AS727,19,FALSE)," ")</f>
        <v xml:space="preserve"> </v>
      </c>
      <c r="M398" s="78" t="str">
        <f>IFERROR(VLOOKUP($A398,'The List'!$B1:$AS727,20,FALSE)," ")</f>
        <v xml:space="preserve"> </v>
      </c>
      <c r="N398" s="78" t="str">
        <f>IFERROR(VLOOKUP($A398,'The List'!$B1:$AS727,21,FALSE)," ")</f>
        <v xml:space="preserve"> </v>
      </c>
      <c r="O398" s="78" t="str">
        <f>IFERROR(VLOOKUP($A398,'The List'!$B1:$AS727,22,FALSE)," ")</f>
        <v xml:space="preserve"> </v>
      </c>
      <c r="P398" s="78" t="str">
        <f>IFERROR(VLOOKUP($A398,'The List'!$B1:$AS727,23,FALSE)," ")</f>
        <v xml:space="preserve"> </v>
      </c>
      <c r="Q398" s="78" t="str">
        <f>IFERROR(VLOOKUP($A398,'The List'!$B1:$AS727,24,FALSE)," ")</f>
        <v xml:space="preserve"> </v>
      </c>
      <c r="R398" s="78" t="str">
        <f>IFERROR(VLOOKUP($A398,'The List'!$B1:$AS727,25,FALSE)," ")</f>
        <v xml:space="preserve"> </v>
      </c>
      <c r="S398" s="78" t="str">
        <f>IFERROR(VLOOKUP($A398,'The List'!$B1:$AS727,26,FALSE)," ")</f>
        <v xml:space="preserve"> </v>
      </c>
      <c r="T398" s="78" t="str">
        <f>IFERROR(VLOOKUP($A398,'The List'!$B1:$AS727,27,FALSE)," ")</f>
        <v xml:space="preserve"> </v>
      </c>
      <c r="U398" s="78" t="str">
        <f>IFERROR(VLOOKUP($A398,'The List'!$B1:$AS727,28,FALSE)," ")</f>
        <v xml:space="preserve"> </v>
      </c>
      <c r="V398" s="78" t="str">
        <f>IFERROR(VLOOKUP($A398,'The List'!$B1:$AS727,29,FALSE)," ")</f>
        <v xml:space="preserve"> </v>
      </c>
      <c r="W398" s="78" t="str">
        <f>IFERROR(VLOOKUP($A398,'The List'!$B1:$AS727,30,FALSE)," ")</f>
        <v xml:space="preserve"> </v>
      </c>
      <c r="X398" s="78" t="str">
        <f>IFERROR(VLOOKUP($A398,'The List'!$B1:$AS727,31,FALSE)," ")</f>
        <v xml:space="preserve"> </v>
      </c>
      <c r="Y398" s="78" t="str">
        <f>IFERROR(VLOOKUP($A398,'The List'!$B1:$AS727,32,FALSE)," ")</f>
        <v xml:space="preserve"> </v>
      </c>
      <c r="Z398" s="78" t="str">
        <f>IFERROR(VLOOKUP($A398,'The List'!$B1:$AS727,33,FALSE)," ")</f>
        <v xml:space="preserve"> </v>
      </c>
      <c r="AA398" s="55"/>
      <c r="AB398" s="60"/>
      <c r="AC398" s="60"/>
      <c r="AD398" s="60"/>
      <c r="AE398" s="60"/>
      <c r="AF398" s="60"/>
    </row>
    <row r="399" spans="1:32" ht="21.25" customHeight="1" x14ac:dyDescent="0.15">
      <c r="A399" s="79"/>
      <c r="B399" s="80"/>
      <c r="C399" s="81"/>
      <c r="D399" s="82"/>
      <c r="E399" s="117" t="str">
        <f>IFERROR(AVERAGE(E379:E398)," ")</f>
        <v xml:space="preserve"> </v>
      </c>
      <c r="F399" s="84">
        <f>SUM(F379:F398)</f>
        <v>0</v>
      </c>
      <c r="G399" s="84">
        <f>SUM(G379:G398)</f>
        <v>0</v>
      </c>
      <c r="H399" s="85"/>
      <c r="I399" s="86">
        <f>SUM(I379:I398)</f>
        <v>0</v>
      </c>
      <c r="J399" s="85" t="e">
        <f>AVERAGE(J379:J398)</f>
        <v>#DIV/0!</v>
      </c>
      <c r="K399" s="86">
        <f t="shared" ref="K399:Y399" si="26">SUM(K379:K398)</f>
        <v>0</v>
      </c>
      <c r="L399" s="86">
        <f t="shared" si="26"/>
        <v>0</v>
      </c>
      <c r="M399" s="86">
        <f t="shared" si="26"/>
        <v>0</v>
      </c>
      <c r="N399" s="86">
        <f t="shared" si="26"/>
        <v>0</v>
      </c>
      <c r="O399" s="86">
        <f t="shared" si="26"/>
        <v>0</v>
      </c>
      <c r="P399" s="86">
        <f t="shared" si="26"/>
        <v>0</v>
      </c>
      <c r="Q399" s="86">
        <f t="shared" si="26"/>
        <v>0</v>
      </c>
      <c r="R399" s="86">
        <f t="shared" si="26"/>
        <v>0</v>
      </c>
      <c r="S399" s="86">
        <f t="shared" si="26"/>
        <v>0</v>
      </c>
      <c r="T399" s="86">
        <f t="shared" si="26"/>
        <v>0</v>
      </c>
      <c r="U399" s="86">
        <f t="shared" si="26"/>
        <v>0</v>
      </c>
      <c r="V399" s="86">
        <f t="shared" si="26"/>
        <v>0</v>
      </c>
      <c r="W399" s="86">
        <f t="shared" si="26"/>
        <v>0</v>
      </c>
      <c r="X399" s="86">
        <f t="shared" si="26"/>
        <v>0</v>
      </c>
      <c r="Y399" s="86">
        <f t="shared" si="26"/>
        <v>0</v>
      </c>
      <c r="Z399" s="87">
        <f>IFERROR(X399/(X399+Y399),0)</f>
        <v>0</v>
      </c>
      <c r="AA399" s="55"/>
      <c r="AB399" s="88"/>
      <c r="AC399" s="88"/>
      <c r="AD399" s="88"/>
      <c r="AE399" s="88"/>
      <c r="AF399" s="88"/>
    </row>
    <row r="400" spans="1:32" ht="21.25" customHeight="1" x14ac:dyDescent="0.15">
      <c r="A400" s="89"/>
      <c r="B400" s="90"/>
      <c r="C400" s="91"/>
      <c r="D400" s="11"/>
      <c r="E400" s="11"/>
      <c r="F400" s="92"/>
      <c r="G400" s="93"/>
      <c r="H400" s="94"/>
      <c r="I400" s="9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60"/>
      <c r="AC400" s="60"/>
      <c r="AD400" s="60"/>
      <c r="AE400" s="60"/>
      <c r="AF400" s="60"/>
    </row>
    <row r="401" spans="1:32" ht="21.25" customHeight="1" x14ac:dyDescent="0.15">
      <c r="A401" s="24" t="s">
        <v>66</v>
      </c>
      <c r="B401" s="174" t="s">
        <v>68</v>
      </c>
      <c r="C401" s="165"/>
      <c r="D401" s="96" t="s">
        <v>69</v>
      </c>
      <c r="E401" s="96" t="s">
        <v>70</v>
      </c>
      <c r="F401" s="97" t="s">
        <v>72</v>
      </c>
      <c r="G401" s="97" t="s">
        <v>74</v>
      </c>
      <c r="H401" s="98"/>
      <c r="I401" s="99" t="s">
        <v>79</v>
      </c>
      <c r="J401" s="99" t="s">
        <v>97</v>
      </c>
      <c r="K401" s="99" t="s">
        <v>98</v>
      </c>
      <c r="L401" s="99" t="s">
        <v>99</v>
      </c>
      <c r="M401" s="99" t="s">
        <v>100</v>
      </c>
      <c r="N401" s="99" t="s">
        <v>101</v>
      </c>
      <c r="O401" s="99" t="s">
        <v>102</v>
      </c>
      <c r="P401" s="99" t="s">
        <v>103</v>
      </c>
      <c r="Q401" s="99" t="s">
        <v>104</v>
      </c>
      <c r="R401" s="55"/>
      <c r="S401" s="55"/>
      <c r="T401" s="55"/>
      <c r="U401" s="174" t="s">
        <v>850</v>
      </c>
      <c r="V401" s="175"/>
      <c r="W401" s="175"/>
      <c r="X401" s="174" t="s">
        <v>851</v>
      </c>
      <c r="Y401" s="175"/>
      <c r="Z401" s="175"/>
      <c r="AA401" s="55"/>
      <c r="AB401" s="55"/>
      <c r="AC401" s="55"/>
      <c r="AD401" s="55"/>
      <c r="AE401" s="55"/>
      <c r="AF401" s="55"/>
    </row>
    <row r="402" spans="1:32" ht="21.25" customHeight="1" x14ac:dyDescent="0.15">
      <c r="A402" s="118"/>
      <c r="B402" s="101" t="str">
        <f>IFERROR(VLOOKUP($A402,'The List'!$B1:$AS727,3,FALSE)," ")</f>
        <v xml:space="preserve"> </v>
      </c>
      <c r="C402" s="119" t="str">
        <f>IFERROR(VLOOKUP($A402,'The List'!$B1:$AS727,4,FALSE)," ")</f>
        <v xml:space="preserve"> </v>
      </c>
      <c r="D402" s="103" t="str">
        <f>IFERROR(VLOOKUP($A402,'The List'!$B1:$AS727,5,FALSE)," ")</f>
        <v xml:space="preserve"> </v>
      </c>
      <c r="E402" s="103" t="str">
        <f>IFERROR(VLOOKUP($A402,'The List'!$B1:$AS727,6,FALSE)," ")</f>
        <v xml:space="preserve"> </v>
      </c>
      <c r="F402" s="120" t="str">
        <f>IFERROR(VLOOKUP($A402,'The List'!$B1:$AS727,8,FALSE)," ")</f>
        <v xml:space="preserve"> </v>
      </c>
      <c r="G402" s="120" t="str">
        <f>IFERROR(VLOOKUP($A402,'The List'!$B1:$AS727,10,FALSE)," ")</f>
        <v xml:space="preserve"> </v>
      </c>
      <c r="H402" s="106"/>
      <c r="I402" s="121" t="str">
        <f>IFERROR(VLOOKUP($A402,'The List'!$B1:$AS727,35,FALSE)," ")</f>
        <v xml:space="preserve"> </v>
      </c>
      <c r="J402" s="121" t="str">
        <f>IFERROR(VLOOKUP($A402,'The List'!$B1:$AS727,36,FALSE)," ")</f>
        <v xml:space="preserve"> </v>
      </c>
      <c r="K402" s="121" t="str">
        <f>IFERROR(VLOOKUP($A402,'The List'!$B1:$AS727,37,FALSE)," ")</f>
        <v xml:space="preserve"> </v>
      </c>
      <c r="L402" s="121" t="str">
        <f>IFERROR(VLOOKUP($A402,'The List'!$B1:$AS727,38,FALSE)," ")</f>
        <v xml:space="preserve"> </v>
      </c>
      <c r="M402" s="121" t="str">
        <f>IFERROR(VLOOKUP($A402,'The List'!$B1:$AS727,39,FALSE)," ")</f>
        <v xml:space="preserve"> </v>
      </c>
      <c r="N402" s="121" t="str">
        <f>IFERROR(VLOOKUP($A402,'The List'!$B1:$AS727,40,FALSE)," ")</f>
        <v xml:space="preserve"> </v>
      </c>
      <c r="O402" s="121" t="str">
        <f>IFERROR(VLOOKUP($A402,'The List'!$B1:$AS727,41,FALSE)," ")</f>
        <v xml:space="preserve"> </v>
      </c>
      <c r="P402" s="121" t="str">
        <f>IFERROR(VLOOKUP($A402,'The List'!$B1:$AS727,42,FALSE)," ")</f>
        <v xml:space="preserve"> </v>
      </c>
      <c r="Q402" s="121" t="str">
        <f>IFERROR(VLOOKUP($A402,'The List'!$B1:$AS727,43,FALSE)," ")</f>
        <v xml:space="preserve"> </v>
      </c>
      <c r="R402" s="55"/>
      <c r="S402" s="55"/>
      <c r="T402" s="110" t="str">
        <f>A378</f>
        <v>TEAM 14</v>
      </c>
      <c r="U402" s="176">
        <f>F399+F405</f>
        <v>0</v>
      </c>
      <c r="V402" s="165"/>
      <c r="W402" s="165"/>
      <c r="X402" s="176">
        <f>G405+G399</f>
        <v>0</v>
      </c>
      <c r="Y402" s="165"/>
      <c r="Z402" s="165"/>
      <c r="AA402" s="55"/>
      <c r="AB402" s="55"/>
      <c r="AC402" s="55"/>
      <c r="AD402" s="55"/>
      <c r="AE402" s="55"/>
      <c r="AF402" s="55"/>
    </row>
    <row r="403" spans="1:32" ht="21.25" customHeight="1" x14ac:dyDescent="0.15">
      <c r="A403" s="23"/>
      <c r="B403" s="111" t="str">
        <f>IFERROR(VLOOKUP($A403,'The List'!$B1:$AS727,3,FALSE)," ")</f>
        <v xml:space="preserve"> </v>
      </c>
      <c r="C403" s="112" t="str">
        <f>IFERROR(VLOOKUP($A403,'The List'!$B1:$AS727,4,FALSE)," ")</f>
        <v xml:space="preserve"> </v>
      </c>
      <c r="D403" s="35" t="str">
        <f>IFERROR(VLOOKUP($A403,'The List'!$B1:$AS727,5,FALSE)," ")</f>
        <v xml:space="preserve"> </v>
      </c>
      <c r="E403" s="35" t="str">
        <f>IFERROR(VLOOKUP($A403,'The List'!$B1:$AS727,6,FALSE)," ")</f>
        <v xml:space="preserve"> </v>
      </c>
      <c r="F403" s="52" t="str">
        <f>IFERROR(VLOOKUP($A403,'The List'!$B1:$AS727,8,FALSE)," ")</f>
        <v xml:space="preserve"> </v>
      </c>
      <c r="G403" s="52" t="str">
        <f>IFERROR(VLOOKUP($A403,'The List'!$B1:$AS727,10,FALSE)," ")</f>
        <v xml:space="preserve"> </v>
      </c>
      <c r="H403" s="39"/>
      <c r="I403" s="53" t="str">
        <f>IFERROR(VLOOKUP($A403,'The List'!$B1:$AS727,35,FALSE)," ")</f>
        <v xml:space="preserve"> </v>
      </c>
      <c r="J403" s="53" t="str">
        <f>IFERROR(VLOOKUP($A403,'The List'!$B1:$AS727,36,FALSE)," ")</f>
        <v xml:space="preserve"> </v>
      </c>
      <c r="K403" s="53" t="str">
        <f>IFERROR(VLOOKUP($A403,'The List'!$B1:$AS727,37,FALSE)," ")</f>
        <v xml:space="preserve"> </v>
      </c>
      <c r="L403" s="53" t="str">
        <f>IFERROR(VLOOKUP($A403,'The List'!$B1:$AS727,38,FALSE)," ")</f>
        <v xml:space="preserve"> </v>
      </c>
      <c r="M403" s="53" t="str">
        <f>IFERROR(VLOOKUP($A403,'The List'!$B1:$AS727,39,FALSE)," ")</f>
        <v xml:space="preserve"> </v>
      </c>
      <c r="N403" s="53" t="str">
        <f>IFERROR(VLOOKUP($A403,'The List'!$B1:$AS727,40,FALSE)," ")</f>
        <v xml:space="preserve"> </v>
      </c>
      <c r="O403" s="53" t="str">
        <f>IFERROR(VLOOKUP($A403,'The List'!$B1:$AS727,41,FALSE)," ")</f>
        <v xml:space="preserve"> </v>
      </c>
      <c r="P403" s="53" t="str">
        <f>IFERROR(VLOOKUP($A403,'The List'!$B1:$AS727,42,FALSE)," ")</f>
        <v xml:space="preserve"> </v>
      </c>
      <c r="Q403" s="53" t="str">
        <f>IFERROR(VLOOKUP($A403,'The List'!$B1:$AS727,43,FALSE)," ")</f>
        <v xml:space="preserve"> </v>
      </c>
      <c r="R403" s="55"/>
      <c r="S403" s="55"/>
      <c r="T403" s="55"/>
      <c r="U403" s="165"/>
      <c r="V403" s="165"/>
      <c r="W403" s="165"/>
      <c r="X403" s="165"/>
      <c r="Y403" s="165"/>
      <c r="Z403" s="165"/>
      <c r="AA403" s="55"/>
      <c r="AB403" s="55"/>
      <c r="AC403" s="55"/>
      <c r="AD403" s="55"/>
      <c r="AE403" s="55"/>
      <c r="AF403" s="55"/>
    </row>
    <row r="404" spans="1:32" ht="21.25" customHeight="1" x14ac:dyDescent="0.15">
      <c r="A404" s="72"/>
      <c r="B404" s="113" t="str">
        <f>IFERROR(VLOOKUP($A404,'The List'!$B1:$AS727,3,FALSE)," ")</f>
        <v xml:space="preserve"> </v>
      </c>
      <c r="C404" s="114" t="str">
        <f>IFERROR(VLOOKUP($A404,'The List'!$B1:$AS727,4,FALSE)," ")</f>
        <v xml:space="preserve"> </v>
      </c>
      <c r="D404" s="75" t="str">
        <f>IFERROR(VLOOKUP($A404,'The List'!$B1:$AS727,5,FALSE)," ")</f>
        <v xml:space="preserve"> </v>
      </c>
      <c r="E404" s="75" t="str">
        <f>IFERROR(VLOOKUP($A404,'The List'!$B1:$AS727,6,FALSE)," ")</f>
        <v xml:space="preserve"> </v>
      </c>
      <c r="F404" s="76" t="str">
        <f>IFERROR(VLOOKUP($A404,'The List'!$B1:$AS727,8,FALSE)," ")</f>
        <v xml:space="preserve"> </v>
      </c>
      <c r="G404" s="76" t="str">
        <f>IFERROR(VLOOKUP($A404,'The List'!$B1:$AS727,10,FALSE)," ")</f>
        <v xml:space="preserve"> </v>
      </c>
      <c r="H404" s="77"/>
      <c r="I404" s="78" t="str">
        <f>IFERROR(VLOOKUP($A404,'The List'!$B1:$AS727,35,FALSE)," ")</f>
        <v xml:space="preserve"> </v>
      </c>
      <c r="J404" s="78" t="str">
        <f>IFERROR(VLOOKUP($A404,'The List'!$B1:$AS727,36,FALSE)," ")</f>
        <v xml:space="preserve"> </v>
      </c>
      <c r="K404" s="78" t="str">
        <f>IFERROR(VLOOKUP($A404,'The List'!$B1:$AS727,37,FALSE)," ")</f>
        <v xml:space="preserve"> </v>
      </c>
      <c r="L404" s="78" t="str">
        <f>IFERROR(VLOOKUP($A404,'The List'!$B1:$AS727,38,FALSE)," ")</f>
        <v xml:space="preserve"> </v>
      </c>
      <c r="M404" s="78" t="str">
        <f>IFERROR(VLOOKUP($A404,'The List'!$B1:$AS727,39,FALSE)," ")</f>
        <v xml:space="preserve"> </v>
      </c>
      <c r="N404" s="78" t="str">
        <f>IFERROR(VLOOKUP($A404,'The List'!$B1:$AS727,40,FALSE)," ")</f>
        <v xml:space="preserve"> </v>
      </c>
      <c r="O404" s="78" t="str">
        <f>IFERROR(VLOOKUP($A404,'The List'!$B1:$AS727,41,FALSE)," ")</f>
        <v xml:space="preserve"> </v>
      </c>
      <c r="P404" s="78" t="str">
        <f>IFERROR(VLOOKUP($A404,'The List'!$B1:$AS727,42,FALSE)," ")</f>
        <v xml:space="preserve"> </v>
      </c>
      <c r="Q404" s="78" t="str">
        <f>IFERROR(VLOOKUP($A404,'The List'!$B1:$AS727,43,FALSE)," ")</f>
        <v xml:space="preserve"> </v>
      </c>
      <c r="R404" s="55"/>
      <c r="S404" s="55"/>
      <c r="T404" s="55"/>
      <c r="U404" s="165"/>
      <c r="V404" s="165"/>
      <c r="W404" s="165"/>
      <c r="X404" s="165"/>
      <c r="Y404" s="165"/>
      <c r="Z404" s="165"/>
      <c r="AA404" s="55"/>
      <c r="AB404" s="55"/>
      <c r="AC404" s="55"/>
      <c r="AD404" s="55"/>
      <c r="AE404" s="55"/>
      <c r="AF404" s="55"/>
    </row>
    <row r="405" spans="1:32" ht="21.25" customHeight="1" x14ac:dyDescent="0.15">
      <c r="A405" s="79"/>
      <c r="B405" s="80"/>
      <c r="C405" s="81"/>
      <c r="D405" s="82"/>
      <c r="E405" s="117" t="str">
        <f>IFERROR(AVERAGE(E402:E404)," ")</f>
        <v xml:space="preserve"> </v>
      </c>
      <c r="F405" s="84">
        <f>SUM(F402:F404)</f>
        <v>0</v>
      </c>
      <c r="G405" s="84">
        <f>SUM(G402:G404)</f>
        <v>0</v>
      </c>
      <c r="H405" s="85"/>
      <c r="I405" s="86">
        <f t="shared" ref="I405:O405" si="27">SUM(I402:I404)</f>
        <v>0</v>
      </c>
      <c r="J405" s="85">
        <f t="shared" si="27"/>
        <v>0</v>
      </c>
      <c r="K405" s="86">
        <f t="shared" si="27"/>
        <v>0</v>
      </c>
      <c r="L405" s="86">
        <f t="shared" si="27"/>
        <v>0</v>
      </c>
      <c r="M405" s="86">
        <f t="shared" si="27"/>
        <v>0</v>
      </c>
      <c r="N405" s="86">
        <f t="shared" si="27"/>
        <v>0</v>
      </c>
      <c r="O405" s="86">
        <f t="shared" si="27"/>
        <v>0</v>
      </c>
      <c r="P405" s="115" t="e">
        <f>1-(O405/(N405+O405))</f>
        <v>#DIV/0!</v>
      </c>
      <c r="Q405" s="116" t="e">
        <f>O405/I405</f>
        <v>#DIV/0!</v>
      </c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</row>
    <row r="406" spans="1:32" ht="70.75" customHeight="1" x14ac:dyDescent="0.15">
      <c r="A406" s="89"/>
      <c r="B406" s="90"/>
      <c r="C406" s="91"/>
      <c r="D406" s="11"/>
      <c r="E406" s="11"/>
      <c r="F406" s="92"/>
      <c r="G406" s="93"/>
      <c r="H406" s="94"/>
      <c r="I406" s="9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60"/>
      <c r="AB406" s="60"/>
      <c r="AC406" s="60"/>
      <c r="AD406" s="60"/>
      <c r="AE406" s="60"/>
      <c r="AF406" s="60"/>
    </row>
    <row r="407" spans="1:32" ht="21.25" customHeight="1" x14ac:dyDescent="0.15">
      <c r="A407" s="25" t="s">
        <v>848</v>
      </c>
      <c r="B407" s="173" t="s">
        <v>68</v>
      </c>
      <c r="C407" s="170"/>
      <c r="D407" s="26" t="s">
        <v>69</v>
      </c>
      <c r="E407" s="26" t="s">
        <v>70</v>
      </c>
      <c r="F407" s="27" t="s">
        <v>72</v>
      </c>
      <c r="G407" s="27" t="s">
        <v>74</v>
      </c>
      <c r="H407" s="28"/>
      <c r="I407" s="30" t="s">
        <v>79</v>
      </c>
      <c r="J407" s="30" t="s">
        <v>80</v>
      </c>
      <c r="K407" s="30" t="s">
        <v>81</v>
      </c>
      <c r="L407" s="30" t="s">
        <v>82</v>
      </c>
      <c r="M407" s="30" t="s">
        <v>83</v>
      </c>
      <c r="N407" s="30" t="s">
        <v>84</v>
      </c>
      <c r="O407" s="30" t="s">
        <v>85</v>
      </c>
      <c r="P407" s="30" t="s">
        <v>86</v>
      </c>
      <c r="Q407" s="30" t="s">
        <v>87</v>
      </c>
      <c r="R407" s="30" t="s">
        <v>88</v>
      </c>
      <c r="S407" s="30" t="s">
        <v>89</v>
      </c>
      <c r="T407" s="30" t="s">
        <v>90</v>
      </c>
      <c r="U407" s="30" t="s">
        <v>91</v>
      </c>
      <c r="V407" s="30" t="s">
        <v>92</v>
      </c>
      <c r="W407" s="30" t="s">
        <v>93</v>
      </c>
      <c r="X407" s="30" t="s">
        <v>94</v>
      </c>
      <c r="Y407" s="30" t="s">
        <v>95</v>
      </c>
      <c r="Z407" s="30" t="s">
        <v>96</v>
      </c>
      <c r="AA407" s="55"/>
      <c r="AB407" s="56"/>
      <c r="AC407" s="56"/>
      <c r="AD407" s="56"/>
      <c r="AE407" s="56"/>
      <c r="AF407" s="56"/>
    </row>
    <row r="408" spans="1:32" ht="21.25" customHeight="1" x14ac:dyDescent="0.15">
      <c r="A408" s="23"/>
      <c r="B408" s="57" t="str">
        <f>IFERROR(VLOOKUP($A408,'The List'!$B1:$AS727,3,FALSE)," ")</f>
        <v xml:space="preserve"> </v>
      </c>
      <c r="C408" s="61" t="str">
        <f>IFERROR(VLOOKUP($A408,'The List'!$B1:$AS727,4,FALSE)," ")</f>
        <v xml:space="preserve"> </v>
      </c>
      <c r="D408" s="35" t="str">
        <f>IFERROR(VLOOKUP($A408,'The List'!$B1:$AS727,5,FALSE)," ")</f>
        <v xml:space="preserve"> </v>
      </c>
      <c r="E408" s="35" t="str">
        <f>IFERROR(VLOOKUP($A408,'The List'!$B1:$AS727,6,FALSE)," ")</f>
        <v xml:space="preserve"> </v>
      </c>
      <c r="F408" s="52" t="str">
        <f>IFERROR(VLOOKUP($A408,'The List'!$B1:$AS727,8,FALSE)," ")</f>
        <v xml:space="preserve"> </v>
      </c>
      <c r="G408" s="52" t="str">
        <f>IFERROR(VLOOKUP($A408,'The List'!$B1:$AS727,10,FALSE)," ")</f>
        <v xml:space="preserve"> </v>
      </c>
      <c r="H408" s="39"/>
      <c r="I408" s="53" t="str">
        <f>IFERROR(VLOOKUP($A408,'The List'!$B1:$AS727,16,FALSE)," ")</f>
        <v xml:space="preserve"> </v>
      </c>
      <c r="J408" s="53" t="str">
        <f>IFERROR(VLOOKUP($A408,'The List'!$B1:$AS727,17,FALSE)," ")</f>
        <v xml:space="preserve"> </v>
      </c>
      <c r="K408" s="53" t="str">
        <f>IFERROR(VLOOKUP($A408,'The List'!$B1:$AS727,18,FALSE)," ")</f>
        <v xml:space="preserve"> </v>
      </c>
      <c r="L408" s="53" t="str">
        <f>IFERROR(VLOOKUP($A408,'The List'!$B1:$AS727,19,FALSE)," ")</f>
        <v xml:space="preserve"> </v>
      </c>
      <c r="M408" s="53" t="str">
        <f>IFERROR(VLOOKUP($A408,'The List'!$B1:$AS727,20,FALSE)," ")</f>
        <v xml:space="preserve"> </v>
      </c>
      <c r="N408" s="53" t="str">
        <f>IFERROR(VLOOKUP($A408,'The List'!$B1:$AS727,21,FALSE)," ")</f>
        <v xml:space="preserve"> </v>
      </c>
      <c r="O408" s="53" t="str">
        <f>IFERROR(VLOOKUP($A408,'The List'!$B1:$AS727,22,FALSE)," ")</f>
        <v xml:space="preserve"> </v>
      </c>
      <c r="P408" s="53" t="str">
        <f>IFERROR(VLOOKUP($A408,'The List'!$B1:$AS727,23,FALSE)," ")</f>
        <v xml:space="preserve"> </v>
      </c>
      <c r="Q408" s="53" t="str">
        <f>IFERROR(VLOOKUP($A408,'The List'!$B1:$AS727,24,FALSE)," ")</f>
        <v xml:space="preserve"> </v>
      </c>
      <c r="R408" s="53" t="str">
        <f>IFERROR(VLOOKUP($A408,'The List'!$B1:$AS727,25,FALSE)," ")</f>
        <v xml:space="preserve"> </v>
      </c>
      <c r="S408" s="53" t="str">
        <f>IFERROR(VLOOKUP($A408,'The List'!$B1:$AS727,26,FALSE)," ")</f>
        <v xml:space="preserve"> </v>
      </c>
      <c r="T408" s="53" t="str">
        <f>IFERROR(VLOOKUP($A408,'The List'!$B1:$AS727,27,FALSE)," ")</f>
        <v xml:space="preserve"> </v>
      </c>
      <c r="U408" s="53" t="str">
        <f>IFERROR(VLOOKUP($A408,'The List'!$B1:$AS727,28,FALSE)," ")</f>
        <v xml:space="preserve"> </v>
      </c>
      <c r="V408" s="53" t="str">
        <f>IFERROR(VLOOKUP($A408,'The List'!$B1:$AS727,29,FALSE)," ")</f>
        <v xml:space="preserve"> </v>
      </c>
      <c r="W408" s="53" t="str">
        <f>IFERROR(VLOOKUP($A408,'The List'!$B1:$AS727,30,FALSE)," ")</f>
        <v xml:space="preserve"> </v>
      </c>
      <c r="X408" s="53" t="str">
        <f>IFERROR(VLOOKUP($A408,'The List'!$B1:$AS727,31,FALSE)," ")</f>
        <v xml:space="preserve"> </v>
      </c>
      <c r="Y408" s="53" t="str">
        <f>IFERROR(VLOOKUP($A408,'The List'!$B1:$AS727,32,FALSE)," ")</f>
        <v xml:space="preserve"> </v>
      </c>
      <c r="Z408" s="53" t="str">
        <f>IFERROR(VLOOKUP($A408,'The List'!$B1:$AS727,33,FALSE)," ")</f>
        <v xml:space="preserve"> </v>
      </c>
      <c r="AA408" s="55"/>
      <c r="AB408" s="60"/>
      <c r="AC408" s="60"/>
      <c r="AD408" s="60"/>
      <c r="AE408" s="60"/>
      <c r="AF408" s="60"/>
    </row>
    <row r="409" spans="1:32" ht="21.25" customHeight="1" x14ac:dyDescent="0.15">
      <c r="A409" s="23"/>
      <c r="B409" s="57" t="str">
        <f>IFERROR(VLOOKUP($A409,'The List'!$B1:$AS727,3,FALSE)," ")</f>
        <v xml:space="preserve"> </v>
      </c>
      <c r="C409" s="61" t="str">
        <f>IFERROR(VLOOKUP($A409,'The List'!$B1:$AS727,4,FALSE)," ")</f>
        <v xml:space="preserve"> </v>
      </c>
      <c r="D409" s="35" t="str">
        <f>IFERROR(VLOOKUP($A409,'The List'!$B1:$AS727,5,FALSE)," ")</f>
        <v xml:space="preserve"> </v>
      </c>
      <c r="E409" s="35" t="str">
        <f>IFERROR(VLOOKUP($A409,'The List'!$B1:$AS727,6,FALSE)," ")</f>
        <v xml:space="preserve"> </v>
      </c>
      <c r="F409" s="52" t="str">
        <f>IFERROR(VLOOKUP($A409,'The List'!$B1:$AS727,8,FALSE)," ")</f>
        <v xml:space="preserve"> </v>
      </c>
      <c r="G409" s="52" t="str">
        <f>IFERROR(VLOOKUP($A409,'The List'!$B1:$AS727,10,FALSE)," ")</f>
        <v xml:space="preserve"> </v>
      </c>
      <c r="H409" s="39"/>
      <c r="I409" s="53" t="str">
        <f>IFERROR(VLOOKUP($A409,'The List'!$B1:$AS727,16,FALSE)," ")</f>
        <v xml:space="preserve"> </v>
      </c>
      <c r="J409" s="53" t="str">
        <f>IFERROR(VLOOKUP($A409,'The List'!$B1:$AS727,17,FALSE)," ")</f>
        <v xml:space="preserve"> </v>
      </c>
      <c r="K409" s="53" t="str">
        <f>IFERROR(VLOOKUP($A409,'The List'!$B1:$AS727,18,FALSE)," ")</f>
        <v xml:space="preserve"> </v>
      </c>
      <c r="L409" s="53" t="str">
        <f>IFERROR(VLOOKUP($A409,'The List'!$B1:$AS727,19,FALSE)," ")</f>
        <v xml:space="preserve"> </v>
      </c>
      <c r="M409" s="53" t="str">
        <f>IFERROR(VLOOKUP($A409,'The List'!$B1:$AS727,20,FALSE)," ")</f>
        <v xml:space="preserve"> </v>
      </c>
      <c r="N409" s="53" t="str">
        <f>IFERROR(VLOOKUP($A409,'The List'!$B1:$AS727,21,FALSE)," ")</f>
        <v xml:space="preserve"> </v>
      </c>
      <c r="O409" s="53" t="str">
        <f>IFERROR(VLOOKUP($A409,'The List'!$B1:$AS727,22,FALSE)," ")</f>
        <v xml:space="preserve"> </v>
      </c>
      <c r="P409" s="53" t="str">
        <f>IFERROR(VLOOKUP($A409,'The List'!$B1:$AS727,23,FALSE)," ")</f>
        <v xml:space="preserve"> </v>
      </c>
      <c r="Q409" s="53" t="str">
        <f>IFERROR(VLOOKUP($A409,'The List'!$B1:$AS727,24,FALSE)," ")</f>
        <v xml:space="preserve"> </v>
      </c>
      <c r="R409" s="53" t="str">
        <f>IFERROR(VLOOKUP($A409,'The List'!$B1:$AS727,25,FALSE)," ")</f>
        <v xml:space="preserve"> </v>
      </c>
      <c r="S409" s="53" t="str">
        <f>IFERROR(VLOOKUP($A409,'The List'!$B1:$AS727,26,FALSE)," ")</f>
        <v xml:space="preserve"> </v>
      </c>
      <c r="T409" s="53" t="str">
        <f>IFERROR(VLOOKUP($A409,'The List'!$B1:$AS727,27,FALSE)," ")</f>
        <v xml:space="preserve"> </v>
      </c>
      <c r="U409" s="53" t="str">
        <f>IFERROR(VLOOKUP($A409,'The List'!$B1:$AS727,28,FALSE)," ")</f>
        <v xml:space="preserve"> </v>
      </c>
      <c r="V409" s="53" t="str">
        <f>IFERROR(VLOOKUP($A409,'The List'!$B1:$AS727,29,FALSE)," ")</f>
        <v xml:space="preserve"> </v>
      </c>
      <c r="W409" s="53" t="str">
        <f>IFERROR(VLOOKUP($A409,'The List'!$B1:$AS727,30,FALSE)," ")</f>
        <v xml:space="preserve"> </v>
      </c>
      <c r="X409" s="53" t="str">
        <f>IFERROR(VLOOKUP($A409,'The List'!$B1:$AS727,31,FALSE)," ")</f>
        <v xml:space="preserve"> </v>
      </c>
      <c r="Y409" s="53" t="str">
        <f>IFERROR(VLOOKUP($A409,'The List'!$B1:$AS727,32,FALSE)," ")</f>
        <v xml:space="preserve"> </v>
      </c>
      <c r="Z409" s="53" t="str">
        <f>IFERROR(VLOOKUP($A409,'The List'!$B1:$AS727,33,FALSE)," ")</f>
        <v xml:space="preserve"> </v>
      </c>
      <c r="AA409" s="55"/>
      <c r="AB409" s="60"/>
      <c r="AC409" s="60"/>
      <c r="AD409" s="60"/>
      <c r="AE409" s="60"/>
      <c r="AF409" s="60"/>
    </row>
    <row r="410" spans="1:32" ht="21.25" customHeight="1" x14ac:dyDescent="0.15">
      <c r="A410" s="23"/>
      <c r="B410" s="57" t="str">
        <f>IFERROR(VLOOKUP($A410,'The List'!$B1:$AS727,3,FALSE)," ")</f>
        <v xml:space="preserve"> </v>
      </c>
      <c r="C410" s="61" t="str">
        <f>IFERROR(VLOOKUP($A410,'The List'!$B1:$AS727,4,FALSE)," ")</f>
        <v xml:space="preserve"> </v>
      </c>
      <c r="D410" s="35" t="str">
        <f>IFERROR(VLOOKUP($A410,'The List'!$B1:$AS727,5,FALSE)," ")</f>
        <v xml:space="preserve"> </v>
      </c>
      <c r="E410" s="35" t="str">
        <f>IFERROR(VLOOKUP($A410,'The List'!$B1:$AS727,6,FALSE)," ")</f>
        <v xml:space="preserve"> </v>
      </c>
      <c r="F410" s="52" t="str">
        <f>IFERROR(VLOOKUP($A410,'The List'!$B1:$AS727,8,FALSE)," ")</f>
        <v xml:space="preserve"> </v>
      </c>
      <c r="G410" s="52" t="str">
        <f>IFERROR(VLOOKUP($A410,'The List'!$B1:$AS727,10,FALSE)," ")</f>
        <v xml:space="preserve"> </v>
      </c>
      <c r="H410" s="39"/>
      <c r="I410" s="53" t="str">
        <f>IFERROR(VLOOKUP($A410,'The List'!$B1:$AS727,16,FALSE)," ")</f>
        <v xml:space="preserve"> </v>
      </c>
      <c r="J410" s="53" t="str">
        <f>IFERROR(VLOOKUP($A410,'The List'!$B1:$AS727,17,FALSE)," ")</f>
        <v xml:space="preserve"> </v>
      </c>
      <c r="K410" s="53" t="str">
        <f>IFERROR(VLOOKUP($A410,'The List'!$B1:$AS727,18,FALSE)," ")</f>
        <v xml:space="preserve"> </v>
      </c>
      <c r="L410" s="53" t="str">
        <f>IFERROR(VLOOKUP($A410,'The List'!$B1:$AS727,19,FALSE)," ")</f>
        <v xml:space="preserve"> </v>
      </c>
      <c r="M410" s="53" t="str">
        <f>IFERROR(VLOOKUP($A410,'The List'!$B1:$AS727,20,FALSE)," ")</f>
        <v xml:space="preserve"> </v>
      </c>
      <c r="N410" s="53" t="str">
        <f>IFERROR(VLOOKUP($A410,'The List'!$B1:$AS727,21,FALSE)," ")</f>
        <v xml:space="preserve"> </v>
      </c>
      <c r="O410" s="53" t="str">
        <f>IFERROR(VLOOKUP($A410,'The List'!$B1:$AS727,22,FALSE)," ")</f>
        <v xml:space="preserve"> </v>
      </c>
      <c r="P410" s="53" t="str">
        <f>IFERROR(VLOOKUP($A410,'The List'!$B1:$AS727,23,FALSE)," ")</f>
        <v xml:space="preserve"> </v>
      </c>
      <c r="Q410" s="53" t="str">
        <f>IFERROR(VLOOKUP($A410,'The List'!$B1:$AS727,24,FALSE)," ")</f>
        <v xml:space="preserve"> </v>
      </c>
      <c r="R410" s="53" t="str">
        <f>IFERROR(VLOOKUP($A410,'The List'!$B1:$AS727,25,FALSE)," ")</f>
        <v xml:space="preserve"> </v>
      </c>
      <c r="S410" s="53" t="str">
        <f>IFERROR(VLOOKUP($A410,'The List'!$B1:$AS727,26,FALSE)," ")</f>
        <v xml:space="preserve"> </v>
      </c>
      <c r="T410" s="53" t="str">
        <f>IFERROR(VLOOKUP($A410,'The List'!$B1:$AS727,27,FALSE)," ")</f>
        <v xml:space="preserve"> </v>
      </c>
      <c r="U410" s="53" t="str">
        <f>IFERROR(VLOOKUP($A410,'The List'!$B1:$AS727,28,FALSE)," ")</f>
        <v xml:space="preserve"> </v>
      </c>
      <c r="V410" s="53" t="str">
        <f>IFERROR(VLOOKUP($A410,'The List'!$B1:$AS727,29,FALSE)," ")</f>
        <v xml:space="preserve"> </v>
      </c>
      <c r="W410" s="53" t="str">
        <f>IFERROR(VLOOKUP($A410,'The List'!$B1:$AS727,30,FALSE)," ")</f>
        <v xml:space="preserve"> </v>
      </c>
      <c r="X410" s="53" t="str">
        <f>IFERROR(VLOOKUP($A410,'The List'!$B1:$AS727,31,FALSE)," ")</f>
        <v xml:space="preserve"> </v>
      </c>
      <c r="Y410" s="53" t="str">
        <f>IFERROR(VLOOKUP($A410,'The List'!$B1:$AS727,32,FALSE)," ")</f>
        <v xml:space="preserve"> </v>
      </c>
      <c r="Z410" s="53" t="str">
        <f>IFERROR(VLOOKUP($A410,'The List'!$B1:$AS727,33,FALSE)," ")</f>
        <v xml:space="preserve"> </v>
      </c>
      <c r="AA410" s="55"/>
      <c r="AB410" s="60"/>
      <c r="AC410" s="60"/>
      <c r="AD410" s="60"/>
      <c r="AE410" s="60"/>
      <c r="AF410" s="60"/>
    </row>
    <row r="411" spans="1:32" ht="21.25" customHeight="1" x14ac:dyDescent="0.15">
      <c r="A411" s="23"/>
      <c r="B411" s="57" t="str">
        <f>IFERROR(VLOOKUP($A411,'The List'!$B1:$AS727,3,FALSE)," ")</f>
        <v xml:space="preserve"> </v>
      </c>
      <c r="C411" s="61" t="str">
        <f>IFERROR(VLOOKUP($A411,'The List'!$B1:$AS727,4,FALSE)," ")</f>
        <v xml:space="preserve"> </v>
      </c>
      <c r="D411" s="35" t="str">
        <f>IFERROR(VLOOKUP($A411,'The List'!$B1:$AS727,5,FALSE)," ")</f>
        <v xml:space="preserve"> </v>
      </c>
      <c r="E411" s="35" t="str">
        <f>IFERROR(VLOOKUP($A411,'The List'!$B1:$AS727,6,FALSE)," ")</f>
        <v xml:space="preserve"> </v>
      </c>
      <c r="F411" s="52" t="str">
        <f>IFERROR(VLOOKUP($A411,'The List'!$B1:$AS727,8,FALSE)," ")</f>
        <v xml:space="preserve"> </v>
      </c>
      <c r="G411" s="52" t="str">
        <f>IFERROR(VLOOKUP($A411,'The List'!$B1:$AS727,10,FALSE)," ")</f>
        <v xml:space="preserve"> </v>
      </c>
      <c r="H411" s="39"/>
      <c r="I411" s="53" t="str">
        <f>IFERROR(VLOOKUP($A411,'The List'!$B1:$AS727,16,FALSE)," ")</f>
        <v xml:space="preserve"> </v>
      </c>
      <c r="J411" s="53" t="str">
        <f>IFERROR(VLOOKUP($A411,'The List'!$B1:$AS727,17,FALSE)," ")</f>
        <v xml:space="preserve"> </v>
      </c>
      <c r="K411" s="53" t="str">
        <f>IFERROR(VLOOKUP($A411,'The List'!$B1:$AS727,18,FALSE)," ")</f>
        <v xml:space="preserve"> </v>
      </c>
      <c r="L411" s="53" t="str">
        <f>IFERROR(VLOOKUP($A411,'The List'!$B1:$AS727,19,FALSE)," ")</f>
        <v xml:space="preserve"> </v>
      </c>
      <c r="M411" s="53" t="str">
        <f>IFERROR(VLOOKUP($A411,'The List'!$B1:$AS727,20,FALSE)," ")</f>
        <v xml:space="preserve"> </v>
      </c>
      <c r="N411" s="53" t="str">
        <f>IFERROR(VLOOKUP($A411,'The List'!$B1:$AS727,21,FALSE)," ")</f>
        <v xml:space="preserve"> </v>
      </c>
      <c r="O411" s="53" t="str">
        <f>IFERROR(VLOOKUP($A411,'The List'!$B1:$AS727,22,FALSE)," ")</f>
        <v xml:space="preserve"> </v>
      </c>
      <c r="P411" s="53" t="str">
        <f>IFERROR(VLOOKUP($A411,'The List'!$B1:$AS727,23,FALSE)," ")</f>
        <v xml:space="preserve"> </v>
      </c>
      <c r="Q411" s="53" t="str">
        <f>IFERROR(VLOOKUP($A411,'The List'!$B1:$AS727,24,FALSE)," ")</f>
        <v xml:space="preserve"> </v>
      </c>
      <c r="R411" s="53" t="str">
        <f>IFERROR(VLOOKUP($A411,'The List'!$B1:$AS727,25,FALSE)," ")</f>
        <v xml:space="preserve"> </v>
      </c>
      <c r="S411" s="53" t="str">
        <f>IFERROR(VLOOKUP($A411,'The List'!$B1:$AS727,26,FALSE)," ")</f>
        <v xml:space="preserve"> </v>
      </c>
      <c r="T411" s="53" t="str">
        <f>IFERROR(VLOOKUP($A411,'The List'!$B1:$AS727,27,FALSE)," ")</f>
        <v xml:space="preserve"> </v>
      </c>
      <c r="U411" s="53" t="str">
        <f>IFERROR(VLOOKUP($A411,'The List'!$B1:$AS727,28,FALSE)," ")</f>
        <v xml:space="preserve"> </v>
      </c>
      <c r="V411" s="53" t="str">
        <f>IFERROR(VLOOKUP($A411,'The List'!$B1:$AS727,29,FALSE)," ")</f>
        <v xml:space="preserve"> </v>
      </c>
      <c r="W411" s="53" t="str">
        <f>IFERROR(VLOOKUP($A411,'The List'!$B1:$AS727,30,FALSE)," ")</f>
        <v xml:space="preserve"> </v>
      </c>
      <c r="X411" s="53" t="str">
        <f>IFERROR(VLOOKUP($A411,'The List'!$B1:$AS727,31,FALSE)," ")</f>
        <v xml:space="preserve"> </v>
      </c>
      <c r="Y411" s="53" t="str">
        <f>IFERROR(VLOOKUP($A411,'The List'!$B1:$AS727,32,FALSE)," ")</f>
        <v xml:space="preserve"> </v>
      </c>
      <c r="Z411" s="53" t="str">
        <f>IFERROR(VLOOKUP($A411,'The List'!$B1:$AS727,33,FALSE)," ")</f>
        <v xml:space="preserve"> </v>
      </c>
      <c r="AA411" s="55"/>
      <c r="AB411" s="60"/>
      <c r="AC411" s="60"/>
      <c r="AD411" s="60"/>
      <c r="AE411" s="60"/>
      <c r="AF411" s="60"/>
    </row>
    <row r="412" spans="1:32" ht="21.25" customHeight="1" x14ac:dyDescent="0.15">
      <c r="A412" s="23"/>
      <c r="B412" s="62" t="str">
        <f>IFERROR(VLOOKUP($A412,'The List'!$B1:$AS727,3,FALSE)," ")</f>
        <v xml:space="preserve"> </v>
      </c>
      <c r="C412" s="64" t="str">
        <f>IFERROR(VLOOKUP($A412,'The List'!$B1:$AS727,4,FALSE)," ")</f>
        <v xml:space="preserve"> </v>
      </c>
      <c r="D412" s="35" t="str">
        <f>IFERROR(VLOOKUP($A412,'The List'!$B1:$AS727,5,FALSE)," ")</f>
        <v xml:space="preserve"> </v>
      </c>
      <c r="E412" s="35" t="str">
        <f>IFERROR(VLOOKUP($A412,'The List'!$B1:$AS727,6,FALSE)," ")</f>
        <v xml:space="preserve"> </v>
      </c>
      <c r="F412" s="52" t="str">
        <f>IFERROR(VLOOKUP($A412,'The List'!$B1:$AS727,8,FALSE)," ")</f>
        <v xml:space="preserve"> </v>
      </c>
      <c r="G412" s="52" t="str">
        <f>IFERROR(VLOOKUP($A412,'The List'!$B1:$AS727,10,FALSE)," ")</f>
        <v xml:space="preserve"> </v>
      </c>
      <c r="H412" s="39"/>
      <c r="I412" s="53" t="str">
        <f>IFERROR(VLOOKUP($A412,'The List'!$B1:$AS727,16,FALSE)," ")</f>
        <v xml:space="preserve"> </v>
      </c>
      <c r="J412" s="53" t="str">
        <f>IFERROR(VLOOKUP($A412,'The List'!$B1:$AS727,17,FALSE)," ")</f>
        <v xml:space="preserve"> </v>
      </c>
      <c r="K412" s="53" t="str">
        <f>IFERROR(VLOOKUP($A412,'The List'!$B1:$AS727,18,FALSE)," ")</f>
        <v xml:space="preserve"> </v>
      </c>
      <c r="L412" s="53" t="str">
        <f>IFERROR(VLOOKUP($A412,'The List'!$B1:$AS727,19,FALSE)," ")</f>
        <v xml:space="preserve"> </v>
      </c>
      <c r="M412" s="53" t="str">
        <f>IFERROR(VLOOKUP($A412,'The List'!$B1:$AS727,20,FALSE)," ")</f>
        <v xml:space="preserve"> </v>
      </c>
      <c r="N412" s="53" t="str">
        <f>IFERROR(VLOOKUP($A412,'The List'!$B1:$AS727,21,FALSE)," ")</f>
        <v xml:space="preserve"> </v>
      </c>
      <c r="O412" s="53" t="str">
        <f>IFERROR(VLOOKUP($A412,'The List'!$B1:$AS727,22,FALSE)," ")</f>
        <v xml:space="preserve"> </v>
      </c>
      <c r="P412" s="53" t="str">
        <f>IFERROR(VLOOKUP($A412,'The List'!$B1:$AS727,23,FALSE)," ")</f>
        <v xml:space="preserve"> </v>
      </c>
      <c r="Q412" s="53" t="str">
        <f>IFERROR(VLOOKUP($A412,'The List'!$B1:$AS727,24,FALSE)," ")</f>
        <v xml:space="preserve"> </v>
      </c>
      <c r="R412" s="53" t="str">
        <f>IFERROR(VLOOKUP($A412,'The List'!$B1:$AS727,25,FALSE)," ")</f>
        <v xml:space="preserve"> </v>
      </c>
      <c r="S412" s="53" t="str">
        <f>IFERROR(VLOOKUP($A412,'The List'!$B1:$AS727,26,FALSE)," ")</f>
        <v xml:space="preserve"> </v>
      </c>
      <c r="T412" s="53" t="str">
        <f>IFERROR(VLOOKUP($A412,'The List'!$B1:$AS727,27,FALSE)," ")</f>
        <v xml:space="preserve"> </v>
      </c>
      <c r="U412" s="53" t="str">
        <f>IFERROR(VLOOKUP($A412,'The List'!$B1:$AS727,28,FALSE)," ")</f>
        <v xml:space="preserve"> </v>
      </c>
      <c r="V412" s="53" t="str">
        <f>IFERROR(VLOOKUP($A412,'The List'!$B1:$AS727,29,FALSE)," ")</f>
        <v xml:space="preserve"> </v>
      </c>
      <c r="W412" s="53" t="str">
        <f>IFERROR(VLOOKUP($A412,'The List'!$B1:$AS727,30,FALSE)," ")</f>
        <v xml:space="preserve"> </v>
      </c>
      <c r="X412" s="53" t="str">
        <f>IFERROR(VLOOKUP($A412,'The List'!$B1:$AS727,31,FALSE)," ")</f>
        <v xml:space="preserve"> </v>
      </c>
      <c r="Y412" s="53" t="str">
        <f>IFERROR(VLOOKUP($A412,'The List'!$B1:$AS727,32,FALSE)," ")</f>
        <v xml:space="preserve"> </v>
      </c>
      <c r="Z412" s="53" t="str">
        <f>IFERROR(VLOOKUP($A412,'The List'!$B1:$AS727,33,FALSE)," ")</f>
        <v xml:space="preserve"> </v>
      </c>
      <c r="AA412" s="55"/>
      <c r="AB412" s="60"/>
      <c r="AC412" s="60"/>
      <c r="AD412" s="60"/>
      <c r="AE412" s="60"/>
      <c r="AF412" s="60"/>
    </row>
    <row r="413" spans="1:32" ht="21.25" customHeight="1" x14ac:dyDescent="0.15">
      <c r="A413" s="23"/>
      <c r="B413" s="62" t="str">
        <f>IFERROR(VLOOKUP($A413,'The List'!$B1:$AS727,3,FALSE)," ")</f>
        <v xml:space="preserve"> </v>
      </c>
      <c r="C413" s="64" t="str">
        <f>IFERROR(VLOOKUP($A413,'The List'!$B1:$AS727,4,FALSE)," ")</f>
        <v xml:space="preserve"> </v>
      </c>
      <c r="D413" s="35" t="str">
        <f>IFERROR(VLOOKUP($A413,'The List'!$B1:$AS727,5,FALSE)," ")</f>
        <v xml:space="preserve"> </v>
      </c>
      <c r="E413" s="35" t="str">
        <f>IFERROR(VLOOKUP($A413,'The List'!$B1:$AS727,6,FALSE)," ")</f>
        <v xml:space="preserve"> </v>
      </c>
      <c r="F413" s="52" t="str">
        <f>IFERROR(VLOOKUP($A413,'The List'!$B1:$AS727,8,FALSE)," ")</f>
        <v xml:space="preserve"> </v>
      </c>
      <c r="G413" s="52" t="str">
        <f>IFERROR(VLOOKUP($A413,'The List'!$B1:$AS727,10,FALSE)," ")</f>
        <v xml:space="preserve"> </v>
      </c>
      <c r="H413" s="39"/>
      <c r="I413" s="53" t="str">
        <f>IFERROR(VLOOKUP($A413,'The List'!$B1:$AS727,16,FALSE)," ")</f>
        <v xml:space="preserve"> </v>
      </c>
      <c r="J413" s="53" t="str">
        <f>IFERROR(VLOOKUP($A413,'The List'!$B1:$AS727,17,FALSE)," ")</f>
        <v xml:space="preserve"> </v>
      </c>
      <c r="K413" s="53" t="str">
        <f>IFERROR(VLOOKUP($A413,'The List'!$B1:$AS727,18,FALSE)," ")</f>
        <v xml:space="preserve"> </v>
      </c>
      <c r="L413" s="53" t="str">
        <f>IFERROR(VLOOKUP($A413,'The List'!$B1:$AS727,19,FALSE)," ")</f>
        <v xml:space="preserve"> </v>
      </c>
      <c r="M413" s="53" t="str">
        <f>IFERROR(VLOOKUP($A413,'The List'!$B1:$AS727,20,FALSE)," ")</f>
        <v xml:space="preserve"> </v>
      </c>
      <c r="N413" s="53" t="str">
        <f>IFERROR(VLOOKUP($A413,'The List'!$B1:$AS727,21,FALSE)," ")</f>
        <v xml:space="preserve"> </v>
      </c>
      <c r="O413" s="53" t="str">
        <f>IFERROR(VLOOKUP($A413,'The List'!$B1:$AS727,22,FALSE)," ")</f>
        <v xml:space="preserve"> </v>
      </c>
      <c r="P413" s="53" t="str">
        <f>IFERROR(VLOOKUP($A413,'The List'!$B1:$AS727,23,FALSE)," ")</f>
        <v xml:space="preserve"> </v>
      </c>
      <c r="Q413" s="53" t="str">
        <f>IFERROR(VLOOKUP($A413,'The List'!$B1:$AS727,24,FALSE)," ")</f>
        <v xml:space="preserve"> </v>
      </c>
      <c r="R413" s="53" t="str">
        <f>IFERROR(VLOOKUP($A413,'The List'!$B1:$AS727,25,FALSE)," ")</f>
        <v xml:space="preserve"> </v>
      </c>
      <c r="S413" s="53" t="str">
        <f>IFERROR(VLOOKUP($A413,'The List'!$B1:$AS727,26,FALSE)," ")</f>
        <v xml:space="preserve"> </v>
      </c>
      <c r="T413" s="53" t="str">
        <f>IFERROR(VLOOKUP($A413,'The List'!$B1:$AS727,27,FALSE)," ")</f>
        <v xml:space="preserve"> </v>
      </c>
      <c r="U413" s="53" t="str">
        <f>IFERROR(VLOOKUP($A413,'The List'!$B1:$AS727,28,FALSE)," ")</f>
        <v xml:space="preserve"> </v>
      </c>
      <c r="V413" s="53" t="str">
        <f>IFERROR(VLOOKUP($A413,'The List'!$B1:$AS727,29,FALSE)," ")</f>
        <v xml:space="preserve"> </v>
      </c>
      <c r="W413" s="53" t="str">
        <f>IFERROR(VLOOKUP($A413,'The List'!$B1:$AS727,30,FALSE)," ")</f>
        <v xml:space="preserve"> </v>
      </c>
      <c r="X413" s="53" t="str">
        <f>IFERROR(VLOOKUP($A413,'The List'!$B1:$AS727,31,FALSE)," ")</f>
        <v xml:space="preserve"> </v>
      </c>
      <c r="Y413" s="53" t="str">
        <f>IFERROR(VLOOKUP($A413,'The List'!$B1:$AS727,32,FALSE)," ")</f>
        <v xml:space="preserve"> </v>
      </c>
      <c r="Z413" s="53" t="str">
        <f>IFERROR(VLOOKUP($A413,'The List'!$B1:$AS727,33,FALSE)," ")</f>
        <v xml:space="preserve"> </v>
      </c>
      <c r="AA413" s="55"/>
      <c r="AB413" s="60"/>
      <c r="AC413" s="60"/>
      <c r="AD413" s="60"/>
      <c r="AE413" s="60"/>
      <c r="AF413" s="60"/>
    </row>
    <row r="414" spans="1:32" ht="21.25" customHeight="1" x14ac:dyDescent="0.15">
      <c r="A414" s="23"/>
      <c r="B414" s="62" t="str">
        <f>IFERROR(VLOOKUP($A414,'The List'!$B1:$AS727,3,FALSE)," ")</f>
        <v xml:space="preserve"> </v>
      </c>
      <c r="C414" s="64" t="str">
        <f>IFERROR(VLOOKUP($A414,'The List'!$B1:$AS727,4,FALSE)," ")</f>
        <v xml:space="preserve"> </v>
      </c>
      <c r="D414" s="35" t="str">
        <f>IFERROR(VLOOKUP($A414,'The List'!$B1:$AS727,5,FALSE)," ")</f>
        <v xml:space="preserve"> </v>
      </c>
      <c r="E414" s="35" t="str">
        <f>IFERROR(VLOOKUP($A414,'The List'!$B1:$AS727,6,FALSE)," ")</f>
        <v xml:space="preserve"> </v>
      </c>
      <c r="F414" s="52" t="str">
        <f>IFERROR(VLOOKUP($A414,'The List'!$B1:$AS727,8,FALSE)," ")</f>
        <v xml:space="preserve"> </v>
      </c>
      <c r="G414" s="52" t="str">
        <f>IFERROR(VLOOKUP($A414,'The List'!$B1:$AS727,10,FALSE)," ")</f>
        <v xml:space="preserve"> </v>
      </c>
      <c r="H414" s="39"/>
      <c r="I414" s="53" t="str">
        <f>IFERROR(VLOOKUP($A414,'The List'!$B1:$AS727,16,FALSE)," ")</f>
        <v xml:space="preserve"> </v>
      </c>
      <c r="J414" s="53" t="str">
        <f>IFERROR(VLOOKUP($A414,'The List'!$B1:$AS727,17,FALSE)," ")</f>
        <v xml:space="preserve"> </v>
      </c>
      <c r="K414" s="53" t="str">
        <f>IFERROR(VLOOKUP($A414,'The List'!$B1:$AS727,18,FALSE)," ")</f>
        <v xml:space="preserve"> </v>
      </c>
      <c r="L414" s="53" t="str">
        <f>IFERROR(VLOOKUP($A414,'The List'!$B1:$AS727,19,FALSE)," ")</f>
        <v xml:space="preserve"> </v>
      </c>
      <c r="M414" s="53" t="str">
        <f>IFERROR(VLOOKUP($A414,'The List'!$B1:$AS727,20,FALSE)," ")</f>
        <v xml:space="preserve"> </v>
      </c>
      <c r="N414" s="53" t="str">
        <f>IFERROR(VLOOKUP($A414,'The List'!$B1:$AS727,21,FALSE)," ")</f>
        <v xml:space="preserve"> </v>
      </c>
      <c r="O414" s="53" t="str">
        <f>IFERROR(VLOOKUP($A414,'The List'!$B1:$AS727,22,FALSE)," ")</f>
        <v xml:space="preserve"> </v>
      </c>
      <c r="P414" s="53" t="str">
        <f>IFERROR(VLOOKUP($A414,'The List'!$B1:$AS727,23,FALSE)," ")</f>
        <v xml:space="preserve"> </v>
      </c>
      <c r="Q414" s="53" t="str">
        <f>IFERROR(VLOOKUP($A414,'The List'!$B1:$AS727,24,FALSE)," ")</f>
        <v xml:space="preserve"> </v>
      </c>
      <c r="R414" s="53" t="str">
        <f>IFERROR(VLOOKUP($A414,'The List'!$B1:$AS727,25,FALSE)," ")</f>
        <v xml:space="preserve"> </v>
      </c>
      <c r="S414" s="53" t="str">
        <f>IFERROR(VLOOKUP($A414,'The List'!$B1:$AS727,26,FALSE)," ")</f>
        <v xml:space="preserve"> </v>
      </c>
      <c r="T414" s="53" t="str">
        <f>IFERROR(VLOOKUP($A414,'The List'!$B1:$AS727,27,FALSE)," ")</f>
        <v xml:space="preserve"> </v>
      </c>
      <c r="U414" s="53" t="str">
        <f>IFERROR(VLOOKUP($A414,'The List'!$B1:$AS727,28,FALSE)," ")</f>
        <v xml:space="preserve"> </v>
      </c>
      <c r="V414" s="53" t="str">
        <f>IFERROR(VLOOKUP($A414,'The List'!$B1:$AS727,29,FALSE)," ")</f>
        <v xml:space="preserve"> </v>
      </c>
      <c r="W414" s="53" t="str">
        <f>IFERROR(VLOOKUP($A414,'The List'!$B1:$AS727,30,FALSE)," ")</f>
        <v xml:space="preserve"> </v>
      </c>
      <c r="X414" s="53" t="str">
        <f>IFERROR(VLOOKUP($A414,'The List'!$B1:$AS727,31,FALSE)," ")</f>
        <v xml:space="preserve"> </v>
      </c>
      <c r="Y414" s="53" t="str">
        <f>IFERROR(VLOOKUP($A414,'The List'!$B1:$AS727,32,FALSE)," ")</f>
        <v xml:space="preserve"> </v>
      </c>
      <c r="Z414" s="53" t="str">
        <f>IFERROR(VLOOKUP($A414,'The List'!$B1:$AS727,33,FALSE)," ")</f>
        <v xml:space="preserve"> </v>
      </c>
      <c r="AA414" s="55"/>
      <c r="AB414" s="60"/>
      <c r="AC414" s="60"/>
      <c r="AD414" s="60"/>
      <c r="AE414" s="60"/>
      <c r="AF414" s="60"/>
    </row>
    <row r="415" spans="1:32" ht="21.25" customHeight="1" x14ac:dyDescent="0.15">
      <c r="A415" s="23"/>
      <c r="B415" s="62" t="str">
        <f>IFERROR(VLOOKUP($A415,'The List'!$B1:$AS727,3,FALSE)," ")</f>
        <v xml:space="preserve"> </v>
      </c>
      <c r="C415" s="64" t="str">
        <f>IFERROR(VLOOKUP($A415,'The List'!$B1:$AS727,4,FALSE)," ")</f>
        <v xml:space="preserve"> </v>
      </c>
      <c r="D415" s="35" t="str">
        <f>IFERROR(VLOOKUP($A415,'The List'!$B1:$AS727,5,FALSE)," ")</f>
        <v xml:space="preserve"> </v>
      </c>
      <c r="E415" s="35" t="str">
        <f>IFERROR(VLOOKUP($A415,'The List'!$B1:$AS727,6,FALSE)," ")</f>
        <v xml:space="preserve"> </v>
      </c>
      <c r="F415" s="52" t="str">
        <f>IFERROR(VLOOKUP($A415,'The List'!$B1:$AS727,8,FALSE)," ")</f>
        <v xml:space="preserve"> </v>
      </c>
      <c r="G415" s="52" t="str">
        <f>IFERROR(VLOOKUP($A415,'The List'!$B1:$AS727,10,FALSE)," ")</f>
        <v xml:space="preserve"> </v>
      </c>
      <c r="H415" s="39"/>
      <c r="I415" s="53" t="str">
        <f>IFERROR(VLOOKUP($A415,'The List'!$B1:$AS727,16,FALSE)," ")</f>
        <v xml:space="preserve"> </v>
      </c>
      <c r="J415" s="53" t="str">
        <f>IFERROR(VLOOKUP($A415,'The List'!$B1:$AS727,17,FALSE)," ")</f>
        <v xml:space="preserve"> </v>
      </c>
      <c r="K415" s="53" t="str">
        <f>IFERROR(VLOOKUP($A415,'The List'!$B1:$AS727,18,FALSE)," ")</f>
        <v xml:space="preserve"> </v>
      </c>
      <c r="L415" s="53" t="str">
        <f>IFERROR(VLOOKUP($A415,'The List'!$B1:$AS727,19,FALSE)," ")</f>
        <v xml:space="preserve"> </v>
      </c>
      <c r="M415" s="53" t="str">
        <f>IFERROR(VLOOKUP($A415,'The List'!$B1:$AS727,20,FALSE)," ")</f>
        <v xml:space="preserve"> </v>
      </c>
      <c r="N415" s="53" t="str">
        <f>IFERROR(VLOOKUP($A415,'The List'!$B1:$AS727,21,FALSE)," ")</f>
        <v xml:space="preserve"> </v>
      </c>
      <c r="O415" s="53" t="str">
        <f>IFERROR(VLOOKUP($A415,'The List'!$B1:$AS727,22,FALSE)," ")</f>
        <v xml:space="preserve"> </v>
      </c>
      <c r="P415" s="53" t="str">
        <f>IFERROR(VLOOKUP($A415,'The List'!$B1:$AS727,23,FALSE)," ")</f>
        <v xml:space="preserve"> </v>
      </c>
      <c r="Q415" s="53" t="str">
        <f>IFERROR(VLOOKUP($A415,'The List'!$B1:$AS727,24,FALSE)," ")</f>
        <v xml:space="preserve"> </v>
      </c>
      <c r="R415" s="53" t="str">
        <f>IFERROR(VLOOKUP($A415,'The List'!$B1:$AS727,25,FALSE)," ")</f>
        <v xml:space="preserve"> </v>
      </c>
      <c r="S415" s="53" t="str">
        <f>IFERROR(VLOOKUP($A415,'The List'!$B1:$AS727,26,FALSE)," ")</f>
        <v xml:space="preserve"> </v>
      </c>
      <c r="T415" s="53" t="str">
        <f>IFERROR(VLOOKUP($A415,'The List'!$B1:$AS727,27,FALSE)," ")</f>
        <v xml:space="preserve"> </v>
      </c>
      <c r="U415" s="53" t="str">
        <f>IFERROR(VLOOKUP($A415,'The List'!$B1:$AS727,28,FALSE)," ")</f>
        <v xml:space="preserve"> </v>
      </c>
      <c r="V415" s="53" t="str">
        <f>IFERROR(VLOOKUP($A415,'The List'!$B1:$AS727,29,FALSE)," ")</f>
        <v xml:space="preserve"> </v>
      </c>
      <c r="W415" s="53" t="str">
        <f>IFERROR(VLOOKUP($A415,'The List'!$B1:$AS727,30,FALSE)," ")</f>
        <v xml:space="preserve"> </v>
      </c>
      <c r="X415" s="53" t="str">
        <f>IFERROR(VLOOKUP($A415,'The List'!$B1:$AS727,31,FALSE)," ")</f>
        <v xml:space="preserve"> </v>
      </c>
      <c r="Y415" s="53" t="str">
        <f>IFERROR(VLOOKUP($A415,'The List'!$B1:$AS727,32,FALSE)," ")</f>
        <v xml:space="preserve"> </v>
      </c>
      <c r="Z415" s="53" t="str">
        <f>IFERROR(VLOOKUP($A415,'The List'!$B1:$AS727,33,FALSE)," ")</f>
        <v xml:space="preserve"> </v>
      </c>
      <c r="AA415" s="55"/>
      <c r="AB415" s="60"/>
      <c r="AC415" s="60"/>
      <c r="AD415" s="60"/>
      <c r="AE415" s="60"/>
      <c r="AF415" s="60"/>
    </row>
    <row r="416" spans="1:32" ht="21.25" customHeight="1" x14ac:dyDescent="0.15">
      <c r="A416" s="23"/>
      <c r="B416" s="65" t="str">
        <f>IFERROR(VLOOKUP($A416,'The List'!$B1:$AS727,3,FALSE)," ")</f>
        <v xml:space="preserve"> </v>
      </c>
      <c r="C416" s="67" t="str">
        <f>IFERROR(VLOOKUP($A416,'The List'!$B1:$AS727,4,FALSE)," ")</f>
        <v xml:space="preserve"> </v>
      </c>
      <c r="D416" s="35" t="str">
        <f>IFERROR(VLOOKUP($A416,'The List'!$B1:$AS727,5,FALSE)," ")</f>
        <v xml:space="preserve"> </v>
      </c>
      <c r="E416" s="35" t="str">
        <f>IFERROR(VLOOKUP($A416,'The List'!$B1:$AS727,6,FALSE)," ")</f>
        <v xml:space="preserve"> </v>
      </c>
      <c r="F416" s="52" t="str">
        <f>IFERROR(VLOOKUP($A416,'The List'!$B1:$AS727,8,FALSE)," ")</f>
        <v xml:space="preserve"> </v>
      </c>
      <c r="G416" s="52" t="str">
        <f>IFERROR(VLOOKUP($A416,'The List'!$B1:$AS727,10,FALSE)," ")</f>
        <v xml:space="preserve"> </v>
      </c>
      <c r="H416" s="39"/>
      <c r="I416" s="53" t="str">
        <f>IFERROR(VLOOKUP($A416,'The List'!$B1:$AS727,16,FALSE)," ")</f>
        <v xml:space="preserve"> </v>
      </c>
      <c r="J416" s="53" t="str">
        <f>IFERROR(VLOOKUP($A416,'The List'!$B1:$AS727,17,FALSE)," ")</f>
        <v xml:space="preserve"> </v>
      </c>
      <c r="K416" s="53" t="str">
        <f>IFERROR(VLOOKUP($A416,'The List'!$B1:$AS727,18,FALSE)," ")</f>
        <v xml:space="preserve"> </v>
      </c>
      <c r="L416" s="53" t="str">
        <f>IFERROR(VLOOKUP($A416,'The List'!$B1:$AS727,19,FALSE)," ")</f>
        <v xml:space="preserve"> </v>
      </c>
      <c r="M416" s="53" t="str">
        <f>IFERROR(VLOOKUP($A416,'The List'!$B1:$AS727,20,FALSE)," ")</f>
        <v xml:space="preserve"> </v>
      </c>
      <c r="N416" s="53" t="str">
        <f>IFERROR(VLOOKUP($A416,'The List'!$B1:$AS727,21,FALSE)," ")</f>
        <v xml:space="preserve"> </v>
      </c>
      <c r="O416" s="53" t="str">
        <f>IFERROR(VLOOKUP($A416,'The List'!$B1:$AS727,22,FALSE)," ")</f>
        <v xml:space="preserve"> </v>
      </c>
      <c r="P416" s="53" t="str">
        <f>IFERROR(VLOOKUP($A416,'The List'!$B1:$AS727,23,FALSE)," ")</f>
        <v xml:space="preserve"> </v>
      </c>
      <c r="Q416" s="53" t="str">
        <f>IFERROR(VLOOKUP($A416,'The List'!$B1:$AS727,24,FALSE)," ")</f>
        <v xml:space="preserve"> </v>
      </c>
      <c r="R416" s="53" t="str">
        <f>IFERROR(VLOOKUP($A416,'The List'!$B1:$AS727,25,FALSE)," ")</f>
        <v xml:space="preserve"> </v>
      </c>
      <c r="S416" s="53" t="str">
        <f>IFERROR(VLOOKUP($A416,'The List'!$B1:$AS727,26,FALSE)," ")</f>
        <v xml:space="preserve"> </v>
      </c>
      <c r="T416" s="53" t="str">
        <f>IFERROR(VLOOKUP($A416,'The List'!$B1:$AS727,27,FALSE)," ")</f>
        <v xml:space="preserve"> </v>
      </c>
      <c r="U416" s="53" t="str">
        <f>IFERROR(VLOOKUP($A416,'The List'!$B1:$AS727,28,FALSE)," ")</f>
        <v xml:space="preserve"> </v>
      </c>
      <c r="V416" s="53" t="str">
        <f>IFERROR(VLOOKUP($A416,'The List'!$B1:$AS727,29,FALSE)," ")</f>
        <v xml:space="preserve"> </v>
      </c>
      <c r="W416" s="53" t="str">
        <f>IFERROR(VLOOKUP($A416,'The List'!$B1:$AS727,30,FALSE)," ")</f>
        <v xml:space="preserve"> </v>
      </c>
      <c r="X416" s="53" t="str">
        <f>IFERROR(VLOOKUP($A416,'The List'!$B1:$AS727,31,FALSE)," ")</f>
        <v xml:space="preserve"> </v>
      </c>
      <c r="Y416" s="53" t="str">
        <f>IFERROR(VLOOKUP($A416,'The List'!$B1:$AS727,32,FALSE)," ")</f>
        <v xml:space="preserve"> </v>
      </c>
      <c r="Z416" s="53" t="str">
        <f>IFERROR(VLOOKUP($A416,'The List'!$B1:$AS727,33,FALSE)," ")</f>
        <v xml:space="preserve"> </v>
      </c>
      <c r="AA416" s="55"/>
      <c r="AB416" s="60"/>
      <c r="AC416" s="60"/>
      <c r="AD416" s="60"/>
      <c r="AE416" s="60"/>
      <c r="AF416" s="60"/>
    </row>
    <row r="417" spans="1:32" ht="21.25" customHeight="1" x14ac:dyDescent="0.15">
      <c r="A417" s="23"/>
      <c r="B417" s="65" t="str">
        <f>IFERROR(VLOOKUP($A417,'The List'!$B1:$AS727,3,FALSE)," ")</f>
        <v xml:space="preserve"> </v>
      </c>
      <c r="C417" s="67" t="str">
        <f>IFERROR(VLOOKUP($A417,'The List'!$B1:$AS727,4,FALSE)," ")</f>
        <v xml:space="preserve"> </v>
      </c>
      <c r="D417" s="35" t="str">
        <f>IFERROR(VLOOKUP($A417,'The List'!$B1:$AS727,5,FALSE)," ")</f>
        <v xml:space="preserve"> </v>
      </c>
      <c r="E417" s="35" t="str">
        <f>IFERROR(VLOOKUP($A417,'The List'!$B1:$AS727,6,FALSE)," ")</f>
        <v xml:space="preserve"> </v>
      </c>
      <c r="F417" s="52" t="str">
        <f>IFERROR(VLOOKUP($A417,'The List'!$B1:$AS727,8,FALSE)," ")</f>
        <v xml:space="preserve"> </v>
      </c>
      <c r="G417" s="52" t="str">
        <f>IFERROR(VLOOKUP($A417,'The List'!$B1:$AS727,10,FALSE)," ")</f>
        <v xml:space="preserve"> </v>
      </c>
      <c r="H417" s="39"/>
      <c r="I417" s="53" t="str">
        <f>IFERROR(VLOOKUP($A417,'The List'!$B1:$AS727,16,FALSE)," ")</f>
        <v xml:space="preserve"> </v>
      </c>
      <c r="J417" s="53" t="str">
        <f>IFERROR(VLOOKUP($A417,'The List'!$B1:$AS727,17,FALSE)," ")</f>
        <v xml:space="preserve"> </v>
      </c>
      <c r="K417" s="53" t="str">
        <f>IFERROR(VLOOKUP($A417,'The List'!$B1:$AS727,18,FALSE)," ")</f>
        <v xml:space="preserve"> </v>
      </c>
      <c r="L417" s="53" t="str">
        <f>IFERROR(VLOOKUP($A417,'The List'!$B1:$AS727,19,FALSE)," ")</f>
        <v xml:space="preserve"> </v>
      </c>
      <c r="M417" s="53" t="str">
        <f>IFERROR(VLOOKUP($A417,'The List'!$B1:$AS727,20,FALSE)," ")</f>
        <v xml:space="preserve"> </v>
      </c>
      <c r="N417" s="53" t="str">
        <f>IFERROR(VLOOKUP($A417,'The List'!$B1:$AS727,21,FALSE)," ")</f>
        <v xml:space="preserve"> </v>
      </c>
      <c r="O417" s="53" t="str">
        <f>IFERROR(VLOOKUP($A417,'The List'!$B1:$AS727,22,FALSE)," ")</f>
        <v xml:space="preserve"> </v>
      </c>
      <c r="P417" s="53" t="str">
        <f>IFERROR(VLOOKUP($A417,'The List'!$B1:$AS727,23,FALSE)," ")</f>
        <v xml:space="preserve"> </v>
      </c>
      <c r="Q417" s="53" t="str">
        <f>IFERROR(VLOOKUP($A417,'The List'!$B1:$AS727,24,FALSE)," ")</f>
        <v xml:space="preserve"> </v>
      </c>
      <c r="R417" s="53" t="str">
        <f>IFERROR(VLOOKUP($A417,'The List'!$B1:$AS727,25,FALSE)," ")</f>
        <v xml:space="preserve"> </v>
      </c>
      <c r="S417" s="53" t="str">
        <f>IFERROR(VLOOKUP($A417,'The List'!$B1:$AS727,26,FALSE)," ")</f>
        <v xml:space="preserve"> </v>
      </c>
      <c r="T417" s="53" t="str">
        <f>IFERROR(VLOOKUP($A417,'The List'!$B1:$AS727,27,FALSE)," ")</f>
        <v xml:space="preserve"> </v>
      </c>
      <c r="U417" s="53" t="str">
        <f>IFERROR(VLOOKUP($A417,'The List'!$B1:$AS727,28,FALSE)," ")</f>
        <v xml:space="preserve"> </v>
      </c>
      <c r="V417" s="53" t="str">
        <f>IFERROR(VLOOKUP($A417,'The List'!$B1:$AS727,29,FALSE)," ")</f>
        <v xml:space="preserve"> </v>
      </c>
      <c r="W417" s="53" t="str">
        <f>IFERROR(VLOOKUP($A417,'The List'!$B1:$AS727,30,FALSE)," ")</f>
        <v xml:space="preserve"> </v>
      </c>
      <c r="X417" s="53" t="str">
        <f>IFERROR(VLOOKUP($A417,'The List'!$B1:$AS727,31,FALSE)," ")</f>
        <v xml:space="preserve"> </v>
      </c>
      <c r="Y417" s="53" t="str">
        <f>IFERROR(VLOOKUP($A417,'The List'!$B1:$AS727,32,FALSE)," ")</f>
        <v xml:space="preserve"> </v>
      </c>
      <c r="Z417" s="53" t="str">
        <f>IFERROR(VLOOKUP($A417,'The List'!$B1:$AS727,33,FALSE)," ")</f>
        <v xml:space="preserve"> </v>
      </c>
      <c r="AA417" s="55"/>
      <c r="AB417" s="60"/>
      <c r="AC417" s="60"/>
      <c r="AD417" s="60"/>
      <c r="AE417" s="60"/>
      <c r="AF417" s="60"/>
    </row>
    <row r="418" spans="1:32" ht="21.25" customHeight="1" x14ac:dyDescent="0.15">
      <c r="A418" s="23"/>
      <c r="B418" s="65" t="str">
        <f>IFERROR(VLOOKUP($A418,'The List'!$B1:$AS727,3,FALSE)," ")</f>
        <v xml:space="preserve"> </v>
      </c>
      <c r="C418" s="67" t="str">
        <f>IFERROR(VLOOKUP($A418,'The List'!$B1:$AS727,4,FALSE)," ")</f>
        <v xml:space="preserve"> </v>
      </c>
      <c r="D418" s="35" t="str">
        <f>IFERROR(VLOOKUP($A418,'The List'!$B1:$AS727,5,FALSE)," ")</f>
        <v xml:space="preserve"> </v>
      </c>
      <c r="E418" s="35" t="str">
        <f>IFERROR(VLOOKUP($A418,'The List'!$B1:$AS727,6,FALSE)," ")</f>
        <v xml:space="preserve"> </v>
      </c>
      <c r="F418" s="52" t="str">
        <f>IFERROR(VLOOKUP($A418,'The List'!$B1:$AS727,8,FALSE)," ")</f>
        <v xml:space="preserve"> </v>
      </c>
      <c r="G418" s="52" t="str">
        <f>IFERROR(VLOOKUP($A418,'The List'!$B1:$AS727,10,FALSE)," ")</f>
        <v xml:space="preserve"> </v>
      </c>
      <c r="H418" s="39"/>
      <c r="I418" s="53" t="str">
        <f>IFERROR(VLOOKUP($A418,'The List'!$B1:$AS727,16,FALSE)," ")</f>
        <v xml:space="preserve"> </v>
      </c>
      <c r="J418" s="53" t="str">
        <f>IFERROR(VLOOKUP($A418,'The List'!$B1:$AS727,17,FALSE)," ")</f>
        <v xml:space="preserve"> </v>
      </c>
      <c r="K418" s="53" t="str">
        <f>IFERROR(VLOOKUP($A418,'The List'!$B1:$AS727,18,FALSE)," ")</f>
        <v xml:space="preserve"> </v>
      </c>
      <c r="L418" s="53" t="str">
        <f>IFERROR(VLOOKUP($A418,'The List'!$B1:$AS727,19,FALSE)," ")</f>
        <v xml:space="preserve"> </v>
      </c>
      <c r="M418" s="53" t="str">
        <f>IFERROR(VLOOKUP($A418,'The List'!$B1:$AS727,20,FALSE)," ")</f>
        <v xml:space="preserve"> </v>
      </c>
      <c r="N418" s="53" t="str">
        <f>IFERROR(VLOOKUP($A418,'The List'!$B1:$AS727,21,FALSE)," ")</f>
        <v xml:space="preserve"> </v>
      </c>
      <c r="O418" s="53" t="str">
        <f>IFERROR(VLOOKUP($A418,'The List'!$B1:$AS727,22,FALSE)," ")</f>
        <v xml:space="preserve"> </v>
      </c>
      <c r="P418" s="53" t="str">
        <f>IFERROR(VLOOKUP($A418,'The List'!$B1:$AS727,23,FALSE)," ")</f>
        <v xml:space="preserve"> </v>
      </c>
      <c r="Q418" s="53" t="str">
        <f>IFERROR(VLOOKUP($A418,'The List'!$B1:$AS727,24,FALSE)," ")</f>
        <v xml:space="preserve"> </v>
      </c>
      <c r="R418" s="53" t="str">
        <f>IFERROR(VLOOKUP($A418,'The List'!$B1:$AS727,25,FALSE)," ")</f>
        <v xml:space="preserve"> </v>
      </c>
      <c r="S418" s="53" t="str">
        <f>IFERROR(VLOOKUP($A418,'The List'!$B1:$AS727,26,FALSE)," ")</f>
        <v xml:space="preserve"> </v>
      </c>
      <c r="T418" s="53" t="str">
        <f>IFERROR(VLOOKUP($A418,'The List'!$B1:$AS727,27,FALSE)," ")</f>
        <v xml:space="preserve"> </v>
      </c>
      <c r="U418" s="53" t="str">
        <f>IFERROR(VLOOKUP($A418,'The List'!$B1:$AS727,28,FALSE)," ")</f>
        <v xml:space="preserve"> </v>
      </c>
      <c r="V418" s="53" t="str">
        <f>IFERROR(VLOOKUP($A418,'The List'!$B1:$AS727,29,FALSE)," ")</f>
        <v xml:space="preserve"> </v>
      </c>
      <c r="W418" s="53" t="str">
        <f>IFERROR(VLOOKUP($A418,'The List'!$B1:$AS727,30,FALSE)," ")</f>
        <v xml:space="preserve"> </v>
      </c>
      <c r="X418" s="53" t="str">
        <f>IFERROR(VLOOKUP($A418,'The List'!$B1:$AS727,31,FALSE)," ")</f>
        <v xml:space="preserve"> </v>
      </c>
      <c r="Y418" s="53" t="str">
        <f>IFERROR(VLOOKUP($A418,'The List'!$B1:$AS727,32,FALSE)," ")</f>
        <v xml:space="preserve"> </v>
      </c>
      <c r="Z418" s="53" t="str">
        <f>IFERROR(VLOOKUP($A418,'The List'!$B1:$AS727,33,FALSE)," ")</f>
        <v xml:space="preserve"> </v>
      </c>
      <c r="AA418" s="55"/>
      <c r="AB418" s="60"/>
      <c r="AC418" s="60"/>
      <c r="AD418" s="60"/>
      <c r="AE418" s="60"/>
      <c r="AF418" s="60"/>
    </row>
    <row r="419" spans="1:32" ht="21.25" customHeight="1" x14ac:dyDescent="0.15">
      <c r="A419" s="23"/>
      <c r="B419" s="65" t="str">
        <f>IFERROR(VLOOKUP($A419,'The List'!$B1:$AS727,3,FALSE)," ")</f>
        <v xml:space="preserve"> </v>
      </c>
      <c r="C419" s="67" t="str">
        <f>IFERROR(VLOOKUP($A419,'The List'!$B1:$AS727,4,FALSE)," ")</f>
        <v xml:space="preserve"> </v>
      </c>
      <c r="D419" s="35" t="str">
        <f>IFERROR(VLOOKUP($A419,'The List'!$B1:$AS727,5,FALSE)," ")</f>
        <v xml:space="preserve"> </v>
      </c>
      <c r="E419" s="35" t="str">
        <f>IFERROR(VLOOKUP($A419,'The List'!$B1:$AS727,6,FALSE)," ")</f>
        <v xml:space="preserve"> </v>
      </c>
      <c r="F419" s="52" t="str">
        <f>IFERROR(VLOOKUP($A419,'The List'!$B1:$AS727,8,FALSE)," ")</f>
        <v xml:space="preserve"> </v>
      </c>
      <c r="G419" s="52" t="str">
        <f>IFERROR(VLOOKUP($A419,'The List'!$B1:$AS727,10,FALSE)," ")</f>
        <v xml:space="preserve"> </v>
      </c>
      <c r="H419" s="39"/>
      <c r="I419" s="53" t="str">
        <f>IFERROR(VLOOKUP($A419,'The List'!$B1:$AS727,16,FALSE)," ")</f>
        <v xml:space="preserve"> </v>
      </c>
      <c r="J419" s="53" t="str">
        <f>IFERROR(VLOOKUP($A419,'The List'!$B1:$AS727,17,FALSE)," ")</f>
        <v xml:space="preserve"> </v>
      </c>
      <c r="K419" s="53" t="str">
        <f>IFERROR(VLOOKUP($A419,'The List'!$B1:$AS727,18,FALSE)," ")</f>
        <v xml:space="preserve"> </v>
      </c>
      <c r="L419" s="53" t="str">
        <f>IFERROR(VLOOKUP($A419,'The List'!$B1:$AS727,19,FALSE)," ")</f>
        <v xml:space="preserve"> </v>
      </c>
      <c r="M419" s="53" t="str">
        <f>IFERROR(VLOOKUP($A419,'The List'!$B1:$AS727,20,FALSE)," ")</f>
        <v xml:space="preserve"> </v>
      </c>
      <c r="N419" s="53" t="str">
        <f>IFERROR(VLOOKUP($A419,'The List'!$B1:$AS727,21,FALSE)," ")</f>
        <v xml:space="preserve"> </v>
      </c>
      <c r="O419" s="53" t="str">
        <f>IFERROR(VLOOKUP($A419,'The List'!$B1:$AS727,22,FALSE)," ")</f>
        <v xml:space="preserve"> </v>
      </c>
      <c r="P419" s="53" t="str">
        <f>IFERROR(VLOOKUP($A419,'The List'!$B1:$AS727,23,FALSE)," ")</f>
        <v xml:space="preserve"> </v>
      </c>
      <c r="Q419" s="53" t="str">
        <f>IFERROR(VLOOKUP($A419,'The List'!$B1:$AS727,24,FALSE)," ")</f>
        <v xml:space="preserve"> </v>
      </c>
      <c r="R419" s="53" t="str">
        <f>IFERROR(VLOOKUP($A419,'The List'!$B1:$AS727,25,FALSE)," ")</f>
        <v xml:space="preserve"> </v>
      </c>
      <c r="S419" s="53" t="str">
        <f>IFERROR(VLOOKUP($A419,'The List'!$B1:$AS727,26,FALSE)," ")</f>
        <v xml:space="preserve"> </v>
      </c>
      <c r="T419" s="53" t="str">
        <f>IFERROR(VLOOKUP($A419,'The List'!$B1:$AS727,27,FALSE)," ")</f>
        <v xml:space="preserve"> </v>
      </c>
      <c r="U419" s="53" t="str">
        <f>IFERROR(VLOOKUP($A419,'The List'!$B1:$AS727,28,FALSE)," ")</f>
        <v xml:space="preserve"> </v>
      </c>
      <c r="V419" s="53" t="str">
        <f>IFERROR(VLOOKUP($A419,'The List'!$B1:$AS727,29,FALSE)," ")</f>
        <v xml:space="preserve"> </v>
      </c>
      <c r="W419" s="53" t="str">
        <f>IFERROR(VLOOKUP($A419,'The List'!$B1:$AS727,30,FALSE)," ")</f>
        <v xml:space="preserve"> </v>
      </c>
      <c r="X419" s="53" t="str">
        <f>IFERROR(VLOOKUP($A419,'The List'!$B1:$AS727,31,FALSE)," ")</f>
        <v xml:space="preserve"> </v>
      </c>
      <c r="Y419" s="53" t="str">
        <f>IFERROR(VLOOKUP($A419,'The List'!$B1:$AS727,32,FALSE)," ")</f>
        <v xml:space="preserve"> </v>
      </c>
      <c r="Z419" s="53" t="str">
        <f>IFERROR(VLOOKUP($A419,'The List'!$B1:$AS727,33,FALSE)," ")</f>
        <v xml:space="preserve"> </v>
      </c>
      <c r="AA419" s="55"/>
      <c r="AB419" s="60"/>
      <c r="AC419" s="60"/>
      <c r="AD419" s="60"/>
      <c r="AE419" s="60"/>
      <c r="AF419" s="60"/>
    </row>
    <row r="420" spans="1:32" ht="21.25" customHeight="1" x14ac:dyDescent="0.15">
      <c r="A420" s="23"/>
      <c r="B420" s="68" t="str">
        <f>IFERROR(VLOOKUP($A420,'The List'!$B1:$AS727,3,FALSE)," ")</f>
        <v xml:space="preserve"> </v>
      </c>
      <c r="C420" s="70" t="str">
        <f>IFERROR(VLOOKUP($A420,'The List'!$B1:$AS727,4,FALSE)," ")</f>
        <v xml:space="preserve"> </v>
      </c>
      <c r="D420" s="35" t="str">
        <f>IFERROR(VLOOKUP($A420,'The List'!$B1:$AS727,5,FALSE)," ")</f>
        <v xml:space="preserve"> </v>
      </c>
      <c r="E420" s="35" t="str">
        <f>IFERROR(VLOOKUP($A420,'The List'!$B1:$AS727,6,FALSE)," ")</f>
        <v xml:space="preserve"> </v>
      </c>
      <c r="F420" s="52" t="str">
        <f>IFERROR(VLOOKUP($A420,'The List'!$B1:$AS727,8,FALSE)," ")</f>
        <v xml:space="preserve"> </v>
      </c>
      <c r="G420" s="52" t="str">
        <f>IFERROR(VLOOKUP($A420,'The List'!$B1:$AS727,10,FALSE)," ")</f>
        <v xml:space="preserve"> </v>
      </c>
      <c r="H420" s="39"/>
      <c r="I420" s="53" t="str">
        <f>IFERROR(VLOOKUP($A420,'The List'!$B1:$AS727,16,FALSE)," ")</f>
        <v xml:space="preserve"> </v>
      </c>
      <c r="J420" s="53" t="str">
        <f>IFERROR(VLOOKUP($A420,'The List'!$B1:$AS727,17,FALSE)," ")</f>
        <v xml:space="preserve"> </v>
      </c>
      <c r="K420" s="53" t="str">
        <f>IFERROR(VLOOKUP($A420,'The List'!$B1:$AS727,18,FALSE)," ")</f>
        <v xml:space="preserve"> </v>
      </c>
      <c r="L420" s="53" t="str">
        <f>IFERROR(VLOOKUP($A420,'The List'!$B1:$AS727,19,FALSE)," ")</f>
        <v xml:space="preserve"> </v>
      </c>
      <c r="M420" s="53" t="str">
        <f>IFERROR(VLOOKUP($A420,'The List'!$B1:$AS727,20,FALSE)," ")</f>
        <v xml:space="preserve"> </v>
      </c>
      <c r="N420" s="53" t="str">
        <f>IFERROR(VLOOKUP($A420,'The List'!$B1:$AS727,21,FALSE)," ")</f>
        <v xml:space="preserve"> </v>
      </c>
      <c r="O420" s="53" t="str">
        <f>IFERROR(VLOOKUP($A420,'The List'!$B1:$AS727,22,FALSE)," ")</f>
        <v xml:space="preserve"> </v>
      </c>
      <c r="P420" s="53" t="str">
        <f>IFERROR(VLOOKUP($A420,'The List'!$B1:$AS727,23,FALSE)," ")</f>
        <v xml:space="preserve"> </v>
      </c>
      <c r="Q420" s="53" t="str">
        <f>IFERROR(VLOOKUP($A420,'The List'!$B1:$AS727,24,FALSE)," ")</f>
        <v xml:space="preserve"> </v>
      </c>
      <c r="R420" s="53" t="str">
        <f>IFERROR(VLOOKUP($A420,'The List'!$B1:$AS727,25,FALSE)," ")</f>
        <v xml:space="preserve"> </v>
      </c>
      <c r="S420" s="53" t="str">
        <f>IFERROR(VLOOKUP($A420,'The List'!$B1:$AS727,26,FALSE)," ")</f>
        <v xml:space="preserve"> </v>
      </c>
      <c r="T420" s="53" t="str">
        <f>IFERROR(VLOOKUP($A420,'The List'!$B1:$AS727,27,FALSE)," ")</f>
        <v xml:space="preserve"> </v>
      </c>
      <c r="U420" s="53" t="str">
        <f>IFERROR(VLOOKUP($A420,'The List'!$B1:$AS727,28,FALSE)," ")</f>
        <v xml:space="preserve"> </v>
      </c>
      <c r="V420" s="53" t="str">
        <f>IFERROR(VLOOKUP($A420,'The List'!$B1:$AS727,29,FALSE)," ")</f>
        <v xml:space="preserve"> </v>
      </c>
      <c r="W420" s="53" t="str">
        <f>IFERROR(VLOOKUP($A420,'The List'!$B1:$AS727,30,FALSE)," ")</f>
        <v xml:space="preserve"> </v>
      </c>
      <c r="X420" s="53" t="str">
        <f>IFERROR(VLOOKUP($A420,'The List'!$B1:$AS727,31,FALSE)," ")</f>
        <v xml:space="preserve"> </v>
      </c>
      <c r="Y420" s="53" t="str">
        <f>IFERROR(VLOOKUP($A420,'The List'!$B1:$AS727,32,FALSE)," ")</f>
        <v xml:space="preserve"> </v>
      </c>
      <c r="Z420" s="53" t="str">
        <f>IFERROR(VLOOKUP($A420,'The List'!$B1:$AS727,33,FALSE)," ")</f>
        <v xml:space="preserve"> </v>
      </c>
      <c r="AA420" s="55"/>
      <c r="AB420" s="60"/>
      <c r="AC420" s="60"/>
      <c r="AD420" s="60"/>
      <c r="AE420" s="60"/>
      <c r="AF420" s="60"/>
    </row>
    <row r="421" spans="1:32" ht="21.25" customHeight="1" x14ac:dyDescent="0.15">
      <c r="A421" s="23"/>
      <c r="B421" s="68" t="str">
        <f>IFERROR(VLOOKUP($A421,'The List'!$B1:$AS727,3,FALSE)," ")</f>
        <v xml:space="preserve"> </v>
      </c>
      <c r="C421" s="70" t="str">
        <f>IFERROR(VLOOKUP($A421,'The List'!$B1:$AS727,4,FALSE)," ")</f>
        <v xml:space="preserve"> </v>
      </c>
      <c r="D421" s="35" t="str">
        <f>IFERROR(VLOOKUP($A421,'The List'!$B1:$AS727,5,FALSE)," ")</f>
        <v xml:space="preserve"> </v>
      </c>
      <c r="E421" s="35" t="str">
        <f>IFERROR(VLOOKUP($A421,'The List'!$B1:$AS727,6,FALSE)," ")</f>
        <v xml:space="preserve"> </v>
      </c>
      <c r="F421" s="52" t="str">
        <f>IFERROR(VLOOKUP($A421,'The List'!$B1:$AS727,8,FALSE)," ")</f>
        <v xml:space="preserve"> </v>
      </c>
      <c r="G421" s="52" t="str">
        <f>IFERROR(VLOOKUP($A421,'The List'!$B1:$AS727,10,FALSE)," ")</f>
        <v xml:space="preserve"> </v>
      </c>
      <c r="H421" s="39"/>
      <c r="I421" s="53" t="str">
        <f>IFERROR(VLOOKUP($A421,'The List'!$B1:$AS727,16,FALSE)," ")</f>
        <v xml:space="preserve"> </v>
      </c>
      <c r="J421" s="53" t="str">
        <f>IFERROR(VLOOKUP($A421,'The List'!$B1:$AS727,17,FALSE)," ")</f>
        <v xml:space="preserve"> </v>
      </c>
      <c r="K421" s="53" t="str">
        <f>IFERROR(VLOOKUP($A421,'The List'!$B1:$AS727,18,FALSE)," ")</f>
        <v xml:space="preserve"> </v>
      </c>
      <c r="L421" s="53" t="str">
        <f>IFERROR(VLOOKUP($A421,'The List'!$B1:$AS727,19,FALSE)," ")</f>
        <v xml:space="preserve"> </v>
      </c>
      <c r="M421" s="53" t="str">
        <f>IFERROR(VLOOKUP($A421,'The List'!$B1:$AS727,20,FALSE)," ")</f>
        <v xml:space="preserve"> </v>
      </c>
      <c r="N421" s="53" t="str">
        <f>IFERROR(VLOOKUP($A421,'The List'!$B1:$AS727,21,FALSE)," ")</f>
        <v xml:space="preserve"> </v>
      </c>
      <c r="O421" s="53" t="str">
        <f>IFERROR(VLOOKUP($A421,'The List'!$B1:$AS727,22,FALSE)," ")</f>
        <v xml:space="preserve"> </v>
      </c>
      <c r="P421" s="53" t="str">
        <f>IFERROR(VLOOKUP($A421,'The List'!$B1:$AS727,23,FALSE)," ")</f>
        <v xml:space="preserve"> </v>
      </c>
      <c r="Q421" s="53" t="str">
        <f>IFERROR(VLOOKUP($A421,'The List'!$B1:$AS727,24,FALSE)," ")</f>
        <v xml:space="preserve"> </v>
      </c>
      <c r="R421" s="53" t="str">
        <f>IFERROR(VLOOKUP($A421,'The List'!$B1:$AS727,25,FALSE)," ")</f>
        <v xml:space="preserve"> </v>
      </c>
      <c r="S421" s="53" t="str">
        <f>IFERROR(VLOOKUP($A421,'The List'!$B1:$AS727,26,FALSE)," ")</f>
        <v xml:space="preserve"> </v>
      </c>
      <c r="T421" s="53" t="str">
        <f>IFERROR(VLOOKUP($A421,'The List'!$B1:$AS727,27,FALSE)," ")</f>
        <v xml:space="preserve"> </v>
      </c>
      <c r="U421" s="53" t="str">
        <f>IFERROR(VLOOKUP($A421,'The List'!$B1:$AS727,28,FALSE)," ")</f>
        <v xml:space="preserve"> </v>
      </c>
      <c r="V421" s="53" t="str">
        <f>IFERROR(VLOOKUP($A421,'The List'!$B1:$AS727,29,FALSE)," ")</f>
        <v xml:space="preserve"> </v>
      </c>
      <c r="W421" s="53" t="str">
        <f>IFERROR(VLOOKUP($A421,'The List'!$B1:$AS727,30,FALSE)," ")</f>
        <v xml:space="preserve"> </v>
      </c>
      <c r="X421" s="53" t="str">
        <f>IFERROR(VLOOKUP($A421,'The List'!$B1:$AS727,31,FALSE)," ")</f>
        <v xml:space="preserve"> </v>
      </c>
      <c r="Y421" s="53" t="str">
        <f>IFERROR(VLOOKUP($A421,'The List'!$B1:$AS727,32,FALSE)," ")</f>
        <v xml:space="preserve"> </v>
      </c>
      <c r="Z421" s="53" t="str">
        <f>IFERROR(VLOOKUP($A421,'The List'!$B1:$AS727,33,FALSE)," ")</f>
        <v xml:space="preserve"> </v>
      </c>
      <c r="AA421" s="55"/>
      <c r="AB421" s="60"/>
      <c r="AC421" s="60"/>
      <c r="AD421" s="60"/>
      <c r="AE421" s="60"/>
      <c r="AF421" s="60"/>
    </row>
    <row r="422" spans="1:32" ht="21.25" customHeight="1" x14ac:dyDescent="0.15">
      <c r="A422" s="23"/>
      <c r="B422" s="68" t="str">
        <f>IFERROR(VLOOKUP($A422,'The List'!$B1:$AS727,3,FALSE)," ")</f>
        <v xml:space="preserve"> </v>
      </c>
      <c r="C422" s="70" t="str">
        <f>IFERROR(VLOOKUP($A422,'The List'!$B1:$AS727,4,FALSE)," ")</f>
        <v xml:space="preserve"> </v>
      </c>
      <c r="D422" s="35" t="str">
        <f>IFERROR(VLOOKUP($A422,'The List'!$B1:$AS727,5,FALSE)," ")</f>
        <v xml:space="preserve"> </v>
      </c>
      <c r="E422" s="35" t="str">
        <f>IFERROR(VLOOKUP($A422,'The List'!$B1:$AS727,6,FALSE)," ")</f>
        <v xml:space="preserve"> </v>
      </c>
      <c r="F422" s="52" t="str">
        <f>IFERROR(VLOOKUP($A422,'The List'!$B1:$AS727,8,FALSE)," ")</f>
        <v xml:space="preserve"> </v>
      </c>
      <c r="G422" s="52" t="str">
        <f>IFERROR(VLOOKUP($A422,'The List'!$B1:$AS727,10,FALSE)," ")</f>
        <v xml:space="preserve"> </v>
      </c>
      <c r="H422" s="39"/>
      <c r="I422" s="53" t="str">
        <f>IFERROR(VLOOKUP($A422,'The List'!$B1:$AS727,16,FALSE)," ")</f>
        <v xml:space="preserve"> </v>
      </c>
      <c r="J422" s="53" t="str">
        <f>IFERROR(VLOOKUP($A422,'The List'!$B1:$AS727,17,FALSE)," ")</f>
        <v xml:space="preserve"> </v>
      </c>
      <c r="K422" s="53" t="str">
        <f>IFERROR(VLOOKUP($A422,'The List'!$B1:$AS727,18,FALSE)," ")</f>
        <v xml:space="preserve"> </v>
      </c>
      <c r="L422" s="53" t="str">
        <f>IFERROR(VLOOKUP($A422,'The List'!$B1:$AS727,19,FALSE)," ")</f>
        <v xml:space="preserve"> </v>
      </c>
      <c r="M422" s="53" t="str">
        <f>IFERROR(VLOOKUP($A422,'The List'!$B1:$AS727,20,FALSE)," ")</f>
        <v xml:space="preserve"> </v>
      </c>
      <c r="N422" s="53" t="str">
        <f>IFERROR(VLOOKUP($A422,'The List'!$B1:$AS727,21,FALSE)," ")</f>
        <v xml:space="preserve"> </v>
      </c>
      <c r="O422" s="53" t="str">
        <f>IFERROR(VLOOKUP($A422,'The List'!$B1:$AS727,22,FALSE)," ")</f>
        <v xml:space="preserve"> </v>
      </c>
      <c r="P422" s="53" t="str">
        <f>IFERROR(VLOOKUP($A422,'The List'!$B1:$AS727,23,FALSE)," ")</f>
        <v xml:space="preserve"> </v>
      </c>
      <c r="Q422" s="53" t="str">
        <f>IFERROR(VLOOKUP($A422,'The List'!$B1:$AS727,24,FALSE)," ")</f>
        <v xml:space="preserve"> </v>
      </c>
      <c r="R422" s="53" t="str">
        <f>IFERROR(VLOOKUP($A422,'The List'!$B1:$AS727,25,FALSE)," ")</f>
        <v xml:space="preserve"> </v>
      </c>
      <c r="S422" s="53" t="str">
        <f>IFERROR(VLOOKUP($A422,'The List'!$B1:$AS727,26,FALSE)," ")</f>
        <v xml:space="preserve"> </v>
      </c>
      <c r="T422" s="53" t="str">
        <f>IFERROR(VLOOKUP($A422,'The List'!$B1:$AS727,27,FALSE)," ")</f>
        <v xml:space="preserve"> </v>
      </c>
      <c r="U422" s="53" t="str">
        <f>IFERROR(VLOOKUP($A422,'The List'!$B1:$AS727,28,FALSE)," ")</f>
        <v xml:space="preserve"> </v>
      </c>
      <c r="V422" s="53" t="str">
        <f>IFERROR(VLOOKUP($A422,'The List'!$B1:$AS727,29,FALSE)," ")</f>
        <v xml:space="preserve"> </v>
      </c>
      <c r="W422" s="53" t="str">
        <f>IFERROR(VLOOKUP($A422,'The List'!$B1:$AS727,30,FALSE)," ")</f>
        <v xml:space="preserve"> </v>
      </c>
      <c r="X422" s="53" t="str">
        <f>IFERROR(VLOOKUP($A422,'The List'!$B1:$AS727,31,FALSE)," ")</f>
        <v xml:space="preserve"> </v>
      </c>
      <c r="Y422" s="53" t="str">
        <f>IFERROR(VLOOKUP($A422,'The List'!$B1:$AS727,32,FALSE)," ")</f>
        <v xml:space="preserve"> </v>
      </c>
      <c r="Z422" s="53" t="str">
        <f>IFERROR(VLOOKUP($A422,'The List'!$B1:$AS727,33,FALSE)," ")</f>
        <v xml:space="preserve"> </v>
      </c>
      <c r="AA422" s="55"/>
      <c r="AB422" s="60"/>
      <c r="AC422" s="60"/>
      <c r="AD422" s="60"/>
      <c r="AE422" s="60"/>
      <c r="AF422" s="60"/>
    </row>
    <row r="423" spans="1:32" ht="21.25" customHeight="1" x14ac:dyDescent="0.15">
      <c r="A423" s="23"/>
      <c r="B423" s="68" t="str">
        <f>IFERROR(VLOOKUP($A423,'The List'!$B1:$AS727,3,FALSE)," ")</f>
        <v xml:space="preserve"> </v>
      </c>
      <c r="C423" s="70" t="str">
        <f>IFERROR(VLOOKUP($A423,'The List'!$B1:$AS727,4,FALSE)," ")</f>
        <v xml:space="preserve"> </v>
      </c>
      <c r="D423" s="35" t="str">
        <f>IFERROR(VLOOKUP($A423,'The List'!$B1:$AS727,5,FALSE)," ")</f>
        <v xml:space="preserve"> </v>
      </c>
      <c r="E423" s="35" t="str">
        <f>IFERROR(VLOOKUP($A423,'The List'!$B1:$AS727,6,FALSE)," ")</f>
        <v xml:space="preserve"> </v>
      </c>
      <c r="F423" s="52" t="str">
        <f>IFERROR(VLOOKUP($A423,'The List'!$B1:$AS727,8,FALSE)," ")</f>
        <v xml:space="preserve"> </v>
      </c>
      <c r="G423" s="52" t="str">
        <f>IFERROR(VLOOKUP($A423,'The List'!$B1:$AS727,10,FALSE)," ")</f>
        <v xml:space="preserve"> </v>
      </c>
      <c r="H423" s="39"/>
      <c r="I423" s="53" t="str">
        <f>IFERROR(VLOOKUP($A423,'The List'!$B1:$AS727,16,FALSE)," ")</f>
        <v xml:space="preserve"> </v>
      </c>
      <c r="J423" s="53" t="str">
        <f>IFERROR(VLOOKUP($A423,'The List'!$B1:$AS727,17,FALSE)," ")</f>
        <v xml:space="preserve"> </v>
      </c>
      <c r="K423" s="53" t="str">
        <f>IFERROR(VLOOKUP($A423,'The List'!$B1:$AS727,18,FALSE)," ")</f>
        <v xml:space="preserve"> </v>
      </c>
      <c r="L423" s="53" t="str">
        <f>IFERROR(VLOOKUP($A423,'The List'!$B1:$AS727,19,FALSE)," ")</f>
        <v xml:space="preserve"> </v>
      </c>
      <c r="M423" s="53" t="str">
        <f>IFERROR(VLOOKUP($A423,'The List'!$B1:$AS727,20,FALSE)," ")</f>
        <v xml:space="preserve"> </v>
      </c>
      <c r="N423" s="53" t="str">
        <f>IFERROR(VLOOKUP($A423,'The List'!$B1:$AS727,21,FALSE)," ")</f>
        <v xml:space="preserve"> </v>
      </c>
      <c r="O423" s="53" t="str">
        <f>IFERROR(VLOOKUP($A423,'The List'!$B1:$AS727,22,FALSE)," ")</f>
        <v xml:space="preserve"> </v>
      </c>
      <c r="P423" s="53" t="str">
        <f>IFERROR(VLOOKUP($A423,'The List'!$B1:$AS727,23,FALSE)," ")</f>
        <v xml:space="preserve"> </v>
      </c>
      <c r="Q423" s="53" t="str">
        <f>IFERROR(VLOOKUP($A423,'The List'!$B1:$AS727,24,FALSE)," ")</f>
        <v xml:space="preserve"> </v>
      </c>
      <c r="R423" s="53" t="str">
        <f>IFERROR(VLOOKUP($A423,'The List'!$B1:$AS727,25,FALSE)," ")</f>
        <v xml:space="preserve"> </v>
      </c>
      <c r="S423" s="53" t="str">
        <f>IFERROR(VLOOKUP($A423,'The List'!$B1:$AS727,26,FALSE)," ")</f>
        <v xml:space="preserve"> </v>
      </c>
      <c r="T423" s="53" t="str">
        <f>IFERROR(VLOOKUP($A423,'The List'!$B1:$AS727,27,FALSE)," ")</f>
        <v xml:space="preserve"> </v>
      </c>
      <c r="U423" s="53" t="str">
        <f>IFERROR(VLOOKUP($A423,'The List'!$B1:$AS727,28,FALSE)," ")</f>
        <v xml:space="preserve"> </v>
      </c>
      <c r="V423" s="53" t="str">
        <f>IFERROR(VLOOKUP($A423,'The List'!$B1:$AS727,29,FALSE)," ")</f>
        <v xml:space="preserve"> </v>
      </c>
      <c r="W423" s="53" t="str">
        <f>IFERROR(VLOOKUP($A423,'The List'!$B1:$AS727,30,FALSE)," ")</f>
        <v xml:space="preserve"> </v>
      </c>
      <c r="X423" s="53" t="str">
        <f>IFERROR(VLOOKUP($A423,'The List'!$B1:$AS727,31,FALSE)," ")</f>
        <v xml:space="preserve"> </v>
      </c>
      <c r="Y423" s="53" t="str">
        <f>IFERROR(VLOOKUP($A423,'The List'!$B1:$AS727,32,FALSE)," ")</f>
        <v xml:space="preserve"> </v>
      </c>
      <c r="Z423" s="53" t="str">
        <f>IFERROR(VLOOKUP($A423,'The List'!$B1:$AS727,33,FALSE)," ")</f>
        <v xml:space="preserve"> </v>
      </c>
      <c r="AA423" s="55"/>
      <c r="AB423" s="60"/>
      <c r="AC423" s="60"/>
      <c r="AD423" s="60"/>
      <c r="AE423" s="60"/>
      <c r="AF423" s="60"/>
    </row>
    <row r="424" spans="1:32" ht="21.25" customHeight="1" x14ac:dyDescent="0.15">
      <c r="A424" s="23"/>
      <c r="B424" s="68" t="str">
        <f>IFERROR(VLOOKUP($A424,'The List'!$B1:$AS727,3,FALSE)," ")</f>
        <v xml:space="preserve"> </v>
      </c>
      <c r="C424" s="70" t="str">
        <f>IFERROR(VLOOKUP($A424,'The List'!$B1:$AS727,4,FALSE)," ")</f>
        <v xml:space="preserve"> </v>
      </c>
      <c r="D424" s="35" t="str">
        <f>IFERROR(VLOOKUP($A424,'The List'!$B1:$AS727,5,FALSE)," ")</f>
        <v xml:space="preserve"> </v>
      </c>
      <c r="E424" s="35" t="str">
        <f>IFERROR(VLOOKUP($A424,'The List'!$B1:$AS727,6,FALSE)," ")</f>
        <v xml:space="preserve"> </v>
      </c>
      <c r="F424" s="52" t="str">
        <f>IFERROR(VLOOKUP($A424,'The List'!$B1:$AS727,8,FALSE)," ")</f>
        <v xml:space="preserve"> </v>
      </c>
      <c r="G424" s="52" t="str">
        <f>IFERROR(VLOOKUP($A424,'The List'!$B1:$AS727,10,FALSE)," ")</f>
        <v xml:space="preserve"> </v>
      </c>
      <c r="H424" s="39"/>
      <c r="I424" s="53" t="str">
        <f>IFERROR(VLOOKUP($A424,'The List'!$B1:$AS727,16,FALSE)," ")</f>
        <v xml:space="preserve"> </v>
      </c>
      <c r="J424" s="53" t="str">
        <f>IFERROR(VLOOKUP($A424,'The List'!$B1:$AS727,17,FALSE)," ")</f>
        <v xml:space="preserve"> </v>
      </c>
      <c r="K424" s="53" t="str">
        <f>IFERROR(VLOOKUP($A424,'The List'!$B1:$AS727,18,FALSE)," ")</f>
        <v xml:space="preserve"> </v>
      </c>
      <c r="L424" s="53" t="str">
        <f>IFERROR(VLOOKUP($A424,'The List'!$B1:$AS727,19,FALSE)," ")</f>
        <v xml:space="preserve"> </v>
      </c>
      <c r="M424" s="53" t="str">
        <f>IFERROR(VLOOKUP($A424,'The List'!$B1:$AS727,20,FALSE)," ")</f>
        <v xml:space="preserve"> </v>
      </c>
      <c r="N424" s="53" t="str">
        <f>IFERROR(VLOOKUP($A424,'The List'!$B1:$AS727,21,FALSE)," ")</f>
        <v xml:space="preserve"> </v>
      </c>
      <c r="O424" s="53" t="str">
        <f>IFERROR(VLOOKUP($A424,'The List'!$B1:$AS727,22,FALSE)," ")</f>
        <v xml:space="preserve"> </v>
      </c>
      <c r="P424" s="53" t="str">
        <f>IFERROR(VLOOKUP($A424,'The List'!$B1:$AS727,23,FALSE)," ")</f>
        <v xml:space="preserve"> </v>
      </c>
      <c r="Q424" s="53" t="str">
        <f>IFERROR(VLOOKUP($A424,'The List'!$B1:$AS727,24,FALSE)," ")</f>
        <v xml:space="preserve"> </v>
      </c>
      <c r="R424" s="53" t="str">
        <f>IFERROR(VLOOKUP($A424,'The List'!$B1:$AS727,25,FALSE)," ")</f>
        <v xml:space="preserve"> </v>
      </c>
      <c r="S424" s="53" t="str">
        <f>IFERROR(VLOOKUP($A424,'The List'!$B1:$AS727,26,FALSE)," ")</f>
        <v xml:space="preserve"> </v>
      </c>
      <c r="T424" s="53" t="str">
        <f>IFERROR(VLOOKUP($A424,'The List'!$B1:$AS727,27,FALSE)," ")</f>
        <v xml:space="preserve"> </v>
      </c>
      <c r="U424" s="53" t="str">
        <f>IFERROR(VLOOKUP($A424,'The List'!$B1:$AS727,28,FALSE)," ")</f>
        <v xml:space="preserve"> </v>
      </c>
      <c r="V424" s="53" t="str">
        <f>IFERROR(VLOOKUP($A424,'The List'!$B1:$AS727,29,FALSE)," ")</f>
        <v xml:space="preserve"> </v>
      </c>
      <c r="W424" s="53" t="str">
        <f>IFERROR(VLOOKUP($A424,'The List'!$B1:$AS727,30,FALSE)," ")</f>
        <v xml:space="preserve"> </v>
      </c>
      <c r="X424" s="53" t="str">
        <f>IFERROR(VLOOKUP($A424,'The List'!$B1:$AS727,31,FALSE)," ")</f>
        <v xml:space="preserve"> </v>
      </c>
      <c r="Y424" s="53" t="str">
        <f>IFERROR(VLOOKUP($A424,'The List'!$B1:$AS727,32,FALSE)," ")</f>
        <v xml:space="preserve"> </v>
      </c>
      <c r="Z424" s="53" t="str">
        <f>IFERROR(VLOOKUP($A424,'The List'!$B1:$AS727,33,FALSE)," ")</f>
        <v xml:space="preserve"> </v>
      </c>
      <c r="AA424" s="55"/>
      <c r="AB424" s="60"/>
      <c r="AC424" s="60"/>
      <c r="AD424" s="60"/>
      <c r="AE424" s="60"/>
      <c r="AF424" s="60"/>
    </row>
    <row r="425" spans="1:32" ht="21.25" customHeight="1" x14ac:dyDescent="0.15">
      <c r="A425" s="23"/>
      <c r="B425" s="68" t="str">
        <f>IFERROR(VLOOKUP($A425,'The List'!$B1:$AS727,3,FALSE)," ")</f>
        <v xml:space="preserve"> </v>
      </c>
      <c r="C425" s="70" t="str">
        <f>IFERROR(VLOOKUP($A425,'The List'!$B1:$AS727,4,FALSE)," ")</f>
        <v xml:space="preserve"> </v>
      </c>
      <c r="D425" s="35" t="str">
        <f>IFERROR(VLOOKUP($A425,'The List'!$B1:$AS727,5,FALSE)," ")</f>
        <v xml:space="preserve"> </v>
      </c>
      <c r="E425" s="35" t="str">
        <f>IFERROR(VLOOKUP($A425,'The List'!$B1:$AS727,6,FALSE)," ")</f>
        <v xml:space="preserve"> </v>
      </c>
      <c r="F425" s="52" t="str">
        <f>IFERROR(VLOOKUP($A425,'The List'!$B1:$AS727,8,FALSE)," ")</f>
        <v xml:space="preserve"> </v>
      </c>
      <c r="G425" s="52" t="str">
        <f>IFERROR(VLOOKUP($A425,'The List'!$B1:$AS727,10,FALSE)," ")</f>
        <v xml:space="preserve"> </v>
      </c>
      <c r="H425" s="39"/>
      <c r="I425" s="53" t="str">
        <f>IFERROR(VLOOKUP($A425,'The List'!$B1:$AS727,16,FALSE)," ")</f>
        <v xml:space="preserve"> </v>
      </c>
      <c r="J425" s="53" t="str">
        <f>IFERROR(VLOOKUP($A425,'The List'!$B1:$AS727,17,FALSE)," ")</f>
        <v xml:space="preserve"> </v>
      </c>
      <c r="K425" s="53" t="str">
        <f>IFERROR(VLOOKUP($A425,'The List'!$B1:$AS727,18,FALSE)," ")</f>
        <v xml:space="preserve"> </v>
      </c>
      <c r="L425" s="53" t="str">
        <f>IFERROR(VLOOKUP($A425,'The List'!$B1:$AS727,19,FALSE)," ")</f>
        <v xml:space="preserve"> </v>
      </c>
      <c r="M425" s="53" t="str">
        <f>IFERROR(VLOOKUP($A425,'The List'!$B1:$AS727,20,FALSE)," ")</f>
        <v xml:space="preserve"> </v>
      </c>
      <c r="N425" s="53" t="str">
        <f>IFERROR(VLOOKUP($A425,'The List'!$B1:$AS727,21,FALSE)," ")</f>
        <v xml:space="preserve"> </v>
      </c>
      <c r="O425" s="53" t="str">
        <f>IFERROR(VLOOKUP($A425,'The List'!$B1:$AS727,22,FALSE)," ")</f>
        <v xml:space="preserve"> </v>
      </c>
      <c r="P425" s="53" t="str">
        <f>IFERROR(VLOOKUP($A425,'The List'!$B1:$AS727,23,FALSE)," ")</f>
        <v xml:space="preserve"> </v>
      </c>
      <c r="Q425" s="53" t="str">
        <f>IFERROR(VLOOKUP($A425,'The List'!$B1:$AS727,24,FALSE)," ")</f>
        <v xml:space="preserve"> </v>
      </c>
      <c r="R425" s="53" t="str">
        <f>IFERROR(VLOOKUP($A425,'The List'!$B1:$AS727,25,FALSE)," ")</f>
        <v xml:space="preserve"> </v>
      </c>
      <c r="S425" s="53" t="str">
        <f>IFERROR(VLOOKUP($A425,'The List'!$B1:$AS727,26,FALSE)," ")</f>
        <v xml:space="preserve"> </v>
      </c>
      <c r="T425" s="53" t="str">
        <f>IFERROR(VLOOKUP($A425,'The List'!$B1:$AS727,27,FALSE)," ")</f>
        <v xml:space="preserve"> </v>
      </c>
      <c r="U425" s="53" t="str">
        <f>IFERROR(VLOOKUP($A425,'The List'!$B1:$AS727,28,FALSE)," ")</f>
        <v xml:space="preserve"> </v>
      </c>
      <c r="V425" s="53" t="str">
        <f>IFERROR(VLOOKUP($A425,'The List'!$B1:$AS727,29,FALSE)," ")</f>
        <v xml:space="preserve"> </v>
      </c>
      <c r="W425" s="53" t="str">
        <f>IFERROR(VLOOKUP($A425,'The List'!$B1:$AS727,30,FALSE)," ")</f>
        <v xml:space="preserve"> </v>
      </c>
      <c r="X425" s="53" t="str">
        <f>IFERROR(VLOOKUP($A425,'The List'!$B1:$AS727,31,FALSE)," ")</f>
        <v xml:space="preserve"> </v>
      </c>
      <c r="Y425" s="53" t="str">
        <f>IFERROR(VLOOKUP($A425,'The List'!$B1:$AS727,32,FALSE)," ")</f>
        <v xml:space="preserve"> </v>
      </c>
      <c r="Z425" s="53" t="str">
        <f>IFERROR(VLOOKUP($A425,'The List'!$B1:$AS727,33,FALSE)," ")</f>
        <v xml:space="preserve"> </v>
      </c>
      <c r="AA425" s="55"/>
      <c r="AB425" s="60"/>
      <c r="AC425" s="60"/>
      <c r="AD425" s="60"/>
      <c r="AE425" s="60"/>
      <c r="AF425" s="60"/>
    </row>
    <row r="426" spans="1:32" ht="21.25" customHeight="1" x14ac:dyDescent="0.15">
      <c r="A426" s="23"/>
      <c r="B426" s="68" t="str">
        <f>IFERROR(VLOOKUP($A426,'The List'!$B1:$AS727,3,FALSE)," ")</f>
        <v xml:space="preserve"> </v>
      </c>
      <c r="C426" s="70" t="str">
        <f>IFERROR(VLOOKUP($A426,'The List'!$B1:$AS727,4,FALSE)," ")</f>
        <v xml:space="preserve"> </v>
      </c>
      <c r="D426" s="35" t="str">
        <f>IFERROR(VLOOKUP($A426,'The List'!$B1:$AS727,5,FALSE)," ")</f>
        <v xml:space="preserve"> </v>
      </c>
      <c r="E426" s="35" t="str">
        <f>IFERROR(VLOOKUP($A426,'The List'!$B1:$AS727,6,FALSE)," ")</f>
        <v xml:space="preserve"> </v>
      </c>
      <c r="F426" s="52" t="str">
        <f>IFERROR(VLOOKUP($A426,'The List'!$B1:$AS727,8,FALSE)," ")</f>
        <v xml:space="preserve"> </v>
      </c>
      <c r="G426" s="52" t="str">
        <f>IFERROR(VLOOKUP($A426,'The List'!$B1:$AS727,10,FALSE)," ")</f>
        <v xml:space="preserve"> </v>
      </c>
      <c r="H426" s="39"/>
      <c r="I426" s="53" t="str">
        <f>IFERROR(VLOOKUP($A426,'The List'!$B1:$AS727,16,FALSE)," ")</f>
        <v xml:space="preserve"> </v>
      </c>
      <c r="J426" s="53" t="str">
        <f>IFERROR(VLOOKUP($A426,'The List'!$B1:$AS727,17,FALSE)," ")</f>
        <v xml:space="preserve"> </v>
      </c>
      <c r="K426" s="53" t="str">
        <f>IFERROR(VLOOKUP($A426,'The List'!$B1:$AS727,18,FALSE)," ")</f>
        <v xml:space="preserve"> </v>
      </c>
      <c r="L426" s="53" t="str">
        <f>IFERROR(VLOOKUP($A426,'The List'!$B1:$AS727,19,FALSE)," ")</f>
        <v xml:space="preserve"> </v>
      </c>
      <c r="M426" s="53" t="str">
        <f>IFERROR(VLOOKUP($A426,'The List'!$B1:$AS727,20,FALSE)," ")</f>
        <v xml:space="preserve"> </v>
      </c>
      <c r="N426" s="53" t="str">
        <f>IFERROR(VLOOKUP($A426,'The List'!$B1:$AS727,21,FALSE)," ")</f>
        <v xml:space="preserve"> </v>
      </c>
      <c r="O426" s="53" t="str">
        <f>IFERROR(VLOOKUP($A426,'The List'!$B1:$AS727,22,FALSE)," ")</f>
        <v xml:space="preserve"> </v>
      </c>
      <c r="P426" s="53" t="str">
        <f>IFERROR(VLOOKUP($A426,'The List'!$B1:$AS727,23,FALSE)," ")</f>
        <v xml:space="preserve"> </v>
      </c>
      <c r="Q426" s="53" t="str">
        <f>IFERROR(VLOOKUP($A426,'The List'!$B1:$AS727,24,FALSE)," ")</f>
        <v xml:space="preserve"> </v>
      </c>
      <c r="R426" s="53" t="str">
        <f>IFERROR(VLOOKUP($A426,'The List'!$B1:$AS727,25,FALSE)," ")</f>
        <v xml:space="preserve"> </v>
      </c>
      <c r="S426" s="53" t="str">
        <f>IFERROR(VLOOKUP($A426,'The List'!$B1:$AS727,26,FALSE)," ")</f>
        <v xml:space="preserve"> </v>
      </c>
      <c r="T426" s="53" t="str">
        <f>IFERROR(VLOOKUP($A426,'The List'!$B1:$AS727,27,FALSE)," ")</f>
        <v xml:space="preserve"> </v>
      </c>
      <c r="U426" s="53" t="str">
        <f>IFERROR(VLOOKUP($A426,'The List'!$B1:$AS727,28,FALSE)," ")</f>
        <v xml:space="preserve"> </v>
      </c>
      <c r="V426" s="53" t="str">
        <f>IFERROR(VLOOKUP($A426,'The List'!$B1:$AS727,29,FALSE)," ")</f>
        <v xml:space="preserve"> </v>
      </c>
      <c r="W426" s="53" t="str">
        <f>IFERROR(VLOOKUP($A426,'The List'!$B1:$AS727,30,FALSE)," ")</f>
        <v xml:space="preserve"> </v>
      </c>
      <c r="X426" s="53" t="str">
        <f>IFERROR(VLOOKUP($A426,'The List'!$B1:$AS727,31,FALSE)," ")</f>
        <v xml:space="preserve"> </v>
      </c>
      <c r="Y426" s="53" t="str">
        <f>IFERROR(VLOOKUP($A426,'The List'!$B1:$AS727,32,FALSE)," ")</f>
        <v xml:space="preserve"> </v>
      </c>
      <c r="Z426" s="53" t="str">
        <f>IFERROR(VLOOKUP($A426,'The List'!$B1:$AS727,33,FALSE)," ")</f>
        <v xml:space="preserve"> </v>
      </c>
      <c r="AA426" s="55"/>
      <c r="AB426" s="60"/>
      <c r="AC426" s="60"/>
      <c r="AD426" s="60"/>
      <c r="AE426" s="60"/>
      <c r="AF426" s="60"/>
    </row>
    <row r="427" spans="1:32" ht="21.25" customHeight="1" x14ac:dyDescent="0.15">
      <c r="A427" s="72"/>
      <c r="B427" s="73" t="str">
        <f>IFERROR(VLOOKUP($A427,'The List'!$B1:$AS727,3,FALSE)," ")</f>
        <v xml:space="preserve"> </v>
      </c>
      <c r="C427" s="74" t="str">
        <f>IFERROR(VLOOKUP($A427,'The List'!$B1:$AS727,4,FALSE)," ")</f>
        <v xml:space="preserve"> </v>
      </c>
      <c r="D427" s="75" t="str">
        <f>IFERROR(VLOOKUP($A427,'The List'!$B1:$AS727,5,FALSE)," ")</f>
        <v xml:space="preserve"> </v>
      </c>
      <c r="E427" s="75" t="str">
        <f>IFERROR(VLOOKUP($A427,'The List'!$B1:$AS727,6,FALSE)," ")</f>
        <v xml:space="preserve"> </v>
      </c>
      <c r="F427" s="76" t="str">
        <f>IFERROR(VLOOKUP($A427,'The List'!$B1:$AS727,8,FALSE)," ")</f>
        <v xml:space="preserve"> </v>
      </c>
      <c r="G427" s="76" t="str">
        <f>IFERROR(VLOOKUP($A427,'The List'!$B1:$AS727,10,FALSE)," ")</f>
        <v xml:space="preserve"> </v>
      </c>
      <c r="H427" s="77"/>
      <c r="I427" s="78" t="str">
        <f>IFERROR(VLOOKUP($A427,'The List'!$B1:$AS727,16,FALSE)," ")</f>
        <v xml:space="preserve"> </v>
      </c>
      <c r="J427" s="78" t="str">
        <f>IFERROR(VLOOKUP($A427,'The List'!$B1:$AS727,17,FALSE)," ")</f>
        <v xml:space="preserve"> </v>
      </c>
      <c r="K427" s="78" t="str">
        <f>IFERROR(VLOOKUP($A427,'The List'!$B1:$AS727,18,FALSE)," ")</f>
        <v xml:space="preserve"> </v>
      </c>
      <c r="L427" s="78" t="str">
        <f>IFERROR(VLOOKUP($A427,'The List'!$B1:$AS727,19,FALSE)," ")</f>
        <v xml:space="preserve"> </v>
      </c>
      <c r="M427" s="78" t="str">
        <f>IFERROR(VLOOKUP($A427,'The List'!$B1:$AS727,20,FALSE)," ")</f>
        <v xml:space="preserve"> </v>
      </c>
      <c r="N427" s="78" t="str">
        <f>IFERROR(VLOOKUP($A427,'The List'!$B1:$AS727,21,FALSE)," ")</f>
        <v xml:space="preserve"> </v>
      </c>
      <c r="O427" s="78" t="str">
        <f>IFERROR(VLOOKUP($A427,'The List'!$B1:$AS727,22,FALSE)," ")</f>
        <v xml:space="preserve"> </v>
      </c>
      <c r="P427" s="78" t="str">
        <f>IFERROR(VLOOKUP($A427,'The List'!$B1:$AS727,23,FALSE)," ")</f>
        <v xml:space="preserve"> </v>
      </c>
      <c r="Q427" s="78" t="str">
        <f>IFERROR(VLOOKUP($A427,'The List'!$B1:$AS727,24,FALSE)," ")</f>
        <v xml:space="preserve"> </v>
      </c>
      <c r="R427" s="78" t="str">
        <f>IFERROR(VLOOKUP($A427,'The List'!$B1:$AS727,25,FALSE)," ")</f>
        <v xml:space="preserve"> </v>
      </c>
      <c r="S427" s="78" t="str">
        <f>IFERROR(VLOOKUP($A427,'The List'!$B1:$AS727,26,FALSE)," ")</f>
        <v xml:space="preserve"> </v>
      </c>
      <c r="T427" s="78" t="str">
        <f>IFERROR(VLOOKUP($A427,'The List'!$B1:$AS727,27,FALSE)," ")</f>
        <v xml:space="preserve"> </v>
      </c>
      <c r="U427" s="78" t="str">
        <f>IFERROR(VLOOKUP($A427,'The List'!$B1:$AS727,28,FALSE)," ")</f>
        <v xml:space="preserve"> </v>
      </c>
      <c r="V427" s="78" t="str">
        <f>IFERROR(VLOOKUP($A427,'The List'!$B1:$AS727,29,FALSE)," ")</f>
        <v xml:space="preserve"> </v>
      </c>
      <c r="W427" s="78" t="str">
        <f>IFERROR(VLOOKUP($A427,'The List'!$B1:$AS727,30,FALSE)," ")</f>
        <v xml:space="preserve"> </v>
      </c>
      <c r="X427" s="78" t="str">
        <f>IFERROR(VLOOKUP($A427,'The List'!$B1:$AS727,31,FALSE)," ")</f>
        <v xml:space="preserve"> </v>
      </c>
      <c r="Y427" s="78" t="str">
        <f>IFERROR(VLOOKUP($A427,'The List'!$B1:$AS727,32,FALSE)," ")</f>
        <v xml:space="preserve"> </v>
      </c>
      <c r="Z427" s="78" t="str">
        <f>IFERROR(VLOOKUP($A427,'The List'!$B1:$AS727,33,FALSE)," ")</f>
        <v xml:space="preserve"> </v>
      </c>
      <c r="AA427" s="55"/>
      <c r="AB427" s="60"/>
      <c r="AC427" s="60"/>
      <c r="AD427" s="60"/>
      <c r="AE427" s="60"/>
      <c r="AF427" s="60"/>
    </row>
    <row r="428" spans="1:32" ht="21.25" customHeight="1" x14ac:dyDescent="0.15">
      <c r="A428" s="79"/>
      <c r="B428" s="80"/>
      <c r="C428" s="81"/>
      <c r="D428" s="82"/>
      <c r="E428" s="117" t="str">
        <f>IFERROR(AVERAGE(E408:E427)," ")</f>
        <v xml:space="preserve"> </v>
      </c>
      <c r="F428" s="84">
        <f>SUM(F408:F427)</f>
        <v>0</v>
      </c>
      <c r="G428" s="84">
        <f>SUM(G408:G427)</f>
        <v>0</v>
      </c>
      <c r="H428" s="85"/>
      <c r="I428" s="86">
        <f>SUM(I408:I427)</f>
        <v>0</v>
      </c>
      <c r="J428" s="85" t="e">
        <f>AVERAGE(J408:J427)</f>
        <v>#DIV/0!</v>
      </c>
      <c r="K428" s="86">
        <f t="shared" ref="K428:Y428" si="28">SUM(K408:K427)</f>
        <v>0</v>
      </c>
      <c r="L428" s="86">
        <f t="shared" si="28"/>
        <v>0</v>
      </c>
      <c r="M428" s="86">
        <f t="shared" si="28"/>
        <v>0</v>
      </c>
      <c r="N428" s="86">
        <f t="shared" si="28"/>
        <v>0</v>
      </c>
      <c r="O428" s="86">
        <f t="shared" si="28"/>
        <v>0</v>
      </c>
      <c r="P428" s="86">
        <f t="shared" si="28"/>
        <v>0</v>
      </c>
      <c r="Q428" s="86">
        <f t="shared" si="28"/>
        <v>0</v>
      </c>
      <c r="R428" s="86">
        <f t="shared" si="28"/>
        <v>0</v>
      </c>
      <c r="S428" s="86">
        <f t="shared" si="28"/>
        <v>0</v>
      </c>
      <c r="T428" s="86">
        <f t="shared" si="28"/>
        <v>0</v>
      </c>
      <c r="U428" s="86">
        <f t="shared" si="28"/>
        <v>0</v>
      </c>
      <c r="V428" s="86">
        <f t="shared" si="28"/>
        <v>0</v>
      </c>
      <c r="W428" s="86">
        <f t="shared" si="28"/>
        <v>0</v>
      </c>
      <c r="X428" s="86">
        <f t="shared" si="28"/>
        <v>0</v>
      </c>
      <c r="Y428" s="86">
        <f t="shared" si="28"/>
        <v>0</v>
      </c>
      <c r="Z428" s="87">
        <f>IFERROR(X428/(X428+Y428),0)</f>
        <v>0</v>
      </c>
      <c r="AA428" s="55"/>
      <c r="AB428" s="88"/>
      <c r="AC428" s="88"/>
      <c r="AD428" s="88"/>
      <c r="AE428" s="88"/>
      <c r="AF428" s="88"/>
    </row>
    <row r="429" spans="1:32" ht="21.25" customHeight="1" x14ac:dyDescent="0.15">
      <c r="A429" s="89"/>
      <c r="B429" s="90"/>
      <c r="C429" s="91"/>
      <c r="D429" s="11"/>
      <c r="E429" s="11"/>
      <c r="F429" s="92"/>
      <c r="G429" s="93"/>
      <c r="H429" s="94"/>
      <c r="I429" s="9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60"/>
      <c r="AC429" s="60"/>
      <c r="AD429" s="60"/>
      <c r="AE429" s="60"/>
      <c r="AF429" s="60"/>
    </row>
    <row r="430" spans="1:32" ht="21.25" customHeight="1" x14ac:dyDescent="0.15">
      <c r="A430" s="24" t="s">
        <v>66</v>
      </c>
      <c r="B430" s="174" t="s">
        <v>68</v>
      </c>
      <c r="C430" s="165"/>
      <c r="D430" s="96" t="s">
        <v>69</v>
      </c>
      <c r="E430" s="96" t="s">
        <v>70</v>
      </c>
      <c r="F430" s="97" t="s">
        <v>72</v>
      </c>
      <c r="G430" s="97" t="s">
        <v>74</v>
      </c>
      <c r="H430" s="98"/>
      <c r="I430" s="99" t="s">
        <v>79</v>
      </c>
      <c r="J430" s="99" t="s">
        <v>97</v>
      </c>
      <c r="K430" s="99" t="s">
        <v>98</v>
      </c>
      <c r="L430" s="99" t="s">
        <v>99</v>
      </c>
      <c r="M430" s="99" t="s">
        <v>100</v>
      </c>
      <c r="N430" s="99" t="s">
        <v>101</v>
      </c>
      <c r="O430" s="99" t="s">
        <v>102</v>
      </c>
      <c r="P430" s="99" t="s">
        <v>103</v>
      </c>
      <c r="Q430" s="99" t="s">
        <v>104</v>
      </c>
      <c r="R430" s="55"/>
      <c r="S430" s="55"/>
      <c r="T430" s="55"/>
      <c r="U430" s="174" t="s">
        <v>850</v>
      </c>
      <c r="V430" s="175"/>
      <c r="W430" s="175"/>
      <c r="X430" s="174" t="s">
        <v>851</v>
      </c>
      <c r="Y430" s="175"/>
      <c r="Z430" s="175"/>
      <c r="AA430" s="55"/>
      <c r="AB430" s="55"/>
      <c r="AC430" s="55"/>
      <c r="AD430" s="55"/>
      <c r="AE430" s="55"/>
      <c r="AF430" s="55"/>
    </row>
    <row r="431" spans="1:32" ht="21.25" customHeight="1" x14ac:dyDescent="0.15">
      <c r="A431" s="118"/>
      <c r="B431" s="101" t="str">
        <f>IFERROR(VLOOKUP($A431,'The List'!$B1:$AS727,3,FALSE)," ")</f>
        <v xml:space="preserve"> </v>
      </c>
      <c r="C431" s="119" t="str">
        <f>IFERROR(VLOOKUP($A431,'The List'!$B1:$AS727,4,FALSE)," ")</f>
        <v xml:space="preserve"> </v>
      </c>
      <c r="D431" s="103" t="str">
        <f>IFERROR(VLOOKUP($A431,'The List'!$B1:$AS727,5,FALSE)," ")</f>
        <v xml:space="preserve"> </v>
      </c>
      <c r="E431" s="103" t="str">
        <f>IFERROR(VLOOKUP($A431,'The List'!$B1:$AS727,6,FALSE)," ")</f>
        <v xml:space="preserve"> </v>
      </c>
      <c r="F431" s="120" t="str">
        <f>IFERROR(VLOOKUP($A431,'The List'!$B1:$AS727,8,FALSE)," ")</f>
        <v xml:space="preserve"> </v>
      </c>
      <c r="G431" s="120" t="str">
        <f>IFERROR(VLOOKUP($A431,'The List'!$B1:$AS727,10,FALSE)," ")</f>
        <v xml:space="preserve"> </v>
      </c>
      <c r="H431" s="106"/>
      <c r="I431" s="121" t="str">
        <f>IFERROR(VLOOKUP($A431,'The List'!$B1:$AS727,35,FALSE)," ")</f>
        <v xml:space="preserve"> </v>
      </c>
      <c r="J431" s="121" t="str">
        <f>IFERROR(VLOOKUP($A431,'The List'!$B1:$AS727,36,FALSE)," ")</f>
        <v xml:space="preserve"> </v>
      </c>
      <c r="K431" s="121" t="str">
        <f>IFERROR(VLOOKUP($A431,'The List'!$B1:$AS727,37,FALSE)," ")</f>
        <v xml:space="preserve"> </v>
      </c>
      <c r="L431" s="121" t="str">
        <f>IFERROR(VLOOKUP($A431,'The List'!$B1:$AS727,38,FALSE)," ")</f>
        <v xml:space="preserve"> </v>
      </c>
      <c r="M431" s="121" t="str">
        <f>IFERROR(VLOOKUP($A431,'The List'!$B1:$AS727,39,FALSE)," ")</f>
        <v xml:space="preserve"> </v>
      </c>
      <c r="N431" s="121" t="str">
        <f>IFERROR(VLOOKUP($A431,'The List'!$B1:$AS727,40,FALSE)," ")</f>
        <v xml:space="preserve"> </v>
      </c>
      <c r="O431" s="121" t="str">
        <f>IFERROR(VLOOKUP($A431,'The List'!$B1:$AS727,41,FALSE)," ")</f>
        <v xml:space="preserve"> </v>
      </c>
      <c r="P431" s="121" t="str">
        <f>IFERROR(VLOOKUP($A431,'The List'!$B1:$AS727,42,FALSE)," ")</f>
        <v xml:space="preserve"> </v>
      </c>
      <c r="Q431" s="121" t="str">
        <f>IFERROR(VLOOKUP($A431,'The List'!$B1:$AS727,43,FALSE)," ")</f>
        <v xml:space="preserve"> </v>
      </c>
      <c r="R431" s="55"/>
      <c r="S431" s="55"/>
      <c r="T431" s="110" t="str">
        <f>A407</f>
        <v>TEAM 15</v>
      </c>
      <c r="U431" s="176">
        <f>F428+F434</f>
        <v>0</v>
      </c>
      <c r="V431" s="165"/>
      <c r="W431" s="165"/>
      <c r="X431" s="176">
        <f>G434+G428</f>
        <v>0</v>
      </c>
      <c r="Y431" s="165"/>
      <c r="Z431" s="165"/>
      <c r="AA431" s="55"/>
      <c r="AB431" s="55"/>
      <c r="AC431" s="55"/>
      <c r="AD431" s="55"/>
      <c r="AE431" s="55"/>
      <c r="AF431" s="55"/>
    </row>
    <row r="432" spans="1:32" ht="21.25" customHeight="1" x14ac:dyDescent="0.15">
      <c r="A432" s="23"/>
      <c r="B432" s="111" t="str">
        <f>IFERROR(VLOOKUP($A432,'The List'!$B1:$AS727,3,FALSE)," ")</f>
        <v xml:space="preserve"> </v>
      </c>
      <c r="C432" s="112" t="str">
        <f>IFERROR(VLOOKUP($A432,'The List'!$B1:$AS727,4,FALSE)," ")</f>
        <v xml:space="preserve"> </v>
      </c>
      <c r="D432" s="35" t="str">
        <f>IFERROR(VLOOKUP($A432,'The List'!$B1:$AS727,5,FALSE)," ")</f>
        <v xml:space="preserve"> </v>
      </c>
      <c r="E432" s="35" t="str">
        <f>IFERROR(VLOOKUP($A432,'The List'!$B1:$AS727,6,FALSE)," ")</f>
        <v xml:space="preserve"> </v>
      </c>
      <c r="F432" s="52" t="str">
        <f>IFERROR(VLOOKUP($A432,'The List'!$B1:$AS727,8,FALSE)," ")</f>
        <v xml:space="preserve"> </v>
      </c>
      <c r="G432" s="52" t="str">
        <f>IFERROR(VLOOKUP($A432,'The List'!$B1:$AS727,10,FALSE)," ")</f>
        <v xml:space="preserve"> </v>
      </c>
      <c r="H432" s="39"/>
      <c r="I432" s="53" t="str">
        <f>IFERROR(VLOOKUP($A432,'The List'!$B1:$AS727,35,FALSE)," ")</f>
        <v xml:space="preserve"> </v>
      </c>
      <c r="J432" s="53" t="str">
        <f>IFERROR(VLOOKUP($A432,'The List'!$B1:$AS727,36,FALSE)," ")</f>
        <v xml:space="preserve"> </v>
      </c>
      <c r="K432" s="53" t="str">
        <f>IFERROR(VLOOKUP($A432,'The List'!$B1:$AS727,37,FALSE)," ")</f>
        <v xml:space="preserve"> </v>
      </c>
      <c r="L432" s="53" t="str">
        <f>IFERROR(VLOOKUP($A432,'The List'!$B1:$AS727,38,FALSE)," ")</f>
        <v xml:space="preserve"> </v>
      </c>
      <c r="M432" s="53" t="str">
        <f>IFERROR(VLOOKUP($A432,'The List'!$B1:$AS727,39,FALSE)," ")</f>
        <v xml:space="preserve"> </v>
      </c>
      <c r="N432" s="53" t="str">
        <f>IFERROR(VLOOKUP($A432,'The List'!$B1:$AS727,40,FALSE)," ")</f>
        <v xml:space="preserve"> </v>
      </c>
      <c r="O432" s="53" t="str">
        <f>IFERROR(VLOOKUP($A432,'The List'!$B1:$AS727,41,FALSE)," ")</f>
        <v xml:space="preserve"> </v>
      </c>
      <c r="P432" s="53" t="str">
        <f>IFERROR(VLOOKUP($A432,'The List'!$B1:$AS727,42,FALSE)," ")</f>
        <v xml:space="preserve"> </v>
      </c>
      <c r="Q432" s="53" t="str">
        <f>IFERROR(VLOOKUP($A432,'The List'!$B1:$AS727,43,FALSE)," ")</f>
        <v xml:space="preserve"> </v>
      </c>
      <c r="R432" s="55"/>
      <c r="S432" s="55"/>
      <c r="T432" s="55"/>
      <c r="U432" s="165"/>
      <c r="V432" s="165"/>
      <c r="W432" s="165"/>
      <c r="X432" s="165"/>
      <c r="Y432" s="165"/>
      <c r="Z432" s="165"/>
      <c r="AA432" s="55"/>
      <c r="AB432" s="55"/>
      <c r="AC432" s="55"/>
      <c r="AD432" s="55"/>
      <c r="AE432" s="55"/>
      <c r="AF432" s="55"/>
    </row>
    <row r="433" spans="1:32" ht="21.25" customHeight="1" x14ac:dyDescent="0.15">
      <c r="A433" s="72"/>
      <c r="B433" s="113" t="str">
        <f>IFERROR(VLOOKUP($A433,'The List'!$B1:$AS727,3,FALSE)," ")</f>
        <v xml:space="preserve"> </v>
      </c>
      <c r="C433" s="114" t="str">
        <f>IFERROR(VLOOKUP($A433,'The List'!$B1:$AS727,4,FALSE)," ")</f>
        <v xml:space="preserve"> </v>
      </c>
      <c r="D433" s="75" t="str">
        <f>IFERROR(VLOOKUP($A433,'The List'!$B1:$AS727,5,FALSE)," ")</f>
        <v xml:space="preserve"> </v>
      </c>
      <c r="E433" s="75" t="str">
        <f>IFERROR(VLOOKUP($A433,'The List'!$B1:$AS727,6,FALSE)," ")</f>
        <v xml:space="preserve"> </v>
      </c>
      <c r="F433" s="76" t="str">
        <f>IFERROR(VLOOKUP($A433,'The List'!$B1:$AS727,8,FALSE)," ")</f>
        <v xml:space="preserve"> </v>
      </c>
      <c r="G433" s="76" t="str">
        <f>IFERROR(VLOOKUP($A433,'The List'!$B1:$AS727,10,FALSE)," ")</f>
        <v xml:space="preserve"> </v>
      </c>
      <c r="H433" s="77"/>
      <c r="I433" s="78" t="str">
        <f>IFERROR(VLOOKUP($A433,'The List'!$B1:$AS727,35,FALSE)," ")</f>
        <v xml:space="preserve"> </v>
      </c>
      <c r="J433" s="78" t="str">
        <f>IFERROR(VLOOKUP($A433,'The List'!$B1:$AS727,36,FALSE)," ")</f>
        <v xml:space="preserve"> </v>
      </c>
      <c r="K433" s="78" t="str">
        <f>IFERROR(VLOOKUP($A433,'The List'!$B1:$AS727,37,FALSE)," ")</f>
        <v xml:space="preserve"> </v>
      </c>
      <c r="L433" s="78" t="str">
        <f>IFERROR(VLOOKUP($A433,'The List'!$B1:$AS727,38,FALSE)," ")</f>
        <v xml:space="preserve"> </v>
      </c>
      <c r="M433" s="78" t="str">
        <f>IFERROR(VLOOKUP($A433,'The List'!$B1:$AS727,39,FALSE)," ")</f>
        <v xml:space="preserve"> </v>
      </c>
      <c r="N433" s="78" t="str">
        <f>IFERROR(VLOOKUP($A433,'The List'!$B1:$AS727,40,FALSE)," ")</f>
        <v xml:space="preserve"> </v>
      </c>
      <c r="O433" s="78" t="str">
        <f>IFERROR(VLOOKUP($A433,'The List'!$B1:$AS727,41,FALSE)," ")</f>
        <v xml:space="preserve"> </v>
      </c>
      <c r="P433" s="78" t="str">
        <f>IFERROR(VLOOKUP($A433,'The List'!$B1:$AS727,42,FALSE)," ")</f>
        <v xml:space="preserve"> </v>
      </c>
      <c r="Q433" s="78" t="str">
        <f>IFERROR(VLOOKUP($A433,'The List'!$B1:$AS727,43,FALSE)," ")</f>
        <v xml:space="preserve"> </v>
      </c>
      <c r="R433" s="55"/>
      <c r="S433" s="55"/>
      <c r="T433" s="55"/>
      <c r="U433" s="165"/>
      <c r="V433" s="165"/>
      <c r="W433" s="165"/>
      <c r="X433" s="165"/>
      <c r="Y433" s="165"/>
      <c r="Z433" s="165"/>
      <c r="AA433" s="55"/>
      <c r="AB433" s="55"/>
      <c r="AC433" s="55"/>
      <c r="AD433" s="55"/>
      <c r="AE433" s="55"/>
      <c r="AF433" s="55"/>
    </row>
    <row r="434" spans="1:32" ht="21.25" customHeight="1" x14ac:dyDescent="0.15">
      <c r="A434" s="79"/>
      <c r="B434" s="80"/>
      <c r="C434" s="81"/>
      <c r="D434" s="82"/>
      <c r="E434" s="117" t="str">
        <f>IFERROR(AVERAGE(E431:E433)," ")</f>
        <v xml:space="preserve"> </v>
      </c>
      <c r="F434" s="84">
        <f>SUM(F431:F433)</f>
        <v>0</v>
      </c>
      <c r="G434" s="84">
        <f>SUM(G431:G433)</f>
        <v>0</v>
      </c>
      <c r="H434" s="85"/>
      <c r="I434" s="86">
        <f t="shared" ref="I434:O434" si="29">SUM(I431:I433)</f>
        <v>0</v>
      </c>
      <c r="J434" s="85">
        <f t="shared" si="29"/>
        <v>0</v>
      </c>
      <c r="K434" s="86">
        <f t="shared" si="29"/>
        <v>0</v>
      </c>
      <c r="L434" s="86">
        <f t="shared" si="29"/>
        <v>0</v>
      </c>
      <c r="M434" s="86">
        <f t="shared" si="29"/>
        <v>0</v>
      </c>
      <c r="N434" s="86">
        <f t="shared" si="29"/>
        <v>0</v>
      </c>
      <c r="O434" s="86">
        <f t="shared" si="29"/>
        <v>0</v>
      </c>
      <c r="P434" s="115" t="e">
        <f>1-(O434/(N434+O434))</f>
        <v>#DIV/0!</v>
      </c>
      <c r="Q434" s="116" t="e">
        <f>O434/I434</f>
        <v>#DIV/0!</v>
      </c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</row>
    <row r="435" spans="1:32" ht="70.75" customHeight="1" x14ac:dyDescent="0.15">
      <c r="A435" s="89"/>
      <c r="B435" s="90"/>
      <c r="C435" s="91"/>
      <c r="D435" s="11"/>
      <c r="E435" s="11"/>
      <c r="F435" s="92"/>
      <c r="G435" s="93"/>
      <c r="H435" s="94"/>
      <c r="I435" s="9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60"/>
      <c r="AB435" s="60"/>
      <c r="AC435" s="60"/>
      <c r="AD435" s="60"/>
      <c r="AE435" s="60"/>
      <c r="AF435" s="60"/>
    </row>
    <row r="436" spans="1:32" ht="21.25" customHeight="1" x14ac:dyDescent="0.15">
      <c r="A436" s="25" t="s">
        <v>849</v>
      </c>
      <c r="B436" s="173" t="s">
        <v>68</v>
      </c>
      <c r="C436" s="170"/>
      <c r="D436" s="26" t="s">
        <v>69</v>
      </c>
      <c r="E436" s="26" t="s">
        <v>70</v>
      </c>
      <c r="F436" s="27" t="s">
        <v>72</v>
      </c>
      <c r="G436" s="27" t="s">
        <v>74</v>
      </c>
      <c r="H436" s="28"/>
      <c r="I436" s="30" t="s">
        <v>79</v>
      </c>
      <c r="J436" s="30" t="s">
        <v>80</v>
      </c>
      <c r="K436" s="30" t="s">
        <v>81</v>
      </c>
      <c r="L436" s="30" t="s">
        <v>82</v>
      </c>
      <c r="M436" s="30" t="s">
        <v>83</v>
      </c>
      <c r="N436" s="30" t="s">
        <v>84</v>
      </c>
      <c r="O436" s="30" t="s">
        <v>85</v>
      </c>
      <c r="P436" s="30" t="s">
        <v>86</v>
      </c>
      <c r="Q436" s="30" t="s">
        <v>87</v>
      </c>
      <c r="R436" s="30" t="s">
        <v>88</v>
      </c>
      <c r="S436" s="30" t="s">
        <v>89</v>
      </c>
      <c r="T436" s="30" t="s">
        <v>90</v>
      </c>
      <c r="U436" s="30" t="s">
        <v>91</v>
      </c>
      <c r="V436" s="30" t="s">
        <v>92</v>
      </c>
      <c r="W436" s="30" t="s">
        <v>93</v>
      </c>
      <c r="X436" s="30" t="s">
        <v>94</v>
      </c>
      <c r="Y436" s="30" t="s">
        <v>95</v>
      </c>
      <c r="Z436" s="30" t="s">
        <v>96</v>
      </c>
      <c r="AA436" s="55"/>
      <c r="AB436" s="56"/>
      <c r="AC436" s="56"/>
      <c r="AD436" s="56"/>
      <c r="AE436" s="56"/>
      <c r="AF436" s="56"/>
    </row>
    <row r="437" spans="1:32" ht="21.25" customHeight="1" x14ac:dyDescent="0.15">
      <c r="A437" s="23"/>
      <c r="B437" s="57" t="str">
        <f>IFERROR(VLOOKUP($A437,'The List'!$B1:$AS727,3,FALSE)," ")</f>
        <v xml:space="preserve"> </v>
      </c>
      <c r="C437" s="61" t="str">
        <f>IFERROR(VLOOKUP($A437,'The List'!$B1:$AS727,4,FALSE)," ")</f>
        <v xml:space="preserve"> </v>
      </c>
      <c r="D437" s="35" t="str">
        <f>IFERROR(VLOOKUP($A437,'The List'!$B1:$AS727,5,FALSE)," ")</f>
        <v xml:space="preserve"> </v>
      </c>
      <c r="E437" s="35" t="str">
        <f>IFERROR(VLOOKUP($A437,'The List'!$B1:$AS727,6,FALSE)," ")</f>
        <v xml:space="preserve"> </v>
      </c>
      <c r="F437" s="52" t="str">
        <f>IFERROR(VLOOKUP($A437,'The List'!$B1:$AS727,8,FALSE)," ")</f>
        <v xml:space="preserve"> </v>
      </c>
      <c r="G437" s="52" t="str">
        <f>IFERROR(VLOOKUP($A437,'The List'!$B1:$AS727,10,FALSE)," ")</f>
        <v xml:space="preserve"> </v>
      </c>
      <c r="H437" s="39"/>
      <c r="I437" s="53" t="str">
        <f>IFERROR(VLOOKUP($A437,'The List'!$B1:$AS727,16,FALSE)," ")</f>
        <v xml:space="preserve"> </v>
      </c>
      <c r="J437" s="53" t="str">
        <f>IFERROR(VLOOKUP($A437,'The List'!$B1:$AS727,17,FALSE)," ")</f>
        <v xml:space="preserve"> </v>
      </c>
      <c r="K437" s="53" t="str">
        <f>IFERROR(VLOOKUP($A437,'The List'!$B1:$AS727,18,FALSE)," ")</f>
        <v xml:space="preserve"> </v>
      </c>
      <c r="L437" s="53" t="str">
        <f>IFERROR(VLOOKUP($A437,'The List'!$B1:$AS727,19,FALSE)," ")</f>
        <v xml:space="preserve"> </v>
      </c>
      <c r="M437" s="53" t="str">
        <f>IFERROR(VLOOKUP($A437,'The List'!$B1:$AS727,20,FALSE)," ")</f>
        <v xml:space="preserve"> </v>
      </c>
      <c r="N437" s="53" t="str">
        <f>IFERROR(VLOOKUP($A437,'The List'!$B1:$AS727,21,FALSE)," ")</f>
        <v xml:space="preserve"> </v>
      </c>
      <c r="O437" s="53" t="str">
        <f>IFERROR(VLOOKUP($A437,'The List'!$B1:$AS727,22,FALSE)," ")</f>
        <v xml:space="preserve"> </v>
      </c>
      <c r="P437" s="53" t="str">
        <f>IFERROR(VLOOKUP($A437,'The List'!$B1:$AS727,23,FALSE)," ")</f>
        <v xml:space="preserve"> </v>
      </c>
      <c r="Q437" s="53" t="str">
        <f>IFERROR(VLOOKUP($A437,'The List'!$B1:$AS727,24,FALSE)," ")</f>
        <v xml:space="preserve"> </v>
      </c>
      <c r="R437" s="53" t="str">
        <f>IFERROR(VLOOKUP($A437,'The List'!$B1:$AS727,25,FALSE)," ")</f>
        <v xml:space="preserve"> </v>
      </c>
      <c r="S437" s="53" t="str">
        <f>IFERROR(VLOOKUP($A437,'The List'!$B1:$AS727,26,FALSE)," ")</f>
        <v xml:space="preserve"> </v>
      </c>
      <c r="T437" s="53" t="str">
        <f>IFERROR(VLOOKUP($A437,'The List'!$B1:$AS727,27,FALSE)," ")</f>
        <v xml:space="preserve"> </v>
      </c>
      <c r="U437" s="53" t="str">
        <f>IFERROR(VLOOKUP($A437,'The List'!$B1:$AS727,28,FALSE)," ")</f>
        <v xml:space="preserve"> </v>
      </c>
      <c r="V437" s="53" t="str">
        <f>IFERROR(VLOOKUP($A437,'The List'!$B1:$AS727,29,FALSE)," ")</f>
        <v xml:space="preserve"> </v>
      </c>
      <c r="W437" s="53" t="str">
        <f>IFERROR(VLOOKUP($A437,'The List'!$B1:$AS727,30,FALSE)," ")</f>
        <v xml:space="preserve"> </v>
      </c>
      <c r="X437" s="53" t="str">
        <f>IFERROR(VLOOKUP($A437,'The List'!$B1:$AS727,31,FALSE)," ")</f>
        <v xml:space="preserve"> </v>
      </c>
      <c r="Y437" s="53" t="str">
        <f>IFERROR(VLOOKUP($A437,'The List'!$B1:$AS727,32,FALSE)," ")</f>
        <v xml:space="preserve"> </v>
      </c>
      <c r="Z437" s="53" t="str">
        <f>IFERROR(VLOOKUP($A437,'The List'!$B1:$AS727,33,FALSE)," ")</f>
        <v xml:space="preserve"> </v>
      </c>
      <c r="AA437" s="55"/>
      <c r="AB437" s="60"/>
      <c r="AC437" s="60"/>
      <c r="AD437" s="60"/>
      <c r="AE437" s="60"/>
      <c r="AF437" s="60"/>
    </row>
    <row r="438" spans="1:32" ht="21.25" customHeight="1" x14ac:dyDescent="0.15">
      <c r="A438" s="23"/>
      <c r="B438" s="57" t="str">
        <f>IFERROR(VLOOKUP($A438,'The List'!$B1:$AS727,3,FALSE)," ")</f>
        <v xml:space="preserve"> </v>
      </c>
      <c r="C438" s="61" t="str">
        <f>IFERROR(VLOOKUP($A438,'The List'!$B1:$AS727,4,FALSE)," ")</f>
        <v xml:space="preserve"> </v>
      </c>
      <c r="D438" s="35" t="str">
        <f>IFERROR(VLOOKUP($A438,'The List'!$B1:$AS727,5,FALSE)," ")</f>
        <v xml:space="preserve"> </v>
      </c>
      <c r="E438" s="35" t="str">
        <f>IFERROR(VLOOKUP($A438,'The List'!$B1:$AS727,6,FALSE)," ")</f>
        <v xml:space="preserve"> </v>
      </c>
      <c r="F438" s="52" t="str">
        <f>IFERROR(VLOOKUP($A438,'The List'!$B1:$AS727,8,FALSE)," ")</f>
        <v xml:space="preserve"> </v>
      </c>
      <c r="G438" s="52" t="str">
        <f>IFERROR(VLOOKUP($A438,'The List'!$B1:$AS727,10,FALSE)," ")</f>
        <v xml:space="preserve"> </v>
      </c>
      <c r="H438" s="39"/>
      <c r="I438" s="53" t="str">
        <f>IFERROR(VLOOKUP($A438,'The List'!$B1:$AS727,16,FALSE)," ")</f>
        <v xml:space="preserve"> </v>
      </c>
      <c r="J438" s="53" t="str">
        <f>IFERROR(VLOOKUP($A438,'The List'!$B1:$AS727,17,FALSE)," ")</f>
        <v xml:space="preserve"> </v>
      </c>
      <c r="K438" s="53" t="str">
        <f>IFERROR(VLOOKUP($A438,'The List'!$B1:$AS727,18,FALSE)," ")</f>
        <v xml:space="preserve"> </v>
      </c>
      <c r="L438" s="53" t="str">
        <f>IFERROR(VLOOKUP($A438,'The List'!$B1:$AS727,19,FALSE)," ")</f>
        <v xml:space="preserve"> </v>
      </c>
      <c r="M438" s="53" t="str">
        <f>IFERROR(VLOOKUP($A438,'The List'!$B1:$AS727,20,FALSE)," ")</f>
        <v xml:space="preserve"> </v>
      </c>
      <c r="N438" s="53" t="str">
        <f>IFERROR(VLOOKUP($A438,'The List'!$B1:$AS727,21,FALSE)," ")</f>
        <v xml:space="preserve"> </v>
      </c>
      <c r="O438" s="53" t="str">
        <f>IFERROR(VLOOKUP($A438,'The List'!$B1:$AS727,22,FALSE)," ")</f>
        <v xml:space="preserve"> </v>
      </c>
      <c r="P438" s="53" t="str">
        <f>IFERROR(VLOOKUP($A438,'The List'!$B1:$AS727,23,FALSE)," ")</f>
        <v xml:space="preserve"> </v>
      </c>
      <c r="Q438" s="53" t="str">
        <f>IFERROR(VLOOKUP($A438,'The List'!$B1:$AS727,24,FALSE)," ")</f>
        <v xml:space="preserve"> </v>
      </c>
      <c r="R438" s="53" t="str">
        <f>IFERROR(VLOOKUP($A438,'The List'!$B1:$AS727,25,FALSE)," ")</f>
        <v xml:space="preserve"> </v>
      </c>
      <c r="S438" s="53" t="str">
        <f>IFERROR(VLOOKUP($A438,'The List'!$B1:$AS727,26,FALSE)," ")</f>
        <v xml:space="preserve"> </v>
      </c>
      <c r="T438" s="53" t="str">
        <f>IFERROR(VLOOKUP($A438,'The List'!$B1:$AS727,27,FALSE)," ")</f>
        <v xml:space="preserve"> </v>
      </c>
      <c r="U438" s="53" t="str">
        <f>IFERROR(VLOOKUP($A438,'The List'!$B1:$AS727,28,FALSE)," ")</f>
        <v xml:space="preserve"> </v>
      </c>
      <c r="V438" s="53" t="str">
        <f>IFERROR(VLOOKUP($A438,'The List'!$B1:$AS727,29,FALSE)," ")</f>
        <v xml:space="preserve"> </v>
      </c>
      <c r="W438" s="53" t="str">
        <f>IFERROR(VLOOKUP($A438,'The List'!$B1:$AS727,30,FALSE)," ")</f>
        <v xml:space="preserve"> </v>
      </c>
      <c r="X438" s="53" t="str">
        <f>IFERROR(VLOOKUP($A438,'The List'!$B1:$AS727,31,FALSE)," ")</f>
        <v xml:space="preserve"> </v>
      </c>
      <c r="Y438" s="53" t="str">
        <f>IFERROR(VLOOKUP($A438,'The List'!$B1:$AS727,32,FALSE)," ")</f>
        <v xml:space="preserve"> </v>
      </c>
      <c r="Z438" s="53" t="str">
        <f>IFERROR(VLOOKUP($A438,'The List'!$B1:$AS727,33,FALSE)," ")</f>
        <v xml:space="preserve"> </v>
      </c>
      <c r="AA438" s="55"/>
      <c r="AB438" s="60"/>
      <c r="AC438" s="60"/>
      <c r="AD438" s="60"/>
      <c r="AE438" s="60"/>
      <c r="AF438" s="60"/>
    </row>
    <row r="439" spans="1:32" ht="21.25" customHeight="1" x14ac:dyDescent="0.15">
      <c r="A439" s="23"/>
      <c r="B439" s="57" t="str">
        <f>IFERROR(VLOOKUP($A439,'The List'!$B1:$AS727,3,FALSE)," ")</f>
        <v xml:space="preserve"> </v>
      </c>
      <c r="C439" s="61" t="str">
        <f>IFERROR(VLOOKUP($A439,'The List'!$B1:$AS727,4,FALSE)," ")</f>
        <v xml:space="preserve"> </v>
      </c>
      <c r="D439" s="35" t="str">
        <f>IFERROR(VLOOKUP($A439,'The List'!$B1:$AS727,5,FALSE)," ")</f>
        <v xml:space="preserve"> </v>
      </c>
      <c r="E439" s="35" t="str">
        <f>IFERROR(VLOOKUP($A439,'The List'!$B1:$AS727,6,FALSE)," ")</f>
        <v xml:space="preserve"> </v>
      </c>
      <c r="F439" s="52" t="str">
        <f>IFERROR(VLOOKUP($A439,'The List'!$B1:$AS727,8,FALSE)," ")</f>
        <v xml:space="preserve"> </v>
      </c>
      <c r="G439" s="52" t="str">
        <f>IFERROR(VLOOKUP($A439,'The List'!$B1:$AS727,10,FALSE)," ")</f>
        <v xml:space="preserve"> </v>
      </c>
      <c r="H439" s="39"/>
      <c r="I439" s="53" t="str">
        <f>IFERROR(VLOOKUP($A439,'The List'!$B1:$AS727,16,FALSE)," ")</f>
        <v xml:space="preserve"> </v>
      </c>
      <c r="J439" s="53" t="str">
        <f>IFERROR(VLOOKUP($A439,'The List'!$B1:$AS727,17,FALSE)," ")</f>
        <v xml:space="preserve"> </v>
      </c>
      <c r="K439" s="53" t="str">
        <f>IFERROR(VLOOKUP($A439,'The List'!$B1:$AS727,18,FALSE)," ")</f>
        <v xml:space="preserve"> </v>
      </c>
      <c r="L439" s="53" t="str">
        <f>IFERROR(VLOOKUP($A439,'The List'!$B1:$AS727,19,FALSE)," ")</f>
        <v xml:space="preserve"> </v>
      </c>
      <c r="M439" s="53" t="str">
        <f>IFERROR(VLOOKUP($A439,'The List'!$B1:$AS727,20,FALSE)," ")</f>
        <v xml:space="preserve"> </v>
      </c>
      <c r="N439" s="53" t="str">
        <f>IFERROR(VLOOKUP($A439,'The List'!$B1:$AS727,21,FALSE)," ")</f>
        <v xml:space="preserve"> </v>
      </c>
      <c r="O439" s="53" t="str">
        <f>IFERROR(VLOOKUP($A439,'The List'!$B1:$AS727,22,FALSE)," ")</f>
        <v xml:space="preserve"> </v>
      </c>
      <c r="P439" s="53" t="str">
        <f>IFERROR(VLOOKUP($A439,'The List'!$B1:$AS727,23,FALSE)," ")</f>
        <v xml:space="preserve"> </v>
      </c>
      <c r="Q439" s="53" t="str">
        <f>IFERROR(VLOOKUP($A439,'The List'!$B1:$AS727,24,FALSE)," ")</f>
        <v xml:space="preserve"> </v>
      </c>
      <c r="R439" s="53" t="str">
        <f>IFERROR(VLOOKUP($A439,'The List'!$B1:$AS727,25,FALSE)," ")</f>
        <v xml:space="preserve"> </v>
      </c>
      <c r="S439" s="53" t="str">
        <f>IFERROR(VLOOKUP($A439,'The List'!$B1:$AS727,26,FALSE)," ")</f>
        <v xml:space="preserve"> </v>
      </c>
      <c r="T439" s="53" t="str">
        <f>IFERROR(VLOOKUP($A439,'The List'!$B1:$AS727,27,FALSE)," ")</f>
        <v xml:space="preserve"> </v>
      </c>
      <c r="U439" s="53" t="str">
        <f>IFERROR(VLOOKUP($A439,'The List'!$B1:$AS727,28,FALSE)," ")</f>
        <v xml:space="preserve"> </v>
      </c>
      <c r="V439" s="53" t="str">
        <f>IFERROR(VLOOKUP($A439,'The List'!$B1:$AS727,29,FALSE)," ")</f>
        <v xml:space="preserve"> </v>
      </c>
      <c r="W439" s="53" t="str">
        <f>IFERROR(VLOOKUP($A439,'The List'!$B1:$AS727,30,FALSE)," ")</f>
        <v xml:space="preserve"> </v>
      </c>
      <c r="X439" s="53" t="str">
        <f>IFERROR(VLOOKUP($A439,'The List'!$B1:$AS727,31,FALSE)," ")</f>
        <v xml:space="preserve"> </v>
      </c>
      <c r="Y439" s="53" t="str">
        <f>IFERROR(VLOOKUP($A439,'The List'!$B1:$AS727,32,FALSE)," ")</f>
        <v xml:space="preserve"> </v>
      </c>
      <c r="Z439" s="53" t="str">
        <f>IFERROR(VLOOKUP($A439,'The List'!$B1:$AS727,33,FALSE)," ")</f>
        <v xml:space="preserve"> </v>
      </c>
      <c r="AA439" s="55"/>
      <c r="AB439" s="60"/>
      <c r="AC439" s="60"/>
      <c r="AD439" s="60"/>
      <c r="AE439" s="60"/>
      <c r="AF439" s="60"/>
    </row>
    <row r="440" spans="1:32" ht="21.25" customHeight="1" x14ac:dyDescent="0.15">
      <c r="A440" s="23"/>
      <c r="B440" s="57" t="str">
        <f>IFERROR(VLOOKUP($A440,'The List'!$B1:$AS727,3,FALSE)," ")</f>
        <v xml:space="preserve"> </v>
      </c>
      <c r="C440" s="61" t="str">
        <f>IFERROR(VLOOKUP($A440,'The List'!$B1:$AS727,4,FALSE)," ")</f>
        <v xml:space="preserve"> </v>
      </c>
      <c r="D440" s="35" t="str">
        <f>IFERROR(VLOOKUP($A440,'The List'!$B1:$AS727,5,FALSE)," ")</f>
        <v xml:space="preserve"> </v>
      </c>
      <c r="E440" s="35" t="str">
        <f>IFERROR(VLOOKUP($A440,'The List'!$B1:$AS727,6,FALSE)," ")</f>
        <v xml:space="preserve"> </v>
      </c>
      <c r="F440" s="52" t="str">
        <f>IFERROR(VLOOKUP($A440,'The List'!$B1:$AS727,8,FALSE)," ")</f>
        <v xml:space="preserve"> </v>
      </c>
      <c r="G440" s="52" t="str">
        <f>IFERROR(VLOOKUP($A440,'The List'!$B1:$AS727,10,FALSE)," ")</f>
        <v xml:space="preserve"> </v>
      </c>
      <c r="H440" s="39"/>
      <c r="I440" s="53" t="str">
        <f>IFERROR(VLOOKUP($A440,'The List'!$B1:$AS727,16,FALSE)," ")</f>
        <v xml:space="preserve"> </v>
      </c>
      <c r="J440" s="53" t="str">
        <f>IFERROR(VLOOKUP($A440,'The List'!$B1:$AS727,17,FALSE)," ")</f>
        <v xml:space="preserve"> </v>
      </c>
      <c r="K440" s="53" t="str">
        <f>IFERROR(VLOOKUP($A440,'The List'!$B1:$AS727,18,FALSE)," ")</f>
        <v xml:space="preserve"> </v>
      </c>
      <c r="L440" s="53" t="str">
        <f>IFERROR(VLOOKUP($A440,'The List'!$B1:$AS727,19,FALSE)," ")</f>
        <v xml:space="preserve"> </v>
      </c>
      <c r="M440" s="53" t="str">
        <f>IFERROR(VLOOKUP($A440,'The List'!$B1:$AS727,20,FALSE)," ")</f>
        <v xml:space="preserve"> </v>
      </c>
      <c r="N440" s="53" t="str">
        <f>IFERROR(VLOOKUP($A440,'The List'!$B1:$AS727,21,FALSE)," ")</f>
        <v xml:space="preserve"> </v>
      </c>
      <c r="O440" s="53" t="str">
        <f>IFERROR(VLOOKUP($A440,'The List'!$B1:$AS727,22,FALSE)," ")</f>
        <v xml:space="preserve"> </v>
      </c>
      <c r="P440" s="53" t="str">
        <f>IFERROR(VLOOKUP($A440,'The List'!$B1:$AS727,23,FALSE)," ")</f>
        <v xml:space="preserve"> </v>
      </c>
      <c r="Q440" s="53" t="str">
        <f>IFERROR(VLOOKUP($A440,'The List'!$B1:$AS727,24,FALSE)," ")</f>
        <v xml:space="preserve"> </v>
      </c>
      <c r="R440" s="53" t="str">
        <f>IFERROR(VLOOKUP($A440,'The List'!$B1:$AS727,25,FALSE)," ")</f>
        <v xml:space="preserve"> </v>
      </c>
      <c r="S440" s="53" t="str">
        <f>IFERROR(VLOOKUP($A440,'The List'!$B1:$AS727,26,FALSE)," ")</f>
        <v xml:space="preserve"> </v>
      </c>
      <c r="T440" s="53" t="str">
        <f>IFERROR(VLOOKUP($A440,'The List'!$B1:$AS727,27,FALSE)," ")</f>
        <v xml:space="preserve"> </v>
      </c>
      <c r="U440" s="53" t="str">
        <f>IFERROR(VLOOKUP($A440,'The List'!$B1:$AS727,28,FALSE)," ")</f>
        <v xml:space="preserve"> </v>
      </c>
      <c r="V440" s="53" t="str">
        <f>IFERROR(VLOOKUP($A440,'The List'!$B1:$AS727,29,FALSE)," ")</f>
        <v xml:space="preserve"> </v>
      </c>
      <c r="W440" s="53" t="str">
        <f>IFERROR(VLOOKUP($A440,'The List'!$B1:$AS727,30,FALSE)," ")</f>
        <v xml:space="preserve"> </v>
      </c>
      <c r="X440" s="53" t="str">
        <f>IFERROR(VLOOKUP($A440,'The List'!$B1:$AS727,31,FALSE)," ")</f>
        <v xml:space="preserve"> </v>
      </c>
      <c r="Y440" s="53" t="str">
        <f>IFERROR(VLOOKUP($A440,'The List'!$B1:$AS727,32,FALSE)," ")</f>
        <v xml:space="preserve"> </v>
      </c>
      <c r="Z440" s="53" t="str">
        <f>IFERROR(VLOOKUP($A440,'The List'!$B1:$AS727,33,FALSE)," ")</f>
        <v xml:space="preserve"> </v>
      </c>
      <c r="AA440" s="55"/>
      <c r="AB440" s="60"/>
      <c r="AC440" s="60"/>
      <c r="AD440" s="60"/>
      <c r="AE440" s="60"/>
      <c r="AF440" s="60"/>
    </row>
    <row r="441" spans="1:32" ht="21.25" customHeight="1" x14ac:dyDescent="0.15">
      <c r="A441" s="23"/>
      <c r="B441" s="62" t="str">
        <f>IFERROR(VLOOKUP($A441,'The List'!$B1:$AS727,3,FALSE)," ")</f>
        <v xml:space="preserve"> </v>
      </c>
      <c r="C441" s="64" t="str">
        <f>IFERROR(VLOOKUP($A441,'The List'!$B1:$AS727,4,FALSE)," ")</f>
        <v xml:space="preserve"> </v>
      </c>
      <c r="D441" s="35" t="str">
        <f>IFERROR(VLOOKUP($A441,'The List'!$B1:$AS727,5,FALSE)," ")</f>
        <v xml:space="preserve"> </v>
      </c>
      <c r="E441" s="35" t="str">
        <f>IFERROR(VLOOKUP($A441,'The List'!$B1:$AS727,6,FALSE)," ")</f>
        <v xml:space="preserve"> </v>
      </c>
      <c r="F441" s="52" t="str">
        <f>IFERROR(VLOOKUP($A441,'The List'!$B1:$AS727,8,FALSE)," ")</f>
        <v xml:space="preserve"> </v>
      </c>
      <c r="G441" s="52" t="str">
        <f>IFERROR(VLOOKUP($A441,'The List'!$B1:$AS727,10,FALSE)," ")</f>
        <v xml:space="preserve"> </v>
      </c>
      <c r="H441" s="39"/>
      <c r="I441" s="53" t="str">
        <f>IFERROR(VLOOKUP($A441,'The List'!$B1:$AS727,16,FALSE)," ")</f>
        <v xml:space="preserve"> </v>
      </c>
      <c r="J441" s="53" t="str">
        <f>IFERROR(VLOOKUP($A441,'The List'!$B1:$AS727,17,FALSE)," ")</f>
        <v xml:space="preserve"> </v>
      </c>
      <c r="K441" s="53" t="str">
        <f>IFERROR(VLOOKUP($A441,'The List'!$B1:$AS727,18,FALSE)," ")</f>
        <v xml:space="preserve"> </v>
      </c>
      <c r="L441" s="53" t="str">
        <f>IFERROR(VLOOKUP($A441,'The List'!$B1:$AS727,19,FALSE)," ")</f>
        <v xml:space="preserve"> </v>
      </c>
      <c r="M441" s="53" t="str">
        <f>IFERROR(VLOOKUP($A441,'The List'!$B1:$AS727,20,FALSE)," ")</f>
        <v xml:space="preserve"> </v>
      </c>
      <c r="N441" s="53" t="str">
        <f>IFERROR(VLOOKUP($A441,'The List'!$B1:$AS727,21,FALSE)," ")</f>
        <v xml:space="preserve"> </v>
      </c>
      <c r="O441" s="53" t="str">
        <f>IFERROR(VLOOKUP($A441,'The List'!$B1:$AS727,22,FALSE)," ")</f>
        <v xml:space="preserve"> </v>
      </c>
      <c r="P441" s="53" t="str">
        <f>IFERROR(VLOOKUP($A441,'The List'!$B1:$AS727,23,FALSE)," ")</f>
        <v xml:space="preserve"> </v>
      </c>
      <c r="Q441" s="53" t="str">
        <f>IFERROR(VLOOKUP($A441,'The List'!$B1:$AS727,24,FALSE)," ")</f>
        <v xml:space="preserve"> </v>
      </c>
      <c r="R441" s="53" t="str">
        <f>IFERROR(VLOOKUP($A441,'The List'!$B1:$AS727,25,FALSE)," ")</f>
        <v xml:space="preserve"> </v>
      </c>
      <c r="S441" s="53" t="str">
        <f>IFERROR(VLOOKUP($A441,'The List'!$B1:$AS727,26,FALSE)," ")</f>
        <v xml:space="preserve"> </v>
      </c>
      <c r="T441" s="53" t="str">
        <f>IFERROR(VLOOKUP($A441,'The List'!$B1:$AS727,27,FALSE)," ")</f>
        <v xml:space="preserve"> </v>
      </c>
      <c r="U441" s="53" t="str">
        <f>IFERROR(VLOOKUP($A441,'The List'!$B1:$AS727,28,FALSE)," ")</f>
        <v xml:space="preserve"> </v>
      </c>
      <c r="V441" s="53" t="str">
        <f>IFERROR(VLOOKUP($A441,'The List'!$B1:$AS727,29,FALSE)," ")</f>
        <v xml:space="preserve"> </v>
      </c>
      <c r="W441" s="53" t="str">
        <f>IFERROR(VLOOKUP($A441,'The List'!$B1:$AS727,30,FALSE)," ")</f>
        <v xml:space="preserve"> </v>
      </c>
      <c r="X441" s="53" t="str">
        <f>IFERROR(VLOOKUP($A441,'The List'!$B1:$AS727,31,FALSE)," ")</f>
        <v xml:space="preserve"> </v>
      </c>
      <c r="Y441" s="53" t="str">
        <f>IFERROR(VLOOKUP($A441,'The List'!$B1:$AS727,32,FALSE)," ")</f>
        <v xml:space="preserve"> </v>
      </c>
      <c r="Z441" s="53" t="str">
        <f>IFERROR(VLOOKUP($A441,'The List'!$B1:$AS727,33,FALSE)," ")</f>
        <v xml:space="preserve"> </v>
      </c>
      <c r="AA441" s="55"/>
      <c r="AB441" s="60"/>
      <c r="AC441" s="60"/>
      <c r="AD441" s="60"/>
      <c r="AE441" s="60"/>
      <c r="AF441" s="60"/>
    </row>
    <row r="442" spans="1:32" ht="21.25" customHeight="1" x14ac:dyDescent="0.15">
      <c r="A442" s="23"/>
      <c r="B442" s="62" t="str">
        <f>IFERROR(VLOOKUP($A442,'The List'!$B1:$AS727,3,FALSE)," ")</f>
        <v xml:space="preserve"> </v>
      </c>
      <c r="C442" s="64" t="str">
        <f>IFERROR(VLOOKUP($A442,'The List'!$B1:$AS727,4,FALSE)," ")</f>
        <v xml:space="preserve"> </v>
      </c>
      <c r="D442" s="35" t="str">
        <f>IFERROR(VLOOKUP($A442,'The List'!$B1:$AS727,5,FALSE)," ")</f>
        <v xml:space="preserve"> </v>
      </c>
      <c r="E442" s="35" t="str">
        <f>IFERROR(VLOOKUP($A442,'The List'!$B1:$AS727,6,FALSE)," ")</f>
        <v xml:space="preserve"> </v>
      </c>
      <c r="F442" s="52" t="str">
        <f>IFERROR(VLOOKUP($A442,'The List'!$B1:$AS727,8,FALSE)," ")</f>
        <v xml:space="preserve"> </v>
      </c>
      <c r="G442" s="52" t="str">
        <f>IFERROR(VLOOKUP($A442,'The List'!$B1:$AS727,10,FALSE)," ")</f>
        <v xml:space="preserve"> </v>
      </c>
      <c r="H442" s="39"/>
      <c r="I442" s="53" t="str">
        <f>IFERROR(VLOOKUP($A442,'The List'!$B1:$AS727,16,FALSE)," ")</f>
        <v xml:space="preserve"> </v>
      </c>
      <c r="J442" s="53" t="str">
        <f>IFERROR(VLOOKUP($A442,'The List'!$B1:$AS727,17,FALSE)," ")</f>
        <v xml:space="preserve"> </v>
      </c>
      <c r="K442" s="53" t="str">
        <f>IFERROR(VLOOKUP($A442,'The List'!$B1:$AS727,18,FALSE)," ")</f>
        <v xml:space="preserve"> </v>
      </c>
      <c r="L442" s="53" t="str">
        <f>IFERROR(VLOOKUP($A442,'The List'!$B1:$AS727,19,FALSE)," ")</f>
        <v xml:space="preserve"> </v>
      </c>
      <c r="M442" s="53" t="str">
        <f>IFERROR(VLOOKUP($A442,'The List'!$B1:$AS727,20,FALSE)," ")</f>
        <v xml:space="preserve"> </v>
      </c>
      <c r="N442" s="53" t="str">
        <f>IFERROR(VLOOKUP($A442,'The List'!$B1:$AS727,21,FALSE)," ")</f>
        <v xml:space="preserve"> </v>
      </c>
      <c r="O442" s="53" t="str">
        <f>IFERROR(VLOOKUP($A442,'The List'!$B1:$AS727,22,FALSE)," ")</f>
        <v xml:space="preserve"> </v>
      </c>
      <c r="P442" s="53" t="str">
        <f>IFERROR(VLOOKUP($A442,'The List'!$B1:$AS727,23,FALSE)," ")</f>
        <v xml:space="preserve"> </v>
      </c>
      <c r="Q442" s="53" t="str">
        <f>IFERROR(VLOOKUP($A442,'The List'!$B1:$AS727,24,FALSE)," ")</f>
        <v xml:space="preserve"> </v>
      </c>
      <c r="R442" s="53" t="str">
        <f>IFERROR(VLOOKUP($A442,'The List'!$B1:$AS727,25,FALSE)," ")</f>
        <v xml:space="preserve"> </v>
      </c>
      <c r="S442" s="53" t="str">
        <f>IFERROR(VLOOKUP($A442,'The List'!$B1:$AS727,26,FALSE)," ")</f>
        <v xml:space="preserve"> </v>
      </c>
      <c r="T442" s="53" t="str">
        <f>IFERROR(VLOOKUP($A442,'The List'!$B1:$AS727,27,FALSE)," ")</f>
        <v xml:space="preserve"> </v>
      </c>
      <c r="U442" s="53" t="str">
        <f>IFERROR(VLOOKUP($A442,'The List'!$B1:$AS727,28,FALSE)," ")</f>
        <v xml:space="preserve"> </v>
      </c>
      <c r="V442" s="53" t="str">
        <f>IFERROR(VLOOKUP($A442,'The List'!$B1:$AS727,29,FALSE)," ")</f>
        <v xml:space="preserve"> </v>
      </c>
      <c r="W442" s="53" t="str">
        <f>IFERROR(VLOOKUP($A442,'The List'!$B1:$AS727,30,FALSE)," ")</f>
        <v xml:space="preserve"> </v>
      </c>
      <c r="X442" s="53" t="str">
        <f>IFERROR(VLOOKUP($A442,'The List'!$B1:$AS727,31,FALSE)," ")</f>
        <v xml:space="preserve"> </v>
      </c>
      <c r="Y442" s="53" t="str">
        <f>IFERROR(VLOOKUP($A442,'The List'!$B1:$AS727,32,FALSE)," ")</f>
        <v xml:space="preserve"> </v>
      </c>
      <c r="Z442" s="53" t="str">
        <f>IFERROR(VLOOKUP($A442,'The List'!$B1:$AS727,33,FALSE)," ")</f>
        <v xml:space="preserve"> </v>
      </c>
      <c r="AA442" s="55"/>
      <c r="AB442" s="60"/>
      <c r="AC442" s="60"/>
      <c r="AD442" s="60"/>
      <c r="AE442" s="60"/>
      <c r="AF442" s="60"/>
    </row>
    <row r="443" spans="1:32" ht="21.25" customHeight="1" x14ac:dyDescent="0.15">
      <c r="A443" s="23"/>
      <c r="B443" s="62" t="str">
        <f>IFERROR(VLOOKUP($A443,'The List'!$B1:$AS727,3,FALSE)," ")</f>
        <v xml:space="preserve"> </v>
      </c>
      <c r="C443" s="64" t="str">
        <f>IFERROR(VLOOKUP($A443,'The List'!$B1:$AS727,4,FALSE)," ")</f>
        <v xml:space="preserve"> </v>
      </c>
      <c r="D443" s="35" t="str">
        <f>IFERROR(VLOOKUP($A443,'The List'!$B1:$AS727,5,FALSE)," ")</f>
        <v xml:space="preserve"> </v>
      </c>
      <c r="E443" s="35" t="str">
        <f>IFERROR(VLOOKUP($A443,'The List'!$B1:$AS727,6,FALSE)," ")</f>
        <v xml:space="preserve"> </v>
      </c>
      <c r="F443" s="52" t="str">
        <f>IFERROR(VLOOKUP($A443,'The List'!$B1:$AS727,8,FALSE)," ")</f>
        <v xml:space="preserve"> </v>
      </c>
      <c r="G443" s="52" t="str">
        <f>IFERROR(VLOOKUP($A443,'The List'!$B1:$AS727,10,FALSE)," ")</f>
        <v xml:space="preserve"> </v>
      </c>
      <c r="H443" s="39"/>
      <c r="I443" s="53" t="str">
        <f>IFERROR(VLOOKUP($A443,'The List'!$B1:$AS727,16,FALSE)," ")</f>
        <v xml:space="preserve"> </v>
      </c>
      <c r="J443" s="53" t="str">
        <f>IFERROR(VLOOKUP($A443,'The List'!$B1:$AS727,17,FALSE)," ")</f>
        <v xml:space="preserve"> </v>
      </c>
      <c r="K443" s="53" t="str">
        <f>IFERROR(VLOOKUP($A443,'The List'!$B1:$AS727,18,FALSE)," ")</f>
        <v xml:space="preserve"> </v>
      </c>
      <c r="L443" s="53" t="str">
        <f>IFERROR(VLOOKUP($A443,'The List'!$B1:$AS727,19,FALSE)," ")</f>
        <v xml:space="preserve"> </v>
      </c>
      <c r="M443" s="53" t="str">
        <f>IFERROR(VLOOKUP($A443,'The List'!$B1:$AS727,20,FALSE)," ")</f>
        <v xml:space="preserve"> </v>
      </c>
      <c r="N443" s="53" t="str">
        <f>IFERROR(VLOOKUP($A443,'The List'!$B1:$AS727,21,FALSE)," ")</f>
        <v xml:space="preserve"> </v>
      </c>
      <c r="O443" s="53" t="str">
        <f>IFERROR(VLOOKUP($A443,'The List'!$B1:$AS727,22,FALSE)," ")</f>
        <v xml:space="preserve"> </v>
      </c>
      <c r="P443" s="53" t="str">
        <f>IFERROR(VLOOKUP($A443,'The List'!$B1:$AS727,23,FALSE)," ")</f>
        <v xml:space="preserve"> </v>
      </c>
      <c r="Q443" s="53" t="str">
        <f>IFERROR(VLOOKUP($A443,'The List'!$B1:$AS727,24,FALSE)," ")</f>
        <v xml:space="preserve"> </v>
      </c>
      <c r="R443" s="53" t="str">
        <f>IFERROR(VLOOKUP($A443,'The List'!$B1:$AS727,25,FALSE)," ")</f>
        <v xml:space="preserve"> </v>
      </c>
      <c r="S443" s="53" t="str">
        <f>IFERROR(VLOOKUP($A443,'The List'!$B1:$AS727,26,FALSE)," ")</f>
        <v xml:space="preserve"> </v>
      </c>
      <c r="T443" s="53" t="str">
        <f>IFERROR(VLOOKUP($A443,'The List'!$B1:$AS727,27,FALSE)," ")</f>
        <v xml:space="preserve"> </v>
      </c>
      <c r="U443" s="53" t="str">
        <f>IFERROR(VLOOKUP($A443,'The List'!$B1:$AS727,28,FALSE)," ")</f>
        <v xml:space="preserve"> </v>
      </c>
      <c r="V443" s="53" t="str">
        <f>IFERROR(VLOOKUP($A443,'The List'!$B1:$AS727,29,FALSE)," ")</f>
        <v xml:space="preserve"> </v>
      </c>
      <c r="W443" s="53" t="str">
        <f>IFERROR(VLOOKUP($A443,'The List'!$B1:$AS727,30,FALSE)," ")</f>
        <v xml:space="preserve"> </v>
      </c>
      <c r="X443" s="53" t="str">
        <f>IFERROR(VLOOKUP($A443,'The List'!$B1:$AS727,31,FALSE)," ")</f>
        <v xml:space="preserve"> </v>
      </c>
      <c r="Y443" s="53" t="str">
        <f>IFERROR(VLOOKUP($A443,'The List'!$B1:$AS727,32,FALSE)," ")</f>
        <v xml:space="preserve"> </v>
      </c>
      <c r="Z443" s="53" t="str">
        <f>IFERROR(VLOOKUP($A443,'The List'!$B1:$AS727,33,FALSE)," ")</f>
        <v xml:space="preserve"> </v>
      </c>
      <c r="AA443" s="55"/>
      <c r="AB443" s="60"/>
      <c r="AC443" s="60"/>
      <c r="AD443" s="60"/>
      <c r="AE443" s="60"/>
      <c r="AF443" s="60"/>
    </row>
    <row r="444" spans="1:32" ht="21.25" customHeight="1" x14ac:dyDescent="0.15">
      <c r="A444" s="23"/>
      <c r="B444" s="62" t="str">
        <f>IFERROR(VLOOKUP($A444,'The List'!$B1:$AS727,3,FALSE)," ")</f>
        <v xml:space="preserve"> </v>
      </c>
      <c r="C444" s="64" t="str">
        <f>IFERROR(VLOOKUP($A444,'The List'!$B1:$AS727,4,FALSE)," ")</f>
        <v xml:space="preserve"> </v>
      </c>
      <c r="D444" s="35" t="str">
        <f>IFERROR(VLOOKUP($A444,'The List'!$B1:$AS727,5,FALSE)," ")</f>
        <v xml:space="preserve"> </v>
      </c>
      <c r="E444" s="35" t="str">
        <f>IFERROR(VLOOKUP($A444,'The List'!$B1:$AS727,6,FALSE)," ")</f>
        <v xml:space="preserve"> </v>
      </c>
      <c r="F444" s="52" t="str">
        <f>IFERROR(VLOOKUP($A444,'The List'!$B1:$AS727,8,FALSE)," ")</f>
        <v xml:space="preserve"> </v>
      </c>
      <c r="G444" s="52" t="str">
        <f>IFERROR(VLOOKUP($A444,'The List'!$B1:$AS727,10,FALSE)," ")</f>
        <v xml:space="preserve"> </v>
      </c>
      <c r="H444" s="39"/>
      <c r="I444" s="53" t="str">
        <f>IFERROR(VLOOKUP($A444,'The List'!$B1:$AS727,16,FALSE)," ")</f>
        <v xml:space="preserve"> </v>
      </c>
      <c r="J444" s="53" t="str">
        <f>IFERROR(VLOOKUP($A444,'The List'!$B1:$AS727,17,FALSE)," ")</f>
        <v xml:space="preserve"> </v>
      </c>
      <c r="K444" s="53" t="str">
        <f>IFERROR(VLOOKUP($A444,'The List'!$B1:$AS727,18,FALSE)," ")</f>
        <v xml:space="preserve"> </v>
      </c>
      <c r="L444" s="53" t="str">
        <f>IFERROR(VLOOKUP($A444,'The List'!$B1:$AS727,19,FALSE)," ")</f>
        <v xml:space="preserve"> </v>
      </c>
      <c r="M444" s="53" t="str">
        <f>IFERROR(VLOOKUP($A444,'The List'!$B1:$AS727,20,FALSE)," ")</f>
        <v xml:space="preserve"> </v>
      </c>
      <c r="N444" s="53" t="str">
        <f>IFERROR(VLOOKUP($A444,'The List'!$B1:$AS727,21,FALSE)," ")</f>
        <v xml:space="preserve"> </v>
      </c>
      <c r="O444" s="53" t="str">
        <f>IFERROR(VLOOKUP($A444,'The List'!$B1:$AS727,22,FALSE)," ")</f>
        <v xml:space="preserve"> </v>
      </c>
      <c r="P444" s="53" t="str">
        <f>IFERROR(VLOOKUP($A444,'The List'!$B1:$AS727,23,FALSE)," ")</f>
        <v xml:space="preserve"> </v>
      </c>
      <c r="Q444" s="53" t="str">
        <f>IFERROR(VLOOKUP($A444,'The List'!$B1:$AS727,24,FALSE)," ")</f>
        <v xml:space="preserve"> </v>
      </c>
      <c r="R444" s="53" t="str">
        <f>IFERROR(VLOOKUP($A444,'The List'!$B1:$AS727,25,FALSE)," ")</f>
        <v xml:space="preserve"> </v>
      </c>
      <c r="S444" s="53" t="str">
        <f>IFERROR(VLOOKUP($A444,'The List'!$B1:$AS727,26,FALSE)," ")</f>
        <v xml:space="preserve"> </v>
      </c>
      <c r="T444" s="53" t="str">
        <f>IFERROR(VLOOKUP($A444,'The List'!$B1:$AS727,27,FALSE)," ")</f>
        <v xml:space="preserve"> </v>
      </c>
      <c r="U444" s="53" t="str">
        <f>IFERROR(VLOOKUP($A444,'The List'!$B1:$AS727,28,FALSE)," ")</f>
        <v xml:space="preserve"> </v>
      </c>
      <c r="V444" s="53" t="str">
        <f>IFERROR(VLOOKUP($A444,'The List'!$B1:$AS727,29,FALSE)," ")</f>
        <v xml:space="preserve"> </v>
      </c>
      <c r="W444" s="53" t="str">
        <f>IFERROR(VLOOKUP($A444,'The List'!$B1:$AS727,30,FALSE)," ")</f>
        <v xml:space="preserve"> </v>
      </c>
      <c r="X444" s="53" t="str">
        <f>IFERROR(VLOOKUP($A444,'The List'!$B1:$AS727,31,FALSE)," ")</f>
        <v xml:space="preserve"> </v>
      </c>
      <c r="Y444" s="53" t="str">
        <f>IFERROR(VLOOKUP($A444,'The List'!$B1:$AS727,32,FALSE)," ")</f>
        <v xml:space="preserve"> </v>
      </c>
      <c r="Z444" s="53" t="str">
        <f>IFERROR(VLOOKUP($A444,'The List'!$B1:$AS727,33,FALSE)," ")</f>
        <v xml:space="preserve"> </v>
      </c>
      <c r="AA444" s="55"/>
      <c r="AB444" s="60"/>
      <c r="AC444" s="60"/>
      <c r="AD444" s="60"/>
      <c r="AE444" s="60"/>
      <c r="AF444" s="60"/>
    </row>
    <row r="445" spans="1:32" ht="21.25" customHeight="1" x14ac:dyDescent="0.15">
      <c r="A445" s="23"/>
      <c r="B445" s="65" t="str">
        <f>IFERROR(VLOOKUP($A445,'The List'!$B1:$AS727,3,FALSE)," ")</f>
        <v xml:space="preserve"> </v>
      </c>
      <c r="C445" s="67" t="str">
        <f>IFERROR(VLOOKUP($A445,'The List'!$B1:$AS727,4,FALSE)," ")</f>
        <v xml:space="preserve"> </v>
      </c>
      <c r="D445" s="35" t="str">
        <f>IFERROR(VLOOKUP($A445,'The List'!$B1:$AS727,5,FALSE)," ")</f>
        <v xml:space="preserve"> </v>
      </c>
      <c r="E445" s="35" t="str">
        <f>IFERROR(VLOOKUP($A445,'The List'!$B1:$AS727,6,FALSE)," ")</f>
        <v xml:space="preserve"> </v>
      </c>
      <c r="F445" s="52" t="str">
        <f>IFERROR(VLOOKUP($A445,'The List'!$B1:$AS727,8,FALSE)," ")</f>
        <v xml:space="preserve"> </v>
      </c>
      <c r="G445" s="52" t="str">
        <f>IFERROR(VLOOKUP($A445,'The List'!$B1:$AS727,10,FALSE)," ")</f>
        <v xml:space="preserve"> </v>
      </c>
      <c r="H445" s="39"/>
      <c r="I445" s="53" t="str">
        <f>IFERROR(VLOOKUP($A445,'The List'!$B1:$AS727,16,FALSE)," ")</f>
        <v xml:space="preserve"> </v>
      </c>
      <c r="J445" s="53" t="str">
        <f>IFERROR(VLOOKUP($A445,'The List'!$B1:$AS727,17,FALSE)," ")</f>
        <v xml:space="preserve"> </v>
      </c>
      <c r="K445" s="53" t="str">
        <f>IFERROR(VLOOKUP($A445,'The List'!$B1:$AS727,18,FALSE)," ")</f>
        <v xml:space="preserve"> </v>
      </c>
      <c r="L445" s="53" t="str">
        <f>IFERROR(VLOOKUP($A445,'The List'!$B1:$AS727,19,FALSE)," ")</f>
        <v xml:space="preserve"> </v>
      </c>
      <c r="M445" s="53" t="str">
        <f>IFERROR(VLOOKUP($A445,'The List'!$B1:$AS727,20,FALSE)," ")</f>
        <v xml:space="preserve"> </v>
      </c>
      <c r="N445" s="53" t="str">
        <f>IFERROR(VLOOKUP($A445,'The List'!$B1:$AS727,21,FALSE)," ")</f>
        <v xml:space="preserve"> </v>
      </c>
      <c r="O445" s="53" t="str">
        <f>IFERROR(VLOOKUP($A445,'The List'!$B1:$AS727,22,FALSE)," ")</f>
        <v xml:space="preserve"> </v>
      </c>
      <c r="P445" s="53" t="str">
        <f>IFERROR(VLOOKUP($A445,'The List'!$B1:$AS727,23,FALSE)," ")</f>
        <v xml:space="preserve"> </v>
      </c>
      <c r="Q445" s="53" t="str">
        <f>IFERROR(VLOOKUP($A445,'The List'!$B1:$AS727,24,FALSE)," ")</f>
        <v xml:space="preserve"> </v>
      </c>
      <c r="R445" s="53" t="str">
        <f>IFERROR(VLOOKUP($A445,'The List'!$B1:$AS727,25,FALSE)," ")</f>
        <v xml:space="preserve"> </v>
      </c>
      <c r="S445" s="53" t="str">
        <f>IFERROR(VLOOKUP($A445,'The List'!$B1:$AS727,26,FALSE)," ")</f>
        <v xml:space="preserve"> </v>
      </c>
      <c r="T445" s="53" t="str">
        <f>IFERROR(VLOOKUP($A445,'The List'!$B1:$AS727,27,FALSE)," ")</f>
        <v xml:space="preserve"> </v>
      </c>
      <c r="U445" s="53" t="str">
        <f>IFERROR(VLOOKUP($A445,'The List'!$B1:$AS727,28,FALSE)," ")</f>
        <v xml:space="preserve"> </v>
      </c>
      <c r="V445" s="53" t="str">
        <f>IFERROR(VLOOKUP($A445,'The List'!$B1:$AS727,29,FALSE)," ")</f>
        <v xml:space="preserve"> </v>
      </c>
      <c r="W445" s="53" t="str">
        <f>IFERROR(VLOOKUP($A445,'The List'!$B1:$AS727,30,FALSE)," ")</f>
        <v xml:space="preserve"> </v>
      </c>
      <c r="X445" s="53" t="str">
        <f>IFERROR(VLOOKUP($A445,'The List'!$B1:$AS727,31,FALSE)," ")</f>
        <v xml:space="preserve"> </v>
      </c>
      <c r="Y445" s="53" t="str">
        <f>IFERROR(VLOOKUP($A445,'The List'!$B1:$AS727,32,FALSE)," ")</f>
        <v xml:space="preserve"> </v>
      </c>
      <c r="Z445" s="53" t="str">
        <f>IFERROR(VLOOKUP($A445,'The List'!$B1:$AS727,33,FALSE)," ")</f>
        <v xml:space="preserve"> </v>
      </c>
      <c r="AA445" s="55"/>
      <c r="AB445" s="60"/>
      <c r="AC445" s="60"/>
      <c r="AD445" s="60"/>
      <c r="AE445" s="60"/>
      <c r="AF445" s="60"/>
    </row>
    <row r="446" spans="1:32" ht="21.25" customHeight="1" x14ac:dyDescent="0.15">
      <c r="A446" s="23"/>
      <c r="B446" s="65" t="str">
        <f>IFERROR(VLOOKUP($A446,'The List'!$B1:$AS727,3,FALSE)," ")</f>
        <v xml:space="preserve"> </v>
      </c>
      <c r="C446" s="67" t="str">
        <f>IFERROR(VLOOKUP($A446,'The List'!$B1:$AS727,4,FALSE)," ")</f>
        <v xml:space="preserve"> </v>
      </c>
      <c r="D446" s="35" t="str">
        <f>IFERROR(VLOOKUP($A446,'The List'!$B1:$AS727,5,FALSE)," ")</f>
        <v xml:space="preserve"> </v>
      </c>
      <c r="E446" s="35" t="str">
        <f>IFERROR(VLOOKUP($A446,'The List'!$B1:$AS727,6,FALSE)," ")</f>
        <v xml:space="preserve"> </v>
      </c>
      <c r="F446" s="52" t="str">
        <f>IFERROR(VLOOKUP($A446,'The List'!$B1:$AS727,8,FALSE)," ")</f>
        <v xml:space="preserve"> </v>
      </c>
      <c r="G446" s="52" t="str">
        <f>IFERROR(VLOOKUP($A446,'The List'!$B1:$AS727,10,FALSE)," ")</f>
        <v xml:space="preserve"> </v>
      </c>
      <c r="H446" s="39"/>
      <c r="I446" s="53" t="str">
        <f>IFERROR(VLOOKUP($A446,'The List'!$B1:$AS727,16,FALSE)," ")</f>
        <v xml:space="preserve"> </v>
      </c>
      <c r="J446" s="53" t="str">
        <f>IFERROR(VLOOKUP($A446,'The List'!$B1:$AS727,17,FALSE)," ")</f>
        <v xml:space="preserve"> </v>
      </c>
      <c r="K446" s="53" t="str">
        <f>IFERROR(VLOOKUP($A446,'The List'!$B1:$AS727,18,FALSE)," ")</f>
        <v xml:space="preserve"> </v>
      </c>
      <c r="L446" s="53" t="str">
        <f>IFERROR(VLOOKUP($A446,'The List'!$B1:$AS727,19,FALSE)," ")</f>
        <v xml:space="preserve"> </v>
      </c>
      <c r="M446" s="53" t="str">
        <f>IFERROR(VLOOKUP($A446,'The List'!$B1:$AS727,20,FALSE)," ")</f>
        <v xml:space="preserve"> </v>
      </c>
      <c r="N446" s="53" t="str">
        <f>IFERROR(VLOOKUP($A446,'The List'!$B1:$AS727,21,FALSE)," ")</f>
        <v xml:space="preserve"> </v>
      </c>
      <c r="O446" s="53" t="str">
        <f>IFERROR(VLOOKUP($A446,'The List'!$B1:$AS727,22,FALSE)," ")</f>
        <v xml:space="preserve"> </v>
      </c>
      <c r="P446" s="53" t="str">
        <f>IFERROR(VLOOKUP($A446,'The List'!$B1:$AS727,23,FALSE)," ")</f>
        <v xml:space="preserve"> </v>
      </c>
      <c r="Q446" s="53" t="str">
        <f>IFERROR(VLOOKUP($A446,'The List'!$B1:$AS727,24,FALSE)," ")</f>
        <v xml:space="preserve"> </v>
      </c>
      <c r="R446" s="53" t="str">
        <f>IFERROR(VLOOKUP($A446,'The List'!$B1:$AS727,25,FALSE)," ")</f>
        <v xml:space="preserve"> </v>
      </c>
      <c r="S446" s="53" t="str">
        <f>IFERROR(VLOOKUP($A446,'The List'!$B1:$AS727,26,FALSE)," ")</f>
        <v xml:space="preserve"> </v>
      </c>
      <c r="T446" s="53" t="str">
        <f>IFERROR(VLOOKUP($A446,'The List'!$B1:$AS727,27,FALSE)," ")</f>
        <v xml:space="preserve"> </v>
      </c>
      <c r="U446" s="53" t="str">
        <f>IFERROR(VLOOKUP($A446,'The List'!$B1:$AS727,28,FALSE)," ")</f>
        <v xml:space="preserve"> </v>
      </c>
      <c r="V446" s="53" t="str">
        <f>IFERROR(VLOOKUP($A446,'The List'!$B1:$AS727,29,FALSE)," ")</f>
        <v xml:space="preserve"> </v>
      </c>
      <c r="W446" s="53" t="str">
        <f>IFERROR(VLOOKUP($A446,'The List'!$B1:$AS727,30,FALSE)," ")</f>
        <v xml:space="preserve"> </v>
      </c>
      <c r="X446" s="53" t="str">
        <f>IFERROR(VLOOKUP($A446,'The List'!$B1:$AS727,31,FALSE)," ")</f>
        <v xml:space="preserve"> </v>
      </c>
      <c r="Y446" s="53" t="str">
        <f>IFERROR(VLOOKUP($A446,'The List'!$B1:$AS727,32,FALSE)," ")</f>
        <v xml:space="preserve"> </v>
      </c>
      <c r="Z446" s="53" t="str">
        <f>IFERROR(VLOOKUP($A446,'The List'!$B1:$AS727,33,FALSE)," ")</f>
        <v xml:space="preserve"> </v>
      </c>
      <c r="AA446" s="55"/>
      <c r="AB446" s="60"/>
      <c r="AC446" s="60"/>
      <c r="AD446" s="60"/>
      <c r="AE446" s="60"/>
      <c r="AF446" s="60"/>
    </row>
    <row r="447" spans="1:32" ht="21.25" customHeight="1" x14ac:dyDescent="0.15">
      <c r="A447" s="23"/>
      <c r="B447" s="65" t="str">
        <f>IFERROR(VLOOKUP($A447,'The List'!$B1:$AS727,3,FALSE)," ")</f>
        <v xml:space="preserve"> </v>
      </c>
      <c r="C447" s="67" t="str">
        <f>IFERROR(VLOOKUP($A447,'The List'!$B1:$AS727,4,FALSE)," ")</f>
        <v xml:space="preserve"> </v>
      </c>
      <c r="D447" s="35" t="str">
        <f>IFERROR(VLOOKUP($A447,'The List'!$B1:$AS727,5,FALSE)," ")</f>
        <v xml:space="preserve"> </v>
      </c>
      <c r="E447" s="35" t="str">
        <f>IFERROR(VLOOKUP($A447,'The List'!$B1:$AS727,6,FALSE)," ")</f>
        <v xml:space="preserve"> </v>
      </c>
      <c r="F447" s="52" t="str">
        <f>IFERROR(VLOOKUP($A447,'The List'!$B1:$AS727,8,FALSE)," ")</f>
        <v xml:space="preserve"> </v>
      </c>
      <c r="G447" s="52" t="str">
        <f>IFERROR(VLOOKUP($A447,'The List'!$B1:$AS727,10,FALSE)," ")</f>
        <v xml:space="preserve"> </v>
      </c>
      <c r="H447" s="39"/>
      <c r="I447" s="53" t="str">
        <f>IFERROR(VLOOKUP($A447,'The List'!$B1:$AS727,16,FALSE)," ")</f>
        <v xml:space="preserve"> </v>
      </c>
      <c r="J447" s="53" t="str">
        <f>IFERROR(VLOOKUP($A447,'The List'!$B1:$AS727,17,FALSE)," ")</f>
        <v xml:space="preserve"> </v>
      </c>
      <c r="K447" s="53" t="str">
        <f>IFERROR(VLOOKUP($A447,'The List'!$B1:$AS727,18,FALSE)," ")</f>
        <v xml:space="preserve"> </v>
      </c>
      <c r="L447" s="53" t="str">
        <f>IFERROR(VLOOKUP($A447,'The List'!$B1:$AS727,19,FALSE)," ")</f>
        <v xml:space="preserve"> </v>
      </c>
      <c r="M447" s="53" t="str">
        <f>IFERROR(VLOOKUP($A447,'The List'!$B1:$AS727,20,FALSE)," ")</f>
        <v xml:space="preserve"> </v>
      </c>
      <c r="N447" s="53" t="str">
        <f>IFERROR(VLOOKUP($A447,'The List'!$B1:$AS727,21,FALSE)," ")</f>
        <v xml:space="preserve"> </v>
      </c>
      <c r="O447" s="53" t="str">
        <f>IFERROR(VLOOKUP($A447,'The List'!$B1:$AS727,22,FALSE)," ")</f>
        <v xml:space="preserve"> </v>
      </c>
      <c r="P447" s="53" t="str">
        <f>IFERROR(VLOOKUP($A447,'The List'!$B1:$AS727,23,FALSE)," ")</f>
        <v xml:space="preserve"> </v>
      </c>
      <c r="Q447" s="53" t="str">
        <f>IFERROR(VLOOKUP($A447,'The List'!$B1:$AS727,24,FALSE)," ")</f>
        <v xml:space="preserve"> </v>
      </c>
      <c r="R447" s="53" t="str">
        <f>IFERROR(VLOOKUP($A447,'The List'!$B1:$AS727,25,FALSE)," ")</f>
        <v xml:space="preserve"> </v>
      </c>
      <c r="S447" s="53" t="str">
        <f>IFERROR(VLOOKUP($A447,'The List'!$B1:$AS727,26,FALSE)," ")</f>
        <v xml:space="preserve"> </v>
      </c>
      <c r="T447" s="53" t="str">
        <f>IFERROR(VLOOKUP($A447,'The List'!$B1:$AS727,27,FALSE)," ")</f>
        <v xml:space="preserve"> </v>
      </c>
      <c r="U447" s="53" t="str">
        <f>IFERROR(VLOOKUP($A447,'The List'!$B1:$AS727,28,FALSE)," ")</f>
        <v xml:space="preserve"> </v>
      </c>
      <c r="V447" s="53" t="str">
        <f>IFERROR(VLOOKUP($A447,'The List'!$B1:$AS727,29,FALSE)," ")</f>
        <v xml:space="preserve"> </v>
      </c>
      <c r="W447" s="53" t="str">
        <f>IFERROR(VLOOKUP($A447,'The List'!$B1:$AS727,30,FALSE)," ")</f>
        <v xml:space="preserve"> </v>
      </c>
      <c r="X447" s="53" t="str">
        <f>IFERROR(VLOOKUP($A447,'The List'!$B1:$AS727,31,FALSE)," ")</f>
        <v xml:space="preserve"> </v>
      </c>
      <c r="Y447" s="53" t="str">
        <f>IFERROR(VLOOKUP($A447,'The List'!$B1:$AS727,32,FALSE)," ")</f>
        <v xml:space="preserve"> </v>
      </c>
      <c r="Z447" s="53" t="str">
        <f>IFERROR(VLOOKUP($A447,'The List'!$B1:$AS727,33,FALSE)," ")</f>
        <v xml:space="preserve"> </v>
      </c>
      <c r="AA447" s="55"/>
      <c r="AB447" s="60"/>
      <c r="AC447" s="60"/>
      <c r="AD447" s="60"/>
      <c r="AE447" s="60"/>
      <c r="AF447" s="60"/>
    </row>
    <row r="448" spans="1:32" ht="21.25" customHeight="1" x14ac:dyDescent="0.15">
      <c r="A448" s="23"/>
      <c r="B448" s="65" t="str">
        <f>IFERROR(VLOOKUP($A448,'The List'!$B1:$AS727,3,FALSE)," ")</f>
        <v xml:space="preserve"> </v>
      </c>
      <c r="C448" s="67" t="str">
        <f>IFERROR(VLOOKUP($A448,'The List'!$B1:$AS727,4,FALSE)," ")</f>
        <v xml:space="preserve"> </v>
      </c>
      <c r="D448" s="35" t="str">
        <f>IFERROR(VLOOKUP($A448,'The List'!$B1:$AS727,5,FALSE)," ")</f>
        <v xml:space="preserve"> </v>
      </c>
      <c r="E448" s="35" t="str">
        <f>IFERROR(VLOOKUP($A448,'The List'!$B1:$AS727,6,FALSE)," ")</f>
        <v xml:space="preserve"> </v>
      </c>
      <c r="F448" s="52" t="str">
        <f>IFERROR(VLOOKUP($A448,'The List'!$B1:$AS727,8,FALSE)," ")</f>
        <v xml:space="preserve"> </v>
      </c>
      <c r="G448" s="52" t="str">
        <f>IFERROR(VLOOKUP($A448,'The List'!$B1:$AS727,10,FALSE)," ")</f>
        <v xml:space="preserve"> </v>
      </c>
      <c r="H448" s="39"/>
      <c r="I448" s="53" t="str">
        <f>IFERROR(VLOOKUP($A448,'The List'!$B1:$AS727,16,FALSE)," ")</f>
        <v xml:space="preserve"> </v>
      </c>
      <c r="J448" s="53" t="str">
        <f>IFERROR(VLOOKUP($A448,'The List'!$B1:$AS727,17,FALSE)," ")</f>
        <v xml:space="preserve"> </v>
      </c>
      <c r="K448" s="53" t="str">
        <f>IFERROR(VLOOKUP($A448,'The List'!$B1:$AS727,18,FALSE)," ")</f>
        <v xml:space="preserve"> </v>
      </c>
      <c r="L448" s="53" t="str">
        <f>IFERROR(VLOOKUP($A448,'The List'!$B1:$AS727,19,FALSE)," ")</f>
        <v xml:space="preserve"> </v>
      </c>
      <c r="M448" s="53" t="str">
        <f>IFERROR(VLOOKUP($A448,'The List'!$B1:$AS727,20,FALSE)," ")</f>
        <v xml:space="preserve"> </v>
      </c>
      <c r="N448" s="53" t="str">
        <f>IFERROR(VLOOKUP($A448,'The List'!$B1:$AS727,21,FALSE)," ")</f>
        <v xml:space="preserve"> </v>
      </c>
      <c r="O448" s="53" t="str">
        <f>IFERROR(VLOOKUP($A448,'The List'!$B1:$AS727,22,FALSE)," ")</f>
        <v xml:space="preserve"> </v>
      </c>
      <c r="P448" s="53" t="str">
        <f>IFERROR(VLOOKUP($A448,'The List'!$B1:$AS727,23,FALSE)," ")</f>
        <v xml:space="preserve"> </v>
      </c>
      <c r="Q448" s="53" t="str">
        <f>IFERROR(VLOOKUP($A448,'The List'!$B1:$AS727,24,FALSE)," ")</f>
        <v xml:space="preserve"> </v>
      </c>
      <c r="R448" s="53" t="str">
        <f>IFERROR(VLOOKUP($A448,'The List'!$B1:$AS727,25,FALSE)," ")</f>
        <v xml:space="preserve"> </v>
      </c>
      <c r="S448" s="53" t="str">
        <f>IFERROR(VLOOKUP($A448,'The List'!$B1:$AS727,26,FALSE)," ")</f>
        <v xml:space="preserve"> </v>
      </c>
      <c r="T448" s="53" t="str">
        <f>IFERROR(VLOOKUP($A448,'The List'!$B1:$AS727,27,FALSE)," ")</f>
        <v xml:space="preserve"> </v>
      </c>
      <c r="U448" s="53" t="str">
        <f>IFERROR(VLOOKUP($A448,'The List'!$B1:$AS727,28,FALSE)," ")</f>
        <v xml:space="preserve"> </v>
      </c>
      <c r="V448" s="53" t="str">
        <f>IFERROR(VLOOKUP($A448,'The List'!$B1:$AS727,29,FALSE)," ")</f>
        <v xml:space="preserve"> </v>
      </c>
      <c r="W448" s="53" t="str">
        <f>IFERROR(VLOOKUP($A448,'The List'!$B1:$AS727,30,FALSE)," ")</f>
        <v xml:space="preserve"> </v>
      </c>
      <c r="X448" s="53" t="str">
        <f>IFERROR(VLOOKUP($A448,'The List'!$B1:$AS727,31,FALSE)," ")</f>
        <v xml:space="preserve"> </v>
      </c>
      <c r="Y448" s="53" t="str">
        <f>IFERROR(VLOOKUP($A448,'The List'!$B1:$AS727,32,FALSE)," ")</f>
        <v xml:space="preserve"> </v>
      </c>
      <c r="Z448" s="53" t="str">
        <f>IFERROR(VLOOKUP($A448,'The List'!$B1:$AS727,33,FALSE)," ")</f>
        <v xml:space="preserve"> </v>
      </c>
      <c r="AA448" s="55"/>
      <c r="AB448" s="60"/>
      <c r="AC448" s="60"/>
      <c r="AD448" s="60"/>
      <c r="AE448" s="60"/>
      <c r="AF448" s="60"/>
    </row>
    <row r="449" spans="1:32" ht="21.25" customHeight="1" x14ac:dyDescent="0.15">
      <c r="A449" s="23"/>
      <c r="B449" s="68" t="str">
        <f>IFERROR(VLOOKUP($A449,'The List'!$B1:$AS727,3,FALSE)," ")</f>
        <v xml:space="preserve"> </v>
      </c>
      <c r="C449" s="70" t="str">
        <f>IFERROR(VLOOKUP($A449,'The List'!$B1:$AS727,4,FALSE)," ")</f>
        <v xml:space="preserve"> </v>
      </c>
      <c r="D449" s="35" t="str">
        <f>IFERROR(VLOOKUP($A449,'The List'!$B1:$AS727,5,FALSE)," ")</f>
        <v xml:space="preserve"> </v>
      </c>
      <c r="E449" s="35" t="str">
        <f>IFERROR(VLOOKUP($A449,'The List'!$B1:$AS727,6,FALSE)," ")</f>
        <v xml:space="preserve"> </v>
      </c>
      <c r="F449" s="52" t="str">
        <f>IFERROR(VLOOKUP($A449,'The List'!$B1:$AS727,8,FALSE)," ")</f>
        <v xml:space="preserve"> </v>
      </c>
      <c r="G449" s="52" t="str">
        <f>IFERROR(VLOOKUP($A449,'The List'!$B1:$AS727,10,FALSE)," ")</f>
        <v xml:space="preserve"> </v>
      </c>
      <c r="H449" s="39"/>
      <c r="I449" s="53" t="str">
        <f>IFERROR(VLOOKUP($A449,'The List'!$B1:$AS727,16,FALSE)," ")</f>
        <v xml:space="preserve"> </v>
      </c>
      <c r="J449" s="53" t="str">
        <f>IFERROR(VLOOKUP($A449,'The List'!$B1:$AS727,17,FALSE)," ")</f>
        <v xml:space="preserve"> </v>
      </c>
      <c r="K449" s="53" t="str">
        <f>IFERROR(VLOOKUP($A449,'The List'!$B1:$AS727,18,FALSE)," ")</f>
        <v xml:space="preserve"> </v>
      </c>
      <c r="L449" s="53" t="str">
        <f>IFERROR(VLOOKUP($A449,'The List'!$B1:$AS727,19,FALSE)," ")</f>
        <v xml:space="preserve"> </v>
      </c>
      <c r="M449" s="53" t="str">
        <f>IFERROR(VLOOKUP($A449,'The List'!$B1:$AS727,20,FALSE)," ")</f>
        <v xml:space="preserve"> </v>
      </c>
      <c r="N449" s="53" t="str">
        <f>IFERROR(VLOOKUP($A449,'The List'!$B1:$AS727,21,FALSE)," ")</f>
        <v xml:space="preserve"> </v>
      </c>
      <c r="O449" s="53" t="str">
        <f>IFERROR(VLOOKUP($A449,'The List'!$B1:$AS727,22,FALSE)," ")</f>
        <v xml:space="preserve"> </v>
      </c>
      <c r="P449" s="53" t="str">
        <f>IFERROR(VLOOKUP($A449,'The List'!$B1:$AS727,23,FALSE)," ")</f>
        <v xml:space="preserve"> </v>
      </c>
      <c r="Q449" s="53" t="str">
        <f>IFERROR(VLOOKUP($A449,'The List'!$B1:$AS727,24,FALSE)," ")</f>
        <v xml:space="preserve"> </v>
      </c>
      <c r="R449" s="53" t="str">
        <f>IFERROR(VLOOKUP($A449,'The List'!$B1:$AS727,25,FALSE)," ")</f>
        <v xml:space="preserve"> </v>
      </c>
      <c r="S449" s="53" t="str">
        <f>IFERROR(VLOOKUP($A449,'The List'!$B1:$AS727,26,FALSE)," ")</f>
        <v xml:space="preserve"> </v>
      </c>
      <c r="T449" s="53" t="str">
        <f>IFERROR(VLOOKUP($A449,'The List'!$B1:$AS727,27,FALSE)," ")</f>
        <v xml:space="preserve"> </v>
      </c>
      <c r="U449" s="53" t="str">
        <f>IFERROR(VLOOKUP($A449,'The List'!$B1:$AS727,28,FALSE)," ")</f>
        <v xml:space="preserve"> </v>
      </c>
      <c r="V449" s="53" t="str">
        <f>IFERROR(VLOOKUP($A449,'The List'!$B1:$AS727,29,FALSE)," ")</f>
        <v xml:space="preserve"> </v>
      </c>
      <c r="W449" s="53" t="str">
        <f>IFERROR(VLOOKUP($A449,'The List'!$B1:$AS727,30,FALSE)," ")</f>
        <v xml:space="preserve"> </v>
      </c>
      <c r="X449" s="53" t="str">
        <f>IFERROR(VLOOKUP($A449,'The List'!$B1:$AS727,31,FALSE)," ")</f>
        <v xml:space="preserve"> </v>
      </c>
      <c r="Y449" s="53" t="str">
        <f>IFERROR(VLOOKUP($A449,'The List'!$B1:$AS727,32,FALSE)," ")</f>
        <v xml:space="preserve"> </v>
      </c>
      <c r="Z449" s="53" t="str">
        <f>IFERROR(VLOOKUP($A449,'The List'!$B1:$AS727,33,FALSE)," ")</f>
        <v xml:space="preserve"> </v>
      </c>
      <c r="AA449" s="55"/>
      <c r="AB449" s="60"/>
      <c r="AC449" s="60"/>
      <c r="AD449" s="60"/>
      <c r="AE449" s="60"/>
      <c r="AF449" s="60"/>
    </row>
    <row r="450" spans="1:32" ht="21.25" customHeight="1" x14ac:dyDescent="0.15">
      <c r="A450" s="23"/>
      <c r="B450" s="68" t="str">
        <f>IFERROR(VLOOKUP($A450,'The List'!$B1:$AS727,3,FALSE)," ")</f>
        <v xml:space="preserve"> </v>
      </c>
      <c r="C450" s="70" t="str">
        <f>IFERROR(VLOOKUP($A450,'The List'!$B1:$AS727,4,FALSE)," ")</f>
        <v xml:space="preserve"> </v>
      </c>
      <c r="D450" s="35" t="str">
        <f>IFERROR(VLOOKUP($A450,'The List'!$B1:$AS727,5,FALSE)," ")</f>
        <v xml:space="preserve"> </v>
      </c>
      <c r="E450" s="35" t="str">
        <f>IFERROR(VLOOKUP($A450,'The List'!$B1:$AS727,6,FALSE)," ")</f>
        <v xml:space="preserve"> </v>
      </c>
      <c r="F450" s="52" t="str">
        <f>IFERROR(VLOOKUP($A450,'The List'!$B1:$AS727,8,FALSE)," ")</f>
        <v xml:space="preserve"> </v>
      </c>
      <c r="G450" s="52" t="str">
        <f>IFERROR(VLOOKUP($A450,'The List'!$B1:$AS727,10,FALSE)," ")</f>
        <v xml:space="preserve"> </v>
      </c>
      <c r="H450" s="39"/>
      <c r="I450" s="53" t="str">
        <f>IFERROR(VLOOKUP($A450,'The List'!$B1:$AS727,16,FALSE)," ")</f>
        <v xml:space="preserve"> </v>
      </c>
      <c r="J450" s="53" t="str">
        <f>IFERROR(VLOOKUP($A450,'The List'!$B1:$AS727,17,FALSE)," ")</f>
        <v xml:space="preserve"> </v>
      </c>
      <c r="K450" s="53" t="str">
        <f>IFERROR(VLOOKUP($A450,'The List'!$B1:$AS727,18,FALSE)," ")</f>
        <v xml:space="preserve"> </v>
      </c>
      <c r="L450" s="53" t="str">
        <f>IFERROR(VLOOKUP($A450,'The List'!$B1:$AS727,19,FALSE)," ")</f>
        <v xml:space="preserve"> </v>
      </c>
      <c r="M450" s="53" t="str">
        <f>IFERROR(VLOOKUP($A450,'The List'!$B1:$AS727,20,FALSE)," ")</f>
        <v xml:space="preserve"> </v>
      </c>
      <c r="N450" s="53" t="str">
        <f>IFERROR(VLOOKUP($A450,'The List'!$B1:$AS727,21,FALSE)," ")</f>
        <v xml:space="preserve"> </v>
      </c>
      <c r="O450" s="53" t="str">
        <f>IFERROR(VLOOKUP($A450,'The List'!$B1:$AS727,22,FALSE)," ")</f>
        <v xml:space="preserve"> </v>
      </c>
      <c r="P450" s="53" t="str">
        <f>IFERROR(VLOOKUP($A450,'The List'!$B1:$AS727,23,FALSE)," ")</f>
        <v xml:space="preserve"> </v>
      </c>
      <c r="Q450" s="53" t="str">
        <f>IFERROR(VLOOKUP($A450,'The List'!$B1:$AS727,24,FALSE)," ")</f>
        <v xml:space="preserve"> </v>
      </c>
      <c r="R450" s="53" t="str">
        <f>IFERROR(VLOOKUP($A450,'The List'!$B1:$AS727,25,FALSE)," ")</f>
        <v xml:space="preserve"> </v>
      </c>
      <c r="S450" s="53" t="str">
        <f>IFERROR(VLOOKUP($A450,'The List'!$B1:$AS727,26,FALSE)," ")</f>
        <v xml:space="preserve"> </v>
      </c>
      <c r="T450" s="53" t="str">
        <f>IFERROR(VLOOKUP($A450,'The List'!$B1:$AS727,27,FALSE)," ")</f>
        <v xml:space="preserve"> </v>
      </c>
      <c r="U450" s="53" t="str">
        <f>IFERROR(VLOOKUP($A450,'The List'!$B1:$AS727,28,FALSE)," ")</f>
        <v xml:space="preserve"> </v>
      </c>
      <c r="V450" s="53" t="str">
        <f>IFERROR(VLOOKUP($A450,'The List'!$B1:$AS727,29,FALSE)," ")</f>
        <v xml:space="preserve"> </v>
      </c>
      <c r="W450" s="53" t="str">
        <f>IFERROR(VLOOKUP($A450,'The List'!$B1:$AS727,30,FALSE)," ")</f>
        <v xml:space="preserve"> </v>
      </c>
      <c r="X450" s="53" t="str">
        <f>IFERROR(VLOOKUP($A450,'The List'!$B1:$AS727,31,FALSE)," ")</f>
        <v xml:space="preserve"> </v>
      </c>
      <c r="Y450" s="53" t="str">
        <f>IFERROR(VLOOKUP($A450,'The List'!$B1:$AS727,32,FALSE)," ")</f>
        <v xml:space="preserve"> </v>
      </c>
      <c r="Z450" s="53" t="str">
        <f>IFERROR(VLOOKUP($A450,'The List'!$B1:$AS727,33,FALSE)," ")</f>
        <v xml:space="preserve"> </v>
      </c>
      <c r="AA450" s="55"/>
      <c r="AB450" s="60"/>
      <c r="AC450" s="60"/>
      <c r="AD450" s="60"/>
      <c r="AE450" s="60"/>
      <c r="AF450" s="60"/>
    </row>
    <row r="451" spans="1:32" ht="21.25" customHeight="1" x14ac:dyDescent="0.15">
      <c r="A451" s="23"/>
      <c r="B451" s="68" t="str">
        <f>IFERROR(VLOOKUP($A451,'The List'!$B1:$AS727,3,FALSE)," ")</f>
        <v xml:space="preserve"> </v>
      </c>
      <c r="C451" s="70" t="str">
        <f>IFERROR(VLOOKUP($A451,'The List'!$B1:$AS727,4,FALSE)," ")</f>
        <v xml:space="preserve"> </v>
      </c>
      <c r="D451" s="35" t="str">
        <f>IFERROR(VLOOKUP($A451,'The List'!$B1:$AS727,5,FALSE)," ")</f>
        <v xml:space="preserve"> </v>
      </c>
      <c r="E451" s="35" t="str">
        <f>IFERROR(VLOOKUP($A451,'The List'!$B1:$AS727,6,FALSE)," ")</f>
        <v xml:space="preserve"> </v>
      </c>
      <c r="F451" s="52" t="str">
        <f>IFERROR(VLOOKUP($A451,'The List'!$B1:$AS727,8,FALSE)," ")</f>
        <v xml:space="preserve"> </v>
      </c>
      <c r="G451" s="52" t="str">
        <f>IFERROR(VLOOKUP($A451,'The List'!$B1:$AS727,10,FALSE)," ")</f>
        <v xml:space="preserve"> </v>
      </c>
      <c r="H451" s="39"/>
      <c r="I451" s="53" t="str">
        <f>IFERROR(VLOOKUP($A451,'The List'!$B1:$AS727,16,FALSE)," ")</f>
        <v xml:space="preserve"> </v>
      </c>
      <c r="J451" s="53" t="str">
        <f>IFERROR(VLOOKUP($A451,'The List'!$B1:$AS727,17,FALSE)," ")</f>
        <v xml:space="preserve"> </v>
      </c>
      <c r="K451" s="53" t="str">
        <f>IFERROR(VLOOKUP($A451,'The List'!$B1:$AS727,18,FALSE)," ")</f>
        <v xml:space="preserve"> </v>
      </c>
      <c r="L451" s="53" t="str">
        <f>IFERROR(VLOOKUP($A451,'The List'!$B1:$AS727,19,FALSE)," ")</f>
        <v xml:space="preserve"> </v>
      </c>
      <c r="M451" s="53" t="str">
        <f>IFERROR(VLOOKUP($A451,'The List'!$B1:$AS727,20,FALSE)," ")</f>
        <v xml:space="preserve"> </v>
      </c>
      <c r="N451" s="53" t="str">
        <f>IFERROR(VLOOKUP($A451,'The List'!$B1:$AS727,21,FALSE)," ")</f>
        <v xml:space="preserve"> </v>
      </c>
      <c r="O451" s="53" t="str">
        <f>IFERROR(VLOOKUP($A451,'The List'!$B1:$AS727,22,FALSE)," ")</f>
        <v xml:space="preserve"> </v>
      </c>
      <c r="P451" s="53" t="str">
        <f>IFERROR(VLOOKUP($A451,'The List'!$B1:$AS727,23,FALSE)," ")</f>
        <v xml:space="preserve"> </v>
      </c>
      <c r="Q451" s="53" t="str">
        <f>IFERROR(VLOOKUP($A451,'The List'!$B1:$AS727,24,FALSE)," ")</f>
        <v xml:space="preserve"> </v>
      </c>
      <c r="R451" s="53" t="str">
        <f>IFERROR(VLOOKUP($A451,'The List'!$B1:$AS727,25,FALSE)," ")</f>
        <v xml:space="preserve"> </v>
      </c>
      <c r="S451" s="53" t="str">
        <f>IFERROR(VLOOKUP($A451,'The List'!$B1:$AS727,26,FALSE)," ")</f>
        <v xml:space="preserve"> </v>
      </c>
      <c r="T451" s="53" t="str">
        <f>IFERROR(VLOOKUP($A451,'The List'!$B1:$AS727,27,FALSE)," ")</f>
        <v xml:space="preserve"> </v>
      </c>
      <c r="U451" s="53" t="str">
        <f>IFERROR(VLOOKUP($A451,'The List'!$B1:$AS727,28,FALSE)," ")</f>
        <v xml:space="preserve"> </v>
      </c>
      <c r="V451" s="53" t="str">
        <f>IFERROR(VLOOKUP($A451,'The List'!$B1:$AS727,29,FALSE)," ")</f>
        <v xml:space="preserve"> </v>
      </c>
      <c r="W451" s="53" t="str">
        <f>IFERROR(VLOOKUP($A451,'The List'!$B1:$AS727,30,FALSE)," ")</f>
        <v xml:space="preserve"> </v>
      </c>
      <c r="X451" s="53" t="str">
        <f>IFERROR(VLOOKUP($A451,'The List'!$B1:$AS727,31,FALSE)," ")</f>
        <v xml:space="preserve"> </v>
      </c>
      <c r="Y451" s="53" t="str">
        <f>IFERROR(VLOOKUP($A451,'The List'!$B1:$AS727,32,FALSE)," ")</f>
        <v xml:space="preserve"> </v>
      </c>
      <c r="Z451" s="53" t="str">
        <f>IFERROR(VLOOKUP($A451,'The List'!$B1:$AS727,33,FALSE)," ")</f>
        <v xml:space="preserve"> </v>
      </c>
      <c r="AA451" s="55"/>
      <c r="AB451" s="60"/>
      <c r="AC451" s="60"/>
      <c r="AD451" s="60"/>
      <c r="AE451" s="60"/>
      <c r="AF451" s="60"/>
    </row>
    <row r="452" spans="1:32" ht="21.25" customHeight="1" x14ac:dyDescent="0.15">
      <c r="A452" s="23"/>
      <c r="B452" s="68" t="str">
        <f>IFERROR(VLOOKUP($A452,'The List'!$B1:$AS727,3,FALSE)," ")</f>
        <v xml:space="preserve"> </v>
      </c>
      <c r="C452" s="70" t="str">
        <f>IFERROR(VLOOKUP($A452,'The List'!$B1:$AS727,4,FALSE)," ")</f>
        <v xml:space="preserve"> </v>
      </c>
      <c r="D452" s="35" t="str">
        <f>IFERROR(VLOOKUP($A452,'The List'!$B1:$AS727,5,FALSE)," ")</f>
        <v xml:space="preserve"> </v>
      </c>
      <c r="E452" s="35" t="str">
        <f>IFERROR(VLOOKUP($A452,'The List'!$B1:$AS727,6,FALSE)," ")</f>
        <v xml:space="preserve"> </v>
      </c>
      <c r="F452" s="52" t="str">
        <f>IFERROR(VLOOKUP($A452,'The List'!$B1:$AS727,8,FALSE)," ")</f>
        <v xml:space="preserve"> </v>
      </c>
      <c r="G452" s="52" t="str">
        <f>IFERROR(VLOOKUP($A452,'The List'!$B1:$AS727,10,FALSE)," ")</f>
        <v xml:space="preserve"> </v>
      </c>
      <c r="H452" s="39"/>
      <c r="I452" s="53" t="str">
        <f>IFERROR(VLOOKUP($A452,'The List'!$B1:$AS727,16,FALSE)," ")</f>
        <v xml:space="preserve"> </v>
      </c>
      <c r="J452" s="53" t="str">
        <f>IFERROR(VLOOKUP($A452,'The List'!$B1:$AS727,17,FALSE)," ")</f>
        <v xml:space="preserve"> </v>
      </c>
      <c r="K452" s="53" t="str">
        <f>IFERROR(VLOOKUP($A452,'The List'!$B1:$AS727,18,FALSE)," ")</f>
        <v xml:space="preserve"> </v>
      </c>
      <c r="L452" s="53" t="str">
        <f>IFERROR(VLOOKUP($A452,'The List'!$B1:$AS727,19,FALSE)," ")</f>
        <v xml:space="preserve"> </v>
      </c>
      <c r="M452" s="53" t="str">
        <f>IFERROR(VLOOKUP($A452,'The List'!$B1:$AS727,20,FALSE)," ")</f>
        <v xml:space="preserve"> </v>
      </c>
      <c r="N452" s="53" t="str">
        <f>IFERROR(VLOOKUP($A452,'The List'!$B1:$AS727,21,FALSE)," ")</f>
        <v xml:space="preserve"> </v>
      </c>
      <c r="O452" s="53" t="str">
        <f>IFERROR(VLOOKUP($A452,'The List'!$B1:$AS727,22,FALSE)," ")</f>
        <v xml:space="preserve"> </v>
      </c>
      <c r="P452" s="53" t="str">
        <f>IFERROR(VLOOKUP($A452,'The List'!$B1:$AS727,23,FALSE)," ")</f>
        <v xml:space="preserve"> </v>
      </c>
      <c r="Q452" s="53" t="str">
        <f>IFERROR(VLOOKUP($A452,'The List'!$B1:$AS727,24,FALSE)," ")</f>
        <v xml:space="preserve"> </v>
      </c>
      <c r="R452" s="53" t="str">
        <f>IFERROR(VLOOKUP($A452,'The List'!$B1:$AS727,25,FALSE)," ")</f>
        <v xml:space="preserve"> </v>
      </c>
      <c r="S452" s="53" t="str">
        <f>IFERROR(VLOOKUP($A452,'The List'!$B1:$AS727,26,FALSE)," ")</f>
        <v xml:space="preserve"> </v>
      </c>
      <c r="T452" s="53" t="str">
        <f>IFERROR(VLOOKUP($A452,'The List'!$B1:$AS727,27,FALSE)," ")</f>
        <v xml:space="preserve"> </v>
      </c>
      <c r="U452" s="53" t="str">
        <f>IFERROR(VLOOKUP($A452,'The List'!$B1:$AS727,28,FALSE)," ")</f>
        <v xml:space="preserve"> </v>
      </c>
      <c r="V452" s="53" t="str">
        <f>IFERROR(VLOOKUP($A452,'The List'!$B1:$AS727,29,FALSE)," ")</f>
        <v xml:space="preserve"> </v>
      </c>
      <c r="W452" s="53" t="str">
        <f>IFERROR(VLOOKUP($A452,'The List'!$B1:$AS727,30,FALSE)," ")</f>
        <v xml:space="preserve"> </v>
      </c>
      <c r="X452" s="53" t="str">
        <f>IFERROR(VLOOKUP($A452,'The List'!$B1:$AS727,31,FALSE)," ")</f>
        <v xml:space="preserve"> </v>
      </c>
      <c r="Y452" s="53" t="str">
        <f>IFERROR(VLOOKUP($A452,'The List'!$B1:$AS727,32,FALSE)," ")</f>
        <v xml:space="preserve"> </v>
      </c>
      <c r="Z452" s="53" t="str">
        <f>IFERROR(VLOOKUP($A452,'The List'!$B1:$AS727,33,FALSE)," ")</f>
        <v xml:space="preserve"> </v>
      </c>
      <c r="AA452" s="55"/>
      <c r="AB452" s="60"/>
      <c r="AC452" s="60"/>
      <c r="AD452" s="60"/>
      <c r="AE452" s="60"/>
      <c r="AF452" s="60"/>
    </row>
    <row r="453" spans="1:32" ht="21.25" customHeight="1" x14ac:dyDescent="0.15">
      <c r="A453" s="23"/>
      <c r="B453" s="68" t="str">
        <f>IFERROR(VLOOKUP($A453,'The List'!$B1:$AS727,3,FALSE)," ")</f>
        <v xml:space="preserve"> </v>
      </c>
      <c r="C453" s="70" t="str">
        <f>IFERROR(VLOOKUP($A453,'The List'!$B1:$AS727,4,FALSE)," ")</f>
        <v xml:space="preserve"> </v>
      </c>
      <c r="D453" s="35" t="str">
        <f>IFERROR(VLOOKUP($A453,'The List'!$B1:$AS727,5,FALSE)," ")</f>
        <v xml:space="preserve"> </v>
      </c>
      <c r="E453" s="35" t="str">
        <f>IFERROR(VLOOKUP($A453,'The List'!$B1:$AS727,6,FALSE)," ")</f>
        <v xml:space="preserve"> </v>
      </c>
      <c r="F453" s="52" t="str">
        <f>IFERROR(VLOOKUP($A453,'The List'!$B1:$AS727,8,FALSE)," ")</f>
        <v xml:space="preserve"> </v>
      </c>
      <c r="G453" s="52" t="str">
        <f>IFERROR(VLOOKUP($A453,'The List'!$B1:$AS727,10,FALSE)," ")</f>
        <v xml:space="preserve"> </v>
      </c>
      <c r="H453" s="39"/>
      <c r="I453" s="53" t="str">
        <f>IFERROR(VLOOKUP($A453,'The List'!$B1:$AS727,16,FALSE)," ")</f>
        <v xml:space="preserve"> </v>
      </c>
      <c r="J453" s="53" t="str">
        <f>IFERROR(VLOOKUP($A453,'The List'!$B1:$AS727,17,FALSE)," ")</f>
        <v xml:space="preserve"> </v>
      </c>
      <c r="K453" s="53" t="str">
        <f>IFERROR(VLOOKUP($A453,'The List'!$B1:$AS727,18,FALSE)," ")</f>
        <v xml:space="preserve"> </v>
      </c>
      <c r="L453" s="53" t="str">
        <f>IFERROR(VLOOKUP($A453,'The List'!$B1:$AS727,19,FALSE)," ")</f>
        <v xml:space="preserve"> </v>
      </c>
      <c r="M453" s="53" t="str">
        <f>IFERROR(VLOOKUP($A453,'The List'!$B1:$AS727,20,FALSE)," ")</f>
        <v xml:space="preserve"> </v>
      </c>
      <c r="N453" s="53" t="str">
        <f>IFERROR(VLOOKUP($A453,'The List'!$B1:$AS727,21,FALSE)," ")</f>
        <v xml:space="preserve"> </v>
      </c>
      <c r="O453" s="53" t="str">
        <f>IFERROR(VLOOKUP($A453,'The List'!$B1:$AS727,22,FALSE)," ")</f>
        <v xml:space="preserve"> </v>
      </c>
      <c r="P453" s="53" t="str">
        <f>IFERROR(VLOOKUP($A453,'The List'!$B1:$AS727,23,FALSE)," ")</f>
        <v xml:space="preserve"> </v>
      </c>
      <c r="Q453" s="53" t="str">
        <f>IFERROR(VLOOKUP($A453,'The List'!$B1:$AS727,24,FALSE)," ")</f>
        <v xml:space="preserve"> </v>
      </c>
      <c r="R453" s="53" t="str">
        <f>IFERROR(VLOOKUP($A453,'The List'!$B1:$AS727,25,FALSE)," ")</f>
        <v xml:space="preserve"> </v>
      </c>
      <c r="S453" s="53" t="str">
        <f>IFERROR(VLOOKUP($A453,'The List'!$B1:$AS727,26,FALSE)," ")</f>
        <v xml:space="preserve"> </v>
      </c>
      <c r="T453" s="53" t="str">
        <f>IFERROR(VLOOKUP($A453,'The List'!$B1:$AS727,27,FALSE)," ")</f>
        <v xml:space="preserve"> </v>
      </c>
      <c r="U453" s="53" t="str">
        <f>IFERROR(VLOOKUP($A453,'The List'!$B1:$AS727,28,FALSE)," ")</f>
        <v xml:space="preserve"> </v>
      </c>
      <c r="V453" s="53" t="str">
        <f>IFERROR(VLOOKUP($A453,'The List'!$B1:$AS727,29,FALSE)," ")</f>
        <v xml:space="preserve"> </v>
      </c>
      <c r="W453" s="53" t="str">
        <f>IFERROR(VLOOKUP($A453,'The List'!$B1:$AS727,30,FALSE)," ")</f>
        <v xml:space="preserve"> </v>
      </c>
      <c r="X453" s="53" t="str">
        <f>IFERROR(VLOOKUP($A453,'The List'!$B1:$AS727,31,FALSE)," ")</f>
        <v xml:space="preserve"> </v>
      </c>
      <c r="Y453" s="53" t="str">
        <f>IFERROR(VLOOKUP($A453,'The List'!$B1:$AS727,32,FALSE)," ")</f>
        <v xml:space="preserve"> </v>
      </c>
      <c r="Z453" s="53" t="str">
        <f>IFERROR(VLOOKUP($A453,'The List'!$B1:$AS727,33,FALSE)," ")</f>
        <v xml:space="preserve"> </v>
      </c>
      <c r="AA453" s="55"/>
      <c r="AB453" s="60"/>
      <c r="AC453" s="60"/>
      <c r="AD453" s="60"/>
      <c r="AE453" s="60"/>
      <c r="AF453" s="60"/>
    </row>
    <row r="454" spans="1:32" ht="21.25" customHeight="1" x14ac:dyDescent="0.15">
      <c r="A454" s="23"/>
      <c r="B454" s="68" t="str">
        <f>IFERROR(VLOOKUP($A454,'The List'!$B1:$AS727,3,FALSE)," ")</f>
        <v xml:space="preserve"> </v>
      </c>
      <c r="C454" s="70" t="str">
        <f>IFERROR(VLOOKUP($A454,'The List'!$B1:$AS727,4,FALSE)," ")</f>
        <v xml:space="preserve"> </v>
      </c>
      <c r="D454" s="35" t="str">
        <f>IFERROR(VLOOKUP($A454,'The List'!$B1:$AS727,5,FALSE)," ")</f>
        <v xml:space="preserve"> </v>
      </c>
      <c r="E454" s="35" t="str">
        <f>IFERROR(VLOOKUP($A454,'The List'!$B1:$AS727,6,FALSE)," ")</f>
        <v xml:space="preserve"> </v>
      </c>
      <c r="F454" s="52" t="str">
        <f>IFERROR(VLOOKUP($A454,'The List'!$B1:$AS727,8,FALSE)," ")</f>
        <v xml:space="preserve"> </v>
      </c>
      <c r="G454" s="52" t="str">
        <f>IFERROR(VLOOKUP($A454,'The List'!$B1:$AS727,10,FALSE)," ")</f>
        <v xml:space="preserve"> </v>
      </c>
      <c r="H454" s="39"/>
      <c r="I454" s="53" t="str">
        <f>IFERROR(VLOOKUP($A454,'The List'!$B1:$AS727,16,FALSE)," ")</f>
        <v xml:space="preserve"> </v>
      </c>
      <c r="J454" s="53" t="str">
        <f>IFERROR(VLOOKUP($A454,'The List'!$B1:$AS727,17,FALSE)," ")</f>
        <v xml:space="preserve"> </v>
      </c>
      <c r="K454" s="53" t="str">
        <f>IFERROR(VLOOKUP($A454,'The List'!$B1:$AS727,18,FALSE)," ")</f>
        <v xml:space="preserve"> </v>
      </c>
      <c r="L454" s="53" t="str">
        <f>IFERROR(VLOOKUP($A454,'The List'!$B1:$AS727,19,FALSE)," ")</f>
        <v xml:space="preserve"> </v>
      </c>
      <c r="M454" s="53" t="str">
        <f>IFERROR(VLOOKUP($A454,'The List'!$B1:$AS727,20,FALSE)," ")</f>
        <v xml:space="preserve"> </v>
      </c>
      <c r="N454" s="53" t="str">
        <f>IFERROR(VLOOKUP($A454,'The List'!$B1:$AS727,21,FALSE)," ")</f>
        <v xml:space="preserve"> </v>
      </c>
      <c r="O454" s="53" t="str">
        <f>IFERROR(VLOOKUP($A454,'The List'!$B1:$AS727,22,FALSE)," ")</f>
        <v xml:space="preserve"> </v>
      </c>
      <c r="P454" s="53" t="str">
        <f>IFERROR(VLOOKUP($A454,'The List'!$B1:$AS727,23,FALSE)," ")</f>
        <v xml:space="preserve"> </v>
      </c>
      <c r="Q454" s="53" t="str">
        <f>IFERROR(VLOOKUP($A454,'The List'!$B1:$AS727,24,FALSE)," ")</f>
        <v xml:space="preserve"> </v>
      </c>
      <c r="R454" s="53" t="str">
        <f>IFERROR(VLOOKUP($A454,'The List'!$B1:$AS727,25,FALSE)," ")</f>
        <v xml:space="preserve"> </v>
      </c>
      <c r="S454" s="53" t="str">
        <f>IFERROR(VLOOKUP($A454,'The List'!$B1:$AS727,26,FALSE)," ")</f>
        <v xml:space="preserve"> </v>
      </c>
      <c r="T454" s="53" t="str">
        <f>IFERROR(VLOOKUP($A454,'The List'!$B1:$AS727,27,FALSE)," ")</f>
        <v xml:space="preserve"> </v>
      </c>
      <c r="U454" s="53" t="str">
        <f>IFERROR(VLOOKUP($A454,'The List'!$B1:$AS727,28,FALSE)," ")</f>
        <v xml:space="preserve"> </v>
      </c>
      <c r="V454" s="53" t="str">
        <f>IFERROR(VLOOKUP($A454,'The List'!$B1:$AS727,29,FALSE)," ")</f>
        <v xml:space="preserve"> </v>
      </c>
      <c r="W454" s="53" t="str">
        <f>IFERROR(VLOOKUP($A454,'The List'!$B1:$AS727,30,FALSE)," ")</f>
        <v xml:space="preserve"> </v>
      </c>
      <c r="X454" s="53" t="str">
        <f>IFERROR(VLOOKUP($A454,'The List'!$B1:$AS727,31,FALSE)," ")</f>
        <v xml:space="preserve"> </v>
      </c>
      <c r="Y454" s="53" t="str">
        <f>IFERROR(VLOOKUP($A454,'The List'!$B1:$AS727,32,FALSE)," ")</f>
        <v xml:space="preserve"> </v>
      </c>
      <c r="Z454" s="53" t="str">
        <f>IFERROR(VLOOKUP($A454,'The List'!$B1:$AS727,33,FALSE)," ")</f>
        <v xml:space="preserve"> </v>
      </c>
      <c r="AA454" s="55"/>
      <c r="AB454" s="60"/>
      <c r="AC454" s="60"/>
      <c r="AD454" s="60"/>
      <c r="AE454" s="60"/>
      <c r="AF454" s="60"/>
    </row>
    <row r="455" spans="1:32" ht="21.25" customHeight="1" x14ac:dyDescent="0.15">
      <c r="A455" s="23"/>
      <c r="B455" s="68" t="str">
        <f>IFERROR(VLOOKUP($A455,'The List'!$B1:$AS727,3,FALSE)," ")</f>
        <v xml:space="preserve"> </v>
      </c>
      <c r="C455" s="70" t="str">
        <f>IFERROR(VLOOKUP($A455,'The List'!$B1:$AS727,4,FALSE)," ")</f>
        <v xml:space="preserve"> </v>
      </c>
      <c r="D455" s="35" t="str">
        <f>IFERROR(VLOOKUP($A455,'The List'!$B1:$AS727,5,FALSE)," ")</f>
        <v xml:space="preserve"> </v>
      </c>
      <c r="E455" s="35" t="str">
        <f>IFERROR(VLOOKUP($A455,'The List'!$B1:$AS727,6,FALSE)," ")</f>
        <v xml:space="preserve"> </v>
      </c>
      <c r="F455" s="52" t="str">
        <f>IFERROR(VLOOKUP($A455,'The List'!$B1:$AS727,8,FALSE)," ")</f>
        <v xml:space="preserve"> </v>
      </c>
      <c r="G455" s="52" t="str">
        <f>IFERROR(VLOOKUP($A455,'The List'!$B1:$AS727,10,FALSE)," ")</f>
        <v xml:space="preserve"> </v>
      </c>
      <c r="H455" s="39"/>
      <c r="I455" s="53" t="str">
        <f>IFERROR(VLOOKUP($A455,'The List'!$B1:$AS727,16,FALSE)," ")</f>
        <v xml:space="preserve"> </v>
      </c>
      <c r="J455" s="53" t="str">
        <f>IFERROR(VLOOKUP($A455,'The List'!$B1:$AS727,17,FALSE)," ")</f>
        <v xml:space="preserve"> </v>
      </c>
      <c r="K455" s="53" t="str">
        <f>IFERROR(VLOOKUP($A455,'The List'!$B1:$AS727,18,FALSE)," ")</f>
        <v xml:space="preserve"> </v>
      </c>
      <c r="L455" s="53" t="str">
        <f>IFERROR(VLOOKUP($A455,'The List'!$B1:$AS727,19,FALSE)," ")</f>
        <v xml:space="preserve"> </v>
      </c>
      <c r="M455" s="53" t="str">
        <f>IFERROR(VLOOKUP($A455,'The List'!$B1:$AS727,20,FALSE)," ")</f>
        <v xml:space="preserve"> </v>
      </c>
      <c r="N455" s="53" t="str">
        <f>IFERROR(VLOOKUP($A455,'The List'!$B1:$AS727,21,FALSE)," ")</f>
        <v xml:space="preserve"> </v>
      </c>
      <c r="O455" s="53" t="str">
        <f>IFERROR(VLOOKUP($A455,'The List'!$B1:$AS727,22,FALSE)," ")</f>
        <v xml:space="preserve"> </v>
      </c>
      <c r="P455" s="53" t="str">
        <f>IFERROR(VLOOKUP($A455,'The List'!$B1:$AS727,23,FALSE)," ")</f>
        <v xml:space="preserve"> </v>
      </c>
      <c r="Q455" s="53" t="str">
        <f>IFERROR(VLOOKUP($A455,'The List'!$B1:$AS727,24,FALSE)," ")</f>
        <v xml:space="preserve"> </v>
      </c>
      <c r="R455" s="53" t="str">
        <f>IFERROR(VLOOKUP($A455,'The List'!$B1:$AS727,25,FALSE)," ")</f>
        <v xml:space="preserve"> </v>
      </c>
      <c r="S455" s="53" t="str">
        <f>IFERROR(VLOOKUP($A455,'The List'!$B1:$AS727,26,FALSE)," ")</f>
        <v xml:space="preserve"> </v>
      </c>
      <c r="T455" s="53" t="str">
        <f>IFERROR(VLOOKUP($A455,'The List'!$B1:$AS727,27,FALSE)," ")</f>
        <v xml:space="preserve"> </v>
      </c>
      <c r="U455" s="53" t="str">
        <f>IFERROR(VLOOKUP($A455,'The List'!$B1:$AS727,28,FALSE)," ")</f>
        <v xml:space="preserve"> </v>
      </c>
      <c r="V455" s="53" t="str">
        <f>IFERROR(VLOOKUP($A455,'The List'!$B1:$AS727,29,FALSE)," ")</f>
        <v xml:space="preserve"> </v>
      </c>
      <c r="W455" s="53" t="str">
        <f>IFERROR(VLOOKUP($A455,'The List'!$B1:$AS727,30,FALSE)," ")</f>
        <v xml:space="preserve"> </v>
      </c>
      <c r="X455" s="53" t="str">
        <f>IFERROR(VLOOKUP($A455,'The List'!$B1:$AS727,31,FALSE)," ")</f>
        <v xml:space="preserve"> </v>
      </c>
      <c r="Y455" s="53" t="str">
        <f>IFERROR(VLOOKUP($A455,'The List'!$B1:$AS727,32,FALSE)," ")</f>
        <v xml:space="preserve"> </v>
      </c>
      <c r="Z455" s="53" t="str">
        <f>IFERROR(VLOOKUP($A455,'The List'!$B1:$AS727,33,FALSE)," ")</f>
        <v xml:space="preserve"> </v>
      </c>
      <c r="AA455" s="55"/>
      <c r="AB455" s="60"/>
      <c r="AC455" s="60"/>
      <c r="AD455" s="60"/>
      <c r="AE455" s="60"/>
      <c r="AF455" s="60"/>
    </row>
    <row r="456" spans="1:32" ht="21.25" customHeight="1" x14ac:dyDescent="0.15">
      <c r="A456" s="72"/>
      <c r="B456" s="73" t="str">
        <f>IFERROR(VLOOKUP($A456,'The List'!$B1:$AS727,3,FALSE)," ")</f>
        <v xml:space="preserve"> </v>
      </c>
      <c r="C456" s="74" t="str">
        <f>IFERROR(VLOOKUP($A456,'The List'!$B1:$AS727,4,FALSE)," ")</f>
        <v xml:space="preserve"> </v>
      </c>
      <c r="D456" s="75" t="str">
        <f>IFERROR(VLOOKUP($A456,'The List'!$B1:$AS727,5,FALSE)," ")</f>
        <v xml:space="preserve"> </v>
      </c>
      <c r="E456" s="75" t="str">
        <f>IFERROR(VLOOKUP($A456,'The List'!$B1:$AS727,6,FALSE)," ")</f>
        <v xml:space="preserve"> </v>
      </c>
      <c r="F456" s="76" t="str">
        <f>IFERROR(VLOOKUP($A456,'The List'!$B1:$AS727,8,FALSE)," ")</f>
        <v xml:space="preserve"> </v>
      </c>
      <c r="G456" s="76" t="str">
        <f>IFERROR(VLOOKUP($A456,'The List'!$B1:$AS727,10,FALSE)," ")</f>
        <v xml:space="preserve"> </v>
      </c>
      <c r="H456" s="77"/>
      <c r="I456" s="78" t="str">
        <f>IFERROR(VLOOKUP($A456,'The List'!$B1:$AS727,16,FALSE)," ")</f>
        <v xml:space="preserve"> </v>
      </c>
      <c r="J456" s="78" t="str">
        <f>IFERROR(VLOOKUP($A456,'The List'!$B1:$AS727,17,FALSE)," ")</f>
        <v xml:space="preserve"> </v>
      </c>
      <c r="K456" s="78" t="str">
        <f>IFERROR(VLOOKUP($A456,'The List'!$B1:$AS727,18,FALSE)," ")</f>
        <v xml:space="preserve"> </v>
      </c>
      <c r="L456" s="78" t="str">
        <f>IFERROR(VLOOKUP($A456,'The List'!$B1:$AS727,19,FALSE)," ")</f>
        <v xml:space="preserve"> </v>
      </c>
      <c r="M456" s="78" t="str">
        <f>IFERROR(VLOOKUP($A456,'The List'!$B1:$AS727,20,FALSE)," ")</f>
        <v xml:space="preserve"> </v>
      </c>
      <c r="N456" s="78" t="str">
        <f>IFERROR(VLOOKUP($A456,'The List'!$B1:$AS727,21,FALSE)," ")</f>
        <v xml:space="preserve"> </v>
      </c>
      <c r="O456" s="78" t="str">
        <f>IFERROR(VLOOKUP($A456,'The List'!$B1:$AS727,22,FALSE)," ")</f>
        <v xml:space="preserve"> </v>
      </c>
      <c r="P456" s="78" t="str">
        <f>IFERROR(VLOOKUP($A456,'The List'!$B1:$AS727,23,FALSE)," ")</f>
        <v xml:space="preserve"> </v>
      </c>
      <c r="Q456" s="78" t="str">
        <f>IFERROR(VLOOKUP($A456,'The List'!$B1:$AS727,24,FALSE)," ")</f>
        <v xml:space="preserve"> </v>
      </c>
      <c r="R456" s="78" t="str">
        <f>IFERROR(VLOOKUP($A456,'The List'!$B1:$AS727,25,FALSE)," ")</f>
        <v xml:space="preserve"> </v>
      </c>
      <c r="S456" s="78" t="str">
        <f>IFERROR(VLOOKUP($A456,'The List'!$B1:$AS727,26,FALSE)," ")</f>
        <v xml:space="preserve"> </v>
      </c>
      <c r="T456" s="78" t="str">
        <f>IFERROR(VLOOKUP($A456,'The List'!$B1:$AS727,27,FALSE)," ")</f>
        <v xml:space="preserve"> </v>
      </c>
      <c r="U456" s="78" t="str">
        <f>IFERROR(VLOOKUP($A456,'The List'!$B1:$AS727,28,FALSE)," ")</f>
        <v xml:space="preserve"> </v>
      </c>
      <c r="V456" s="78" t="str">
        <f>IFERROR(VLOOKUP($A456,'The List'!$B1:$AS727,29,FALSE)," ")</f>
        <v xml:space="preserve"> </v>
      </c>
      <c r="W456" s="78" t="str">
        <f>IFERROR(VLOOKUP($A456,'The List'!$B1:$AS727,30,FALSE)," ")</f>
        <v xml:space="preserve"> </v>
      </c>
      <c r="X456" s="78" t="str">
        <f>IFERROR(VLOOKUP($A456,'The List'!$B1:$AS727,31,FALSE)," ")</f>
        <v xml:space="preserve"> </v>
      </c>
      <c r="Y456" s="78" t="str">
        <f>IFERROR(VLOOKUP($A456,'The List'!$B1:$AS727,32,FALSE)," ")</f>
        <v xml:space="preserve"> </v>
      </c>
      <c r="Z456" s="78" t="str">
        <f>IFERROR(VLOOKUP($A456,'The List'!$B1:$AS727,33,FALSE)," ")</f>
        <v xml:space="preserve"> </v>
      </c>
      <c r="AA456" s="55"/>
      <c r="AB456" s="60"/>
      <c r="AC456" s="60"/>
      <c r="AD456" s="60"/>
      <c r="AE456" s="60"/>
      <c r="AF456" s="60"/>
    </row>
    <row r="457" spans="1:32" ht="21.25" customHeight="1" x14ac:dyDescent="0.15">
      <c r="A457" s="79"/>
      <c r="B457" s="80"/>
      <c r="C457" s="81"/>
      <c r="D457" s="82"/>
      <c r="E457" s="117" t="str">
        <f>IFERROR(AVERAGE(E437:E456)," ")</f>
        <v xml:space="preserve"> </v>
      </c>
      <c r="F457" s="84">
        <f>SUM(F437:F456)</f>
        <v>0</v>
      </c>
      <c r="G457" s="84">
        <f>SUM(G437:G456)</f>
        <v>0</v>
      </c>
      <c r="H457" s="85"/>
      <c r="I457" s="86">
        <f>SUM(I437:I456)</f>
        <v>0</v>
      </c>
      <c r="J457" s="85" t="e">
        <f>AVERAGE(J437:J456)</f>
        <v>#DIV/0!</v>
      </c>
      <c r="K457" s="86">
        <f t="shared" ref="K457:Y457" si="30">SUM(K437:K456)</f>
        <v>0</v>
      </c>
      <c r="L457" s="86">
        <f t="shared" si="30"/>
        <v>0</v>
      </c>
      <c r="M457" s="86">
        <f t="shared" si="30"/>
        <v>0</v>
      </c>
      <c r="N457" s="86">
        <f t="shared" si="30"/>
        <v>0</v>
      </c>
      <c r="O457" s="86">
        <f t="shared" si="30"/>
        <v>0</v>
      </c>
      <c r="P457" s="86">
        <f t="shared" si="30"/>
        <v>0</v>
      </c>
      <c r="Q457" s="86">
        <f t="shared" si="30"/>
        <v>0</v>
      </c>
      <c r="R457" s="86">
        <f t="shared" si="30"/>
        <v>0</v>
      </c>
      <c r="S457" s="86">
        <f t="shared" si="30"/>
        <v>0</v>
      </c>
      <c r="T457" s="86">
        <f t="shared" si="30"/>
        <v>0</v>
      </c>
      <c r="U457" s="86">
        <f t="shared" si="30"/>
        <v>0</v>
      </c>
      <c r="V457" s="86">
        <f t="shared" si="30"/>
        <v>0</v>
      </c>
      <c r="W457" s="86">
        <f t="shared" si="30"/>
        <v>0</v>
      </c>
      <c r="X457" s="86">
        <f t="shared" si="30"/>
        <v>0</v>
      </c>
      <c r="Y457" s="86">
        <f t="shared" si="30"/>
        <v>0</v>
      </c>
      <c r="Z457" s="87">
        <f>IFERROR(X457/(X457+Y457),0)</f>
        <v>0</v>
      </c>
      <c r="AA457" s="55"/>
      <c r="AB457" s="88"/>
      <c r="AC457" s="88"/>
      <c r="AD457" s="88"/>
      <c r="AE457" s="88"/>
      <c r="AF457" s="88"/>
    </row>
    <row r="458" spans="1:32" ht="21.25" customHeight="1" x14ac:dyDescent="0.15">
      <c r="A458" s="89"/>
      <c r="B458" s="90"/>
      <c r="C458" s="91"/>
      <c r="D458" s="11"/>
      <c r="E458" s="11"/>
      <c r="F458" s="92"/>
      <c r="G458" s="93"/>
      <c r="H458" s="94"/>
      <c r="I458" s="9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60"/>
      <c r="AC458" s="60"/>
      <c r="AD458" s="60"/>
      <c r="AE458" s="60"/>
      <c r="AF458" s="60"/>
    </row>
    <row r="459" spans="1:32" ht="21.25" customHeight="1" x14ac:dyDescent="0.15">
      <c r="A459" s="24" t="s">
        <v>66</v>
      </c>
      <c r="B459" s="174" t="s">
        <v>68</v>
      </c>
      <c r="C459" s="165"/>
      <c r="D459" s="96" t="s">
        <v>69</v>
      </c>
      <c r="E459" s="96" t="s">
        <v>70</v>
      </c>
      <c r="F459" s="97" t="s">
        <v>72</v>
      </c>
      <c r="G459" s="97" t="s">
        <v>74</v>
      </c>
      <c r="H459" s="98"/>
      <c r="I459" s="99" t="s">
        <v>79</v>
      </c>
      <c r="J459" s="99" t="s">
        <v>97</v>
      </c>
      <c r="K459" s="99" t="s">
        <v>98</v>
      </c>
      <c r="L459" s="99" t="s">
        <v>99</v>
      </c>
      <c r="M459" s="99" t="s">
        <v>100</v>
      </c>
      <c r="N459" s="99" t="s">
        <v>101</v>
      </c>
      <c r="O459" s="99" t="s">
        <v>102</v>
      </c>
      <c r="P459" s="99" t="s">
        <v>103</v>
      </c>
      <c r="Q459" s="99" t="s">
        <v>104</v>
      </c>
      <c r="R459" s="55"/>
      <c r="S459" s="55"/>
      <c r="T459" s="55"/>
      <c r="U459" s="174" t="s">
        <v>850</v>
      </c>
      <c r="V459" s="175"/>
      <c r="W459" s="175"/>
      <c r="X459" s="174" t="s">
        <v>851</v>
      </c>
      <c r="Y459" s="175"/>
      <c r="Z459" s="175"/>
      <c r="AA459" s="55"/>
      <c r="AB459" s="55"/>
      <c r="AC459" s="55"/>
      <c r="AD459" s="55"/>
      <c r="AE459" s="55"/>
      <c r="AF459" s="55"/>
    </row>
    <row r="460" spans="1:32" ht="21.25" customHeight="1" x14ac:dyDescent="0.15">
      <c r="A460" s="118"/>
      <c r="B460" s="101" t="str">
        <f>IFERROR(VLOOKUP($A460,'The List'!$B1:$AS727,3,FALSE)," ")</f>
        <v xml:space="preserve"> </v>
      </c>
      <c r="C460" s="119" t="str">
        <f>IFERROR(VLOOKUP($A460,'The List'!$B1:$AS727,4,FALSE)," ")</f>
        <v xml:space="preserve"> </v>
      </c>
      <c r="D460" s="103" t="str">
        <f>IFERROR(VLOOKUP($A460,'The List'!$B1:$AS727,5,FALSE)," ")</f>
        <v xml:space="preserve"> </v>
      </c>
      <c r="E460" s="103" t="str">
        <f>IFERROR(VLOOKUP($A460,'The List'!$B1:$AS727,6,FALSE)," ")</f>
        <v xml:space="preserve"> </v>
      </c>
      <c r="F460" s="120" t="str">
        <f>IFERROR(VLOOKUP($A460,'The List'!$B1:$AS727,8,FALSE)," ")</f>
        <v xml:space="preserve"> </v>
      </c>
      <c r="G460" s="120" t="str">
        <f>IFERROR(VLOOKUP($A460,'The List'!$B1:$AS727,10,FALSE)," ")</f>
        <v xml:space="preserve"> </v>
      </c>
      <c r="H460" s="106"/>
      <c r="I460" s="121" t="str">
        <f>IFERROR(VLOOKUP($A460,'The List'!$B1:$AS727,35,FALSE)," ")</f>
        <v xml:space="preserve"> </v>
      </c>
      <c r="J460" s="121" t="str">
        <f>IFERROR(VLOOKUP($A460,'The List'!$B1:$AS727,36,FALSE)," ")</f>
        <v xml:space="preserve"> </v>
      </c>
      <c r="K460" s="121" t="str">
        <f>IFERROR(VLOOKUP($A460,'The List'!$B1:$AS727,37,FALSE)," ")</f>
        <v xml:space="preserve"> </v>
      </c>
      <c r="L460" s="121" t="str">
        <f>IFERROR(VLOOKUP($A460,'The List'!$B1:$AS727,38,FALSE)," ")</f>
        <v xml:space="preserve"> </v>
      </c>
      <c r="M460" s="121" t="str">
        <f>IFERROR(VLOOKUP($A460,'The List'!$B1:$AS727,39,FALSE)," ")</f>
        <v xml:space="preserve"> </v>
      </c>
      <c r="N460" s="121" t="str">
        <f>IFERROR(VLOOKUP($A460,'The List'!$B1:$AS727,40,FALSE)," ")</f>
        <v xml:space="preserve"> </v>
      </c>
      <c r="O460" s="121" t="str">
        <f>IFERROR(VLOOKUP($A460,'The List'!$B1:$AS727,41,FALSE)," ")</f>
        <v xml:space="preserve"> </v>
      </c>
      <c r="P460" s="121" t="str">
        <f>IFERROR(VLOOKUP($A460,'The List'!$B1:$AS727,42,FALSE)," ")</f>
        <v xml:space="preserve"> </v>
      </c>
      <c r="Q460" s="121" t="str">
        <f>IFERROR(VLOOKUP($A460,'The List'!$B1:$AS727,43,FALSE)," ")</f>
        <v xml:space="preserve"> </v>
      </c>
      <c r="R460" s="55"/>
      <c r="S460" s="55"/>
      <c r="T460" s="110" t="str">
        <f>A436</f>
        <v>TEAM 16</v>
      </c>
      <c r="U460" s="176">
        <f>F457+F463</f>
        <v>0</v>
      </c>
      <c r="V460" s="165"/>
      <c r="W460" s="165"/>
      <c r="X460" s="176">
        <f>G463+G457</f>
        <v>0</v>
      </c>
      <c r="Y460" s="165"/>
      <c r="Z460" s="165"/>
      <c r="AA460" s="55"/>
      <c r="AB460" s="55"/>
      <c r="AC460" s="55"/>
      <c r="AD460" s="55"/>
      <c r="AE460" s="55"/>
      <c r="AF460" s="55"/>
    </row>
    <row r="461" spans="1:32" ht="21.25" customHeight="1" x14ac:dyDescent="0.15">
      <c r="A461" s="23"/>
      <c r="B461" s="111" t="str">
        <f>IFERROR(VLOOKUP($A461,'The List'!$B1:$AS727,3,FALSE)," ")</f>
        <v xml:space="preserve"> </v>
      </c>
      <c r="C461" s="112" t="str">
        <f>IFERROR(VLOOKUP($A461,'The List'!$B1:$AS727,4,FALSE)," ")</f>
        <v xml:space="preserve"> </v>
      </c>
      <c r="D461" s="35" t="str">
        <f>IFERROR(VLOOKUP($A461,'The List'!$B1:$AS727,5,FALSE)," ")</f>
        <v xml:space="preserve"> </v>
      </c>
      <c r="E461" s="35" t="str">
        <f>IFERROR(VLOOKUP($A461,'The List'!$B1:$AS727,6,FALSE)," ")</f>
        <v xml:space="preserve"> </v>
      </c>
      <c r="F461" s="52" t="str">
        <f>IFERROR(VLOOKUP($A461,'The List'!$B1:$AS727,8,FALSE)," ")</f>
        <v xml:space="preserve"> </v>
      </c>
      <c r="G461" s="52" t="str">
        <f>IFERROR(VLOOKUP($A461,'The List'!$B1:$AS727,10,FALSE)," ")</f>
        <v xml:space="preserve"> </v>
      </c>
      <c r="H461" s="39"/>
      <c r="I461" s="53" t="str">
        <f>IFERROR(VLOOKUP($A461,'The List'!$B1:$AS727,35,FALSE)," ")</f>
        <v xml:space="preserve"> </v>
      </c>
      <c r="J461" s="53" t="str">
        <f>IFERROR(VLOOKUP($A461,'The List'!$B1:$AS727,36,FALSE)," ")</f>
        <v xml:space="preserve"> </v>
      </c>
      <c r="K461" s="53" t="str">
        <f>IFERROR(VLOOKUP($A461,'The List'!$B1:$AS727,37,FALSE)," ")</f>
        <v xml:space="preserve"> </v>
      </c>
      <c r="L461" s="53" t="str">
        <f>IFERROR(VLOOKUP($A461,'The List'!$B1:$AS727,38,FALSE)," ")</f>
        <v xml:space="preserve"> </v>
      </c>
      <c r="M461" s="53" t="str">
        <f>IFERROR(VLOOKUP($A461,'The List'!$B1:$AS727,39,FALSE)," ")</f>
        <v xml:space="preserve"> </v>
      </c>
      <c r="N461" s="53" t="str">
        <f>IFERROR(VLOOKUP($A461,'The List'!$B1:$AS727,40,FALSE)," ")</f>
        <v xml:space="preserve"> </v>
      </c>
      <c r="O461" s="53" t="str">
        <f>IFERROR(VLOOKUP($A461,'The List'!$B1:$AS727,41,FALSE)," ")</f>
        <v xml:space="preserve"> </v>
      </c>
      <c r="P461" s="53" t="str">
        <f>IFERROR(VLOOKUP($A461,'The List'!$B1:$AS727,42,FALSE)," ")</f>
        <v xml:space="preserve"> </v>
      </c>
      <c r="Q461" s="53" t="str">
        <f>IFERROR(VLOOKUP($A461,'The List'!$B1:$AS727,43,FALSE)," ")</f>
        <v xml:space="preserve"> </v>
      </c>
      <c r="R461" s="55"/>
      <c r="S461" s="55"/>
      <c r="T461" s="55"/>
      <c r="U461" s="165"/>
      <c r="V461" s="165"/>
      <c r="W461" s="165"/>
      <c r="X461" s="165"/>
      <c r="Y461" s="165"/>
      <c r="Z461" s="165"/>
      <c r="AA461" s="55"/>
      <c r="AB461" s="55"/>
      <c r="AC461" s="55"/>
      <c r="AD461" s="55"/>
      <c r="AE461" s="55"/>
      <c r="AF461" s="55"/>
    </row>
    <row r="462" spans="1:32" ht="21.25" customHeight="1" x14ac:dyDescent="0.15">
      <c r="A462" s="72"/>
      <c r="B462" s="113" t="str">
        <f>IFERROR(VLOOKUP($A462,'The List'!$B1:$AS727,3,FALSE)," ")</f>
        <v xml:space="preserve"> </v>
      </c>
      <c r="C462" s="114" t="str">
        <f>IFERROR(VLOOKUP($A462,'The List'!$B1:$AS727,4,FALSE)," ")</f>
        <v xml:space="preserve"> </v>
      </c>
      <c r="D462" s="75" t="str">
        <f>IFERROR(VLOOKUP($A462,'The List'!$B1:$AS727,5,FALSE)," ")</f>
        <v xml:space="preserve"> </v>
      </c>
      <c r="E462" s="75" t="str">
        <f>IFERROR(VLOOKUP($A462,'The List'!$B1:$AS727,6,FALSE)," ")</f>
        <v xml:space="preserve"> </v>
      </c>
      <c r="F462" s="76" t="str">
        <f>IFERROR(VLOOKUP($A462,'The List'!$B1:$AS727,8,FALSE)," ")</f>
        <v xml:space="preserve"> </v>
      </c>
      <c r="G462" s="76" t="str">
        <f>IFERROR(VLOOKUP($A462,'The List'!$B1:$AS727,10,FALSE)," ")</f>
        <v xml:space="preserve"> </v>
      </c>
      <c r="H462" s="77"/>
      <c r="I462" s="78" t="str">
        <f>IFERROR(VLOOKUP($A462,'The List'!$B1:$AS727,35,FALSE)," ")</f>
        <v xml:space="preserve"> </v>
      </c>
      <c r="J462" s="78" t="str">
        <f>IFERROR(VLOOKUP($A462,'The List'!$B1:$AS727,36,FALSE)," ")</f>
        <v xml:space="preserve"> </v>
      </c>
      <c r="K462" s="78" t="str">
        <f>IFERROR(VLOOKUP($A462,'The List'!$B1:$AS727,37,FALSE)," ")</f>
        <v xml:space="preserve"> </v>
      </c>
      <c r="L462" s="78" t="str">
        <f>IFERROR(VLOOKUP($A462,'The List'!$B1:$AS727,38,FALSE)," ")</f>
        <v xml:space="preserve"> </v>
      </c>
      <c r="M462" s="78" t="str">
        <f>IFERROR(VLOOKUP($A462,'The List'!$B1:$AS727,39,FALSE)," ")</f>
        <v xml:space="preserve"> </v>
      </c>
      <c r="N462" s="78" t="str">
        <f>IFERROR(VLOOKUP($A462,'The List'!$B1:$AS727,40,FALSE)," ")</f>
        <v xml:space="preserve"> </v>
      </c>
      <c r="O462" s="78" t="str">
        <f>IFERROR(VLOOKUP($A462,'The List'!$B1:$AS727,41,FALSE)," ")</f>
        <v xml:space="preserve"> </v>
      </c>
      <c r="P462" s="78" t="str">
        <f>IFERROR(VLOOKUP($A462,'The List'!$B1:$AS727,42,FALSE)," ")</f>
        <v xml:space="preserve"> </v>
      </c>
      <c r="Q462" s="78" t="str">
        <f>IFERROR(VLOOKUP($A462,'The List'!$B1:$AS727,43,FALSE)," ")</f>
        <v xml:space="preserve"> </v>
      </c>
      <c r="R462" s="55"/>
      <c r="S462" s="55"/>
      <c r="T462" s="55"/>
      <c r="U462" s="165"/>
      <c r="V462" s="165"/>
      <c r="W462" s="165"/>
      <c r="X462" s="165"/>
      <c r="Y462" s="165"/>
      <c r="Z462" s="165"/>
      <c r="AA462" s="55"/>
      <c r="AB462" s="55"/>
      <c r="AC462" s="55"/>
      <c r="AD462" s="55"/>
      <c r="AE462" s="55"/>
      <c r="AF462" s="55"/>
    </row>
    <row r="463" spans="1:32" ht="21.25" customHeight="1" x14ac:dyDescent="0.15">
      <c r="A463" s="79"/>
      <c r="B463" s="80"/>
      <c r="C463" s="81"/>
      <c r="D463" s="82"/>
      <c r="E463" s="117" t="str">
        <f>IFERROR(AVERAGE(E460:E462)," ")</f>
        <v xml:space="preserve"> </v>
      </c>
      <c r="F463" s="84">
        <f>SUM(F460:F462)</f>
        <v>0</v>
      </c>
      <c r="G463" s="84">
        <f>SUM(G460:G462)</f>
        <v>0</v>
      </c>
      <c r="H463" s="85"/>
      <c r="I463" s="86">
        <f t="shared" ref="I463:O463" si="31">SUM(I460:I462)</f>
        <v>0</v>
      </c>
      <c r="J463" s="85">
        <f t="shared" si="31"/>
        <v>0</v>
      </c>
      <c r="K463" s="86">
        <f t="shared" si="31"/>
        <v>0</v>
      </c>
      <c r="L463" s="86">
        <f t="shared" si="31"/>
        <v>0</v>
      </c>
      <c r="M463" s="86">
        <f t="shared" si="31"/>
        <v>0</v>
      </c>
      <c r="N463" s="86">
        <f t="shared" si="31"/>
        <v>0</v>
      </c>
      <c r="O463" s="86">
        <f t="shared" si="31"/>
        <v>0</v>
      </c>
      <c r="P463" s="115" t="e">
        <f>1-(O463/(N463+O463))</f>
        <v>#DIV/0!</v>
      </c>
      <c r="Q463" s="116" t="e">
        <f>O463/I463</f>
        <v>#DIV/0!</v>
      </c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</row>
    <row r="464" spans="1:32" ht="21.25" customHeight="1" x14ac:dyDescent="0.15">
      <c r="A464" s="89"/>
      <c r="B464" s="90"/>
      <c r="C464" s="91"/>
      <c r="D464" s="11"/>
      <c r="E464" s="11"/>
      <c r="F464" s="92"/>
      <c r="G464" s="93"/>
      <c r="H464" s="94"/>
      <c r="I464" s="9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60"/>
      <c r="AB464" s="60"/>
      <c r="AC464" s="60"/>
      <c r="AD464" s="60"/>
      <c r="AE464" s="60"/>
      <c r="AF464" s="60"/>
    </row>
  </sheetData>
  <mergeCells count="96">
    <mergeCell ref="U460:W462"/>
    <mergeCell ref="X459:Z459"/>
    <mergeCell ref="X460:Z462"/>
    <mergeCell ref="U431:W433"/>
    <mergeCell ref="X430:Z430"/>
    <mergeCell ref="X431:Z433"/>
    <mergeCell ref="B459:C459"/>
    <mergeCell ref="U459:W459"/>
    <mergeCell ref="U402:W404"/>
    <mergeCell ref="X401:Z401"/>
    <mergeCell ref="X402:Z404"/>
    <mergeCell ref="B430:C430"/>
    <mergeCell ref="U430:W430"/>
    <mergeCell ref="U373:W375"/>
    <mergeCell ref="X372:Z372"/>
    <mergeCell ref="X373:Z375"/>
    <mergeCell ref="B401:C401"/>
    <mergeCell ref="U401:W401"/>
    <mergeCell ref="U344:W346"/>
    <mergeCell ref="X343:Z343"/>
    <mergeCell ref="X344:Z346"/>
    <mergeCell ref="B372:C372"/>
    <mergeCell ref="U372:W372"/>
    <mergeCell ref="U315:W317"/>
    <mergeCell ref="X314:Z314"/>
    <mergeCell ref="X315:Z317"/>
    <mergeCell ref="B343:C343"/>
    <mergeCell ref="U343:W343"/>
    <mergeCell ref="U286:W288"/>
    <mergeCell ref="X285:Z285"/>
    <mergeCell ref="X286:Z288"/>
    <mergeCell ref="B314:C314"/>
    <mergeCell ref="U314:W314"/>
    <mergeCell ref="U257:W259"/>
    <mergeCell ref="X256:Z256"/>
    <mergeCell ref="X257:Z259"/>
    <mergeCell ref="B285:C285"/>
    <mergeCell ref="U285:W285"/>
    <mergeCell ref="U228:W230"/>
    <mergeCell ref="X227:Z227"/>
    <mergeCell ref="X228:Z230"/>
    <mergeCell ref="B256:C256"/>
    <mergeCell ref="U256:W256"/>
    <mergeCell ref="U199:W201"/>
    <mergeCell ref="X198:Z198"/>
    <mergeCell ref="X199:Z201"/>
    <mergeCell ref="B227:C227"/>
    <mergeCell ref="U227:W227"/>
    <mergeCell ref="U170:W172"/>
    <mergeCell ref="X169:Z169"/>
    <mergeCell ref="X170:Z172"/>
    <mergeCell ref="B198:C198"/>
    <mergeCell ref="U198:W198"/>
    <mergeCell ref="U141:W143"/>
    <mergeCell ref="X140:Z140"/>
    <mergeCell ref="X141:Z143"/>
    <mergeCell ref="B169:C169"/>
    <mergeCell ref="U169:W169"/>
    <mergeCell ref="U112:W114"/>
    <mergeCell ref="X111:Z111"/>
    <mergeCell ref="X112:Z114"/>
    <mergeCell ref="B140:C140"/>
    <mergeCell ref="U140:W140"/>
    <mergeCell ref="U83:W85"/>
    <mergeCell ref="X82:Z82"/>
    <mergeCell ref="X83:Z85"/>
    <mergeCell ref="B111:C111"/>
    <mergeCell ref="U111:W111"/>
    <mergeCell ref="U53:W53"/>
    <mergeCell ref="U54:W56"/>
    <mergeCell ref="X53:Z53"/>
    <mergeCell ref="X54:Z56"/>
    <mergeCell ref="B82:C82"/>
    <mergeCell ref="U82:W82"/>
    <mergeCell ref="B320:C320"/>
    <mergeCell ref="B349:C349"/>
    <mergeCell ref="B378:C378"/>
    <mergeCell ref="B407:C407"/>
    <mergeCell ref="B436:C436"/>
    <mergeCell ref="B175:C175"/>
    <mergeCell ref="B204:C204"/>
    <mergeCell ref="B233:C233"/>
    <mergeCell ref="B262:C262"/>
    <mergeCell ref="B291:C291"/>
    <mergeCell ref="B30:C30"/>
    <mergeCell ref="B59:C59"/>
    <mergeCell ref="B88:C88"/>
    <mergeCell ref="B117:C117"/>
    <mergeCell ref="B146:C146"/>
    <mergeCell ref="B53:C53"/>
    <mergeCell ref="B1:C1"/>
    <mergeCell ref="B24:C24"/>
    <mergeCell ref="U24:W24"/>
    <mergeCell ref="U25:W27"/>
    <mergeCell ref="X24:Z24"/>
    <mergeCell ref="X25:Z27"/>
  </mergeCells>
  <conditionalFormatting sqref="C2:C23 C25:C29 C31:C52 C54:C58 C60:C81 C83:C87 C89:C110 C112:C116 C118:C139 C141:C145 C147:C168 C170:C174 C176:C197 C199:C203 C205:C226 C228:C232 C234:C255 C257:C261 C263:C284 C286:C290 C292:C313 C315:C319 C321:C342 C344:C348 C350:C371 C373:C377 C379:C400 C402:C406 C408:C429 C431:C435 C437:C458 C460:C464">
    <cfRule type="containsText" dxfId="41" priority="1" stopIfTrue="1" operator="containsText" text="/">
      <formula>NOT(ISERROR(FIND(UPPER("/"),UPPER(C2))))</formula>
      <formula>"/"</formula>
    </cfRule>
    <cfRule type="containsText" dxfId="40" priority="2" stopIfTrue="1" operator="containsText" text="C">
      <formula>NOT(ISERROR(FIND(UPPER("C"),UPPER(C2))))</formula>
      <formula>"C"</formula>
    </cfRule>
    <cfRule type="containsText" dxfId="39" priority="3" stopIfTrue="1" operator="containsText" text="D">
      <formula>NOT(ISERROR(FIND(UPPER("D"),UPPER(C2))))</formula>
      <formula>"D"</formula>
    </cfRule>
    <cfRule type="containsText" dxfId="38" priority="4" stopIfTrue="1" operator="containsText" text="LW">
      <formula>NOT(ISERROR(FIND(UPPER("LW"),UPPER(C2))))</formula>
      <formula>"LW"</formula>
    </cfRule>
    <cfRule type="containsText" dxfId="37" priority="5" stopIfTrue="1" operator="containsText" text="RW">
      <formula>NOT(ISERROR(FIND(UPPER("RW"),UPPER(C2))))</formula>
      <formula>"RW"</formula>
    </cfRule>
    <cfRule type="containsText" dxfId="36" priority="6" stopIfTrue="1" operator="containsText" text="G">
      <formula>NOT(ISERROR(FIND(UPPER("G"),UPPER(C2))))</formula>
      <formula>"G"</formula>
    </cfRule>
  </conditionalFormatting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J430"/>
  <sheetViews>
    <sheetView showGridLines="0" workbookViewId="0">
      <pane ySplit="2" topLeftCell="A3" activePane="bottomLeft" state="frozen"/>
      <selection pane="bottomLeft"/>
    </sheetView>
  </sheetViews>
  <sheetFormatPr baseColWidth="10" defaultColWidth="8" defaultRowHeight="16.25" customHeight="1" x14ac:dyDescent="0.15"/>
  <cols>
    <col min="1" max="1" width="33" style="1" customWidth="1"/>
    <col min="2" max="2" width="7.1640625" style="1" customWidth="1"/>
    <col min="3" max="3" width="6" style="1" customWidth="1"/>
    <col min="4" max="6" width="8.33203125" style="1" customWidth="1"/>
    <col min="7" max="10" width="1.33203125" style="1" customWidth="1"/>
    <col min="11" max="11" width="8" style="1" customWidth="1"/>
    <col min="12" max="16384" width="8" style="1"/>
  </cols>
  <sheetData>
    <row r="1" spans="1:10" ht="28.25" customHeight="1" x14ac:dyDescent="0.15">
      <c r="A1" s="122" t="s">
        <v>852</v>
      </c>
      <c r="B1" s="123" t="s">
        <v>853</v>
      </c>
      <c r="C1" s="124"/>
      <c r="D1" s="4" t="s">
        <v>854</v>
      </c>
      <c r="E1" s="125" t="s">
        <v>855</v>
      </c>
      <c r="F1" s="123" t="s">
        <v>74</v>
      </c>
      <c r="G1" s="126"/>
      <c r="H1" s="127"/>
      <c r="I1" s="128" t="s">
        <v>856</v>
      </c>
      <c r="J1" s="129" t="s">
        <v>74</v>
      </c>
    </row>
    <row r="2" spans="1:10" ht="28.25" customHeight="1" x14ac:dyDescent="0.15">
      <c r="A2" s="130" t="s">
        <v>41</v>
      </c>
      <c r="B2" s="131">
        <f>Settings!F2+Settings!F3+Settings!F4</f>
        <v>61</v>
      </c>
      <c r="C2" s="132"/>
      <c r="D2" s="133"/>
      <c r="E2" s="134"/>
      <c r="F2" s="134"/>
      <c r="G2" s="134"/>
      <c r="H2" s="135"/>
      <c r="I2" s="136"/>
      <c r="J2" s="136"/>
    </row>
    <row r="3" spans="1:10" ht="21.25" customHeight="1" x14ac:dyDescent="0.15">
      <c r="A3" s="8" t="s">
        <v>105</v>
      </c>
      <c r="B3" s="137" t="str">
        <f>VLOOKUP(A3,'The List'!B1:D727,3,FALSE)</f>
        <v>C</v>
      </c>
      <c r="C3" s="48">
        <f>IF(Settings!$E$15="POINTS",RANK(E3,E3:E430),H3)</f>
        <v>1</v>
      </c>
      <c r="D3" s="35" t="str">
        <f>VLOOKUP(A3,'The List'!B1:F727,5,FALSE)</f>
        <v>EDM</v>
      </c>
      <c r="E3" s="39">
        <f>VLOOKUP(A3,'The List'!B1:I727,8,FALSE)</f>
        <v>725.95094051984688</v>
      </c>
      <c r="F3" s="39">
        <f>IF(Settings!$E$15="POINTS",E3-VLOOKUP(B$2,C1:E430,3,FALSE),J3)</f>
        <v>358.50181369515622</v>
      </c>
      <c r="G3" s="39"/>
      <c r="H3" s="138">
        <f>RANK(I3,I3:I430)</f>
        <v>1</v>
      </c>
      <c r="I3" s="139">
        <f>VLOOKUP(A3,'Standard Deviations'!A1:C728,3,FALSE)</f>
        <v>19.412252011318326</v>
      </c>
      <c r="J3" s="139">
        <f>I3-VLOOKUP(B$2,H1:J430,2,FALSE)</f>
        <v>14.108996424091242</v>
      </c>
    </row>
    <row r="4" spans="1:10" ht="21.25" customHeight="1" x14ac:dyDescent="0.15">
      <c r="A4" s="8" t="s">
        <v>107</v>
      </c>
      <c r="B4" s="137" t="str">
        <f>VLOOKUP(A4,'The List'!B1:D727,3,FALSE)</f>
        <v>C</v>
      </c>
      <c r="C4" s="48">
        <f>IF(Settings!$E$15="POINTS",RANK(E4,E3:E430),H4)</f>
        <v>2</v>
      </c>
      <c r="D4" s="35" t="str">
        <f>VLOOKUP(A4,'The List'!B1:F727,5,FALSE)</f>
        <v>EDM</v>
      </c>
      <c r="E4" s="39">
        <f>VLOOKUP(A4,'The List'!B1:I727,8,FALSE)</f>
        <v>603.71400231757525</v>
      </c>
      <c r="F4" s="39">
        <f>IF(Settings!$E$15="POINTS",E4-VLOOKUP(B$2,C1:E430,3,FALSE),J4)</f>
        <v>236.26487549288458</v>
      </c>
      <c r="G4" s="39"/>
      <c r="H4" s="138">
        <f>RANK(I4,I3:I430)</f>
        <v>3</v>
      </c>
      <c r="I4" s="139">
        <f>VLOOKUP(A4,'Standard Deviations'!A1:C728,3,FALSE)</f>
        <v>14.81668738138106</v>
      </c>
      <c r="J4" s="139">
        <f>I4-VLOOKUP(B$2,H1:J430,2,FALSE)</f>
        <v>9.5134317941539752</v>
      </c>
    </row>
    <row r="5" spans="1:10" ht="21.25" customHeight="1" x14ac:dyDescent="0.15">
      <c r="A5" s="8" t="s">
        <v>108</v>
      </c>
      <c r="B5" s="137" t="str">
        <f>VLOOKUP(A5,'The List'!B1:D727,3,FALSE)</f>
        <v>C</v>
      </c>
      <c r="C5" s="48">
        <f>IF(Settings!$E$15="POINTS",RANK(E5,E3:E430),H5)</f>
        <v>3</v>
      </c>
      <c r="D5" s="35" t="str">
        <f>VLOOKUP(A5,'The List'!B1:F727,5,FALSE)</f>
        <v>COL</v>
      </c>
      <c r="E5" s="39">
        <f>VLOOKUP(A5,'The List'!B1:I727,8,FALSE)</f>
        <v>601.12060820531156</v>
      </c>
      <c r="F5" s="39">
        <f>IF(Settings!$E$15="POINTS",E5-VLOOKUP(B$2,C1:E430,3,FALSE),J5)</f>
        <v>233.67148138062089</v>
      </c>
      <c r="G5" s="39"/>
      <c r="H5" s="138">
        <f>RANK(I5,I3:I430)</f>
        <v>4</v>
      </c>
      <c r="I5" s="139">
        <f>VLOOKUP(A5,'Standard Deviations'!A1:C728,3,FALSE)</f>
        <v>14.740248441290445</v>
      </c>
      <c r="J5" s="139">
        <f>I5-VLOOKUP(B$2,H1:J430,2,FALSE)</f>
        <v>9.4369928540633605</v>
      </c>
    </row>
    <row r="6" spans="1:10" ht="21.25" customHeight="1" x14ac:dyDescent="0.15">
      <c r="A6" s="8" t="s">
        <v>111</v>
      </c>
      <c r="B6" s="137" t="str">
        <f>VLOOKUP(A6,'The List'!B1:D727,3,FALSE)</f>
        <v>LW</v>
      </c>
      <c r="C6" s="48">
        <f>IF(Settings!$E$15="POINTS",RANK(E6,E3:E430),H6)</f>
        <v>5</v>
      </c>
      <c r="D6" s="35" t="str">
        <f>VLOOKUP(A6,'The List'!B1:F727,5,FALSE)</f>
        <v>FLA</v>
      </c>
      <c r="E6" s="39">
        <f>VLOOKUP(A6,'The List'!B1:I727,8,FALSE)</f>
        <v>553.02647887611465</v>
      </c>
      <c r="F6" s="39">
        <f>IF(Settings!$E$15="POINTS",E6-VLOOKUP(B$2,C1:E430,3,FALSE),J6)</f>
        <v>185.57735205142399</v>
      </c>
      <c r="G6" s="39"/>
      <c r="H6" s="138">
        <f>RANK(I6,I3:I430)</f>
        <v>5</v>
      </c>
      <c r="I6" s="139">
        <f>VLOOKUP(A6,'Standard Deviations'!A1:C728,3,FALSE)</f>
        <v>13.544002251126631</v>
      </c>
      <c r="J6" s="139">
        <f>I6-VLOOKUP(B$2,H1:J430,2,FALSE)</f>
        <v>8.2407466638995466</v>
      </c>
    </row>
    <row r="7" spans="1:10" ht="21.25" customHeight="1" x14ac:dyDescent="0.15">
      <c r="A7" s="8" t="s">
        <v>113</v>
      </c>
      <c r="B7" s="137" t="str">
        <f>VLOOKUP(A7,'The List'!B1:D727,3,FALSE)</f>
        <v>C</v>
      </c>
      <c r="C7" s="48">
        <f>IF(Settings!$E$15="POINTS",RANK(E7,E3:E430),H7)</f>
        <v>4</v>
      </c>
      <c r="D7" s="35" t="str">
        <f>VLOOKUP(A7,'The List'!B1:F727,5,FALSE)</f>
        <v>TOR</v>
      </c>
      <c r="E7" s="39">
        <f>VLOOKUP(A7,'The List'!B1:I727,8,FALSE)</f>
        <v>572.61749152913956</v>
      </c>
      <c r="F7" s="39">
        <f>IF(Settings!$E$15="POINTS",E7-VLOOKUP(B$2,C1:E430,3,FALSE),J7)</f>
        <v>205.16836470444889</v>
      </c>
      <c r="G7" s="39"/>
      <c r="H7" s="138">
        <f>RANK(I7,I3:I430)</f>
        <v>2</v>
      </c>
      <c r="I7" s="139">
        <f>VLOOKUP(A7,'Standard Deviations'!A1:C728,3,FALSE)</f>
        <v>15.799006580589996</v>
      </c>
      <c r="J7" s="139">
        <f>I7-VLOOKUP(B$2,H1:J430,2,FALSE)</f>
        <v>10.495750993362911</v>
      </c>
    </row>
    <row r="8" spans="1:10" ht="21.25" customHeight="1" x14ac:dyDescent="0.15">
      <c r="A8" s="8" t="s">
        <v>109</v>
      </c>
      <c r="B8" s="137" t="str">
        <f>VLOOKUP(A8,'The List'!B1:D727,3,FALSE)</f>
        <v>RW</v>
      </c>
      <c r="C8" s="48">
        <f>IF(Settings!$E$15="POINTS",RANK(E8,E3:E430),H8)</f>
        <v>6</v>
      </c>
      <c r="D8" s="35" t="str">
        <f>VLOOKUP(A8,'The List'!B1:F727,5,FALSE)</f>
        <v>BOS</v>
      </c>
      <c r="E8" s="39">
        <f>VLOOKUP(A8,'The List'!B1:I727,8,FALSE)</f>
        <v>542.24474228245947</v>
      </c>
      <c r="F8" s="39">
        <f>IF(Settings!$E$15="POINTS",E8-VLOOKUP(B$2,C1:E430,3,FALSE),J8)</f>
        <v>174.7956154577688</v>
      </c>
      <c r="G8" s="39"/>
      <c r="H8" s="138">
        <f>RANK(I8,I3:I430)</f>
        <v>7</v>
      </c>
      <c r="I8" s="139">
        <f>VLOOKUP(A8,'Standard Deviations'!A1:C728,3,FALSE)</f>
        <v>12.483556757902379</v>
      </c>
      <c r="J8" s="139">
        <f>I8-VLOOKUP(B$2,H1:J430,2,FALSE)</f>
        <v>7.1803011706752944</v>
      </c>
    </row>
    <row r="9" spans="1:10" ht="21.25" customHeight="1" x14ac:dyDescent="0.15">
      <c r="A9" s="8" t="s">
        <v>110</v>
      </c>
      <c r="B9" s="137" t="str">
        <f>VLOOKUP(A9,'The List'!B1:D727,3,FALSE)</f>
        <v>RW</v>
      </c>
      <c r="C9" s="48">
        <f>IF(Settings!$E$15="POINTS",RANK(E9,E3:E430),H9)</f>
        <v>7</v>
      </c>
      <c r="D9" s="35" t="str">
        <f>VLOOKUP(A9,'The List'!B1:F727,5,FALSE)</f>
        <v>TBL</v>
      </c>
      <c r="E9" s="39">
        <f>VLOOKUP(A9,'The List'!B1:I727,8,FALSE)</f>
        <v>539.97056554583151</v>
      </c>
      <c r="F9" s="39">
        <f>IF(Settings!$E$15="POINTS",E9-VLOOKUP(B$2,C1:E430,3,FALSE),J9)</f>
        <v>172.52143872114084</v>
      </c>
      <c r="G9" s="39"/>
      <c r="H9" s="138">
        <f>RANK(I9,I3:I430)</f>
        <v>11</v>
      </c>
      <c r="I9" s="139">
        <f>VLOOKUP(A9,'Standard Deviations'!A1:C728,3,FALSE)</f>
        <v>10.808935165931226</v>
      </c>
      <c r="J9" s="139">
        <f>I9-VLOOKUP(B$2,H1:J430,2,FALSE)</f>
        <v>5.5056795787041413</v>
      </c>
    </row>
    <row r="10" spans="1:10" ht="21.25" customHeight="1" x14ac:dyDescent="0.15">
      <c r="A10" s="8" t="s">
        <v>112</v>
      </c>
      <c r="B10" s="137" t="str">
        <f>VLOOKUP(A10,'The List'!B1:D727,3,FALSE)</f>
        <v>RW</v>
      </c>
      <c r="C10" s="48">
        <f>IF(Settings!$E$15="POINTS",RANK(E10,E3:E430),H10)</f>
        <v>8</v>
      </c>
      <c r="D10" s="35" t="str">
        <f>VLOOKUP(A10,'The List'!B1:F727,5,FALSE)</f>
        <v>COL</v>
      </c>
      <c r="E10" s="39">
        <f>VLOOKUP(A10,'The List'!B1:I727,8,FALSE)</f>
        <v>537.89974952409375</v>
      </c>
      <c r="F10" s="39">
        <f>IF(Settings!$E$15="POINTS",E10-VLOOKUP(B$2,C1:E430,3,FALSE),J10)</f>
        <v>170.45062269940308</v>
      </c>
      <c r="G10" s="39"/>
      <c r="H10" s="138">
        <f>RANK(I10,I3:I430)</f>
        <v>6</v>
      </c>
      <c r="I10" s="139">
        <f>VLOOKUP(A10,'Standard Deviations'!A1:C728,3,FALSE)</f>
        <v>12.981050664801556</v>
      </c>
      <c r="J10" s="139">
        <f>I10-VLOOKUP(B$2,H1:J430,2,FALSE)</f>
        <v>7.677795077574471</v>
      </c>
    </row>
    <row r="11" spans="1:10" ht="21.25" customHeight="1" x14ac:dyDescent="0.15">
      <c r="A11" s="8" t="s">
        <v>115</v>
      </c>
      <c r="B11" s="137" t="str">
        <f>VLOOKUP(A11,'The List'!B1:D727,3,FALSE)</f>
        <v>LW</v>
      </c>
      <c r="C11" s="48">
        <f>IF(Settings!$E$15="POINTS",RANK(E11,E3:E430),H11)</f>
        <v>10</v>
      </c>
      <c r="D11" s="35" t="str">
        <f>VLOOKUP(A11,'The List'!B1:F727,5,FALSE)</f>
        <v>MIN</v>
      </c>
      <c r="E11" s="39">
        <f>VLOOKUP(A11,'The List'!B1:I727,8,FALSE)</f>
        <v>516.33899984607899</v>
      </c>
      <c r="F11" s="39">
        <f>IF(Settings!$E$15="POINTS",E11-VLOOKUP(B$2,C1:E430,3,FALSE),J11)</f>
        <v>148.88987302138833</v>
      </c>
      <c r="G11" s="39"/>
      <c r="H11" s="138">
        <f>RANK(I11,I3:I430)</f>
        <v>9</v>
      </c>
      <c r="I11" s="139">
        <f>VLOOKUP(A11,'Standard Deviations'!A1:C728,3,FALSE)</f>
        <v>11.071363307548703</v>
      </c>
      <c r="J11" s="139">
        <f>I11-VLOOKUP(B$2,H1:J430,2,FALSE)</f>
        <v>5.768107720321618</v>
      </c>
    </row>
    <row r="12" spans="1:10" ht="21.25" customHeight="1" x14ac:dyDescent="0.15">
      <c r="A12" s="8" t="s">
        <v>114</v>
      </c>
      <c r="B12" s="137" t="str">
        <f>VLOOKUP(A12,'The List'!B1:D727,3,FALSE)</f>
        <v>C,LW</v>
      </c>
      <c r="C12" s="48">
        <f>IF(Settings!$E$15="POINTS",RANK(E12,E3:E430),H12)</f>
        <v>9</v>
      </c>
      <c r="D12" s="35" t="str">
        <f>VLOOKUP(A12,'The List'!B1:F727,5,FALSE)</f>
        <v>NJD</v>
      </c>
      <c r="E12" s="39">
        <f>VLOOKUP(A12,'The List'!B1:I727,8,FALSE)</f>
        <v>534.75382516616844</v>
      </c>
      <c r="F12" s="39">
        <f>IF(Settings!$E$15="POINTS",E12-VLOOKUP(B$2,C1:E430,3,FALSE),J12)</f>
        <v>167.30469834147777</v>
      </c>
      <c r="G12" s="39"/>
      <c r="H12" s="138">
        <f>RANK(I12,I3:I430)</f>
        <v>12</v>
      </c>
      <c r="I12" s="139">
        <f>VLOOKUP(A12,'Standard Deviations'!A1:C728,3,FALSE)</f>
        <v>10.586986169366119</v>
      </c>
      <c r="J12" s="139">
        <f>I12-VLOOKUP(B$2,H1:J430,2,FALSE)</f>
        <v>5.2837305821390341</v>
      </c>
    </row>
    <row r="13" spans="1:10" ht="21.25" customHeight="1" x14ac:dyDescent="0.15">
      <c r="A13" s="8" t="s">
        <v>117</v>
      </c>
      <c r="B13" s="137" t="str">
        <f>VLOOKUP(A13,'The List'!B1:D727,3,FALSE)</f>
        <v>LW</v>
      </c>
      <c r="C13" s="48">
        <f>IF(Settings!$E$15="POINTS",RANK(E13,E3:E430),H13)</f>
        <v>11</v>
      </c>
      <c r="D13" s="35" t="str">
        <f>VLOOKUP(A13,'The List'!B1:F727,5,FALSE)</f>
        <v>DAL</v>
      </c>
      <c r="E13" s="39">
        <f>VLOOKUP(A13,'The List'!B1:I727,8,FALSE)</f>
        <v>509.91606352067902</v>
      </c>
      <c r="F13" s="39">
        <f>IF(Settings!$E$15="POINTS",E13-VLOOKUP(B$2,C1:E430,3,FALSE),J13)</f>
        <v>142.46693669598835</v>
      </c>
      <c r="G13" s="39"/>
      <c r="H13" s="138">
        <f>RANK(I13,I3:I430)</f>
        <v>8</v>
      </c>
      <c r="I13" s="139">
        <f>VLOOKUP(A13,'Standard Deviations'!A1:C728,3,FALSE)</f>
        <v>12.223008809756044</v>
      </c>
      <c r="J13" s="139">
        <f>I13-VLOOKUP(B$2,H1:J430,2,FALSE)</f>
        <v>6.9197532225289589</v>
      </c>
    </row>
    <row r="14" spans="1:10" ht="21.25" customHeight="1" x14ac:dyDescent="0.15">
      <c r="A14" s="8" t="s">
        <v>125</v>
      </c>
      <c r="B14" s="137" t="str">
        <f>VLOOKUP(A14,'The List'!B1:D727,3,FALSE)</f>
        <v>C</v>
      </c>
      <c r="C14" s="48">
        <f>IF(Settings!$E$15="POINTS",RANK(E14,E3:E430),H14)</f>
        <v>12</v>
      </c>
      <c r="D14" s="35" t="str">
        <f>VLOOKUP(A14,'The List'!B1:F727,5,FALSE)</f>
        <v>BUF</v>
      </c>
      <c r="E14" s="39">
        <f>VLOOKUP(A14,'The List'!B1:I727,8,FALSE)</f>
        <v>498.4069407922496</v>
      </c>
      <c r="F14" s="39">
        <f>IF(Settings!$E$15="POINTS",E14-VLOOKUP(B$2,C1:E430,3,FALSE),J14)</f>
        <v>130.95781396755893</v>
      </c>
      <c r="G14" s="39"/>
      <c r="H14" s="138">
        <f>RANK(I14,I3:I430)</f>
        <v>16</v>
      </c>
      <c r="I14" s="139">
        <f>VLOOKUP(A14,'Standard Deviations'!A1:C728,3,FALSE)</f>
        <v>9.2436271815038946</v>
      </c>
      <c r="J14" s="139">
        <f>I14-VLOOKUP(B$2,H1:J430,2,FALSE)</f>
        <v>3.9403715942768098</v>
      </c>
    </row>
    <row r="15" spans="1:10" ht="21.25" customHeight="1" x14ac:dyDescent="0.15">
      <c r="A15" s="8" t="s">
        <v>118</v>
      </c>
      <c r="B15" s="137" t="str">
        <f>VLOOKUP(A15,'The List'!B1:D727,3,FALSE)</f>
        <v>RW</v>
      </c>
      <c r="C15" s="48">
        <f>IF(Settings!$E$15="POINTS",RANK(E15,E3:E430),H15)</f>
        <v>13</v>
      </c>
      <c r="D15" s="35" t="str">
        <f>VLOOKUP(A15,'The List'!B1:F727,5,FALSE)</f>
        <v>TOR</v>
      </c>
      <c r="E15" s="39">
        <f>VLOOKUP(A15,'The List'!B1:I727,8,FALSE)</f>
        <v>492.79175115447117</v>
      </c>
      <c r="F15" s="39">
        <f>IF(Settings!$E$15="POINTS",E15-VLOOKUP(B$2,C1:E430,3,FALSE),J15)</f>
        <v>125.34262432978051</v>
      </c>
      <c r="G15" s="39"/>
      <c r="H15" s="138">
        <f>RANK(I15,I3:I430)</f>
        <v>10</v>
      </c>
      <c r="I15" s="139">
        <f>VLOOKUP(A15,'Standard Deviations'!A1:C728,3,FALSE)</f>
        <v>11.006541956699605</v>
      </c>
      <c r="J15" s="139">
        <f>I15-VLOOKUP(B$2,H1:J430,2,FALSE)</f>
        <v>5.7032863694725204</v>
      </c>
    </row>
    <row r="16" spans="1:10" ht="21.25" customHeight="1" x14ac:dyDescent="0.15">
      <c r="A16" s="8" t="s">
        <v>139</v>
      </c>
      <c r="B16" s="137" t="str">
        <f>VLOOKUP(A16,'The List'!B1:D727,3,FALSE)</f>
        <v>C</v>
      </c>
      <c r="C16" s="48">
        <f>IF(Settings!$E$15="POINTS",RANK(E16,E3:E430),H16)</f>
        <v>15</v>
      </c>
      <c r="D16" s="35" t="str">
        <f>VLOOKUP(A16,'The List'!B1:F727,5,FALSE)</f>
        <v>NYR</v>
      </c>
      <c r="E16" s="39">
        <f>VLOOKUP(A16,'The List'!B1:I727,8,FALSE)</f>
        <v>467.69528231964279</v>
      </c>
      <c r="F16" s="39">
        <f>IF(Settings!$E$15="POINTS",E16-VLOOKUP(B$2,C1:E430,3,FALSE),J16)</f>
        <v>100.24615549495212</v>
      </c>
      <c r="G16" s="39"/>
      <c r="H16" s="138">
        <f>RANK(I16,I3:I430)</f>
        <v>14</v>
      </c>
      <c r="I16" s="139">
        <f>VLOOKUP(A16,'Standard Deviations'!A1:C728,3,FALSE)</f>
        <v>9.9644448102992698</v>
      </c>
      <c r="J16" s="139">
        <f>I16-VLOOKUP(B$2,H1:J430,2,FALSE)</f>
        <v>4.661189223072185</v>
      </c>
    </row>
    <row r="17" spans="1:10" ht="21.25" customHeight="1" x14ac:dyDescent="0.15">
      <c r="A17" s="8" t="s">
        <v>141</v>
      </c>
      <c r="B17" s="137" t="str">
        <f>VLOOKUP(A17,'The List'!B1:D727,3,FALSE)</f>
        <v>C</v>
      </c>
      <c r="C17" s="48">
        <f>IF(Settings!$E$15="POINTS",RANK(E17,E3:E430),H17)</f>
        <v>17</v>
      </c>
      <c r="D17" s="35" t="str">
        <f>VLOOKUP(A17,'The List'!B1:F727,5,FALSE)</f>
        <v>FLA</v>
      </c>
      <c r="E17" s="39">
        <f>VLOOKUP(A17,'The List'!B1:I727,8,FALSE)</f>
        <v>462.52556518566763</v>
      </c>
      <c r="F17" s="39">
        <f>IF(Settings!$E$15="POINTS",E17-VLOOKUP(B$2,C1:E430,3,FALSE),J17)</f>
        <v>95.076438360976965</v>
      </c>
      <c r="G17" s="39"/>
      <c r="H17" s="138">
        <f>RANK(I17,I3:I430)</f>
        <v>15</v>
      </c>
      <c r="I17" s="139">
        <f>VLOOKUP(A17,'Standard Deviations'!A1:C728,3,FALSE)</f>
        <v>9.5295808044052226</v>
      </c>
      <c r="J17" s="139">
        <f>I17-VLOOKUP(B$2,H1:J430,2,FALSE)</f>
        <v>4.2263252171781378</v>
      </c>
    </row>
    <row r="18" spans="1:10" ht="21.25" customHeight="1" x14ac:dyDescent="0.15">
      <c r="A18" s="8" t="s">
        <v>121</v>
      </c>
      <c r="B18" s="137" t="str">
        <f>VLOOKUP(A18,'The List'!B1:D727,3,FALSE)</f>
        <v>RW</v>
      </c>
      <c r="C18" s="48">
        <f>IF(Settings!$E$15="POINTS",RANK(E18,E3:E430),H18)</f>
        <v>14</v>
      </c>
      <c r="D18" s="35" t="str">
        <f>VLOOKUP(A18,'The List'!B1:F727,5,FALSE)</f>
        <v>TOR</v>
      </c>
      <c r="E18" s="39">
        <f>VLOOKUP(A18,'The List'!B1:I727,8,FALSE)</f>
        <v>472.65342376089717</v>
      </c>
      <c r="F18" s="39">
        <f>IF(Settings!$E$15="POINTS",E18-VLOOKUP(B$2,C1:E430,3,FALSE),J18)</f>
        <v>105.2042969362065</v>
      </c>
      <c r="G18" s="39"/>
      <c r="H18" s="138">
        <f>RANK(I18,I3:I430)</f>
        <v>13</v>
      </c>
      <c r="I18" s="139">
        <f>VLOOKUP(A18,'Standard Deviations'!A1:C728,3,FALSE)</f>
        <v>10.091877800323303</v>
      </c>
      <c r="J18" s="139">
        <f>I18-VLOOKUP(B$2,H1:J430,2,FALSE)</f>
        <v>4.7886222130962182</v>
      </c>
    </row>
    <row r="19" spans="1:10" ht="21.25" customHeight="1" x14ac:dyDescent="0.15">
      <c r="A19" s="8" t="s">
        <v>147</v>
      </c>
      <c r="B19" s="137" t="str">
        <f>VLOOKUP(A19,'The List'!B1:D727,3,FALSE)</f>
        <v>C</v>
      </c>
      <c r="C19" s="48">
        <f>IF(Settings!$E$15="POINTS",RANK(E19,E3:E430),H19)</f>
        <v>18</v>
      </c>
      <c r="D19" s="35" t="str">
        <f>VLOOKUP(A19,'The List'!B1:F727,5,FALSE)</f>
        <v>PIT</v>
      </c>
      <c r="E19" s="39">
        <f>VLOOKUP(A19,'The List'!B1:I727,8,FALSE)</f>
        <v>450.60359760830181</v>
      </c>
      <c r="F19" s="39">
        <f>IF(Settings!$E$15="POINTS",E19-VLOOKUP(B$2,C1:E430,3,FALSE),J19)</f>
        <v>83.154470783611146</v>
      </c>
      <c r="G19" s="39"/>
      <c r="H19" s="138">
        <f>RANK(I19,I3:I430)</f>
        <v>17</v>
      </c>
      <c r="I19" s="139">
        <f>VLOOKUP(A19,'Standard Deviations'!A1:C728,3,FALSE)</f>
        <v>9.036182250178534</v>
      </c>
      <c r="J19" s="139">
        <f>I19-VLOOKUP(B$2,H1:J430,2,FALSE)</f>
        <v>3.7329266629514493</v>
      </c>
    </row>
    <row r="20" spans="1:10" ht="21.25" customHeight="1" x14ac:dyDescent="0.15">
      <c r="A20" s="8" t="s">
        <v>159</v>
      </c>
      <c r="B20" s="137" t="str">
        <f>VLOOKUP(A20,'The List'!B1:D727,3,FALSE)</f>
        <v>C</v>
      </c>
      <c r="C20" s="48">
        <f>IF(Settings!$E$15="POINTS",RANK(E20,E3:E430),H20)</f>
        <v>25</v>
      </c>
      <c r="D20" s="35" t="str">
        <f>VLOOKUP(A20,'The List'!B1:F727,5,FALSE)</f>
        <v>TBL</v>
      </c>
      <c r="E20" s="39">
        <f>VLOOKUP(A20,'The List'!B1:I727,8,FALSE)</f>
        <v>430.2150728063657</v>
      </c>
      <c r="F20" s="39">
        <f>IF(Settings!$E$15="POINTS",E20-VLOOKUP(B$2,C1:E430,3,FALSE),J20)</f>
        <v>62.765945981675031</v>
      </c>
      <c r="G20" s="39"/>
      <c r="H20" s="138">
        <f>RANK(I20,I3:I430)</f>
        <v>34</v>
      </c>
      <c r="I20" s="139">
        <f>VLOOKUP(A20,'Standard Deviations'!A1:C728,3,FALSE)</f>
        <v>7.5879505099045366</v>
      </c>
      <c r="J20" s="139">
        <f>I20-VLOOKUP(B$2,H1:J430,2,FALSE)</f>
        <v>2.2846949226774518</v>
      </c>
    </row>
    <row r="21" spans="1:10" ht="21.25" customHeight="1" x14ac:dyDescent="0.15">
      <c r="A21" s="8" t="s">
        <v>131</v>
      </c>
      <c r="B21" s="137" t="str">
        <f>VLOOKUP(A21,'The List'!B1:D727,3,FALSE)</f>
        <v>LW</v>
      </c>
      <c r="C21" s="48">
        <f>IF(Settings!$E$15="POINTS",RANK(E21,E3:E430),H21)</f>
        <v>20</v>
      </c>
      <c r="D21" s="35" t="str">
        <f>VLOOKUP(A21,'The List'!B1:F727,5,FALSE)</f>
        <v>WPG</v>
      </c>
      <c r="E21" s="39">
        <f>VLOOKUP(A21,'The List'!B1:I727,8,FALSE)</f>
        <v>449.47835150555562</v>
      </c>
      <c r="F21" s="39">
        <f>IF(Settings!$E$15="POINTS",E21-VLOOKUP(B$2,C1:E430,3,FALSE),J21)</f>
        <v>82.029224680864957</v>
      </c>
      <c r="G21" s="39"/>
      <c r="H21" s="138">
        <f>RANK(I21,I3:I430)</f>
        <v>32</v>
      </c>
      <c r="I21" s="139">
        <f>VLOOKUP(A21,'Standard Deviations'!A1:C728,3,FALSE)</f>
        <v>7.6891056118606551</v>
      </c>
      <c r="J21" s="139">
        <f>I21-VLOOKUP(B$2,H1:J430,2,FALSE)</f>
        <v>2.3858500246335703</v>
      </c>
    </row>
    <row r="22" spans="1:10" ht="21.25" customHeight="1" x14ac:dyDescent="0.15">
      <c r="A22" s="8" t="s">
        <v>132</v>
      </c>
      <c r="B22" s="137" t="str">
        <f>VLOOKUP(A22,'The List'!B1:D727,3,FALSE)</f>
        <v>LW</v>
      </c>
      <c r="C22" s="48">
        <f>IF(Settings!$E$15="POINTS",RANK(E22,E3:E430),H22)</f>
        <v>21</v>
      </c>
      <c r="D22" s="35" t="str">
        <f>VLOOKUP(A22,'The List'!B1:F727,5,FALSE)</f>
        <v>WSH</v>
      </c>
      <c r="E22" s="39">
        <f>VLOOKUP(A22,'The List'!B1:I727,8,FALSE)</f>
        <v>448.58563069126262</v>
      </c>
      <c r="F22" s="39">
        <f>IF(Settings!$E$15="POINTS",E22-VLOOKUP(B$2,C1:E430,3,FALSE),J22)</f>
        <v>81.136503866571957</v>
      </c>
      <c r="G22" s="39"/>
      <c r="H22" s="138">
        <f>RANK(I22,I3:I430)</f>
        <v>38</v>
      </c>
      <c r="I22" s="139">
        <f>VLOOKUP(A22,'Standard Deviations'!A1:C728,3,FALSE)</f>
        <v>7.1624856087545412</v>
      </c>
      <c r="J22" s="139">
        <f>I22-VLOOKUP(B$2,H1:J430,2,FALSE)</f>
        <v>1.8592300215274564</v>
      </c>
    </row>
    <row r="23" spans="1:10" ht="21.25" customHeight="1" x14ac:dyDescent="0.15">
      <c r="A23" s="8" t="s">
        <v>137</v>
      </c>
      <c r="B23" s="137" t="str">
        <f>VLOOKUP(A23,'The List'!B1:D727,3,FALSE)</f>
        <v>LW</v>
      </c>
      <c r="C23" s="48">
        <f>IF(Settings!$E$15="POINTS",RANK(E23,E3:E430),H23)</f>
        <v>23</v>
      </c>
      <c r="D23" s="35" t="str">
        <f>VLOOKUP(A23,'The List'!B1:F727,5,FALSE)</f>
        <v>NYR</v>
      </c>
      <c r="E23" s="39">
        <f>VLOOKUP(A23,'The List'!B1:I727,8,FALSE)</f>
        <v>445.22945205924469</v>
      </c>
      <c r="F23" s="39">
        <f>IF(Settings!$E$15="POINTS",E23-VLOOKUP(B$2,C1:E430,3,FALSE),J23)</f>
        <v>77.780325234554027</v>
      </c>
      <c r="G23" s="39"/>
      <c r="H23" s="138">
        <f>RANK(I23,I3:I430)</f>
        <v>22</v>
      </c>
      <c r="I23" s="139">
        <f>VLOOKUP(A23,'Standard Deviations'!A1:C728,3,FALSE)</f>
        <v>8.3231965210600141</v>
      </c>
      <c r="J23" s="139">
        <f>I23-VLOOKUP(B$2,H1:J430,2,FALSE)</f>
        <v>3.0199409338329293</v>
      </c>
    </row>
    <row r="24" spans="1:10" ht="21.25" customHeight="1" x14ac:dyDescent="0.15">
      <c r="A24" s="8" t="s">
        <v>140</v>
      </c>
      <c r="B24" s="137" t="str">
        <f>VLOOKUP(A24,'The List'!B1:D727,3,FALSE)</f>
        <v>C</v>
      </c>
      <c r="C24" s="48">
        <f>IF(Settings!$E$15="POINTS",RANK(E24,E3:E430),H24)</f>
        <v>16</v>
      </c>
      <c r="D24" s="35" t="str">
        <f>VLOOKUP(A24,'The List'!B1:F727,5,FALSE)</f>
        <v>VAN</v>
      </c>
      <c r="E24" s="39">
        <f>VLOOKUP(A24,'The List'!B1:I727,8,FALSE)</f>
        <v>464.07200653414577</v>
      </c>
      <c r="F24" s="39">
        <f>IF(Settings!$E$15="POINTS",E24-VLOOKUP(B$2,C1:E430,3,FALSE),J24)</f>
        <v>96.622879709455106</v>
      </c>
      <c r="G24" s="39"/>
      <c r="H24" s="138">
        <f>RANK(I24,I3:I430)</f>
        <v>18</v>
      </c>
      <c r="I24" s="139">
        <f>VLOOKUP(A24,'Standard Deviations'!A1:C728,3,FALSE)</f>
        <v>8.9945212132729431</v>
      </c>
      <c r="J24" s="139">
        <f>I24-VLOOKUP(B$2,H1:J430,2,FALSE)</f>
        <v>3.6912656260458583</v>
      </c>
    </row>
    <row r="25" spans="1:10" ht="21.25" customHeight="1" x14ac:dyDescent="0.15">
      <c r="A25" s="8" t="s">
        <v>150</v>
      </c>
      <c r="B25" s="137" t="str">
        <f>VLOOKUP(A25,'The List'!B1:D727,3,FALSE)</f>
        <v>LW</v>
      </c>
      <c r="C25" s="48">
        <f>IF(Settings!$E$15="POINTS",RANK(E25,E3:E430),H25)</f>
        <v>33</v>
      </c>
      <c r="D25" s="35" t="str">
        <f>VLOOKUP(A25,'The List'!B1:F727,5,FALSE)</f>
        <v>CBJ</v>
      </c>
      <c r="E25" s="39">
        <f>VLOOKUP(A25,'The List'!B1:I727,8,FALSE)</f>
        <v>417.17011899222427</v>
      </c>
      <c r="F25" s="39">
        <f>IF(Settings!$E$15="POINTS",E25-VLOOKUP(B$2,C1:E430,3,FALSE),J25)</f>
        <v>49.720992167533609</v>
      </c>
      <c r="G25" s="39"/>
      <c r="H25" s="138">
        <f>RANK(I25,I3:I430)</f>
        <v>59</v>
      </c>
      <c r="I25" s="139">
        <f>VLOOKUP(A25,'Standard Deviations'!A1:C728,3,FALSE)</f>
        <v>5.3218228284285685</v>
      </c>
      <c r="J25" s="139">
        <f>I25-VLOOKUP(B$2,H1:J430,2,FALSE)</f>
        <v>1.8567241201483675E-2</v>
      </c>
    </row>
    <row r="26" spans="1:10" ht="21.25" customHeight="1" x14ac:dyDescent="0.15">
      <c r="A26" s="8" t="s">
        <v>149</v>
      </c>
      <c r="B26" s="137" t="str">
        <f>VLOOKUP(A26,'The List'!B1:D727,3,FALSE)</f>
        <v>C</v>
      </c>
      <c r="C26" s="48">
        <f>IF(Settings!$E$15="POINTS",RANK(E26,E3:E430),H26)</f>
        <v>19</v>
      </c>
      <c r="D26" s="35" t="str">
        <f>VLOOKUP(A26,'The List'!B1:F727,5,FALSE)</f>
        <v>TBL</v>
      </c>
      <c r="E26" s="39">
        <f>VLOOKUP(A26,'The List'!B1:I727,8,FALSE)</f>
        <v>450.17435705189615</v>
      </c>
      <c r="F26" s="39">
        <f>IF(Settings!$E$15="POINTS",E26-VLOOKUP(B$2,C1:E430,3,FALSE),J26)</f>
        <v>82.725230227205486</v>
      </c>
      <c r="G26" s="39"/>
      <c r="H26" s="138">
        <f>RANK(I26,I3:I430)</f>
        <v>23</v>
      </c>
      <c r="I26" s="139">
        <f>VLOOKUP(A26,'Standard Deviations'!A1:C728,3,FALSE)</f>
        <v>8.2557919370218436</v>
      </c>
      <c r="J26" s="139">
        <f>I26-VLOOKUP(B$2,H1:J430,2,FALSE)</f>
        <v>2.9525363497947588</v>
      </c>
    </row>
    <row r="27" spans="1:10" ht="21.25" customHeight="1" x14ac:dyDescent="0.15">
      <c r="A27" s="8" t="s">
        <v>136</v>
      </c>
      <c r="B27" s="137" t="str">
        <f>VLOOKUP(A27,'The List'!B1:D727,3,FALSE)</f>
        <v>RW</v>
      </c>
      <c r="C27" s="48">
        <f>IF(Settings!$E$15="POINTS",RANK(E27,E3:E430),H27)</f>
        <v>24</v>
      </c>
      <c r="D27" s="35" t="str">
        <f>VLOOKUP(A27,'The List'!B1:F727,5,FALSE)</f>
        <v>NJD</v>
      </c>
      <c r="E27" s="39">
        <f>VLOOKUP(A27,'The List'!B1:I727,8,FALSE)</f>
        <v>431.53094114254554</v>
      </c>
      <c r="F27" s="39">
        <f>IF(Settings!$E$15="POINTS",E27-VLOOKUP(B$2,C1:E430,3,FALSE),J27)</f>
        <v>64.081814317854878</v>
      </c>
      <c r="G27" s="39"/>
      <c r="H27" s="138">
        <f>RANK(I27,I3:I430)</f>
        <v>26</v>
      </c>
      <c r="I27" s="139">
        <f>VLOOKUP(A27,'Standard Deviations'!A1:C728,3,FALSE)</f>
        <v>8.0338212126827919</v>
      </c>
      <c r="J27" s="139">
        <f>I27-VLOOKUP(B$2,H1:J430,2,FALSE)</f>
        <v>2.7305656254557071</v>
      </c>
    </row>
    <row r="28" spans="1:10" ht="21.25" customHeight="1" x14ac:dyDescent="0.15">
      <c r="A28" s="8" t="s">
        <v>143</v>
      </c>
      <c r="B28" s="137" t="str">
        <f>VLOOKUP(A28,'The List'!B1:D727,3,FALSE)</f>
        <v>C,RW</v>
      </c>
      <c r="C28" s="48">
        <f>IF(Settings!$E$15="POINTS",RANK(E28,E3:E430),H28)</f>
        <v>34</v>
      </c>
      <c r="D28" s="35" t="str">
        <f>VLOOKUP(A28,'The List'!B1:F727,5,FALSE)</f>
        <v>VAN</v>
      </c>
      <c r="E28" s="39">
        <f>VLOOKUP(A28,'The List'!B1:I727,8,FALSE)</f>
        <v>416.4138573570396</v>
      </c>
      <c r="F28" s="39">
        <f>IF(Settings!$E$15="POINTS",E28-VLOOKUP(B$2,C1:E430,3,FALSE),J28)</f>
        <v>48.964730532348938</v>
      </c>
      <c r="G28" s="39"/>
      <c r="H28" s="138">
        <f>RANK(I28,I3:I430)</f>
        <v>41</v>
      </c>
      <c r="I28" s="139">
        <f>VLOOKUP(A28,'Standard Deviations'!A1:C728,3,FALSE)</f>
        <v>6.5742648907832058</v>
      </c>
      <c r="J28" s="139">
        <f>I28-VLOOKUP(B$2,H1:J430,2,FALSE)</f>
        <v>1.271009303556121</v>
      </c>
    </row>
    <row r="29" spans="1:10" ht="21.25" customHeight="1" x14ac:dyDescent="0.15">
      <c r="A29" s="8" t="s">
        <v>144</v>
      </c>
      <c r="B29" s="137" t="str">
        <f>VLOOKUP(A29,'The List'!B1:D727,3,FALSE)</f>
        <v>LW</v>
      </c>
      <c r="C29" s="48">
        <f>IF(Settings!$E$15="POINTS",RANK(E29,E3:E430),H29)</f>
        <v>26</v>
      </c>
      <c r="D29" s="35" t="str">
        <f>VLOOKUP(A29,'The List'!B1:F727,5,FALSE)</f>
        <v>OTT</v>
      </c>
      <c r="E29" s="39">
        <f>VLOOKUP(A29,'The List'!B1:I727,8,FALSE)</f>
        <v>429.38088289787777</v>
      </c>
      <c r="F29" s="39">
        <f>IF(Settings!$E$15="POINTS",E29-VLOOKUP(B$2,C1:E430,3,FALSE),J29)</f>
        <v>61.931756073187103</v>
      </c>
      <c r="G29" s="39"/>
      <c r="H29" s="138">
        <f>RANK(I29,I3:I430)</f>
        <v>36</v>
      </c>
      <c r="I29" s="139">
        <f>VLOOKUP(A29,'Standard Deviations'!A1:C728,3,FALSE)</f>
        <v>7.299438476523922</v>
      </c>
      <c r="J29" s="139">
        <f>I29-VLOOKUP(B$2,H1:J430,2,FALSE)</f>
        <v>1.9961828892968372</v>
      </c>
    </row>
    <row r="30" spans="1:10" ht="21.25" customHeight="1" x14ac:dyDescent="0.15">
      <c r="A30" s="8" t="s">
        <v>160</v>
      </c>
      <c r="B30" s="137" t="str">
        <f>VLOOKUP(A30,'The List'!B1:D727,3,FALSE)</f>
        <v>C</v>
      </c>
      <c r="C30" s="48">
        <f>IF(Settings!$E$15="POINTS",RANK(E30,E3:E430),H30)</f>
        <v>27</v>
      </c>
      <c r="D30" s="35" t="str">
        <f>VLOOKUP(A30,'The List'!B1:F727,5,FALSE)</f>
        <v>TOR</v>
      </c>
      <c r="E30" s="39">
        <f>VLOOKUP(A30,'The List'!B1:I727,8,FALSE)</f>
        <v>428.75740533170483</v>
      </c>
      <c r="F30" s="39">
        <f>IF(Settings!$E$15="POINTS",E30-VLOOKUP(B$2,C1:E430,3,FALSE),J30)</f>
        <v>61.308278507014165</v>
      </c>
      <c r="G30" s="39"/>
      <c r="H30" s="138">
        <f>RANK(I30,I3:I430)</f>
        <v>19</v>
      </c>
      <c r="I30" s="139">
        <f>VLOOKUP(A30,'Standard Deviations'!A1:C728,3,FALSE)</f>
        <v>8.6373537190965308</v>
      </c>
      <c r="J30" s="139">
        <f>I30-VLOOKUP(B$2,H1:J430,2,FALSE)</f>
        <v>3.334098131869446</v>
      </c>
    </row>
    <row r="31" spans="1:10" ht="21.25" customHeight="1" x14ac:dyDescent="0.15">
      <c r="A31" s="8" t="s">
        <v>133</v>
      </c>
      <c r="B31" s="137" t="str">
        <f>VLOOKUP(A31,'The List'!B1:D727,3,FALSE)</f>
        <v>LW</v>
      </c>
      <c r="C31" s="48">
        <f>IF(Settings!$E$15="POINTS",RANK(E31,E3:E430),H31)</f>
        <v>22</v>
      </c>
      <c r="D31" s="35" t="str">
        <f>VLOOKUP(A31,'The List'!B1:F727,5,FALSE)</f>
        <v>OTT</v>
      </c>
      <c r="E31" s="39">
        <f>VLOOKUP(A31,'The List'!B1:I727,8,FALSE)</f>
        <v>448.55229294746431</v>
      </c>
      <c r="F31" s="39">
        <f>IF(Settings!$E$15="POINTS",E31-VLOOKUP(B$2,C1:E430,3,FALSE),J31)</f>
        <v>81.103166122773644</v>
      </c>
      <c r="G31" s="39"/>
      <c r="H31" s="138">
        <f>RANK(I31,I3:I430)</f>
        <v>25</v>
      </c>
      <c r="I31" s="139">
        <f>VLOOKUP(A31,'Standard Deviations'!A1:C728,3,FALSE)</f>
        <v>8.1067176894363939</v>
      </c>
      <c r="J31" s="139">
        <f>I31-VLOOKUP(B$2,H1:J430,2,FALSE)</f>
        <v>2.8034621022093091</v>
      </c>
    </row>
    <row r="32" spans="1:10" ht="21.25" customHeight="1" x14ac:dyDescent="0.15">
      <c r="A32" s="8" t="s">
        <v>179</v>
      </c>
      <c r="B32" s="137" t="str">
        <f>VLOOKUP(A32,'The List'!B1:D727,3,FALSE)</f>
        <v>C</v>
      </c>
      <c r="C32" s="48">
        <f>IF(Settings!$E$15="POINTS",RANK(E32,E3:E430),H32)</f>
        <v>38</v>
      </c>
      <c r="D32" s="35" t="str">
        <f>VLOOKUP(A32,'The List'!B1:F727,5,FALSE)</f>
        <v>STL</v>
      </c>
      <c r="E32" s="39">
        <f>VLOOKUP(A32,'The List'!B1:I727,8,FALSE)</f>
        <v>406.90297739626266</v>
      </c>
      <c r="F32" s="39">
        <f>IF(Settings!$E$15="POINTS",E32-VLOOKUP(B$2,C1:E430,3,FALSE),J32)</f>
        <v>39.453850571571991</v>
      </c>
      <c r="G32" s="39"/>
      <c r="H32" s="138">
        <f>RANK(I32,I3:I430)</f>
        <v>73</v>
      </c>
      <c r="I32" s="139">
        <f>VLOOKUP(A32,'Standard Deviations'!A1:C728,3,FALSE)</f>
        <v>4.9608938401954177</v>
      </c>
      <c r="J32" s="139">
        <f>I32-VLOOKUP(B$2,H1:J430,2,FALSE)</f>
        <v>-0.34236174703166711</v>
      </c>
    </row>
    <row r="33" spans="1:10" ht="21.25" customHeight="1" x14ac:dyDescent="0.15">
      <c r="A33" s="8" t="s">
        <v>145</v>
      </c>
      <c r="B33" s="137" t="str">
        <f>VLOOKUP(A33,'The List'!B1:D727,3,FALSE)</f>
        <v>LW</v>
      </c>
      <c r="C33" s="48">
        <f>IF(Settings!$E$15="POINTS",RANK(E33,E3:E430),H33)</f>
        <v>31</v>
      </c>
      <c r="D33" s="35" t="str">
        <f>VLOOKUP(A33,'The List'!B1:F727,5,FALSE)</f>
        <v>PIT</v>
      </c>
      <c r="E33" s="39">
        <f>VLOOKUP(A33,'The List'!B1:I727,8,FALSE)</f>
        <v>422.82266221369161</v>
      </c>
      <c r="F33" s="39">
        <f>IF(Settings!$E$15="POINTS",E33-VLOOKUP(B$2,C1:E430,3,FALSE),J33)</f>
        <v>55.373535389000949</v>
      </c>
      <c r="G33" s="39"/>
      <c r="H33" s="138">
        <f>RANK(I33,I3:I430)</f>
        <v>29</v>
      </c>
      <c r="I33" s="139">
        <f>VLOOKUP(A33,'Standard Deviations'!A1:C728,3,FALSE)</f>
        <v>7.9283896550247217</v>
      </c>
      <c r="J33" s="139">
        <f>I33-VLOOKUP(B$2,H1:J430,2,FALSE)</f>
        <v>2.6251340677976369</v>
      </c>
    </row>
    <row r="34" spans="1:10" ht="21.25" customHeight="1" x14ac:dyDescent="0.15">
      <c r="A34" s="8" t="s">
        <v>163</v>
      </c>
      <c r="B34" s="137" t="str">
        <f>VLOOKUP(A34,'The List'!B1:D727,3,FALSE)</f>
        <v>C</v>
      </c>
      <c r="C34" s="48">
        <f>IF(Settings!$E$15="POINTS",RANK(E34,E3:E430),H34)</f>
        <v>29</v>
      </c>
      <c r="D34" s="35" t="str">
        <f>VLOOKUP(A34,'The List'!B1:F727,5,FALSE)</f>
        <v>EDM</v>
      </c>
      <c r="E34" s="39">
        <f>VLOOKUP(A34,'The List'!B1:I727,8,FALSE)</f>
        <v>425.95168931598198</v>
      </c>
      <c r="F34" s="39">
        <f>IF(Settings!$E$15="POINTS",E34-VLOOKUP(B$2,C1:E430,3,FALSE),J34)</f>
        <v>58.502562491291314</v>
      </c>
      <c r="G34" s="39"/>
      <c r="H34" s="138">
        <f>RANK(I34,I3:I430)</f>
        <v>21</v>
      </c>
      <c r="I34" s="139">
        <f>VLOOKUP(A34,'Standard Deviations'!A1:C728,3,FALSE)</f>
        <v>8.4381257747786602</v>
      </c>
      <c r="J34" s="139">
        <f>I34-VLOOKUP(B$2,H1:J430,2,FALSE)</f>
        <v>3.1348701875515754</v>
      </c>
    </row>
    <row r="35" spans="1:10" ht="21.25" customHeight="1" x14ac:dyDescent="0.15">
      <c r="A35" s="8" t="s">
        <v>148</v>
      </c>
      <c r="B35" s="137" t="str">
        <f>VLOOKUP(A35,'The List'!B1:D727,3,FALSE)</f>
        <v>RW</v>
      </c>
      <c r="C35" s="48">
        <f>IF(Settings!$E$15="POINTS",RANK(E35,E3:E430),H35)</f>
        <v>37</v>
      </c>
      <c r="D35" s="35" t="str">
        <f>VLOOKUP(A35,'The List'!B1:F727,5,FALSE)</f>
        <v>ARI</v>
      </c>
      <c r="E35" s="39">
        <f>VLOOKUP(A35,'The List'!B1:I727,8,FALSE)</f>
        <v>407.18405519098843</v>
      </c>
      <c r="F35" s="39">
        <f>IF(Settings!$E$15="POINTS",E35-VLOOKUP(B$2,C1:E430,3,FALSE),J35)</f>
        <v>39.734928366297765</v>
      </c>
      <c r="G35" s="39"/>
      <c r="H35" s="138">
        <f>RANK(I35,I3:I430)</f>
        <v>60</v>
      </c>
      <c r="I35" s="139">
        <f>VLOOKUP(A35,'Standard Deviations'!A1:C728,3,FALSE)</f>
        <v>5.3174423197389906</v>
      </c>
      <c r="J35" s="139">
        <f>I35-VLOOKUP(B$2,H1:J430,2,FALSE)</f>
        <v>1.4186732511905831E-2</v>
      </c>
    </row>
    <row r="36" spans="1:10" ht="21.25" customHeight="1" x14ac:dyDescent="0.15">
      <c r="A36" s="8" t="s">
        <v>172</v>
      </c>
      <c r="B36" s="137" t="str">
        <f>VLOOKUP(A36,'The List'!B1:D727,3,FALSE)</f>
        <v>C</v>
      </c>
      <c r="C36" s="48">
        <f>IF(Settings!$E$15="POINTS",RANK(E36,E3:E430),H36)</f>
        <v>35</v>
      </c>
      <c r="D36" s="35" t="str">
        <f>VLOOKUP(A36,'The List'!B1:F727,5,FALSE)</f>
        <v>CAR</v>
      </c>
      <c r="E36" s="39">
        <f>VLOOKUP(A36,'The List'!B1:I727,8,FALSE)</f>
        <v>411.92844306428276</v>
      </c>
      <c r="F36" s="39">
        <f>IF(Settings!$E$15="POINTS",E36-VLOOKUP(B$2,C1:E430,3,FALSE),J36)</f>
        <v>44.479316239592094</v>
      </c>
      <c r="G36" s="39"/>
      <c r="H36" s="138">
        <f>RANK(I36,I3:I430)</f>
        <v>24</v>
      </c>
      <c r="I36" s="139">
        <f>VLOOKUP(A36,'Standard Deviations'!A1:C728,3,FALSE)</f>
        <v>8.1391521227980075</v>
      </c>
      <c r="J36" s="139">
        <f>I36-VLOOKUP(B$2,H1:J430,2,FALSE)</f>
        <v>2.8358965355709227</v>
      </c>
    </row>
    <row r="37" spans="1:10" ht="21.25" customHeight="1" x14ac:dyDescent="0.15">
      <c r="A37" s="8" t="s">
        <v>146</v>
      </c>
      <c r="B37" s="137" t="str">
        <f>VLOOKUP(A37,'The List'!B1:D727,3,FALSE)</f>
        <v>LW</v>
      </c>
      <c r="C37" s="48">
        <f>IF(Settings!$E$15="POINTS",RANK(E37,E3:E430),H37)</f>
        <v>32</v>
      </c>
      <c r="D37" s="35" t="str">
        <f>VLOOKUP(A37,'The List'!B1:F727,5,FALSE)</f>
        <v>MIN</v>
      </c>
      <c r="E37" s="39">
        <f>VLOOKUP(A37,'The List'!B1:I727,8,FALSE)</f>
        <v>421.74067572524592</v>
      </c>
      <c r="F37" s="39">
        <f>IF(Settings!$E$15="POINTS",E37-VLOOKUP(B$2,C1:E430,3,FALSE),J37)</f>
        <v>54.291548900555256</v>
      </c>
      <c r="G37" s="39"/>
      <c r="H37" s="138">
        <f>RANK(I37,I3:I430)</f>
        <v>28</v>
      </c>
      <c r="I37" s="139">
        <f>VLOOKUP(A37,'Standard Deviations'!A1:C728,3,FALSE)</f>
        <v>7.9478193333430465</v>
      </c>
      <c r="J37" s="139">
        <f>I37-VLOOKUP(B$2,H1:J430,2,FALSE)</f>
        <v>2.6445637461159617</v>
      </c>
    </row>
    <row r="38" spans="1:10" ht="21.25" customHeight="1" x14ac:dyDescent="0.15">
      <c r="A38" s="8" t="s">
        <v>156</v>
      </c>
      <c r="B38" s="137" t="str">
        <f>VLOOKUP(A38,'The List'!B1:D727,3,FALSE)</f>
        <v>LW</v>
      </c>
      <c r="C38" s="48">
        <f>IF(Settings!$E$15="POINTS",RANK(E38,E3:E430),H38)</f>
        <v>40</v>
      </c>
      <c r="D38" s="35" t="str">
        <f>VLOOKUP(A38,'The List'!B1:F727,5,FALSE)</f>
        <v>LAK</v>
      </c>
      <c r="E38" s="39">
        <f>VLOOKUP(A38,'The List'!B1:I727,8,FALSE)</f>
        <v>403.99314653060344</v>
      </c>
      <c r="F38" s="39">
        <f>IF(Settings!$E$15="POINTS",E38-VLOOKUP(B$2,C1:E430,3,FALSE),J38)</f>
        <v>36.544019705912774</v>
      </c>
      <c r="G38" s="39"/>
      <c r="H38" s="138">
        <f>RANK(I38,I3:I430)</f>
        <v>50</v>
      </c>
      <c r="I38" s="139">
        <f>VLOOKUP(A38,'Standard Deviations'!A1:C728,3,FALSE)</f>
        <v>6.0349869571772041</v>
      </c>
      <c r="J38" s="139">
        <f>I38-VLOOKUP(B$2,H1:J430,2,FALSE)</f>
        <v>0.73173136995011934</v>
      </c>
    </row>
    <row r="39" spans="1:10" ht="21.25" customHeight="1" x14ac:dyDescent="0.15">
      <c r="A39" s="8" t="s">
        <v>162</v>
      </c>
      <c r="B39" s="137" t="str">
        <f>VLOOKUP(A39,'The List'!B1:D727,3,FALSE)</f>
        <v>C</v>
      </c>
      <c r="C39" s="48">
        <f>IF(Settings!$E$15="POINTS",RANK(E39,E3:E430),H39)</f>
        <v>28</v>
      </c>
      <c r="D39" s="35" t="str">
        <f>VLOOKUP(A39,'The List'!B1:F727,5,FALSE)</f>
        <v>NJD</v>
      </c>
      <c r="E39" s="39">
        <f>VLOOKUP(A39,'The List'!B1:I727,8,FALSE)</f>
        <v>427.63964562746742</v>
      </c>
      <c r="F39" s="39">
        <f>IF(Settings!$E$15="POINTS",E39-VLOOKUP(B$2,C1:E430,3,FALSE),J39)</f>
        <v>60.190518802776751</v>
      </c>
      <c r="G39" s="39"/>
      <c r="H39" s="138">
        <f>RANK(I39,I3:I430)</f>
        <v>35</v>
      </c>
      <c r="I39" s="139">
        <f>VLOOKUP(A39,'Standard Deviations'!A1:C728,3,FALSE)</f>
        <v>7.4190840434474987</v>
      </c>
      <c r="J39" s="139">
        <f>I39-VLOOKUP(B$2,H1:J430,2,FALSE)</f>
        <v>2.1158284562204139</v>
      </c>
    </row>
    <row r="40" spans="1:10" ht="21.25" customHeight="1" x14ac:dyDescent="0.15">
      <c r="A40" s="8" t="s">
        <v>169</v>
      </c>
      <c r="B40" s="137" t="str">
        <f>VLOOKUP(A40,'The List'!B1:D727,3,FALSE)</f>
        <v>LW</v>
      </c>
      <c r="C40" s="48">
        <f>IF(Settings!$E$15="POINTS",RANK(E40,E3:E430),H40)</f>
        <v>46</v>
      </c>
      <c r="D40" s="35" t="str">
        <f>VLOOKUP(A40,'The List'!B1:F727,5,FALSE)</f>
        <v>STL</v>
      </c>
      <c r="E40" s="39">
        <f>VLOOKUP(A40,'The List'!B1:I727,8,FALSE)</f>
        <v>390.67202095519838</v>
      </c>
      <c r="F40" s="39">
        <f>IF(Settings!$E$15="POINTS",E40-VLOOKUP(B$2,C1:E430,3,FALSE),J40)</f>
        <v>23.222894130507711</v>
      </c>
      <c r="G40" s="39"/>
      <c r="H40" s="138">
        <f>RANK(I40,I3:I430)</f>
        <v>62</v>
      </c>
      <c r="I40" s="139">
        <f>VLOOKUP(A40,'Standard Deviations'!A1:C728,3,FALSE)</f>
        <v>5.2847558332594167</v>
      </c>
      <c r="J40" s="139">
        <f>I40-VLOOKUP(B$2,H1:J430,2,FALSE)</f>
        <v>-1.849975396766812E-2</v>
      </c>
    </row>
    <row r="41" spans="1:10" ht="21.25" customHeight="1" x14ac:dyDescent="0.15">
      <c r="A41" s="8" t="s">
        <v>158</v>
      </c>
      <c r="B41" s="137" t="str">
        <f>VLOOKUP(A41,'The List'!B1:D727,3,FALSE)</f>
        <v>LW</v>
      </c>
      <c r="C41" s="48">
        <f>IF(Settings!$E$15="POINTS",RANK(E41,E3:E430),H41)</f>
        <v>41</v>
      </c>
      <c r="D41" s="35" t="str">
        <f>VLOOKUP(A41,'The List'!B1:F727,5,FALSE)</f>
        <v>EDM</v>
      </c>
      <c r="E41" s="39">
        <f>VLOOKUP(A41,'The List'!B1:I727,8,FALSE)</f>
        <v>402.87078699991486</v>
      </c>
      <c r="F41" s="39">
        <f>IF(Settings!$E$15="POINTS",E41-VLOOKUP(B$2,C1:E430,3,FALSE),J41)</f>
        <v>35.42166017522419</v>
      </c>
      <c r="G41" s="39"/>
      <c r="H41" s="138">
        <f>RANK(I41,I3:I430)</f>
        <v>30</v>
      </c>
      <c r="I41" s="139">
        <f>VLOOKUP(A41,'Standard Deviations'!A1:C728,3,FALSE)</f>
        <v>7.8896902646168057</v>
      </c>
      <c r="J41" s="139">
        <f>I41-VLOOKUP(B$2,H1:J430,2,FALSE)</f>
        <v>2.5864346773897209</v>
      </c>
    </row>
    <row r="42" spans="1:10" ht="21.25" customHeight="1" x14ac:dyDescent="0.15">
      <c r="A42" s="8" t="s">
        <v>209</v>
      </c>
      <c r="B42" s="137" t="str">
        <f>VLOOKUP(A42,'The List'!B1:D727,3,FALSE)</f>
        <v>C</v>
      </c>
      <c r="C42" s="48">
        <f>IF(Settings!$E$15="POINTS",RANK(E42,E3:E430),H42)</f>
        <v>54</v>
      </c>
      <c r="D42" s="35" t="str">
        <f>VLOOKUP(A42,'The List'!B1:F727,5,FALSE)</f>
        <v>CHI</v>
      </c>
      <c r="E42" s="39">
        <f>VLOOKUP(A42,'The List'!B1:I727,8,FALSE)</f>
        <v>380.42792343629969</v>
      </c>
      <c r="F42" s="39">
        <f>IF(Settings!$E$15="POINTS",E42-VLOOKUP(B$2,C1:E430,3,FALSE),J42)</f>
        <v>12.978796611609027</v>
      </c>
      <c r="G42" s="39"/>
      <c r="H42" s="138">
        <f>RANK(I42,I3:I430)</f>
        <v>56</v>
      </c>
      <c r="I42" s="139">
        <f>VLOOKUP(A42,'Standard Deviations'!A1:C728,3,FALSE)</f>
        <v>5.5652969047207073</v>
      </c>
      <c r="J42" s="139">
        <f>I42-VLOOKUP(B$2,H1:J430,2,FALSE)</f>
        <v>0.26204131749362247</v>
      </c>
    </row>
    <row r="43" spans="1:10" ht="21.25" customHeight="1" x14ac:dyDescent="0.15">
      <c r="A43" s="8" t="s">
        <v>181</v>
      </c>
      <c r="B43" s="137" t="str">
        <f>VLOOKUP(A43,'The List'!B1:D727,3,FALSE)</f>
        <v>C</v>
      </c>
      <c r="C43" s="48">
        <f>IF(Settings!$E$15="POINTS",RANK(E43,E3:E430),H43)</f>
        <v>39</v>
      </c>
      <c r="D43" s="35" t="str">
        <f>VLOOKUP(A43,'The List'!B1:F727,5,FALSE)</f>
        <v>DAL</v>
      </c>
      <c r="E43" s="39">
        <f>VLOOKUP(A43,'The List'!B1:I727,8,FALSE)</f>
        <v>404.08132670734426</v>
      </c>
      <c r="F43" s="39">
        <f>IF(Settings!$E$15="POINTS",E43-VLOOKUP(B$2,C1:E430,3,FALSE),J43)</f>
        <v>36.632199882653595</v>
      </c>
      <c r="G43" s="39"/>
      <c r="H43" s="138">
        <f>RANK(I43,I3:I430)</f>
        <v>20</v>
      </c>
      <c r="I43" s="139">
        <f>VLOOKUP(A43,'Standard Deviations'!A1:C728,3,FALSE)</f>
        <v>8.4701597360955336</v>
      </c>
      <c r="J43" s="139">
        <f>I43-VLOOKUP(B$2,H1:J430,2,FALSE)</f>
        <v>3.1669041488684488</v>
      </c>
    </row>
    <row r="44" spans="1:10" ht="21.25" customHeight="1" x14ac:dyDescent="0.15">
      <c r="A44" s="8" t="s">
        <v>154</v>
      </c>
      <c r="B44" s="137" t="str">
        <f>VLOOKUP(A44,'The List'!B1:D727,3,FALSE)</f>
        <v>RW</v>
      </c>
      <c r="C44" s="48">
        <f>IF(Settings!$E$15="POINTS",RANK(E44,E3:E430),H44)</f>
        <v>44</v>
      </c>
      <c r="D44" s="35" t="str">
        <f>VLOOKUP(A44,'The List'!B1:F727,5,FALSE)</f>
        <v>BUF</v>
      </c>
      <c r="E44" s="39">
        <f>VLOOKUP(A44,'The List'!B1:I727,8,FALSE)</f>
        <v>392.69361410971499</v>
      </c>
      <c r="F44" s="39">
        <f>IF(Settings!$E$15="POINTS",E44-VLOOKUP(B$2,C1:E430,3,FALSE),J44)</f>
        <v>25.24448728502432</v>
      </c>
      <c r="G44" s="39"/>
      <c r="H44" s="138">
        <f>RANK(I44,I3:I430)</f>
        <v>46</v>
      </c>
      <c r="I44" s="139">
        <f>VLOOKUP(A44,'Standard Deviations'!A1:C728,3,FALSE)</f>
        <v>6.3498850707234968</v>
      </c>
      <c r="J44" s="139">
        <f>I44-VLOOKUP(B$2,H1:J430,2,FALSE)</f>
        <v>1.046629483496412</v>
      </c>
    </row>
    <row r="45" spans="1:10" ht="21.25" customHeight="1" x14ac:dyDescent="0.15">
      <c r="A45" s="8" t="s">
        <v>164</v>
      </c>
      <c r="B45" s="137" t="str">
        <f>VLOOKUP(A45,'The List'!B1:D727,3,FALSE)</f>
        <v>C</v>
      </c>
      <c r="C45" s="48">
        <f>IF(Settings!$E$15="POINTS",RANK(E45,E3:E430),H45)</f>
        <v>30</v>
      </c>
      <c r="D45" s="35" t="str">
        <f>VLOOKUP(A45,'The List'!B1:F727,5,FALSE)</f>
        <v>DET</v>
      </c>
      <c r="E45" s="39">
        <f>VLOOKUP(A45,'The List'!B1:I727,8,FALSE)</f>
        <v>425.20343924739086</v>
      </c>
      <c r="F45" s="39">
        <f>IF(Settings!$E$15="POINTS",E45-VLOOKUP(B$2,C1:E430,3,FALSE),J45)</f>
        <v>57.754312422700195</v>
      </c>
      <c r="G45" s="39"/>
      <c r="H45" s="138">
        <f>RANK(I45,I3:I430)</f>
        <v>52</v>
      </c>
      <c r="I45" s="139">
        <f>VLOOKUP(A45,'Standard Deviations'!A1:C728,3,FALSE)</f>
        <v>5.9775214103802794</v>
      </c>
      <c r="J45" s="139">
        <f>I45-VLOOKUP(B$2,H1:J430,2,FALSE)</f>
        <v>0.67426582315319461</v>
      </c>
    </row>
    <row r="46" spans="1:10" ht="21.25" customHeight="1" x14ac:dyDescent="0.15">
      <c r="A46" s="8" t="s">
        <v>214</v>
      </c>
      <c r="B46" s="137" t="str">
        <f>VLOOKUP(A46,'The List'!B1:D727,3,FALSE)</f>
        <v>C</v>
      </c>
      <c r="C46" s="48">
        <f>IF(Settings!$E$15="POINTS",RANK(E46,E3:E430),H46)</f>
        <v>59</v>
      </c>
      <c r="D46" s="35" t="str">
        <f>VLOOKUP(A46,'The List'!B1:F727,5,FALSE)</f>
        <v>FLA</v>
      </c>
      <c r="E46" s="39">
        <f>VLOOKUP(A46,'The List'!B1:I727,8,FALSE)</f>
        <v>376.99097470573219</v>
      </c>
      <c r="F46" s="39">
        <f>IF(Settings!$E$15="POINTS",E46-VLOOKUP(B$2,C1:E430,3,FALSE),J46)</f>
        <v>9.5418478810415195</v>
      </c>
      <c r="G46" s="39"/>
      <c r="H46" s="138">
        <f>RANK(I46,I3:I430)</f>
        <v>44</v>
      </c>
      <c r="I46" s="139">
        <f>VLOOKUP(A46,'Standard Deviations'!A1:C728,3,FALSE)</f>
        <v>6.3865403584476832</v>
      </c>
      <c r="J46" s="139">
        <f>I46-VLOOKUP(B$2,H1:J430,2,FALSE)</f>
        <v>1.0832847712205984</v>
      </c>
    </row>
    <row r="47" spans="1:10" ht="21.25" customHeight="1" x14ac:dyDescent="0.15">
      <c r="A47" s="8" t="s">
        <v>161</v>
      </c>
      <c r="B47" s="137" t="str">
        <f>VLOOKUP(A47,'The List'!B1:D727,3,FALSE)</f>
        <v>RW</v>
      </c>
      <c r="C47" s="48">
        <f>IF(Settings!$E$15="POINTS",RANK(E47,E3:E430),H47)</f>
        <v>48</v>
      </c>
      <c r="D47" s="35" t="str">
        <f>VLOOKUP(A47,'The List'!B1:F727,5,FALSE)</f>
        <v>DET</v>
      </c>
      <c r="E47" s="39">
        <f>VLOOKUP(A47,'The List'!B1:I727,8,FALSE)</f>
        <v>385.48351192549001</v>
      </c>
      <c r="F47" s="39">
        <f>IF(Settings!$E$15="POINTS",E47-VLOOKUP(B$2,C1:E430,3,FALSE),J47)</f>
        <v>18.034385100799341</v>
      </c>
      <c r="G47" s="39"/>
      <c r="H47" s="138">
        <f>RANK(I47,I3:I430)</f>
        <v>64</v>
      </c>
      <c r="I47" s="139">
        <f>VLOOKUP(A47,'Standard Deviations'!A1:C728,3,FALSE)</f>
        <v>5.2329393451736781</v>
      </c>
      <c r="J47" s="139">
        <f>I47-VLOOKUP(B$2,H1:J430,2,FALSE)</f>
        <v>-7.0316242053406697E-2</v>
      </c>
    </row>
    <row r="48" spans="1:10" ht="21.25" customHeight="1" x14ac:dyDescent="0.15">
      <c r="A48" s="8" t="s">
        <v>171</v>
      </c>
      <c r="B48" s="137" t="str">
        <f>VLOOKUP(A48,'The List'!B1:D727,3,FALSE)</f>
        <v>LW</v>
      </c>
      <c r="C48" s="48">
        <f>IF(Settings!$E$15="POINTS",RANK(E48,E3:E430),H48)</f>
        <v>47</v>
      </c>
      <c r="D48" s="35" t="str">
        <f>VLOOKUP(A48,'The List'!B1:F727,5,FALSE)</f>
        <v>BOS</v>
      </c>
      <c r="E48" s="39">
        <f>VLOOKUP(A48,'The List'!B1:I727,8,FALSE)</f>
        <v>388.89618898511213</v>
      </c>
      <c r="F48" s="39">
        <f>IF(Settings!$E$15="POINTS",E48-VLOOKUP(B$2,C1:E430,3,FALSE),J48)</f>
        <v>21.447062160421467</v>
      </c>
      <c r="G48" s="39"/>
      <c r="H48" s="138">
        <f>RANK(I48,I3:I430)</f>
        <v>37</v>
      </c>
      <c r="I48" s="139">
        <f>VLOOKUP(A48,'Standard Deviations'!A1:C728,3,FALSE)</f>
        <v>7.1831147620024556</v>
      </c>
      <c r="J48" s="139">
        <f>I48-VLOOKUP(B$2,H1:J430,2,FALSE)</f>
        <v>1.8798591747753708</v>
      </c>
    </row>
    <row r="49" spans="1:10" ht="21.25" customHeight="1" x14ac:dyDescent="0.15">
      <c r="A49" s="8" t="s">
        <v>206</v>
      </c>
      <c r="B49" s="137" t="str">
        <f>VLOOKUP(A49,'The List'!B1:D727,3,FALSE)</f>
        <v>C</v>
      </c>
      <c r="C49" s="48">
        <f>IF(Settings!$E$15="POINTS",RANK(E49,E3:E430),H49)</f>
        <v>52</v>
      </c>
      <c r="D49" s="35" t="str">
        <f>VLOOKUP(A49,'The List'!B1:F727,5,FALSE)</f>
        <v>FLA</v>
      </c>
      <c r="E49" s="39">
        <f>VLOOKUP(A49,'The List'!B1:I727,8,FALSE)</f>
        <v>382.8834734849176</v>
      </c>
      <c r="F49" s="39">
        <f>IF(Settings!$E$15="POINTS",E49-VLOOKUP(B$2,C1:E430,3,FALSE),J49)</f>
        <v>15.434346660226936</v>
      </c>
      <c r="G49" s="39"/>
      <c r="H49" s="138">
        <f>RANK(I49,I3:I430)</f>
        <v>39</v>
      </c>
      <c r="I49" s="139">
        <f>VLOOKUP(A49,'Standard Deviations'!A1:C728,3,FALSE)</f>
        <v>7.0964577271942524</v>
      </c>
      <c r="J49" s="139">
        <f>I49-VLOOKUP(B$2,H1:J430,2,FALSE)</f>
        <v>1.7932021399671676</v>
      </c>
    </row>
    <row r="50" spans="1:10" ht="21.25" customHeight="1" x14ac:dyDescent="0.15">
      <c r="A50" s="8" t="s">
        <v>153</v>
      </c>
      <c r="B50" s="137" t="str">
        <f>VLOOKUP(A50,'The List'!B1:D727,3,FALSE)</f>
        <v>RW</v>
      </c>
      <c r="C50" s="48">
        <f>IF(Settings!$E$15="POINTS",RANK(E50,E3:E430),H50)</f>
        <v>42</v>
      </c>
      <c r="D50" s="35" t="str">
        <f>VLOOKUP(A50,'The List'!B1:F727,5,FALSE)</f>
        <v>CAR</v>
      </c>
      <c r="E50" s="39">
        <f>VLOOKUP(A50,'The List'!B1:I727,8,FALSE)</f>
        <v>397.91721760147755</v>
      </c>
      <c r="F50" s="39">
        <f>IF(Settings!$E$15="POINTS",E50-VLOOKUP(B$2,C1:E430,3,FALSE),J50)</f>
        <v>30.46809077678688</v>
      </c>
      <c r="G50" s="39"/>
      <c r="H50" s="138">
        <f>RANK(I50,I3:I430)</f>
        <v>27</v>
      </c>
      <c r="I50" s="139">
        <f>VLOOKUP(A50,'Standard Deviations'!A1:C728,3,FALSE)</f>
        <v>7.9760036369413374</v>
      </c>
      <c r="J50" s="139">
        <f>I50-VLOOKUP(B$2,H1:J430,2,FALSE)</f>
        <v>2.6727480497142526</v>
      </c>
    </row>
    <row r="51" spans="1:10" ht="21.25" customHeight="1" x14ac:dyDescent="0.15">
      <c r="A51" s="8" t="s">
        <v>175</v>
      </c>
      <c r="B51" s="137" t="str">
        <f>VLOOKUP(A51,'The List'!B1:D727,3,FALSE)</f>
        <v>LW</v>
      </c>
      <c r="C51" s="48">
        <f>IF(Settings!$E$15="POINTS",RANK(E51,E3:E430),H51)</f>
        <v>56</v>
      </c>
      <c r="D51" s="35" t="str">
        <f>VLOOKUP(A51,'The List'!B1:F727,5,FALSE)</f>
        <v>BUF</v>
      </c>
      <c r="E51" s="39">
        <f>VLOOKUP(A51,'The List'!B1:I727,8,FALSE)</f>
        <v>378.99830546695591</v>
      </c>
      <c r="F51" s="39">
        <f>IF(Settings!$E$15="POINTS",E51-VLOOKUP(B$2,C1:E430,3,FALSE),J51)</f>
        <v>11.549178642265247</v>
      </c>
      <c r="G51" s="39"/>
      <c r="H51" s="138">
        <f>RANK(I51,I3:I430)</f>
        <v>65</v>
      </c>
      <c r="I51" s="139">
        <f>VLOOKUP(A51,'Standard Deviations'!A1:C728,3,FALSE)</f>
        <v>5.2201105750199828</v>
      </c>
      <c r="J51" s="139">
        <f>I51-VLOOKUP(B$2,H1:J430,2,FALSE)</f>
        <v>-8.314501220710202E-2</v>
      </c>
    </row>
    <row r="52" spans="1:10" ht="21.25" customHeight="1" x14ac:dyDescent="0.15">
      <c r="A52" s="8" t="s">
        <v>176</v>
      </c>
      <c r="B52" s="137" t="str">
        <f>VLOOKUP(A52,'The List'!B1:D727,3,FALSE)</f>
        <v>LW</v>
      </c>
      <c r="C52" s="48">
        <f>IF(Settings!$E$15="POINTS",RANK(E52,E3:E430),H52)</f>
        <v>57</v>
      </c>
      <c r="D52" s="35" t="str">
        <f>VLOOKUP(A52,'The List'!B1:F727,5,FALSE)</f>
        <v>NJD</v>
      </c>
      <c r="E52" s="39">
        <f>VLOOKUP(A52,'The List'!B1:I727,8,FALSE)</f>
        <v>378.79732042132815</v>
      </c>
      <c r="F52" s="39">
        <f>IF(Settings!$E$15="POINTS",E52-VLOOKUP(B$2,C1:E430,3,FALSE),J52)</f>
        <v>11.348193596637486</v>
      </c>
      <c r="G52" s="39"/>
      <c r="H52" s="138">
        <f>RANK(I52,I3:I430)</f>
        <v>55</v>
      </c>
      <c r="I52" s="139">
        <f>VLOOKUP(A52,'Standard Deviations'!A1:C728,3,FALSE)</f>
        <v>5.5961904317154074</v>
      </c>
      <c r="J52" s="139">
        <f>I52-VLOOKUP(B$2,H1:J430,2,FALSE)</f>
        <v>0.29293484448832263</v>
      </c>
    </row>
    <row r="53" spans="1:10" ht="21.25" customHeight="1" x14ac:dyDescent="0.15">
      <c r="A53" s="8" t="s">
        <v>178</v>
      </c>
      <c r="B53" s="137" t="str">
        <f>VLOOKUP(A53,'The List'!B1:D727,3,FALSE)</f>
        <v>LW</v>
      </c>
      <c r="C53" s="48">
        <f>IF(Settings!$E$15="POINTS",RANK(E53,E3:E430),H53)</f>
        <v>58</v>
      </c>
      <c r="D53" s="35" t="str">
        <f>VLOOKUP(A53,'The List'!B1:F727,5,FALSE)</f>
        <v>CBJ</v>
      </c>
      <c r="E53" s="39">
        <f>VLOOKUP(A53,'The List'!B1:I727,8,FALSE)</f>
        <v>378.17820461222209</v>
      </c>
      <c r="F53" s="39">
        <f>IF(Settings!$E$15="POINTS",E53-VLOOKUP(B$2,C1:E430,3,FALSE),J53)</f>
        <v>10.729077787531423</v>
      </c>
      <c r="G53" s="39"/>
      <c r="H53" s="138">
        <f>RANK(I53,I3:I430)</f>
        <v>87</v>
      </c>
      <c r="I53" s="139">
        <f>VLOOKUP(A53,'Standard Deviations'!A1:C728,3,FALSE)</f>
        <v>4.2055392250174499</v>
      </c>
      <c r="J53" s="139">
        <f>I53-VLOOKUP(B$2,H1:J430,2,FALSE)</f>
        <v>-1.0977163622096349</v>
      </c>
    </row>
    <row r="54" spans="1:10" ht="21.25" customHeight="1" x14ac:dyDescent="0.15">
      <c r="A54" s="8" t="s">
        <v>195</v>
      </c>
      <c r="B54" s="137" t="str">
        <f>VLOOKUP(A54,'The List'!B1:D727,3,FALSE)</f>
        <v>C</v>
      </c>
      <c r="C54" s="48">
        <f>IF(Settings!$E$15="POINTS",RANK(E54,E3:E430),H54)</f>
        <v>45</v>
      </c>
      <c r="D54" s="35" t="str">
        <f>VLOOKUP(A54,'The List'!B1:F727,5,FALSE)</f>
        <v>VGK</v>
      </c>
      <c r="E54" s="39">
        <f>VLOOKUP(A54,'The List'!B1:I727,8,FALSE)</f>
        <v>391.32381749292205</v>
      </c>
      <c r="F54" s="39">
        <f>IF(Settings!$E$15="POINTS",E54-VLOOKUP(B$2,C1:E430,3,FALSE),J54)</f>
        <v>23.874690668231381</v>
      </c>
      <c r="G54" s="39"/>
      <c r="H54" s="138">
        <f>RANK(I54,I3:I430)</f>
        <v>33</v>
      </c>
      <c r="I54" s="139">
        <f>VLOOKUP(A54,'Standard Deviations'!A1:C728,3,FALSE)</f>
        <v>7.6407226059044717</v>
      </c>
      <c r="J54" s="139">
        <f>I54-VLOOKUP(B$2,H1:J430,2,FALSE)</f>
        <v>2.3374670186773869</v>
      </c>
    </row>
    <row r="55" spans="1:10" ht="21.25" customHeight="1" x14ac:dyDescent="0.15">
      <c r="A55" s="8" t="s">
        <v>177</v>
      </c>
      <c r="B55" s="137" t="str">
        <f>VLOOKUP(A55,'The List'!B1:D727,3,FALSE)</f>
        <v>C</v>
      </c>
      <c r="C55" s="48">
        <f>IF(Settings!$E$15="POINTS",RANK(E55,E3:E430),H55)</f>
        <v>36</v>
      </c>
      <c r="D55" s="35" t="str">
        <f>VLOOKUP(A55,'The List'!B1:F727,5,FALSE)</f>
        <v>BUF</v>
      </c>
      <c r="E55" s="39">
        <f>VLOOKUP(A55,'The List'!B1:I727,8,FALSE)</f>
        <v>407.67256026988247</v>
      </c>
      <c r="F55" s="39">
        <f>IF(Settings!$E$15="POINTS",E55-VLOOKUP(B$2,C1:E430,3,FALSE),J55)</f>
        <v>40.223433445191802</v>
      </c>
      <c r="G55" s="39"/>
      <c r="H55" s="138">
        <f>RANK(I55,I3:I430)</f>
        <v>58</v>
      </c>
      <c r="I55" s="139">
        <f>VLOOKUP(A55,'Standard Deviations'!A1:C728,3,FALSE)</f>
        <v>5.4292298069021507</v>
      </c>
      <c r="J55" s="139">
        <f>I55-VLOOKUP(B$2,H1:J430,2,FALSE)</f>
        <v>0.12597421967506595</v>
      </c>
    </row>
    <row r="56" spans="1:10" ht="21.25" customHeight="1" x14ac:dyDescent="0.15">
      <c r="A56" s="8" t="s">
        <v>192</v>
      </c>
      <c r="B56" s="137" t="str">
        <f>VLOOKUP(A56,'The List'!B1:D727,3,FALSE)</f>
        <v>C</v>
      </c>
      <c r="C56" s="48">
        <f>IF(Settings!$E$15="POINTS",RANK(E56,E3:E430),H56)</f>
        <v>43</v>
      </c>
      <c r="D56" s="35" t="str">
        <f>VLOOKUP(A56,'The List'!B1:F727,5,FALSE)</f>
        <v>NYI</v>
      </c>
      <c r="E56" s="39">
        <f>VLOOKUP(A56,'The List'!B1:I727,8,FALSE)</f>
        <v>393.32880576620965</v>
      </c>
      <c r="F56" s="39">
        <f>IF(Settings!$E$15="POINTS",E56-VLOOKUP(B$2,C1:E430,3,FALSE),J56)</f>
        <v>25.879678941518989</v>
      </c>
      <c r="G56" s="39"/>
      <c r="H56" s="138">
        <f>RANK(I56,I3:I430)</f>
        <v>47</v>
      </c>
      <c r="I56" s="139">
        <f>VLOOKUP(A56,'Standard Deviations'!A1:C728,3,FALSE)</f>
        <v>6.3087086260264673</v>
      </c>
      <c r="J56" s="139">
        <f>I56-VLOOKUP(B$2,H1:J430,2,FALSE)</f>
        <v>1.0054530387993825</v>
      </c>
    </row>
    <row r="57" spans="1:10" ht="21.25" customHeight="1" x14ac:dyDescent="0.15">
      <c r="A57" s="8" t="s">
        <v>165</v>
      </c>
      <c r="B57" s="137" t="str">
        <f>VLOOKUP(A57,'The List'!B1:D727,3,FALSE)</f>
        <v>RW</v>
      </c>
      <c r="C57" s="48">
        <f>IF(Settings!$E$15="POINTS",RANK(E57,E3:E430),H57)</f>
        <v>53</v>
      </c>
      <c r="D57" s="35" t="str">
        <f>VLOOKUP(A57,'The List'!B1:F727,5,FALSE)</f>
        <v>PHI</v>
      </c>
      <c r="E57" s="39">
        <f>VLOOKUP(A57,'The List'!B1:I727,8,FALSE)</f>
        <v>381.57110654800204</v>
      </c>
      <c r="F57" s="39">
        <f>IF(Settings!$E$15="POINTS",E57-VLOOKUP(B$2,C1:E430,3,FALSE),J57)</f>
        <v>14.12197972331137</v>
      </c>
      <c r="G57" s="39"/>
      <c r="H57" s="138">
        <f>RANK(I57,I3:I430)</f>
        <v>91</v>
      </c>
      <c r="I57" s="139">
        <f>VLOOKUP(A57,'Standard Deviations'!A1:C728,3,FALSE)</f>
        <v>3.665986177961746</v>
      </c>
      <c r="J57" s="139">
        <f>I57-VLOOKUP(B$2,H1:J430,2,FALSE)</f>
        <v>-1.6372694092653388</v>
      </c>
    </row>
    <row r="58" spans="1:10" ht="21.25" customHeight="1" x14ac:dyDescent="0.15">
      <c r="A58" s="8" t="s">
        <v>218</v>
      </c>
      <c r="B58" s="137" t="str">
        <f>VLOOKUP(A58,'The List'!B1:D727,3,FALSE)</f>
        <v>C</v>
      </c>
      <c r="C58" s="48">
        <f>IF(Settings!$E$15="POINTS",RANK(E58,E3:E430),H58)</f>
        <v>60</v>
      </c>
      <c r="D58" s="35" t="str">
        <f>VLOOKUP(A58,'The List'!B1:F727,5,FALSE)</f>
        <v>CGY</v>
      </c>
      <c r="E58" s="39">
        <f>VLOOKUP(A58,'The List'!B1:I727,8,FALSE)</f>
        <v>374.08712999126766</v>
      </c>
      <c r="F58" s="39">
        <f>IF(Settings!$E$15="POINTS",E58-VLOOKUP(B$2,C1:E430,3,FALSE),J58)</f>
        <v>6.6380031665769934</v>
      </c>
      <c r="G58" s="39"/>
      <c r="H58" s="138">
        <f>RANK(I58,I3:I430)</f>
        <v>42</v>
      </c>
      <c r="I58" s="139">
        <f>VLOOKUP(A58,'Standard Deviations'!A1:C728,3,FALSE)</f>
        <v>6.5464766857302283</v>
      </c>
      <c r="J58" s="139">
        <f>I58-VLOOKUP(B$2,H1:J430,2,FALSE)</f>
        <v>1.2432210985031436</v>
      </c>
    </row>
    <row r="59" spans="1:10" ht="21.25" customHeight="1" x14ac:dyDescent="0.15">
      <c r="A59" s="8" t="s">
        <v>200</v>
      </c>
      <c r="B59" s="137" t="str">
        <f>VLOOKUP(A59,'The List'!B1:D727,3,FALSE)</f>
        <v>C</v>
      </c>
      <c r="C59" s="48">
        <f>IF(Settings!$E$15="POINTS",RANK(E59,E3:E430),H59)</f>
        <v>49</v>
      </c>
      <c r="D59" s="35" t="str">
        <f>VLOOKUP(A59,'The List'!B1:F727,5,FALSE)</f>
        <v>WPG</v>
      </c>
      <c r="E59" s="39">
        <f>VLOOKUP(A59,'The List'!B1:I727,8,FALSE)</f>
        <v>385.11624783871372</v>
      </c>
      <c r="F59" s="39">
        <f>IF(Settings!$E$15="POINTS",E59-VLOOKUP(B$2,C1:E430,3,FALSE),J59)</f>
        <v>17.667121014023053</v>
      </c>
      <c r="G59" s="39"/>
      <c r="H59" s="138">
        <f>RANK(I59,I3:I430)</f>
        <v>51</v>
      </c>
      <c r="I59" s="139">
        <f>VLOOKUP(A59,'Standard Deviations'!A1:C728,3,FALSE)</f>
        <v>6.004276467652959</v>
      </c>
      <c r="J59" s="139">
        <f>I59-VLOOKUP(B$2,H1:J430,2,FALSE)</f>
        <v>0.70102088042587418</v>
      </c>
    </row>
    <row r="60" spans="1:10" ht="21.25" customHeight="1" x14ac:dyDescent="0.15">
      <c r="A60" s="8" t="s">
        <v>183</v>
      </c>
      <c r="B60" s="137" t="str">
        <f>VLOOKUP(A60,'The List'!B1:D727,3,FALSE)</f>
        <v>RW</v>
      </c>
      <c r="C60" s="48">
        <f>IF(Settings!$E$15="POINTS",RANK(E60,E3:E430),H60)</f>
        <v>74</v>
      </c>
      <c r="D60" s="35" t="str">
        <f>VLOOKUP(A60,'The List'!B1:F727,5,FALSE)</f>
        <v>MIN</v>
      </c>
      <c r="E60" s="39">
        <f>VLOOKUP(A60,'The List'!B1:I727,8,FALSE)</f>
        <v>352.82746573939971</v>
      </c>
      <c r="F60" s="39">
        <f>IF(Settings!$E$15="POINTS",E60-VLOOKUP(B$2,C1:E430,3,FALSE),J60)</f>
        <v>-14.621661085290953</v>
      </c>
      <c r="G60" s="39"/>
      <c r="H60" s="138">
        <f>RANK(I60,I3:I430)</f>
        <v>63</v>
      </c>
      <c r="I60" s="139">
        <f>VLOOKUP(A60,'Standard Deviations'!A1:C728,3,FALSE)</f>
        <v>5.2623357621499718</v>
      </c>
      <c r="J60" s="139">
        <f>I60-VLOOKUP(B$2,H1:J430,2,FALSE)</f>
        <v>-4.0919825077113003E-2</v>
      </c>
    </row>
    <row r="61" spans="1:10" ht="21.25" customHeight="1" x14ac:dyDescent="0.15">
      <c r="A61" s="8" t="s">
        <v>205</v>
      </c>
      <c r="B61" s="137" t="str">
        <f>VLOOKUP(A61,'The List'!B1:D727,3,FALSE)</f>
        <v>C</v>
      </c>
      <c r="C61" s="48">
        <f>IF(Settings!$E$15="POINTS",RANK(E61,E3:E430),H61)</f>
        <v>51</v>
      </c>
      <c r="D61" s="35" t="str">
        <f>VLOOKUP(A61,'The List'!B1:F727,5,FALSE)</f>
        <v>ANA</v>
      </c>
      <c r="E61" s="39">
        <f>VLOOKUP(A61,'The List'!B1:I727,8,FALSE)</f>
        <v>382.98390994240623</v>
      </c>
      <c r="F61" s="39">
        <f>IF(Settings!$E$15="POINTS",E61-VLOOKUP(B$2,C1:E430,3,FALSE),J61)</f>
        <v>15.534783117715563</v>
      </c>
      <c r="G61" s="39"/>
      <c r="H61" s="138">
        <f>RANK(I61,I3:I430)</f>
        <v>105</v>
      </c>
      <c r="I61" s="139">
        <f>VLOOKUP(A61,'Standard Deviations'!A1:C728,3,FALSE)</f>
        <v>2.7916135469166181</v>
      </c>
      <c r="J61" s="139">
        <f>I61-VLOOKUP(B$2,H1:J430,2,FALSE)</f>
        <v>-2.5116420403104667</v>
      </c>
    </row>
    <row r="62" spans="1:10" ht="21.25" customHeight="1" x14ac:dyDescent="0.15">
      <c r="A62" s="8" t="s">
        <v>173</v>
      </c>
      <c r="B62" s="137" t="str">
        <f>VLOOKUP(A62,'The List'!B1:D727,3,FALSE)</f>
        <v>RW</v>
      </c>
      <c r="C62" s="48">
        <f>IF(Settings!$E$15="POINTS",RANK(E62,E3:E430),H62)</f>
        <v>62</v>
      </c>
      <c r="D62" s="35" t="str">
        <f>VLOOKUP(A62,'The List'!B1:F727,5,FALSE)</f>
        <v>ANA</v>
      </c>
      <c r="E62" s="39">
        <f>VLOOKUP(A62,'The List'!B1:I727,8,FALSE)</f>
        <v>367.41759376116539</v>
      </c>
      <c r="F62" s="39">
        <f>IF(Settings!$E$15="POINTS",E62-VLOOKUP(B$2,C1:E430,3,FALSE),J62)</f>
        <v>-3.1533063525273519E-2</v>
      </c>
      <c r="G62" s="39"/>
      <c r="H62" s="138">
        <f>RANK(I62,I3:I430)</f>
        <v>101</v>
      </c>
      <c r="I62" s="139">
        <f>VLOOKUP(A62,'Standard Deviations'!A1:C728,3,FALSE)</f>
        <v>3.0156370368596876</v>
      </c>
      <c r="J62" s="139">
        <f>I62-VLOOKUP(B$2,H1:J430,2,FALSE)</f>
        <v>-2.2876185503673971</v>
      </c>
    </row>
    <row r="63" spans="1:10" ht="21.25" customHeight="1" x14ac:dyDescent="0.15">
      <c r="A63" s="8" t="s">
        <v>226</v>
      </c>
      <c r="B63" s="137" t="str">
        <f>VLOOKUP(A63,'The List'!B1:D727,3,FALSE)</f>
        <v>C</v>
      </c>
      <c r="C63" s="48">
        <f>IF(Settings!$E$15="POINTS",RANK(E63,E3:E430),H63)</f>
        <v>64</v>
      </c>
      <c r="D63" s="35" t="str">
        <f>VLOOKUP(A63,'The List'!B1:F727,5,FALSE)</f>
        <v>DAL</v>
      </c>
      <c r="E63" s="39">
        <f>VLOOKUP(A63,'The List'!B1:I727,8,FALSE)</f>
        <v>366.71196358538396</v>
      </c>
      <c r="F63" s="39">
        <f>IF(Settings!$E$15="POINTS",E63-VLOOKUP(B$2,C1:E430,3,FALSE),J63)</f>
        <v>-0.73716323930671024</v>
      </c>
      <c r="G63" s="39"/>
      <c r="H63" s="138">
        <f>RANK(I63,I3:I430)</f>
        <v>31</v>
      </c>
      <c r="I63" s="139">
        <f>VLOOKUP(A63,'Standard Deviations'!A1:C728,3,FALSE)</f>
        <v>7.7721824178463255</v>
      </c>
      <c r="J63" s="139">
        <f>I63-VLOOKUP(B$2,H1:J430,2,FALSE)</f>
        <v>2.4689268306192407</v>
      </c>
    </row>
    <row r="64" spans="1:10" ht="21.25" customHeight="1" x14ac:dyDescent="0.15">
      <c r="A64" s="8" t="s">
        <v>174</v>
      </c>
      <c r="B64" s="137" t="str">
        <f>VLOOKUP(A64,'The List'!B1:D727,3,FALSE)</f>
        <v>RW</v>
      </c>
      <c r="C64" s="48">
        <f>IF(Settings!$E$15="POINTS",RANK(E64,E3:E430),H64)</f>
        <v>65</v>
      </c>
      <c r="D64" s="35" t="str">
        <f>VLOOKUP(A64,'The List'!B1:F727,5,FALSE)</f>
        <v>VGK</v>
      </c>
      <c r="E64" s="39">
        <f>VLOOKUP(A64,'The List'!B1:I727,8,FALSE)</f>
        <v>365.62213145941126</v>
      </c>
      <c r="F64" s="39">
        <f>IF(Settings!$E$15="POINTS",E64-VLOOKUP(B$2,C1:E430,3,FALSE),J64)</f>
        <v>-1.8269953652794015</v>
      </c>
      <c r="G64" s="39"/>
      <c r="H64" s="138">
        <f>RANK(I64,I3:I430)</f>
        <v>53</v>
      </c>
      <c r="I64" s="139">
        <f>VLOOKUP(A64,'Standard Deviations'!A1:C728,3,FALSE)</f>
        <v>5.9594550255847762</v>
      </c>
      <c r="J64" s="139">
        <f>I64-VLOOKUP(B$2,H1:J430,2,FALSE)</f>
        <v>0.65619943835769146</v>
      </c>
    </row>
    <row r="65" spans="1:10" ht="21.25" customHeight="1" x14ac:dyDescent="0.15">
      <c r="A65" s="8" t="s">
        <v>204</v>
      </c>
      <c r="B65" s="137" t="str">
        <f>VLOOKUP(A65,'The List'!B1:D727,3,FALSE)</f>
        <v>C</v>
      </c>
      <c r="C65" s="48">
        <f>IF(Settings!$E$15="POINTS",RANK(E65,E3:E430),H65)</f>
        <v>50</v>
      </c>
      <c r="D65" s="35" t="str">
        <f>VLOOKUP(A65,'The List'!B1:F727,5,FALSE)</f>
        <v>MIN</v>
      </c>
      <c r="E65" s="39">
        <f>VLOOKUP(A65,'The List'!B1:I727,8,FALSE)</f>
        <v>383.00920620826975</v>
      </c>
      <c r="F65" s="39">
        <f>IF(Settings!$E$15="POINTS",E65-VLOOKUP(B$2,C1:E430,3,FALSE),J65)</f>
        <v>15.56007938357908</v>
      </c>
      <c r="G65" s="39"/>
      <c r="H65" s="138">
        <f>RANK(I65,I3:I430)</f>
        <v>40</v>
      </c>
      <c r="I65" s="139">
        <f>VLOOKUP(A65,'Standard Deviations'!A1:C728,3,FALSE)</f>
        <v>6.942721142001675</v>
      </c>
      <c r="J65" s="139">
        <f>I65-VLOOKUP(B$2,H1:J430,2,FALSE)</f>
        <v>1.6394655547745902</v>
      </c>
    </row>
    <row r="66" spans="1:10" ht="21.25" customHeight="1" x14ac:dyDescent="0.15">
      <c r="A66" s="8" t="s">
        <v>210</v>
      </c>
      <c r="B66" s="137" t="str">
        <f>VLOOKUP(A66,'The List'!B1:D727,3,FALSE)</f>
        <v>C</v>
      </c>
      <c r="C66" s="48">
        <f>IF(Settings!$E$15="POINTS",RANK(E66,E3:E430),H66)</f>
        <v>55</v>
      </c>
      <c r="D66" s="35" t="str">
        <f>VLOOKUP(A66,'The List'!B1:F727,5,FALSE)</f>
        <v>PIT</v>
      </c>
      <c r="E66" s="39">
        <f>VLOOKUP(A66,'The List'!B1:I727,8,FALSE)</f>
        <v>379.2995926176057</v>
      </c>
      <c r="F66" s="39">
        <f>IF(Settings!$E$15="POINTS",E66-VLOOKUP(B$2,C1:E430,3,FALSE),J66)</f>
        <v>11.850465792915031</v>
      </c>
      <c r="G66" s="39"/>
      <c r="H66" s="138">
        <f>RANK(I66,I3:I430)</f>
        <v>48</v>
      </c>
      <c r="I66" s="139">
        <f>VLOOKUP(A66,'Standard Deviations'!A1:C728,3,FALSE)</f>
        <v>6.1488991581467882</v>
      </c>
      <c r="J66" s="139">
        <f>I66-VLOOKUP(B$2,H1:J430,2,FALSE)</f>
        <v>0.84564357091970344</v>
      </c>
    </row>
    <row r="67" spans="1:10" ht="21.25" customHeight="1" x14ac:dyDescent="0.15">
      <c r="A67" s="8" t="s">
        <v>228</v>
      </c>
      <c r="B67" s="137" t="str">
        <f>VLOOKUP(A67,'The List'!B1:D727,3,FALSE)</f>
        <v>C</v>
      </c>
      <c r="C67" s="48">
        <f>IF(Settings!$E$15="POINTS",RANK(E67,E3:E430),H67)</f>
        <v>66</v>
      </c>
      <c r="D67" s="35" t="str">
        <f>VLOOKUP(A67,'The List'!B1:F727,5,FALSE)</f>
        <v>CAR</v>
      </c>
      <c r="E67" s="39">
        <f>VLOOKUP(A67,'The List'!B1:I727,8,FALSE)</f>
        <v>364.89159157508874</v>
      </c>
      <c r="F67" s="39">
        <f>IF(Settings!$E$15="POINTS",E67-VLOOKUP(B$2,C1:E430,3,FALSE),J67)</f>
        <v>-2.5575352496019264</v>
      </c>
      <c r="G67" s="39"/>
      <c r="H67" s="138">
        <f>RANK(I67,I3:I430)</f>
        <v>49</v>
      </c>
      <c r="I67" s="139">
        <f>VLOOKUP(A67,'Standard Deviations'!A1:C728,3,FALSE)</f>
        <v>6.0951409806100019</v>
      </c>
      <c r="J67" s="139">
        <f>I67-VLOOKUP(B$2,H1:J430,2,FALSE)</f>
        <v>0.79188539338291708</v>
      </c>
    </row>
    <row r="68" spans="1:10" ht="21.25" customHeight="1" x14ac:dyDescent="0.15">
      <c r="A68" s="8" t="s">
        <v>190</v>
      </c>
      <c r="B68" s="137" t="str">
        <f>VLOOKUP(A68,'The List'!B1:D727,3,FALSE)</f>
        <v>LW</v>
      </c>
      <c r="C68" s="48">
        <f>IF(Settings!$E$15="POINTS",RANK(E68,E3:E430),H68)</f>
        <v>67</v>
      </c>
      <c r="D68" s="35" t="str">
        <f>VLOOKUP(A68,'The List'!B1:F727,5,FALSE)</f>
        <v>CGY</v>
      </c>
      <c r="E68" s="39">
        <f>VLOOKUP(A68,'The List'!B1:I727,8,FALSE)</f>
        <v>364.04060485765046</v>
      </c>
      <c r="F68" s="39">
        <f>IF(Settings!$E$15="POINTS",E68-VLOOKUP(B$2,C1:E430,3,FALSE),J68)</f>
        <v>-3.4085219670402012</v>
      </c>
      <c r="G68" s="39"/>
      <c r="H68" s="138">
        <f>RANK(I68,I3:I430)</f>
        <v>61</v>
      </c>
      <c r="I68" s="139">
        <f>VLOOKUP(A68,'Standard Deviations'!A1:C728,3,FALSE)</f>
        <v>5.3032555872270848</v>
      </c>
      <c r="J68" s="139">
        <f>I68-VLOOKUP(B$2,H1:J430,2,FALSE)</f>
        <v>0</v>
      </c>
    </row>
    <row r="69" spans="1:10" ht="21.25" customHeight="1" x14ac:dyDescent="0.15">
      <c r="A69" s="8" t="s">
        <v>229</v>
      </c>
      <c r="B69" s="137" t="str">
        <f>VLOOKUP(A69,'The List'!B1:D727,3,FALSE)</f>
        <v>C</v>
      </c>
      <c r="C69" s="48">
        <f>IF(Settings!$E$15="POINTS",RANK(E69,E3:E430),H69)</f>
        <v>68</v>
      </c>
      <c r="D69" s="35" t="str">
        <f>VLOOKUP(A69,'The List'!B1:F727,5,FALSE)</f>
        <v>NYI</v>
      </c>
      <c r="E69" s="39">
        <f>VLOOKUP(A69,'The List'!B1:I727,8,FALSE)</f>
        <v>361.75607616544806</v>
      </c>
      <c r="F69" s="39">
        <f>IF(Settings!$E$15="POINTS",E69-VLOOKUP(B$2,C1:E430,3,FALSE),J69)</f>
        <v>-5.6930506592426013</v>
      </c>
      <c r="G69" s="39"/>
      <c r="H69" s="138">
        <f>RANK(I69,I3:I430)</f>
        <v>57</v>
      </c>
      <c r="I69" s="139">
        <f>VLOOKUP(A69,'Standard Deviations'!A1:C728,3,FALSE)</f>
        <v>5.5582522391025933</v>
      </c>
      <c r="J69" s="139">
        <f>I69-VLOOKUP(B$2,H1:J430,2,FALSE)</f>
        <v>0.25499665187550846</v>
      </c>
    </row>
    <row r="70" spans="1:10" ht="21.25" customHeight="1" x14ac:dyDescent="0.15">
      <c r="A70" s="8" t="s">
        <v>256</v>
      </c>
      <c r="B70" s="137" t="str">
        <f>VLOOKUP(A70,'The List'!B1:D727,3,FALSE)</f>
        <v>C</v>
      </c>
      <c r="C70" s="48">
        <f>IF(Settings!$E$15="POINTS",RANK(E70,E3:E430),H70)</f>
        <v>84</v>
      </c>
      <c r="D70" s="35" t="str">
        <f>VLOOKUP(A70,'The List'!B1:F727,5,FALSE)</f>
        <v>SJS</v>
      </c>
      <c r="E70" s="39">
        <f>VLOOKUP(A70,'The List'!B1:I727,8,FALSE)</f>
        <v>343.20325550677262</v>
      </c>
      <c r="F70" s="39">
        <f>IF(Settings!$E$15="POINTS",E70-VLOOKUP(B$2,C1:E430,3,FALSE),J70)</f>
        <v>-24.245871317918045</v>
      </c>
      <c r="G70" s="39"/>
      <c r="H70" s="138">
        <f>RANK(I70,I3:I430)</f>
        <v>79</v>
      </c>
      <c r="I70" s="139">
        <f>VLOOKUP(A70,'Standard Deviations'!A1:C728,3,FALSE)</f>
        <v>4.6757603366467695</v>
      </c>
      <c r="J70" s="139">
        <f>I70-VLOOKUP(B$2,H1:J430,2,FALSE)</f>
        <v>-0.6274952505803153</v>
      </c>
    </row>
    <row r="71" spans="1:10" ht="21.25" customHeight="1" x14ac:dyDescent="0.15">
      <c r="A71" s="8" t="s">
        <v>180</v>
      </c>
      <c r="B71" s="137" t="str">
        <f>VLOOKUP(A71,'The List'!B1:D727,3,FALSE)</f>
        <v>RW</v>
      </c>
      <c r="C71" s="48">
        <f>IF(Settings!$E$15="POINTS",RANK(E71,E3:E430),H71)</f>
        <v>69</v>
      </c>
      <c r="D71" s="35" t="str">
        <f>VLOOKUP(A71,'The List'!B1:F727,5,FALSE)</f>
        <v>COL</v>
      </c>
      <c r="E71" s="39">
        <f>VLOOKUP(A71,'The List'!B1:I727,8,FALSE)</f>
        <v>361.45643405605426</v>
      </c>
      <c r="F71" s="39">
        <f>IF(Settings!$E$15="POINTS",E71-VLOOKUP(B$2,C1:E430,3,FALSE),J71)</f>
        <v>-5.9926927686364024</v>
      </c>
      <c r="G71" s="39"/>
      <c r="H71" s="138">
        <f>RANK(I71,I3:I430)</f>
        <v>45</v>
      </c>
      <c r="I71" s="139">
        <f>VLOOKUP(A71,'Standard Deviations'!A1:C728,3,FALSE)</f>
        <v>6.3697287868745329</v>
      </c>
      <c r="J71" s="139">
        <f>I71-VLOOKUP(B$2,H1:J430,2,FALSE)</f>
        <v>1.0664731996474481</v>
      </c>
    </row>
    <row r="72" spans="1:10" ht="21.25" customHeight="1" x14ac:dyDescent="0.15">
      <c r="A72" s="8" t="s">
        <v>244</v>
      </c>
      <c r="B72" s="137" t="str">
        <f>VLOOKUP(A72,'The List'!B1:D727,3,FALSE)</f>
        <v>C</v>
      </c>
      <c r="C72" s="48">
        <f>IF(Settings!$E$15="POINTS",RANK(E72,E3:E430),H72)</f>
        <v>75</v>
      </c>
      <c r="D72" s="35" t="str">
        <f>VLOOKUP(A72,'The List'!B1:F727,5,FALSE)</f>
        <v>CGY</v>
      </c>
      <c r="E72" s="39">
        <f>VLOOKUP(A72,'The List'!B1:I727,8,FALSE)</f>
        <v>352.67580034019909</v>
      </c>
      <c r="F72" s="39">
        <f>IF(Settings!$E$15="POINTS",E72-VLOOKUP(B$2,C1:E430,3,FALSE),J72)</f>
        <v>-14.773326484491577</v>
      </c>
      <c r="G72" s="39"/>
      <c r="H72" s="138">
        <f>RANK(I72,I3:I430)</f>
        <v>72</v>
      </c>
      <c r="I72" s="139">
        <f>VLOOKUP(A72,'Standard Deviations'!A1:C728,3,FALSE)</f>
        <v>4.9902627935812349</v>
      </c>
      <c r="J72" s="139">
        <f>I72-VLOOKUP(B$2,H1:J430,2,FALSE)</f>
        <v>-0.31299279364584986</v>
      </c>
    </row>
    <row r="73" spans="1:10" ht="21.25" customHeight="1" x14ac:dyDescent="0.15">
      <c r="A73" s="8" t="s">
        <v>225</v>
      </c>
      <c r="B73" s="137" t="str">
        <f>VLOOKUP(A73,'The List'!B1:D727,3,FALSE)</f>
        <v>C</v>
      </c>
      <c r="C73" s="48">
        <f>IF(Settings!$E$15="POINTS",RANK(E73,E3:E430),H73)</f>
        <v>61</v>
      </c>
      <c r="D73" s="35" t="str">
        <f>VLOOKUP(A73,'The List'!B1:F727,5,FALSE)</f>
        <v>NYI</v>
      </c>
      <c r="E73" s="39">
        <f>VLOOKUP(A73,'The List'!B1:I727,8,FALSE)</f>
        <v>367.44912682469067</v>
      </c>
      <c r="F73" s="39">
        <f>IF(Settings!$E$15="POINTS",E73-VLOOKUP(B$2,C1:E430,3,FALSE),J73)</f>
        <v>0</v>
      </c>
      <c r="G73" s="39"/>
      <c r="H73" s="138">
        <f>RANK(I73,I3:I430)</f>
        <v>54</v>
      </c>
      <c r="I73" s="139">
        <f>VLOOKUP(A73,'Standard Deviations'!A1:C728,3,FALSE)</f>
        <v>5.6272799277373799</v>
      </c>
      <c r="J73" s="139">
        <f>I73-VLOOKUP(B$2,H1:J430,2,FALSE)</f>
        <v>0.32402434051029516</v>
      </c>
    </row>
    <row r="74" spans="1:10" ht="21.25" customHeight="1" x14ac:dyDescent="0.15">
      <c r="A74" s="8" t="s">
        <v>182</v>
      </c>
      <c r="B74" s="137" t="str">
        <f>VLOOKUP(A74,'The List'!B1:D727,3,FALSE)</f>
        <v>LW</v>
      </c>
      <c r="C74" s="48">
        <f>IF(Settings!$E$15="POINTS",RANK(E74,E3:E430),H74)</f>
        <v>63</v>
      </c>
      <c r="D74" s="35" t="str">
        <f>VLOOKUP(A74,'The List'!B1:F727,5,FALSE)</f>
        <v>NSH</v>
      </c>
      <c r="E74" s="39">
        <f>VLOOKUP(A74,'The List'!B1:I727,8,FALSE)</f>
        <v>366.90918120641453</v>
      </c>
      <c r="F74" s="39">
        <f>IF(Settings!$E$15="POINTS",E74-VLOOKUP(B$2,C1:E430,3,FALSE),J74)</f>
        <v>-0.53994561827613552</v>
      </c>
      <c r="G74" s="39"/>
      <c r="H74" s="138">
        <f>RANK(I74,I3:I430)</f>
        <v>69</v>
      </c>
      <c r="I74" s="139">
        <f>VLOOKUP(A74,'Standard Deviations'!A1:C728,3,FALSE)</f>
        <v>5.0511679036927291</v>
      </c>
      <c r="J74" s="139">
        <f>I74-VLOOKUP(B$2,H1:J430,2,FALSE)</f>
        <v>-0.25208768353435573</v>
      </c>
    </row>
    <row r="75" spans="1:10" ht="21.25" customHeight="1" x14ac:dyDescent="0.15">
      <c r="A75" s="8" t="s">
        <v>237</v>
      </c>
      <c r="B75" s="137" t="str">
        <f>VLOOKUP(A75,'The List'!B1:D727,3,FALSE)</f>
        <v>C</v>
      </c>
      <c r="C75" s="48">
        <f>IF(Settings!$E$15="POINTS",RANK(E75,E3:E430),H75)</f>
        <v>70</v>
      </c>
      <c r="D75" s="35" t="str">
        <f>VLOOKUP(A75,'The List'!B1:F727,5,FALSE)</f>
        <v>LAK</v>
      </c>
      <c r="E75" s="39">
        <f>VLOOKUP(A75,'The List'!B1:I727,8,FALSE)</f>
        <v>357.34081558137484</v>
      </c>
      <c r="F75" s="39">
        <f>IF(Settings!$E$15="POINTS",E75-VLOOKUP(B$2,C1:E430,3,FALSE),J75)</f>
        <v>-10.108311243315825</v>
      </c>
      <c r="G75" s="39"/>
      <c r="H75" s="138">
        <f>RANK(I75,I3:I430)</f>
        <v>78</v>
      </c>
      <c r="I75" s="139">
        <f>VLOOKUP(A75,'Standard Deviations'!A1:C728,3,FALSE)</f>
        <v>4.73038219428157</v>
      </c>
      <c r="J75" s="139">
        <f>I75-VLOOKUP(B$2,H1:J430,2,FALSE)</f>
        <v>-0.57287339294551476</v>
      </c>
    </row>
    <row r="76" spans="1:10" ht="21.25" customHeight="1" x14ac:dyDescent="0.15">
      <c r="A76" s="8" t="s">
        <v>208</v>
      </c>
      <c r="B76" s="137" t="str">
        <f>VLOOKUP(A76,'The List'!B1:D727,3,FALSE)</f>
        <v>LW</v>
      </c>
      <c r="C76" s="48">
        <f>IF(Settings!$E$15="POINTS",RANK(E76,E3:E430),H76)</f>
        <v>76</v>
      </c>
      <c r="D76" s="35" t="str">
        <f>VLOOKUP(A76,'The List'!B1:F727,5,FALSE)</f>
        <v>LAK</v>
      </c>
      <c r="E76" s="39">
        <f>VLOOKUP(A76,'The List'!B1:I727,8,FALSE)</f>
        <v>351.79261849203982</v>
      </c>
      <c r="F76" s="39">
        <f>IF(Settings!$E$15="POINTS",E76-VLOOKUP(B$2,C1:E430,3,FALSE),J76)</f>
        <v>-15.656508332650844</v>
      </c>
      <c r="G76" s="39"/>
      <c r="H76" s="138">
        <f>RANK(I76,I3:I430)</f>
        <v>70</v>
      </c>
      <c r="I76" s="139">
        <f>VLOOKUP(A76,'Standard Deviations'!A1:C728,3,FALSE)</f>
        <v>5.0224087455135056</v>
      </c>
      <c r="J76" s="139">
        <f>I76-VLOOKUP(B$2,H1:J430,2,FALSE)</f>
        <v>-0.28084684171357921</v>
      </c>
    </row>
    <row r="77" spans="1:10" ht="21.25" customHeight="1" x14ac:dyDescent="0.15">
      <c r="A77" s="8" t="s">
        <v>241</v>
      </c>
      <c r="B77" s="137" t="str">
        <f>VLOOKUP(A77,'The List'!B1:D727,3,FALSE)</f>
        <v>C</v>
      </c>
      <c r="C77" s="48">
        <f>IF(Settings!$E$15="POINTS",RANK(E77,E3:E430),H77)</f>
        <v>72</v>
      </c>
      <c r="D77" s="35" t="str">
        <f>VLOOKUP(A77,'The List'!B1:F727,5,FALSE)</f>
        <v>MTL</v>
      </c>
      <c r="E77" s="39">
        <f>VLOOKUP(A77,'The List'!B1:I727,8,FALSE)</f>
        <v>355.35656137552519</v>
      </c>
      <c r="F77" s="39">
        <f>IF(Settings!$E$15="POINTS",E77-VLOOKUP(B$2,C1:E430,3,FALSE),J77)</f>
        <v>-12.092565449165477</v>
      </c>
      <c r="G77" s="39"/>
      <c r="H77" s="138">
        <f>RANK(I77,I3:I430)</f>
        <v>113</v>
      </c>
      <c r="I77" s="139">
        <f>VLOOKUP(A77,'Standard Deviations'!A1:C728,3,FALSE)</f>
        <v>2.4982637819246918</v>
      </c>
      <c r="J77" s="139">
        <f>I77-VLOOKUP(B$2,H1:J430,2,FALSE)</f>
        <v>-2.804991805302393</v>
      </c>
    </row>
    <row r="78" spans="1:10" ht="21.25" customHeight="1" x14ac:dyDescent="0.15">
      <c r="A78" s="8" t="s">
        <v>191</v>
      </c>
      <c r="B78" s="137" t="str">
        <f>VLOOKUP(A78,'The List'!B1:D727,3,FALSE)</f>
        <v>RW</v>
      </c>
      <c r="C78" s="48">
        <f>IF(Settings!$E$15="POINTS",RANK(E78,E3:E430),H78)</f>
        <v>78</v>
      </c>
      <c r="D78" s="35" t="str">
        <f>VLOOKUP(A78,'The List'!B1:F727,5,FALSE)</f>
        <v>OTT</v>
      </c>
      <c r="E78" s="39">
        <f>VLOOKUP(A78,'The List'!B1:I727,8,FALSE)</f>
        <v>350.27154054788957</v>
      </c>
      <c r="F78" s="39">
        <f>IF(Settings!$E$15="POINTS",E78-VLOOKUP(B$2,C1:E430,3,FALSE),J78)</f>
        <v>-17.177586276801094</v>
      </c>
      <c r="G78" s="39"/>
      <c r="H78" s="138">
        <f>RANK(I78,I3:I430)</f>
        <v>81</v>
      </c>
      <c r="I78" s="139">
        <f>VLOOKUP(A78,'Standard Deviations'!A1:C728,3,FALSE)</f>
        <v>4.5891402131302756</v>
      </c>
      <c r="J78" s="139">
        <f>I78-VLOOKUP(B$2,H1:J430,2,FALSE)</f>
        <v>-0.71411537409680914</v>
      </c>
    </row>
    <row r="79" spans="1:10" ht="21.25" customHeight="1" x14ac:dyDescent="0.15">
      <c r="A79" s="8" t="s">
        <v>201</v>
      </c>
      <c r="B79" s="137" t="str">
        <f>VLOOKUP(A79,'The List'!B1:D727,3,FALSE)</f>
        <v>LW</v>
      </c>
      <c r="C79" s="48">
        <f>IF(Settings!$E$15="POINTS",RANK(E79,E3:E430),H79)</f>
        <v>73</v>
      </c>
      <c r="D79" s="35" t="str">
        <f>VLOOKUP(A79,'The List'!B1:F727,5,FALSE)</f>
        <v>NYR</v>
      </c>
      <c r="E79" s="39">
        <f>VLOOKUP(A79,'The List'!B1:I727,8,FALSE)</f>
        <v>354.73574334384506</v>
      </c>
      <c r="F79" s="39">
        <f>IF(Settings!$E$15="POINTS",E79-VLOOKUP(B$2,C1:E430,3,FALSE),J79)</f>
        <v>-12.713383480845607</v>
      </c>
      <c r="G79" s="39"/>
      <c r="H79" s="138">
        <f>RANK(I79,I3:I430)</f>
        <v>43</v>
      </c>
      <c r="I79" s="139">
        <f>VLOOKUP(A79,'Standard Deviations'!A1:C728,3,FALSE)</f>
        <v>6.4045697527198202</v>
      </c>
      <c r="J79" s="139">
        <f>I79-VLOOKUP(B$2,H1:J430,2,FALSE)</f>
        <v>1.1013141654927354</v>
      </c>
    </row>
    <row r="80" spans="1:10" ht="21.25" customHeight="1" x14ac:dyDescent="0.15">
      <c r="A80" s="8" t="s">
        <v>215</v>
      </c>
      <c r="B80" s="137" t="str">
        <f>VLOOKUP(A80,'The List'!B1:D727,3,FALSE)</f>
        <v>LW</v>
      </c>
      <c r="C80" s="48">
        <f>IF(Settings!$E$15="POINTS",RANK(E80,E3:E430),H80)</f>
        <v>79</v>
      </c>
      <c r="D80" s="35" t="str">
        <f>VLOOKUP(A80,'The List'!B1:F727,5,FALSE)</f>
        <v>WPG</v>
      </c>
      <c r="E80" s="39">
        <f>VLOOKUP(A80,'The List'!B1:I727,8,FALSE)</f>
        <v>347.66087529761461</v>
      </c>
      <c r="F80" s="39">
        <f>IF(Settings!$E$15="POINTS",E80-VLOOKUP(B$2,C1:E430,3,FALSE),J80)</f>
        <v>-19.788251527076056</v>
      </c>
      <c r="G80" s="39"/>
      <c r="H80" s="138">
        <f>RANK(I80,I3:I430)</f>
        <v>68</v>
      </c>
      <c r="I80" s="139">
        <f>VLOOKUP(A80,'Standard Deviations'!A1:C728,3,FALSE)</f>
        <v>5.079319746696231</v>
      </c>
      <c r="J80" s="139">
        <f>I80-VLOOKUP(B$2,H1:J430,2,FALSE)</f>
        <v>-0.2239358405308538</v>
      </c>
    </row>
    <row r="81" spans="1:10" ht="21.25" customHeight="1" x14ac:dyDescent="0.15">
      <c r="A81" s="8" t="s">
        <v>254</v>
      </c>
      <c r="B81" s="137" t="str">
        <f>VLOOKUP(A81,'The List'!B1:D727,3,FALSE)</f>
        <v>C</v>
      </c>
      <c r="C81" s="48">
        <f>IF(Settings!$E$15="POINTS",RANK(E81,E3:E430),H81)</f>
        <v>82</v>
      </c>
      <c r="D81" s="35" t="str">
        <f>VLOOKUP(A81,'The List'!B1:F727,5,FALSE)</f>
        <v>LAK</v>
      </c>
      <c r="E81" s="39">
        <f>VLOOKUP(A81,'The List'!B1:I727,8,FALSE)</f>
        <v>344.88363545338518</v>
      </c>
      <c r="F81" s="39">
        <f>IF(Settings!$E$15="POINTS",E81-VLOOKUP(B$2,C1:E430,3,FALSE),J81)</f>
        <v>-22.565491371305484</v>
      </c>
      <c r="G81" s="39"/>
      <c r="H81" s="138">
        <f>RANK(I81,I3:I430)</f>
        <v>71</v>
      </c>
      <c r="I81" s="139">
        <f>VLOOKUP(A81,'Standard Deviations'!A1:C728,3,FALSE)</f>
        <v>5.0122470214473545</v>
      </c>
      <c r="J81" s="139">
        <f>I81-VLOOKUP(B$2,H1:J430,2,FALSE)</f>
        <v>-0.29100856577973033</v>
      </c>
    </row>
    <row r="82" spans="1:10" ht="21.25" customHeight="1" x14ac:dyDescent="0.15">
      <c r="A82" s="8" t="s">
        <v>252</v>
      </c>
      <c r="B82" s="137" t="str">
        <f>VLOOKUP(A82,'The List'!B1:D727,3,FALSE)</f>
        <v>C</v>
      </c>
      <c r="C82" s="48">
        <f>IF(Settings!$E$15="POINTS",RANK(E82,E3:E430),H82)</f>
        <v>81</v>
      </c>
      <c r="D82" s="35" t="str">
        <f>VLOOKUP(A82,'The List'!B1:F727,5,FALSE)</f>
        <v>STL</v>
      </c>
      <c r="E82" s="39">
        <f>VLOOKUP(A82,'The List'!B1:I727,8,FALSE)</f>
        <v>345.27654708295341</v>
      </c>
      <c r="F82" s="39">
        <f>IF(Settings!$E$15="POINTS",E82-VLOOKUP(B$2,C1:E430,3,FALSE),J82)</f>
        <v>-22.172579741737252</v>
      </c>
      <c r="G82" s="39"/>
      <c r="H82" s="138">
        <f>RANK(I82,I3:I430)</f>
        <v>99</v>
      </c>
      <c r="I82" s="139">
        <f>VLOOKUP(A82,'Standard Deviations'!A1:C728,3,FALSE)</f>
        <v>3.0911970486009288</v>
      </c>
      <c r="J82" s="139">
        <f>I82-VLOOKUP(B$2,H1:J430,2,FALSE)</f>
        <v>-2.212058538626156</v>
      </c>
    </row>
    <row r="83" spans="1:10" ht="21.25" customHeight="1" x14ac:dyDescent="0.15">
      <c r="A83" s="8" t="s">
        <v>216</v>
      </c>
      <c r="B83" s="137" t="str">
        <f>VLOOKUP(A83,'The List'!B1:D727,3,FALSE)</f>
        <v>LW</v>
      </c>
      <c r="C83" s="48">
        <f>IF(Settings!$E$15="POINTS",RANK(E83,E3:E430),H83)</f>
        <v>80</v>
      </c>
      <c r="D83" s="35" t="str">
        <f>VLOOKUP(A83,'The List'!B1:F727,5,FALSE)</f>
        <v>SEA</v>
      </c>
      <c r="E83" s="39">
        <f>VLOOKUP(A83,'The List'!B1:I727,8,FALSE)</f>
        <v>346.33602439025049</v>
      </c>
      <c r="F83" s="39">
        <f>IF(Settings!$E$15="POINTS",E83-VLOOKUP(B$2,C1:E430,3,FALSE),J83)</f>
        <v>-21.113102434440179</v>
      </c>
      <c r="G83" s="39"/>
      <c r="H83" s="138">
        <f>RANK(I83,I3:I430)</f>
        <v>77</v>
      </c>
      <c r="I83" s="139">
        <f>VLOOKUP(A83,'Standard Deviations'!A1:C728,3,FALSE)</f>
        <v>4.7503340061717036</v>
      </c>
      <c r="J83" s="139">
        <f>I83-VLOOKUP(B$2,H1:J430,2,FALSE)</f>
        <v>-0.55292158105538114</v>
      </c>
    </row>
    <row r="84" spans="1:10" ht="21.25" customHeight="1" x14ac:dyDescent="0.15">
      <c r="A84" s="8" t="s">
        <v>239</v>
      </c>
      <c r="B84" s="137" t="str">
        <f>VLOOKUP(A84,'The List'!B1:D727,3,FALSE)</f>
        <v>C</v>
      </c>
      <c r="C84" s="48">
        <f>IF(Settings!$E$15="POINTS",RANK(E84,E3:E430),H84)</f>
        <v>71</v>
      </c>
      <c r="D84" s="35" t="str">
        <f>VLOOKUP(A84,'The List'!B1:F727,5,FALSE)</f>
        <v>SEA</v>
      </c>
      <c r="E84" s="39">
        <f>VLOOKUP(A84,'The List'!B1:I727,8,FALSE)</f>
        <v>356.37678236327895</v>
      </c>
      <c r="F84" s="39">
        <f>IF(Settings!$E$15="POINTS",E84-VLOOKUP(B$2,C1:E430,3,FALSE),J84)</f>
        <v>-11.072344461411717</v>
      </c>
      <c r="G84" s="39"/>
      <c r="H84" s="138">
        <f>RANK(I84,I3:I430)</f>
        <v>66</v>
      </c>
      <c r="I84" s="139">
        <f>VLOOKUP(A84,'Standard Deviations'!A1:C728,3,FALSE)</f>
        <v>5.1823057699138833</v>
      </c>
      <c r="J84" s="139">
        <f>I84-VLOOKUP(B$2,H1:J430,2,FALSE)</f>
        <v>-0.12094981731320154</v>
      </c>
    </row>
    <row r="85" spans="1:10" ht="21.25" customHeight="1" x14ac:dyDescent="0.15">
      <c r="A85" s="8" t="s">
        <v>187</v>
      </c>
      <c r="B85" s="137" t="str">
        <f>VLOOKUP(A85,'The List'!B1:D727,3,FALSE)</f>
        <v>RW</v>
      </c>
      <c r="C85" s="48">
        <f>IF(Settings!$E$15="POINTS",RANK(E85,E3:E430),H85)</f>
        <v>77</v>
      </c>
      <c r="D85" s="35" t="str">
        <f>VLOOKUP(A85,'The List'!B1:F727,5,FALSE)</f>
        <v>MTL</v>
      </c>
      <c r="E85" s="39">
        <f>VLOOKUP(A85,'The List'!B1:I727,8,FALSE)</f>
        <v>351.03672528289479</v>
      </c>
      <c r="F85" s="39">
        <f>IF(Settings!$E$15="POINTS",E85-VLOOKUP(B$2,C1:E430,3,FALSE),J85)</f>
        <v>-16.412401541795873</v>
      </c>
      <c r="G85" s="39"/>
      <c r="H85" s="138">
        <f>RANK(I85,I3:I430)</f>
        <v>112</v>
      </c>
      <c r="I85" s="139">
        <f>VLOOKUP(A85,'Standard Deviations'!A1:C728,3,FALSE)</f>
        <v>2.5737649044892139</v>
      </c>
      <c r="J85" s="139">
        <f>I85-VLOOKUP(B$2,H1:J430,2,FALSE)</f>
        <v>-2.7294906827378709</v>
      </c>
    </row>
    <row r="86" spans="1:10" ht="21.25" customHeight="1" x14ac:dyDescent="0.15">
      <c r="A86" s="8" t="s">
        <v>219</v>
      </c>
      <c r="B86" s="137" t="str">
        <f>VLOOKUP(A86,'The List'!B1:D727,3,FALSE)</f>
        <v>LW</v>
      </c>
      <c r="C86" s="48">
        <f>IF(Settings!$E$15="POINTS",RANK(E86,E3:E430),H86)</f>
        <v>83</v>
      </c>
      <c r="D86" s="35" t="str">
        <f>VLOOKUP(A86,'The List'!B1:F727,5,FALSE)</f>
        <v>TBL</v>
      </c>
      <c r="E86" s="39">
        <f>VLOOKUP(A86,'The List'!B1:I727,8,FALSE)</f>
        <v>343.932188730071</v>
      </c>
      <c r="F86" s="39">
        <f>IF(Settings!$E$15="POINTS",E86-VLOOKUP(B$2,C1:E430,3,FALSE),J86)</f>
        <v>-23.516938094619661</v>
      </c>
      <c r="G86" s="39"/>
      <c r="H86" s="138">
        <f>RANK(I86,I3:I430)</f>
        <v>83</v>
      </c>
      <c r="I86" s="139">
        <f>VLOOKUP(A86,'Standard Deviations'!A1:C728,3,FALSE)</f>
        <v>4.4012702626795228</v>
      </c>
      <c r="J86" s="139">
        <f>I86-VLOOKUP(B$2,H1:J430,2,FALSE)</f>
        <v>-0.90198532454756197</v>
      </c>
    </row>
    <row r="87" spans="1:10" ht="21.25" customHeight="1" x14ac:dyDescent="0.15">
      <c r="A87" s="8" t="s">
        <v>259</v>
      </c>
      <c r="B87" s="137" t="str">
        <f>VLOOKUP(A87,'The List'!B1:D727,3,FALSE)</f>
        <v>C</v>
      </c>
      <c r="C87" s="48">
        <f>IF(Settings!$E$15="POINTS",RANK(E87,E3:E430),H87)</f>
        <v>85</v>
      </c>
      <c r="D87" s="35" t="str">
        <f>VLOOKUP(A87,'The List'!B1:F727,5,FALSE)</f>
        <v>ARI</v>
      </c>
      <c r="E87" s="39">
        <f>VLOOKUP(A87,'The List'!B1:I727,8,FALSE)</f>
        <v>335.66319467361672</v>
      </c>
      <c r="F87" s="39">
        <f>IF(Settings!$E$15="POINTS",E87-VLOOKUP(B$2,C1:E430,3,FALSE),J87)</f>
        <v>-31.785932151073951</v>
      </c>
      <c r="G87" s="39"/>
      <c r="H87" s="138">
        <f>RANK(I87,I3:I430)</f>
        <v>96</v>
      </c>
      <c r="I87" s="139">
        <f>VLOOKUP(A87,'Standard Deviations'!A1:C728,3,FALSE)</f>
        <v>3.2770182925618672</v>
      </c>
      <c r="J87" s="139">
        <f>I87-VLOOKUP(B$2,H1:J430,2,FALSE)</f>
        <v>-2.0262372946652176</v>
      </c>
    </row>
    <row r="88" spans="1:10" ht="21.25" customHeight="1" x14ac:dyDescent="0.15">
      <c r="A88" s="8" t="s">
        <v>249</v>
      </c>
      <c r="B88" s="137" t="str">
        <f>VLOOKUP(A88,'The List'!B1:D727,3,FALSE)</f>
        <v>LW</v>
      </c>
      <c r="C88" s="48">
        <f>IF(Settings!$E$15="POINTS",RANK(E88,E3:E430),H88)</f>
        <v>94</v>
      </c>
      <c r="D88" s="35" t="str">
        <f>VLOOKUP(A88,'The List'!B1:F727,5,FALSE)</f>
        <v>VAN</v>
      </c>
      <c r="E88" s="39">
        <f>VLOOKUP(A88,'The List'!B1:I727,8,FALSE)</f>
        <v>318.27636323177103</v>
      </c>
      <c r="F88" s="39">
        <f>IF(Settings!$E$15="POINTS",E88-VLOOKUP(B$2,C1:E430,3,FALSE),J88)</f>
        <v>-49.172763592919637</v>
      </c>
      <c r="G88" s="39"/>
      <c r="H88" s="138">
        <f>RANK(I88,I3:I430)</f>
        <v>90</v>
      </c>
      <c r="I88" s="139">
        <f>VLOOKUP(A88,'Standard Deviations'!A1:C728,3,FALSE)</f>
        <v>3.7697496855791277</v>
      </c>
      <c r="J88" s="139">
        <f>I88-VLOOKUP(B$2,H1:J430,2,FALSE)</f>
        <v>-1.5335059016479571</v>
      </c>
    </row>
    <row r="89" spans="1:10" ht="21.25" customHeight="1" x14ac:dyDescent="0.15">
      <c r="A89" s="8" t="s">
        <v>262</v>
      </c>
      <c r="B89" s="137" t="str">
        <f>VLOOKUP(A89,'The List'!B1:D727,3,FALSE)</f>
        <v>C</v>
      </c>
      <c r="C89" s="48">
        <f>IF(Settings!$E$15="POINTS",RANK(E89,E3:E430),H89)</f>
        <v>87</v>
      </c>
      <c r="D89" s="35" t="str">
        <f>VLOOKUP(A89,'The List'!B1:F727,5,FALSE)</f>
        <v>SJS</v>
      </c>
      <c r="E89" s="39">
        <f>VLOOKUP(A89,'The List'!B1:I727,8,FALSE)</f>
        <v>331.93821454217948</v>
      </c>
      <c r="F89" s="39">
        <f>IF(Settings!$E$15="POINTS",E89-VLOOKUP(B$2,C1:E430,3,FALSE),J89)</f>
        <v>-35.510912282511185</v>
      </c>
      <c r="G89" s="39"/>
      <c r="H89" s="138">
        <f>RANK(I89,I3:I430)</f>
        <v>82</v>
      </c>
      <c r="I89" s="139">
        <f>VLOOKUP(A89,'Standard Deviations'!A1:C728,3,FALSE)</f>
        <v>4.4037236099585009</v>
      </c>
      <c r="J89" s="139">
        <f>I89-VLOOKUP(B$2,H1:J430,2,FALSE)</f>
        <v>-0.89953197726858392</v>
      </c>
    </row>
    <row r="90" spans="1:10" ht="21.25" customHeight="1" x14ac:dyDescent="0.15">
      <c r="A90" s="8" t="s">
        <v>221</v>
      </c>
      <c r="B90" s="137" t="str">
        <f>VLOOKUP(A90,'The List'!B1:D727,3,FALSE)</f>
        <v>RW</v>
      </c>
      <c r="C90" s="48">
        <f>IF(Settings!$E$15="POINTS",RANK(E90,E3:E430),H90)</f>
        <v>88</v>
      </c>
      <c r="D90" s="35" t="str">
        <f>VLOOKUP(A90,'The List'!B1:F727,5,FALSE)</f>
        <v>OTT</v>
      </c>
      <c r="E90" s="39">
        <f>VLOOKUP(A90,'The List'!B1:I727,8,FALSE)</f>
        <v>327.3201364453887</v>
      </c>
      <c r="F90" s="39">
        <f>IF(Settings!$E$15="POINTS",E90-VLOOKUP(B$2,C1:E430,3,FALSE),J90)</f>
        <v>-40.128990379301968</v>
      </c>
      <c r="G90" s="39"/>
      <c r="H90" s="138">
        <f>RANK(I90,I3:I430)</f>
        <v>85</v>
      </c>
      <c r="I90" s="139">
        <f>VLOOKUP(A90,'Standard Deviations'!A1:C728,3,FALSE)</f>
        <v>4.2378814060059335</v>
      </c>
      <c r="J90" s="139">
        <f>I90-VLOOKUP(B$2,H1:J430,2,FALSE)</f>
        <v>-1.0653741812211512</v>
      </c>
    </row>
    <row r="91" spans="1:10" ht="21.25" customHeight="1" x14ac:dyDescent="0.15">
      <c r="A91" s="8" t="s">
        <v>224</v>
      </c>
      <c r="B91" s="137" t="str">
        <f>VLOOKUP(A91,'The List'!B1:D727,3,FALSE)</f>
        <v>RW</v>
      </c>
      <c r="C91" s="48">
        <f>IF(Settings!$E$15="POINTS",RANK(E91,E3:E430),H91)</f>
        <v>90</v>
      </c>
      <c r="D91" s="35" t="str">
        <f>VLOOKUP(A91,'The List'!B1:F727,5,FALSE)</f>
        <v>UFA</v>
      </c>
      <c r="E91" s="39">
        <f>VLOOKUP(A91,'The List'!B1:I727,8,FALSE)</f>
        <v>325.02095968061536</v>
      </c>
      <c r="F91" s="39">
        <f>IF(Settings!$E$15="POINTS",E91-VLOOKUP(B$2,C1:E430,3,FALSE),J91)</f>
        <v>-42.428167144075303</v>
      </c>
      <c r="G91" s="39"/>
      <c r="H91" s="138">
        <f>RANK(I91,I3:I430)</f>
        <v>102</v>
      </c>
      <c r="I91" s="139">
        <f>VLOOKUP(A91,'Standard Deviations'!A1:C728,3,FALSE)</f>
        <v>2.991677961158242</v>
      </c>
      <c r="J91" s="139">
        <f>I91-VLOOKUP(B$2,H1:J430,2,FALSE)</f>
        <v>-2.3115776260688428</v>
      </c>
    </row>
    <row r="92" spans="1:10" ht="21.25" customHeight="1" x14ac:dyDescent="0.15">
      <c r="A92" s="8" t="s">
        <v>238</v>
      </c>
      <c r="B92" s="137" t="str">
        <f>VLOOKUP(A92,'The List'!B1:D727,3,FALSE)</f>
        <v>LW</v>
      </c>
      <c r="C92" s="48">
        <f>IF(Settings!$E$15="POINTS",RANK(E92,E3:E430),H92)</f>
        <v>89</v>
      </c>
      <c r="D92" s="35" t="str">
        <f>VLOOKUP(A92,'The List'!B1:F727,5,FALSE)</f>
        <v>COL</v>
      </c>
      <c r="E92" s="39">
        <f>VLOOKUP(A92,'The List'!B1:I727,8,FALSE)</f>
        <v>327.17468503655869</v>
      </c>
      <c r="F92" s="39">
        <f>IF(Settings!$E$15="POINTS",E92-VLOOKUP(B$2,C1:E430,3,FALSE),J92)</f>
        <v>-40.274441788131981</v>
      </c>
      <c r="G92" s="39"/>
      <c r="H92" s="138">
        <f>RANK(I92,I3:I430)</f>
        <v>67</v>
      </c>
      <c r="I92" s="139">
        <f>VLOOKUP(A92,'Standard Deviations'!A1:C728,3,FALSE)</f>
        <v>5.1180935576611279</v>
      </c>
      <c r="J92" s="139">
        <f>I92-VLOOKUP(B$2,H1:J430,2,FALSE)</f>
        <v>-0.18516202956595684</v>
      </c>
    </row>
    <row r="93" spans="1:10" ht="21.25" customHeight="1" x14ac:dyDescent="0.15">
      <c r="A93" s="8" t="s">
        <v>268</v>
      </c>
      <c r="B93" s="137" t="str">
        <f>VLOOKUP(A93,'The List'!B1:D727,3,FALSE)</f>
        <v>C</v>
      </c>
      <c r="C93" s="48">
        <f>IF(Settings!$E$15="POINTS",RANK(E93,E3:E430),H93)</f>
        <v>91</v>
      </c>
      <c r="D93" s="35" t="str">
        <f>VLOOKUP(A93,'The List'!B1:F727,5,FALSE)</f>
        <v>BOS</v>
      </c>
      <c r="E93" s="39">
        <f>VLOOKUP(A93,'The List'!B1:I727,8,FALSE)</f>
        <v>323.34962728992338</v>
      </c>
      <c r="F93" s="39">
        <f>IF(Settings!$E$15="POINTS",E93-VLOOKUP(B$2,C1:E430,3,FALSE),J93)</f>
        <v>-44.09949953476729</v>
      </c>
      <c r="G93" s="39"/>
      <c r="H93" s="138">
        <f>RANK(I93,I3:I430)</f>
        <v>88</v>
      </c>
      <c r="I93" s="139">
        <f>VLOOKUP(A93,'Standard Deviations'!A1:C728,3,FALSE)</f>
        <v>4.060614073680247</v>
      </c>
      <c r="J93" s="139">
        <f>I93-VLOOKUP(B$2,H1:J430,2,FALSE)</f>
        <v>-1.2426415135468378</v>
      </c>
    </row>
    <row r="94" spans="1:10" ht="21.25" customHeight="1" x14ac:dyDescent="0.15">
      <c r="A94" s="8" t="s">
        <v>231</v>
      </c>
      <c r="B94" s="137" t="str">
        <f>VLOOKUP(A94,'The List'!B1:D727,3,FALSE)</f>
        <v>LW</v>
      </c>
      <c r="C94" s="48">
        <f>IF(Settings!$E$15="POINTS",RANK(E94,E3:E430),H94)</f>
        <v>86</v>
      </c>
      <c r="D94" s="35" t="str">
        <f>VLOOKUP(A94,'The List'!B1:F727,5,FALSE)</f>
        <v>CHI</v>
      </c>
      <c r="E94" s="39">
        <f>VLOOKUP(A94,'The List'!B1:I727,8,FALSE)</f>
        <v>332.16390346750529</v>
      </c>
      <c r="F94" s="39">
        <f>IF(Settings!$E$15="POINTS",E94-VLOOKUP(B$2,C1:E430,3,FALSE),J94)</f>
        <v>-35.285223357185373</v>
      </c>
      <c r="G94" s="39"/>
      <c r="H94" s="138">
        <f>RANK(I94,I3:I430)</f>
        <v>108</v>
      </c>
      <c r="I94" s="139">
        <f>VLOOKUP(A94,'Standard Deviations'!A1:C728,3,FALSE)</f>
        <v>2.7616218823837544</v>
      </c>
      <c r="J94" s="139">
        <f>I94-VLOOKUP(B$2,H1:J430,2,FALSE)</f>
        <v>-2.5416337048433304</v>
      </c>
    </row>
    <row r="95" spans="1:10" ht="21.25" customHeight="1" x14ac:dyDescent="0.15">
      <c r="A95" s="8" t="s">
        <v>248</v>
      </c>
      <c r="B95" s="137" t="str">
        <f>VLOOKUP(A95,'The List'!B1:D727,3,FALSE)</f>
        <v>LW</v>
      </c>
      <c r="C95" s="48">
        <f>IF(Settings!$E$15="POINTS",RANK(E95,E3:E430),H95)</f>
        <v>93</v>
      </c>
      <c r="D95" s="35" t="str">
        <f>VLOOKUP(A95,'The List'!B1:F727,5,FALSE)</f>
        <v>BOS</v>
      </c>
      <c r="E95" s="39">
        <f>VLOOKUP(A95,'The List'!B1:I727,8,FALSE)</f>
        <v>320.65780080665684</v>
      </c>
      <c r="F95" s="39">
        <f>IF(Settings!$E$15="POINTS",E95-VLOOKUP(B$2,C1:E430,3,FALSE),J95)</f>
        <v>-46.791326018033828</v>
      </c>
      <c r="G95" s="39"/>
      <c r="H95" s="138">
        <f>RANK(I95,I3:I430)</f>
        <v>76</v>
      </c>
      <c r="I95" s="139">
        <f>VLOOKUP(A95,'Standard Deviations'!A1:C728,3,FALSE)</f>
        <v>4.8681263433743904</v>
      </c>
      <c r="J95" s="139">
        <f>I95-VLOOKUP(B$2,H1:J430,2,FALSE)</f>
        <v>-0.43512924385269436</v>
      </c>
    </row>
    <row r="96" spans="1:10" ht="21.25" customHeight="1" x14ac:dyDescent="0.15">
      <c r="A96" s="8" t="s">
        <v>247</v>
      </c>
      <c r="B96" s="137" t="str">
        <f>VLOOKUP(A96,'The List'!B1:D727,3,FALSE)</f>
        <v>RW</v>
      </c>
      <c r="C96" s="48">
        <f>IF(Settings!$E$15="POINTS",RANK(E96,E3:E430),H96)</f>
        <v>103</v>
      </c>
      <c r="D96" s="35" t="str">
        <f>VLOOKUP(A96,'The List'!B1:F727,5,FALSE)</f>
        <v>NJD</v>
      </c>
      <c r="E96" s="39">
        <f>VLOOKUP(A96,'The List'!B1:I727,8,FALSE)</f>
        <v>307.0704968651408</v>
      </c>
      <c r="F96" s="39">
        <f>IF(Settings!$E$15="POINTS",E96-VLOOKUP(B$2,C1:E430,3,FALSE),J96)</f>
        <v>-60.378629959549869</v>
      </c>
      <c r="G96" s="39"/>
      <c r="H96" s="138">
        <f>RANK(I96,I3:I430)</f>
        <v>103</v>
      </c>
      <c r="I96" s="139">
        <f>VLOOKUP(A96,'Standard Deviations'!A1:C728,3,FALSE)</f>
        <v>2.9259848679696874</v>
      </c>
      <c r="J96" s="139">
        <f>I96-VLOOKUP(B$2,H1:J430,2,FALSE)</f>
        <v>-2.3772707192573974</v>
      </c>
    </row>
    <row r="97" spans="1:10" ht="21.25" customHeight="1" x14ac:dyDescent="0.15">
      <c r="A97" s="8" t="s">
        <v>235</v>
      </c>
      <c r="B97" s="137" t="str">
        <f>VLOOKUP(A97,'The List'!B1:D727,3,FALSE)</f>
        <v>RW</v>
      </c>
      <c r="C97" s="48">
        <f>IF(Settings!$E$15="POINTS",RANK(E97,E3:E430),H97)</f>
        <v>97</v>
      </c>
      <c r="D97" s="35" t="str">
        <f>VLOOKUP(A97,'The List'!B1:F727,5,FALSE)</f>
        <v>PIT</v>
      </c>
      <c r="E97" s="39">
        <f>VLOOKUP(A97,'The List'!B1:I727,8,FALSE)</f>
        <v>316.72679432362565</v>
      </c>
      <c r="F97" s="39">
        <f>IF(Settings!$E$15="POINTS",E97-VLOOKUP(B$2,C1:E430,3,FALSE),J97)</f>
        <v>-50.722332501065011</v>
      </c>
      <c r="G97" s="39"/>
      <c r="H97" s="138">
        <f>RANK(I97,I3:I430)</f>
        <v>80</v>
      </c>
      <c r="I97" s="139">
        <f>VLOOKUP(A97,'Standard Deviations'!A1:C728,3,FALSE)</f>
        <v>4.6233963730116479</v>
      </c>
      <c r="J97" s="139">
        <f>I97-VLOOKUP(B$2,H1:J430,2,FALSE)</f>
        <v>-0.67985921421543694</v>
      </c>
    </row>
    <row r="98" spans="1:10" ht="21.25" customHeight="1" x14ac:dyDescent="0.15">
      <c r="A98" s="8" t="s">
        <v>255</v>
      </c>
      <c r="B98" s="137" t="str">
        <f>VLOOKUP(A98,'The List'!B1:D727,3,FALSE)</f>
        <v>LW</v>
      </c>
      <c r="C98" s="48">
        <f>IF(Settings!$E$15="POINTS",RANK(E98,E3:E430),H98)</f>
        <v>98</v>
      </c>
      <c r="D98" s="35" t="str">
        <f>VLOOKUP(A98,'The List'!B1:F727,5,FALSE)</f>
        <v>DET</v>
      </c>
      <c r="E98" s="39">
        <f>VLOOKUP(A98,'The List'!B1:I727,8,FALSE)</f>
        <v>314.60808658147852</v>
      </c>
      <c r="F98" s="39">
        <f>IF(Settings!$E$15="POINTS",E98-VLOOKUP(B$2,C1:E430,3,FALSE),J98)</f>
        <v>-52.841040243212149</v>
      </c>
      <c r="G98" s="39"/>
      <c r="H98" s="138">
        <f>RANK(I98,I3:I430)</f>
        <v>104</v>
      </c>
      <c r="I98" s="139">
        <f>VLOOKUP(A98,'Standard Deviations'!A1:C728,3,FALSE)</f>
        <v>2.8674811720049003</v>
      </c>
      <c r="J98" s="139">
        <f>I98-VLOOKUP(B$2,H1:J430,2,FALSE)</f>
        <v>-2.4357744152221845</v>
      </c>
    </row>
    <row r="99" spans="1:10" ht="21.25" customHeight="1" x14ac:dyDescent="0.15">
      <c r="A99" s="8" t="s">
        <v>251</v>
      </c>
      <c r="B99" s="137" t="str">
        <f>VLOOKUP(A99,'The List'!B1:D727,3,FALSE)</f>
        <v>LW</v>
      </c>
      <c r="C99" s="48">
        <f>IF(Settings!$E$15="POINTS",RANK(E99,E3:E430),H99)</f>
        <v>95</v>
      </c>
      <c r="D99" s="35" t="str">
        <f>VLOOKUP(A99,'The List'!B1:F727,5,FALSE)</f>
        <v>DAL</v>
      </c>
      <c r="E99" s="39">
        <f>VLOOKUP(A99,'The List'!B1:I727,8,FALSE)</f>
        <v>317.62209018386216</v>
      </c>
      <c r="F99" s="39">
        <f>IF(Settings!$E$15="POINTS",E99-VLOOKUP(B$2,C1:E430,3,FALSE),J99)</f>
        <v>-49.82703664082851</v>
      </c>
      <c r="G99" s="39"/>
      <c r="H99" s="138">
        <f>RANK(I99,I3:I430)</f>
        <v>74</v>
      </c>
      <c r="I99" s="139">
        <f>VLOOKUP(A99,'Standard Deviations'!A1:C728,3,FALSE)</f>
        <v>4.9020658931367151</v>
      </c>
      <c r="J99" s="139">
        <f>I99-VLOOKUP(B$2,H1:J430,2,FALSE)</f>
        <v>-0.40118969409036964</v>
      </c>
    </row>
    <row r="100" spans="1:10" ht="21.25" customHeight="1" x14ac:dyDescent="0.15">
      <c r="A100" s="8" t="s">
        <v>232</v>
      </c>
      <c r="B100" s="137" t="str">
        <f>VLOOKUP(A100,'The List'!B1:D727,3,FALSE)</f>
        <v>RW</v>
      </c>
      <c r="C100" s="48">
        <f>IF(Settings!$E$15="POINTS",RANK(E100,E3:E430),H100)</f>
        <v>96</v>
      </c>
      <c r="D100" s="35" t="str">
        <f>VLOOKUP(A100,'The List'!B1:F727,5,FALSE)</f>
        <v>VGK</v>
      </c>
      <c r="E100" s="39">
        <f>VLOOKUP(A100,'The List'!B1:I727,8,FALSE)</f>
        <v>317.47948728912547</v>
      </c>
      <c r="F100" s="39">
        <f>IF(Settings!$E$15="POINTS",E100-VLOOKUP(B$2,C1:E430,3,FALSE),J100)</f>
        <v>-49.969639535565193</v>
      </c>
      <c r="G100" s="39"/>
      <c r="H100" s="138">
        <f>RANK(I100,I3:I430)</f>
        <v>75</v>
      </c>
      <c r="I100" s="139">
        <f>VLOOKUP(A100,'Standard Deviations'!A1:C728,3,FALSE)</f>
        <v>4.8853463570201416</v>
      </c>
      <c r="J100" s="139">
        <f>I100-VLOOKUP(B$2,H1:J430,2,FALSE)</f>
        <v>-0.41790923020694315</v>
      </c>
    </row>
    <row r="101" spans="1:10" ht="21.25" customHeight="1" x14ac:dyDescent="0.15">
      <c r="A101" s="8" t="s">
        <v>276</v>
      </c>
      <c r="B101" s="137" t="str">
        <f>VLOOKUP(A101,'The List'!B1:D727,3,FALSE)</f>
        <v>C</v>
      </c>
      <c r="C101" s="48">
        <f>IF(Settings!$E$15="POINTS",RANK(E101,E3:E430),H101)</f>
        <v>99</v>
      </c>
      <c r="D101" s="35" t="str">
        <f>VLOOKUP(A101,'The List'!B1:F727,5,FALSE)</f>
        <v>ANA</v>
      </c>
      <c r="E101" s="39">
        <f>VLOOKUP(A101,'The List'!B1:I727,8,FALSE)</f>
        <v>311.88675474885338</v>
      </c>
      <c r="F101" s="39">
        <f>IF(Settings!$E$15="POINTS",E101-VLOOKUP(B$2,C1:E430,3,FALSE),J101)</f>
        <v>-55.562372075837288</v>
      </c>
      <c r="G101" s="39"/>
      <c r="H101" s="138">
        <f>RANK(I101,I3:I430)</f>
        <v>143</v>
      </c>
      <c r="I101" s="139">
        <f>VLOOKUP(A101,'Standard Deviations'!A1:C728,3,FALSE)</f>
        <v>1.0841273329434147</v>
      </c>
      <c r="J101" s="139">
        <f>I101-VLOOKUP(B$2,H1:J430,2,FALSE)</f>
        <v>-4.2191282542836701</v>
      </c>
    </row>
    <row r="102" spans="1:10" ht="21.25" customHeight="1" x14ac:dyDescent="0.15">
      <c r="A102" s="8" t="s">
        <v>245</v>
      </c>
      <c r="B102" s="137" t="str">
        <f>VLOOKUP(A102,'The List'!B1:D727,3,FALSE)</f>
        <v>LW</v>
      </c>
      <c r="C102" s="48">
        <f>IF(Settings!$E$15="POINTS",RANK(E102,E3:E430),H102)</f>
        <v>92</v>
      </c>
      <c r="D102" s="35" t="str">
        <f>VLOOKUP(A102,'The List'!B1:F727,5,FALSE)</f>
        <v>DET</v>
      </c>
      <c r="E102" s="39">
        <f>VLOOKUP(A102,'The List'!B1:I727,8,FALSE)</f>
        <v>322.01128910318926</v>
      </c>
      <c r="F102" s="39">
        <f>IF(Settings!$E$15="POINTS",E102-VLOOKUP(B$2,C1:E430,3,FALSE),J102)</f>
        <v>-45.43783772150141</v>
      </c>
      <c r="G102" s="39"/>
      <c r="H102" s="138">
        <f>RANK(I102,I3:I430)</f>
        <v>120</v>
      </c>
      <c r="I102" s="139">
        <f>VLOOKUP(A102,'Standard Deviations'!A1:C728,3,FALSE)</f>
        <v>2.1681194989698414</v>
      </c>
      <c r="J102" s="139">
        <f>I102-VLOOKUP(B$2,H1:J430,2,FALSE)</f>
        <v>-3.1351360882572434</v>
      </c>
    </row>
    <row r="103" spans="1:10" ht="21.25" customHeight="1" x14ac:dyDescent="0.15">
      <c r="A103" s="8" t="s">
        <v>258</v>
      </c>
      <c r="B103" s="137" t="str">
        <f>VLOOKUP(A103,'The List'!B1:D727,3,FALSE)</f>
        <v>LW</v>
      </c>
      <c r="C103" s="48">
        <f>IF(Settings!$E$15="POINTS",RANK(E103,E3:E430),H103)</f>
        <v>101</v>
      </c>
      <c r="D103" s="35" t="str">
        <f>VLOOKUP(A103,'The List'!B1:F727,5,FALSE)</f>
        <v>LAK</v>
      </c>
      <c r="E103" s="39">
        <f>VLOOKUP(A103,'The List'!B1:I727,8,FALSE)</f>
        <v>307.924876930241</v>
      </c>
      <c r="F103" s="39">
        <f>IF(Settings!$E$15="POINTS",E103-VLOOKUP(B$2,C1:E430,3,FALSE),J103)</f>
        <v>-59.524249894449667</v>
      </c>
      <c r="G103" s="39"/>
      <c r="H103" s="138">
        <f>RANK(I103,I3:I430)</f>
        <v>92</v>
      </c>
      <c r="I103" s="139">
        <f>VLOOKUP(A103,'Standard Deviations'!A1:C728,3,FALSE)</f>
        <v>3.51999138450803</v>
      </c>
      <c r="J103" s="139">
        <f>I103-VLOOKUP(B$2,H1:J430,2,FALSE)</f>
        <v>-1.7832642027190548</v>
      </c>
    </row>
    <row r="104" spans="1:10" ht="21.25" customHeight="1" x14ac:dyDescent="0.15">
      <c r="A104" s="8" t="s">
        <v>246</v>
      </c>
      <c r="B104" s="137" t="str">
        <f>VLOOKUP(A104,'The List'!B1:D727,3,FALSE)</f>
        <v>RW</v>
      </c>
      <c r="C104" s="48">
        <f>IF(Settings!$E$15="POINTS",RANK(E104,E3:E430),H104)</f>
        <v>102</v>
      </c>
      <c r="D104" s="35" t="str">
        <f>VLOOKUP(A104,'The List'!B1:F727,5,FALSE)</f>
        <v>PHI</v>
      </c>
      <c r="E104" s="39">
        <f>VLOOKUP(A104,'The List'!B1:I727,8,FALSE)</f>
        <v>307.5907737800411</v>
      </c>
      <c r="F104" s="39">
        <f>IF(Settings!$E$15="POINTS",E104-VLOOKUP(B$2,C1:E430,3,FALSE),J104)</f>
        <v>-59.858353044649562</v>
      </c>
      <c r="G104" s="39"/>
      <c r="H104" s="138">
        <f>RANK(I104,I3:I430)</f>
        <v>122</v>
      </c>
      <c r="I104" s="139">
        <f>VLOOKUP(A104,'Standard Deviations'!A1:C728,3,FALSE)</f>
        <v>2.1164637482350903</v>
      </c>
      <c r="J104" s="139">
        <f>I104-VLOOKUP(B$2,H1:J430,2,FALSE)</f>
        <v>-3.1867918389919945</v>
      </c>
    </row>
    <row r="105" spans="1:10" ht="21.25" customHeight="1" x14ac:dyDescent="0.15">
      <c r="A105" s="8" t="s">
        <v>260</v>
      </c>
      <c r="B105" s="137" t="str">
        <f>VLOOKUP(A105,'The List'!B1:D727,3,FALSE)</f>
        <v>LW</v>
      </c>
      <c r="C105" s="48">
        <f>IF(Settings!$E$15="POINTS",RANK(E105,E3:E430),H105)</f>
        <v>104</v>
      </c>
      <c r="D105" s="35" t="str">
        <f>VLOOKUP(A105,'The List'!B1:F727,5,FALSE)</f>
        <v>SEA</v>
      </c>
      <c r="E105" s="39">
        <f>VLOOKUP(A105,'The List'!B1:I727,8,FALSE)</f>
        <v>306.21134459035306</v>
      </c>
      <c r="F105" s="39">
        <f>IF(Settings!$E$15="POINTS",E105-VLOOKUP(B$2,C1:E430,3,FALSE),J105)</f>
        <v>-61.237782234337601</v>
      </c>
      <c r="G105" s="39"/>
      <c r="H105" s="138">
        <f>RANK(I105,I3:I430)</f>
        <v>111</v>
      </c>
      <c r="I105" s="139">
        <f>VLOOKUP(A105,'Standard Deviations'!A1:C728,3,FALSE)</f>
        <v>2.5995219607312317</v>
      </c>
      <c r="J105" s="139">
        <f>I105-VLOOKUP(B$2,H1:J430,2,FALSE)</f>
        <v>-2.7037336264958531</v>
      </c>
    </row>
    <row r="106" spans="1:10" ht="21.25" customHeight="1" x14ac:dyDescent="0.15">
      <c r="A106" s="8" t="s">
        <v>286</v>
      </c>
      <c r="B106" s="137" t="str">
        <f>VLOOKUP(A106,'The List'!B1:D727,3,FALSE)</f>
        <v>C</v>
      </c>
      <c r="C106" s="48">
        <f>IF(Settings!$E$15="POINTS",RANK(E106,E3:E430),H106)</f>
        <v>106</v>
      </c>
      <c r="D106" s="35" t="str">
        <f>VLOOKUP(A106,'The List'!B1:F727,5,FALSE)</f>
        <v>NYR</v>
      </c>
      <c r="E106" s="39">
        <f>VLOOKUP(A106,'The List'!B1:I727,8,FALSE)</f>
        <v>304.86626627991421</v>
      </c>
      <c r="F106" s="39">
        <f>IF(Settings!$E$15="POINTS",E106-VLOOKUP(B$2,C1:E430,3,FALSE),J106)</f>
        <v>-62.582860544776452</v>
      </c>
      <c r="G106" s="39"/>
      <c r="H106" s="138">
        <f>RANK(I106,I3:I430)</f>
        <v>86</v>
      </c>
      <c r="I106" s="139">
        <f>VLOOKUP(A106,'Standard Deviations'!A1:C728,3,FALSE)</f>
        <v>4.2156288196432925</v>
      </c>
      <c r="J106" s="139">
        <f>I106-VLOOKUP(B$2,H1:J430,2,FALSE)</f>
        <v>-1.0876267675837923</v>
      </c>
    </row>
    <row r="107" spans="1:10" ht="21.25" customHeight="1" x14ac:dyDescent="0.15">
      <c r="A107" s="8" t="s">
        <v>285</v>
      </c>
      <c r="B107" s="137" t="str">
        <f>VLOOKUP(A107,'The List'!B1:D727,3,FALSE)</f>
        <v>C</v>
      </c>
      <c r="C107" s="48">
        <f>IF(Settings!$E$15="POINTS",RANK(E107,E3:E430),H107)</f>
        <v>105</v>
      </c>
      <c r="D107" s="35" t="str">
        <f>VLOOKUP(A107,'The List'!B1:F727,5,FALSE)</f>
        <v>VGK</v>
      </c>
      <c r="E107" s="39">
        <f>VLOOKUP(A107,'The List'!B1:I727,8,FALSE)</f>
        <v>306.14834828142614</v>
      </c>
      <c r="F107" s="39">
        <f>IF(Settings!$E$15="POINTS",E107-VLOOKUP(B$2,C1:E430,3,FALSE),J107)</f>
        <v>-61.300778543264528</v>
      </c>
      <c r="G107" s="39"/>
      <c r="H107" s="138">
        <f>RANK(I107,I3:I430)</f>
        <v>84</v>
      </c>
      <c r="I107" s="139">
        <f>VLOOKUP(A107,'Standard Deviations'!A1:C728,3,FALSE)</f>
        <v>4.3468715370893412</v>
      </c>
      <c r="J107" s="139">
        <f>I107-VLOOKUP(B$2,H1:J430,2,FALSE)</f>
        <v>-0.95638405013774364</v>
      </c>
    </row>
    <row r="108" spans="1:10" ht="21.25" customHeight="1" x14ac:dyDescent="0.15">
      <c r="A108" s="8" t="s">
        <v>291</v>
      </c>
      <c r="B108" s="137" t="str">
        <f>VLOOKUP(A108,'The List'!B1:D727,3,FALSE)</f>
        <v>C</v>
      </c>
      <c r="C108" s="48">
        <f>IF(Settings!$E$15="POINTS",RANK(E108,E3:E430),H108)</f>
        <v>107</v>
      </c>
      <c r="D108" s="35" t="str">
        <f>VLOOKUP(A108,'The List'!B1:F727,5,FALSE)</f>
        <v>WSH</v>
      </c>
      <c r="E108" s="39">
        <f>VLOOKUP(A108,'The List'!B1:I727,8,FALSE)</f>
        <v>301.41963693600576</v>
      </c>
      <c r="F108" s="39">
        <f>IF(Settings!$E$15="POINTS",E108-VLOOKUP(B$2,C1:E430,3,FALSE),J108)</f>
        <v>-66.029489888684907</v>
      </c>
      <c r="G108" s="39"/>
      <c r="H108" s="138">
        <f>RANK(I108,I3:I430)</f>
        <v>133</v>
      </c>
      <c r="I108" s="139">
        <f>VLOOKUP(A108,'Standard Deviations'!A1:C728,3,FALSE)</f>
        <v>1.533819579016324</v>
      </c>
      <c r="J108" s="139">
        <f>I108-VLOOKUP(B$2,H1:J430,2,FALSE)</f>
        <v>-3.7694360082107607</v>
      </c>
    </row>
    <row r="109" spans="1:10" ht="21.25" customHeight="1" x14ac:dyDescent="0.15">
      <c r="A109" s="8" t="s">
        <v>302</v>
      </c>
      <c r="B109" s="137" t="str">
        <f>VLOOKUP(A109,'The List'!B1:D727,3,FALSE)</f>
        <v>C</v>
      </c>
      <c r="C109" s="48">
        <f>IF(Settings!$E$15="POINTS",RANK(E109,E3:E430),H109)</f>
        <v>108</v>
      </c>
      <c r="D109" s="35" t="str">
        <f>VLOOKUP(A109,'The List'!B1:F727,5,FALSE)</f>
        <v>OTT</v>
      </c>
      <c r="E109" s="39">
        <f>VLOOKUP(A109,'The List'!B1:I727,8,FALSE)</f>
        <v>294.9294197586533</v>
      </c>
      <c r="F109" s="39">
        <f>IF(Settings!$E$15="POINTS",E109-VLOOKUP(B$2,C1:E430,3,FALSE),J109)</f>
        <v>-72.51970706603737</v>
      </c>
      <c r="G109" s="39"/>
      <c r="H109" s="138">
        <f>RANK(I109,I3:I430)</f>
        <v>93</v>
      </c>
      <c r="I109" s="139">
        <f>VLOOKUP(A109,'Standard Deviations'!A1:C728,3,FALSE)</f>
        <v>3.468977183717687</v>
      </c>
      <c r="J109" s="139">
        <f>I109-VLOOKUP(B$2,H1:J430,2,FALSE)</f>
        <v>-1.8342784035093977</v>
      </c>
    </row>
    <row r="110" spans="1:10" ht="21.25" customHeight="1" x14ac:dyDescent="0.15">
      <c r="A110" s="8" t="s">
        <v>304</v>
      </c>
      <c r="B110" s="137" t="str">
        <f>VLOOKUP(A110,'The List'!B1:D727,3,FALSE)</f>
        <v>C</v>
      </c>
      <c r="C110" s="48">
        <f>IF(Settings!$E$15="POINTS",RANK(E110,E3:E430),H110)</f>
        <v>109</v>
      </c>
      <c r="D110" s="35" t="str">
        <f>VLOOKUP(A110,'The List'!B1:F727,5,FALSE)</f>
        <v>STL</v>
      </c>
      <c r="E110" s="39">
        <f>VLOOKUP(A110,'The List'!B1:I727,8,FALSE)</f>
        <v>292.76750333508227</v>
      </c>
      <c r="F110" s="39">
        <f>IF(Settings!$E$15="POINTS",E110-VLOOKUP(B$2,C1:E430,3,FALSE),J110)</f>
        <v>-74.681623489608398</v>
      </c>
      <c r="G110" s="39"/>
      <c r="H110" s="138">
        <f>RANK(I110,I3:I430)</f>
        <v>145</v>
      </c>
      <c r="I110" s="139">
        <f>VLOOKUP(A110,'Standard Deviations'!A1:C728,3,FALSE)</f>
        <v>1.0544624166726235</v>
      </c>
      <c r="J110" s="139">
        <f>I110-VLOOKUP(B$2,H1:J430,2,FALSE)</f>
        <v>-4.2487931705544613</v>
      </c>
    </row>
    <row r="111" spans="1:10" ht="21.25" customHeight="1" x14ac:dyDescent="0.15">
      <c r="A111" s="8" t="s">
        <v>263</v>
      </c>
      <c r="B111" s="137" t="str">
        <f>VLOOKUP(A111,'The List'!B1:D727,3,FALSE)</f>
        <v>RW</v>
      </c>
      <c r="C111" s="48">
        <f>IF(Settings!$E$15="POINTS",RANK(E111,E3:E430),H111)</f>
        <v>110</v>
      </c>
      <c r="D111" s="35" t="str">
        <f>VLOOKUP(A111,'The List'!B1:F727,5,FALSE)</f>
        <v>OTT</v>
      </c>
      <c r="E111" s="39">
        <f>VLOOKUP(A111,'The List'!B1:I727,8,FALSE)</f>
        <v>288.37566436113985</v>
      </c>
      <c r="F111" s="39">
        <f>IF(Settings!$E$15="POINTS",E111-VLOOKUP(B$2,C1:E430,3,FALSE),J111)</f>
        <v>-79.073462463550811</v>
      </c>
      <c r="G111" s="39"/>
      <c r="H111" s="138">
        <f>RANK(I111,I3:I430)</f>
        <v>115</v>
      </c>
      <c r="I111" s="139">
        <f>VLOOKUP(A111,'Standard Deviations'!A1:C728,3,FALSE)</f>
        <v>2.3523701886878037</v>
      </c>
      <c r="J111" s="139">
        <f>I111-VLOOKUP(B$2,H1:J430,2,FALSE)</f>
        <v>-2.9508853985392811</v>
      </c>
    </row>
    <row r="112" spans="1:10" ht="21.25" customHeight="1" x14ac:dyDescent="0.15">
      <c r="A112" s="8" t="s">
        <v>335</v>
      </c>
      <c r="B112" s="137" t="str">
        <f>VLOOKUP(A112,'The List'!B1:D727,3,FALSE)</f>
        <v>C</v>
      </c>
      <c r="C112" s="48">
        <f>IF(Settings!$E$15="POINTS",RANK(E112,E3:E430),H112)</f>
        <v>120</v>
      </c>
      <c r="D112" s="35" t="str">
        <f>VLOOKUP(A112,'The List'!B1:F727,5,FALSE)</f>
        <v>SJS</v>
      </c>
      <c r="E112" s="39">
        <f>VLOOKUP(A112,'The List'!B1:I727,8,FALSE)</f>
        <v>275.19572009638034</v>
      </c>
      <c r="F112" s="39">
        <f>IF(Settings!$E$15="POINTS",E112-VLOOKUP(B$2,C1:E430,3,FALSE),J112)</f>
        <v>-92.253406728310324</v>
      </c>
      <c r="G112" s="39"/>
      <c r="H112" s="138">
        <f>RANK(I112,I3:I430)</f>
        <v>123</v>
      </c>
      <c r="I112" s="139">
        <f>VLOOKUP(A112,'Standard Deviations'!A1:C728,3,FALSE)</f>
        <v>1.9430184351944413</v>
      </c>
      <c r="J112" s="139">
        <f>I112-VLOOKUP(B$2,H1:J430,2,FALSE)</f>
        <v>-3.3602371520326435</v>
      </c>
    </row>
    <row r="113" spans="1:10" ht="21.25" customHeight="1" x14ac:dyDescent="0.15">
      <c r="A113" s="8" t="s">
        <v>311</v>
      </c>
      <c r="B113" s="137" t="str">
        <f>VLOOKUP(A113,'The List'!B1:D727,3,FALSE)</f>
        <v>C</v>
      </c>
      <c r="C113" s="48">
        <f>IF(Settings!$E$15="POINTS",RANK(E113,E3:E430),H113)</f>
        <v>113</v>
      </c>
      <c r="D113" s="35" t="str">
        <f>VLOOKUP(A113,'The List'!B1:F727,5,FALSE)</f>
        <v>ARI</v>
      </c>
      <c r="E113" s="39">
        <f>VLOOKUP(A113,'The List'!B1:I727,8,FALSE)</f>
        <v>285.76582365705622</v>
      </c>
      <c r="F113" s="39">
        <f>IF(Settings!$E$15="POINTS",E113-VLOOKUP(B$2,C1:E430,3,FALSE),J113)</f>
        <v>-81.683303167634449</v>
      </c>
      <c r="G113" s="39"/>
      <c r="H113" s="138">
        <f>RANK(I113,I3:I430)</f>
        <v>116</v>
      </c>
      <c r="I113" s="139">
        <f>VLOOKUP(A113,'Standard Deviations'!A1:C728,3,FALSE)</f>
        <v>2.3268448424132155</v>
      </c>
      <c r="J113" s="139">
        <f>I113-VLOOKUP(B$2,H1:J430,2,FALSE)</f>
        <v>-2.9764107448138692</v>
      </c>
    </row>
    <row r="114" spans="1:10" ht="21.25" customHeight="1" x14ac:dyDescent="0.15">
      <c r="A114" s="8" t="s">
        <v>272</v>
      </c>
      <c r="B114" s="137" t="str">
        <f>VLOOKUP(A114,'The List'!B1:D727,3,FALSE)</f>
        <v>LW</v>
      </c>
      <c r="C114" s="48">
        <f>IF(Settings!$E$15="POINTS",RANK(E114,E3:E430),H114)</f>
        <v>111</v>
      </c>
      <c r="D114" s="35" t="str">
        <f>VLOOKUP(A114,'The List'!B1:F727,5,FALSE)</f>
        <v>ANA</v>
      </c>
      <c r="E114" s="39">
        <f>VLOOKUP(A114,'The List'!B1:I727,8,FALSE)</f>
        <v>288.05171127702164</v>
      </c>
      <c r="F114" s="39">
        <f>IF(Settings!$E$15="POINTS",E114-VLOOKUP(B$2,C1:E430,3,FALSE),J114)</f>
        <v>-79.397415547669027</v>
      </c>
      <c r="G114" s="39"/>
      <c r="H114" s="138">
        <f>RANK(I114,I3:I430)</f>
        <v>162</v>
      </c>
      <c r="I114" s="139">
        <f>VLOOKUP(A114,'Standard Deviations'!A1:C728,3,FALSE)</f>
        <v>0.45909847292318218</v>
      </c>
      <c r="J114" s="139">
        <f>I114-VLOOKUP(B$2,H1:J430,2,FALSE)</f>
        <v>-4.8441571143039024</v>
      </c>
    </row>
    <row r="115" spans="1:10" ht="21.25" customHeight="1" x14ac:dyDescent="0.15">
      <c r="A115" s="8" t="s">
        <v>265</v>
      </c>
      <c r="B115" s="137" t="str">
        <f>VLOOKUP(A115,'The List'!B1:D727,3,FALSE)</f>
        <v>RW</v>
      </c>
      <c r="C115" s="48">
        <f>IF(Settings!$E$15="POINTS",RANK(E115,E3:E430),H115)</f>
        <v>116</v>
      </c>
      <c r="D115" s="35" t="str">
        <f>VLOOKUP(A115,'The List'!B1:F727,5,FALSE)</f>
        <v>VAN</v>
      </c>
      <c r="E115" s="39">
        <f>VLOOKUP(A115,'The List'!B1:I727,8,FALSE)</f>
        <v>284.1781115250115</v>
      </c>
      <c r="F115" s="39">
        <f>IF(Settings!$E$15="POINTS",E115-VLOOKUP(B$2,C1:E430,3,FALSE),J115)</f>
        <v>-83.271015299679163</v>
      </c>
      <c r="G115" s="39"/>
      <c r="H115" s="138">
        <f>RANK(I115,I3:I430)</f>
        <v>128</v>
      </c>
      <c r="I115" s="139">
        <f>VLOOKUP(A115,'Standard Deviations'!A1:C728,3,FALSE)</f>
        <v>1.7372154129414561</v>
      </c>
      <c r="J115" s="139">
        <f>I115-VLOOKUP(B$2,H1:J430,2,FALSE)</f>
        <v>-3.5660401742856287</v>
      </c>
    </row>
    <row r="116" spans="1:10" ht="21.25" customHeight="1" x14ac:dyDescent="0.15">
      <c r="A116" s="8" t="s">
        <v>315</v>
      </c>
      <c r="B116" s="137" t="str">
        <f>VLOOKUP(A116,'The List'!B1:D727,3,FALSE)</f>
        <v>C</v>
      </c>
      <c r="C116" s="48">
        <f>IF(Settings!$E$15="POINTS",RANK(E116,E3:E430),H116)</f>
        <v>115</v>
      </c>
      <c r="D116" s="35" t="str">
        <f>VLOOKUP(A116,'The List'!B1:F727,5,FALSE)</f>
        <v>FLA</v>
      </c>
      <c r="E116" s="39">
        <f>VLOOKUP(A116,'The List'!B1:I727,8,FALSE)</f>
        <v>284.80051239805437</v>
      </c>
      <c r="F116" s="39">
        <f>IF(Settings!$E$15="POINTS",E116-VLOOKUP(B$2,C1:E430,3,FALSE),J116)</f>
        <v>-82.6486144266363</v>
      </c>
      <c r="G116" s="39"/>
      <c r="H116" s="138">
        <f>RANK(I116,I3:I430)</f>
        <v>94</v>
      </c>
      <c r="I116" s="139">
        <f>VLOOKUP(A116,'Standard Deviations'!A1:C728,3,FALSE)</f>
        <v>3.3979635206851713</v>
      </c>
      <c r="J116" s="139">
        <f>I116-VLOOKUP(B$2,H1:J430,2,FALSE)</f>
        <v>-1.9052920665419135</v>
      </c>
    </row>
    <row r="117" spans="1:10" ht="21.25" customHeight="1" x14ac:dyDescent="0.15">
      <c r="A117" s="8" t="s">
        <v>274</v>
      </c>
      <c r="B117" s="137" t="str">
        <f>VLOOKUP(A117,'The List'!B1:D727,3,FALSE)</f>
        <v>LW</v>
      </c>
      <c r="C117" s="48">
        <f>IF(Settings!$E$15="POINTS",RANK(E117,E3:E430),H117)</f>
        <v>112</v>
      </c>
      <c r="D117" s="35" t="str">
        <f>VLOOKUP(A117,'The List'!B1:F727,5,FALSE)</f>
        <v>CGY</v>
      </c>
      <c r="E117" s="39">
        <f>VLOOKUP(A117,'The List'!B1:I727,8,FALSE)</f>
        <v>287.08224876707419</v>
      </c>
      <c r="F117" s="39">
        <f>IF(Settings!$E$15="POINTS",E117-VLOOKUP(B$2,C1:E430,3,FALSE),J117)</f>
        <v>-80.366878057616475</v>
      </c>
      <c r="G117" s="39"/>
      <c r="H117" s="138">
        <f>RANK(I117,I3:I430)</f>
        <v>95</v>
      </c>
      <c r="I117" s="139">
        <f>VLOOKUP(A117,'Standard Deviations'!A1:C728,3,FALSE)</f>
        <v>3.3634718235644696</v>
      </c>
      <c r="J117" s="139">
        <f>I117-VLOOKUP(B$2,H1:J430,2,FALSE)</f>
        <v>-1.9397837636626152</v>
      </c>
    </row>
    <row r="118" spans="1:10" ht="21.25" customHeight="1" x14ac:dyDescent="0.15">
      <c r="A118" s="8" t="s">
        <v>316</v>
      </c>
      <c r="B118" s="137" t="str">
        <f>VLOOKUP(A118,'The List'!B1:D727,3,FALSE)</f>
        <v>C</v>
      </c>
      <c r="C118" s="48">
        <f>IF(Settings!$E$15="POINTS",RANK(E118,E3:E430),H118)</f>
        <v>117</v>
      </c>
      <c r="D118" s="35" t="str">
        <f>VLOOKUP(A118,'The List'!B1:F727,5,FALSE)</f>
        <v>NSH</v>
      </c>
      <c r="E118" s="39">
        <f>VLOOKUP(A118,'The List'!B1:I727,8,FALSE)</f>
        <v>282.66340092358456</v>
      </c>
      <c r="F118" s="39">
        <f>IF(Settings!$E$15="POINTS",E118-VLOOKUP(B$2,C1:E430,3,FALSE),J118)</f>
        <v>-84.785725901106105</v>
      </c>
      <c r="G118" s="39"/>
      <c r="H118" s="138">
        <f>RANK(I118,I3:I430)</f>
        <v>125</v>
      </c>
      <c r="I118" s="139">
        <f>VLOOKUP(A118,'Standard Deviations'!A1:C728,3,FALSE)</f>
        <v>1.9154611711935297</v>
      </c>
      <c r="J118" s="139">
        <f>I118-VLOOKUP(B$2,H1:J430,2,FALSE)</f>
        <v>-3.3877944160335551</v>
      </c>
    </row>
    <row r="119" spans="1:10" ht="21.25" customHeight="1" x14ac:dyDescent="0.15">
      <c r="A119" s="8" t="s">
        <v>279</v>
      </c>
      <c r="B119" s="137" t="str">
        <f>VLOOKUP(A119,'The List'!B1:D727,3,FALSE)</f>
        <v>C</v>
      </c>
      <c r="C119" s="48">
        <f>IF(Settings!$E$15="POINTS",RANK(E119,E3:E430),H119)</f>
        <v>100</v>
      </c>
      <c r="D119" s="35" t="str">
        <f>VLOOKUP(A119,'The List'!B1:F727,5,FALSE)</f>
        <v>NJD</v>
      </c>
      <c r="E119" s="39">
        <f>VLOOKUP(A119,'The List'!B1:I727,8,FALSE)</f>
        <v>309.17031985018787</v>
      </c>
      <c r="F119" s="39">
        <f>IF(Settings!$E$15="POINTS",E119-VLOOKUP(B$2,C1:E430,3,FALSE),J119)</f>
        <v>-58.2788069745028</v>
      </c>
      <c r="G119" s="39"/>
      <c r="H119" s="138">
        <f>RANK(I119,I3:I430)</f>
        <v>98</v>
      </c>
      <c r="I119" s="139">
        <f>VLOOKUP(A119,'Standard Deviations'!A1:C728,3,FALSE)</f>
        <v>3.0961507477008974</v>
      </c>
      <c r="J119" s="139">
        <f>I119-VLOOKUP(B$2,H1:J430,2,FALSE)</f>
        <v>-2.2071048395261874</v>
      </c>
    </row>
    <row r="120" spans="1:10" ht="21.25" customHeight="1" x14ac:dyDescent="0.15">
      <c r="A120" s="8" t="s">
        <v>312</v>
      </c>
      <c r="B120" s="137" t="str">
        <f>VLOOKUP(A120,'The List'!B1:D727,3,FALSE)</f>
        <v>C</v>
      </c>
      <c r="C120" s="48">
        <f>IF(Settings!$E$15="POINTS",RANK(E120,E3:E430),H120)</f>
        <v>114</v>
      </c>
      <c r="D120" s="35" t="str">
        <f>VLOOKUP(A120,'The List'!B1:F727,5,FALSE)</f>
        <v>CGY</v>
      </c>
      <c r="E120" s="39">
        <f>VLOOKUP(A120,'The List'!B1:I727,8,FALSE)</f>
        <v>285.75678715352723</v>
      </c>
      <c r="F120" s="39">
        <f>IF(Settings!$E$15="POINTS",E120-VLOOKUP(B$2,C1:E430,3,FALSE),J120)</f>
        <v>-81.692339671163438</v>
      </c>
      <c r="G120" s="39"/>
      <c r="H120" s="138">
        <f>RANK(I120,I3:I430)</f>
        <v>97</v>
      </c>
      <c r="I120" s="139">
        <f>VLOOKUP(A120,'Standard Deviations'!A1:C728,3,FALSE)</f>
        <v>3.2446250639604854</v>
      </c>
      <c r="J120" s="139">
        <f>I120-VLOOKUP(B$2,H1:J430,2,FALSE)</f>
        <v>-2.0586305232665993</v>
      </c>
    </row>
    <row r="121" spans="1:10" ht="21.25" customHeight="1" x14ac:dyDescent="0.15">
      <c r="A121" s="8" t="s">
        <v>284</v>
      </c>
      <c r="B121" s="137" t="str">
        <f>VLOOKUP(A121,'The List'!B1:D727,3,FALSE)</f>
        <v>LW</v>
      </c>
      <c r="C121" s="48">
        <f>IF(Settings!$E$15="POINTS",RANK(E121,E3:E430),H121)</f>
        <v>119</v>
      </c>
      <c r="D121" s="35" t="str">
        <f>VLOOKUP(A121,'The List'!B1:F727,5,FALSE)</f>
        <v>NYI</v>
      </c>
      <c r="E121" s="39">
        <f>VLOOKUP(A121,'The List'!B1:I727,8,FALSE)</f>
        <v>277.10268217186632</v>
      </c>
      <c r="F121" s="39">
        <f>IF(Settings!$E$15="POINTS",E121-VLOOKUP(B$2,C1:E430,3,FALSE),J121)</f>
        <v>-90.346444652824346</v>
      </c>
      <c r="G121" s="39"/>
      <c r="H121" s="138">
        <f>RANK(I121,I3:I430)</f>
        <v>100</v>
      </c>
      <c r="I121" s="139">
        <f>VLOOKUP(A121,'Standard Deviations'!A1:C728,3,FALSE)</f>
        <v>3.0467987799274754</v>
      </c>
      <c r="J121" s="139">
        <f>I121-VLOOKUP(B$2,H1:J430,2,FALSE)</f>
        <v>-2.2564568072996094</v>
      </c>
    </row>
    <row r="122" spans="1:10" ht="21.25" customHeight="1" x14ac:dyDescent="0.15">
      <c r="A122" s="8" t="s">
        <v>273</v>
      </c>
      <c r="B122" s="137" t="str">
        <f>VLOOKUP(A122,'The List'!B1:D727,3,FALSE)</f>
        <v>RW</v>
      </c>
      <c r="C122" s="48">
        <f>IF(Settings!$E$15="POINTS",RANK(E122,E3:E430),H122)</f>
        <v>123</v>
      </c>
      <c r="D122" s="35" t="str">
        <f>VLOOKUP(A122,'The List'!B1:F727,5,FALSE)</f>
        <v>SEA</v>
      </c>
      <c r="E122" s="39">
        <f>VLOOKUP(A122,'The List'!B1:I727,8,FALSE)</f>
        <v>274.27785619658812</v>
      </c>
      <c r="F122" s="39">
        <f>IF(Settings!$E$15="POINTS",E122-VLOOKUP(B$2,C1:E430,3,FALSE),J122)</f>
        <v>-93.171270628102548</v>
      </c>
      <c r="G122" s="39"/>
      <c r="H122" s="138">
        <f>RANK(I122,I3:I430)</f>
        <v>124</v>
      </c>
      <c r="I122" s="139">
        <f>VLOOKUP(A122,'Standard Deviations'!A1:C728,3,FALSE)</f>
        <v>1.9371792232004756</v>
      </c>
      <c r="J122" s="139">
        <f>I122-VLOOKUP(B$2,H1:J430,2,FALSE)</f>
        <v>-3.3660763640266094</v>
      </c>
    </row>
    <row r="123" spans="1:10" ht="21.25" customHeight="1" x14ac:dyDescent="0.15">
      <c r="A123" s="8" t="s">
        <v>271</v>
      </c>
      <c r="B123" s="137" t="str">
        <f>VLOOKUP(A123,'The List'!B1:D727,3,FALSE)</f>
        <v>RW</v>
      </c>
      <c r="C123" s="48">
        <f>IF(Settings!$E$15="POINTS",RANK(E123,E3:E430),H123)</f>
        <v>122</v>
      </c>
      <c r="D123" s="35" t="str">
        <f>VLOOKUP(A123,'The List'!B1:F727,5,FALSE)</f>
        <v>PIT</v>
      </c>
      <c r="E123" s="39">
        <f>VLOOKUP(A123,'The List'!B1:I727,8,FALSE)</f>
        <v>274.61398607847298</v>
      </c>
      <c r="F123" s="39">
        <f>IF(Settings!$E$15="POINTS",E123-VLOOKUP(B$2,C1:E430,3,FALSE),J123)</f>
        <v>-92.835140746217689</v>
      </c>
      <c r="G123" s="39"/>
      <c r="H123" s="138">
        <f>RANK(I123,I3:I430)</f>
        <v>106</v>
      </c>
      <c r="I123" s="139">
        <f>VLOOKUP(A123,'Standard Deviations'!A1:C728,3,FALSE)</f>
        <v>2.7913858733508965</v>
      </c>
      <c r="J123" s="139">
        <f>I123-VLOOKUP(B$2,H1:J430,2,FALSE)</f>
        <v>-2.5118697138761883</v>
      </c>
    </row>
    <row r="124" spans="1:10" ht="21.25" customHeight="1" x14ac:dyDescent="0.15">
      <c r="A124" s="8" t="s">
        <v>294</v>
      </c>
      <c r="B124" s="137" t="str">
        <f>VLOOKUP(A124,'The List'!B1:D727,3,FALSE)</f>
        <v>RW</v>
      </c>
      <c r="C124" s="48">
        <f>IF(Settings!$E$15="POINTS",RANK(E124,E3:E430),H124)</f>
        <v>134</v>
      </c>
      <c r="D124" s="35" t="str">
        <f>VLOOKUP(A124,'The List'!B1:F727,5,FALSE)</f>
        <v>NSH</v>
      </c>
      <c r="E124" s="39">
        <f>VLOOKUP(A124,'The List'!B1:I727,8,FALSE)</f>
        <v>256.93122822051691</v>
      </c>
      <c r="F124" s="39">
        <f>IF(Settings!$E$15="POINTS",E124-VLOOKUP(B$2,C1:E430,3,FALSE),J124)</f>
        <v>-110.51789860417375</v>
      </c>
      <c r="G124" s="39"/>
      <c r="H124" s="138">
        <f>RANK(I124,I3:I430)</f>
        <v>146</v>
      </c>
      <c r="I124" s="139">
        <f>VLOOKUP(A124,'Standard Deviations'!A1:C728,3,FALSE)</f>
        <v>1.0254164211875738</v>
      </c>
      <c r="J124" s="139">
        <f>I124-VLOOKUP(B$2,H1:J430,2,FALSE)</f>
        <v>-4.2778391660395112</v>
      </c>
    </row>
    <row r="125" spans="1:10" ht="21.25" customHeight="1" x14ac:dyDescent="0.15">
      <c r="A125" s="8" t="s">
        <v>299</v>
      </c>
      <c r="B125" s="137" t="str">
        <f>VLOOKUP(A125,'The List'!B1:D727,3,FALSE)</f>
        <v>LW</v>
      </c>
      <c r="C125" s="48">
        <f>IF(Settings!$E$15="POINTS",RANK(E125,E3:E430),H125)</f>
        <v>125</v>
      </c>
      <c r="D125" s="35" t="str">
        <f>VLOOKUP(A125,'The List'!B1:F727,5,FALSE)</f>
        <v>CHI</v>
      </c>
      <c r="E125" s="39">
        <f>VLOOKUP(A125,'The List'!B1:I727,8,FALSE)</f>
        <v>267.25014181004207</v>
      </c>
      <c r="F125" s="39">
        <f>IF(Settings!$E$15="POINTS",E125-VLOOKUP(B$2,C1:E430,3,FALSE),J125)</f>
        <v>-100.1989850146486</v>
      </c>
      <c r="G125" s="39"/>
      <c r="H125" s="138">
        <f>RANK(I125,I3:I430)</f>
        <v>171</v>
      </c>
      <c r="I125" s="139">
        <f>VLOOKUP(A125,'Standard Deviations'!A1:C728,3,FALSE)</f>
        <v>0.32423744998847992</v>
      </c>
      <c r="J125" s="139">
        <f>I125-VLOOKUP(B$2,H1:J430,2,FALSE)</f>
        <v>-4.9790181372386044</v>
      </c>
    </row>
    <row r="126" spans="1:10" ht="21.25" customHeight="1" x14ac:dyDescent="0.15">
      <c r="A126" s="8" t="s">
        <v>352</v>
      </c>
      <c r="B126" s="137" t="str">
        <f>VLOOKUP(A126,'The List'!B1:D727,3,FALSE)</f>
        <v>C</v>
      </c>
      <c r="C126" s="48">
        <f>IF(Settings!$E$15="POINTS",RANK(E126,E3:E430),H126)</f>
        <v>126</v>
      </c>
      <c r="D126" s="35" t="str">
        <f>VLOOKUP(A126,'The List'!B1:F727,5,FALSE)</f>
        <v>DAL</v>
      </c>
      <c r="E126" s="39">
        <f>VLOOKUP(A126,'The List'!B1:I727,8,FALSE)</f>
        <v>267.13327182063421</v>
      </c>
      <c r="F126" s="39">
        <f>IF(Settings!$E$15="POINTS",E126-VLOOKUP(B$2,C1:E430,3,FALSE),J126)</f>
        <v>-100.31585500405646</v>
      </c>
      <c r="G126" s="39"/>
      <c r="H126" s="138">
        <f>RANK(I126,I3:I430)</f>
        <v>109</v>
      </c>
      <c r="I126" s="139">
        <f>VLOOKUP(A126,'Standard Deviations'!A1:C728,3,FALSE)</f>
        <v>2.7487226713986268</v>
      </c>
      <c r="J126" s="139">
        <f>I126-VLOOKUP(B$2,H1:J430,2,FALSE)</f>
        <v>-2.554532915828458</v>
      </c>
    </row>
    <row r="127" spans="1:10" ht="21.25" customHeight="1" x14ac:dyDescent="0.15">
      <c r="A127" s="8" t="s">
        <v>346</v>
      </c>
      <c r="B127" s="137" t="str">
        <f>VLOOKUP(A127,'The List'!B1:D727,3,FALSE)</f>
        <v>C</v>
      </c>
      <c r="C127" s="48">
        <f>IF(Settings!$E$15="POINTS",RANK(E127,E3:E430),H127)</f>
        <v>124</v>
      </c>
      <c r="D127" s="35" t="str">
        <f>VLOOKUP(A127,'The List'!B1:F727,5,FALSE)</f>
        <v>LAK</v>
      </c>
      <c r="E127" s="39">
        <f>VLOOKUP(A127,'The List'!B1:I727,8,FALSE)</f>
        <v>269.97666385107232</v>
      </c>
      <c r="F127" s="39">
        <f>IF(Settings!$E$15="POINTS",E127-VLOOKUP(B$2,C1:E430,3,FALSE),J127)</f>
        <v>-97.472462973618349</v>
      </c>
      <c r="G127" s="39"/>
      <c r="H127" s="138">
        <f>RANK(I127,I3:I430)</f>
        <v>117</v>
      </c>
      <c r="I127" s="139">
        <f>VLOOKUP(A127,'Standard Deviations'!A1:C728,3,FALSE)</f>
        <v>2.2542269348796151</v>
      </c>
      <c r="J127" s="139">
        <f>I127-VLOOKUP(B$2,H1:J430,2,FALSE)</f>
        <v>-3.0490286523474697</v>
      </c>
    </row>
    <row r="128" spans="1:10" ht="21.25" customHeight="1" x14ac:dyDescent="0.15">
      <c r="A128" s="8" t="s">
        <v>356</v>
      </c>
      <c r="B128" s="137" t="str">
        <f>VLOOKUP(A128,'The List'!B1:D727,3,FALSE)</f>
        <v>C</v>
      </c>
      <c r="C128" s="48">
        <f>IF(Settings!$E$15="POINTS",RANK(E128,E3:E430),H128)</f>
        <v>127</v>
      </c>
      <c r="D128" s="35" t="str">
        <f>VLOOKUP(A128,'The List'!B1:F727,5,FALSE)</f>
        <v>CBJ</v>
      </c>
      <c r="E128" s="39">
        <f>VLOOKUP(A128,'The List'!B1:I727,8,FALSE)</f>
        <v>265.53913167742883</v>
      </c>
      <c r="F128" s="39">
        <f>IF(Settings!$E$15="POINTS",E128-VLOOKUP(B$2,C1:E430,3,FALSE),J128)</f>
        <v>-101.90999514726184</v>
      </c>
      <c r="G128" s="39"/>
      <c r="H128" s="138">
        <f>RANK(I128,I3:I430)</f>
        <v>131</v>
      </c>
      <c r="I128" s="139">
        <f>VLOOKUP(A128,'Standard Deviations'!A1:C728,3,FALSE)</f>
        <v>1.6333764455486004</v>
      </c>
      <c r="J128" s="139">
        <f>I128-VLOOKUP(B$2,H1:J430,2,FALSE)</f>
        <v>-3.6698791416784844</v>
      </c>
    </row>
    <row r="129" spans="1:10" ht="21.25" customHeight="1" x14ac:dyDescent="0.15">
      <c r="A129" s="8" t="s">
        <v>328</v>
      </c>
      <c r="B129" s="137" t="str">
        <f>VLOOKUP(A129,'The List'!B1:D727,3,FALSE)</f>
        <v>C</v>
      </c>
      <c r="C129" s="48">
        <f>IF(Settings!$E$15="POINTS",RANK(E129,E3:E430),H129)</f>
        <v>118</v>
      </c>
      <c r="D129" s="35" t="str">
        <f>VLOOKUP(A129,'The List'!B1:F727,5,FALSE)</f>
        <v>BUF</v>
      </c>
      <c r="E129" s="39">
        <f>VLOOKUP(A129,'The List'!B1:I727,8,FALSE)</f>
        <v>277.464919479868</v>
      </c>
      <c r="F129" s="39">
        <f>IF(Settings!$E$15="POINTS",E129-VLOOKUP(B$2,C1:E430,3,FALSE),J129)</f>
        <v>-89.984207344822664</v>
      </c>
      <c r="G129" s="39"/>
      <c r="H129" s="138">
        <f>RANK(I129,I3:I430)</f>
        <v>148</v>
      </c>
      <c r="I129" s="139">
        <f>VLOOKUP(A129,'Standard Deviations'!A1:C728,3,FALSE)</f>
        <v>0.90831439068631548</v>
      </c>
      <c r="J129" s="139">
        <f>I129-VLOOKUP(B$2,H1:J430,2,FALSE)</f>
        <v>-4.3949411965407696</v>
      </c>
    </row>
    <row r="130" spans="1:10" ht="21.25" customHeight="1" x14ac:dyDescent="0.15">
      <c r="A130" s="8" t="s">
        <v>336</v>
      </c>
      <c r="B130" s="137" t="str">
        <f>VLOOKUP(A130,'The List'!B1:D727,3,FALSE)</f>
        <v>C</v>
      </c>
      <c r="C130" s="48">
        <f>IF(Settings!$E$15="POINTS",RANK(E130,E3:E430),H130)</f>
        <v>121</v>
      </c>
      <c r="D130" s="35" t="str">
        <f>VLOOKUP(A130,'The List'!B1:F727,5,FALSE)</f>
        <v>CAR</v>
      </c>
      <c r="E130" s="39">
        <f>VLOOKUP(A130,'The List'!B1:I727,8,FALSE)</f>
        <v>275.04655633754817</v>
      </c>
      <c r="F130" s="39">
        <f>IF(Settings!$E$15="POINTS",E130-VLOOKUP(B$2,C1:E430,3,FALSE),J130)</f>
        <v>-92.402570487142498</v>
      </c>
      <c r="G130" s="39"/>
      <c r="H130" s="138">
        <f>RANK(I130,I3:I430)</f>
        <v>89</v>
      </c>
      <c r="I130" s="139">
        <f>VLOOKUP(A130,'Standard Deviations'!A1:C728,3,FALSE)</f>
        <v>3.883577876930532</v>
      </c>
      <c r="J130" s="139">
        <f>I130-VLOOKUP(B$2,H1:J430,2,FALSE)</f>
        <v>-1.4196777102965528</v>
      </c>
    </row>
    <row r="131" spans="1:10" ht="21.25" customHeight="1" x14ac:dyDescent="0.15">
      <c r="A131" s="8" t="s">
        <v>361</v>
      </c>
      <c r="B131" s="137" t="str">
        <f>VLOOKUP(A131,'The List'!B1:D727,3,FALSE)</f>
        <v>C</v>
      </c>
      <c r="C131" s="48">
        <f>IF(Settings!$E$15="POINTS",RANK(E131,E3:E430),H131)</f>
        <v>129</v>
      </c>
      <c r="D131" s="35" t="str">
        <f>VLOOKUP(A131,'The List'!B1:F727,5,FALSE)</f>
        <v>CBJ</v>
      </c>
      <c r="E131" s="39">
        <f>VLOOKUP(A131,'The List'!B1:I727,8,FALSE)</f>
        <v>262.80243065219219</v>
      </c>
      <c r="F131" s="39">
        <f>IF(Settings!$E$15="POINTS",E131-VLOOKUP(B$2,C1:E430,3,FALSE),J131)</f>
        <v>-104.64669617249848</v>
      </c>
      <c r="G131" s="39"/>
      <c r="H131" s="138">
        <f>RANK(I131,I3:I430)</f>
        <v>156</v>
      </c>
      <c r="I131" s="139">
        <f>VLOOKUP(A131,'Standard Deviations'!A1:C728,3,FALSE)</f>
        <v>0.69708209167312729</v>
      </c>
      <c r="J131" s="139">
        <f>I131-VLOOKUP(B$2,H1:J430,2,FALSE)</f>
        <v>-4.6061734955539571</v>
      </c>
    </row>
    <row r="132" spans="1:10" ht="21.25" customHeight="1" x14ac:dyDescent="0.15">
      <c r="A132" s="8" t="s">
        <v>292</v>
      </c>
      <c r="B132" s="137" t="str">
        <f>VLOOKUP(A132,'The List'!B1:D727,3,FALSE)</f>
        <v>RW</v>
      </c>
      <c r="C132" s="48">
        <f>IF(Settings!$E$15="POINTS",RANK(E132,E3:E430),H132)</f>
        <v>132</v>
      </c>
      <c r="D132" s="35" t="str">
        <f>VLOOKUP(A132,'The List'!B1:F727,5,FALSE)</f>
        <v>SEA</v>
      </c>
      <c r="E132" s="39">
        <f>VLOOKUP(A132,'The List'!B1:I727,8,FALSE)</f>
        <v>257.42960669344683</v>
      </c>
      <c r="F132" s="39">
        <f>IF(Settings!$E$15="POINTS",E132-VLOOKUP(B$2,C1:E430,3,FALSE),J132)</f>
        <v>-110.01952013124384</v>
      </c>
      <c r="G132" s="39"/>
      <c r="H132" s="138">
        <f>RANK(I132,I3:I430)</f>
        <v>141</v>
      </c>
      <c r="I132" s="139">
        <f>VLOOKUP(A132,'Standard Deviations'!A1:C728,3,FALSE)</f>
        <v>1.1379841145772072</v>
      </c>
      <c r="J132" s="139">
        <f>I132-VLOOKUP(B$2,H1:J430,2,FALSE)</f>
        <v>-4.1652714726498772</v>
      </c>
    </row>
    <row r="133" spans="1:10" ht="21.25" customHeight="1" x14ac:dyDescent="0.15">
      <c r="A133" s="8" t="s">
        <v>313</v>
      </c>
      <c r="B133" s="137" t="str">
        <f>VLOOKUP(A133,'The List'!B1:D727,3,FALSE)</f>
        <v>LW</v>
      </c>
      <c r="C133" s="48">
        <f>IF(Settings!$E$15="POINTS",RANK(E133,E3:E430),H133)</f>
        <v>136</v>
      </c>
      <c r="D133" s="35" t="str">
        <f>VLOOKUP(A133,'The List'!B1:F727,5,FALSE)</f>
        <v>VAN</v>
      </c>
      <c r="E133" s="39">
        <f>VLOOKUP(A133,'The List'!B1:I727,8,FALSE)</f>
        <v>256.0617040371103</v>
      </c>
      <c r="F133" s="39">
        <f>IF(Settings!$E$15="POINTS",E133-VLOOKUP(B$2,C1:E430,3,FALSE),J133)</f>
        <v>-111.38742278758036</v>
      </c>
      <c r="G133" s="39"/>
      <c r="H133" s="138">
        <f>RANK(I133,I3:I430)</f>
        <v>142</v>
      </c>
      <c r="I133" s="139">
        <f>VLOOKUP(A133,'Standard Deviations'!A1:C728,3,FALSE)</f>
        <v>1.0975757199539065</v>
      </c>
      <c r="J133" s="139">
        <f>I133-VLOOKUP(B$2,H1:J430,2,FALSE)</f>
        <v>-4.2056798672731786</v>
      </c>
    </row>
    <row r="134" spans="1:10" ht="21.25" customHeight="1" x14ac:dyDescent="0.15">
      <c r="A134" s="8" t="s">
        <v>372</v>
      </c>
      <c r="B134" s="137" t="str">
        <f>VLOOKUP(A134,'The List'!B1:D727,3,FALSE)</f>
        <v>C</v>
      </c>
      <c r="C134" s="48">
        <f>IF(Settings!$E$15="POINTS",RANK(E134,E3:E430),H134)</f>
        <v>135</v>
      </c>
      <c r="D134" s="35" t="str">
        <f>VLOOKUP(A134,'The List'!B1:F727,5,FALSE)</f>
        <v>ANA</v>
      </c>
      <c r="E134" s="39">
        <f>VLOOKUP(A134,'The List'!B1:I727,8,FALSE)</f>
        <v>256.3913603262269</v>
      </c>
      <c r="F134" s="39">
        <f>IF(Settings!$E$15="POINTS",E134-VLOOKUP(B$2,C1:E430,3,FALSE),J134)</f>
        <v>-111.05776649846376</v>
      </c>
      <c r="G134" s="39"/>
      <c r="H134" s="138">
        <f>RANK(I134,I3:I430)</f>
        <v>165</v>
      </c>
      <c r="I134" s="139">
        <f>VLOOKUP(A134,'Standard Deviations'!A1:C728,3,FALSE)</f>
        <v>0.37010160934291214</v>
      </c>
      <c r="J134" s="139">
        <f>I134-VLOOKUP(B$2,H1:J430,2,FALSE)</f>
        <v>-4.9331539778841726</v>
      </c>
    </row>
    <row r="135" spans="1:10" ht="21.25" customHeight="1" x14ac:dyDescent="0.15">
      <c r="A135" s="8" t="s">
        <v>283</v>
      </c>
      <c r="B135" s="137" t="str">
        <f>VLOOKUP(A135,'The List'!B1:D727,3,FALSE)</f>
        <v>RW</v>
      </c>
      <c r="C135" s="48">
        <f>IF(Settings!$E$15="POINTS",RANK(E135,E3:E430),H135)</f>
        <v>128</v>
      </c>
      <c r="D135" s="35" t="str">
        <f>VLOOKUP(A135,'The List'!B1:F727,5,FALSE)</f>
        <v>PIT</v>
      </c>
      <c r="E135" s="39">
        <f>VLOOKUP(A135,'The List'!B1:I727,8,FALSE)</f>
        <v>263.48794626075983</v>
      </c>
      <c r="F135" s="39">
        <f>IF(Settings!$E$15="POINTS",E135-VLOOKUP(B$2,C1:E430,3,FALSE),J135)</f>
        <v>-103.96118056393084</v>
      </c>
      <c r="G135" s="39"/>
      <c r="H135" s="138">
        <f>RANK(I135,I3:I430)</f>
        <v>132</v>
      </c>
      <c r="I135" s="139">
        <f>VLOOKUP(A135,'Standard Deviations'!A1:C728,3,FALSE)</f>
        <v>1.5949016072482189</v>
      </c>
      <c r="J135" s="139">
        <f>I135-VLOOKUP(B$2,H1:J430,2,FALSE)</f>
        <v>-3.7083539799788658</v>
      </c>
    </row>
    <row r="136" spans="1:10" ht="21.25" customHeight="1" x14ac:dyDescent="0.15">
      <c r="A136" s="8" t="s">
        <v>293</v>
      </c>
      <c r="B136" s="137" t="str">
        <f>VLOOKUP(A136,'The List'!B1:D727,3,FALSE)</f>
        <v>RW</v>
      </c>
      <c r="C136" s="48">
        <f>IF(Settings!$E$15="POINTS",RANK(E136,E3:E430),H136)</f>
        <v>133</v>
      </c>
      <c r="D136" s="35" t="str">
        <f>VLOOKUP(A136,'The List'!B1:F727,5,FALSE)</f>
        <v>MIN</v>
      </c>
      <c r="E136" s="39">
        <f>VLOOKUP(A136,'The List'!B1:I727,8,FALSE)</f>
        <v>257.42647415307243</v>
      </c>
      <c r="F136" s="39">
        <f>IF(Settings!$E$15="POINTS",E136-VLOOKUP(B$2,C1:E430,3,FALSE),J136)</f>
        <v>-110.02265267161823</v>
      </c>
      <c r="G136" s="39"/>
      <c r="H136" s="138">
        <f>RANK(I136,I3:I430)</f>
        <v>119</v>
      </c>
      <c r="I136" s="139">
        <f>VLOOKUP(A136,'Standard Deviations'!A1:C728,3,FALSE)</f>
        <v>2.1915369097381636</v>
      </c>
      <c r="J136" s="139">
        <f>I136-VLOOKUP(B$2,H1:J430,2,FALSE)</f>
        <v>-3.1117186774889212</v>
      </c>
    </row>
    <row r="137" spans="1:10" ht="21.25" customHeight="1" x14ac:dyDescent="0.15">
      <c r="A137" s="8" t="s">
        <v>301</v>
      </c>
      <c r="B137" s="137" t="str">
        <f>VLOOKUP(A137,'The List'!B1:D727,3,FALSE)</f>
        <v>RW</v>
      </c>
      <c r="C137" s="48">
        <f>IF(Settings!$E$15="POINTS",RANK(E137,E3:E430),H137)</f>
        <v>141</v>
      </c>
      <c r="D137" s="35" t="str">
        <f>VLOOKUP(A137,'The List'!B1:F727,5,FALSE)</f>
        <v>VAN</v>
      </c>
      <c r="E137" s="39">
        <f>VLOOKUP(A137,'The List'!B1:I727,8,FALSE)</f>
        <v>252.21787686588482</v>
      </c>
      <c r="F137" s="39">
        <f>IF(Settings!$E$15="POINTS",E137-VLOOKUP(B$2,C1:E430,3,FALSE),J137)</f>
        <v>-115.23124995880585</v>
      </c>
      <c r="G137" s="39"/>
      <c r="H137" s="138">
        <f>RANK(I137,I3:I430)</f>
        <v>140</v>
      </c>
      <c r="I137" s="139">
        <f>VLOOKUP(A137,'Standard Deviations'!A1:C728,3,FALSE)</f>
        <v>1.1724616072262513</v>
      </c>
      <c r="J137" s="139">
        <f>I137-VLOOKUP(B$2,H1:J430,2,FALSE)</f>
        <v>-4.1307939800008331</v>
      </c>
    </row>
    <row r="138" spans="1:10" ht="21.25" customHeight="1" x14ac:dyDescent="0.15">
      <c r="A138" s="8" t="s">
        <v>319</v>
      </c>
      <c r="B138" s="137" t="str">
        <f>VLOOKUP(A138,'The List'!B1:D727,3,FALSE)</f>
        <v>LW</v>
      </c>
      <c r="C138" s="48">
        <f>IF(Settings!$E$15="POINTS",RANK(E138,E3:E430),H138)</f>
        <v>140</v>
      </c>
      <c r="D138" s="35" t="str">
        <f>VLOOKUP(A138,'The List'!B1:F727,5,FALSE)</f>
        <v>ARI</v>
      </c>
      <c r="E138" s="39">
        <f>VLOOKUP(A138,'The List'!B1:I727,8,FALSE)</f>
        <v>252.22331091824526</v>
      </c>
      <c r="F138" s="39">
        <f>IF(Settings!$E$15="POINTS",E138-VLOOKUP(B$2,C1:E430,3,FALSE),J138)</f>
        <v>-115.2258159064454</v>
      </c>
      <c r="G138" s="39"/>
      <c r="H138" s="138">
        <f>RANK(I138,I3:I430)</f>
        <v>174</v>
      </c>
      <c r="I138" s="139">
        <f>VLOOKUP(A138,'Standard Deviations'!A1:C728,3,FALSE)</f>
        <v>0.26348216872944352</v>
      </c>
      <c r="J138" s="139">
        <f>I138-VLOOKUP(B$2,H1:J430,2,FALSE)</f>
        <v>-5.0397734184976413</v>
      </c>
    </row>
    <row r="139" spans="1:10" ht="21.25" customHeight="1" x14ac:dyDescent="0.15">
      <c r="A139" s="8" t="s">
        <v>320</v>
      </c>
      <c r="B139" s="137" t="str">
        <f>VLOOKUP(A139,'The List'!B1:D727,3,FALSE)</f>
        <v>LW</v>
      </c>
      <c r="C139" s="48">
        <f>IF(Settings!$E$15="POINTS",RANK(E139,E3:E430),H139)</f>
        <v>142</v>
      </c>
      <c r="D139" s="35" t="str">
        <f>VLOOKUP(A139,'The List'!B1:F727,5,FALSE)</f>
        <v>STL</v>
      </c>
      <c r="E139" s="39">
        <f>VLOOKUP(A139,'The List'!B1:I727,8,FALSE)</f>
        <v>251.79654961859586</v>
      </c>
      <c r="F139" s="39">
        <f>IF(Settings!$E$15="POINTS",E139-VLOOKUP(B$2,C1:E430,3,FALSE),J139)</f>
        <v>-115.6525772060948</v>
      </c>
      <c r="G139" s="39"/>
      <c r="H139" s="138">
        <f>RANK(I139,I3:I430)</f>
        <v>161</v>
      </c>
      <c r="I139" s="139">
        <f>VLOOKUP(A139,'Standard Deviations'!A1:C728,3,FALSE)</f>
        <v>0.48700847575000139</v>
      </c>
      <c r="J139" s="139">
        <f>I139-VLOOKUP(B$2,H1:J430,2,FALSE)</f>
        <v>-4.8162471114770833</v>
      </c>
    </row>
    <row r="140" spans="1:10" ht="21.25" customHeight="1" x14ac:dyDescent="0.15">
      <c r="A140" s="8" t="s">
        <v>379</v>
      </c>
      <c r="B140" s="137" t="str">
        <f>VLOOKUP(A140,'The List'!B1:D727,3,FALSE)</f>
        <v>C</v>
      </c>
      <c r="C140" s="48">
        <f>IF(Settings!$E$15="POINTS",RANK(E140,E3:E430),H140)</f>
        <v>139</v>
      </c>
      <c r="D140" s="35" t="str">
        <f>VLOOKUP(A140,'The List'!B1:F727,5,FALSE)</f>
        <v>PHI</v>
      </c>
      <c r="E140" s="39">
        <f>VLOOKUP(A140,'The List'!B1:I727,8,FALSE)</f>
        <v>253.99470579268629</v>
      </c>
      <c r="F140" s="39">
        <f>IF(Settings!$E$15="POINTS",E140-VLOOKUP(B$2,C1:E430,3,FALSE),J140)</f>
        <v>-113.45442103200438</v>
      </c>
      <c r="G140" s="39"/>
      <c r="H140" s="138">
        <f>RANK(I140,I3:I430)</f>
        <v>176</v>
      </c>
      <c r="I140" s="139">
        <f>VLOOKUP(A140,'Standard Deviations'!A1:C728,3,FALSE)</f>
        <v>0.1994399164516607</v>
      </c>
      <c r="J140" s="139">
        <f>I140-VLOOKUP(B$2,H1:J430,2,FALSE)</f>
        <v>-5.1038156707754236</v>
      </c>
    </row>
    <row r="141" spans="1:10" ht="21.25" customHeight="1" x14ac:dyDescent="0.15">
      <c r="A141" s="8" t="s">
        <v>321</v>
      </c>
      <c r="B141" s="137" t="str">
        <f>VLOOKUP(A141,'The List'!B1:D727,3,FALSE)</f>
        <v>LW</v>
      </c>
      <c r="C141" s="48">
        <f>IF(Settings!$E$15="POINTS",RANK(E141,E3:E430),H141)</f>
        <v>143</v>
      </c>
      <c r="D141" s="35" t="str">
        <f>VLOOKUP(A141,'The List'!B1:F727,5,FALSE)</f>
        <v>CAR</v>
      </c>
      <c r="E141" s="39">
        <f>VLOOKUP(A141,'The List'!B1:I727,8,FALSE)</f>
        <v>251.02386494404385</v>
      </c>
      <c r="F141" s="39">
        <f>IF(Settings!$E$15="POINTS",E141-VLOOKUP(B$2,C1:E430,3,FALSE),J141)</f>
        <v>-116.42526188064681</v>
      </c>
      <c r="G141" s="39"/>
      <c r="H141" s="138">
        <f>RANK(I141,I3:I430)</f>
        <v>110</v>
      </c>
      <c r="I141" s="139">
        <f>VLOOKUP(A141,'Standard Deviations'!A1:C728,3,FALSE)</f>
        <v>2.7026062887488203</v>
      </c>
      <c r="J141" s="139">
        <f>I141-VLOOKUP(B$2,H1:J430,2,FALSE)</f>
        <v>-2.6006492984782645</v>
      </c>
    </row>
    <row r="142" spans="1:10" ht="21.25" customHeight="1" x14ac:dyDescent="0.15">
      <c r="A142" s="8" t="s">
        <v>363</v>
      </c>
      <c r="B142" s="137" t="str">
        <f>VLOOKUP(A142,'The List'!B1:D727,3,FALSE)</f>
        <v>C</v>
      </c>
      <c r="C142" s="48">
        <f>IF(Settings!$E$15="POINTS",RANK(E142,E3:E430),H142)</f>
        <v>130</v>
      </c>
      <c r="D142" s="35" t="str">
        <f>VLOOKUP(A142,'The List'!B1:F727,5,FALSE)</f>
        <v>DAL</v>
      </c>
      <c r="E142" s="39">
        <f>VLOOKUP(A142,'The List'!B1:I727,8,FALSE)</f>
        <v>261.45214284262335</v>
      </c>
      <c r="F142" s="39">
        <f>IF(Settings!$E$15="POINTS",E142-VLOOKUP(B$2,C1:E430,3,FALSE),J142)</f>
        <v>-105.99698398206732</v>
      </c>
      <c r="G142" s="39"/>
      <c r="H142" s="138">
        <f>RANK(I142,I3:I430)</f>
        <v>107</v>
      </c>
      <c r="I142" s="139">
        <f>VLOOKUP(A142,'Standard Deviations'!A1:C728,3,FALSE)</f>
        <v>2.7865435468770992</v>
      </c>
      <c r="J142" s="139">
        <f>I142-VLOOKUP(B$2,H1:J430,2,FALSE)</f>
        <v>-2.5167120403499856</v>
      </c>
    </row>
    <row r="143" spans="1:10" ht="21.25" customHeight="1" x14ac:dyDescent="0.15">
      <c r="A143" s="8" t="s">
        <v>364</v>
      </c>
      <c r="B143" s="137" t="str">
        <f>VLOOKUP(A143,'The List'!B1:D727,3,FALSE)</f>
        <v>C</v>
      </c>
      <c r="C143" s="48">
        <f>IF(Settings!$E$15="POINTS",RANK(E143,E3:E430),H143)</f>
        <v>131</v>
      </c>
      <c r="D143" s="35" t="str">
        <f>VLOOKUP(A143,'The List'!B1:F727,5,FALSE)</f>
        <v>CBJ</v>
      </c>
      <c r="E143" s="39">
        <f>VLOOKUP(A143,'The List'!B1:I727,8,FALSE)</f>
        <v>260.90760995895317</v>
      </c>
      <c r="F143" s="39">
        <f>IF(Settings!$E$15="POINTS",E143-VLOOKUP(B$2,C1:E430,3,FALSE),J143)</f>
        <v>-106.54151686573749</v>
      </c>
      <c r="G143" s="39"/>
      <c r="H143" s="138">
        <f>RANK(I143,I3:I430)</f>
        <v>187</v>
      </c>
      <c r="I143" s="139">
        <f>VLOOKUP(A143,'Standard Deviations'!A1:C728,3,FALSE)</f>
        <v>-6.963176079842559E-2</v>
      </c>
      <c r="J143" s="139">
        <f>I143-VLOOKUP(B$2,H1:J430,2,FALSE)</f>
        <v>-5.3728873480255102</v>
      </c>
    </row>
    <row r="144" spans="1:10" ht="21.25" customHeight="1" x14ac:dyDescent="0.15">
      <c r="A144" s="8" t="s">
        <v>378</v>
      </c>
      <c r="B144" s="137" t="str">
        <f>VLOOKUP(A144,'The List'!B1:D727,3,FALSE)</f>
        <v>C</v>
      </c>
      <c r="C144" s="48">
        <f>IF(Settings!$E$15="POINTS",RANK(E144,E3:E430),H144)</f>
        <v>138</v>
      </c>
      <c r="D144" s="35" t="str">
        <f>VLOOKUP(A144,'The List'!B1:F727,5,FALSE)</f>
        <v>VGK</v>
      </c>
      <c r="E144" s="39">
        <f>VLOOKUP(A144,'The List'!B1:I727,8,FALSE)</f>
        <v>254.33919820763199</v>
      </c>
      <c r="F144" s="39">
        <f>IF(Settings!$E$15="POINTS",E144-VLOOKUP(B$2,C1:E430,3,FALSE),J144)</f>
        <v>-113.10992861705867</v>
      </c>
      <c r="G144" s="39"/>
      <c r="H144" s="138">
        <f>RANK(I144,I3:I430)</f>
        <v>114</v>
      </c>
      <c r="I144" s="139">
        <f>VLOOKUP(A144,'Standard Deviations'!A1:C728,3,FALSE)</f>
        <v>2.463721791205205</v>
      </c>
      <c r="J144" s="139">
        <f>I144-VLOOKUP(B$2,H1:J430,2,FALSE)</f>
        <v>-2.8395337960218798</v>
      </c>
    </row>
    <row r="145" spans="1:10" ht="21.25" customHeight="1" x14ac:dyDescent="0.15">
      <c r="A145" s="8" t="s">
        <v>383</v>
      </c>
      <c r="B145" s="137" t="str">
        <f>VLOOKUP(A145,'The List'!B1:D727,3,FALSE)</f>
        <v>C</v>
      </c>
      <c r="C145" s="48">
        <f>IF(Settings!$E$15="POINTS",RANK(E145,E3:E430),H145)</f>
        <v>147</v>
      </c>
      <c r="D145" s="35" t="str">
        <f>VLOOKUP(A145,'The List'!B1:F727,5,FALSE)</f>
        <v>NSH</v>
      </c>
      <c r="E145" s="39">
        <f>VLOOKUP(A145,'The List'!B1:I727,8,FALSE)</f>
        <v>248.82831213527587</v>
      </c>
      <c r="F145" s="39">
        <f>IF(Settings!$E$15="POINTS",E145-VLOOKUP(B$2,C1:E430,3,FALSE),J145)</f>
        <v>-118.6208146894148</v>
      </c>
      <c r="G145" s="39"/>
      <c r="H145" s="138">
        <f>RANK(I145,I3:I430)</f>
        <v>153</v>
      </c>
      <c r="I145" s="139">
        <f>VLOOKUP(A145,'Standard Deviations'!A1:C728,3,FALSE)</f>
        <v>0.73956591754264844</v>
      </c>
      <c r="J145" s="139">
        <f>I145-VLOOKUP(B$2,H1:J430,2,FALSE)</f>
        <v>-4.563689669684436</v>
      </c>
    </row>
    <row r="146" spans="1:10" ht="21.25" customHeight="1" x14ac:dyDescent="0.15">
      <c r="A146" s="8" t="s">
        <v>393</v>
      </c>
      <c r="B146" s="137" t="str">
        <f>VLOOKUP(A146,'The List'!B1:D727,3,FALSE)</f>
        <v>C</v>
      </c>
      <c r="C146" s="48">
        <f>IF(Settings!$E$15="POINTS",RANK(E146,E3:E430),H146)</f>
        <v>151</v>
      </c>
      <c r="D146" s="35" t="str">
        <f>VLOOKUP(A146,'The List'!B1:F727,5,FALSE)</f>
        <v>WSH</v>
      </c>
      <c r="E146" s="39">
        <f>VLOOKUP(A146,'The List'!B1:I727,8,FALSE)</f>
        <v>244.41287298071077</v>
      </c>
      <c r="F146" s="39">
        <f>IF(Settings!$E$15="POINTS",E146-VLOOKUP(B$2,C1:E430,3,FALSE),J146)</f>
        <v>-123.03625384397989</v>
      </c>
      <c r="G146" s="39"/>
      <c r="H146" s="138">
        <f>RANK(I146,I3:I430)</f>
        <v>157</v>
      </c>
      <c r="I146" s="139">
        <f>VLOOKUP(A146,'Standard Deviations'!A1:C728,3,FALSE)</f>
        <v>0.58940897809363935</v>
      </c>
      <c r="J146" s="139">
        <f>I146-VLOOKUP(B$2,H1:J430,2,FALSE)</f>
        <v>-4.7138466091334452</v>
      </c>
    </row>
    <row r="147" spans="1:10" ht="21.25" customHeight="1" x14ac:dyDescent="0.15">
      <c r="A147" s="8" t="s">
        <v>375</v>
      </c>
      <c r="B147" s="137" t="str">
        <f>VLOOKUP(A147,'The List'!B1:D727,3,FALSE)</f>
        <v>C</v>
      </c>
      <c r="C147" s="48">
        <f>IF(Settings!$E$15="POINTS",RANK(E147,E3:E430),H147)</f>
        <v>137</v>
      </c>
      <c r="D147" s="35" t="str">
        <f>VLOOKUP(A147,'The List'!B1:F727,5,FALSE)</f>
        <v>MTL</v>
      </c>
      <c r="E147" s="39">
        <f>VLOOKUP(A147,'The List'!B1:I727,8,FALSE)</f>
        <v>255.61706143361724</v>
      </c>
      <c r="F147" s="39">
        <f>IF(Settings!$E$15="POINTS",E147-VLOOKUP(B$2,C1:E430,3,FALSE),J147)</f>
        <v>-111.83206539107343</v>
      </c>
      <c r="G147" s="39"/>
      <c r="H147" s="138">
        <f>RANK(I147,I3:I430)</f>
        <v>180</v>
      </c>
      <c r="I147" s="139">
        <f>VLOOKUP(A147,'Standard Deviations'!A1:C728,3,FALSE)</f>
        <v>0.13246424306784732</v>
      </c>
      <c r="J147" s="139">
        <f>I147-VLOOKUP(B$2,H1:J430,2,FALSE)</f>
        <v>-5.1707913441592375</v>
      </c>
    </row>
    <row r="148" spans="1:10" ht="21.25" customHeight="1" x14ac:dyDescent="0.15">
      <c r="A148" s="8" t="s">
        <v>324</v>
      </c>
      <c r="B148" s="137" t="str">
        <f>VLOOKUP(A148,'The List'!B1:D727,3,FALSE)</f>
        <v>LW</v>
      </c>
      <c r="C148" s="48">
        <f>IF(Settings!$E$15="POINTS",RANK(E148,E3:E430),H148)</f>
        <v>145</v>
      </c>
      <c r="D148" s="35" t="str">
        <f>VLOOKUP(A148,'The List'!B1:F727,5,FALSE)</f>
        <v>CAR</v>
      </c>
      <c r="E148" s="39">
        <f>VLOOKUP(A148,'The List'!B1:I727,8,FALSE)</f>
        <v>249.55089267257344</v>
      </c>
      <c r="F148" s="39">
        <f>IF(Settings!$E$15="POINTS",E148-VLOOKUP(B$2,C1:E430,3,FALSE),J148)</f>
        <v>-117.89823415211723</v>
      </c>
      <c r="G148" s="39"/>
      <c r="H148" s="138">
        <f>RANK(I148,I3:I430)</f>
        <v>118</v>
      </c>
      <c r="I148" s="139">
        <f>VLOOKUP(A148,'Standard Deviations'!A1:C728,3,FALSE)</f>
        <v>2.2375866839667324</v>
      </c>
      <c r="J148" s="139">
        <f>I148-VLOOKUP(B$2,H1:J430,2,FALSE)</f>
        <v>-3.0656689032603524</v>
      </c>
    </row>
    <row r="149" spans="1:10" ht="21.25" customHeight="1" x14ac:dyDescent="0.15">
      <c r="A149" s="8" t="s">
        <v>331</v>
      </c>
      <c r="B149" s="137" t="str">
        <f>VLOOKUP(A149,'The List'!B1:D727,3,FALSE)</f>
        <v>RW</v>
      </c>
      <c r="C149" s="48">
        <f>IF(Settings!$E$15="POINTS",RANK(E149,E3:E430),H149)</f>
        <v>165</v>
      </c>
      <c r="D149" s="35" t="str">
        <f>VLOOKUP(A149,'The List'!B1:F727,5,FALSE)</f>
        <v>NYR</v>
      </c>
      <c r="E149" s="39">
        <f>VLOOKUP(A149,'The List'!B1:I727,8,FALSE)</f>
        <v>233.39779012995831</v>
      </c>
      <c r="F149" s="39">
        <f>IF(Settings!$E$15="POINTS",E149-VLOOKUP(B$2,C1:E430,3,FALSE),J149)</f>
        <v>-134.05133669473236</v>
      </c>
      <c r="G149" s="39"/>
      <c r="H149" s="138">
        <f>RANK(I149,I3:I430)</f>
        <v>139</v>
      </c>
      <c r="I149" s="139">
        <f>VLOOKUP(A149,'Standard Deviations'!A1:C728,3,FALSE)</f>
        <v>1.2130505867866543</v>
      </c>
      <c r="J149" s="139">
        <f>I149-VLOOKUP(B$2,H1:J430,2,FALSE)</f>
        <v>-4.0902050004404309</v>
      </c>
    </row>
    <row r="150" spans="1:10" ht="21.25" customHeight="1" x14ac:dyDescent="0.15">
      <c r="A150" s="8" t="s">
        <v>326</v>
      </c>
      <c r="B150" s="137" t="str">
        <f>VLOOKUP(A150,'The List'!B1:D727,3,FALSE)</f>
        <v>LW</v>
      </c>
      <c r="C150" s="48">
        <f>IF(Settings!$E$15="POINTS",RANK(E150,E3:E430),H150)</f>
        <v>146</v>
      </c>
      <c r="D150" s="35" t="str">
        <f>VLOOKUP(A150,'The List'!B1:F727,5,FALSE)</f>
        <v>LAK</v>
      </c>
      <c r="E150" s="39">
        <f>VLOOKUP(A150,'The List'!B1:I727,8,FALSE)</f>
        <v>249.15218162704716</v>
      </c>
      <c r="F150" s="39">
        <f>IF(Settings!$E$15="POINTS",E150-VLOOKUP(B$2,C1:E430,3,FALSE),J150)</f>
        <v>-118.29694519764351</v>
      </c>
      <c r="G150" s="39"/>
      <c r="H150" s="138">
        <f>RANK(I150,I3:I430)</f>
        <v>154</v>
      </c>
      <c r="I150" s="139">
        <f>VLOOKUP(A150,'Standard Deviations'!A1:C728,3,FALSE)</f>
        <v>0.72714448525923137</v>
      </c>
      <c r="J150" s="139">
        <f>I150-VLOOKUP(B$2,H1:J430,2,FALSE)</f>
        <v>-4.5761111019678538</v>
      </c>
    </row>
    <row r="151" spans="1:10" ht="21.25" customHeight="1" x14ac:dyDescent="0.15">
      <c r="A151" s="8" t="s">
        <v>314</v>
      </c>
      <c r="B151" s="137" t="str">
        <f>VLOOKUP(A151,'The List'!B1:D727,3,FALSE)</f>
        <v>RW</v>
      </c>
      <c r="C151" s="48">
        <f>IF(Settings!$E$15="POINTS",RANK(E151,E3:E430),H151)</f>
        <v>155</v>
      </c>
      <c r="D151" s="35" t="str">
        <f>VLOOKUP(A151,'The List'!B1:F727,5,FALSE)</f>
        <v>CBJ</v>
      </c>
      <c r="E151" s="39">
        <f>VLOOKUP(A151,'The List'!B1:I727,8,FALSE)</f>
        <v>242.18344030909975</v>
      </c>
      <c r="F151" s="39">
        <f>IF(Settings!$E$15="POINTS",E151-VLOOKUP(B$2,C1:E430,3,FALSE),J151)</f>
        <v>-125.26568651559091</v>
      </c>
      <c r="G151" s="39"/>
      <c r="H151" s="138">
        <f>RANK(I151,I3:I430)</f>
        <v>181</v>
      </c>
      <c r="I151" s="139">
        <f>VLOOKUP(A151,'Standard Deviations'!A1:C728,3,FALSE)</f>
        <v>9.1740645740331139E-2</v>
      </c>
      <c r="J151" s="139">
        <f>I151-VLOOKUP(B$2,H1:J430,2,FALSE)</f>
        <v>-5.2115149414867536</v>
      </c>
    </row>
    <row r="152" spans="1:10" ht="21.25" customHeight="1" x14ac:dyDescent="0.15">
      <c r="A152" s="8" t="s">
        <v>395</v>
      </c>
      <c r="B152" s="137" t="str">
        <f>VLOOKUP(A152,'The List'!B1:D727,3,FALSE)</f>
        <v>C</v>
      </c>
      <c r="C152" s="48">
        <f>IF(Settings!$E$15="POINTS",RANK(E152,E3:E430),H152)</f>
        <v>153</v>
      </c>
      <c r="D152" s="35" t="str">
        <f>VLOOKUP(A152,'The List'!B1:F727,5,FALSE)</f>
        <v>ARI</v>
      </c>
      <c r="E152" s="39">
        <f>VLOOKUP(A152,'The List'!B1:I727,8,FALSE)</f>
        <v>243.44090235014107</v>
      </c>
      <c r="F152" s="39">
        <f>IF(Settings!$E$15="POINTS",E152-VLOOKUP(B$2,C1:E430,3,FALSE),J152)</f>
        <v>-124.00822447454959</v>
      </c>
      <c r="G152" s="39"/>
      <c r="H152" s="138">
        <f>RANK(I152,I3:I430)</f>
        <v>175</v>
      </c>
      <c r="I152" s="139">
        <f>VLOOKUP(A152,'Standard Deviations'!A1:C728,3,FALSE)</f>
        <v>0.2443496912601022</v>
      </c>
      <c r="J152" s="139">
        <f>I152-VLOOKUP(B$2,H1:J430,2,FALSE)</f>
        <v>-5.0589058959669826</v>
      </c>
    </row>
    <row r="153" spans="1:10" ht="21.25" customHeight="1" x14ac:dyDescent="0.15">
      <c r="A153" s="8" t="s">
        <v>391</v>
      </c>
      <c r="B153" s="137" t="str">
        <f>VLOOKUP(A153,'The List'!B1:D727,3,FALSE)</f>
        <v>C</v>
      </c>
      <c r="C153" s="48">
        <f>IF(Settings!$E$15="POINTS",RANK(E153,E3:E430),H153)</f>
        <v>150</v>
      </c>
      <c r="D153" s="35" t="str">
        <f>VLOOKUP(A153,'The List'!B1:F727,5,FALSE)</f>
        <v>DAL</v>
      </c>
      <c r="E153" s="39">
        <f>VLOOKUP(A153,'The List'!B1:I727,8,FALSE)</f>
        <v>245.03212184167259</v>
      </c>
      <c r="F153" s="39">
        <f>IF(Settings!$E$15="POINTS",E153-VLOOKUP(B$2,C1:E430,3,FALSE),J153)</f>
        <v>-122.41700498301807</v>
      </c>
      <c r="G153" s="39"/>
      <c r="H153" s="138">
        <f>RANK(I153,I3:I430)</f>
        <v>135</v>
      </c>
      <c r="I153" s="139">
        <f>VLOOKUP(A153,'Standard Deviations'!A1:C728,3,FALSE)</f>
        <v>1.4955870804424056</v>
      </c>
      <c r="J153" s="139">
        <f>I153-VLOOKUP(B$2,H1:J430,2,FALSE)</f>
        <v>-3.8076685067846792</v>
      </c>
    </row>
    <row r="154" spans="1:10" ht="21.25" customHeight="1" x14ac:dyDescent="0.15">
      <c r="A154" s="8" t="s">
        <v>345</v>
      </c>
      <c r="B154" s="137" t="str">
        <f>VLOOKUP(A154,'The List'!B1:D727,3,FALSE)</f>
        <v>LW</v>
      </c>
      <c r="C154" s="48">
        <f>IF(Settings!$E$15="POINTS",RANK(E154,E3:E430),H154)</f>
        <v>156</v>
      </c>
      <c r="D154" s="35" t="str">
        <f>VLOOKUP(A154,'The List'!B1:F727,5,FALSE)</f>
        <v>SJS</v>
      </c>
      <c r="E154" s="39">
        <f>VLOOKUP(A154,'The List'!B1:I727,8,FALSE)</f>
        <v>240.95026054123605</v>
      </c>
      <c r="F154" s="39">
        <f>IF(Settings!$E$15="POINTS",E154-VLOOKUP(B$2,C1:E430,3,FALSE),J154)</f>
        <v>-126.49886628345462</v>
      </c>
      <c r="G154" s="39"/>
      <c r="H154" s="138">
        <f>RANK(I154,I3:I430)</f>
        <v>151</v>
      </c>
      <c r="I154" s="139">
        <f>VLOOKUP(A154,'Standard Deviations'!A1:C728,3,FALSE)</f>
        <v>0.83820879308226737</v>
      </c>
      <c r="J154" s="139">
        <f>I154-VLOOKUP(B$2,H1:J430,2,FALSE)</f>
        <v>-4.4650467941448175</v>
      </c>
    </row>
    <row r="155" spans="1:10" ht="21.25" customHeight="1" x14ac:dyDescent="0.15">
      <c r="A155" s="8" t="s">
        <v>340</v>
      </c>
      <c r="B155" s="137" t="str">
        <f>VLOOKUP(A155,'The List'!B1:D727,3,FALSE)</f>
        <v>LW</v>
      </c>
      <c r="C155" s="48">
        <f>IF(Settings!$E$15="POINTS",RANK(E155,E3:E430),H155)</f>
        <v>154</v>
      </c>
      <c r="D155" s="35" t="str">
        <f>VLOOKUP(A155,'The List'!B1:F727,5,FALSE)</f>
        <v>EDM</v>
      </c>
      <c r="E155" s="39">
        <f>VLOOKUP(A155,'The List'!B1:I727,8,FALSE)</f>
        <v>243.39307077615649</v>
      </c>
      <c r="F155" s="39">
        <f>IF(Settings!$E$15="POINTS",E155-VLOOKUP(B$2,C1:E430,3,FALSE),J155)</f>
        <v>-124.05605604853417</v>
      </c>
      <c r="G155" s="39"/>
      <c r="H155" s="138">
        <f>RANK(I155,I3:I430)</f>
        <v>137</v>
      </c>
      <c r="I155" s="139">
        <f>VLOOKUP(A155,'Standard Deviations'!A1:C728,3,FALSE)</f>
        <v>1.4587059199642356</v>
      </c>
      <c r="J155" s="139">
        <f>I155-VLOOKUP(B$2,H1:J430,2,FALSE)</f>
        <v>-3.8445496672628492</v>
      </c>
    </row>
    <row r="156" spans="1:10" ht="21.25" customHeight="1" x14ac:dyDescent="0.15">
      <c r="A156" s="8" t="s">
        <v>390</v>
      </c>
      <c r="B156" s="137" t="str">
        <f>VLOOKUP(A156,'The List'!B1:D727,3,FALSE)</f>
        <v>C</v>
      </c>
      <c r="C156" s="48">
        <f>IF(Settings!$E$15="POINTS",RANK(E156,E3:E430),H156)</f>
        <v>149</v>
      </c>
      <c r="D156" s="35" t="str">
        <f>VLOOKUP(A156,'The List'!B1:F727,5,FALSE)</f>
        <v>FLA</v>
      </c>
      <c r="E156" s="39">
        <f>VLOOKUP(A156,'The List'!B1:I727,8,FALSE)</f>
        <v>245.37592554833034</v>
      </c>
      <c r="F156" s="39">
        <f>IF(Settings!$E$15="POINTS",E156-VLOOKUP(B$2,C1:E430,3,FALSE),J156)</f>
        <v>-122.07320127636032</v>
      </c>
      <c r="G156" s="39"/>
      <c r="H156" s="138">
        <f>RANK(I156,I3:I430)</f>
        <v>126</v>
      </c>
      <c r="I156" s="139">
        <f>VLOOKUP(A156,'Standard Deviations'!A1:C728,3,FALSE)</f>
        <v>1.8326367075128531</v>
      </c>
      <c r="J156" s="139">
        <f>I156-VLOOKUP(B$2,H1:J430,2,FALSE)</f>
        <v>-3.4706188797142317</v>
      </c>
    </row>
    <row r="157" spans="1:10" ht="21.25" customHeight="1" x14ac:dyDescent="0.15">
      <c r="A157" s="8" t="s">
        <v>310</v>
      </c>
      <c r="B157" s="137" t="str">
        <f>VLOOKUP(A157,'The List'!B1:D727,3,FALSE)</f>
        <v>RW</v>
      </c>
      <c r="C157" s="48">
        <f>IF(Settings!$E$15="POINTS",RANK(E157,E3:E430),H157)</f>
        <v>152</v>
      </c>
      <c r="D157" s="35" t="str">
        <f>VLOOKUP(A157,'The List'!B1:F727,5,FALSE)</f>
        <v>WSH</v>
      </c>
      <c r="E157" s="39">
        <f>VLOOKUP(A157,'The List'!B1:I727,8,FALSE)</f>
        <v>243.51211310531798</v>
      </c>
      <c r="F157" s="39">
        <f>IF(Settings!$E$15="POINTS",E157-VLOOKUP(B$2,C1:E430,3,FALSE),J157)</f>
        <v>-123.93701371937269</v>
      </c>
      <c r="G157" s="39"/>
      <c r="H157" s="138">
        <f>RANK(I157,I3:I430)</f>
        <v>164</v>
      </c>
      <c r="I157" s="139">
        <f>VLOOKUP(A157,'Standard Deviations'!A1:C728,3,FALSE)</f>
        <v>0.39868648346332236</v>
      </c>
      <c r="J157" s="139">
        <f>I157-VLOOKUP(B$2,H1:J430,2,FALSE)</f>
        <v>-4.9045691037637624</v>
      </c>
    </row>
    <row r="158" spans="1:10" ht="21.25" customHeight="1" x14ac:dyDescent="0.15">
      <c r="A158" s="8" t="s">
        <v>317</v>
      </c>
      <c r="B158" s="137" t="str">
        <f>VLOOKUP(A158,'The List'!B1:D727,3,FALSE)</f>
        <v>RW</v>
      </c>
      <c r="C158" s="48">
        <f>IF(Settings!$E$15="POINTS",RANK(E158,E3:E430),H158)</f>
        <v>158</v>
      </c>
      <c r="D158" s="35" t="str">
        <f>VLOOKUP(A158,'The List'!B1:F727,5,FALSE)</f>
        <v>WPG</v>
      </c>
      <c r="E158" s="39">
        <f>VLOOKUP(A158,'The List'!B1:I727,8,FALSE)</f>
        <v>239.42784451887565</v>
      </c>
      <c r="F158" s="39">
        <f>IF(Settings!$E$15="POINTS",E158-VLOOKUP(B$2,C1:E430,3,FALSE),J158)</f>
        <v>-128.02128230581502</v>
      </c>
      <c r="G158" s="39"/>
      <c r="H158" s="138">
        <f>RANK(I158,I3:I430)</f>
        <v>130</v>
      </c>
      <c r="I158" s="139">
        <f>VLOOKUP(A158,'Standard Deviations'!A1:C728,3,FALSE)</f>
        <v>1.696383097472145</v>
      </c>
      <c r="J158" s="139">
        <f>I158-VLOOKUP(B$2,H1:J430,2,FALSE)</f>
        <v>-3.6068724897549398</v>
      </c>
    </row>
    <row r="159" spans="1:10" ht="21.25" customHeight="1" x14ac:dyDescent="0.15">
      <c r="A159" s="8" t="s">
        <v>405</v>
      </c>
      <c r="B159" s="137" t="str">
        <f>VLOOKUP(A159,'The List'!B1:D727,3,FALSE)</f>
        <v>C</v>
      </c>
      <c r="C159" s="48">
        <f>IF(Settings!$E$15="POINTS",RANK(E159,E3:E430),H159)</f>
        <v>159</v>
      </c>
      <c r="D159" s="35" t="str">
        <f>VLOOKUP(A159,'The List'!B1:F727,5,FALSE)</f>
        <v>ANA</v>
      </c>
      <c r="E159" s="39">
        <f>VLOOKUP(A159,'The List'!B1:I727,8,FALSE)</f>
        <v>239.21970989118435</v>
      </c>
      <c r="F159" s="39">
        <f>IF(Settings!$E$15="POINTS",E159-VLOOKUP(B$2,C1:E430,3,FALSE),J159)</f>
        <v>-128.22941693350631</v>
      </c>
      <c r="G159" s="39"/>
      <c r="H159" s="138">
        <f>RANK(I159,I3:I430)</f>
        <v>239</v>
      </c>
      <c r="I159" s="139">
        <f>VLOOKUP(A159,'Standard Deviations'!A1:C728,3,FALSE)</f>
        <v>-1.2948187911890867</v>
      </c>
      <c r="J159" s="139">
        <f>I159-VLOOKUP(B$2,H1:J430,2,FALSE)</f>
        <v>-6.5980743784161717</v>
      </c>
    </row>
    <row r="160" spans="1:10" ht="21.25" customHeight="1" x14ac:dyDescent="0.15">
      <c r="A160" s="8" t="s">
        <v>409</v>
      </c>
      <c r="B160" s="137" t="str">
        <f>VLOOKUP(A160,'The List'!B1:D727,3,FALSE)</f>
        <v>C</v>
      </c>
      <c r="C160" s="48">
        <f>IF(Settings!$E$15="POINTS",RANK(E160,E3:E430),H160)</f>
        <v>162</v>
      </c>
      <c r="D160" s="35" t="str">
        <f>VLOOKUP(A160,'The List'!B1:F727,5,FALSE)</f>
        <v>STL</v>
      </c>
      <c r="E160" s="39">
        <f>VLOOKUP(A160,'The List'!B1:I727,8,FALSE)</f>
        <v>237.82741049660606</v>
      </c>
      <c r="F160" s="39">
        <f>IF(Settings!$E$15="POINTS",E160-VLOOKUP(B$2,C1:E430,3,FALSE),J160)</f>
        <v>-129.6217163280846</v>
      </c>
      <c r="G160" s="39"/>
      <c r="H160" s="138">
        <f>RANK(I160,I3:I430)</f>
        <v>206</v>
      </c>
      <c r="I160" s="139">
        <f>VLOOKUP(A160,'Standard Deviations'!A1:C728,3,FALSE)</f>
        <v>-0.64679981798336184</v>
      </c>
      <c r="J160" s="139">
        <f>I160-VLOOKUP(B$2,H1:J430,2,FALSE)</f>
        <v>-5.9500554052104464</v>
      </c>
    </row>
    <row r="161" spans="1:10" ht="21.25" customHeight="1" x14ac:dyDescent="0.15">
      <c r="A161" s="8" t="s">
        <v>412</v>
      </c>
      <c r="B161" s="137" t="str">
        <f>VLOOKUP(A161,'The List'!B1:D727,3,FALSE)</f>
        <v>C</v>
      </c>
      <c r="C161" s="48">
        <f>IF(Settings!$E$15="POINTS",RANK(E161,E3:E430),H161)</f>
        <v>163</v>
      </c>
      <c r="D161" s="35" t="str">
        <f>VLOOKUP(A161,'The List'!B1:F727,5,FALSE)</f>
        <v>WPG</v>
      </c>
      <c r="E161" s="39">
        <f>VLOOKUP(A161,'The List'!B1:I727,8,FALSE)</f>
        <v>236.79843533421618</v>
      </c>
      <c r="F161" s="39">
        <f>IF(Settings!$E$15="POINTS",E161-VLOOKUP(B$2,C1:E430,3,FALSE),J161)</f>
        <v>-130.65069149047449</v>
      </c>
      <c r="G161" s="39"/>
      <c r="H161" s="138">
        <f>RANK(I161,I3:I430)</f>
        <v>138</v>
      </c>
      <c r="I161" s="139">
        <f>VLOOKUP(A161,'Standard Deviations'!A1:C728,3,FALSE)</f>
        <v>1.4027573376563585</v>
      </c>
      <c r="J161" s="139">
        <f>I161-VLOOKUP(B$2,H1:J430,2,FALSE)</f>
        <v>-3.9004982495707265</v>
      </c>
    </row>
    <row r="162" spans="1:10" ht="21.25" customHeight="1" x14ac:dyDescent="0.15">
      <c r="A162" s="8" t="s">
        <v>384</v>
      </c>
      <c r="B162" s="137" t="str">
        <f>VLOOKUP(A162,'The List'!B1:D727,3,FALSE)</f>
        <v>C</v>
      </c>
      <c r="C162" s="48">
        <f>IF(Settings!$E$15="POINTS",RANK(E162,E3:E430),H162)</f>
        <v>148</v>
      </c>
      <c r="D162" s="35" t="str">
        <f>VLOOKUP(A162,'The List'!B1:F727,5,FALSE)</f>
        <v>VGK</v>
      </c>
      <c r="E162" s="39">
        <f>VLOOKUP(A162,'The List'!B1:I727,8,FALSE)</f>
        <v>247.66637071976439</v>
      </c>
      <c r="F162" s="39">
        <f>IF(Settings!$E$15="POINTS",E162-VLOOKUP(B$2,C1:E430,3,FALSE),J162)</f>
        <v>-119.78275610492628</v>
      </c>
      <c r="G162" s="39"/>
      <c r="H162" s="138">
        <f>RANK(I162,I3:I430)</f>
        <v>127</v>
      </c>
      <c r="I162" s="139">
        <f>VLOOKUP(A162,'Standard Deviations'!A1:C728,3,FALSE)</f>
        <v>1.756525728376273</v>
      </c>
      <c r="J162" s="139">
        <f>I162-VLOOKUP(B$2,H1:J430,2,FALSE)</f>
        <v>-3.5467298588508118</v>
      </c>
    </row>
    <row r="163" spans="1:10" ht="21.25" customHeight="1" x14ac:dyDescent="0.15">
      <c r="A163" s="8" t="s">
        <v>407</v>
      </c>
      <c r="B163" s="137" t="str">
        <f>VLOOKUP(A163,'The List'!B1:D727,3,FALSE)</f>
        <v>C</v>
      </c>
      <c r="C163" s="48">
        <f>IF(Settings!$E$15="POINTS",RANK(E163,E3:E430),H163)</f>
        <v>160</v>
      </c>
      <c r="D163" s="35" t="str">
        <f>VLOOKUP(A163,'The List'!B1:F727,5,FALSE)</f>
        <v>BOS</v>
      </c>
      <c r="E163" s="39">
        <f>VLOOKUP(A163,'The List'!B1:I727,8,FALSE)</f>
        <v>239.10143637824899</v>
      </c>
      <c r="F163" s="39">
        <f>IF(Settings!$E$15="POINTS",E163-VLOOKUP(B$2,C1:E430,3,FALSE),J163)</f>
        <v>-128.34769044644167</v>
      </c>
      <c r="G163" s="39"/>
      <c r="H163" s="138">
        <f>RANK(I163,I3:I430)</f>
        <v>136</v>
      </c>
      <c r="I163" s="139">
        <f>VLOOKUP(A163,'Standard Deviations'!A1:C728,3,FALSE)</f>
        <v>1.4626972329201293</v>
      </c>
      <c r="J163" s="139">
        <f>I163-VLOOKUP(B$2,H1:J430,2,FALSE)</f>
        <v>-3.8405583543069555</v>
      </c>
    </row>
    <row r="164" spans="1:10" ht="21.25" customHeight="1" x14ac:dyDescent="0.15">
      <c r="A164" s="8" t="s">
        <v>318</v>
      </c>
      <c r="B164" s="137" t="str">
        <f>VLOOKUP(A164,'The List'!B1:D727,3,FALSE)</f>
        <v>RW</v>
      </c>
      <c r="C164" s="48">
        <f>IF(Settings!$E$15="POINTS",RANK(E164,E3:E430),H164)</f>
        <v>161</v>
      </c>
      <c r="D164" s="35" t="str">
        <f>VLOOKUP(A164,'The List'!B1:F727,5,FALSE)</f>
        <v>CBJ</v>
      </c>
      <c r="E164" s="39">
        <f>VLOOKUP(A164,'The List'!B1:I727,8,FALSE)</f>
        <v>239.09325561043323</v>
      </c>
      <c r="F164" s="39">
        <f>IF(Settings!$E$15="POINTS",E164-VLOOKUP(B$2,C1:E430,3,FALSE),J164)</f>
        <v>-128.35587121425743</v>
      </c>
      <c r="G164" s="39"/>
      <c r="H164" s="138">
        <f>RANK(I164,I3:I430)</f>
        <v>210</v>
      </c>
      <c r="I164" s="139">
        <f>VLOOKUP(A164,'Standard Deviations'!A1:C728,3,FALSE)</f>
        <v>-0.71772931767661508</v>
      </c>
      <c r="J164" s="139">
        <f>I164-VLOOKUP(B$2,H1:J430,2,FALSE)</f>
        <v>-6.0209849049036999</v>
      </c>
    </row>
    <row r="165" spans="1:10" ht="21.25" customHeight="1" x14ac:dyDescent="0.15">
      <c r="A165" s="8" t="s">
        <v>333</v>
      </c>
      <c r="B165" s="137" t="str">
        <f>VLOOKUP(A165,'The List'!B1:D727,3,FALSE)</f>
        <v>RW</v>
      </c>
      <c r="C165" s="48">
        <f>IF(Settings!$E$15="POINTS",RANK(E165,E3:E430),H165)</f>
        <v>167</v>
      </c>
      <c r="D165" s="35" t="str">
        <f>VLOOKUP(A165,'The List'!B1:F727,5,FALSE)</f>
        <v>WSH</v>
      </c>
      <c r="E165" s="39">
        <f>VLOOKUP(A165,'The List'!B1:I727,8,FALSE)</f>
        <v>232.4325036760134</v>
      </c>
      <c r="F165" s="39">
        <f>IF(Settings!$E$15="POINTS",E165-VLOOKUP(B$2,C1:E430,3,FALSE),J165)</f>
        <v>-135.01662314867727</v>
      </c>
      <c r="G165" s="39"/>
      <c r="H165" s="138">
        <f>RANK(I165,I3:I430)</f>
        <v>186</v>
      </c>
      <c r="I165" s="139">
        <f>VLOOKUP(A165,'Standard Deviations'!A1:C728,3,FALSE)</f>
        <v>-6.5577446428419228E-2</v>
      </c>
      <c r="J165" s="139">
        <f>I165-VLOOKUP(B$2,H1:J430,2,FALSE)</f>
        <v>-5.3688330336555037</v>
      </c>
    </row>
    <row r="166" spans="1:10" ht="21.25" customHeight="1" x14ac:dyDescent="0.15">
      <c r="A166" s="8" t="s">
        <v>362</v>
      </c>
      <c r="B166" s="137" t="str">
        <f>VLOOKUP(A166,'The List'!B1:D727,3,FALSE)</f>
        <v>LW</v>
      </c>
      <c r="C166" s="48">
        <f>IF(Settings!$E$15="POINTS",RANK(E166,E3:E430),H166)</f>
        <v>168</v>
      </c>
      <c r="D166" s="35" t="str">
        <f>VLOOKUP(A166,'The List'!B1:F727,5,FALSE)</f>
        <v>PHI</v>
      </c>
      <c r="E166" s="39">
        <f>VLOOKUP(A166,'The List'!B1:I727,8,FALSE)</f>
        <v>232.35057379035044</v>
      </c>
      <c r="F166" s="39">
        <f>IF(Settings!$E$15="POINTS",E166-VLOOKUP(B$2,C1:E430,3,FALSE),J166)</f>
        <v>-135.09855303434023</v>
      </c>
      <c r="G166" s="39"/>
      <c r="H166" s="138">
        <f>RANK(I166,I3:I430)</f>
        <v>216</v>
      </c>
      <c r="I166" s="139">
        <f>VLOOKUP(A166,'Standard Deviations'!A1:C728,3,FALSE)</f>
        <v>-0.85372863324244463</v>
      </c>
      <c r="J166" s="139">
        <f>I166-VLOOKUP(B$2,H1:J430,2,FALSE)</f>
        <v>-6.1569842204695293</v>
      </c>
    </row>
    <row r="167" spans="1:10" ht="21.25" customHeight="1" x14ac:dyDescent="0.15">
      <c r="A167" s="8" t="s">
        <v>365</v>
      </c>
      <c r="B167" s="137" t="str">
        <f>VLOOKUP(A167,'The List'!B1:D727,3,FALSE)</f>
        <v>LW</v>
      </c>
      <c r="C167" s="48">
        <f>IF(Settings!$E$15="POINTS",RANK(E167,E3:E430),H167)</f>
        <v>169</v>
      </c>
      <c r="D167" s="35" t="str">
        <f>VLOOKUP(A167,'The List'!B1:F727,5,FALSE)</f>
        <v>OTT</v>
      </c>
      <c r="E167" s="39">
        <f>VLOOKUP(A167,'The List'!B1:I727,8,FALSE)</f>
        <v>231.50808315538004</v>
      </c>
      <c r="F167" s="39">
        <f>IF(Settings!$E$15="POINTS",E167-VLOOKUP(B$2,C1:E430,3,FALSE),J167)</f>
        <v>-135.94104366931063</v>
      </c>
      <c r="G167" s="39"/>
      <c r="H167" s="138">
        <f>RANK(I167,I3:I430)</f>
        <v>155</v>
      </c>
      <c r="I167" s="139">
        <f>VLOOKUP(A167,'Standard Deviations'!A1:C728,3,FALSE)</f>
        <v>0.70003282006132661</v>
      </c>
      <c r="J167" s="139">
        <f>I167-VLOOKUP(B$2,H1:J430,2,FALSE)</f>
        <v>-4.6032227671657582</v>
      </c>
    </row>
    <row r="168" spans="1:10" ht="21.25" customHeight="1" x14ac:dyDescent="0.15">
      <c r="A168" s="8" t="s">
        <v>402</v>
      </c>
      <c r="B168" s="137" t="str">
        <f>VLOOKUP(A168,'The List'!B1:D727,3,FALSE)</f>
        <v>C</v>
      </c>
      <c r="C168" s="48">
        <f>IF(Settings!$E$15="POINTS",RANK(E168,E3:E430),H168)</f>
        <v>157</v>
      </c>
      <c r="D168" s="35" t="str">
        <f>VLOOKUP(A168,'The List'!B1:F727,5,FALSE)</f>
        <v>PHI</v>
      </c>
      <c r="E168" s="39">
        <f>VLOOKUP(A168,'The List'!B1:I727,8,FALSE)</f>
        <v>239.67744807680134</v>
      </c>
      <c r="F168" s="39">
        <f>IF(Settings!$E$15="POINTS",E168-VLOOKUP(B$2,C1:E430,3,FALSE),J168)</f>
        <v>-127.77167874788933</v>
      </c>
      <c r="G168" s="39"/>
      <c r="H168" s="138">
        <f>RANK(I168,I3:I430)</f>
        <v>212</v>
      </c>
      <c r="I168" s="139">
        <f>VLOOKUP(A168,'Standard Deviations'!A1:C728,3,FALSE)</f>
        <v>-0.733150344292538</v>
      </c>
      <c r="J168" s="139">
        <f>I168-VLOOKUP(B$2,H1:J430,2,FALSE)</f>
        <v>-6.0364059315196226</v>
      </c>
    </row>
    <row r="169" spans="1:10" ht="21.25" customHeight="1" x14ac:dyDescent="0.15">
      <c r="A169" s="8" t="s">
        <v>431</v>
      </c>
      <c r="B169" s="137" t="str">
        <f>VLOOKUP(A169,'The List'!B1:D727,3,FALSE)</f>
        <v>C</v>
      </c>
      <c r="C169" s="48">
        <f>IF(Settings!$E$15="POINTS",RANK(E169,E3:E430),H169)</f>
        <v>170</v>
      </c>
      <c r="D169" s="35" t="str">
        <f>VLOOKUP(A169,'The List'!B1:F727,5,FALSE)</f>
        <v>NYR</v>
      </c>
      <c r="E169" s="39">
        <f>VLOOKUP(A169,'The List'!B1:I727,8,FALSE)</f>
        <v>230.17002993868331</v>
      </c>
      <c r="F169" s="39">
        <f>IF(Settings!$E$15="POINTS",E169-VLOOKUP(B$2,C1:E430,3,FALSE),J169)</f>
        <v>-137.27909688600735</v>
      </c>
      <c r="G169" s="39"/>
      <c r="H169" s="138">
        <f>RANK(I169,I3:I430)</f>
        <v>134</v>
      </c>
      <c r="I169" s="139">
        <f>VLOOKUP(A169,'Standard Deviations'!A1:C728,3,FALSE)</f>
        <v>1.5163141947002816</v>
      </c>
      <c r="J169" s="139">
        <f>I169-VLOOKUP(B$2,H1:J430,2,FALSE)</f>
        <v>-3.7869413925268032</v>
      </c>
    </row>
    <row r="170" spans="1:10" ht="21.25" customHeight="1" x14ac:dyDescent="0.15">
      <c r="A170" s="8" t="s">
        <v>370</v>
      </c>
      <c r="B170" s="137" t="str">
        <f>VLOOKUP(A170,'The List'!B1:D727,3,FALSE)</f>
        <v>LW</v>
      </c>
      <c r="C170" s="48">
        <f>IF(Settings!$E$15="POINTS",RANK(E170,E3:E430),H170)</f>
        <v>172</v>
      </c>
      <c r="D170" s="35" t="str">
        <f>VLOOKUP(A170,'The List'!B1:F727,5,FALSE)</f>
        <v>SJS</v>
      </c>
      <c r="E170" s="39">
        <f>VLOOKUP(A170,'The List'!B1:I727,8,FALSE)</f>
        <v>228.15776765830245</v>
      </c>
      <c r="F170" s="39">
        <f>IF(Settings!$E$15="POINTS",E170-VLOOKUP(B$2,C1:E430,3,FALSE),J170)</f>
        <v>-139.29135916638822</v>
      </c>
      <c r="G170" s="39"/>
      <c r="H170" s="138">
        <f>RANK(I170,I3:I430)</f>
        <v>169</v>
      </c>
      <c r="I170" s="139">
        <f>VLOOKUP(A170,'Standard Deviations'!A1:C728,3,FALSE)</f>
        <v>0.33400635880329321</v>
      </c>
      <c r="J170" s="139">
        <f>I170-VLOOKUP(B$2,H1:J430,2,FALSE)</f>
        <v>-4.9692492284237915</v>
      </c>
    </row>
    <row r="171" spans="1:10" ht="21.25" customHeight="1" x14ac:dyDescent="0.15">
      <c r="A171" s="8" t="s">
        <v>344</v>
      </c>
      <c r="B171" s="137" t="str">
        <f>VLOOKUP(A171,'The List'!B1:D727,3,FALSE)</f>
        <v>RW</v>
      </c>
      <c r="C171" s="48">
        <f>IF(Settings!$E$15="POINTS",RANK(E171,E3:E430),H171)</f>
        <v>173</v>
      </c>
      <c r="D171" s="35" t="str">
        <f>VLOOKUP(A171,'The List'!B1:F727,5,FALSE)</f>
        <v>DET</v>
      </c>
      <c r="E171" s="39">
        <f>VLOOKUP(A171,'The List'!B1:I727,8,FALSE)</f>
        <v>227.41713460475484</v>
      </c>
      <c r="F171" s="39">
        <f>IF(Settings!$E$15="POINTS",E171-VLOOKUP(B$2,C1:E430,3,FALSE),J171)</f>
        <v>-140.03199221993583</v>
      </c>
      <c r="G171" s="39"/>
      <c r="H171" s="138">
        <f>RANK(I171,I3:I430)</f>
        <v>170</v>
      </c>
      <c r="I171" s="139">
        <f>VLOOKUP(A171,'Standard Deviations'!A1:C728,3,FALSE)</f>
        <v>0.33179983883495234</v>
      </c>
      <c r="J171" s="139">
        <f>I171-VLOOKUP(B$2,H1:J430,2,FALSE)</f>
        <v>-4.9714557483921329</v>
      </c>
    </row>
    <row r="172" spans="1:10" ht="21.25" customHeight="1" x14ac:dyDescent="0.15">
      <c r="A172" s="8" t="s">
        <v>418</v>
      </c>
      <c r="B172" s="137" t="str">
        <f>VLOOKUP(A172,'The List'!B1:D727,3,FALSE)</f>
        <v>C</v>
      </c>
      <c r="C172" s="48">
        <f>IF(Settings!$E$15="POINTS",RANK(E172,E3:E430),H172)</f>
        <v>164</v>
      </c>
      <c r="D172" s="35" t="str">
        <f>VLOOKUP(A172,'The List'!B1:F727,5,FALSE)</f>
        <v>NSH</v>
      </c>
      <c r="E172" s="39">
        <f>VLOOKUP(A172,'The List'!B1:I727,8,FALSE)</f>
        <v>234.89158609710728</v>
      </c>
      <c r="F172" s="39">
        <f>IF(Settings!$E$15="POINTS",E172-VLOOKUP(B$2,C1:E430,3,FALSE),J172)</f>
        <v>-132.55754072758339</v>
      </c>
      <c r="G172" s="39"/>
      <c r="H172" s="138">
        <f>RANK(I172,I3:I430)</f>
        <v>149</v>
      </c>
      <c r="I172" s="139">
        <f>VLOOKUP(A172,'Standard Deviations'!A1:C728,3,FALSE)</f>
        <v>0.90271653258086593</v>
      </c>
      <c r="J172" s="139">
        <f>I172-VLOOKUP(B$2,H1:J430,2,FALSE)</f>
        <v>-4.4005390546462184</v>
      </c>
    </row>
    <row r="173" spans="1:10" ht="21.25" customHeight="1" x14ac:dyDescent="0.15">
      <c r="A173" s="8" t="s">
        <v>440</v>
      </c>
      <c r="B173" s="137" t="str">
        <f>VLOOKUP(A173,'The List'!B1:D727,3,FALSE)</f>
        <v>C</v>
      </c>
      <c r="C173" s="48">
        <f>IF(Settings!$E$15="POINTS",RANK(E173,E3:E430),H173)</f>
        <v>175</v>
      </c>
      <c r="D173" s="35" t="str">
        <f>VLOOKUP(A173,'The List'!B1:F727,5,FALSE)</f>
        <v>CAR</v>
      </c>
      <c r="E173" s="39">
        <f>VLOOKUP(A173,'The List'!B1:I727,8,FALSE)</f>
        <v>225.65235905908733</v>
      </c>
      <c r="F173" s="39">
        <f>IF(Settings!$E$15="POINTS",E173-VLOOKUP(B$2,C1:E430,3,FALSE),J173)</f>
        <v>-141.79676776560333</v>
      </c>
      <c r="G173" s="39"/>
      <c r="H173" s="138">
        <f>RANK(I173,I3:I430)</f>
        <v>129</v>
      </c>
      <c r="I173" s="139">
        <f>VLOOKUP(A173,'Standard Deviations'!A1:C728,3,FALSE)</f>
        <v>1.7133740063703073</v>
      </c>
      <c r="J173" s="139">
        <f>I173-VLOOKUP(B$2,H1:J430,2,FALSE)</f>
        <v>-3.5898815808567774</v>
      </c>
    </row>
    <row r="174" spans="1:10" ht="21.25" customHeight="1" x14ac:dyDescent="0.15">
      <c r="A174" s="8" t="s">
        <v>435</v>
      </c>
      <c r="B174" s="137" t="str">
        <f>VLOOKUP(A174,'The List'!B1:D727,3,FALSE)</f>
        <v>C</v>
      </c>
      <c r="C174" s="48">
        <f>IF(Settings!$E$15="POINTS",RANK(E174,E3:E430),H174)</f>
        <v>171</v>
      </c>
      <c r="D174" s="35" t="str">
        <f>VLOOKUP(A174,'The List'!B1:F727,5,FALSE)</f>
        <v>CGY</v>
      </c>
      <c r="E174" s="39">
        <f>VLOOKUP(A174,'The List'!B1:I727,8,FALSE)</f>
        <v>228.56262670928945</v>
      </c>
      <c r="F174" s="39">
        <f>IF(Settings!$E$15="POINTS",E174-VLOOKUP(B$2,C1:E430,3,FALSE),J174)</f>
        <v>-138.88650011540122</v>
      </c>
      <c r="G174" s="39"/>
      <c r="H174" s="138">
        <f>RANK(I174,I3:I430)</f>
        <v>183</v>
      </c>
      <c r="I174" s="139">
        <f>VLOOKUP(A174,'Standard Deviations'!A1:C728,3,FALSE)</f>
        <v>4.912832474059943E-2</v>
      </c>
      <c r="J174" s="139">
        <f>I174-VLOOKUP(B$2,H1:J430,2,FALSE)</f>
        <v>-5.2541272624864854</v>
      </c>
    </row>
    <row r="175" spans="1:10" ht="21.25" customHeight="1" x14ac:dyDescent="0.15">
      <c r="A175" s="8" t="s">
        <v>446</v>
      </c>
      <c r="B175" s="137" t="str">
        <f>VLOOKUP(A175,'The List'!B1:D727,3,FALSE)</f>
        <v>C</v>
      </c>
      <c r="C175" s="48">
        <f>IF(Settings!$E$15="POINTS",RANK(E175,E3:E430),H175)</f>
        <v>179</v>
      </c>
      <c r="D175" s="35" t="str">
        <f>VLOOKUP(A175,'The List'!B1:F727,5,FALSE)</f>
        <v>FLA</v>
      </c>
      <c r="E175" s="39">
        <f>VLOOKUP(A175,'The List'!B1:I727,8,FALSE)</f>
        <v>223.85986731154631</v>
      </c>
      <c r="F175" s="39">
        <f>IF(Settings!$E$15="POINTS",E175-VLOOKUP(B$2,C1:E430,3,FALSE),J175)</f>
        <v>-143.58925951314436</v>
      </c>
      <c r="G175" s="39"/>
      <c r="H175" s="138">
        <f>RANK(I175,I3:I430)</f>
        <v>147</v>
      </c>
      <c r="I175" s="139">
        <f>VLOOKUP(A175,'Standard Deviations'!A1:C728,3,FALSE)</f>
        <v>1.0076945974786145</v>
      </c>
      <c r="J175" s="139">
        <f>I175-VLOOKUP(B$2,H1:J430,2,FALSE)</f>
        <v>-4.2955609897484699</v>
      </c>
    </row>
    <row r="176" spans="1:10" ht="21.25" customHeight="1" x14ac:dyDescent="0.15">
      <c r="A176" s="8" t="s">
        <v>381</v>
      </c>
      <c r="B176" s="137" t="str">
        <f>VLOOKUP(A176,'The List'!B1:D727,3,FALSE)</f>
        <v>LW</v>
      </c>
      <c r="C176" s="48">
        <f>IF(Settings!$E$15="POINTS",RANK(E176,E3:E430),H176)</f>
        <v>178</v>
      </c>
      <c r="D176" s="35" t="str">
        <f>VLOOKUP(A176,'The List'!B1:F727,5,FALSE)</f>
        <v>DET</v>
      </c>
      <c r="E176" s="39">
        <f>VLOOKUP(A176,'The List'!B1:I727,8,FALSE)</f>
        <v>223.93816402109007</v>
      </c>
      <c r="F176" s="39">
        <f>IF(Settings!$E$15="POINTS",E176-VLOOKUP(B$2,C1:E430,3,FALSE),J176)</f>
        <v>-143.51096280360059</v>
      </c>
      <c r="G176" s="39"/>
      <c r="H176" s="138">
        <f>RANK(I176,I3:I430)</f>
        <v>160</v>
      </c>
      <c r="I176" s="139">
        <f>VLOOKUP(A176,'Standard Deviations'!A1:C728,3,FALSE)</f>
        <v>0.57690831884901717</v>
      </c>
      <c r="J176" s="139">
        <f>I176-VLOOKUP(B$2,H1:J430,2,FALSE)</f>
        <v>-4.7263472683780678</v>
      </c>
    </row>
    <row r="177" spans="1:10" ht="21.25" customHeight="1" x14ac:dyDescent="0.15">
      <c r="A177" s="8" t="s">
        <v>355</v>
      </c>
      <c r="B177" s="137" t="str">
        <f>VLOOKUP(A177,'The List'!B1:D727,3,FALSE)</f>
        <v>RW</v>
      </c>
      <c r="C177" s="48">
        <f>IF(Settings!$E$15="POINTS",RANK(E177,E3:E430),H177)</f>
        <v>180</v>
      </c>
      <c r="D177" s="35" t="str">
        <f>VLOOKUP(A177,'The List'!B1:F727,5,FALSE)</f>
        <v>PHI</v>
      </c>
      <c r="E177" s="39">
        <f>VLOOKUP(A177,'The List'!B1:I727,8,FALSE)</f>
        <v>222.94512798654398</v>
      </c>
      <c r="F177" s="39">
        <f>IF(Settings!$E$15="POINTS",E177-VLOOKUP(B$2,C1:E430,3,FALSE),J177)</f>
        <v>-144.50399883814669</v>
      </c>
      <c r="G177" s="39"/>
      <c r="H177" s="138">
        <f>RANK(I177,I3:I430)</f>
        <v>215</v>
      </c>
      <c r="I177" s="139">
        <f>VLOOKUP(A177,'Standard Deviations'!A1:C728,3,FALSE)</f>
        <v>-0.82404892106087346</v>
      </c>
      <c r="J177" s="139">
        <f>I177-VLOOKUP(B$2,H1:J430,2,FALSE)</f>
        <v>-6.127304508287958</v>
      </c>
    </row>
    <row r="178" spans="1:10" ht="21.25" customHeight="1" x14ac:dyDescent="0.15">
      <c r="A178" s="8" t="s">
        <v>351</v>
      </c>
      <c r="B178" s="137" t="str">
        <f>VLOOKUP(A178,'The List'!B1:D727,3,FALSE)</f>
        <v>RW</v>
      </c>
      <c r="C178" s="48">
        <f>IF(Settings!$E$15="POINTS",RANK(E178,E3:E430),H178)</f>
        <v>176</v>
      </c>
      <c r="D178" s="35" t="str">
        <f>VLOOKUP(A178,'The List'!B1:F727,5,FALSE)</f>
        <v>VAN</v>
      </c>
      <c r="E178" s="39">
        <f>VLOOKUP(A178,'The List'!B1:I727,8,FALSE)</f>
        <v>225.16575244291042</v>
      </c>
      <c r="F178" s="39">
        <f>IF(Settings!$E$15="POINTS",E178-VLOOKUP(B$2,C1:E430,3,FALSE),J178)</f>
        <v>-142.28337438178025</v>
      </c>
      <c r="G178" s="39"/>
      <c r="H178" s="138">
        <f>RANK(I178,I3:I430)</f>
        <v>178</v>
      </c>
      <c r="I178" s="139">
        <f>VLOOKUP(A178,'Standard Deviations'!A1:C728,3,FALSE)</f>
        <v>0.14706850323606704</v>
      </c>
      <c r="J178" s="139">
        <f>I178-VLOOKUP(B$2,H1:J430,2,FALSE)</f>
        <v>-5.1561870839910178</v>
      </c>
    </row>
    <row r="179" spans="1:10" ht="21.25" customHeight="1" x14ac:dyDescent="0.15">
      <c r="A179" s="8" t="s">
        <v>376</v>
      </c>
      <c r="B179" s="137" t="str">
        <f>VLOOKUP(A179,'The List'!B1:D727,3,FALSE)</f>
        <v>LW</v>
      </c>
      <c r="C179" s="48">
        <f>IF(Settings!$E$15="POINTS",RANK(E179,E3:E430),H179)</f>
        <v>174</v>
      </c>
      <c r="D179" s="35" t="str">
        <f>VLOOKUP(A179,'The List'!B1:F727,5,FALSE)</f>
        <v>STL</v>
      </c>
      <c r="E179" s="39">
        <f>VLOOKUP(A179,'The List'!B1:I727,8,FALSE)</f>
        <v>225.79907354198809</v>
      </c>
      <c r="F179" s="39">
        <f>IF(Settings!$E$15="POINTS",E179-VLOOKUP(B$2,C1:E430,3,FALSE),J179)</f>
        <v>-141.65005328270257</v>
      </c>
      <c r="G179" s="39"/>
      <c r="H179" s="138">
        <f>RANK(I179,I3:I430)</f>
        <v>219</v>
      </c>
      <c r="I179" s="139">
        <f>VLOOKUP(A179,'Standard Deviations'!A1:C728,3,FALSE)</f>
        <v>-0.87473676737261796</v>
      </c>
      <c r="J179" s="139">
        <f>I179-VLOOKUP(B$2,H1:J430,2,FALSE)</f>
        <v>-6.1779923545997031</v>
      </c>
    </row>
    <row r="180" spans="1:10" ht="21.25" customHeight="1" x14ac:dyDescent="0.15">
      <c r="A180" s="8" t="s">
        <v>456</v>
      </c>
      <c r="B180" s="137" t="str">
        <f>VLOOKUP(A180,'The List'!B1:D727,3,FALSE)</f>
        <v>C</v>
      </c>
      <c r="C180" s="48">
        <f>IF(Settings!$E$15="POINTS",RANK(E180,E3:E430),H180)</f>
        <v>182</v>
      </c>
      <c r="D180" s="35" t="str">
        <f>VLOOKUP(A180,'The List'!B1:F727,5,FALSE)</f>
        <v>TOR</v>
      </c>
      <c r="E180" s="39">
        <f>VLOOKUP(A180,'The List'!B1:I727,8,FALSE)</f>
        <v>220.63192577782368</v>
      </c>
      <c r="F180" s="39">
        <f>IF(Settings!$E$15="POINTS",E180-VLOOKUP(B$2,C1:E430,3,FALSE),J180)</f>
        <v>-146.81720104686698</v>
      </c>
      <c r="G180" s="39"/>
      <c r="H180" s="138">
        <f>RANK(I180,I3:I430)</f>
        <v>159</v>
      </c>
      <c r="I180" s="139">
        <f>VLOOKUP(A180,'Standard Deviations'!A1:C728,3,FALSE)</f>
        <v>0.58251472966546847</v>
      </c>
      <c r="J180" s="139">
        <f>I180-VLOOKUP(B$2,H1:J430,2,FALSE)</f>
        <v>-4.7207408575616165</v>
      </c>
    </row>
    <row r="181" spans="1:10" ht="21.25" customHeight="1" x14ac:dyDescent="0.15">
      <c r="A181" s="8" t="s">
        <v>445</v>
      </c>
      <c r="B181" s="137" t="str">
        <f>VLOOKUP(A181,'The List'!B1:D727,3,FALSE)</f>
        <v>C</v>
      </c>
      <c r="C181" s="48">
        <f>IF(Settings!$E$15="POINTS",RANK(E181,E3:E430),H181)</f>
        <v>177</v>
      </c>
      <c r="D181" s="35" t="str">
        <f>VLOOKUP(A181,'The List'!B1:F727,5,FALSE)</f>
        <v>TBL</v>
      </c>
      <c r="E181" s="39">
        <f>VLOOKUP(A181,'The List'!B1:I727,8,FALSE)</f>
        <v>224.25459542917582</v>
      </c>
      <c r="F181" s="39">
        <f>IF(Settings!$E$15="POINTS",E181-VLOOKUP(B$2,C1:E430,3,FALSE),J181)</f>
        <v>-143.19453139551484</v>
      </c>
      <c r="G181" s="39"/>
      <c r="H181" s="138">
        <f>RANK(I181,I3:I430)</f>
        <v>158</v>
      </c>
      <c r="I181" s="139">
        <f>VLOOKUP(A181,'Standard Deviations'!A1:C728,3,FALSE)</f>
        <v>0.58483443368263888</v>
      </c>
      <c r="J181" s="139">
        <f>I181-VLOOKUP(B$2,H1:J430,2,FALSE)</f>
        <v>-4.7184211535444458</v>
      </c>
    </row>
    <row r="182" spans="1:10" ht="21.25" customHeight="1" x14ac:dyDescent="0.15">
      <c r="A182" s="8" t="s">
        <v>466</v>
      </c>
      <c r="B182" s="137" t="str">
        <f>VLOOKUP(A182,'The List'!B1:D727,3,FALSE)</f>
        <v>C</v>
      </c>
      <c r="C182" s="48">
        <f>IF(Settings!$E$15="POINTS",RANK(E182,E3:E430),H182)</f>
        <v>183</v>
      </c>
      <c r="D182" s="35" t="str">
        <f>VLOOKUP(A182,'The List'!B1:F727,5,FALSE)</f>
        <v>COL</v>
      </c>
      <c r="E182" s="39">
        <f>VLOOKUP(A182,'The List'!B1:I727,8,FALSE)</f>
        <v>217.69358176082179</v>
      </c>
      <c r="F182" s="39">
        <f>IF(Settings!$E$15="POINTS",E182-VLOOKUP(B$2,C1:E430,3,FALSE),J182)</f>
        <v>-149.75554506386888</v>
      </c>
      <c r="G182" s="39"/>
      <c r="H182" s="138">
        <f>RANK(I182,I3:I430)</f>
        <v>150</v>
      </c>
      <c r="I182" s="139">
        <f>VLOOKUP(A182,'Standard Deviations'!A1:C728,3,FALSE)</f>
        <v>0.89121398597470358</v>
      </c>
      <c r="J182" s="139">
        <f>I182-VLOOKUP(B$2,H1:J430,2,FALSE)</f>
        <v>-4.4120416012523815</v>
      </c>
    </row>
    <row r="183" spans="1:10" ht="21.25" customHeight="1" x14ac:dyDescent="0.15">
      <c r="A183" s="8" t="s">
        <v>387</v>
      </c>
      <c r="B183" s="137" t="str">
        <f>VLOOKUP(A183,'The List'!B1:D727,3,FALSE)</f>
        <v>LW</v>
      </c>
      <c r="C183" s="48">
        <f>IF(Settings!$E$15="POINTS",RANK(E183,E3:E430),H183)</f>
        <v>185</v>
      </c>
      <c r="D183" s="35" t="str">
        <f>VLOOKUP(A183,'The List'!B1:F727,5,FALSE)</f>
        <v>BUF</v>
      </c>
      <c r="E183" s="39">
        <f>VLOOKUP(A183,'The List'!B1:I727,8,FALSE)</f>
        <v>217.2318647513402</v>
      </c>
      <c r="F183" s="39">
        <f>IF(Settings!$E$15="POINTS",E183-VLOOKUP(B$2,C1:E430,3,FALSE),J183)</f>
        <v>-150.21726207335047</v>
      </c>
      <c r="G183" s="39"/>
      <c r="H183" s="138">
        <f>RANK(I183,I3:I430)</f>
        <v>232</v>
      </c>
      <c r="I183" s="139">
        <f>VLOOKUP(A183,'Standard Deviations'!A1:C728,3,FALSE)</f>
        <v>-1.1444709095122385</v>
      </c>
      <c r="J183" s="139">
        <f>I183-VLOOKUP(B$2,H1:J430,2,FALSE)</f>
        <v>-6.4477264967393229</v>
      </c>
    </row>
    <row r="184" spans="1:10" ht="21.25" customHeight="1" x14ac:dyDescent="0.15">
      <c r="A184" s="8" t="s">
        <v>455</v>
      </c>
      <c r="B184" s="137" t="str">
        <f>VLOOKUP(A184,'The List'!B1:D727,3,FALSE)</f>
        <v>C</v>
      </c>
      <c r="C184" s="48">
        <f>IF(Settings!$E$15="POINTS",RANK(E184,E3:E430),H184)</f>
        <v>181</v>
      </c>
      <c r="D184" s="35" t="str">
        <f>VLOOKUP(A184,'The List'!B1:F727,5,FALSE)</f>
        <v>SEA</v>
      </c>
      <c r="E184" s="39">
        <f>VLOOKUP(A184,'The List'!B1:I727,8,FALSE)</f>
        <v>221.05610289322669</v>
      </c>
      <c r="F184" s="39">
        <f>IF(Settings!$E$15="POINTS",E184-VLOOKUP(B$2,C1:E430,3,FALSE),J184)</f>
        <v>-146.39302393146397</v>
      </c>
      <c r="G184" s="39"/>
      <c r="H184" s="138">
        <f>RANK(I184,I3:I430)</f>
        <v>182</v>
      </c>
      <c r="I184" s="139">
        <f>VLOOKUP(A184,'Standard Deviations'!A1:C728,3,FALSE)</f>
        <v>7.3459821417126314E-2</v>
      </c>
      <c r="J184" s="139">
        <f>I184-VLOOKUP(B$2,H1:J430,2,FALSE)</f>
        <v>-5.2297957658099588</v>
      </c>
    </row>
    <row r="185" spans="1:10" ht="21.25" customHeight="1" x14ac:dyDescent="0.15">
      <c r="A185" s="8" t="s">
        <v>322</v>
      </c>
      <c r="B185" s="137" t="str">
        <f>VLOOKUP(A185,'The List'!B1:D727,3,FALSE)</f>
        <v>LW</v>
      </c>
      <c r="C185" s="48">
        <f>IF(Settings!$E$15="POINTS",RANK(E185,E3:E430),H185)</f>
        <v>144</v>
      </c>
      <c r="D185" s="35" t="str">
        <f>VLOOKUP(A185,'The List'!B1:F727,5,FALSE)</f>
        <v>TOR</v>
      </c>
      <c r="E185" s="39">
        <f>VLOOKUP(A185,'The List'!B1:I727,8,FALSE)</f>
        <v>250.73830349052707</v>
      </c>
      <c r="F185" s="39">
        <f>IF(Settings!$E$15="POINTS",E185-VLOOKUP(B$2,C1:E430,3,FALSE),J185)</f>
        <v>-116.71082333416359</v>
      </c>
      <c r="G185" s="39"/>
      <c r="H185" s="138">
        <f>RANK(I185,I3:I430)</f>
        <v>121</v>
      </c>
      <c r="I185" s="139">
        <f>VLOOKUP(A185,'Standard Deviations'!A1:C728,3,FALSE)</f>
        <v>2.1530229143302781</v>
      </c>
      <c r="J185" s="139">
        <f>I185-VLOOKUP(B$2,H1:J430,2,FALSE)</f>
        <v>-3.1502326728968066</v>
      </c>
    </row>
    <row r="186" spans="1:10" ht="21.25" customHeight="1" x14ac:dyDescent="0.15">
      <c r="A186" s="8" t="s">
        <v>392</v>
      </c>
      <c r="B186" s="137" t="str">
        <f>VLOOKUP(A186,'The List'!B1:D727,3,FALSE)</f>
        <v>LW</v>
      </c>
      <c r="C186" s="48">
        <f>IF(Settings!$E$15="POINTS",RANK(E186,E3:E430),H186)</f>
        <v>186</v>
      </c>
      <c r="D186" s="35" t="str">
        <f>VLOOKUP(A186,'The List'!B1:F727,5,FALSE)</f>
        <v>ARI</v>
      </c>
      <c r="E186" s="39">
        <f>VLOOKUP(A186,'The List'!B1:I727,8,FALSE)</f>
        <v>215.69960956836934</v>
      </c>
      <c r="F186" s="39">
        <f>IF(Settings!$E$15="POINTS",E186-VLOOKUP(B$2,C1:E430,3,FALSE),J186)</f>
        <v>-151.74951725632133</v>
      </c>
      <c r="G186" s="39"/>
      <c r="H186" s="138">
        <f>RANK(I186,I3:I430)</f>
        <v>198</v>
      </c>
      <c r="I186" s="139">
        <f>VLOOKUP(A186,'Standard Deviations'!A1:C728,3,FALSE)</f>
        <v>-0.4085351651864299</v>
      </c>
      <c r="J186" s="139">
        <f>I186-VLOOKUP(B$2,H1:J430,2,FALSE)</f>
        <v>-5.7117907524135143</v>
      </c>
    </row>
    <row r="187" spans="1:10" ht="21.25" customHeight="1" x14ac:dyDescent="0.15">
      <c r="A187" s="8" t="s">
        <v>474</v>
      </c>
      <c r="B187" s="137" t="str">
        <f>VLOOKUP(A187,'The List'!B1:D727,3,FALSE)</f>
        <v>C</v>
      </c>
      <c r="C187" s="48">
        <f>IF(Settings!$E$15="POINTS",RANK(E187,E3:E430),H187)</f>
        <v>187</v>
      </c>
      <c r="D187" s="35" t="str">
        <f>VLOOKUP(A187,'The List'!B1:F727,5,FALSE)</f>
        <v>PHI</v>
      </c>
      <c r="E187" s="39">
        <f>VLOOKUP(A187,'The List'!B1:I727,8,FALSE)</f>
        <v>214.55943364223992</v>
      </c>
      <c r="F187" s="39">
        <f>IF(Settings!$E$15="POINTS",E187-VLOOKUP(B$2,C1:E430,3,FALSE),J187)</f>
        <v>-152.88969318245074</v>
      </c>
      <c r="G187" s="39"/>
      <c r="H187" s="138">
        <f>RANK(I187,I3:I430)</f>
        <v>238</v>
      </c>
      <c r="I187" s="139">
        <f>VLOOKUP(A187,'Standard Deviations'!A1:C728,3,FALSE)</f>
        <v>-1.261151389249427</v>
      </c>
      <c r="J187" s="139">
        <f>I187-VLOOKUP(B$2,H1:J430,2,FALSE)</f>
        <v>-6.5644069764765121</v>
      </c>
    </row>
    <row r="188" spans="1:10" ht="21.25" customHeight="1" x14ac:dyDescent="0.15">
      <c r="A188" s="8" t="s">
        <v>479</v>
      </c>
      <c r="B188" s="137" t="str">
        <f>VLOOKUP(A188,'The List'!B1:D727,3,FALSE)</f>
        <v>C</v>
      </c>
      <c r="C188" s="48">
        <f>IF(Settings!$E$15="POINTS",RANK(E188,E3:E430),H188)</f>
        <v>189</v>
      </c>
      <c r="D188" s="35" t="str">
        <f>VLOOKUP(A188,'The List'!B1:F727,5,FALSE)</f>
        <v>WSH</v>
      </c>
      <c r="E188" s="39">
        <f>VLOOKUP(A188,'The List'!B1:I727,8,FALSE)</f>
        <v>213.88118582879633</v>
      </c>
      <c r="F188" s="39">
        <f>IF(Settings!$E$15="POINTS",E188-VLOOKUP(B$2,C1:E430,3,FALSE),J188)</f>
        <v>-153.56794099589433</v>
      </c>
      <c r="G188" s="39"/>
      <c r="H188" s="138">
        <f>RANK(I188,I3:I430)</f>
        <v>218</v>
      </c>
      <c r="I188" s="139">
        <f>VLOOKUP(A188,'Standard Deviations'!A1:C728,3,FALSE)</f>
        <v>-0.86881675747788745</v>
      </c>
      <c r="J188" s="139">
        <f>I188-VLOOKUP(B$2,H1:J430,2,FALSE)</f>
        <v>-6.1720723447049721</v>
      </c>
    </row>
    <row r="189" spans="1:10" ht="21.25" customHeight="1" x14ac:dyDescent="0.15">
      <c r="A189" s="8" t="s">
        <v>483</v>
      </c>
      <c r="B189" s="137" t="str">
        <f>VLOOKUP(A189,'The List'!B1:D727,3,FALSE)</f>
        <v>C</v>
      </c>
      <c r="C189" s="48">
        <f>IF(Settings!$E$15="POINTS",RANK(E189,E3:E430),H189)</f>
        <v>190</v>
      </c>
      <c r="D189" s="35" t="str">
        <f>VLOOKUP(A189,'The List'!B1:F727,5,FALSE)</f>
        <v>CHI</v>
      </c>
      <c r="E189" s="39">
        <f>VLOOKUP(A189,'The List'!B1:I727,8,FALSE)</f>
        <v>212.98103571600069</v>
      </c>
      <c r="F189" s="39">
        <f>IF(Settings!$E$15="POINTS",E189-VLOOKUP(B$2,C1:E430,3,FALSE),J189)</f>
        <v>-154.46809110868998</v>
      </c>
      <c r="G189" s="39"/>
      <c r="H189" s="138">
        <f>RANK(I189,I3:I430)</f>
        <v>252</v>
      </c>
      <c r="I189" s="139">
        <f>VLOOKUP(A189,'Standard Deviations'!A1:C728,3,FALSE)</f>
        <v>-1.7253614270256308</v>
      </c>
      <c r="J189" s="139">
        <f>I189-VLOOKUP(B$2,H1:J430,2,FALSE)</f>
        <v>-7.0286170142527151</v>
      </c>
    </row>
    <row r="190" spans="1:10" ht="21.25" customHeight="1" x14ac:dyDescent="0.15">
      <c r="A190" s="8" t="s">
        <v>374</v>
      </c>
      <c r="B190" s="137" t="str">
        <f>VLOOKUP(A190,'The List'!B1:D727,3,FALSE)</f>
        <v>RW</v>
      </c>
      <c r="C190" s="48">
        <f>IF(Settings!$E$15="POINTS",RANK(E190,E3:E430),H190)</f>
        <v>191</v>
      </c>
      <c r="D190" s="35" t="str">
        <f>VLOOKUP(A190,'The List'!B1:F727,5,FALSE)</f>
        <v>CHI</v>
      </c>
      <c r="E190" s="39">
        <f>VLOOKUP(A190,'The List'!B1:I727,8,FALSE)</f>
        <v>212.60522244929504</v>
      </c>
      <c r="F190" s="39">
        <f>IF(Settings!$E$15="POINTS",E190-VLOOKUP(B$2,C1:E430,3,FALSE),J190)</f>
        <v>-154.84390437539562</v>
      </c>
      <c r="G190" s="39"/>
      <c r="H190" s="138">
        <f>RANK(I190,I3:I430)</f>
        <v>242</v>
      </c>
      <c r="I190" s="139">
        <f>VLOOKUP(A190,'Standard Deviations'!A1:C728,3,FALSE)</f>
        <v>-1.3783698249500569</v>
      </c>
      <c r="J190" s="139">
        <f>I190-VLOOKUP(B$2,H1:J430,2,FALSE)</f>
        <v>-6.6816254121771417</v>
      </c>
    </row>
    <row r="191" spans="1:10" ht="21.25" customHeight="1" x14ac:dyDescent="0.15">
      <c r="A191" s="8" t="s">
        <v>486</v>
      </c>
      <c r="B191" s="137" t="str">
        <f>VLOOKUP(A191,'The List'!B1:D727,3,FALSE)</f>
        <v>C</v>
      </c>
      <c r="C191" s="48">
        <f>IF(Settings!$E$15="POINTS",RANK(E191,E3:E430),H191)</f>
        <v>192</v>
      </c>
      <c r="D191" s="35" t="str">
        <f>VLOOKUP(A191,'The List'!B1:F727,5,FALSE)</f>
        <v>WPG</v>
      </c>
      <c r="E191" s="39">
        <f>VLOOKUP(A191,'The List'!B1:I727,8,FALSE)</f>
        <v>212.52034218229593</v>
      </c>
      <c r="F191" s="39">
        <f>IF(Settings!$E$15="POINTS",E191-VLOOKUP(B$2,C1:E430,3,FALSE),J191)</f>
        <v>-154.92878464239473</v>
      </c>
      <c r="G191" s="39"/>
      <c r="H191" s="138">
        <f>RANK(I191,I3:I430)</f>
        <v>179</v>
      </c>
      <c r="I191" s="139">
        <f>VLOOKUP(A191,'Standard Deviations'!A1:C728,3,FALSE)</f>
        <v>0.13972521009579048</v>
      </c>
      <c r="J191" s="139">
        <f>I191-VLOOKUP(B$2,H1:J430,2,FALSE)</f>
        <v>-5.1635303771312939</v>
      </c>
    </row>
    <row r="192" spans="1:10" ht="21.25" customHeight="1" x14ac:dyDescent="0.15">
      <c r="A192" s="8" t="s">
        <v>369</v>
      </c>
      <c r="B192" s="137" t="str">
        <f>VLOOKUP(A192,'The List'!B1:D727,3,FALSE)</f>
        <v>RW</v>
      </c>
      <c r="C192" s="48">
        <f>IF(Settings!$E$15="POINTS",RANK(E192,E3:E430),H192)</f>
        <v>188</v>
      </c>
      <c r="D192" s="35" t="str">
        <f>VLOOKUP(A192,'The List'!B1:F727,5,FALSE)</f>
        <v>MTL</v>
      </c>
      <c r="E192" s="39">
        <f>VLOOKUP(A192,'The List'!B1:I727,8,FALSE)</f>
        <v>214.53981343040812</v>
      </c>
      <c r="F192" s="39">
        <f>IF(Settings!$E$15="POINTS",E192-VLOOKUP(B$2,C1:E430,3,FALSE),J192)</f>
        <v>-152.90931339428255</v>
      </c>
      <c r="G192" s="39"/>
      <c r="H192" s="138">
        <f>RANK(I192,I3:I430)</f>
        <v>253</v>
      </c>
      <c r="I192" s="139">
        <f>VLOOKUP(A192,'Standard Deviations'!A1:C728,3,FALSE)</f>
        <v>-1.78029001000094</v>
      </c>
      <c r="J192" s="139">
        <f>I192-VLOOKUP(B$2,H1:J430,2,FALSE)</f>
        <v>-7.0835455972280243</v>
      </c>
    </row>
    <row r="193" spans="1:10" ht="21.25" customHeight="1" x14ac:dyDescent="0.15">
      <c r="A193" s="8" t="s">
        <v>400</v>
      </c>
      <c r="B193" s="137" t="str">
        <f>VLOOKUP(A193,'The List'!B1:D727,3,FALSE)</f>
        <v>LW</v>
      </c>
      <c r="C193" s="48">
        <f>IF(Settings!$E$15="POINTS",RANK(E193,E3:E430),H193)</f>
        <v>193</v>
      </c>
      <c r="D193" s="35" t="str">
        <f>VLOOKUP(A193,'The List'!B1:F727,5,FALSE)</f>
        <v>WPG</v>
      </c>
      <c r="E193" s="39">
        <f>VLOOKUP(A193,'The List'!B1:I727,8,FALSE)</f>
        <v>211.73169901424731</v>
      </c>
      <c r="F193" s="39">
        <f>IF(Settings!$E$15="POINTS",E193-VLOOKUP(B$2,C1:E430,3,FALSE),J193)</f>
        <v>-155.71742781044335</v>
      </c>
      <c r="G193" s="39"/>
      <c r="H193" s="138">
        <f>RANK(I193,I3:I430)</f>
        <v>168</v>
      </c>
      <c r="I193" s="139">
        <f>VLOOKUP(A193,'Standard Deviations'!A1:C728,3,FALSE)</f>
        <v>0.33696131590022477</v>
      </c>
      <c r="J193" s="139">
        <f>I193-VLOOKUP(B$2,H1:J430,2,FALSE)</f>
        <v>-4.9662942713268601</v>
      </c>
    </row>
    <row r="194" spans="1:10" ht="21.25" customHeight="1" x14ac:dyDescent="0.15">
      <c r="A194" s="8" t="s">
        <v>386</v>
      </c>
      <c r="B194" s="137" t="str">
        <f>VLOOKUP(A194,'The List'!B1:D727,3,FALSE)</f>
        <v>LW</v>
      </c>
      <c r="C194" s="48">
        <f>IF(Settings!$E$15="POINTS",RANK(E194,E3:E430),H194)</f>
        <v>184</v>
      </c>
      <c r="D194" s="35" t="str">
        <f>VLOOKUP(A194,'The List'!B1:F727,5,FALSE)</f>
        <v>NYR</v>
      </c>
      <c r="E194" s="39">
        <f>VLOOKUP(A194,'The List'!B1:I727,8,FALSE)</f>
        <v>217.48996895058011</v>
      </c>
      <c r="F194" s="39">
        <f>IF(Settings!$E$15="POINTS",E194-VLOOKUP(B$2,C1:E430,3,FALSE),J194)</f>
        <v>-149.95915787411056</v>
      </c>
      <c r="G194" s="39"/>
      <c r="H194" s="138">
        <f>RANK(I194,I3:I430)</f>
        <v>152</v>
      </c>
      <c r="I194" s="139">
        <f>VLOOKUP(A194,'Standard Deviations'!A1:C728,3,FALSE)</f>
        <v>0.8313941113100396</v>
      </c>
      <c r="J194" s="139">
        <f>I194-VLOOKUP(B$2,H1:J430,2,FALSE)</f>
        <v>-4.471861475917045</v>
      </c>
    </row>
    <row r="195" spans="1:10" ht="21.25" customHeight="1" x14ac:dyDescent="0.15">
      <c r="A195" s="8" t="s">
        <v>403</v>
      </c>
      <c r="B195" s="137" t="str">
        <f>VLOOKUP(A195,'The List'!B1:D727,3,FALSE)</f>
        <v>LW</v>
      </c>
      <c r="C195" s="48">
        <f>IF(Settings!$E$15="POINTS",RANK(E195,E3:E430),H195)</f>
        <v>194</v>
      </c>
      <c r="D195" s="35" t="str">
        <f>VLOOKUP(A195,'The List'!B1:F727,5,FALSE)</f>
        <v>TBL</v>
      </c>
      <c r="E195" s="39">
        <f>VLOOKUP(A195,'The List'!B1:I727,8,FALSE)</f>
        <v>210.3649955694188</v>
      </c>
      <c r="F195" s="39">
        <f>IF(Settings!$E$15="POINTS",E195-VLOOKUP(B$2,C1:E430,3,FALSE),J195)</f>
        <v>-157.08413125527187</v>
      </c>
      <c r="G195" s="39"/>
      <c r="H195" s="138">
        <f>RANK(I195,I3:I430)</f>
        <v>188</v>
      </c>
      <c r="I195" s="139">
        <f>VLOOKUP(A195,'Standard Deviations'!A1:C728,3,FALSE)</f>
        <v>-0.1624219136731942</v>
      </c>
      <c r="J195" s="139">
        <f>I195-VLOOKUP(B$2,H1:J430,2,FALSE)</f>
        <v>-5.4656775009002789</v>
      </c>
    </row>
    <row r="196" spans="1:10" ht="21.25" customHeight="1" x14ac:dyDescent="0.15">
      <c r="A196" s="8" t="s">
        <v>411</v>
      </c>
      <c r="B196" s="137" t="str">
        <f>VLOOKUP(A196,'The List'!B1:D727,3,FALSE)</f>
        <v>LW</v>
      </c>
      <c r="C196" s="48">
        <f>IF(Settings!$E$15="POINTS",RANK(E196,E3:E430),H196)</f>
        <v>198</v>
      </c>
      <c r="D196" s="35" t="str">
        <f>VLOOKUP(A196,'The List'!B1:F727,5,FALSE)</f>
        <v>ANA</v>
      </c>
      <c r="E196" s="39">
        <f>VLOOKUP(A196,'The List'!B1:I727,8,FALSE)</f>
        <v>207.82392255357354</v>
      </c>
      <c r="F196" s="39">
        <f>IF(Settings!$E$15="POINTS",E196-VLOOKUP(B$2,C1:E430,3,FALSE),J196)</f>
        <v>-159.62520427111713</v>
      </c>
      <c r="G196" s="39"/>
      <c r="H196" s="138">
        <f>RANK(I196,I3:I430)</f>
        <v>316</v>
      </c>
      <c r="I196" s="139">
        <f>VLOOKUP(A196,'Standard Deviations'!A1:C728,3,FALSE)</f>
        <v>-3.0160227452733128</v>
      </c>
      <c r="J196" s="139">
        <f>I196-VLOOKUP(B$2,H1:J430,2,FALSE)</f>
        <v>-8.3192783325003976</v>
      </c>
    </row>
    <row r="197" spans="1:10" ht="21.25" customHeight="1" x14ac:dyDescent="0.15">
      <c r="A197" s="8" t="s">
        <v>406</v>
      </c>
      <c r="B197" s="137" t="str">
        <f>VLOOKUP(A197,'The List'!B1:D727,3,FALSE)</f>
        <v>LW</v>
      </c>
      <c r="C197" s="48">
        <f>IF(Settings!$E$15="POINTS",RANK(E197,E3:E430),H197)</f>
        <v>195</v>
      </c>
      <c r="D197" s="35" t="str">
        <f>VLOOKUP(A197,'The List'!B1:F727,5,FALSE)</f>
        <v>PHI</v>
      </c>
      <c r="E197" s="39">
        <f>VLOOKUP(A197,'The List'!B1:I727,8,FALSE)</f>
        <v>209.9109817223231</v>
      </c>
      <c r="F197" s="39">
        <f>IF(Settings!$E$15="POINTS",E197-VLOOKUP(B$2,C1:E430,3,FALSE),J197)</f>
        <v>-157.53814510236757</v>
      </c>
      <c r="G197" s="39"/>
      <c r="H197" s="138">
        <f>RANK(I197,I3:I430)</f>
        <v>225</v>
      </c>
      <c r="I197" s="139">
        <f>VLOOKUP(A197,'Standard Deviations'!A1:C728,3,FALSE)</f>
        <v>-1.0017253624125504</v>
      </c>
      <c r="J197" s="139">
        <f>I197-VLOOKUP(B$2,H1:J430,2,FALSE)</f>
        <v>-6.304980949639635</v>
      </c>
    </row>
    <row r="198" spans="1:10" ht="21.25" customHeight="1" x14ac:dyDescent="0.15">
      <c r="A198" s="8" t="s">
        <v>510</v>
      </c>
      <c r="B198" s="137" t="str">
        <f>VLOOKUP(A198,'The List'!B1:D727,3,FALSE)</f>
        <v>C</v>
      </c>
      <c r="C198" s="48">
        <f>IF(Settings!$E$15="POINTS",RANK(E198,E3:E430),H198)</f>
        <v>202</v>
      </c>
      <c r="D198" s="35" t="str">
        <f>VLOOKUP(A198,'The List'!B1:F727,5,FALSE)</f>
        <v>NSH</v>
      </c>
      <c r="E198" s="39">
        <f>VLOOKUP(A198,'The List'!B1:I727,8,FALSE)</f>
        <v>205.66381564311095</v>
      </c>
      <c r="F198" s="39">
        <f>IF(Settings!$E$15="POINTS",E198-VLOOKUP(B$2,C1:E430,3,FALSE),J198)</f>
        <v>-161.78531118157971</v>
      </c>
      <c r="G198" s="39"/>
      <c r="H198" s="138">
        <f>RANK(I198,I3:I430)</f>
        <v>203</v>
      </c>
      <c r="I198" s="139">
        <f>VLOOKUP(A198,'Standard Deviations'!A1:C728,3,FALSE)</f>
        <v>-0.58121566262008906</v>
      </c>
      <c r="J198" s="139">
        <f>I198-VLOOKUP(B$2,H1:J430,2,FALSE)</f>
        <v>-5.8844712498471736</v>
      </c>
    </row>
    <row r="199" spans="1:10" ht="21.25" customHeight="1" x14ac:dyDescent="0.15">
      <c r="A199" s="8" t="s">
        <v>500</v>
      </c>
      <c r="B199" s="137" t="str">
        <f>VLOOKUP(A199,'The List'!B1:D727,3,FALSE)</f>
        <v>C</v>
      </c>
      <c r="C199" s="48">
        <f>IF(Settings!$E$15="POINTS",RANK(E199,E3:E430),H199)</f>
        <v>197</v>
      </c>
      <c r="D199" s="35" t="str">
        <f>VLOOKUP(A199,'The List'!B1:F727,5,FALSE)</f>
        <v>DET</v>
      </c>
      <c r="E199" s="39">
        <f>VLOOKUP(A199,'The List'!B1:I727,8,FALSE)</f>
        <v>208.13007158472021</v>
      </c>
      <c r="F199" s="39">
        <f>IF(Settings!$E$15="POINTS",E199-VLOOKUP(B$2,C1:E430,3,FALSE),J199)</f>
        <v>-159.31905523997045</v>
      </c>
      <c r="G199" s="39"/>
      <c r="H199" s="138">
        <f>RANK(I199,I3:I430)</f>
        <v>229</v>
      </c>
      <c r="I199" s="139">
        <f>VLOOKUP(A199,'Standard Deviations'!A1:C728,3,FALSE)</f>
        <v>-1.070676983339125</v>
      </c>
      <c r="J199" s="139">
        <f>I199-VLOOKUP(B$2,H1:J430,2,FALSE)</f>
        <v>-6.3739325705662093</v>
      </c>
    </row>
    <row r="200" spans="1:10" ht="21.25" customHeight="1" x14ac:dyDescent="0.15">
      <c r="A200" s="8" t="s">
        <v>509</v>
      </c>
      <c r="B200" s="137" t="str">
        <f>VLOOKUP(A200,'The List'!B1:D727,3,FALSE)</f>
        <v>C</v>
      </c>
      <c r="C200" s="48">
        <f>IF(Settings!$E$15="POINTS",RANK(E200,E3:E430),H200)</f>
        <v>201</v>
      </c>
      <c r="D200" s="35" t="str">
        <f>VLOOKUP(A200,'The List'!B1:F727,5,FALSE)</f>
        <v>VGK</v>
      </c>
      <c r="E200" s="39">
        <f>VLOOKUP(A200,'The List'!B1:I727,8,FALSE)</f>
        <v>206.13515067167975</v>
      </c>
      <c r="F200" s="39">
        <f>IF(Settings!$E$15="POINTS",E200-VLOOKUP(B$2,C1:E430,3,FALSE),J200)</f>
        <v>-161.31397615301091</v>
      </c>
      <c r="G200" s="39"/>
      <c r="H200" s="138">
        <f>RANK(I200,I3:I430)</f>
        <v>144</v>
      </c>
      <c r="I200" s="139">
        <f>VLOOKUP(A200,'Standard Deviations'!A1:C728,3,FALSE)</f>
        <v>1.0710488646267069</v>
      </c>
      <c r="J200" s="139">
        <f>I200-VLOOKUP(B$2,H1:J430,2,FALSE)</f>
        <v>-4.2322067226003774</v>
      </c>
    </row>
    <row r="201" spans="1:10" ht="21.25" customHeight="1" x14ac:dyDescent="0.15">
      <c r="A201" s="8" t="s">
        <v>505</v>
      </c>
      <c r="B201" s="137" t="str">
        <f>VLOOKUP(A201,'The List'!B1:D727,3,FALSE)</f>
        <v>C</v>
      </c>
      <c r="C201" s="48">
        <f>IF(Settings!$E$15="POINTS",RANK(E201,E3:E430),H201)</f>
        <v>200</v>
      </c>
      <c r="D201" s="35" t="str">
        <f>VLOOKUP(A201,'The List'!B1:F727,5,FALSE)</f>
        <v>CGY</v>
      </c>
      <c r="E201" s="39">
        <f>VLOOKUP(A201,'The List'!B1:I727,8,FALSE)</f>
        <v>206.50968825916505</v>
      </c>
      <c r="F201" s="39">
        <f>IF(Settings!$E$15="POINTS",E201-VLOOKUP(B$2,C1:E430,3,FALSE),J201)</f>
        <v>-160.93943856552562</v>
      </c>
      <c r="G201" s="39"/>
      <c r="H201" s="138">
        <f>RANK(I201,I3:I430)</f>
        <v>167</v>
      </c>
      <c r="I201" s="139">
        <f>VLOOKUP(A201,'Standard Deviations'!A1:C728,3,FALSE)</f>
        <v>0.35322490843913479</v>
      </c>
      <c r="J201" s="139">
        <f>I201-VLOOKUP(B$2,H1:J430,2,FALSE)</f>
        <v>-4.9500306787879502</v>
      </c>
    </row>
    <row r="202" spans="1:10" ht="21.25" customHeight="1" x14ac:dyDescent="0.15">
      <c r="A202" s="8" t="s">
        <v>414</v>
      </c>
      <c r="B202" s="137" t="str">
        <f>VLOOKUP(A202,'The List'!B1:D727,3,FALSE)</f>
        <v>LW</v>
      </c>
      <c r="C202" s="48">
        <f>IF(Settings!$E$15="POINTS",RANK(E202,E3:E430),H202)</f>
        <v>199</v>
      </c>
      <c r="D202" s="35" t="str">
        <f>VLOOKUP(A202,'The List'!B1:F727,5,FALSE)</f>
        <v>NSH</v>
      </c>
      <c r="E202" s="39">
        <f>VLOOKUP(A202,'The List'!B1:I727,8,FALSE)</f>
        <v>207.01949141282424</v>
      </c>
      <c r="F202" s="39">
        <f>IF(Settings!$E$15="POINTS",E202-VLOOKUP(B$2,C1:E430,3,FALSE),J202)</f>
        <v>-160.42963541186643</v>
      </c>
      <c r="G202" s="39"/>
      <c r="H202" s="138">
        <f>RANK(I202,I3:I430)</f>
        <v>221</v>
      </c>
      <c r="I202" s="139">
        <f>VLOOKUP(A202,'Standard Deviations'!A1:C728,3,FALSE)</f>
        <v>-0.92926005214041241</v>
      </c>
      <c r="J202" s="139">
        <f>I202-VLOOKUP(B$2,H1:J430,2,FALSE)</f>
        <v>-6.232515639367497</v>
      </c>
    </row>
    <row r="203" spans="1:10" ht="21.25" customHeight="1" x14ac:dyDescent="0.15">
      <c r="A203" s="8" t="s">
        <v>497</v>
      </c>
      <c r="B203" s="137" t="str">
        <f>VLOOKUP(A203,'The List'!B1:D727,3,FALSE)</f>
        <v>C</v>
      </c>
      <c r="C203" s="48">
        <f>IF(Settings!$E$15="POINTS",RANK(E203,E3:E430),H203)</f>
        <v>196</v>
      </c>
      <c r="D203" s="35" t="str">
        <f>VLOOKUP(A203,'The List'!B1:F727,5,FALSE)</f>
        <v>NYI</v>
      </c>
      <c r="E203" s="39">
        <f>VLOOKUP(A203,'The List'!B1:I727,8,FALSE)</f>
        <v>209.59104603414252</v>
      </c>
      <c r="F203" s="39">
        <f>IF(Settings!$E$15="POINTS",E203-VLOOKUP(B$2,C1:E430,3,FALSE),J203)</f>
        <v>-157.85808079054814</v>
      </c>
      <c r="G203" s="39"/>
      <c r="H203" s="138">
        <f>RANK(I203,I3:I430)</f>
        <v>177</v>
      </c>
      <c r="I203" s="139">
        <f>VLOOKUP(A203,'Standard Deviations'!A1:C728,3,FALSE)</f>
        <v>0.19620633484055999</v>
      </c>
      <c r="J203" s="139">
        <f>I203-VLOOKUP(B$2,H1:J430,2,FALSE)</f>
        <v>-5.107049252386525</v>
      </c>
    </row>
    <row r="204" spans="1:10" ht="21.25" customHeight="1" x14ac:dyDescent="0.15">
      <c r="A204" s="8" t="s">
        <v>423</v>
      </c>
      <c r="B204" s="137" t="str">
        <f>VLOOKUP(A204,'The List'!B1:D727,3,FALSE)</f>
        <v>LW</v>
      </c>
      <c r="C204" s="48">
        <f>IF(Settings!$E$15="POINTS",RANK(E204,E3:E430),H204)</f>
        <v>203</v>
      </c>
      <c r="D204" s="35" t="str">
        <f>VLOOKUP(A204,'The List'!B1:F727,5,FALSE)</f>
        <v>BOS</v>
      </c>
      <c r="E204" s="39">
        <f>VLOOKUP(A204,'The List'!B1:I727,8,FALSE)</f>
        <v>203.51951999577028</v>
      </c>
      <c r="F204" s="39">
        <f>IF(Settings!$E$15="POINTS",E204-VLOOKUP(B$2,C1:E430,3,FALSE),J204)</f>
        <v>-163.92960682892038</v>
      </c>
      <c r="G204" s="39"/>
      <c r="H204" s="138">
        <f>RANK(I204,I3:I430)</f>
        <v>163</v>
      </c>
      <c r="I204" s="139">
        <f>VLOOKUP(A204,'Standard Deviations'!A1:C728,3,FALSE)</f>
        <v>0.40798455245546883</v>
      </c>
      <c r="J204" s="139">
        <f>I204-VLOOKUP(B$2,H1:J430,2,FALSE)</f>
        <v>-4.895271034771616</v>
      </c>
    </row>
    <row r="205" spans="1:10" ht="21.25" customHeight="1" x14ac:dyDescent="0.15">
      <c r="A205" s="8" t="s">
        <v>425</v>
      </c>
      <c r="B205" s="137" t="str">
        <f>VLOOKUP(A205,'The List'!B1:D727,3,FALSE)</f>
        <v>LW</v>
      </c>
      <c r="C205" s="48">
        <f>IF(Settings!$E$15="POINTS",RANK(E205,E3:E430),H205)</f>
        <v>204</v>
      </c>
      <c r="D205" s="35" t="str">
        <f>VLOOKUP(A205,'The List'!B1:F727,5,FALSE)</f>
        <v>ARI</v>
      </c>
      <c r="E205" s="39">
        <f>VLOOKUP(A205,'The List'!B1:I727,8,FALSE)</f>
        <v>203.41190511985511</v>
      </c>
      <c r="F205" s="39">
        <f>IF(Settings!$E$15="POINTS",E205-VLOOKUP(B$2,C1:E430,3,FALSE),J205)</f>
        <v>-164.03722170483556</v>
      </c>
      <c r="G205" s="39"/>
      <c r="H205" s="138">
        <f>RANK(I205,I3:I430)</f>
        <v>224</v>
      </c>
      <c r="I205" s="139">
        <f>VLOOKUP(A205,'Standard Deviations'!A1:C728,3,FALSE)</f>
        <v>-0.98208394900045881</v>
      </c>
      <c r="J205" s="139">
        <f>I205-VLOOKUP(B$2,H1:J430,2,FALSE)</f>
        <v>-6.2853395362275437</v>
      </c>
    </row>
    <row r="206" spans="1:10" ht="21.25" customHeight="1" x14ac:dyDescent="0.15">
      <c r="A206" s="8" t="s">
        <v>388</v>
      </c>
      <c r="B206" s="137" t="str">
        <f>VLOOKUP(A206,'The List'!B1:D727,3,FALSE)</f>
        <v>RW</v>
      </c>
      <c r="C206" s="48">
        <f>IF(Settings!$E$15="POINTS",RANK(E206,E3:E430),H206)</f>
        <v>205</v>
      </c>
      <c r="D206" s="35" t="str">
        <f>VLOOKUP(A206,'The List'!B1:F727,5,FALSE)</f>
        <v>NYI</v>
      </c>
      <c r="E206" s="39">
        <f>VLOOKUP(A206,'The List'!B1:I727,8,FALSE)</f>
        <v>203.26732339472701</v>
      </c>
      <c r="F206" s="39">
        <f>IF(Settings!$E$15="POINTS",E206-VLOOKUP(B$2,C1:E430,3,FALSE),J206)</f>
        <v>-164.18180342996365</v>
      </c>
      <c r="G206" s="39"/>
      <c r="H206" s="138">
        <f>RANK(I206,I3:I430)</f>
        <v>191</v>
      </c>
      <c r="I206" s="139">
        <f>VLOOKUP(A206,'Standard Deviations'!A1:C728,3,FALSE)</f>
        <v>-0.24818631007360359</v>
      </c>
      <c r="J206" s="139">
        <f>I206-VLOOKUP(B$2,H1:J430,2,FALSE)</f>
        <v>-5.5514418973006885</v>
      </c>
    </row>
    <row r="207" spans="1:10" ht="21.25" customHeight="1" x14ac:dyDescent="0.15">
      <c r="A207" s="8" t="s">
        <v>520</v>
      </c>
      <c r="B207" s="137" t="str">
        <f>VLOOKUP(A207,'The List'!B1:D727,3,FALSE)</f>
        <v>C</v>
      </c>
      <c r="C207" s="48">
        <f>IF(Settings!$E$15="POINTS",RANK(E207,E3:E430),H207)</f>
        <v>206</v>
      </c>
      <c r="D207" s="35" t="str">
        <f>VLOOKUP(A207,'The List'!B1:F727,5,FALSE)</f>
        <v>SEA</v>
      </c>
      <c r="E207" s="39">
        <f>VLOOKUP(A207,'The List'!B1:I727,8,FALSE)</f>
        <v>201.06658959942027</v>
      </c>
      <c r="F207" s="39">
        <f>IF(Settings!$E$15="POINTS",E207-VLOOKUP(B$2,C1:E430,3,FALSE),J207)</f>
        <v>-166.3825372252704</v>
      </c>
      <c r="G207" s="39"/>
      <c r="H207" s="138">
        <f>RANK(I207,I3:I430)</f>
        <v>226</v>
      </c>
      <c r="I207" s="139">
        <f>VLOOKUP(A207,'Standard Deviations'!A1:C728,3,FALSE)</f>
        <v>-1.0299266581212136</v>
      </c>
      <c r="J207" s="139">
        <f>I207-VLOOKUP(B$2,H1:J430,2,FALSE)</f>
        <v>-6.3331822453482989</v>
      </c>
    </row>
    <row r="208" spans="1:10" ht="21.25" customHeight="1" x14ac:dyDescent="0.15">
      <c r="A208" s="8" t="s">
        <v>426</v>
      </c>
      <c r="B208" s="137" t="str">
        <f>VLOOKUP(A208,'The List'!B1:D727,3,FALSE)</f>
        <v>C</v>
      </c>
      <c r="C208" s="48">
        <f>IF(Settings!$E$15="POINTS",RANK(E208,E3:E430),H208)</f>
        <v>166</v>
      </c>
      <c r="D208" s="35" t="str">
        <f>VLOOKUP(A208,'The List'!B1:F727,5,FALSE)</f>
        <v>LAK</v>
      </c>
      <c r="E208" s="39">
        <f>VLOOKUP(A208,'The List'!B1:I727,8,FALSE)</f>
        <v>232.66702668700711</v>
      </c>
      <c r="F208" s="39">
        <f>IF(Settings!$E$15="POINTS",E208-VLOOKUP(B$2,C1:E430,3,FALSE),J208)</f>
        <v>-134.78210013768356</v>
      </c>
      <c r="G208" s="39"/>
      <c r="H208" s="138">
        <f>RANK(I208,I3:I430)</f>
        <v>173</v>
      </c>
      <c r="I208" s="139">
        <f>VLOOKUP(A208,'Standard Deviations'!A1:C728,3,FALSE)</f>
        <v>0.288963323687632</v>
      </c>
      <c r="J208" s="139">
        <f>I208-VLOOKUP(B$2,H1:J430,2,FALSE)</f>
        <v>-5.0142922635394527</v>
      </c>
    </row>
    <row r="209" spans="1:10" ht="21.25" customHeight="1" x14ac:dyDescent="0.15">
      <c r="A209" s="8" t="s">
        <v>434</v>
      </c>
      <c r="B209" s="137" t="str">
        <f>VLOOKUP(A209,'The List'!B1:D727,3,FALSE)</f>
        <v>LW</v>
      </c>
      <c r="C209" s="48">
        <f>IF(Settings!$E$15="POINTS",RANK(E209,E3:E430),H209)</f>
        <v>208</v>
      </c>
      <c r="D209" s="35" t="str">
        <f>VLOOKUP(A209,'The List'!B1:F727,5,FALSE)</f>
        <v>UFA</v>
      </c>
      <c r="E209" s="39">
        <f>VLOOKUP(A209,'The List'!B1:I727,8,FALSE)</f>
        <v>199.39929218130914</v>
      </c>
      <c r="F209" s="39">
        <f>IF(Settings!$E$15="POINTS",E209-VLOOKUP(B$2,C1:E430,3,FALSE),J209)</f>
        <v>-168.04983464338153</v>
      </c>
      <c r="G209" s="39"/>
      <c r="H209" s="138">
        <f>RANK(I209,I3:I430)</f>
        <v>194</v>
      </c>
      <c r="I209" s="139">
        <f>VLOOKUP(A209,'Standard Deviations'!A1:C728,3,FALSE)</f>
        <v>-0.3252065856006997</v>
      </c>
      <c r="J209" s="139">
        <f>I209-VLOOKUP(B$2,H1:J430,2,FALSE)</f>
        <v>-5.6284621728277848</v>
      </c>
    </row>
    <row r="210" spans="1:10" ht="21.25" customHeight="1" x14ac:dyDescent="0.15">
      <c r="A210" s="8" t="s">
        <v>437</v>
      </c>
      <c r="B210" s="137" t="str">
        <f>VLOOKUP(A210,'The List'!B1:D727,3,FALSE)</f>
        <v>LW</v>
      </c>
      <c r="C210" s="48">
        <f>IF(Settings!$E$15="POINTS",RANK(E210,E3:E430),H210)</f>
        <v>209</v>
      </c>
      <c r="D210" s="35" t="str">
        <f>VLOOKUP(A210,'The List'!B1:F727,5,FALSE)</f>
        <v>WSH</v>
      </c>
      <c r="E210" s="39">
        <f>VLOOKUP(A210,'The List'!B1:I727,8,FALSE)</f>
        <v>198.60652867325857</v>
      </c>
      <c r="F210" s="39">
        <f>IF(Settings!$E$15="POINTS",E210-VLOOKUP(B$2,C1:E430,3,FALSE),J210)</f>
        <v>-168.8425981514321</v>
      </c>
      <c r="G210" s="39"/>
      <c r="H210" s="138">
        <f>RANK(I210,I3:I430)</f>
        <v>217</v>
      </c>
      <c r="I210" s="139">
        <f>VLOOKUP(A210,'Standard Deviations'!A1:C728,3,FALSE)</f>
        <v>-0.86429365294083604</v>
      </c>
      <c r="J210" s="139">
        <f>I210-VLOOKUP(B$2,H1:J430,2,FALSE)</f>
        <v>-6.1675492401679204</v>
      </c>
    </row>
    <row r="211" spans="1:10" ht="21.25" customHeight="1" x14ac:dyDescent="0.15">
      <c r="A211" s="8" t="s">
        <v>433</v>
      </c>
      <c r="B211" s="137" t="str">
        <f>VLOOKUP(A211,'The List'!B1:D727,3,FALSE)</f>
        <v>LW</v>
      </c>
      <c r="C211" s="48">
        <f>IF(Settings!$E$15="POINTS",RANK(E211,E3:E430),H211)</f>
        <v>207</v>
      </c>
      <c r="D211" s="35" t="str">
        <f>VLOOKUP(A211,'The List'!B1:F727,5,FALSE)</f>
        <v>TBL</v>
      </c>
      <c r="E211" s="39">
        <f>VLOOKUP(A211,'The List'!B1:I727,8,FALSE)</f>
        <v>199.43019185720101</v>
      </c>
      <c r="F211" s="39">
        <f>IF(Settings!$E$15="POINTS",E211-VLOOKUP(B$2,C1:E430,3,FALSE),J211)</f>
        <v>-168.01893496748966</v>
      </c>
      <c r="G211" s="39"/>
      <c r="H211" s="138">
        <f>RANK(I211,I3:I430)</f>
        <v>200</v>
      </c>
      <c r="I211" s="139">
        <f>VLOOKUP(A211,'Standard Deviations'!A1:C728,3,FALSE)</f>
        <v>-0.4459103133592156</v>
      </c>
      <c r="J211" s="139">
        <f>I211-VLOOKUP(B$2,H1:J430,2,FALSE)</f>
        <v>-5.7491659005863003</v>
      </c>
    </row>
    <row r="212" spans="1:10" ht="21.25" customHeight="1" x14ac:dyDescent="0.15">
      <c r="A212" s="8" t="s">
        <v>531</v>
      </c>
      <c r="B212" s="137" t="str">
        <f>VLOOKUP(A212,'The List'!B1:D727,3,FALSE)</f>
        <v>C</v>
      </c>
      <c r="C212" s="48">
        <f>IF(Settings!$E$15="POINTS",RANK(E212,E3:E430),H212)</f>
        <v>210</v>
      </c>
      <c r="D212" s="35" t="str">
        <f>VLOOKUP(A212,'The List'!B1:F727,5,FALSE)</f>
        <v>SJS</v>
      </c>
      <c r="E212" s="39">
        <f>VLOOKUP(A212,'The List'!B1:I727,8,FALSE)</f>
        <v>196.85653350166029</v>
      </c>
      <c r="F212" s="39">
        <f>IF(Settings!$E$15="POINTS",E212-VLOOKUP(B$2,C1:E430,3,FALSE),J212)</f>
        <v>-170.59259332303037</v>
      </c>
      <c r="G212" s="39"/>
      <c r="H212" s="138">
        <f>RANK(I212,I3:I430)</f>
        <v>207</v>
      </c>
      <c r="I212" s="139">
        <f>VLOOKUP(A212,'Standard Deviations'!A1:C728,3,FALSE)</f>
        <v>-0.65904682752708676</v>
      </c>
      <c r="J212" s="139">
        <f>I212-VLOOKUP(B$2,H1:J430,2,FALSE)</f>
        <v>-5.9623024147541717</v>
      </c>
    </row>
    <row r="213" spans="1:10" ht="21.25" customHeight="1" x14ac:dyDescent="0.15">
      <c r="A213" s="8" t="s">
        <v>532</v>
      </c>
      <c r="B213" s="137" t="str">
        <f>VLOOKUP(A213,'The List'!B1:D727,3,FALSE)</f>
        <v>C</v>
      </c>
      <c r="C213" s="48">
        <f>IF(Settings!$E$15="POINTS",RANK(E213,E3:E430),H213)</f>
        <v>211</v>
      </c>
      <c r="D213" s="35" t="str">
        <f>VLOOKUP(A213,'The List'!B1:F727,5,FALSE)</f>
        <v>MTL</v>
      </c>
      <c r="E213" s="39">
        <f>VLOOKUP(A213,'The List'!B1:I727,8,FALSE)</f>
        <v>196.66954153301108</v>
      </c>
      <c r="F213" s="39">
        <f>IF(Settings!$E$15="POINTS",E213-VLOOKUP(B$2,C1:E430,3,FALSE),J213)</f>
        <v>-170.77958529167958</v>
      </c>
      <c r="G213" s="39"/>
      <c r="H213" s="138">
        <f>RANK(I213,I3:I430)</f>
        <v>274</v>
      </c>
      <c r="I213" s="139">
        <f>VLOOKUP(A213,'Standard Deviations'!A1:C728,3,FALSE)</f>
        <v>-2.329050802773764</v>
      </c>
      <c r="J213" s="139">
        <f>I213-VLOOKUP(B$2,H1:J430,2,FALSE)</f>
        <v>-7.6323063900008492</v>
      </c>
    </row>
    <row r="214" spans="1:10" ht="21.25" customHeight="1" x14ac:dyDescent="0.15">
      <c r="A214" s="8" t="s">
        <v>539</v>
      </c>
      <c r="B214" s="137" t="str">
        <f>VLOOKUP(A214,'The List'!B1:D727,3,FALSE)</f>
        <v>C</v>
      </c>
      <c r="C214" s="48">
        <f>IF(Settings!$E$15="POINTS",RANK(E214,E3:E430),H214)</f>
        <v>217</v>
      </c>
      <c r="D214" s="35" t="str">
        <f>VLOOKUP(A214,'The List'!B1:F727,5,FALSE)</f>
        <v>MTL</v>
      </c>
      <c r="E214" s="39">
        <f>VLOOKUP(A214,'The List'!B1:I727,8,FALSE)</f>
        <v>194.55737811145266</v>
      </c>
      <c r="F214" s="39">
        <f>IF(Settings!$E$15="POINTS",E214-VLOOKUP(B$2,C1:E430,3,FALSE),J214)</f>
        <v>-172.891748713238</v>
      </c>
      <c r="G214" s="39"/>
      <c r="H214" s="138">
        <f>RANK(I214,I3:I430)</f>
        <v>277</v>
      </c>
      <c r="I214" s="139">
        <f>VLOOKUP(A214,'Standard Deviations'!A1:C728,3,FALSE)</f>
        <v>-2.3704673761731812</v>
      </c>
      <c r="J214" s="139">
        <f>I214-VLOOKUP(B$2,H1:J430,2,FALSE)</f>
        <v>-7.6737229634002659</v>
      </c>
    </row>
    <row r="215" spans="1:10" ht="21.25" customHeight="1" x14ac:dyDescent="0.15">
      <c r="A215" s="8" t="s">
        <v>536</v>
      </c>
      <c r="B215" s="137" t="str">
        <f>VLOOKUP(A215,'The List'!B1:D727,3,FALSE)</f>
        <v>C</v>
      </c>
      <c r="C215" s="48">
        <f>IF(Settings!$E$15="POINTS",RANK(E215,E3:E430),H215)</f>
        <v>216</v>
      </c>
      <c r="D215" s="35" t="str">
        <f>VLOOKUP(A215,'The List'!B1:F727,5,FALSE)</f>
        <v>BOS</v>
      </c>
      <c r="E215" s="39">
        <f>VLOOKUP(A215,'The List'!B1:I727,8,FALSE)</f>
        <v>195.17762839245464</v>
      </c>
      <c r="F215" s="39">
        <f>IF(Settings!$E$15="POINTS",E215-VLOOKUP(B$2,C1:E430,3,FALSE),J215)</f>
        <v>-172.27149843223603</v>
      </c>
      <c r="G215" s="39"/>
      <c r="H215" s="138">
        <f>RANK(I215,I3:I430)</f>
        <v>185</v>
      </c>
      <c r="I215" s="139">
        <f>VLOOKUP(A215,'Standard Deviations'!A1:C728,3,FALSE)</f>
        <v>-5.6707197523603092E-2</v>
      </c>
      <c r="J215" s="139">
        <f>I215-VLOOKUP(B$2,H1:J430,2,FALSE)</f>
        <v>-5.3599627847506879</v>
      </c>
    </row>
    <row r="216" spans="1:10" ht="21.25" customHeight="1" x14ac:dyDescent="0.15">
      <c r="A216" s="8" t="s">
        <v>542</v>
      </c>
      <c r="B216" s="137" t="str">
        <f>VLOOKUP(A216,'The List'!B1:D727,3,FALSE)</f>
        <v>C</v>
      </c>
      <c r="C216" s="48">
        <f>IF(Settings!$E$15="POINTS",RANK(E216,E3:E430),H216)</f>
        <v>219</v>
      </c>
      <c r="D216" s="35" t="str">
        <f>VLOOKUP(A216,'The List'!B1:F727,5,FALSE)</f>
        <v>COL</v>
      </c>
      <c r="E216" s="39">
        <f>VLOOKUP(A216,'The List'!B1:I727,8,FALSE)</f>
        <v>193.98060900668938</v>
      </c>
      <c r="F216" s="39">
        <f>IF(Settings!$E$15="POINTS",E216-VLOOKUP(B$2,C1:E430,3,FALSE),J216)</f>
        <v>-173.46851781800129</v>
      </c>
      <c r="G216" s="39"/>
      <c r="H216" s="138">
        <f>RANK(I216,I3:I430)</f>
        <v>184</v>
      </c>
      <c r="I216" s="139">
        <f>VLOOKUP(A216,'Standard Deviations'!A1:C728,3,FALSE)</f>
        <v>-3.952801021986696E-3</v>
      </c>
      <c r="J216" s="139">
        <f>I216-VLOOKUP(B$2,H1:J430,2,FALSE)</f>
        <v>-5.3072083882490713</v>
      </c>
    </row>
    <row r="217" spans="1:10" ht="21.25" customHeight="1" x14ac:dyDescent="0.15">
      <c r="A217" s="8" t="s">
        <v>451</v>
      </c>
      <c r="B217" s="137" t="str">
        <f>VLOOKUP(A217,'The List'!B1:D727,3,FALSE)</f>
        <v>LW</v>
      </c>
      <c r="C217" s="48">
        <f>IF(Settings!$E$15="POINTS",RANK(E217,E3:E430),H217)</f>
        <v>220</v>
      </c>
      <c r="D217" s="35" t="str">
        <f>VLOOKUP(A217,'The List'!B1:F727,5,FALSE)</f>
        <v>NJD</v>
      </c>
      <c r="E217" s="39">
        <f>VLOOKUP(A217,'The List'!B1:I727,8,FALSE)</f>
        <v>192.94282378409994</v>
      </c>
      <c r="F217" s="39">
        <f>IF(Settings!$E$15="POINTS",E217-VLOOKUP(B$2,C1:E430,3,FALSE),J217)</f>
        <v>-174.50630304059072</v>
      </c>
      <c r="G217" s="39"/>
      <c r="H217" s="138">
        <f>RANK(I217,I3:I430)</f>
        <v>199</v>
      </c>
      <c r="I217" s="139">
        <f>VLOOKUP(A217,'Standard Deviations'!A1:C728,3,FALSE)</f>
        <v>-0.44436978947976863</v>
      </c>
      <c r="J217" s="139">
        <f>I217-VLOOKUP(B$2,H1:J430,2,FALSE)</f>
        <v>-5.7476253767068535</v>
      </c>
    </row>
    <row r="218" spans="1:10" ht="21.25" customHeight="1" x14ac:dyDescent="0.15">
      <c r="A218" s="8" t="s">
        <v>415</v>
      </c>
      <c r="B218" s="137" t="str">
        <f>VLOOKUP(A218,'The List'!B1:D727,3,FALSE)</f>
        <v>RW</v>
      </c>
      <c r="C218" s="48">
        <f>IF(Settings!$E$15="POINTS",RANK(E218,E3:E430),H218)</f>
        <v>221</v>
      </c>
      <c r="D218" s="35" t="str">
        <f>VLOOKUP(A218,'The List'!B1:F727,5,FALSE)</f>
        <v>SEA</v>
      </c>
      <c r="E218" s="39">
        <f>VLOOKUP(A218,'The List'!B1:I727,8,FALSE)</f>
        <v>192.8107458287582</v>
      </c>
      <c r="F218" s="39">
        <f>IF(Settings!$E$15="POINTS",E218-VLOOKUP(B$2,C1:E430,3,FALSE),J218)</f>
        <v>-174.63838099593247</v>
      </c>
      <c r="G218" s="39"/>
      <c r="H218" s="138">
        <f>RANK(I218,I3:I430)</f>
        <v>189</v>
      </c>
      <c r="I218" s="139">
        <f>VLOOKUP(A218,'Standard Deviations'!A1:C728,3,FALSE)</f>
        <v>-0.16591051026952713</v>
      </c>
      <c r="J218" s="139">
        <f>I218-VLOOKUP(B$2,H1:J430,2,FALSE)</f>
        <v>-5.4691660974966121</v>
      </c>
    </row>
    <row r="219" spans="1:10" ht="21.25" customHeight="1" x14ac:dyDescent="0.15">
      <c r="A219" s="8" t="s">
        <v>454</v>
      </c>
      <c r="B219" s="137" t="str">
        <f>VLOOKUP(A219,'The List'!B1:D727,3,FALSE)</f>
        <v>LW</v>
      </c>
      <c r="C219" s="48">
        <f>IF(Settings!$E$15="POINTS",RANK(E219,E3:E430),H219)</f>
        <v>222</v>
      </c>
      <c r="D219" s="35" t="str">
        <f>VLOOKUP(A219,'The List'!B1:F727,5,FALSE)</f>
        <v>SJS</v>
      </c>
      <c r="E219" s="39">
        <f>VLOOKUP(A219,'The List'!B1:I727,8,FALSE)</f>
        <v>191.93624483986576</v>
      </c>
      <c r="F219" s="39">
        <f>IF(Settings!$E$15="POINTS",E219-VLOOKUP(B$2,C1:E430,3,FALSE),J219)</f>
        <v>-175.5128819848249</v>
      </c>
      <c r="G219" s="39"/>
      <c r="H219" s="138">
        <f>RANK(I219,I3:I430)</f>
        <v>227</v>
      </c>
      <c r="I219" s="139">
        <f>VLOOKUP(A219,'Standard Deviations'!A1:C728,3,FALSE)</f>
        <v>-1.035246584409794</v>
      </c>
      <c r="J219" s="139">
        <f>I219-VLOOKUP(B$2,H1:J430,2,FALSE)</f>
        <v>-6.338502171636879</v>
      </c>
    </row>
    <row r="220" spans="1:10" ht="21.25" customHeight="1" x14ac:dyDescent="0.15">
      <c r="A220" s="8" t="s">
        <v>447</v>
      </c>
      <c r="B220" s="137" t="str">
        <f>VLOOKUP(A220,'The List'!B1:D727,3,FALSE)</f>
        <v>LW</v>
      </c>
      <c r="C220" s="48">
        <f>IF(Settings!$E$15="POINTS",RANK(E220,E3:E430),H220)</f>
        <v>218</v>
      </c>
      <c r="D220" s="35" t="str">
        <f>VLOOKUP(A220,'The List'!B1:F727,5,FALSE)</f>
        <v>TBL</v>
      </c>
      <c r="E220" s="39">
        <f>VLOOKUP(A220,'The List'!B1:I727,8,FALSE)</f>
        <v>194.1503075335107</v>
      </c>
      <c r="F220" s="39">
        <f>IF(Settings!$E$15="POINTS",E220-VLOOKUP(B$2,C1:E430,3,FALSE),J220)</f>
        <v>-173.29881929117997</v>
      </c>
      <c r="G220" s="39"/>
      <c r="H220" s="138">
        <f>RANK(I220,I3:I430)</f>
        <v>196</v>
      </c>
      <c r="I220" s="139">
        <f>VLOOKUP(A220,'Standard Deviations'!A1:C728,3,FALSE)</f>
        <v>-0.34144713630938944</v>
      </c>
      <c r="J220" s="139">
        <f>I220-VLOOKUP(B$2,H1:J430,2,FALSE)</f>
        <v>-5.644702723536474</v>
      </c>
    </row>
    <row r="221" spans="1:10" ht="21.25" customHeight="1" x14ac:dyDescent="0.15">
      <c r="A221" s="8" t="s">
        <v>443</v>
      </c>
      <c r="B221" s="137" t="str">
        <f>VLOOKUP(A221,'The List'!B1:D727,3,FALSE)</f>
        <v>LW</v>
      </c>
      <c r="C221" s="48">
        <f>IF(Settings!$E$15="POINTS",RANK(E221,E3:E430),H221)</f>
        <v>212</v>
      </c>
      <c r="D221" s="35" t="str">
        <f>VLOOKUP(A221,'The List'!B1:F727,5,FALSE)</f>
        <v>NJD</v>
      </c>
      <c r="E221" s="39">
        <f>VLOOKUP(A221,'The List'!B1:I727,8,FALSE)</f>
        <v>196.11438569853908</v>
      </c>
      <c r="F221" s="39">
        <f>IF(Settings!$E$15="POINTS",E221-VLOOKUP(B$2,C1:E430,3,FALSE),J221)</f>
        <v>-171.33474112615158</v>
      </c>
      <c r="G221" s="39"/>
      <c r="H221" s="138">
        <f>RANK(I221,I3:I430)</f>
        <v>202</v>
      </c>
      <c r="I221" s="139">
        <f>VLOOKUP(A221,'Standard Deviations'!A1:C728,3,FALSE)</f>
        <v>-0.57408668261139972</v>
      </c>
      <c r="J221" s="139">
        <f>I221-VLOOKUP(B$2,H1:J430,2,FALSE)</f>
        <v>-5.8773422698384845</v>
      </c>
    </row>
    <row r="222" spans="1:10" ht="21.25" customHeight="1" x14ac:dyDescent="0.15">
      <c r="A222" s="8" t="s">
        <v>458</v>
      </c>
      <c r="B222" s="137" t="str">
        <f>VLOOKUP(A222,'The List'!B1:D727,3,FALSE)</f>
        <v>LW</v>
      </c>
      <c r="C222" s="48">
        <f>IF(Settings!$E$15="POINTS",RANK(E222,E3:E430),H222)</f>
        <v>223</v>
      </c>
      <c r="D222" s="35" t="str">
        <f>VLOOKUP(A222,'The List'!B1:F727,5,FALSE)</f>
        <v>NYI</v>
      </c>
      <c r="E222" s="39">
        <f>VLOOKUP(A222,'The List'!B1:I727,8,FALSE)</f>
        <v>191.14290363771153</v>
      </c>
      <c r="F222" s="39">
        <f>IF(Settings!$E$15="POINTS",E222-VLOOKUP(B$2,C1:E430,3,FALSE),J222)</f>
        <v>-176.30622318697914</v>
      </c>
      <c r="G222" s="39"/>
      <c r="H222" s="138">
        <f>RANK(I222,I3:I430)</f>
        <v>222</v>
      </c>
      <c r="I222" s="139">
        <f>VLOOKUP(A222,'Standard Deviations'!A1:C728,3,FALSE)</f>
        <v>-0.95894313556776867</v>
      </c>
      <c r="J222" s="139">
        <f>I222-VLOOKUP(B$2,H1:J430,2,FALSE)</f>
        <v>-6.262198722794853</v>
      </c>
    </row>
    <row r="223" spans="1:10" ht="21.25" customHeight="1" x14ac:dyDescent="0.15">
      <c r="A223" s="8" t="s">
        <v>535</v>
      </c>
      <c r="B223" s="137" t="str">
        <f>VLOOKUP(A223,'The List'!B1:D727,3,FALSE)</f>
        <v>C</v>
      </c>
      <c r="C223" s="48">
        <f>IF(Settings!$E$15="POINTS",RANK(E223,E3:E430),H223)</f>
        <v>214</v>
      </c>
      <c r="D223" s="35" t="str">
        <f>VLOOKUP(A223,'The List'!B1:F727,5,FALSE)</f>
        <v>CGY</v>
      </c>
      <c r="E223" s="39">
        <f>VLOOKUP(A223,'The List'!B1:I727,8,FALSE)</f>
        <v>195.61055890802658</v>
      </c>
      <c r="F223" s="39">
        <f>IF(Settings!$E$15="POINTS",E223-VLOOKUP(B$2,C1:E430,3,FALSE),J223)</f>
        <v>-171.83856791666409</v>
      </c>
      <c r="G223" s="39"/>
      <c r="H223" s="138">
        <f>RANK(I223,I3:I430)</f>
        <v>230</v>
      </c>
      <c r="I223" s="139">
        <f>VLOOKUP(A223,'Standard Deviations'!A1:C728,3,FALSE)</f>
        <v>-1.0846872761924018</v>
      </c>
      <c r="J223" s="139">
        <f>I223-VLOOKUP(B$2,H1:J430,2,FALSE)</f>
        <v>-6.3879428634194868</v>
      </c>
    </row>
    <row r="224" spans="1:10" ht="21.25" customHeight="1" x14ac:dyDescent="0.15">
      <c r="A224" s="8" t="s">
        <v>562</v>
      </c>
      <c r="B224" s="137" t="str">
        <f>VLOOKUP(A224,'The List'!B1:D727,3,FALSE)</f>
        <v>C</v>
      </c>
      <c r="C224" s="48">
        <f>IF(Settings!$E$15="POINTS",RANK(E224,E3:E430),H224)</f>
        <v>226</v>
      </c>
      <c r="D224" s="35" t="str">
        <f>VLOOKUP(A224,'The List'!B1:F727,5,FALSE)</f>
        <v>CHI</v>
      </c>
      <c r="E224" s="39">
        <f>VLOOKUP(A224,'The List'!B1:I727,8,FALSE)</f>
        <v>187.93516789116177</v>
      </c>
      <c r="F224" s="39">
        <f>IF(Settings!$E$15="POINTS",E224-VLOOKUP(B$2,C1:E430,3,FALSE),J224)</f>
        <v>-179.5139589335289</v>
      </c>
      <c r="G224" s="39"/>
      <c r="H224" s="138">
        <f>RANK(I224,I3:I430)</f>
        <v>295</v>
      </c>
      <c r="I224" s="139">
        <f>VLOOKUP(A224,'Standard Deviations'!A1:C728,3,FALSE)</f>
        <v>-2.6847883738022453</v>
      </c>
      <c r="J224" s="139">
        <f>I224-VLOOKUP(B$2,H1:J430,2,FALSE)</f>
        <v>-7.9880439610293301</v>
      </c>
    </row>
    <row r="225" spans="1:10" ht="21.25" customHeight="1" x14ac:dyDescent="0.15">
      <c r="A225" s="8" t="s">
        <v>408</v>
      </c>
      <c r="B225" s="137" t="str">
        <f>VLOOKUP(A225,'The List'!B1:D727,3,FALSE)</f>
        <v>RW</v>
      </c>
      <c r="C225" s="48">
        <f>IF(Settings!$E$15="POINTS",RANK(E225,E3:E430),H225)</f>
        <v>215</v>
      </c>
      <c r="D225" s="35" t="str">
        <f>VLOOKUP(A225,'The List'!B1:F727,5,FALSE)</f>
        <v>NYR</v>
      </c>
      <c r="E225" s="39">
        <f>VLOOKUP(A225,'The List'!B1:I727,8,FALSE)</f>
        <v>195.39912329851066</v>
      </c>
      <c r="F225" s="39">
        <f>IF(Settings!$E$15="POINTS",E225-VLOOKUP(B$2,C1:E430,3,FALSE),J225)</f>
        <v>-172.05000352618001</v>
      </c>
      <c r="G225" s="39"/>
      <c r="H225" s="138">
        <f>RANK(I225,I3:I430)</f>
        <v>172</v>
      </c>
      <c r="I225" s="139">
        <f>VLOOKUP(A225,'Standard Deviations'!A1:C728,3,FALSE)</f>
        <v>0.32318463423770261</v>
      </c>
      <c r="J225" s="139">
        <f>I225-VLOOKUP(B$2,H1:J430,2,FALSE)</f>
        <v>-4.9800709529893821</v>
      </c>
    </row>
    <row r="226" spans="1:10" ht="21.25" customHeight="1" x14ac:dyDescent="0.15">
      <c r="A226" s="8" t="s">
        <v>461</v>
      </c>
      <c r="B226" s="137" t="str">
        <f>VLOOKUP(A226,'The List'!B1:D727,3,FALSE)</f>
        <v>LW</v>
      </c>
      <c r="C226" s="48">
        <f>IF(Settings!$E$15="POINTS",RANK(E226,E3:E430),H226)</f>
        <v>224</v>
      </c>
      <c r="D226" s="35" t="str">
        <f>VLOOKUP(A226,'The List'!B1:F727,5,FALSE)</f>
        <v>MTL</v>
      </c>
      <c r="E226" s="39">
        <f>VLOOKUP(A226,'The List'!B1:I727,8,FALSE)</f>
        <v>189.78708220083786</v>
      </c>
      <c r="F226" s="39">
        <f>IF(Settings!$E$15="POINTS",E226-VLOOKUP(B$2,C1:E430,3,FALSE),J226)</f>
        <v>-177.66204462385281</v>
      </c>
      <c r="G226" s="39"/>
      <c r="H226" s="138">
        <f>RANK(I226,I3:I430)</f>
        <v>236</v>
      </c>
      <c r="I226" s="139">
        <f>VLOOKUP(A226,'Standard Deviations'!A1:C728,3,FALSE)</f>
        <v>-1.1892645857272219</v>
      </c>
      <c r="J226" s="139">
        <f>I226-VLOOKUP(B$2,H1:J430,2,FALSE)</f>
        <v>-6.4925201729543067</v>
      </c>
    </row>
    <row r="227" spans="1:10" ht="21.25" customHeight="1" x14ac:dyDescent="0.15">
      <c r="A227" s="8" t="s">
        <v>566</v>
      </c>
      <c r="B227" s="137" t="str">
        <f>VLOOKUP(A227,'The List'!B1:D727,3,FALSE)</f>
        <v>C</v>
      </c>
      <c r="C227" s="48">
        <f>IF(Settings!$E$15="POINTS",RANK(E227,E3:E430),H227)</f>
        <v>228</v>
      </c>
      <c r="D227" s="35" t="str">
        <f>VLOOKUP(A227,'The List'!B1:F727,5,FALSE)</f>
        <v>NSH</v>
      </c>
      <c r="E227" s="39">
        <f>VLOOKUP(A227,'The List'!B1:I727,8,FALSE)</f>
        <v>186.9862027885772</v>
      </c>
      <c r="F227" s="39">
        <f>IF(Settings!$E$15="POINTS",E227-VLOOKUP(B$2,C1:E430,3,FALSE),J227)</f>
        <v>-180.46292403611346</v>
      </c>
      <c r="G227" s="39"/>
      <c r="H227" s="138">
        <f>RANK(I227,I3:I430)</f>
        <v>234</v>
      </c>
      <c r="I227" s="139">
        <f>VLOOKUP(A227,'Standard Deviations'!A1:C728,3,FALSE)</f>
        <v>-1.1609812609375858</v>
      </c>
      <c r="J227" s="139">
        <f>I227-VLOOKUP(B$2,H1:J430,2,FALSE)</f>
        <v>-6.4642368481646706</v>
      </c>
    </row>
    <row r="228" spans="1:10" ht="21.25" customHeight="1" x14ac:dyDescent="0.15">
      <c r="A228" s="8" t="s">
        <v>430</v>
      </c>
      <c r="B228" s="137" t="str">
        <f>VLOOKUP(A228,'The List'!B1:D727,3,FALSE)</f>
        <v>RW</v>
      </c>
      <c r="C228" s="48">
        <f>IF(Settings!$E$15="POINTS",RANK(E228,E3:E430),H228)</f>
        <v>227</v>
      </c>
      <c r="D228" s="35" t="str">
        <f>VLOOKUP(A228,'The List'!B1:F727,5,FALSE)</f>
        <v>STL</v>
      </c>
      <c r="E228" s="39">
        <f>VLOOKUP(A228,'The List'!B1:I727,8,FALSE)</f>
        <v>187.42853374233067</v>
      </c>
      <c r="F228" s="39">
        <f>IF(Settings!$E$15="POINTS",E228-VLOOKUP(B$2,C1:E430,3,FALSE),J228)</f>
        <v>-180.02059308235999</v>
      </c>
      <c r="G228" s="39"/>
      <c r="H228" s="138">
        <f>RANK(I228,I3:I430)</f>
        <v>275</v>
      </c>
      <c r="I228" s="139">
        <f>VLOOKUP(A228,'Standard Deviations'!A1:C728,3,FALSE)</f>
        <v>-2.3311346258361869</v>
      </c>
      <c r="J228" s="139">
        <f>I228-VLOOKUP(B$2,H1:J430,2,FALSE)</f>
        <v>-7.6343902130632717</v>
      </c>
    </row>
    <row r="229" spans="1:10" ht="21.25" customHeight="1" x14ac:dyDescent="0.15">
      <c r="A229" s="8" t="s">
        <v>572</v>
      </c>
      <c r="B229" s="137" t="str">
        <f>VLOOKUP(A229,'The List'!B1:D727,3,FALSE)</f>
        <v>C</v>
      </c>
      <c r="C229" s="48">
        <f>IF(Settings!$E$15="POINTS",RANK(E229,E3:E430),H229)</f>
        <v>230</v>
      </c>
      <c r="D229" s="35" t="str">
        <f>VLOOKUP(A229,'The List'!B1:F727,5,FALSE)</f>
        <v>SJS</v>
      </c>
      <c r="E229" s="39">
        <f>VLOOKUP(A229,'The List'!B1:I727,8,FALSE)</f>
        <v>185.88981588048946</v>
      </c>
      <c r="F229" s="39">
        <f>IF(Settings!$E$15="POINTS",E229-VLOOKUP(B$2,C1:E430,3,FALSE),J229)</f>
        <v>-181.5593109442012</v>
      </c>
      <c r="G229" s="39"/>
      <c r="H229" s="138">
        <f>RANK(I229,I3:I430)</f>
        <v>233</v>
      </c>
      <c r="I229" s="139">
        <f>VLOOKUP(A229,'Standard Deviations'!A1:C728,3,FALSE)</f>
        <v>-1.1460251608676402</v>
      </c>
      <c r="J229" s="139">
        <f>I229-VLOOKUP(B$2,H1:J430,2,FALSE)</f>
        <v>-6.4492807480947247</v>
      </c>
    </row>
    <row r="230" spans="1:10" ht="21.25" customHeight="1" x14ac:dyDescent="0.15">
      <c r="A230" s="8" t="s">
        <v>471</v>
      </c>
      <c r="B230" s="137" t="str">
        <f>VLOOKUP(A230,'The List'!B1:D727,3,FALSE)</f>
        <v>LW</v>
      </c>
      <c r="C230" s="48">
        <f>IF(Settings!$E$15="POINTS",RANK(E230,E3:E430),H230)</f>
        <v>229</v>
      </c>
      <c r="D230" s="35" t="str">
        <f>VLOOKUP(A230,'The List'!B1:F727,5,FALSE)</f>
        <v>MIN</v>
      </c>
      <c r="E230" s="39">
        <f>VLOOKUP(A230,'The List'!B1:I727,8,FALSE)</f>
        <v>186.63413430545472</v>
      </c>
      <c r="F230" s="39">
        <f>IF(Settings!$E$15="POINTS",E230-VLOOKUP(B$2,C1:E430,3,FALSE),J230)</f>
        <v>-180.81499251923594</v>
      </c>
      <c r="G230" s="39"/>
      <c r="H230" s="138">
        <f>RANK(I230,I3:I430)</f>
        <v>204</v>
      </c>
      <c r="I230" s="139">
        <f>VLOOKUP(A230,'Standard Deviations'!A1:C728,3,FALSE)</f>
        <v>-0.60624966980315653</v>
      </c>
      <c r="J230" s="139">
        <f>I230-VLOOKUP(B$2,H1:J430,2,FALSE)</f>
        <v>-5.9095052570302418</v>
      </c>
    </row>
    <row r="231" spans="1:10" ht="21.25" customHeight="1" x14ac:dyDescent="0.15">
      <c r="A231" s="8" t="s">
        <v>556</v>
      </c>
      <c r="B231" s="137" t="str">
        <f>VLOOKUP(A231,'The List'!B1:D727,3,FALSE)</f>
        <v>C</v>
      </c>
      <c r="C231" s="48">
        <f>IF(Settings!$E$15="POINTS",RANK(E231,E3:E430),H231)</f>
        <v>225</v>
      </c>
      <c r="D231" s="35" t="str">
        <f>VLOOKUP(A231,'The List'!B1:F727,5,FALSE)</f>
        <v>MIN</v>
      </c>
      <c r="E231" s="39">
        <f>VLOOKUP(A231,'The List'!B1:I727,8,FALSE)</f>
        <v>189.61918963870784</v>
      </c>
      <c r="F231" s="39">
        <f>IF(Settings!$E$15="POINTS",E231-VLOOKUP(B$2,C1:E430,3,FALSE),J231)</f>
        <v>-177.82993718598283</v>
      </c>
      <c r="G231" s="39"/>
      <c r="H231" s="138">
        <f>RANK(I231,I3:I430)</f>
        <v>201</v>
      </c>
      <c r="I231" s="139">
        <f>VLOOKUP(A231,'Standard Deviations'!A1:C728,3,FALSE)</f>
        <v>-0.5527635664383248</v>
      </c>
      <c r="J231" s="139">
        <f>I231-VLOOKUP(B$2,H1:J430,2,FALSE)</f>
        <v>-5.8560191536654091</v>
      </c>
    </row>
    <row r="232" spans="1:10" ht="21.25" customHeight="1" x14ac:dyDescent="0.15">
      <c r="A232" s="8" t="s">
        <v>575</v>
      </c>
      <c r="B232" s="137" t="str">
        <f>VLOOKUP(A232,'The List'!B1:D727,3,FALSE)</f>
        <v>C</v>
      </c>
      <c r="C232" s="48">
        <f>IF(Settings!$E$15="POINTS",RANK(E232,E3:E430),H232)</f>
        <v>231</v>
      </c>
      <c r="D232" s="35" t="str">
        <f>VLOOKUP(A232,'The List'!B1:F727,5,FALSE)</f>
        <v>SEA</v>
      </c>
      <c r="E232" s="39">
        <f>VLOOKUP(A232,'The List'!B1:I727,8,FALSE)</f>
        <v>184.66913421048673</v>
      </c>
      <c r="F232" s="39">
        <f>IF(Settings!$E$15="POINTS",E232-VLOOKUP(B$2,C1:E430,3,FALSE),J232)</f>
        <v>-182.77999261420393</v>
      </c>
      <c r="G232" s="39"/>
      <c r="H232" s="138">
        <f>RANK(I232,I3:I430)</f>
        <v>228</v>
      </c>
      <c r="I232" s="139">
        <f>VLOOKUP(A232,'Standard Deviations'!A1:C728,3,FALSE)</f>
        <v>-1.0410762119846393</v>
      </c>
      <c r="J232" s="139">
        <f>I232-VLOOKUP(B$2,H1:J430,2,FALSE)</f>
        <v>-6.3443317992117239</v>
      </c>
    </row>
    <row r="233" spans="1:10" ht="21.25" customHeight="1" x14ac:dyDescent="0.15">
      <c r="A233" s="8" t="s">
        <v>441</v>
      </c>
      <c r="B233" s="137" t="str">
        <f>VLOOKUP(A233,'The List'!B1:D727,3,FALSE)</f>
        <v>RW</v>
      </c>
      <c r="C233" s="48">
        <f>IF(Settings!$E$15="POINTS",RANK(E233,E3:E430),H233)</f>
        <v>232</v>
      </c>
      <c r="D233" s="35" t="str">
        <f>VLOOKUP(A233,'The List'!B1:F727,5,FALSE)</f>
        <v>UFA</v>
      </c>
      <c r="E233" s="39">
        <f>VLOOKUP(A233,'The List'!B1:I727,8,FALSE)</f>
        <v>182.39480577168843</v>
      </c>
      <c r="F233" s="39">
        <f>IF(Settings!$E$15="POINTS",E233-VLOOKUP(B$2,C1:E430,3,FALSE),J233)</f>
        <v>-185.05432105300224</v>
      </c>
      <c r="G233" s="39"/>
      <c r="H233" s="138">
        <f>RANK(I233,I3:I430)</f>
        <v>247</v>
      </c>
      <c r="I233" s="139">
        <f>VLOOKUP(A233,'Standard Deviations'!A1:C728,3,FALSE)</f>
        <v>-1.6315287513852743</v>
      </c>
      <c r="J233" s="139">
        <f>I233-VLOOKUP(B$2,H1:J430,2,FALSE)</f>
        <v>-6.9347843386123591</v>
      </c>
    </row>
    <row r="234" spans="1:10" ht="21.25" customHeight="1" x14ac:dyDescent="0.15">
      <c r="A234" s="8" t="s">
        <v>491</v>
      </c>
      <c r="B234" s="137" t="str">
        <f>VLOOKUP(A234,'The List'!B1:D727,3,FALSE)</f>
        <v>LW</v>
      </c>
      <c r="C234" s="48">
        <f>IF(Settings!$E$15="POINTS",RANK(E234,E3:E430),H234)</f>
        <v>233</v>
      </c>
      <c r="D234" s="35" t="str">
        <f>VLOOKUP(A234,'The List'!B1:F727,5,FALSE)</f>
        <v>DAL</v>
      </c>
      <c r="E234" s="39">
        <f>VLOOKUP(A234,'The List'!B1:I727,8,FALSE)</f>
        <v>182.04545573590983</v>
      </c>
      <c r="F234" s="39">
        <f>IF(Settings!$E$15="POINTS",E234-VLOOKUP(B$2,C1:E430,3,FALSE),J234)</f>
        <v>-185.40367108878084</v>
      </c>
      <c r="G234" s="39"/>
      <c r="H234" s="138">
        <f>RANK(I234,I3:I430)</f>
        <v>195</v>
      </c>
      <c r="I234" s="139">
        <f>VLOOKUP(A234,'Standard Deviations'!A1:C728,3,FALSE)</f>
        <v>-0.33476941373765257</v>
      </c>
      <c r="J234" s="139">
        <f>I234-VLOOKUP(B$2,H1:J430,2,FALSE)</f>
        <v>-5.6380250009647375</v>
      </c>
    </row>
    <row r="235" spans="1:10" ht="21.25" customHeight="1" x14ac:dyDescent="0.15">
      <c r="A235" s="8" t="s">
        <v>582</v>
      </c>
      <c r="B235" s="137" t="str">
        <f>VLOOKUP(A235,'The List'!B1:D727,3,FALSE)</f>
        <v>C</v>
      </c>
      <c r="C235" s="48">
        <f>IF(Settings!$E$15="POINTS",RANK(E235,E3:E430),H235)</f>
        <v>234</v>
      </c>
      <c r="D235" s="35" t="str">
        <f>VLOOKUP(A235,'The List'!B1:F727,5,FALSE)</f>
        <v>CHI</v>
      </c>
      <c r="E235" s="39">
        <f>VLOOKUP(A235,'The List'!B1:I727,8,FALSE)</f>
        <v>181.67709721424461</v>
      </c>
      <c r="F235" s="39">
        <f>IF(Settings!$E$15="POINTS",E235-VLOOKUP(B$2,C1:E430,3,FALSE),J235)</f>
        <v>-185.77202961044605</v>
      </c>
      <c r="G235" s="39"/>
      <c r="H235" s="138">
        <f>RANK(I235,I3:I430)</f>
        <v>297</v>
      </c>
      <c r="I235" s="139">
        <f>VLOOKUP(A235,'Standard Deviations'!A1:C728,3,FALSE)</f>
        <v>-2.7240597534714972</v>
      </c>
      <c r="J235" s="139">
        <f>I235-VLOOKUP(B$2,H1:J430,2,FALSE)</f>
        <v>-8.027315340698582</v>
      </c>
    </row>
    <row r="236" spans="1:10" ht="21.25" customHeight="1" x14ac:dyDescent="0.15">
      <c r="A236" s="8" t="s">
        <v>584</v>
      </c>
      <c r="B236" s="137" t="str">
        <f>VLOOKUP(A236,'The List'!B1:D727,3,FALSE)</f>
        <v>C</v>
      </c>
      <c r="C236" s="48">
        <f>IF(Settings!$E$15="POINTS",RANK(E236,E3:E430),H236)</f>
        <v>235</v>
      </c>
      <c r="D236" s="35" t="str">
        <f>VLOOKUP(A236,'The List'!B1:F727,5,FALSE)</f>
        <v>CHI</v>
      </c>
      <c r="E236" s="39">
        <f>VLOOKUP(A236,'The List'!B1:I727,8,FALSE)</f>
        <v>180.79993661192304</v>
      </c>
      <c r="F236" s="39">
        <f>IF(Settings!$E$15="POINTS",E236-VLOOKUP(B$2,C1:E430,3,FALSE),J236)</f>
        <v>-186.64919021276762</v>
      </c>
      <c r="G236" s="39"/>
      <c r="H236" s="138">
        <f>RANK(I236,I3:I430)</f>
        <v>333</v>
      </c>
      <c r="I236" s="139">
        <f>VLOOKUP(A236,'Standard Deviations'!A1:C728,3,FALSE)</f>
        <v>-3.4383036359190218</v>
      </c>
      <c r="J236" s="139">
        <f>I236-VLOOKUP(B$2,H1:J430,2,FALSE)</f>
        <v>-8.7415592231461066</v>
      </c>
    </row>
    <row r="237" spans="1:10" ht="21.25" customHeight="1" x14ac:dyDescent="0.15">
      <c r="A237" s="8" t="s">
        <v>450</v>
      </c>
      <c r="B237" s="137" t="str">
        <f>VLOOKUP(A237,'The List'!B1:D727,3,FALSE)</f>
        <v>RW</v>
      </c>
      <c r="C237" s="48">
        <f>IF(Settings!$E$15="POINTS",RANK(E237,E3:E430),H237)</f>
        <v>237</v>
      </c>
      <c r="D237" s="35" t="str">
        <f>VLOOKUP(A237,'The List'!B1:F727,5,FALSE)</f>
        <v>CAR</v>
      </c>
      <c r="E237" s="39">
        <f>VLOOKUP(A237,'The List'!B1:I727,8,FALSE)</f>
        <v>179.30925331225595</v>
      </c>
      <c r="F237" s="39">
        <f>IF(Settings!$E$15="POINTS",E237-VLOOKUP(B$2,C1:E430,3,FALSE),J237)</f>
        <v>-188.13987351243472</v>
      </c>
      <c r="G237" s="39"/>
      <c r="H237" s="138">
        <f>RANK(I237,I3:I430)</f>
        <v>166</v>
      </c>
      <c r="I237" s="139">
        <f>VLOOKUP(A237,'Standard Deviations'!A1:C728,3,FALSE)</f>
        <v>0.36564363720330895</v>
      </c>
      <c r="J237" s="139">
        <f>I237-VLOOKUP(B$2,H1:J430,2,FALSE)</f>
        <v>-4.9376119500237756</v>
      </c>
    </row>
    <row r="238" spans="1:10" ht="21.25" customHeight="1" x14ac:dyDescent="0.15">
      <c r="A238" s="8" t="s">
        <v>508</v>
      </c>
      <c r="B238" s="137" t="str">
        <f>VLOOKUP(A238,'The List'!B1:D727,3,FALSE)</f>
        <v>LW</v>
      </c>
      <c r="C238" s="48">
        <f>IF(Settings!$E$15="POINTS",RANK(E238,E3:E430),H238)</f>
        <v>239</v>
      </c>
      <c r="D238" s="35" t="str">
        <f>VLOOKUP(A238,'The List'!B1:F727,5,FALSE)</f>
        <v>UFA</v>
      </c>
      <c r="E238" s="39">
        <f>VLOOKUP(A238,'The List'!B1:I727,8,FALSE)</f>
        <v>177.15458636644286</v>
      </c>
      <c r="F238" s="39">
        <f>IF(Settings!$E$15="POINTS",E238-VLOOKUP(B$2,C1:E430,3,FALSE),J238)</f>
        <v>-190.29454045824781</v>
      </c>
      <c r="G238" s="39"/>
      <c r="H238" s="138">
        <f>RANK(I238,I3:I430)</f>
        <v>211</v>
      </c>
      <c r="I238" s="139">
        <f>VLOOKUP(A238,'Standard Deviations'!A1:C728,3,FALSE)</f>
        <v>-0.72123131286290765</v>
      </c>
      <c r="J238" s="139">
        <f>I238-VLOOKUP(B$2,H1:J430,2,FALSE)</f>
        <v>-6.0244869000899923</v>
      </c>
    </row>
    <row r="239" spans="1:10" ht="21.25" customHeight="1" x14ac:dyDescent="0.15">
      <c r="A239" s="8" t="s">
        <v>586</v>
      </c>
      <c r="B239" s="137" t="str">
        <f>VLOOKUP(A239,'The List'!B1:D727,3,FALSE)</f>
        <v>C</v>
      </c>
      <c r="C239" s="48">
        <f>IF(Settings!$E$15="POINTS",RANK(E239,E3:E430),H239)</f>
        <v>236</v>
      </c>
      <c r="D239" s="35" t="str">
        <f>VLOOKUP(A239,'The List'!B1:F727,5,FALSE)</f>
        <v>ARI</v>
      </c>
      <c r="E239" s="39">
        <f>VLOOKUP(A239,'The List'!B1:I727,8,FALSE)</f>
        <v>180.60006613269448</v>
      </c>
      <c r="F239" s="39">
        <f>IF(Settings!$E$15="POINTS",E239-VLOOKUP(B$2,C1:E430,3,FALSE),J239)</f>
        <v>-186.84906069199619</v>
      </c>
      <c r="G239" s="39"/>
      <c r="H239" s="138">
        <f>RANK(I239,I3:I430)</f>
        <v>258</v>
      </c>
      <c r="I239" s="139">
        <f>VLOOKUP(A239,'Standard Deviations'!A1:C728,3,FALSE)</f>
        <v>-1.8941121400249115</v>
      </c>
      <c r="J239" s="139">
        <f>I239-VLOOKUP(B$2,H1:J430,2,FALSE)</f>
        <v>-7.1973677272519963</v>
      </c>
    </row>
    <row r="240" spans="1:10" ht="21.25" customHeight="1" x14ac:dyDescent="0.15">
      <c r="A240" s="8" t="s">
        <v>462</v>
      </c>
      <c r="B240" s="137" t="str">
        <f>VLOOKUP(A240,'The List'!B1:D727,3,FALSE)</f>
        <v>RW</v>
      </c>
      <c r="C240" s="48">
        <f>IF(Settings!$E$15="POINTS",RANK(E240,E3:E430),H240)</f>
        <v>241</v>
      </c>
      <c r="D240" s="35" t="str">
        <f>VLOOKUP(A240,'The List'!B1:F727,5,FALSE)</f>
        <v>BUF</v>
      </c>
      <c r="E240" s="39">
        <f>VLOOKUP(A240,'The List'!B1:I727,8,FALSE)</f>
        <v>175.72702744708732</v>
      </c>
      <c r="F240" s="39">
        <f>IF(Settings!$E$15="POINTS",E240-VLOOKUP(B$2,C1:E430,3,FALSE),J240)</f>
        <v>-191.72209937760334</v>
      </c>
      <c r="G240" s="39"/>
      <c r="H240" s="138">
        <f>RANK(I240,I3:I430)</f>
        <v>285</v>
      </c>
      <c r="I240" s="139">
        <f>VLOOKUP(A240,'Standard Deviations'!A1:C728,3,FALSE)</f>
        <v>-2.4593645072760735</v>
      </c>
      <c r="J240" s="139">
        <f>I240-VLOOKUP(B$2,H1:J430,2,FALSE)</f>
        <v>-7.7626200945031583</v>
      </c>
    </row>
    <row r="241" spans="1:10" ht="21.25" customHeight="1" x14ac:dyDescent="0.15">
      <c r="A241" s="8" t="s">
        <v>593</v>
      </c>
      <c r="B241" s="137" t="str">
        <f>VLOOKUP(A241,'The List'!B1:D727,3,FALSE)</f>
        <v>C</v>
      </c>
      <c r="C241" s="48">
        <f>IF(Settings!$E$15="POINTS",RANK(E241,E3:E430),H241)</f>
        <v>240</v>
      </c>
      <c r="D241" s="35" t="str">
        <f>VLOOKUP(A241,'The List'!B1:F727,5,FALSE)</f>
        <v>FLA</v>
      </c>
      <c r="E241" s="39">
        <f>VLOOKUP(A241,'The List'!B1:I727,8,FALSE)</f>
        <v>176.98180235294106</v>
      </c>
      <c r="F241" s="39">
        <f>IF(Settings!$E$15="POINTS",E241-VLOOKUP(B$2,C1:E430,3,FALSE),J241)</f>
        <v>-190.46732447174961</v>
      </c>
      <c r="G241" s="39"/>
      <c r="H241" s="138">
        <f>RANK(I241,I3:I430)</f>
        <v>190</v>
      </c>
      <c r="I241" s="139">
        <f>VLOOKUP(A241,'Standard Deviations'!A1:C728,3,FALSE)</f>
        <v>-0.18193654130741876</v>
      </c>
      <c r="J241" s="139">
        <f>I241-VLOOKUP(B$2,H1:J430,2,FALSE)</f>
        <v>-5.4851921285345036</v>
      </c>
    </row>
    <row r="242" spans="1:10" ht="21.25" customHeight="1" x14ac:dyDescent="0.15">
      <c r="A242" s="8" t="s">
        <v>452</v>
      </c>
      <c r="B242" s="137" t="str">
        <f>VLOOKUP(A242,'The List'!B1:D727,3,FALSE)</f>
        <v>RW</v>
      </c>
      <c r="C242" s="48">
        <f>IF(Settings!$E$15="POINTS",RANK(E242,E3:E430),H242)</f>
        <v>238</v>
      </c>
      <c r="D242" s="35" t="str">
        <f>VLOOKUP(A242,'The List'!B1:F727,5,FALSE)</f>
        <v>EDM</v>
      </c>
      <c r="E242" s="39">
        <f>VLOOKUP(A242,'The List'!B1:I727,8,FALSE)</f>
        <v>179.1583630533502</v>
      </c>
      <c r="F242" s="39">
        <f>IF(Settings!$E$15="POINTS",E242-VLOOKUP(B$2,C1:E430,3,FALSE),J242)</f>
        <v>-188.29076377134047</v>
      </c>
      <c r="G242" s="39"/>
      <c r="H242" s="138">
        <f>RANK(I242,I3:I430)</f>
        <v>209</v>
      </c>
      <c r="I242" s="139">
        <f>VLOOKUP(A242,'Standard Deviations'!A1:C728,3,FALSE)</f>
        <v>-0.68496267548818801</v>
      </c>
      <c r="J242" s="139">
        <f>I242-VLOOKUP(B$2,H1:J430,2,FALSE)</f>
        <v>-5.9882182627152725</v>
      </c>
    </row>
    <row r="243" spans="1:10" ht="21.25" customHeight="1" x14ac:dyDescent="0.15">
      <c r="A243" s="8" t="s">
        <v>599</v>
      </c>
      <c r="B243" s="137" t="str">
        <f>VLOOKUP(A243,'The List'!B1:D727,3,FALSE)</f>
        <v>C</v>
      </c>
      <c r="C243" s="48">
        <f>IF(Settings!$E$15="POINTS",RANK(E243,E3:E430),H243)</f>
        <v>242</v>
      </c>
      <c r="D243" s="35" t="str">
        <f>VLOOKUP(A243,'The List'!B1:F727,5,FALSE)</f>
        <v>CHI</v>
      </c>
      <c r="E243" s="39">
        <f>VLOOKUP(A243,'The List'!B1:I727,8,FALSE)</f>
        <v>173.88244758561291</v>
      </c>
      <c r="F243" s="39">
        <f>IF(Settings!$E$15="POINTS",E243-VLOOKUP(B$2,C1:E430,3,FALSE),J243)</f>
        <v>-193.56667923907776</v>
      </c>
      <c r="G243" s="39"/>
      <c r="H243" s="138">
        <f>RANK(I243,I3:I430)</f>
        <v>293</v>
      </c>
      <c r="I243" s="139">
        <f>VLOOKUP(A243,'Standard Deviations'!A1:C728,3,FALSE)</f>
        <v>-2.6568676287892661</v>
      </c>
      <c r="J243" s="139">
        <f>I243-VLOOKUP(B$2,H1:J430,2,FALSE)</f>
        <v>-7.9601232160163509</v>
      </c>
    </row>
    <row r="244" spans="1:10" ht="21.25" customHeight="1" x14ac:dyDescent="0.15">
      <c r="A244" s="8" t="s">
        <v>477</v>
      </c>
      <c r="B244" s="137" t="str">
        <f>VLOOKUP(A244,'The List'!B1:D727,3,FALSE)</f>
        <v>RW</v>
      </c>
      <c r="C244" s="48">
        <f>IF(Settings!$E$15="POINTS",RANK(E244,E3:E430),H244)</f>
        <v>244</v>
      </c>
      <c r="D244" s="35" t="str">
        <f>VLOOKUP(A244,'The List'!B1:F727,5,FALSE)</f>
        <v>SJS</v>
      </c>
      <c r="E244" s="39">
        <f>VLOOKUP(A244,'The List'!B1:I727,8,FALSE)</f>
        <v>171.04342929470215</v>
      </c>
      <c r="F244" s="39">
        <f>IF(Settings!$E$15="POINTS",E244-VLOOKUP(B$2,C1:E430,3,FALSE),J244)</f>
        <v>-196.40569752998852</v>
      </c>
      <c r="G244" s="39"/>
      <c r="H244" s="138">
        <f>RANK(I244,I3:I430)</f>
        <v>243</v>
      </c>
      <c r="I244" s="139">
        <f>VLOOKUP(A244,'Standard Deviations'!A1:C728,3,FALSE)</f>
        <v>-1.5609614154748062</v>
      </c>
      <c r="J244" s="139">
        <f>I244-VLOOKUP(B$2,H1:J430,2,FALSE)</f>
        <v>-6.8642170027018912</v>
      </c>
    </row>
    <row r="245" spans="1:10" ht="21.25" customHeight="1" x14ac:dyDescent="0.15">
      <c r="A245" s="8" t="s">
        <v>476</v>
      </c>
      <c r="B245" s="137" t="str">
        <f>VLOOKUP(A245,'The List'!B1:D727,3,FALSE)</f>
        <v>RW</v>
      </c>
      <c r="C245" s="48">
        <f>IF(Settings!$E$15="POINTS",RANK(E245,E3:E430),H245)</f>
        <v>243</v>
      </c>
      <c r="D245" s="35" t="str">
        <f>VLOOKUP(A245,'The List'!B1:F727,5,FALSE)</f>
        <v>DAL</v>
      </c>
      <c r="E245" s="39">
        <f>VLOOKUP(A245,'The List'!B1:I727,8,FALSE)</f>
        <v>171.26791970281431</v>
      </c>
      <c r="F245" s="39">
        <f>IF(Settings!$E$15="POINTS",E245-VLOOKUP(B$2,C1:E430,3,FALSE),J245)</f>
        <v>-196.18120712187635</v>
      </c>
      <c r="G245" s="39"/>
      <c r="H245" s="138">
        <f>RANK(I245,I3:I430)</f>
        <v>197</v>
      </c>
      <c r="I245" s="139">
        <f>VLOOKUP(A245,'Standard Deviations'!A1:C728,3,FALSE)</f>
        <v>-0.35582202922903905</v>
      </c>
      <c r="J245" s="139">
        <f>I245-VLOOKUP(B$2,H1:J430,2,FALSE)</f>
        <v>-5.6590776164561234</v>
      </c>
    </row>
    <row r="246" spans="1:10" ht="21.25" customHeight="1" x14ac:dyDescent="0.15">
      <c r="A246" s="8" t="s">
        <v>603</v>
      </c>
      <c r="B246" s="137" t="str">
        <f>VLOOKUP(A246,'The List'!B1:D727,3,FALSE)</f>
        <v>C</v>
      </c>
      <c r="C246" s="48">
        <f>IF(Settings!$E$15="POINTS",RANK(E246,E3:E430),H246)</f>
        <v>245</v>
      </c>
      <c r="D246" s="35" t="str">
        <f>VLOOKUP(A246,'The List'!B1:F727,5,FALSE)</f>
        <v>MTL</v>
      </c>
      <c r="E246" s="39">
        <f>VLOOKUP(A246,'The List'!B1:I727,8,FALSE)</f>
        <v>170.82031238749354</v>
      </c>
      <c r="F246" s="39">
        <f>IF(Settings!$E$15="POINTS",E246-VLOOKUP(B$2,C1:E430,3,FALSE),J246)</f>
        <v>-196.62881443719712</v>
      </c>
      <c r="G246" s="39"/>
      <c r="H246" s="138">
        <f>RANK(I246,I3:I430)</f>
        <v>318</v>
      </c>
      <c r="I246" s="139">
        <f>VLOOKUP(A246,'Standard Deviations'!A1:C728,3,FALSE)</f>
        <v>-3.0747891964383465</v>
      </c>
      <c r="J246" s="139">
        <f>I246-VLOOKUP(B$2,H1:J430,2,FALSE)</f>
        <v>-8.3780447836654304</v>
      </c>
    </row>
    <row r="247" spans="1:10" ht="21.25" customHeight="1" x14ac:dyDescent="0.15">
      <c r="A247" s="8" t="s">
        <v>444</v>
      </c>
      <c r="B247" s="137" t="str">
        <f>VLOOKUP(A247,'The List'!B1:D727,3,FALSE)</f>
        <v>LW</v>
      </c>
      <c r="C247" s="48">
        <f>IF(Settings!$E$15="POINTS",RANK(E247,E3:E430),H247)</f>
        <v>213</v>
      </c>
      <c r="D247" s="35" t="str">
        <f>VLOOKUP(A247,'The List'!B1:F727,5,FALSE)</f>
        <v>TOR</v>
      </c>
      <c r="E247" s="39">
        <f>VLOOKUP(A247,'The List'!B1:I727,8,FALSE)</f>
        <v>195.86212628286532</v>
      </c>
      <c r="F247" s="39">
        <f>IF(Settings!$E$15="POINTS",E247-VLOOKUP(B$2,C1:E430,3,FALSE),J247)</f>
        <v>-171.58700054182535</v>
      </c>
      <c r="G247" s="39"/>
      <c r="H247" s="138">
        <f>RANK(I247,I3:I430)</f>
        <v>213</v>
      </c>
      <c r="I247" s="139">
        <f>VLOOKUP(A247,'Standard Deviations'!A1:C728,3,FALSE)</f>
        <v>-0.75035737428993032</v>
      </c>
      <c r="J247" s="139">
        <f>I247-VLOOKUP(B$2,H1:J430,2,FALSE)</f>
        <v>-6.0536129615170147</v>
      </c>
    </row>
    <row r="248" spans="1:10" ht="21.25" customHeight="1" x14ac:dyDescent="0.15">
      <c r="A248" s="8" t="s">
        <v>529</v>
      </c>
      <c r="B248" s="137" t="str">
        <f>VLOOKUP(A248,'The List'!B1:D727,3,FALSE)</f>
        <v>LW</v>
      </c>
      <c r="C248" s="48">
        <f>IF(Settings!$E$15="POINTS",RANK(E248,E3:E430),H248)</f>
        <v>249</v>
      </c>
      <c r="D248" s="35" t="str">
        <f>VLOOKUP(A248,'The List'!B1:F727,5,FALSE)</f>
        <v>CGY</v>
      </c>
      <c r="E248" s="39">
        <f>VLOOKUP(A248,'The List'!B1:I727,8,FALSE)</f>
        <v>168.45185179449001</v>
      </c>
      <c r="F248" s="39">
        <f>IF(Settings!$E$15="POINTS",E248-VLOOKUP(B$2,C1:E430,3,FALSE),J248)</f>
        <v>-198.99727503020065</v>
      </c>
      <c r="G248" s="39"/>
      <c r="H248" s="138">
        <f>RANK(I248,I3:I430)</f>
        <v>231</v>
      </c>
      <c r="I248" s="139">
        <f>VLOOKUP(A248,'Standard Deviations'!A1:C728,3,FALSE)</f>
        <v>-1.1075648923637298</v>
      </c>
      <c r="J248" s="139">
        <f>I248-VLOOKUP(B$2,H1:J430,2,FALSE)</f>
        <v>-6.4108204795908144</v>
      </c>
    </row>
    <row r="249" spans="1:10" ht="21.25" customHeight="1" x14ac:dyDescent="0.15">
      <c r="A249" s="8" t="s">
        <v>492</v>
      </c>
      <c r="B249" s="137" t="str">
        <f>VLOOKUP(A249,'The List'!B1:D727,3,FALSE)</f>
        <v>RW</v>
      </c>
      <c r="C249" s="48">
        <f>IF(Settings!$E$15="POINTS",RANK(E249,E3:E430),H249)</f>
        <v>250</v>
      </c>
      <c r="D249" s="35" t="str">
        <f>VLOOKUP(A249,'The List'!B1:F727,5,FALSE)</f>
        <v>MTL</v>
      </c>
      <c r="E249" s="39">
        <f>VLOOKUP(A249,'The List'!B1:I727,8,FALSE)</f>
        <v>168.20673557663841</v>
      </c>
      <c r="F249" s="39">
        <f>IF(Settings!$E$15="POINTS",E249-VLOOKUP(B$2,C1:E430,3,FALSE),J249)</f>
        <v>-199.24239124805226</v>
      </c>
      <c r="G249" s="39"/>
      <c r="H249" s="138">
        <f>RANK(I249,I3:I430)</f>
        <v>299</v>
      </c>
      <c r="I249" s="139">
        <f>VLOOKUP(A249,'Standard Deviations'!A1:C728,3,FALSE)</f>
        <v>-2.7337320285880811</v>
      </c>
      <c r="J249" s="139">
        <f>I249-VLOOKUP(B$2,H1:J430,2,FALSE)</f>
        <v>-8.0369876158151659</v>
      </c>
    </row>
    <row r="250" spans="1:10" ht="21.25" customHeight="1" x14ac:dyDescent="0.15">
      <c r="A250" s="8" t="s">
        <v>614</v>
      </c>
      <c r="B250" s="137" t="str">
        <f>VLOOKUP(A250,'The List'!B1:D727,3,FALSE)</f>
        <v>C</v>
      </c>
      <c r="C250" s="48">
        <f>IF(Settings!$E$15="POINTS",RANK(E250,E3:E430),H250)</f>
        <v>248</v>
      </c>
      <c r="D250" s="35" t="str">
        <f>VLOOKUP(A250,'The List'!B1:F727,5,FALSE)</f>
        <v>DET</v>
      </c>
      <c r="E250" s="39">
        <f>VLOOKUP(A250,'The List'!B1:I727,8,FALSE)</f>
        <v>168.79105245814475</v>
      </c>
      <c r="F250" s="39">
        <f>IF(Settings!$E$15="POINTS",E250-VLOOKUP(B$2,C1:E430,3,FALSE),J250)</f>
        <v>-198.65807436654592</v>
      </c>
      <c r="G250" s="39"/>
      <c r="H250" s="138">
        <f>RANK(I250,I3:I430)</f>
        <v>261</v>
      </c>
      <c r="I250" s="139">
        <f>VLOOKUP(A250,'Standard Deviations'!A1:C728,3,FALSE)</f>
        <v>-1.925092812170432</v>
      </c>
      <c r="J250" s="139">
        <f>I250-VLOOKUP(B$2,H1:J430,2,FALSE)</f>
        <v>-7.2283483993975164</v>
      </c>
    </row>
    <row r="251" spans="1:10" ht="21.25" customHeight="1" x14ac:dyDescent="0.15">
      <c r="A251" s="8" t="s">
        <v>611</v>
      </c>
      <c r="B251" s="137" t="str">
        <f>VLOOKUP(A251,'The List'!B1:D727,3,FALSE)</f>
        <v>C</v>
      </c>
      <c r="C251" s="48">
        <f>IF(Settings!$E$15="POINTS",RANK(E251,E3:E430),H251)</f>
        <v>247</v>
      </c>
      <c r="D251" s="35" t="str">
        <f>VLOOKUP(A251,'The List'!B1:F727,5,FALSE)</f>
        <v>PIT</v>
      </c>
      <c r="E251" s="39">
        <f>VLOOKUP(A251,'The List'!B1:I727,8,FALSE)</f>
        <v>169.26202783088996</v>
      </c>
      <c r="F251" s="39">
        <f>IF(Settings!$E$15="POINTS",E251-VLOOKUP(B$2,C1:E430,3,FALSE),J251)</f>
        <v>-198.1870989938007</v>
      </c>
      <c r="G251" s="39"/>
      <c r="H251" s="138">
        <f>RANK(I251,I3:I430)</f>
        <v>240</v>
      </c>
      <c r="I251" s="139">
        <f>VLOOKUP(A251,'Standard Deviations'!A1:C728,3,FALSE)</f>
        <v>-1.3004879638247664</v>
      </c>
      <c r="J251" s="139">
        <f>I251-VLOOKUP(B$2,H1:J430,2,FALSE)</f>
        <v>-6.603743551051851</v>
      </c>
    </row>
    <row r="252" spans="1:10" ht="21.25" customHeight="1" x14ac:dyDescent="0.15">
      <c r="A252" s="8" t="s">
        <v>495</v>
      </c>
      <c r="B252" s="137" t="str">
        <f>VLOOKUP(A252,'The List'!B1:D727,3,FALSE)</f>
        <v>RW</v>
      </c>
      <c r="C252" s="48">
        <f>IF(Settings!$E$15="POINTS",RANK(E252,E3:E430),H252)</f>
        <v>251</v>
      </c>
      <c r="D252" s="35" t="str">
        <f>VLOOKUP(A252,'The List'!B1:F727,5,FALSE)</f>
        <v>WSH</v>
      </c>
      <c r="E252" s="39">
        <f>VLOOKUP(A252,'The List'!B1:I727,8,FALSE)</f>
        <v>167.13321142604235</v>
      </c>
      <c r="F252" s="39">
        <f>IF(Settings!$E$15="POINTS",E252-VLOOKUP(B$2,C1:E430,3,FALSE),J252)</f>
        <v>-200.31591539864831</v>
      </c>
      <c r="G252" s="39"/>
      <c r="H252" s="138">
        <f>RANK(I252,I3:I430)</f>
        <v>278</v>
      </c>
      <c r="I252" s="139">
        <f>VLOOKUP(A252,'Standard Deviations'!A1:C728,3,FALSE)</f>
        <v>-2.390603608880042</v>
      </c>
      <c r="J252" s="139">
        <f>I252-VLOOKUP(B$2,H1:J430,2,FALSE)</f>
        <v>-7.6938591961071268</v>
      </c>
    </row>
    <row r="253" spans="1:10" ht="21.25" customHeight="1" x14ac:dyDescent="0.15">
      <c r="A253" s="8" t="s">
        <v>540</v>
      </c>
      <c r="B253" s="137" t="str">
        <f>VLOOKUP(A253,'The List'!B1:D727,3,FALSE)</f>
        <v>LW</v>
      </c>
      <c r="C253" s="48">
        <f>IF(Settings!$E$15="POINTS",RANK(E253,E3:E430),H253)</f>
        <v>253</v>
      </c>
      <c r="D253" s="35" t="str">
        <f>VLOOKUP(A253,'The List'!B1:F727,5,FALSE)</f>
        <v>ARI</v>
      </c>
      <c r="E253" s="39">
        <f>VLOOKUP(A253,'The List'!B1:I727,8,FALSE)</f>
        <v>165.18647464674402</v>
      </c>
      <c r="F253" s="39">
        <f>IF(Settings!$E$15="POINTS",E253-VLOOKUP(B$2,C1:E430,3,FALSE),J253)</f>
        <v>-202.26265217794665</v>
      </c>
      <c r="G253" s="39"/>
      <c r="H253" s="138">
        <f>RANK(I253,I3:I430)</f>
        <v>287</v>
      </c>
      <c r="I253" s="139">
        <f>VLOOKUP(A253,'Standard Deviations'!A1:C728,3,FALSE)</f>
        <v>-2.5481428254836258</v>
      </c>
      <c r="J253" s="139">
        <f>I253-VLOOKUP(B$2,H1:J430,2,FALSE)</f>
        <v>-7.8513984127107106</v>
      </c>
    </row>
    <row r="254" spans="1:10" ht="21.25" customHeight="1" x14ac:dyDescent="0.15">
      <c r="A254" s="8" t="s">
        <v>538</v>
      </c>
      <c r="B254" s="137" t="str">
        <f>VLOOKUP(A254,'The List'!B1:D727,3,FALSE)</f>
        <v>LW</v>
      </c>
      <c r="C254" s="48">
        <f>IF(Settings!$E$15="POINTS",RANK(E254,E3:E430),H254)</f>
        <v>252</v>
      </c>
      <c r="D254" s="35" t="str">
        <f>VLOOKUP(A254,'The List'!B1:F727,5,FALSE)</f>
        <v>VGK</v>
      </c>
      <c r="E254" s="39">
        <f>VLOOKUP(A254,'The List'!B1:I727,8,FALSE)</f>
        <v>165.27101494532678</v>
      </c>
      <c r="F254" s="39">
        <f>IF(Settings!$E$15="POINTS",E254-VLOOKUP(B$2,C1:E430,3,FALSE),J254)</f>
        <v>-202.17811187936388</v>
      </c>
      <c r="G254" s="39"/>
      <c r="H254" s="138">
        <f>RANK(I254,I3:I430)</f>
        <v>192</v>
      </c>
      <c r="I254" s="139">
        <f>VLOOKUP(A254,'Standard Deviations'!A1:C728,3,FALSE)</f>
        <v>-0.29417224824283816</v>
      </c>
      <c r="J254" s="139">
        <f>I254-VLOOKUP(B$2,H1:J430,2,FALSE)</f>
        <v>-5.5974278354699232</v>
      </c>
    </row>
    <row r="255" spans="1:10" ht="21.25" customHeight="1" x14ac:dyDescent="0.15">
      <c r="A255" s="8" t="s">
        <v>608</v>
      </c>
      <c r="B255" s="137" t="str">
        <f>VLOOKUP(A255,'The List'!B1:D727,3,FALSE)</f>
        <v>C</v>
      </c>
      <c r="C255" s="48">
        <f>IF(Settings!$E$15="POINTS",RANK(E255,E3:E430),H255)</f>
        <v>246</v>
      </c>
      <c r="D255" s="35" t="str">
        <f>VLOOKUP(A255,'The List'!B1:F727,5,FALSE)</f>
        <v>TOR</v>
      </c>
      <c r="E255" s="39">
        <f>VLOOKUP(A255,'The List'!B1:I727,8,FALSE)</f>
        <v>169.48578396480016</v>
      </c>
      <c r="F255" s="39">
        <f>IF(Settings!$E$15="POINTS",E255-VLOOKUP(B$2,C1:E430,3,FALSE),J255)</f>
        <v>-197.9633428598905</v>
      </c>
      <c r="G255" s="39"/>
      <c r="H255" s="138">
        <f>RANK(I255,I3:I430)</f>
        <v>220</v>
      </c>
      <c r="I255" s="139">
        <f>VLOOKUP(A255,'Standard Deviations'!A1:C728,3,FALSE)</f>
        <v>-0.91620521006684918</v>
      </c>
      <c r="J255" s="139">
        <f>I255-VLOOKUP(B$2,H1:J430,2,FALSE)</f>
        <v>-6.2194607972939338</v>
      </c>
    </row>
    <row r="256" spans="1:10" ht="21.25" customHeight="1" x14ac:dyDescent="0.15">
      <c r="A256" s="8" t="s">
        <v>543</v>
      </c>
      <c r="B256" s="137" t="str">
        <f>VLOOKUP(A256,'The List'!B1:D727,3,FALSE)</f>
        <v>LW</v>
      </c>
      <c r="C256" s="48">
        <f>IF(Settings!$E$15="POINTS",RANK(E256,E3:E430),H256)</f>
        <v>254</v>
      </c>
      <c r="D256" s="35" t="str">
        <f>VLOOKUP(A256,'The List'!B1:F727,5,FALSE)</f>
        <v>VGK</v>
      </c>
      <c r="E256" s="39">
        <f>VLOOKUP(A256,'The List'!B1:I727,8,FALSE)</f>
        <v>164.65796048351729</v>
      </c>
      <c r="F256" s="39">
        <f>IF(Settings!$E$15="POINTS",E256-VLOOKUP(B$2,C1:E430,3,FALSE),J256)</f>
        <v>-202.79116634117338</v>
      </c>
      <c r="G256" s="39"/>
      <c r="H256" s="138">
        <f>RANK(I256,I3:I430)</f>
        <v>205</v>
      </c>
      <c r="I256" s="139">
        <f>VLOOKUP(A256,'Standard Deviations'!A1:C728,3,FALSE)</f>
        <v>-0.61627049330401396</v>
      </c>
      <c r="J256" s="139">
        <f>I256-VLOOKUP(B$2,H1:J430,2,FALSE)</f>
        <v>-5.9195260805310985</v>
      </c>
    </row>
    <row r="257" spans="1:10" ht="21.25" customHeight="1" x14ac:dyDescent="0.15">
      <c r="A257" s="8" t="s">
        <v>512</v>
      </c>
      <c r="B257" s="137" t="str">
        <f>VLOOKUP(A257,'The List'!B1:D727,3,FALSE)</f>
        <v>RW</v>
      </c>
      <c r="C257" s="48">
        <f>IF(Settings!$E$15="POINTS",RANK(E257,E3:E430),H257)</f>
        <v>255</v>
      </c>
      <c r="D257" s="35" t="str">
        <f>VLOOKUP(A257,'The List'!B1:F727,5,FALSE)</f>
        <v>NYI</v>
      </c>
      <c r="E257" s="39">
        <f>VLOOKUP(A257,'The List'!B1:I727,8,FALSE)</f>
        <v>161.68179429963678</v>
      </c>
      <c r="F257" s="39">
        <f>IF(Settings!$E$15="POINTS",E257-VLOOKUP(B$2,C1:E430,3,FALSE),J257)</f>
        <v>-205.76733252505389</v>
      </c>
      <c r="G257" s="39"/>
      <c r="H257" s="138">
        <f>RANK(I257,I3:I430)</f>
        <v>245</v>
      </c>
      <c r="I257" s="139">
        <f>VLOOKUP(A257,'Standard Deviations'!A1:C728,3,FALSE)</f>
        <v>-1.5674070520509975</v>
      </c>
      <c r="J257" s="139">
        <f>I257-VLOOKUP(B$2,H1:J430,2,FALSE)</f>
        <v>-6.8706626392780823</v>
      </c>
    </row>
    <row r="258" spans="1:10" ht="21.25" customHeight="1" x14ac:dyDescent="0.15">
      <c r="A258" s="8" t="s">
        <v>642</v>
      </c>
      <c r="B258" s="137" t="str">
        <f>VLOOKUP(A258,'The List'!B1:D727,3,FALSE)</f>
        <v>C</v>
      </c>
      <c r="C258" s="48">
        <f>IF(Settings!$E$15="POINTS",RANK(E258,E3:E430),H258)</f>
        <v>257</v>
      </c>
      <c r="D258" s="35" t="str">
        <f>VLOOKUP(A258,'The List'!B1:F727,5,FALSE)</f>
        <v>SJS</v>
      </c>
      <c r="E258" s="39">
        <f>VLOOKUP(A258,'The List'!B1:I727,8,FALSE)</f>
        <v>161.39698489049658</v>
      </c>
      <c r="F258" s="39">
        <f>IF(Settings!$E$15="POINTS",E258-VLOOKUP(B$2,C1:E430,3,FALSE),J258)</f>
        <v>-206.05214193419408</v>
      </c>
      <c r="G258" s="39"/>
      <c r="H258" s="138">
        <f>RANK(I258,I3:I430)</f>
        <v>249</v>
      </c>
      <c r="I258" s="139">
        <f>VLOOKUP(A258,'Standard Deviations'!A1:C728,3,FALSE)</f>
        <v>-1.6767101652348191</v>
      </c>
      <c r="J258" s="139">
        <f>I258-VLOOKUP(B$2,H1:J430,2,FALSE)</f>
        <v>-6.9799657524619043</v>
      </c>
    </row>
    <row r="259" spans="1:10" ht="21.25" customHeight="1" x14ac:dyDescent="0.15">
      <c r="A259" s="8" t="s">
        <v>648</v>
      </c>
      <c r="B259" s="137" t="str">
        <f>VLOOKUP(A259,'The List'!B1:D727,3,FALSE)</f>
        <v>C</v>
      </c>
      <c r="C259" s="48">
        <f>IF(Settings!$E$15="POINTS",RANK(E259,E3:E430),H259)</f>
        <v>260</v>
      </c>
      <c r="D259" s="35" t="str">
        <f>VLOOKUP(A259,'The List'!B1:F727,5,FALSE)</f>
        <v>SEA</v>
      </c>
      <c r="E259" s="39">
        <f>VLOOKUP(A259,'The List'!B1:I727,8,FALSE)</f>
        <v>159.48378687977697</v>
      </c>
      <c r="F259" s="39">
        <f>IF(Settings!$E$15="POINTS",E259-VLOOKUP(B$2,C1:E430,3,FALSE),J259)</f>
        <v>-207.96533994491369</v>
      </c>
      <c r="G259" s="39"/>
      <c r="H259" s="138">
        <f>RANK(I259,I3:I430)</f>
        <v>262</v>
      </c>
      <c r="I259" s="139">
        <f>VLOOKUP(A259,'Standard Deviations'!A1:C728,3,FALSE)</f>
        <v>-2.0046933584710267</v>
      </c>
      <c r="J259" s="139">
        <f>I259-VLOOKUP(B$2,H1:J430,2,FALSE)</f>
        <v>-7.3079489456981115</v>
      </c>
    </row>
    <row r="260" spans="1:10" ht="21.25" customHeight="1" x14ac:dyDescent="0.15">
      <c r="A260" s="8" t="s">
        <v>649</v>
      </c>
      <c r="B260" s="137" t="str">
        <f>VLOOKUP(A260,'The List'!B1:D727,3,FALSE)</f>
        <v>C</v>
      </c>
      <c r="C260" s="48">
        <f>IF(Settings!$E$15="POINTS",RANK(E260,E3:E430),H260)</f>
        <v>261</v>
      </c>
      <c r="D260" s="35" t="str">
        <f>VLOOKUP(A260,'The List'!B1:F727,5,FALSE)</f>
        <v>OTT</v>
      </c>
      <c r="E260" s="39">
        <f>VLOOKUP(A260,'The List'!B1:I727,8,FALSE)</f>
        <v>159.46887243296703</v>
      </c>
      <c r="F260" s="39">
        <f>IF(Settings!$E$15="POINTS",E260-VLOOKUP(B$2,C1:E430,3,FALSE),J260)</f>
        <v>-207.98025439172363</v>
      </c>
      <c r="G260" s="39"/>
      <c r="H260" s="138">
        <f>RANK(I260,I3:I430)</f>
        <v>257</v>
      </c>
      <c r="I260" s="139">
        <f>VLOOKUP(A260,'Standard Deviations'!A1:C728,3,FALSE)</f>
        <v>-1.885220363348185</v>
      </c>
      <c r="J260" s="139">
        <f>I260-VLOOKUP(B$2,H1:J430,2,FALSE)</f>
        <v>-7.1884759505752696</v>
      </c>
    </row>
    <row r="261" spans="1:10" ht="21.25" customHeight="1" x14ac:dyDescent="0.15">
      <c r="A261" s="8" t="s">
        <v>561</v>
      </c>
      <c r="B261" s="137" t="str">
        <f>VLOOKUP(A261,'The List'!B1:D727,3,FALSE)</f>
        <v>LW</v>
      </c>
      <c r="C261" s="48">
        <f>IF(Settings!$E$15="POINTS",RANK(E261,E3:E430),H261)</f>
        <v>262</v>
      </c>
      <c r="D261" s="35" t="str">
        <f>VLOOKUP(A261,'The List'!B1:F727,5,FALSE)</f>
        <v>EDM</v>
      </c>
      <c r="E261" s="39">
        <f>VLOOKUP(A261,'The List'!B1:I727,8,FALSE)</f>
        <v>159.41518750893826</v>
      </c>
      <c r="F261" s="39">
        <f>IF(Settings!$E$15="POINTS",E261-VLOOKUP(B$2,C1:E430,3,FALSE),J261)</f>
        <v>-208.03393931575241</v>
      </c>
      <c r="G261" s="39"/>
      <c r="H261" s="138">
        <f>RANK(I261,I3:I430)</f>
        <v>214</v>
      </c>
      <c r="I261" s="139">
        <f>VLOOKUP(A261,'Standard Deviations'!A1:C728,3,FALSE)</f>
        <v>-0.76762457768099424</v>
      </c>
      <c r="J261" s="139">
        <f>I261-VLOOKUP(B$2,H1:J430,2,FALSE)</f>
        <v>-6.070880164908079</v>
      </c>
    </row>
    <row r="262" spans="1:10" ht="21.25" customHeight="1" x14ac:dyDescent="0.15">
      <c r="A262" s="8" t="s">
        <v>560</v>
      </c>
      <c r="B262" s="137" t="str">
        <f>VLOOKUP(A262,'The List'!B1:D727,3,FALSE)</f>
        <v>LW</v>
      </c>
      <c r="C262" s="48">
        <f>IF(Settings!$E$15="POINTS",RANK(E262,E3:E430),H262)</f>
        <v>259</v>
      </c>
      <c r="D262" s="35" t="str">
        <f>VLOOKUP(A262,'The List'!B1:F727,5,FALSE)</f>
        <v>CAR</v>
      </c>
      <c r="E262" s="39">
        <f>VLOOKUP(A262,'The List'!B1:I727,8,FALSE)</f>
        <v>159.54785816106269</v>
      </c>
      <c r="F262" s="39">
        <f>IF(Settings!$E$15="POINTS",E262-VLOOKUP(B$2,C1:E430,3,FALSE),J262)</f>
        <v>-207.90126866362797</v>
      </c>
      <c r="G262" s="39"/>
      <c r="H262" s="138">
        <f>RANK(I262,I3:I430)</f>
        <v>208</v>
      </c>
      <c r="I262" s="139">
        <f>VLOOKUP(A262,'Standard Deviations'!A1:C728,3,FALSE)</f>
        <v>-0.67415441502697182</v>
      </c>
      <c r="J262" s="139">
        <f>I262-VLOOKUP(B$2,H1:J430,2,FALSE)</f>
        <v>-5.9774100022540564</v>
      </c>
    </row>
    <row r="263" spans="1:10" ht="21.25" customHeight="1" x14ac:dyDescent="0.15">
      <c r="A263" s="8" t="s">
        <v>651</v>
      </c>
      <c r="B263" s="137" t="str">
        <f>VLOOKUP(A263,'The List'!B1:D727,3,FALSE)</f>
        <v>C</v>
      </c>
      <c r="C263" s="48">
        <f>IF(Settings!$E$15="POINTS",RANK(E263,E3:E430),H263)</f>
        <v>263</v>
      </c>
      <c r="D263" s="35" t="str">
        <f>VLOOKUP(A263,'The List'!B1:F727,5,FALSE)</f>
        <v>CAR</v>
      </c>
      <c r="E263" s="39">
        <f>VLOOKUP(A263,'The List'!B1:I727,8,FALSE)</f>
        <v>159.16209032517074</v>
      </c>
      <c r="F263" s="39">
        <f>IF(Settings!$E$15="POINTS",E263-VLOOKUP(B$2,C1:E430,3,FALSE),J263)</f>
        <v>-208.28703649951993</v>
      </c>
      <c r="G263" s="39"/>
      <c r="H263" s="138">
        <f>RANK(I263,I3:I430)</f>
        <v>193</v>
      </c>
      <c r="I263" s="139">
        <f>VLOOKUP(A263,'Standard Deviations'!A1:C728,3,FALSE)</f>
        <v>-0.32143919620416161</v>
      </c>
      <c r="J263" s="139">
        <f>I263-VLOOKUP(B$2,H1:J430,2,FALSE)</f>
        <v>-5.6246947834312468</v>
      </c>
    </row>
    <row r="264" spans="1:10" ht="21.25" customHeight="1" x14ac:dyDescent="0.15">
      <c r="A264" s="8" t="s">
        <v>652</v>
      </c>
      <c r="B264" s="137" t="str">
        <f>VLOOKUP(A264,'The List'!B1:D727,3,FALSE)</f>
        <v>C</v>
      </c>
      <c r="C264" s="48">
        <f>IF(Settings!$E$15="POINTS",RANK(E264,E3:E430),H264)</f>
        <v>264</v>
      </c>
      <c r="D264" s="35" t="str">
        <f>VLOOKUP(A264,'The List'!B1:F727,5,FALSE)</f>
        <v>CBJ</v>
      </c>
      <c r="E264" s="39">
        <f>VLOOKUP(A264,'The List'!B1:I727,8,FALSE)</f>
        <v>158.82461443652309</v>
      </c>
      <c r="F264" s="39">
        <f>IF(Settings!$E$15="POINTS",E264-VLOOKUP(B$2,C1:E430,3,FALSE),J264)</f>
        <v>-208.62451238816757</v>
      </c>
      <c r="G264" s="39"/>
      <c r="H264" s="138">
        <f>RANK(I264,I3:I430)</f>
        <v>341</v>
      </c>
      <c r="I264" s="139">
        <f>VLOOKUP(A264,'Standard Deviations'!A1:C728,3,FALSE)</f>
        <v>-3.5874410021348364</v>
      </c>
      <c r="J264" s="139">
        <f>I264-VLOOKUP(B$2,H1:J430,2,FALSE)</f>
        <v>-8.8906965893619212</v>
      </c>
    </row>
    <row r="265" spans="1:10" ht="21.25" customHeight="1" x14ac:dyDescent="0.15">
      <c r="A265" s="8" t="s">
        <v>570</v>
      </c>
      <c r="B265" s="137" t="str">
        <f>VLOOKUP(A265,'The List'!B1:D727,3,FALSE)</f>
        <v>LW</v>
      </c>
      <c r="C265" s="48">
        <f>IF(Settings!$E$15="POINTS",RANK(E265,E3:E430),H265)</f>
        <v>266</v>
      </c>
      <c r="D265" s="35" t="str">
        <f>VLOOKUP(A265,'The List'!B1:F727,5,FALSE)</f>
        <v>COL</v>
      </c>
      <c r="E265" s="39">
        <f>VLOOKUP(A265,'The List'!B1:I727,8,FALSE)</f>
        <v>156.89712808316361</v>
      </c>
      <c r="F265" s="39">
        <f>IF(Settings!$E$15="POINTS",E265-VLOOKUP(B$2,C1:E430,3,FALSE),J265)</f>
        <v>-210.55199874152706</v>
      </c>
      <c r="G265" s="39"/>
      <c r="H265" s="138">
        <f>RANK(I265,I3:I430)</f>
        <v>246</v>
      </c>
      <c r="I265" s="139">
        <f>VLOOKUP(A265,'Standard Deviations'!A1:C728,3,FALSE)</f>
        <v>-1.615388895521471</v>
      </c>
      <c r="J265" s="139">
        <f>I265-VLOOKUP(B$2,H1:J430,2,FALSE)</f>
        <v>-6.9186444827485563</v>
      </c>
    </row>
    <row r="266" spans="1:10" ht="21.25" customHeight="1" x14ac:dyDescent="0.15">
      <c r="A266" s="8" t="s">
        <v>646</v>
      </c>
      <c r="B266" s="137" t="str">
        <f>VLOOKUP(A266,'The List'!B1:D727,3,FALSE)</f>
        <v>C</v>
      </c>
      <c r="C266" s="48">
        <f>IF(Settings!$E$15="POINTS",RANK(E266,E3:E430),H266)</f>
        <v>258</v>
      </c>
      <c r="D266" s="35" t="str">
        <f>VLOOKUP(A266,'The List'!B1:F727,5,FALSE)</f>
        <v>UFA</v>
      </c>
      <c r="E266" s="39">
        <f>VLOOKUP(A266,'The List'!B1:I727,8,FALSE)</f>
        <v>159.78714799506324</v>
      </c>
      <c r="F266" s="39">
        <f>IF(Settings!$E$15="POINTS",E266-VLOOKUP(B$2,C1:E430,3,FALSE),J266)</f>
        <v>-207.66197882962743</v>
      </c>
      <c r="G266" s="39"/>
      <c r="H266" s="138">
        <f>RANK(I266,I3:I430)</f>
        <v>254</v>
      </c>
      <c r="I266" s="139">
        <f>VLOOKUP(A266,'Standard Deviations'!A1:C728,3,FALSE)</f>
        <v>-1.8653129545641527</v>
      </c>
      <c r="J266" s="139">
        <f>I266-VLOOKUP(B$2,H1:J430,2,FALSE)</f>
        <v>-7.1685685417912373</v>
      </c>
    </row>
    <row r="267" spans="1:10" ht="21.25" customHeight="1" x14ac:dyDescent="0.15">
      <c r="A267" s="8" t="s">
        <v>573</v>
      </c>
      <c r="B267" s="137" t="str">
        <f>VLOOKUP(A267,'The List'!B1:D727,3,FALSE)</f>
        <v>LW</v>
      </c>
      <c r="C267" s="48">
        <f>IF(Settings!$E$15="POINTS",RANK(E267,E3:E430),H267)</f>
        <v>267</v>
      </c>
      <c r="D267" s="35" t="str">
        <f>VLOOKUP(A267,'The List'!B1:F727,5,FALSE)</f>
        <v>COL</v>
      </c>
      <c r="E267" s="39">
        <f>VLOOKUP(A267,'The List'!B1:I727,8,FALSE)</f>
        <v>155.97352016337015</v>
      </c>
      <c r="F267" s="39">
        <f>IF(Settings!$E$15="POINTS",E267-VLOOKUP(B$2,C1:E430,3,FALSE),J267)</f>
        <v>-211.47560666132051</v>
      </c>
      <c r="G267" s="39"/>
      <c r="H267" s="138">
        <f>RANK(I267,I3:I430)</f>
        <v>250</v>
      </c>
      <c r="I267" s="139">
        <f>VLOOKUP(A267,'Standard Deviations'!A1:C728,3,FALSE)</f>
        <v>-1.6983282717970676</v>
      </c>
      <c r="J267" s="139">
        <f>I267-VLOOKUP(B$2,H1:J430,2,FALSE)</f>
        <v>-7.0015838590241524</v>
      </c>
    </row>
    <row r="268" spans="1:10" ht="21.25" customHeight="1" x14ac:dyDescent="0.15">
      <c r="A268" s="8" t="s">
        <v>640</v>
      </c>
      <c r="B268" s="137" t="str">
        <f>VLOOKUP(A268,'The List'!B1:D727,3,FALSE)</f>
        <v>C</v>
      </c>
      <c r="C268" s="48">
        <f>IF(Settings!$E$15="POINTS",RANK(E268,E3:E430),H268)</f>
        <v>256</v>
      </c>
      <c r="D268" s="35" t="str">
        <f>VLOOKUP(A268,'The List'!B1:F727,5,FALSE)</f>
        <v>WPG</v>
      </c>
      <c r="E268" s="39">
        <f>VLOOKUP(A268,'The List'!B1:I727,8,FALSE)</f>
        <v>161.64994015045767</v>
      </c>
      <c r="F268" s="39">
        <f>IF(Settings!$E$15="POINTS",E268-VLOOKUP(B$2,C1:E430,3,FALSE),J268)</f>
        <v>-205.799186674233</v>
      </c>
      <c r="G268" s="39"/>
      <c r="H268" s="138">
        <f>RANK(I268,I3:I430)</f>
        <v>248</v>
      </c>
      <c r="I268" s="139">
        <f>VLOOKUP(A268,'Standard Deviations'!A1:C728,3,FALSE)</f>
        <v>-1.6462456270560568</v>
      </c>
      <c r="J268" s="139">
        <f>I268-VLOOKUP(B$2,H1:J430,2,FALSE)</f>
        <v>-6.949501214283142</v>
      </c>
    </row>
    <row r="269" spans="1:10" ht="21.25" customHeight="1" x14ac:dyDescent="0.15">
      <c r="A269" s="8" t="s">
        <v>665</v>
      </c>
      <c r="B269" s="137" t="str">
        <f>VLOOKUP(A269,'The List'!B1:D727,3,FALSE)</f>
        <v>C</v>
      </c>
      <c r="C269" s="48">
        <f>IF(Settings!$E$15="POINTS",RANK(E269,E3:E430),H269)</f>
        <v>268</v>
      </c>
      <c r="D269" s="35" t="str">
        <f>VLOOKUP(A269,'The List'!B1:F727,5,FALSE)</f>
        <v>TBL</v>
      </c>
      <c r="E269" s="39">
        <f>VLOOKUP(A269,'The List'!B1:I727,8,FALSE)</f>
        <v>154.44143672735058</v>
      </c>
      <c r="F269" s="39">
        <f>IF(Settings!$E$15="POINTS",E269-VLOOKUP(B$2,C1:E430,3,FALSE),J269)</f>
        <v>-213.00769009734009</v>
      </c>
      <c r="G269" s="39"/>
      <c r="H269" s="138">
        <f>RANK(I269,I3:I430)</f>
        <v>264</v>
      </c>
      <c r="I269" s="139">
        <f>VLOOKUP(A269,'Standard Deviations'!A1:C728,3,FALSE)</f>
        <v>-2.0391252041470653</v>
      </c>
      <c r="J269" s="139">
        <f>I269-VLOOKUP(B$2,H1:J430,2,FALSE)</f>
        <v>-7.3423807913741506</v>
      </c>
    </row>
    <row r="270" spans="1:10" ht="21.25" customHeight="1" x14ac:dyDescent="0.15">
      <c r="A270" s="8" t="s">
        <v>657</v>
      </c>
      <c r="B270" s="137" t="str">
        <f>VLOOKUP(A270,'The List'!B1:D727,3,FALSE)</f>
        <v>C</v>
      </c>
      <c r="C270" s="48">
        <f>IF(Settings!$E$15="POINTS",RANK(E270,E3:E430),H270)</f>
        <v>265</v>
      </c>
      <c r="D270" s="35" t="str">
        <f>VLOOKUP(A270,'The List'!B1:F727,5,FALSE)</f>
        <v>NSH</v>
      </c>
      <c r="E270" s="39">
        <f>VLOOKUP(A270,'The List'!B1:I727,8,FALSE)</f>
        <v>157.00202407955777</v>
      </c>
      <c r="F270" s="39">
        <f>IF(Settings!$E$15="POINTS",E270-VLOOKUP(B$2,C1:E430,3,FALSE),J270)</f>
        <v>-210.4471027451329</v>
      </c>
      <c r="G270" s="39"/>
      <c r="H270" s="138">
        <f>RANK(I270,I3:I430)</f>
        <v>291</v>
      </c>
      <c r="I270" s="139">
        <f>VLOOKUP(A270,'Standard Deviations'!A1:C728,3,FALSE)</f>
        <v>-2.593182536813178</v>
      </c>
      <c r="J270" s="139">
        <f>I270-VLOOKUP(B$2,H1:J430,2,FALSE)</f>
        <v>-7.8964381240402624</v>
      </c>
    </row>
    <row r="271" spans="1:10" ht="21.25" customHeight="1" x14ac:dyDescent="0.15">
      <c r="A271" s="8" t="s">
        <v>530</v>
      </c>
      <c r="B271" s="137" t="str">
        <f>VLOOKUP(A271,'The List'!B1:D727,3,FALSE)</f>
        <v>RW</v>
      </c>
      <c r="C271" s="48">
        <f>IF(Settings!$E$15="POINTS",RANK(E271,E3:E430),H271)</f>
        <v>270</v>
      </c>
      <c r="D271" s="35" t="str">
        <f>VLOOKUP(A271,'The List'!B1:F727,5,FALSE)</f>
        <v>LAK</v>
      </c>
      <c r="E271" s="39">
        <f>VLOOKUP(A271,'The List'!B1:I727,8,FALSE)</f>
        <v>154.01067976785777</v>
      </c>
      <c r="F271" s="39">
        <f>IF(Settings!$E$15="POINTS",E271-VLOOKUP(B$2,C1:E430,3,FALSE),J271)</f>
        <v>-213.4384470568329</v>
      </c>
      <c r="G271" s="39"/>
      <c r="H271" s="138">
        <f>RANK(I271,I3:I430)</f>
        <v>269</v>
      </c>
      <c r="I271" s="139">
        <f>VLOOKUP(A271,'Standard Deviations'!A1:C728,3,FALSE)</f>
        <v>-2.2078761851170863</v>
      </c>
      <c r="J271" s="139">
        <f>I271-VLOOKUP(B$2,H1:J430,2,FALSE)</f>
        <v>-7.5111317723441715</v>
      </c>
    </row>
    <row r="272" spans="1:10" ht="21.25" customHeight="1" x14ac:dyDescent="0.15">
      <c r="A272" s="8" t="s">
        <v>675</v>
      </c>
      <c r="B272" s="137" t="str">
        <f>VLOOKUP(A272,'The List'!B1:D727,3,FALSE)</f>
        <v>C</v>
      </c>
      <c r="C272" s="48">
        <f>IF(Settings!$E$15="POINTS",RANK(E272,E3:E430),H272)</f>
        <v>272</v>
      </c>
      <c r="D272" s="35" t="str">
        <f>VLOOKUP(A272,'The List'!B1:F727,5,FALSE)</f>
        <v>UFA</v>
      </c>
      <c r="E272" s="39">
        <f>VLOOKUP(A272,'The List'!B1:I727,8,FALSE)</f>
        <v>152.02173061794485</v>
      </c>
      <c r="F272" s="39">
        <f>IF(Settings!$E$15="POINTS",E272-VLOOKUP(B$2,C1:E430,3,FALSE),J272)</f>
        <v>-215.42739620674581</v>
      </c>
      <c r="G272" s="39"/>
      <c r="H272" s="138">
        <f>RANK(I272,I3:I430)</f>
        <v>292</v>
      </c>
      <c r="I272" s="139">
        <f>VLOOKUP(A272,'Standard Deviations'!A1:C728,3,FALSE)</f>
        <v>-2.6402565325797043</v>
      </c>
      <c r="J272" s="139">
        <f>I272-VLOOKUP(B$2,H1:J430,2,FALSE)</f>
        <v>-7.9435121198067886</v>
      </c>
    </row>
    <row r="273" spans="1:10" ht="21.25" customHeight="1" x14ac:dyDescent="0.15">
      <c r="A273" s="8" t="s">
        <v>679</v>
      </c>
      <c r="B273" s="137" t="str">
        <f>VLOOKUP(A273,'The List'!B1:D727,3,FALSE)</f>
        <v>C</v>
      </c>
      <c r="C273" s="48">
        <f>IF(Settings!$E$15="POINTS",RANK(E273,E3:E430),H273)</f>
        <v>273</v>
      </c>
      <c r="D273" s="35" t="str">
        <f>VLOOKUP(A273,'The List'!B1:F727,5,FALSE)</f>
        <v>BOS</v>
      </c>
      <c r="E273" s="39">
        <f>VLOOKUP(A273,'The List'!B1:I727,8,FALSE)</f>
        <v>151.30695946571737</v>
      </c>
      <c r="F273" s="39">
        <f>IF(Settings!$E$15="POINTS",E273-VLOOKUP(B$2,C1:E430,3,FALSE),J273)</f>
        <v>-216.1421673589733</v>
      </c>
      <c r="G273" s="39"/>
      <c r="H273" s="138">
        <f>RANK(I273,I3:I430)</f>
        <v>223</v>
      </c>
      <c r="I273" s="139">
        <f>VLOOKUP(A273,'Standard Deviations'!A1:C728,3,FALSE)</f>
        <v>-0.9773984272367493</v>
      </c>
      <c r="J273" s="139">
        <f>I273-VLOOKUP(B$2,H1:J430,2,FALSE)</f>
        <v>-6.2806540144638339</v>
      </c>
    </row>
    <row r="274" spans="1:10" ht="21.25" customHeight="1" x14ac:dyDescent="0.15">
      <c r="A274" s="8" t="s">
        <v>668</v>
      </c>
      <c r="B274" s="137" t="str">
        <f>VLOOKUP(A274,'The List'!B1:D727,3,FALSE)</f>
        <v>C</v>
      </c>
      <c r="C274" s="48">
        <f>IF(Settings!$E$15="POINTS",RANK(E274,E3:E430),H274)</f>
        <v>269</v>
      </c>
      <c r="D274" s="35" t="str">
        <f>VLOOKUP(A274,'The List'!B1:F727,5,FALSE)</f>
        <v>EDM</v>
      </c>
      <c r="E274" s="39">
        <f>VLOOKUP(A274,'The List'!B1:I727,8,FALSE)</f>
        <v>154.07120460853051</v>
      </c>
      <c r="F274" s="39">
        <f>IF(Settings!$E$15="POINTS",E274-VLOOKUP(B$2,C1:E430,3,FALSE),J274)</f>
        <v>-213.37792221616016</v>
      </c>
      <c r="G274" s="39"/>
      <c r="H274" s="138">
        <f>RANK(I274,I3:I430)</f>
        <v>235</v>
      </c>
      <c r="I274" s="139">
        <f>VLOOKUP(A274,'Standard Deviations'!A1:C728,3,FALSE)</f>
        <v>-1.1671929846546041</v>
      </c>
      <c r="J274" s="139">
        <f>I274-VLOOKUP(B$2,H1:J430,2,FALSE)</f>
        <v>-6.4704485718816889</v>
      </c>
    </row>
    <row r="275" spans="1:10" ht="21.25" customHeight="1" x14ac:dyDescent="0.15">
      <c r="A275" s="8" t="s">
        <v>589</v>
      </c>
      <c r="B275" s="137" t="str">
        <f>VLOOKUP(A275,'The List'!B1:D727,3,FALSE)</f>
        <v>LW</v>
      </c>
      <c r="C275" s="48">
        <f>IF(Settings!$E$15="POINTS",RANK(E275,E3:E430),H275)</f>
        <v>276</v>
      </c>
      <c r="D275" s="35" t="str">
        <f>VLOOKUP(A275,'The List'!B1:F727,5,FALSE)</f>
        <v>DET</v>
      </c>
      <c r="E275" s="39">
        <f>VLOOKUP(A275,'The List'!B1:I727,8,FALSE)</f>
        <v>149.81195415406069</v>
      </c>
      <c r="F275" s="39">
        <f>IF(Settings!$E$15="POINTS",E275-VLOOKUP(B$2,C1:E430,3,FALSE),J275)</f>
        <v>-217.63717267062998</v>
      </c>
      <c r="G275" s="39"/>
      <c r="H275" s="138">
        <f>RANK(I275,I3:I430)</f>
        <v>304</v>
      </c>
      <c r="I275" s="139">
        <f>VLOOKUP(A275,'Standard Deviations'!A1:C728,3,FALSE)</f>
        <v>-2.8312855887641852</v>
      </c>
      <c r="J275" s="139">
        <f>I275-VLOOKUP(B$2,H1:J430,2,FALSE)</f>
        <v>-8.13454117599127</v>
      </c>
    </row>
    <row r="276" spans="1:10" ht="21.25" customHeight="1" x14ac:dyDescent="0.15">
      <c r="A276" s="8" t="s">
        <v>544</v>
      </c>
      <c r="B276" s="137" t="str">
        <f>VLOOKUP(A276,'The List'!B1:D727,3,FALSE)</f>
        <v>RW</v>
      </c>
      <c r="C276" s="48">
        <f>IF(Settings!$E$15="POINTS",RANK(E276,E3:E430),H276)</f>
        <v>275</v>
      </c>
      <c r="D276" s="35" t="str">
        <f>VLOOKUP(A276,'The List'!B1:F727,5,FALSE)</f>
        <v>ANA</v>
      </c>
      <c r="E276" s="39">
        <f>VLOOKUP(A276,'The List'!B1:I727,8,FALSE)</f>
        <v>150.41430114863792</v>
      </c>
      <c r="F276" s="39">
        <f>IF(Settings!$E$15="POINTS",E276-VLOOKUP(B$2,C1:E430,3,FALSE),J276)</f>
        <v>-217.03482567605275</v>
      </c>
      <c r="G276" s="39"/>
      <c r="H276" s="138">
        <f>RANK(I276,I3:I430)</f>
        <v>363</v>
      </c>
      <c r="I276" s="139">
        <f>VLOOKUP(A276,'Standard Deviations'!A1:C728,3,FALSE)</f>
        <v>-4.1401941393742865</v>
      </c>
      <c r="J276" s="139">
        <f>I276-VLOOKUP(B$2,H1:J430,2,FALSE)</f>
        <v>-9.4434497266013722</v>
      </c>
    </row>
    <row r="277" spans="1:10" ht="21.25" customHeight="1" x14ac:dyDescent="0.15">
      <c r="A277" s="8" t="s">
        <v>671</v>
      </c>
      <c r="B277" s="137" t="str">
        <f>VLOOKUP(A277,'The List'!B1:D727,3,FALSE)</f>
        <v>C</v>
      </c>
      <c r="C277" s="48">
        <f>IF(Settings!$E$15="POINTS",RANK(E277,E3:E430),H277)</f>
        <v>271</v>
      </c>
      <c r="D277" s="35" t="str">
        <f>VLOOKUP(A277,'The List'!B1:F727,5,FALSE)</f>
        <v>LAK</v>
      </c>
      <c r="E277" s="39">
        <f>VLOOKUP(A277,'The List'!B1:I727,8,FALSE)</f>
        <v>153.5882276147284</v>
      </c>
      <c r="F277" s="39">
        <f>IF(Settings!$E$15="POINTS",E277-VLOOKUP(B$2,C1:E430,3,FALSE),J277)</f>
        <v>-213.86089920996227</v>
      </c>
      <c r="G277" s="39"/>
      <c r="H277" s="138">
        <f>RANK(I277,I3:I430)</f>
        <v>273</v>
      </c>
      <c r="I277" s="139">
        <f>VLOOKUP(A277,'Standard Deviations'!A1:C728,3,FALSE)</f>
        <v>-2.3105991812362654</v>
      </c>
      <c r="J277" s="139">
        <f>I277-VLOOKUP(B$2,H1:J430,2,FALSE)</f>
        <v>-7.6138547684633497</v>
      </c>
    </row>
    <row r="278" spans="1:10" ht="21.25" customHeight="1" x14ac:dyDescent="0.15">
      <c r="A278" s="8" t="s">
        <v>688</v>
      </c>
      <c r="B278" s="137" t="str">
        <f>VLOOKUP(A278,'The List'!B1:D727,3,FALSE)</f>
        <v>C</v>
      </c>
      <c r="C278" s="48">
        <f>IF(Settings!$E$15="POINTS",RANK(E278,E3:E430),H278)</f>
        <v>279</v>
      </c>
      <c r="D278" s="35" t="str">
        <f>VLOOKUP(A278,'The List'!B1:F727,5,FALSE)</f>
        <v>DET</v>
      </c>
      <c r="E278" s="39">
        <f>VLOOKUP(A278,'The List'!B1:I727,8,FALSE)</f>
        <v>148.0489390311198</v>
      </c>
      <c r="F278" s="39">
        <f>IF(Settings!$E$15="POINTS",E278-VLOOKUP(B$2,C1:E430,3,FALSE),J278)</f>
        <v>-219.40018779357086</v>
      </c>
      <c r="G278" s="39"/>
      <c r="H278" s="138">
        <f>RANK(I278,I3:I430)</f>
        <v>300</v>
      </c>
      <c r="I278" s="139">
        <f>VLOOKUP(A278,'Standard Deviations'!A1:C728,3,FALSE)</f>
        <v>-2.7506752161100536</v>
      </c>
      <c r="J278" s="139">
        <f>I278-VLOOKUP(B$2,H1:J430,2,FALSE)</f>
        <v>-8.0539308033371384</v>
      </c>
    </row>
    <row r="279" spans="1:10" ht="21.25" customHeight="1" x14ac:dyDescent="0.15">
      <c r="A279" s="8" t="s">
        <v>549</v>
      </c>
      <c r="B279" s="137" t="str">
        <f>VLOOKUP(A279,'The List'!B1:D727,3,FALSE)</f>
        <v>RW</v>
      </c>
      <c r="C279" s="48">
        <f>IF(Settings!$E$15="POINTS",RANK(E279,E3:E430),H279)</f>
        <v>277</v>
      </c>
      <c r="D279" s="35" t="str">
        <f>VLOOKUP(A279,'The List'!B1:F727,5,FALSE)</f>
        <v>SEA</v>
      </c>
      <c r="E279" s="39">
        <f>VLOOKUP(A279,'The List'!B1:I727,8,FALSE)</f>
        <v>149.118630051233</v>
      </c>
      <c r="F279" s="39">
        <f>IF(Settings!$E$15="POINTS",E279-VLOOKUP(B$2,C1:E430,3,FALSE),J279)</f>
        <v>-218.33049677345767</v>
      </c>
      <c r="G279" s="39"/>
      <c r="H279" s="138">
        <f>RANK(I279,I3:I430)</f>
        <v>286</v>
      </c>
      <c r="I279" s="139">
        <f>VLOOKUP(A279,'Standard Deviations'!A1:C728,3,FALSE)</f>
        <v>-2.485203924351441</v>
      </c>
      <c r="J279" s="139">
        <f>I279-VLOOKUP(B$2,H1:J430,2,FALSE)</f>
        <v>-7.7884595115785258</v>
      </c>
    </row>
    <row r="280" spans="1:10" ht="21.25" customHeight="1" x14ac:dyDescent="0.15">
      <c r="A280" s="8" t="s">
        <v>687</v>
      </c>
      <c r="B280" s="137" t="str">
        <f>VLOOKUP(A280,'The List'!B1:D727,3,FALSE)</f>
        <v>C</v>
      </c>
      <c r="C280" s="48">
        <f>IF(Settings!$E$15="POINTS",RANK(E280,E3:E430),H280)</f>
        <v>278</v>
      </c>
      <c r="D280" s="35" t="str">
        <f>VLOOKUP(A280,'The List'!B1:F727,5,FALSE)</f>
        <v>SJS</v>
      </c>
      <c r="E280" s="39">
        <f>VLOOKUP(A280,'The List'!B1:I727,8,FALSE)</f>
        <v>148.50606152045623</v>
      </c>
      <c r="F280" s="39">
        <f>IF(Settings!$E$15="POINTS",E280-VLOOKUP(B$2,C1:E430,3,FALSE),J280)</f>
        <v>-218.94306530423444</v>
      </c>
      <c r="G280" s="39"/>
      <c r="H280" s="138">
        <f>RANK(I280,I3:I430)</f>
        <v>271</v>
      </c>
      <c r="I280" s="139">
        <f>VLOOKUP(A280,'Standard Deviations'!A1:C728,3,FALSE)</f>
        <v>-2.2626264116211172</v>
      </c>
      <c r="J280" s="139">
        <f>I280-VLOOKUP(B$2,H1:J430,2,FALSE)</f>
        <v>-7.5658819988482016</v>
      </c>
    </row>
    <row r="281" spans="1:10" ht="21.25" customHeight="1" x14ac:dyDescent="0.15">
      <c r="A281" s="8" t="s">
        <v>681</v>
      </c>
      <c r="B281" s="137" t="str">
        <f>VLOOKUP(A281,'The List'!B1:D727,3,FALSE)</f>
        <v>C</v>
      </c>
      <c r="C281" s="48">
        <f>IF(Settings!$E$15="POINTS",RANK(E281,E3:E430),H281)</f>
        <v>274</v>
      </c>
      <c r="D281" s="35" t="str">
        <f>VLOOKUP(A281,'The List'!B1:F727,5,FALSE)</f>
        <v>CHI</v>
      </c>
      <c r="E281" s="39">
        <f>VLOOKUP(A281,'The List'!B1:I727,8,FALSE)</f>
        <v>151.18964837155184</v>
      </c>
      <c r="F281" s="39">
        <f>IF(Settings!$E$15="POINTS",E281-VLOOKUP(B$2,C1:E430,3,FALSE),J281)</f>
        <v>-216.25947845313883</v>
      </c>
      <c r="G281" s="39"/>
      <c r="H281" s="138">
        <f>RANK(I281,I3:I430)</f>
        <v>345</v>
      </c>
      <c r="I281" s="139">
        <f>VLOOKUP(A281,'Standard Deviations'!A1:C728,3,FALSE)</f>
        <v>-3.7613982724994179</v>
      </c>
      <c r="J281" s="139">
        <f>I281-VLOOKUP(B$2,H1:J430,2,FALSE)</f>
        <v>-9.0646538597265032</v>
      </c>
    </row>
    <row r="282" spans="1:10" ht="21.25" customHeight="1" x14ac:dyDescent="0.15">
      <c r="A282" s="8" t="s">
        <v>692</v>
      </c>
      <c r="B282" s="137" t="str">
        <f>VLOOKUP(A282,'The List'!B1:D727,3,FALSE)</f>
        <v>C</v>
      </c>
      <c r="C282" s="48">
        <f>IF(Settings!$E$15="POINTS",RANK(E282,E3:E430),H282)</f>
        <v>282</v>
      </c>
      <c r="D282" s="35" t="str">
        <f>VLOOKUP(A282,'The List'!B1:F727,5,FALSE)</f>
        <v>WPG</v>
      </c>
      <c r="E282" s="39">
        <f>VLOOKUP(A282,'The List'!B1:I727,8,FALSE)</f>
        <v>146.17302664424537</v>
      </c>
      <c r="F282" s="39">
        <f>IF(Settings!$E$15="POINTS",E282-VLOOKUP(B$2,C1:E430,3,FALSE),J282)</f>
        <v>-221.2761001804453</v>
      </c>
      <c r="G282" s="39"/>
      <c r="H282" s="138">
        <f>RANK(I282,I3:I430)</f>
        <v>268</v>
      </c>
      <c r="I282" s="139">
        <f>VLOOKUP(A282,'Standard Deviations'!A1:C728,3,FALSE)</f>
        <v>-2.2054013903361511</v>
      </c>
      <c r="J282" s="139">
        <f>I282-VLOOKUP(B$2,H1:J430,2,FALSE)</f>
        <v>-7.5086569775632359</v>
      </c>
    </row>
    <row r="283" spans="1:10" ht="21.25" customHeight="1" x14ac:dyDescent="0.15">
      <c r="A283" s="8" t="s">
        <v>691</v>
      </c>
      <c r="B283" s="137" t="str">
        <f>VLOOKUP(A283,'The List'!B1:D727,3,FALSE)</f>
        <v>C</v>
      </c>
      <c r="C283" s="48">
        <f>IF(Settings!$E$15="POINTS",RANK(E283,E3:E430),H283)</f>
        <v>281</v>
      </c>
      <c r="D283" s="35" t="str">
        <f>VLOOKUP(A283,'The List'!B1:F727,5,FALSE)</f>
        <v>ARI</v>
      </c>
      <c r="E283" s="39">
        <f>VLOOKUP(A283,'The List'!B1:I727,8,FALSE)</f>
        <v>146.46425278873022</v>
      </c>
      <c r="F283" s="39">
        <f>IF(Settings!$E$15="POINTS",E283-VLOOKUP(B$2,C1:E430,3,FALSE),J283)</f>
        <v>-220.98487403596044</v>
      </c>
      <c r="G283" s="39"/>
      <c r="H283" s="138">
        <f>RANK(I283,I3:I430)</f>
        <v>302</v>
      </c>
      <c r="I283" s="139">
        <f>VLOOKUP(A283,'Standard Deviations'!A1:C728,3,FALSE)</f>
        <v>-2.7606714380052928</v>
      </c>
      <c r="J283" s="139">
        <f>I283-VLOOKUP(B$2,H1:J430,2,FALSE)</f>
        <v>-8.0639270252323776</v>
      </c>
    </row>
    <row r="284" spans="1:10" ht="21.25" customHeight="1" x14ac:dyDescent="0.15">
      <c r="A284" s="8" t="s">
        <v>595</v>
      </c>
      <c r="B284" s="137" t="str">
        <f>VLOOKUP(A284,'The List'!B1:D727,3,FALSE)</f>
        <v>LW</v>
      </c>
      <c r="C284" s="48">
        <f>IF(Settings!$E$15="POINTS",RANK(E284,E3:E430),H284)</f>
        <v>280</v>
      </c>
      <c r="D284" s="35" t="str">
        <f>VLOOKUP(A284,'The List'!B1:F727,5,FALSE)</f>
        <v>SEA</v>
      </c>
      <c r="E284" s="39">
        <f>VLOOKUP(A284,'The List'!B1:I727,8,FALSE)</f>
        <v>147.30347641061476</v>
      </c>
      <c r="F284" s="39">
        <f>IF(Settings!$E$15="POINTS",E284-VLOOKUP(B$2,C1:E430,3,FALSE),J284)</f>
        <v>-220.1456504140759</v>
      </c>
      <c r="G284" s="39"/>
      <c r="H284" s="138">
        <f>RANK(I284,I3:I430)</f>
        <v>255</v>
      </c>
      <c r="I284" s="139">
        <f>VLOOKUP(A284,'Standard Deviations'!A1:C728,3,FALSE)</f>
        <v>-1.8676240128598021</v>
      </c>
      <c r="J284" s="139">
        <f>I284-VLOOKUP(B$2,H1:J430,2,FALSE)</f>
        <v>-7.1708796000868871</v>
      </c>
    </row>
    <row r="285" spans="1:10" ht="21.25" customHeight="1" x14ac:dyDescent="0.15">
      <c r="A285" s="8" t="s">
        <v>694</v>
      </c>
      <c r="B285" s="137" t="str">
        <f>VLOOKUP(A285,'The List'!B1:D727,3,FALSE)</f>
        <v>C</v>
      </c>
      <c r="C285" s="48">
        <f>IF(Settings!$E$15="POINTS",RANK(E285,E3:E430),H285)</f>
        <v>283</v>
      </c>
      <c r="D285" s="35" t="str">
        <f>VLOOKUP(A285,'The List'!B1:F727,5,FALSE)</f>
        <v>NSH</v>
      </c>
      <c r="E285" s="39">
        <f>VLOOKUP(A285,'The List'!B1:I727,8,FALSE)</f>
        <v>145.72588203411783</v>
      </c>
      <c r="F285" s="39">
        <f>IF(Settings!$E$15="POINTS",E285-VLOOKUP(B$2,C1:E430,3,FALSE),J285)</f>
        <v>-221.72324479057283</v>
      </c>
      <c r="G285" s="39"/>
      <c r="H285" s="138">
        <f>RANK(I285,I3:I430)</f>
        <v>289</v>
      </c>
      <c r="I285" s="139">
        <f>VLOOKUP(A285,'Standard Deviations'!A1:C728,3,FALSE)</f>
        <v>-2.5549367528689224</v>
      </c>
      <c r="J285" s="139">
        <f>I285-VLOOKUP(B$2,H1:J430,2,FALSE)</f>
        <v>-7.8581923400960072</v>
      </c>
    </row>
    <row r="286" spans="1:10" ht="21.25" customHeight="1" x14ac:dyDescent="0.15">
      <c r="A286" s="8" t="s">
        <v>564</v>
      </c>
      <c r="B286" s="137" t="str">
        <f>VLOOKUP(A286,'The List'!B1:D727,3,FALSE)</f>
        <v>RW</v>
      </c>
      <c r="C286" s="48">
        <f>IF(Settings!$E$15="POINTS",RANK(E286,E3:E430),H286)</f>
        <v>285</v>
      </c>
      <c r="D286" s="35" t="str">
        <f>VLOOKUP(A286,'The List'!B1:F727,5,FALSE)</f>
        <v>UFA</v>
      </c>
      <c r="E286" s="39">
        <f>VLOOKUP(A286,'The List'!B1:I727,8,FALSE)</f>
        <v>144.11403409872037</v>
      </c>
      <c r="F286" s="39">
        <f>IF(Settings!$E$15="POINTS",E286-VLOOKUP(B$2,C1:E430,3,FALSE),J286)</f>
        <v>-223.3350927259703</v>
      </c>
      <c r="G286" s="39"/>
      <c r="H286" s="138">
        <f>RANK(I286,I3:I430)</f>
        <v>301</v>
      </c>
      <c r="I286" s="139">
        <f>VLOOKUP(A286,'Standard Deviations'!A1:C728,3,FALSE)</f>
        <v>-2.7549923875667526</v>
      </c>
      <c r="J286" s="139">
        <f>I286-VLOOKUP(B$2,H1:J430,2,FALSE)</f>
        <v>-8.0582479747938365</v>
      </c>
    </row>
    <row r="287" spans="1:10" ht="21.25" customHeight="1" x14ac:dyDescent="0.15">
      <c r="A287" s="8" t="s">
        <v>565</v>
      </c>
      <c r="B287" s="137" t="str">
        <f>VLOOKUP(A287,'The List'!B1:D727,3,FALSE)</f>
        <v>RW</v>
      </c>
      <c r="C287" s="48">
        <f>IF(Settings!$E$15="POINTS",RANK(E287,E3:E430),H287)</f>
        <v>286</v>
      </c>
      <c r="D287" s="35" t="str">
        <f>VLOOKUP(A287,'The List'!B1:F727,5,FALSE)</f>
        <v>CBJ</v>
      </c>
      <c r="E287" s="39">
        <f>VLOOKUP(A287,'The List'!B1:I727,8,FALSE)</f>
        <v>144.07397630707715</v>
      </c>
      <c r="F287" s="39">
        <f>IF(Settings!$E$15="POINTS",E287-VLOOKUP(B$2,C1:E430,3,FALSE),J287)</f>
        <v>-223.37515051761352</v>
      </c>
      <c r="G287" s="39"/>
      <c r="H287" s="138">
        <f>RANK(I287,I3:I430)</f>
        <v>307</v>
      </c>
      <c r="I287" s="139">
        <f>VLOOKUP(A287,'Standard Deviations'!A1:C728,3,FALSE)</f>
        <v>-2.8907972414002447</v>
      </c>
      <c r="J287" s="139">
        <f>I287-VLOOKUP(B$2,H1:J430,2,FALSE)</f>
        <v>-8.1940528286273295</v>
      </c>
    </row>
    <row r="288" spans="1:10" ht="21.25" customHeight="1" x14ac:dyDescent="0.15">
      <c r="A288" s="8" t="s">
        <v>600</v>
      </c>
      <c r="B288" s="137" t="str">
        <f>VLOOKUP(A288,'The List'!B1:D727,3,FALSE)</f>
        <v>LW</v>
      </c>
      <c r="C288" s="48">
        <f>IF(Settings!$E$15="POINTS",RANK(E288,E3:E430),H288)</f>
        <v>284</v>
      </c>
      <c r="D288" s="35" t="str">
        <f>VLOOKUP(A288,'The List'!B1:F727,5,FALSE)</f>
        <v>MIN</v>
      </c>
      <c r="E288" s="39">
        <f>VLOOKUP(A288,'The List'!B1:I727,8,FALSE)</f>
        <v>144.21917738729238</v>
      </c>
      <c r="F288" s="39">
        <f>IF(Settings!$E$15="POINTS",E288-VLOOKUP(B$2,C1:E430,3,FALSE),J288)</f>
        <v>-223.22994943739829</v>
      </c>
      <c r="G288" s="39"/>
      <c r="H288" s="138">
        <f>RANK(I288,I3:I430)</f>
        <v>251</v>
      </c>
      <c r="I288" s="139">
        <f>VLOOKUP(A288,'Standard Deviations'!A1:C728,3,FALSE)</f>
        <v>-1.7086605065402369</v>
      </c>
      <c r="J288" s="139">
        <f>I288-VLOOKUP(B$2,H1:J430,2,FALSE)</f>
        <v>-7.0119160937673222</v>
      </c>
    </row>
    <row r="289" spans="1:10" ht="21.25" customHeight="1" x14ac:dyDescent="0.15">
      <c r="A289" s="8" t="s">
        <v>702</v>
      </c>
      <c r="B289" s="137" t="str">
        <f>VLOOKUP(A289,'The List'!B1:D727,3,FALSE)</f>
        <v>C</v>
      </c>
      <c r="C289" s="48">
        <f>IF(Settings!$E$15="POINTS",RANK(E289,E3:E430),H289)</f>
        <v>288</v>
      </c>
      <c r="D289" s="35" t="str">
        <f>VLOOKUP(A289,'The List'!B1:F727,5,FALSE)</f>
        <v>UFA</v>
      </c>
      <c r="E289" s="39">
        <f>VLOOKUP(A289,'The List'!B1:I727,8,FALSE)</f>
        <v>141.48279291071893</v>
      </c>
      <c r="F289" s="39">
        <f>IF(Settings!$E$15="POINTS",E289-VLOOKUP(B$2,C1:E430,3,FALSE),J289)</f>
        <v>-225.96633391397174</v>
      </c>
      <c r="G289" s="39"/>
      <c r="H289" s="138">
        <f>RANK(I289,I3:I430)</f>
        <v>288</v>
      </c>
      <c r="I289" s="139">
        <f>VLOOKUP(A289,'Standard Deviations'!A1:C728,3,FALSE)</f>
        <v>-2.5525309897151724</v>
      </c>
      <c r="J289" s="139">
        <f>I289-VLOOKUP(B$2,H1:J430,2,FALSE)</f>
        <v>-7.8557865769422577</v>
      </c>
    </row>
    <row r="290" spans="1:10" ht="21.25" customHeight="1" x14ac:dyDescent="0.15">
      <c r="A290" s="8" t="s">
        <v>579</v>
      </c>
      <c r="B290" s="137" t="str">
        <f>VLOOKUP(A290,'The List'!B1:D727,3,FALSE)</f>
        <v>RW</v>
      </c>
      <c r="C290" s="48">
        <f>IF(Settings!$E$15="POINTS",RANK(E290,E3:E430),H290)</f>
        <v>291</v>
      </c>
      <c r="D290" s="35" t="str">
        <f>VLOOKUP(A290,'The List'!B1:F727,5,FALSE)</f>
        <v>CHI</v>
      </c>
      <c r="E290" s="39">
        <f>VLOOKUP(A290,'The List'!B1:I727,8,FALSE)</f>
        <v>140.34585074759656</v>
      </c>
      <c r="F290" s="39">
        <f>IF(Settings!$E$15="POINTS",E290-VLOOKUP(B$2,C1:E430,3,FALSE),J290)</f>
        <v>-227.10327607709411</v>
      </c>
      <c r="G290" s="39"/>
      <c r="H290" s="138">
        <f>RANK(I290,I3:I430)</f>
        <v>351</v>
      </c>
      <c r="I290" s="139">
        <f>VLOOKUP(A290,'Standard Deviations'!A1:C728,3,FALSE)</f>
        <v>-3.9185835215663434</v>
      </c>
      <c r="J290" s="139">
        <f>I290-VLOOKUP(B$2,H1:J430,2,FALSE)</f>
        <v>-9.2218391087934286</v>
      </c>
    </row>
    <row r="291" spans="1:10" ht="21.25" customHeight="1" x14ac:dyDescent="0.15">
      <c r="A291" s="8" t="s">
        <v>580</v>
      </c>
      <c r="B291" s="137" t="str">
        <f>VLOOKUP(A291,'The List'!B1:D727,3,FALSE)</f>
        <v>RW</v>
      </c>
      <c r="C291" s="48">
        <f>IF(Settings!$E$15="POINTS",RANK(E291,E3:E430),H291)</f>
        <v>292</v>
      </c>
      <c r="D291" s="35" t="str">
        <f>VLOOKUP(A291,'The List'!B1:F727,5,FALSE)</f>
        <v>UFA</v>
      </c>
      <c r="E291" s="39">
        <f>VLOOKUP(A291,'The List'!B1:I727,8,FALSE)</f>
        <v>140.31565012909809</v>
      </c>
      <c r="F291" s="39">
        <f>IF(Settings!$E$15="POINTS",E291-VLOOKUP(B$2,C1:E430,3,FALSE),J291)</f>
        <v>-227.13347669559258</v>
      </c>
      <c r="G291" s="39"/>
      <c r="H291" s="138">
        <f>RANK(I291,I3:I430)</f>
        <v>290</v>
      </c>
      <c r="I291" s="139">
        <f>VLOOKUP(A291,'Standard Deviations'!A1:C728,3,FALSE)</f>
        <v>-2.5606343174084523</v>
      </c>
      <c r="J291" s="139">
        <f>I291-VLOOKUP(B$2,H1:J430,2,FALSE)</f>
        <v>-7.8638899046355366</v>
      </c>
    </row>
    <row r="292" spans="1:10" ht="21.25" customHeight="1" x14ac:dyDescent="0.15">
      <c r="A292" s="8" t="s">
        <v>610</v>
      </c>
      <c r="B292" s="137" t="str">
        <f>VLOOKUP(A292,'The List'!B1:D727,3,FALSE)</f>
        <v>LW</v>
      </c>
      <c r="C292" s="48">
        <f>IF(Settings!$E$15="POINTS",RANK(E292,E3:E430),H292)</f>
        <v>293</v>
      </c>
      <c r="D292" s="35" t="str">
        <f>VLOOKUP(A292,'The List'!B1:F727,5,FALSE)</f>
        <v>SJS</v>
      </c>
      <c r="E292" s="39">
        <f>VLOOKUP(A292,'The List'!B1:I727,8,FALSE)</f>
        <v>140.03848309812332</v>
      </c>
      <c r="F292" s="39">
        <f>IF(Settings!$E$15="POINTS",E292-VLOOKUP(B$2,C1:E430,3,FALSE),J292)</f>
        <v>-227.41064372656734</v>
      </c>
      <c r="G292" s="39"/>
      <c r="H292" s="138">
        <f>RANK(I292,I3:I430)</f>
        <v>311</v>
      </c>
      <c r="I292" s="139">
        <f>VLOOKUP(A292,'Standard Deviations'!A1:C728,3,FALSE)</f>
        <v>-2.9349108150928416</v>
      </c>
      <c r="J292" s="139">
        <f>I292-VLOOKUP(B$2,H1:J430,2,FALSE)</f>
        <v>-8.2381664023199264</v>
      </c>
    </row>
    <row r="293" spans="1:10" ht="21.25" customHeight="1" x14ac:dyDescent="0.15">
      <c r="A293" s="8" t="s">
        <v>616</v>
      </c>
      <c r="B293" s="137" t="str">
        <f>VLOOKUP(A293,'The List'!B1:D727,3,FALSE)</f>
        <v>LW</v>
      </c>
      <c r="C293" s="48">
        <f>IF(Settings!$E$15="POINTS",RANK(E293,E3:E430),H293)</f>
        <v>296</v>
      </c>
      <c r="D293" s="35" t="str">
        <f>VLOOKUP(A293,'The List'!B1:F727,5,FALSE)</f>
        <v>WSH</v>
      </c>
      <c r="E293" s="39">
        <f>VLOOKUP(A293,'The List'!B1:I727,8,FALSE)</f>
        <v>139.35492765107492</v>
      </c>
      <c r="F293" s="39">
        <f>IF(Settings!$E$15="POINTS",E293-VLOOKUP(B$2,C1:E430,3,FALSE),J293)</f>
        <v>-228.09419917361575</v>
      </c>
      <c r="G293" s="39"/>
      <c r="H293" s="138">
        <f>RANK(I293,I3:I430)</f>
        <v>342</v>
      </c>
      <c r="I293" s="139">
        <f>VLOOKUP(A293,'Standard Deviations'!A1:C728,3,FALSE)</f>
        <v>-3.6066239056803555</v>
      </c>
      <c r="J293" s="139">
        <f>I293-VLOOKUP(B$2,H1:J430,2,FALSE)</f>
        <v>-8.9098794929074394</v>
      </c>
    </row>
    <row r="294" spans="1:10" ht="21.25" customHeight="1" x14ac:dyDescent="0.15">
      <c r="A294" s="8" t="s">
        <v>617</v>
      </c>
      <c r="B294" s="137" t="str">
        <f>VLOOKUP(A294,'The List'!B1:D727,3,FALSE)</f>
        <v>LW</v>
      </c>
      <c r="C294" s="48">
        <f>IF(Settings!$E$15="POINTS",RANK(E294,E3:E430),H294)</f>
        <v>297</v>
      </c>
      <c r="D294" s="35" t="str">
        <f>VLOOKUP(A294,'The List'!B1:F727,5,FALSE)</f>
        <v>UFA</v>
      </c>
      <c r="E294" s="39">
        <f>VLOOKUP(A294,'The List'!B1:I727,8,FALSE)</f>
        <v>139.05803126872794</v>
      </c>
      <c r="F294" s="39">
        <f>IF(Settings!$E$15="POINTS",E294-VLOOKUP(B$2,C1:E430,3,FALSE),J294)</f>
        <v>-228.39109555596272</v>
      </c>
      <c r="G294" s="39"/>
      <c r="H294" s="138">
        <f>RANK(I294,I3:I430)</f>
        <v>303</v>
      </c>
      <c r="I294" s="139">
        <f>VLOOKUP(A294,'Standard Deviations'!A1:C728,3,FALSE)</f>
        <v>-2.8067195598726506</v>
      </c>
      <c r="J294" s="139">
        <f>I294-VLOOKUP(B$2,H1:J430,2,FALSE)</f>
        <v>-8.1099751470997354</v>
      </c>
    </row>
    <row r="295" spans="1:10" ht="21.25" customHeight="1" x14ac:dyDescent="0.15">
      <c r="A295" s="8" t="s">
        <v>576</v>
      </c>
      <c r="B295" s="137" t="str">
        <f>VLOOKUP(A295,'The List'!B1:D727,3,FALSE)</f>
        <v>RW</v>
      </c>
      <c r="C295" s="48">
        <f>IF(Settings!$E$15="POINTS",RANK(E295,E3:E430),H295)</f>
        <v>289</v>
      </c>
      <c r="D295" s="35" t="str">
        <f>VLOOKUP(A295,'The List'!B1:F727,5,FALSE)</f>
        <v>BUF</v>
      </c>
      <c r="E295" s="39">
        <f>VLOOKUP(A295,'The List'!B1:I727,8,FALSE)</f>
        <v>141.32251679913375</v>
      </c>
      <c r="F295" s="39">
        <f>IF(Settings!$E$15="POINTS",E295-VLOOKUP(B$2,C1:E430,3,FALSE),J295)</f>
        <v>-226.12661002555691</v>
      </c>
      <c r="G295" s="39"/>
      <c r="H295" s="138">
        <f>RANK(I295,I3:I430)</f>
        <v>331</v>
      </c>
      <c r="I295" s="139">
        <f>VLOOKUP(A295,'Standard Deviations'!A1:C728,3,FALSE)</f>
        <v>-3.3596264473169137</v>
      </c>
      <c r="J295" s="139">
        <f>I295-VLOOKUP(B$2,H1:J430,2,FALSE)</f>
        <v>-8.6628820345439976</v>
      </c>
    </row>
    <row r="296" spans="1:10" ht="21.25" customHeight="1" x14ac:dyDescent="0.15">
      <c r="A296" s="8" t="s">
        <v>704</v>
      </c>
      <c r="B296" s="137" t="str">
        <f>VLOOKUP(A296,'The List'!B1:D727,3,FALSE)</f>
        <v>C</v>
      </c>
      <c r="C296" s="48">
        <f>IF(Settings!$E$15="POINTS",RANK(E296,E3:E430),H296)</f>
        <v>290</v>
      </c>
      <c r="D296" s="35" t="str">
        <f>VLOOKUP(A296,'The List'!B1:F727,5,FALSE)</f>
        <v>NYR</v>
      </c>
      <c r="E296" s="39">
        <f>VLOOKUP(A296,'The List'!B1:I727,8,FALSE)</f>
        <v>141.2540240556327</v>
      </c>
      <c r="F296" s="39">
        <f>IF(Settings!$E$15="POINTS",E296-VLOOKUP(B$2,C1:E430,3,FALSE),J296)</f>
        <v>-226.19510276905797</v>
      </c>
      <c r="G296" s="39"/>
      <c r="H296" s="138">
        <f>RANK(I296,I3:I430)</f>
        <v>241</v>
      </c>
      <c r="I296" s="139">
        <f>VLOOKUP(A296,'Standard Deviations'!A1:C728,3,FALSE)</f>
        <v>-1.3702774275892089</v>
      </c>
      <c r="J296" s="139">
        <f>I296-VLOOKUP(B$2,H1:J430,2,FALSE)</f>
        <v>-6.6735330148162939</v>
      </c>
    </row>
    <row r="297" spans="1:10" ht="21.25" customHeight="1" x14ac:dyDescent="0.15">
      <c r="A297" s="8" t="s">
        <v>601</v>
      </c>
      <c r="B297" s="137" t="str">
        <f>VLOOKUP(A297,'The List'!B1:D727,3,FALSE)</f>
        <v>LW</v>
      </c>
      <c r="C297" s="48">
        <f>IF(Settings!$E$15="POINTS",RANK(E297,E3:E430),H297)</f>
        <v>287</v>
      </c>
      <c r="D297" s="35" t="str">
        <f>VLOOKUP(A297,'The List'!B1:F727,5,FALSE)</f>
        <v>CBJ</v>
      </c>
      <c r="E297" s="39">
        <f>VLOOKUP(A297,'The List'!B1:I727,8,FALSE)</f>
        <v>142.26408174351019</v>
      </c>
      <c r="F297" s="39">
        <f>IF(Settings!$E$15="POINTS",E297-VLOOKUP(B$2,C1:E430,3,FALSE),J297)</f>
        <v>-225.18504508118048</v>
      </c>
      <c r="G297" s="39"/>
      <c r="H297" s="138">
        <f>RANK(I297,I3:I430)</f>
        <v>371</v>
      </c>
      <c r="I297" s="139">
        <f>VLOOKUP(A297,'Standard Deviations'!A1:C728,3,FALSE)</f>
        <v>-4.2527670936842137</v>
      </c>
      <c r="J297" s="139">
        <f>I297-VLOOKUP(B$2,H1:J430,2,FALSE)</f>
        <v>-9.5560226809112976</v>
      </c>
    </row>
    <row r="298" spans="1:10" ht="21.25" customHeight="1" x14ac:dyDescent="0.15">
      <c r="A298" s="8" t="s">
        <v>621</v>
      </c>
      <c r="B298" s="137" t="str">
        <f>VLOOKUP(A298,'The List'!B1:D727,3,FALSE)</f>
        <v>LW</v>
      </c>
      <c r="C298" s="48">
        <f>IF(Settings!$E$15="POINTS",RANK(E298,E3:E430),H298)</f>
        <v>300</v>
      </c>
      <c r="D298" s="35" t="str">
        <f>VLOOKUP(A298,'The List'!B1:F727,5,FALSE)</f>
        <v>VAN</v>
      </c>
      <c r="E298" s="39">
        <f>VLOOKUP(A298,'The List'!B1:I727,8,FALSE)</f>
        <v>137.52988872161711</v>
      </c>
      <c r="F298" s="39">
        <f>IF(Settings!$E$15="POINTS",E298-VLOOKUP(B$2,C1:E430,3,FALSE),J298)</f>
        <v>-229.91923810307355</v>
      </c>
      <c r="G298" s="39"/>
      <c r="H298" s="138">
        <f>RANK(I298,I3:I430)</f>
        <v>306</v>
      </c>
      <c r="I298" s="139">
        <f>VLOOKUP(A298,'Standard Deviations'!A1:C728,3,FALSE)</f>
        <v>-2.8629392580471</v>
      </c>
      <c r="J298" s="139">
        <f>I298-VLOOKUP(B$2,H1:J430,2,FALSE)</f>
        <v>-8.1661948452741839</v>
      </c>
    </row>
    <row r="299" spans="1:10" ht="21.25" customHeight="1" x14ac:dyDescent="0.15">
      <c r="A299" s="8" t="s">
        <v>708</v>
      </c>
      <c r="B299" s="137" t="str">
        <f>VLOOKUP(A299,'The List'!B1:D727,3,FALSE)</f>
        <v>C</v>
      </c>
      <c r="C299" s="48">
        <f>IF(Settings!$E$15="POINTS",RANK(E299,E3:E430),H299)</f>
        <v>295</v>
      </c>
      <c r="D299" s="35" t="str">
        <f>VLOOKUP(A299,'The List'!B1:F727,5,FALSE)</f>
        <v>TOR</v>
      </c>
      <c r="E299" s="39">
        <f>VLOOKUP(A299,'The List'!B1:I727,8,FALSE)</f>
        <v>139.38448241226629</v>
      </c>
      <c r="F299" s="39">
        <f>IF(Settings!$E$15="POINTS",E299-VLOOKUP(B$2,C1:E430,3,FALSE),J299)</f>
        <v>-228.06464441242437</v>
      </c>
      <c r="G299" s="39"/>
      <c r="H299" s="138">
        <f>RANK(I299,I3:I430)</f>
        <v>265</v>
      </c>
      <c r="I299" s="139">
        <f>VLOOKUP(A299,'Standard Deviations'!A1:C728,3,FALSE)</f>
        <v>-2.1305058003181618</v>
      </c>
      <c r="J299" s="139">
        <f>I299-VLOOKUP(B$2,H1:J430,2,FALSE)</f>
        <v>-7.4337613875452462</v>
      </c>
    </row>
    <row r="300" spans="1:10" ht="21.25" customHeight="1" x14ac:dyDescent="0.15">
      <c r="A300" s="8" t="s">
        <v>581</v>
      </c>
      <c r="B300" s="137" t="str">
        <f>VLOOKUP(A300,'The List'!B1:D727,3,FALSE)</f>
        <v>RW</v>
      </c>
      <c r="C300" s="48">
        <f>IF(Settings!$E$15="POINTS",RANK(E300,E3:E430),H300)</f>
        <v>294</v>
      </c>
      <c r="D300" s="35" t="str">
        <f>VLOOKUP(A300,'The List'!B1:F727,5,FALSE)</f>
        <v>COL</v>
      </c>
      <c r="E300" s="39">
        <f>VLOOKUP(A300,'The List'!B1:I727,8,FALSE)</f>
        <v>139.80963540742007</v>
      </c>
      <c r="F300" s="39">
        <f>IF(Settings!$E$15="POINTS",E300-VLOOKUP(B$2,C1:E430,3,FALSE),J300)</f>
        <v>-227.63949141727059</v>
      </c>
      <c r="G300" s="39"/>
      <c r="H300" s="138">
        <f>RANK(I300,I3:I430)</f>
        <v>244</v>
      </c>
      <c r="I300" s="139">
        <f>VLOOKUP(A300,'Standard Deviations'!A1:C728,3,FALSE)</f>
        <v>-1.561652512172897</v>
      </c>
      <c r="J300" s="139">
        <f>I300-VLOOKUP(B$2,H1:J430,2,FALSE)</f>
        <v>-6.8649080993999814</v>
      </c>
    </row>
    <row r="301" spans="1:10" ht="21.25" customHeight="1" x14ac:dyDescent="0.15">
      <c r="A301" s="8" t="s">
        <v>594</v>
      </c>
      <c r="B301" s="137" t="str">
        <f>VLOOKUP(A301,'The List'!B1:D727,3,FALSE)</f>
        <v>RW</v>
      </c>
      <c r="C301" s="48">
        <f>IF(Settings!$E$15="POINTS",RANK(E301,E3:E430),H301)</f>
        <v>304</v>
      </c>
      <c r="D301" s="35" t="str">
        <f>VLOOKUP(A301,'The List'!B1:F727,5,FALSE)</f>
        <v>BUF</v>
      </c>
      <c r="E301" s="39">
        <f>VLOOKUP(A301,'The List'!B1:I727,8,FALSE)</f>
        <v>133.6315666100929</v>
      </c>
      <c r="F301" s="39">
        <f>IF(Settings!$E$15="POINTS",E301-VLOOKUP(B$2,C1:E430,3,FALSE),J301)</f>
        <v>-233.81756021459776</v>
      </c>
      <c r="G301" s="39"/>
      <c r="H301" s="138">
        <f>RANK(I301,I3:I430)</f>
        <v>326</v>
      </c>
      <c r="I301" s="139">
        <f>VLOOKUP(A301,'Standard Deviations'!A1:C728,3,FALSE)</f>
        <v>-3.228583829259708</v>
      </c>
      <c r="J301" s="139">
        <f>I301-VLOOKUP(B$2,H1:J430,2,FALSE)</f>
        <v>-8.5318394164867932</v>
      </c>
    </row>
    <row r="302" spans="1:10" ht="21.25" customHeight="1" x14ac:dyDescent="0.15">
      <c r="A302" s="8" t="s">
        <v>637</v>
      </c>
      <c r="B302" s="137" t="str">
        <f>VLOOKUP(A302,'The List'!B1:D727,3,FALSE)</f>
        <v>LW,RW</v>
      </c>
      <c r="C302" s="48">
        <f>IF(Settings!$E$15="POINTS",RANK(E302,E3:E430),H302)</f>
        <v>305</v>
      </c>
      <c r="D302" s="35" t="str">
        <f>VLOOKUP(A302,'The List'!B1:F727,5,FALSE)</f>
        <v>CBJ</v>
      </c>
      <c r="E302" s="39">
        <f>VLOOKUP(A302,'The List'!B1:I727,8,FALSE)</f>
        <v>132.86795269313922</v>
      </c>
      <c r="F302" s="39">
        <f>IF(Settings!$E$15="POINTS",E302-VLOOKUP(B$2,C1:E430,3,FALSE),J302)</f>
        <v>-234.58117413155145</v>
      </c>
      <c r="G302" s="39"/>
      <c r="H302" s="138">
        <f>RANK(I302,I3:I430)</f>
        <v>360</v>
      </c>
      <c r="I302" s="139">
        <f>VLOOKUP(A302,'Standard Deviations'!A1:C728,3,FALSE)</f>
        <v>-4.0892529606186692</v>
      </c>
      <c r="J302" s="139">
        <f>I302-VLOOKUP(B$2,H1:J430,2,FALSE)</f>
        <v>-9.392508547845754</v>
      </c>
    </row>
    <row r="303" spans="1:10" ht="21.25" customHeight="1" x14ac:dyDescent="0.15">
      <c r="A303" s="8" t="s">
        <v>709</v>
      </c>
      <c r="B303" s="137" t="str">
        <f>VLOOKUP(A303,'The List'!B1:D727,3,FALSE)</f>
        <v>C</v>
      </c>
      <c r="C303" s="48">
        <f>IF(Settings!$E$15="POINTS",RANK(E303,E3:E430),H303)</f>
        <v>298</v>
      </c>
      <c r="D303" s="35" t="str">
        <f>VLOOKUP(A303,'The List'!B1:F727,5,FALSE)</f>
        <v>EDM</v>
      </c>
      <c r="E303" s="39">
        <f>VLOOKUP(A303,'The List'!B1:I727,8,FALSE)</f>
        <v>138.86359950449793</v>
      </c>
      <c r="F303" s="39">
        <f>IF(Settings!$E$15="POINTS",E303-VLOOKUP(B$2,C1:E430,3,FALSE),J303)</f>
        <v>-228.58552732019274</v>
      </c>
      <c r="G303" s="39"/>
      <c r="H303" s="138">
        <f>RANK(I303,I3:I430)</f>
        <v>263</v>
      </c>
      <c r="I303" s="139">
        <f>VLOOKUP(A303,'Standard Deviations'!A1:C728,3,FALSE)</f>
        <v>-2.0325857723825993</v>
      </c>
      <c r="J303" s="139">
        <f>I303-VLOOKUP(B$2,H1:J430,2,FALSE)</f>
        <v>-7.3358413596096845</v>
      </c>
    </row>
    <row r="304" spans="1:10" ht="21.25" customHeight="1" x14ac:dyDescent="0.15">
      <c r="A304" s="8" t="s">
        <v>719</v>
      </c>
      <c r="B304" s="137" t="str">
        <f>VLOOKUP(A304,'The List'!B1:D727,3,FALSE)</f>
        <v>C</v>
      </c>
      <c r="C304" s="48">
        <f>IF(Settings!$E$15="POINTS",RANK(E304,E3:E430),H304)</f>
        <v>303</v>
      </c>
      <c r="D304" s="35" t="str">
        <f>VLOOKUP(A304,'The List'!B1:F727,5,FALSE)</f>
        <v>PIT</v>
      </c>
      <c r="E304" s="39">
        <f>VLOOKUP(A304,'The List'!B1:I727,8,FALSE)</f>
        <v>134.17186007750206</v>
      </c>
      <c r="F304" s="39">
        <f>IF(Settings!$E$15="POINTS",E304-VLOOKUP(B$2,C1:E430,3,FALSE),J304)</f>
        <v>-233.27726674718861</v>
      </c>
      <c r="G304" s="39"/>
      <c r="H304" s="138">
        <f>RANK(I304,I3:I430)</f>
        <v>279</v>
      </c>
      <c r="I304" s="139">
        <f>VLOOKUP(A304,'Standard Deviations'!A1:C728,3,FALSE)</f>
        <v>-2.393163718691997</v>
      </c>
      <c r="J304" s="139">
        <f>I304-VLOOKUP(B$2,H1:J430,2,FALSE)</f>
        <v>-7.6964193059190817</v>
      </c>
    </row>
    <row r="305" spans="1:10" ht="21.25" customHeight="1" x14ac:dyDescent="0.15">
      <c r="A305" s="8" t="s">
        <v>641</v>
      </c>
      <c r="B305" s="137" t="str">
        <f>VLOOKUP(A305,'The List'!B1:D727,3,FALSE)</f>
        <v>LW</v>
      </c>
      <c r="C305" s="48">
        <f>IF(Settings!$E$15="POINTS",RANK(E305,E3:E430),H305)</f>
        <v>306</v>
      </c>
      <c r="D305" s="35" t="str">
        <f>VLOOKUP(A305,'The List'!B1:F727,5,FALSE)</f>
        <v>MTL</v>
      </c>
      <c r="E305" s="39">
        <f>VLOOKUP(A305,'The List'!B1:I727,8,FALSE)</f>
        <v>132.16627364361415</v>
      </c>
      <c r="F305" s="39">
        <f>IF(Settings!$E$15="POINTS",E305-VLOOKUP(B$2,C1:E430,3,FALSE),J305)</f>
        <v>-235.28285318107652</v>
      </c>
      <c r="G305" s="39"/>
      <c r="H305" s="138">
        <f>RANK(I305,I3:I430)</f>
        <v>373</v>
      </c>
      <c r="I305" s="139">
        <f>VLOOKUP(A305,'Standard Deviations'!A1:C728,3,FALSE)</f>
        <v>-4.2788178632140035</v>
      </c>
      <c r="J305" s="139">
        <f>I305-VLOOKUP(B$2,H1:J430,2,FALSE)</f>
        <v>-9.5820734504410883</v>
      </c>
    </row>
    <row r="306" spans="1:10" ht="21.25" customHeight="1" x14ac:dyDescent="0.15">
      <c r="A306" s="8" t="s">
        <v>590</v>
      </c>
      <c r="B306" s="137" t="str">
        <f>VLOOKUP(A306,'The List'!B1:D727,3,FALSE)</f>
        <v>RW</v>
      </c>
      <c r="C306" s="48">
        <f>IF(Settings!$E$15="POINTS",RANK(E306,E3:E430),H306)</f>
        <v>302</v>
      </c>
      <c r="D306" s="35" t="str">
        <f>VLOOKUP(A306,'The List'!B1:F727,5,FALSE)</f>
        <v>CAR</v>
      </c>
      <c r="E306" s="39">
        <f>VLOOKUP(A306,'The List'!B1:I727,8,FALSE)</f>
        <v>135.41496544273858</v>
      </c>
      <c r="F306" s="39">
        <f>IF(Settings!$E$15="POINTS",E306-VLOOKUP(B$2,C1:E430,3,FALSE),J306)</f>
        <v>-232.03416138195209</v>
      </c>
      <c r="G306" s="39"/>
      <c r="H306" s="138">
        <f>RANK(I306,I3:I430)</f>
        <v>237</v>
      </c>
      <c r="I306" s="139">
        <f>VLOOKUP(A306,'Standard Deviations'!A1:C728,3,FALSE)</f>
        <v>-1.2292258974657806</v>
      </c>
      <c r="J306" s="139">
        <f>I306-VLOOKUP(B$2,H1:J430,2,FALSE)</f>
        <v>-6.5324814846928652</v>
      </c>
    </row>
    <row r="307" spans="1:10" ht="21.25" customHeight="1" x14ac:dyDescent="0.15">
      <c r="A307" s="8" t="s">
        <v>724</v>
      </c>
      <c r="B307" s="137" t="str">
        <f>VLOOKUP(A307,'The List'!B1:D727,3,FALSE)</f>
        <v>C</v>
      </c>
      <c r="C307" s="48">
        <f>IF(Settings!$E$15="POINTS",RANK(E307,E3:E430),H307)</f>
        <v>307</v>
      </c>
      <c r="D307" s="35" t="str">
        <f>VLOOKUP(A307,'The List'!B1:F727,5,FALSE)</f>
        <v>FLA</v>
      </c>
      <c r="E307" s="39">
        <f>VLOOKUP(A307,'The List'!B1:I727,8,FALSE)</f>
        <v>131.57604042746354</v>
      </c>
      <c r="F307" s="39">
        <f>IF(Settings!$E$15="POINTS",E307-VLOOKUP(B$2,C1:E430,3,FALSE),J307)</f>
        <v>-235.87308639722713</v>
      </c>
      <c r="G307" s="39"/>
      <c r="H307" s="138">
        <f>RANK(I307,I3:I430)</f>
        <v>281</v>
      </c>
      <c r="I307" s="139">
        <f>VLOOKUP(A307,'Standard Deviations'!A1:C728,3,FALSE)</f>
        <v>-2.4120294136659468</v>
      </c>
      <c r="J307" s="139">
        <f>I307-VLOOKUP(B$2,H1:J430,2,FALSE)</f>
        <v>-7.7152850008930312</v>
      </c>
    </row>
    <row r="308" spans="1:10" ht="21.25" customHeight="1" x14ac:dyDescent="0.15">
      <c r="A308" s="8" t="s">
        <v>714</v>
      </c>
      <c r="B308" s="137" t="str">
        <f>VLOOKUP(A308,'The List'!B1:D727,3,FALSE)</f>
        <v>C</v>
      </c>
      <c r="C308" s="48">
        <f>IF(Settings!$E$15="POINTS",RANK(E308,E3:E430),H308)</f>
        <v>299</v>
      </c>
      <c r="D308" s="35" t="str">
        <f>VLOOKUP(A308,'The List'!B1:F727,5,FALSE)</f>
        <v>TOR</v>
      </c>
      <c r="E308" s="39">
        <f>VLOOKUP(A308,'The List'!B1:I727,8,FALSE)</f>
        <v>137.56582931963027</v>
      </c>
      <c r="F308" s="39">
        <f>IF(Settings!$E$15="POINTS",E308-VLOOKUP(B$2,C1:E430,3,FALSE),J308)</f>
        <v>-229.8832975050604</v>
      </c>
      <c r="G308" s="39"/>
      <c r="H308" s="138">
        <f>RANK(I308,I3:I430)</f>
        <v>282</v>
      </c>
      <c r="I308" s="139">
        <f>VLOOKUP(A308,'Standard Deviations'!A1:C728,3,FALSE)</f>
        <v>-2.4187039771152459</v>
      </c>
      <c r="J308" s="139">
        <f>I308-VLOOKUP(B$2,H1:J430,2,FALSE)</f>
        <v>-7.7219595643423311</v>
      </c>
    </row>
    <row r="309" spans="1:10" ht="21.25" customHeight="1" x14ac:dyDescent="0.15">
      <c r="A309" s="8" t="s">
        <v>726</v>
      </c>
      <c r="B309" s="137" t="str">
        <f>VLOOKUP(A309,'The List'!B1:D727,3,FALSE)</f>
        <v>C</v>
      </c>
      <c r="C309" s="48">
        <f>IF(Settings!$E$15="POINTS",RANK(E309,E3:E430),H309)</f>
        <v>309</v>
      </c>
      <c r="D309" s="35" t="str">
        <f>VLOOKUP(A309,'The List'!B1:F727,5,FALSE)</f>
        <v>CGY</v>
      </c>
      <c r="E309" s="39">
        <f>VLOOKUP(A309,'The List'!B1:I727,8,FALSE)</f>
        <v>130.88579988732664</v>
      </c>
      <c r="F309" s="39">
        <f>IF(Settings!$E$15="POINTS",E309-VLOOKUP(B$2,C1:E430,3,FALSE),J309)</f>
        <v>-236.56332693736402</v>
      </c>
      <c r="G309" s="39"/>
      <c r="H309" s="138">
        <f>RANK(I309,I3:I430)</f>
        <v>296</v>
      </c>
      <c r="I309" s="139">
        <f>VLOOKUP(A309,'Standard Deviations'!A1:C728,3,FALSE)</f>
        <v>-2.6913897308491816</v>
      </c>
      <c r="J309" s="139">
        <f>I309-VLOOKUP(B$2,H1:J430,2,FALSE)</f>
        <v>-7.994645318076266</v>
      </c>
    </row>
    <row r="310" spans="1:10" ht="21.25" customHeight="1" x14ac:dyDescent="0.15">
      <c r="A310" s="8" t="s">
        <v>727</v>
      </c>
      <c r="B310" s="137" t="str">
        <f>VLOOKUP(A310,'The List'!B1:D727,3,FALSE)</f>
        <v>C</v>
      </c>
      <c r="C310" s="48">
        <f>IF(Settings!$E$15="POINTS",RANK(E310,E3:E430),H310)</f>
        <v>310</v>
      </c>
      <c r="D310" s="35" t="str">
        <f>VLOOKUP(A310,'The List'!B1:F727,5,FALSE)</f>
        <v>VGK</v>
      </c>
      <c r="E310" s="39">
        <f>VLOOKUP(A310,'The List'!B1:I727,8,FALSE)</f>
        <v>130.84734551135807</v>
      </c>
      <c r="F310" s="39">
        <f>IF(Settings!$E$15="POINTS",E310-VLOOKUP(B$2,C1:E430,3,FALSE),J310)</f>
        <v>-236.60178131333259</v>
      </c>
      <c r="G310" s="39"/>
      <c r="H310" s="138">
        <f>RANK(I310,I3:I430)</f>
        <v>259</v>
      </c>
      <c r="I310" s="139">
        <f>VLOOKUP(A310,'Standard Deviations'!A1:C728,3,FALSE)</f>
        <v>-1.9063948814408307</v>
      </c>
      <c r="J310" s="139">
        <f>I310-VLOOKUP(B$2,H1:J430,2,FALSE)</f>
        <v>-7.209650468667915</v>
      </c>
    </row>
    <row r="311" spans="1:10" ht="21.25" customHeight="1" x14ac:dyDescent="0.15">
      <c r="A311" s="8" t="s">
        <v>725</v>
      </c>
      <c r="B311" s="137" t="str">
        <f>VLOOKUP(A311,'The List'!B1:D727,3,FALSE)</f>
        <v>C</v>
      </c>
      <c r="C311" s="48">
        <f>IF(Settings!$E$15="POINTS",RANK(E311,E3:E430),H311)</f>
        <v>308</v>
      </c>
      <c r="D311" s="35" t="str">
        <f>VLOOKUP(A311,'The List'!B1:F727,5,FALSE)</f>
        <v>WPG</v>
      </c>
      <c r="E311" s="39">
        <f>VLOOKUP(A311,'The List'!B1:I727,8,FALSE)</f>
        <v>131.12055733892169</v>
      </c>
      <c r="F311" s="39">
        <f>IF(Settings!$E$15="POINTS",E311-VLOOKUP(B$2,C1:E430,3,FALSE),J311)</f>
        <v>-236.32856948576898</v>
      </c>
      <c r="G311" s="39"/>
      <c r="H311" s="138">
        <f>RANK(I311,I3:I430)</f>
        <v>272</v>
      </c>
      <c r="I311" s="139">
        <f>VLOOKUP(A311,'Standard Deviations'!A1:C728,3,FALSE)</f>
        <v>-2.2752699274193677</v>
      </c>
      <c r="J311" s="139">
        <f>I311-VLOOKUP(B$2,H1:J430,2,FALSE)</f>
        <v>-7.5785255146464525</v>
      </c>
    </row>
    <row r="312" spans="1:10" ht="21.25" customHeight="1" x14ac:dyDescent="0.15">
      <c r="A312" s="8" t="s">
        <v>588</v>
      </c>
      <c r="B312" s="137" t="str">
        <f>VLOOKUP(A312,'The List'!B1:D727,3,FALSE)</f>
        <v>RW</v>
      </c>
      <c r="C312" s="48">
        <f>IF(Settings!$E$15="POINTS",RANK(E312,E3:E430),H312)</f>
        <v>301</v>
      </c>
      <c r="D312" s="35" t="str">
        <f>VLOOKUP(A312,'The List'!B1:F727,5,FALSE)</f>
        <v>OTT</v>
      </c>
      <c r="E312" s="39">
        <f>VLOOKUP(A312,'The List'!B1:I727,8,FALSE)</f>
        <v>136.41681137041439</v>
      </c>
      <c r="F312" s="39">
        <f>IF(Settings!$E$15="POINTS",E312-VLOOKUP(B$2,C1:E430,3,FALSE),J312)</f>
        <v>-231.03231545427627</v>
      </c>
      <c r="G312" s="39"/>
      <c r="H312" s="138">
        <f>RANK(I312,I3:I430)</f>
        <v>294</v>
      </c>
      <c r="I312" s="139">
        <f>VLOOKUP(A312,'Standard Deviations'!A1:C728,3,FALSE)</f>
        <v>-2.6606794385315533</v>
      </c>
      <c r="J312" s="139">
        <f>I312-VLOOKUP(B$2,H1:J430,2,FALSE)</f>
        <v>-7.9639350257586381</v>
      </c>
    </row>
    <row r="313" spans="1:10" ht="21.25" customHeight="1" x14ac:dyDescent="0.15">
      <c r="A313" s="8" t="s">
        <v>731</v>
      </c>
      <c r="B313" s="137" t="str">
        <f>VLOOKUP(A313,'The List'!B1:D727,3,FALSE)</f>
        <v>C</v>
      </c>
      <c r="C313" s="48">
        <f>IF(Settings!$E$15="POINTS",RANK(E313,E3:E430),H313)</f>
        <v>312</v>
      </c>
      <c r="D313" s="35" t="str">
        <f>VLOOKUP(A313,'The List'!B1:F727,5,FALSE)</f>
        <v>DAL</v>
      </c>
      <c r="E313" s="39">
        <f>VLOOKUP(A313,'The List'!B1:I727,8,FALSE)</f>
        <v>129.1958142608008</v>
      </c>
      <c r="F313" s="39">
        <f>IF(Settings!$E$15="POINTS",E313-VLOOKUP(B$2,C1:E430,3,FALSE),J313)</f>
        <v>-238.25331256388986</v>
      </c>
      <c r="G313" s="39"/>
      <c r="H313" s="138">
        <f>RANK(I313,I3:I430)</f>
        <v>256</v>
      </c>
      <c r="I313" s="139">
        <f>VLOOKUP(A313,'Standard Deviations'!A1:C728,3,FALSE)</f>
        <v>-1.8725021853058845</v>
      </c>
      <c r="J313" s="139">
        <f>I313-VLOOKUP(B$2,H1:J430,2,FALSE)</f>
        <v>-7.1757577725329691</v>
      </c>
    </row>
    <row r="314" spans="1:10" ht="21.25" customHeight="1" x14ac:dyDescent="0.15">
      <c r="A314" s="8" t="s">
        <v>602</v>
      </c>
      <c r="B314" s="137" t="str">
        <f>VLOOKUP(A314,'The List'!B1:D727,3,FALSE)</f>
        <v>RW</v>
      </c>
      <c r="C314" s="48">
        <f>IF(Settings!$E$15="POINTS",RANK(E314,E3:E430),H314)</f>
        <v>314</v>
      </c>
      <c r="D314" s="35" t="str">
        <f>VLOOKUP(A314,'The List'!B1:F727,5,FALSE)</f>
        <v>NJD</v>
      </c>
      <c r="E314" s="39">
        <f>VLOOKUP(A314,'The List'!B1:I727,8,FALSE)</f>
        <v>128.30625794486511</v>
      </c>
      <c r="F314" s="39">
        <f>IF(Settings!$E$15="POINTS",E314-VLOOKUP(B$2,C1:E430,3,FALSE),J314)</f>
        <v>-239.14286887982556</v>
      </c>
      <c r="G314" s="39"/>
      <c r="H314" s="138">
        <f>RANK(I314,I3:I430)</f>
        <v>325</v>
      </c>
      <c r="I314" s="139">
        <f>VLOOKUP(A314,'Standard Deviations'!A1:C728,3,FALSE)</f>
        <v>-3.1908891652109674</v>
      </c>
      <c r="J314" s="139">
        <f>I314-VLOOKUP(B$2,H1:J430,2,FALSE)</f>
        <v>-8.4941447524380518</v>
      </c>
    </row>
    <row r="315" spans="1:10" ht="21.25" customHeight="1" x14ac:dyDescent="0.15">
      <c r="A315" s="8" t="s">
        <v>661</v>
      </c>
      <c r="B315" s="137" t="str">
        <f>VLOOKUP(A315,'The List'!B1:D727,3,FALSE)</f>
        <v>LW</v>
      </c>
      <c r="C315" s="48">
        <f>IF(Settings!$E$15="POINTS",RANK(E315,E3:E430),H315)</f>
        <v>316</v>
      </c>
      <c r="D315" s="35" t="str">
        <f>VLOOKUP(A315,'The List'!B1:F727,5,FALSE)</f>
        <v>UFA</v>
      </c>
      <c r="E315" s="39">
        <f>VLOOKUP(A315,'The List'!B1:I727,8,FALSE)</f>
        <v>126.24939732949002</v>
      </c>
      <c r="F315" s="39">
        <f>IF(Settings!$E$15="POINTS",E315-VLOOKUP(B$2,C1:E430,3,FALSE),J315)</f>
        <v>-241.19972949520064</v>
      </c>
      <c r="G315" s="39"/>
      <c r="H315" s="138">
        <f>RANK(I315,I3:I430)</f>
        <v>314</v>
      </c>
      <c r="I315" s="139">
        <f>VLOOKUP(A315,'Standard Deviations'!A1:C728,3,FALSE)</f>
        <v>-2.9807296565128429</v>
      </c>
      <c r="J315" s="139">
        <f>I315-VLOOKUP(B$2,H1:J430,2,FALSE)</f>
        <v>-8.2839852437399273</v>
      </c>
    </row>
    <row r="316" spans="1:10" ht="21.25" customHeight="1" x14ac:dyDescent="0.15">
      <c r="A316" s="8" t="s">
        <v>730</v>
      </c>
      <c r="B316" s="137" t="str">
        <f>VLOOKUP(A316,'The List'!B1:D727,3,FALSE)</f>
        <v>C</v>
      </c>
      <c r="C316" s="48">
        <f>IF(Settings!$E$15="POINTS",RANK(E316,E3:E430),H316)</f>
        <v>311</v>
      </c>
      <c r="D316" s="35" t="str">
        <f>VLOOKUP(A316,'The List'!B1:F727,5,FALSE)</f>
        <v>MTL</v>
      </c>
      <c r="E316" s="39">
        <f>VLOOKUP(A316,'The List'!B1:I727,8,FALSE)</f>
        <v>130.50378973601349</v>
      </c>
      <c r="F316" s="39">
        <f>IF(Settings!$E$15="POINTS",E316-VLOOKUP(B$2,C1:E430,3,FALSE),J316)</f>
        <v>-236.94533708867718</v>
      </c>
      <c r="G316" s="39"/>
      <c r="H316" s="138">
        <f>RANK(I316,I3:I430)</f>
        <v>393</v>
      </c>
      <c r="I316" s="139">
        <f>VLOOKUP(A316,'Standard Deviations'!A1:C728,3,FALSE)</f>
        <v>-4.553866249360377</v>
      </c>
      <c r="J316" s="139">
        <f>I316-VLOOKUP(B$2,H1:J430,2,FALSE)</f>
        <v>-9.8571218365874618</v>
      </c>
    </row>
    <row r="317" spans="1:10" ht="21.25" customHeight="1" x14ac:dyDescent="0.15">
      <c r="A317" s="8" t="s">
        <v>612</v>
      </c>
      <c r="B317" s="137" t="str">
        <f>VLOOKUP(A317,'The List'!B1:D727,3,FALSE)</f>
        <v>RW</v>
      </c>
      <c r="C317" s="48">
        <f>IF(Settings!$E$15="POINTS",RANK(E317,E3:E430),H317)</f>
        <v>317</v>
      </c>
      <c r="D317" s="35" t="str">
        <f>VLOOKUP(A317,'The List'!B1:F727,5,FALSE)</f>
        <v>PHI</v>
      </c>
      <c r="E317" s="39">
        <f>VLOOKUP(A317,'The List'!B1:I727,8,FALSE)</f>
        <v>125.93776718180779</v>
      </c>
      <c r="F317" s="39">
        <f>IF(Settings!$E$15="POINTS",E317-VLOOKUP(B$2,C1:E430,3,FALSE),J317)</f>
        <v>-241.51135964288289</v>
      </c>
      <c r="G317" s="39"/>
      <c r="H317" s="138">
        <f>RANK(I317,I3:I430)</f>
        <v>340</v>
      </c>
      <c r="I317" s="139">
        <f>VLOOKUP(A317,'Standard Deviations'!A1:C728,3,FALSE)</f>
        <v>-3.5714614997067975</v>
      </c>
      <c r="J317" s="139">
        <f>I317-VLOOKUP(B$2,H1:J430,2,FALSE)</f>
        <v>-8.8747170869338827</v>
      </c>
    </row>
    <row r="318" spans="1:10" ht="21.25" customHeight="1" x14ac:dyDescent="0.15">
      <c r="A318" s="8" t="s">
        <v>732</v>
      </c>
      <c r="B318" s="137" t="str">
        <f>VLOOKUP(A318,'The List'!B1:D727,3,FALSE)</f>
        <v>C</v>
      </c>
      <c r="C318" s="48">
        <f>IF(Settings!$E$15="POINTS",RANK(E318,E3:E430),H318)</f>
        <v>313</v>
      </c>
      <c r="D318" s="35" t="str">
        <f>VLOOKUP(A318,'The List'!B1:F727,5,FALSE)</f>
        <v>VAN</v>
      </c>
      <c r="E318" s="39">
        <f>VLOOKUP(A318,'The List'!B1:I727,8,FALSE)</f>
        <v>128.58619856918196</v>
      </c>
      <c r="F318" s="39">
        <f>IF(Settings!$E$15="POINTS",E318-VLOOKUP(B$2,C1:E430,3,FALSE),J318)</f>
        <v>-238.86292825550871</v>
      </c>
      <c r="G318" s="39"/>
      <c r="H318" s="138">
        <f>RANK(I318,I3:I430)</f>
        <v>317</v>
      </c>
      <c r="I318" s="139">
        <f>VLOOKUP(A318,'Standard Deviations'!A1:C728,3,FALSE)</f>
        <v>-3.035542709965926</v>
      </c>
      <c r="J318" s="139">
        <f>I318-VLOOKUP(B$2,H1:J430,2,FALSE)</f>
        <v>-8.3387982971930104</v>
      </c>
    </row>
    <row r="319" spans="1:10" ht="21.25" customHeight="1" x14ac:dyDescent="0.15">
      <c r="A319" s="8" t="s">
        <v>737</v>
      </c>
      <c r="B319" s="137" t="str">
        <f>VLOOKUP(A319,'The List'!B1:D727,3,FALSE)</f>
        <v>C</v>
      </c>
      <c r="C319" s="48">
        <f>IF(Settings!$E$15="POINTS",RANK(E319,E3:E430),H319)</f>
        <v>319</v>
      </c>
      <c r="D319" s="35" t="str">
        <f>VLOOKUP(A319,'The List'!B1:F727,5,FALSE)</f>
        <v>BUF</v>
      </c>
      <c r="E319" s="39">
        <f>VLOOKUP(A319,'The List'!B1:I727,8,FALSE)</f>
        <v>125.20120564247635</v>
      </c>
      <c r="F319" s="39">
        <f>IF(Settings!$E$15="POINTS",E319-VLOOKUP(B$2,C1:E430,3,FALSE),J319)</f>
        <v>-242.24792118221433</v>
      </c>
      <c r="G319" s="39"/>
      <c r="H319" s="138">
        <f>RANK(I319,I3:I430)</f>
        <v>347</v>
      </c>
      <c r="I319" s="139">
        <f>VLOOKUP(A319,'Standard Deviations'!A1:C728,3,FALSE)</f>
        <v>-3.7844274493999555</v>
      </c>
      <c r="J319" s="139">
        <f>I319-VLOOKUP(B$2,H1:J430,2,FALSE)</f>
        <v>-9.0876830366270411</v>
      </c>
    </row>
    <row r="320" spans="1:10" ht="21.25" customHeight="1" x14ac:dyDescent="0.15">
      <c r="A320" s="8" t="s">
        <v>674</v>
      </c>
      <c r="B320" s="137" t="str">
        <f>VLOOKUP(A320,'The List'!B1:D727,3,FALSE)</f>
        <v>LW</v>
      </c>
      <c r="C320" s="48">
        <f>IF(Settings!$E$15="POINTS",RANK(E320,E3:E430),H320)</f>
        <v>324</v>
      </c>
      <c r="D320" s="35" t="str">
        <f>VLOOKUP(A320,'The List'!B1:F727,5,FALSE)</f>
        <v>STL</v>
      </c>
      <c r="E320" s="39">
        <f>VLOOKUP(A320,'The List'!B1:I727,8,FALSE)</f>
        <v>123.68301324160143</v>
      </c>
      <c r="F320" s="39">
        <f>IF(Settings!$E$15="POINTS",E320-VLOOKUP(B$2,C1:E430,3,FALSE),J320)</f>
        <v>-243.76611358308924</v>
      </c>
      <c r="G320" s="39"/>
      <c r="H320" s="138">
        <f>RANK(I320,I3:I430)</f>
        <v>350</v>
      </c>
      <c r="I320" s="139">
        <f>VLOOKUP(A320,'Standard Deviations'!A1:C728,3,FALSE)</f>
        <v>-3.8761816016082538</v>
      </c>
      <c r="J320" s="139">
        <f>I320-VLOOKUP(B$2,H1:J430,2,FALSE)</f>
        <v>-9.1794371888353385</v>
      </c>
    </row>
    <row r="321" spans="1:10" ht="21.25" customHeight="1" x14ac:dyDescent="0.15">
      <c r="A321" s="8" t="s">
        <v>740</v>
      </c>
      <c r="B321" s="137" t="str">
        <f>VLOOKUP(A321,'The List'!B1:D727,3,FALSE)</f>
        <v>C</v>
      </c>
      <c r="C321" s="48">
        <f>IF(Settings!$E$15="POINTS",RANK(E321,E3:E430),H321)</f>
        <v>323</v>
      </c>
      <c r="D321" s="35" t="str">
        <f>VLOOKUP(A321,'The List'!B1:F727,5,FALSE)</f>
        <v>ARI</v>
      </c>
      <c r="E321" s="39">
        <f>VLOOKUP(A321,'The List'!B1:I727,8,FALSE)</f>
        <v>124.10794414417873</v>
      </c>
      <c r="F321" s="39">
        <f>IF(Settings!$E$15="POINTS",E321-VLOOKUP(B$2,C1:E430,3,FALSE),J321)</f>
        <v>-243.34118268051193</v>
      </c>
      <c r="G321" s="39"/>
      <c r="H321" s="138">
        <f>RANK(I321,I3:I430)</f>
        <v>358</v>
      </c>
      <c r="I321" s="139">
        <f>VLOOKUP(A321,'Standard Deviations'!A1:C728,3,FALSE)</f>
        <v>-4.0837787972877759</v>
      </c>
      <c r="J321" s="139">
        <f>I321-VLOOKUP(B$2,H1:J430,2,FALSE)</f>
        <v>-9.3870343845148607</v>
      </c>
    </row>
    <row r="322" spans="1:10" ht="21.25" customHeight="1" x14ac:dyDescent="0.15">
      <c r="A322" s="8" t="s">
        <v>736</v>
      </c>
      <c r="B322" s="137" t="str">
        <f>VLOOKUP(A322,'The List'!B1:D727,3,FALSE)</f>
        <v>C</v>
      </c>
      <c r="C322" s="48">
        <f>IF(Settings!$E$15="POINTS",RANK(E322,E3:E430),H322)</f>
        <v>318</v>
      </c>
      <c r="D322" s="35" t="str">
        <f>VLOOKUP(A322,'The List'!B1:F727,5,FALSE)</f>
        <v>ANA</v>
      </c>
      <c r="E322" s="39">
        <f>VLOOKUP(A322,'The List'!B1:I727,8,FALSE)</f>
        <v>125.60271597910516</v>
      </c>
      <c r="F322" s="39">
        <f>IF(Settings!$E$15="POINTS",E322-VLOOKUP(B$2,C1:E430,3,FALSE),J322)</f>
        <v>-241.84641084558552</v>
      </c>
      <c r="G322" s="39"/>
      <c r="H322" s="138">
        <f>RANK(I322,I3:I430)</f>
        <v>413</v>
      </c>
      <c r="I322" s="139">
        <f>VLOOKUP(A322,'Standard Deviations'!A1:C728,3,FALSE)</f>
        <v>-5.0063601647237626</v>
      </c>
      <c r="J322" s="139">
        <f>I322-VLOOKUP(B$2,H1:J430,2,FALSE)</f>
        <v>-10.309615751950847</v>
      </c>
    </row>
    <row r="323" spans="1:10" ht="21.25" customHeight="1" x14ac:dyDescent="0.15">
      <c r="A323" s="8" t="s">
        <v>738</v>
      </c>
      <c r="B323" s="137" t="str">
        <f>VLOOKUP(A323,'The List'!B1:D727,3,FALSE)</f>
        <v>C</v>
      </c>
      <c r="C323" s="48">
        <f>IF(Settings!$E$15="POINTS",RANK(E323,E3:E430),H323)</f>
        <v>320</v>
      </c>
      <c r="D323" s="35" t="str">
        <f>VLOOKUP(A323,'The List'!B1:F727,5,FALSE)</f>
        <v>WSH</v>
      </c>
      <c r="E323" s="39">
        <f>VLOOKUP(A323,'The List'!B1:I727,8,FALSE)</f>
        <v>124.93271596445747</v>
      </c>
      <c r="F323" s="39">
        <f>IF(Settings!$E$15="POINTS",E323-VLOOKUP(B$2,C1:E430,3,FALSE),J323)</f>
        <v>-242.51641086023318</v>
      </c>
      <c r="G323" s="39"/>
      <c r="H323" s="138">
        <f>RANK(I323,I3:I430)</f>
        <v>319</v>
      </c>
      <c r="I323" s="139">
        <f>VLOOKUP(A323,'Standard Deviations'!A1:C728,3,FALSE)</f>
        <v>-3.0759262024895202</v>
      </c>
      <c r="J323" s="139">
        <f>I323-VLOOKUP(B$2,H1:J430,2,FALSE)</f>
        <v>-8.3791817897166041</v>
      </c>
    </row>
    <row r="324" spans="1:10" ht="21.25" customHeight="1" x14ac:dyDescent="0.15">
      <c r="A324" s="8" t="s">
        <v>739</v>
      </c>
      <c r="B324" s="137" t="str">
        <f>VLOOKUP(A324,'The List'!B1:D727,3,FALSE)</f>
        <v>C</v>
      </c>
      <c r="C324" s="48">
        <f>IF(Settings!$E$15="POINTS",RANK(E324,E3:E430),H324)</f>
        <v>322</v>
      </c>
      <c r="D324" s="35" t="str">
        <f>VLOOKUP(A324,'The List'!B1:F727,5,FALSE)</f>
        <v>CBJ</v>
      </c>
      <c r="E324" s="39">
        <f>VLOOKUP(A324,'The List'!B1:I727,8,FALSE)</f>
        <v>124.27180798551854</v>
      </c>
      <c r="F324" s="39">
        <f>IF(Settings!$E$15="POINTS",E324-VLOOKUP(B$2,C1:E430,3,FALSE),J324)</f>
        <v>-243.17731883917213</v>
      </c>
      <c r="G324" s="39"/>
      <c r="H324" s="138">
        <f>RANK(I324,I3:I430)</f>
        <v>395</v>
      </c>
      <c r="I324" s="139">
        <f>VLOOKUP(A324,'Standard Deviations'!A1:C728,3,FALSE)</f>
        <v>-4.6081411099150547</v>
      </c>
      <c r="J324" s="139">
        <f>I324-VLOOKUP(B$2,H1:J430,2,FALSE)</f>
        <v>-9.9113966971421394</v>
      </c>
    </row>
    <row r="325" spans="1:10" ht="21.25" customHeight="1" x14ac:dyDescent="0.15">
      <c r="A325" s="8" t="s">
        <v>620</v>
      </c>
      <c r="B325" s="137" t="str">
        <f>VLOOKUP(A325,'The List'!B1:D727,3,FALSE)</f>
        <v>RW</v>
      </c>
      <c r="C325" s="48">
        <f>IF(Settings!$E$15="POINTS",RANK(E325,E3:E430),H325)</f>
        <v>321</v>
      </c>
      <c r="D325" s="35" t="str">
        <f>VLOOKUP(A325,'The List'!B1:F727,5,FALSE)</f>
        <v>PHI</v>
      </c>
      <c r="E325" s="39">
        <f>VLOOKUP(A325,'The List'!B1:I727,8,FALSE)</f>
        <v>124.29024494307586</v>
      </c>
      <c r="F325" s="39">
        <f>IF(Settings!$E$15="POINTS",E325-VLOOKUP(B$2,C1:E430,3,FALSE),J325)</f>
        <v>-243.1588818816148</v>
      </c>
      <c r="G325" s="39"/>
      <c r="H325" s="138">
        <f>RANK(I325,I3:I430)</f>
        <v>338</v>
      </c>
      <c r="I325" s="139">
        <f>VLOOKUP(A325,'Standard Deviations'!A1:C728,3,FALSE)</f>
        <v>-3.5611329654919439</v>
      </c>
      <c r="J325" s="139">
        <f>I325-VLOOKUP(B$2,H1:J430,2,FALSE)</f>
        <v>-8.8643885527190278</v>
      </c>
    </row>
    <row r="326" spans="1:10" ht="21.25" customHeight="1" x14ac:dyDescent="0.15">
      <c r="A326" s="8" t="s">
        <v>678</v>
      </c>
      <c r="B326" s="137" t="str">
        <f>VLOOKUP(A326,'The List'!B1:D727,3,FALSE)</f>
        <v>LW</v>
      </c>
      <c r="C326" s="48">
        <f>IF(Settings!$E$15="POINTS",RANK(E326,E3:E430),H326)</f>
        <v>326</v>
      </c>
      <c r="D326" s="35" t="str">
        <f>VLOOKUP(A326,'The List'!B1:F727,5,FALSE)</f>
        <v>BUF</v>
      </c>
      <c r="E326" s="39">
        <f>VLOOKUP(A326,'The List'!B1:I727,8,FALSE)</f>
        <v>122.05546986107606</v>
      </c>
      <c r="F326" s="39">
        <f>IF(Settings!$E$15="POINTS",E326-VLOOKUP(B$2,C1:E430,3,FALSE),J326)</f>
        <v>-245.3936569636146</v>
      </c>
      <c r="G326" s="39"/>
      <c r="H326" s="138">
        <f>RANK(I326,I3:I430)</f>
        <v>336</v>
      </c>
      <c r="I326" s="139">
        <f>VLOOKUP(A326,'Standard Deviations'!A1:C728,3,FALSE)</f>
        <v>-3.4607516593607706</v>
      </c>
      <c r="J326" s="139">
        <f>I326-VLOOKUP(B$2,H1:J430,2,FALSE)</f>
        <v>-8.7640072465878553</v>
      </c>
    </row>
    <row r="327" spans="1:10" ht="21.25" customHeight="1" x14ac:dyDescent="0.15">
      <c r="A327" s="8" t="s">
        <v>623</v>
      </c>
      <c r="B327" s="137" t="str">
        <f>VLOOKUP(A327,'The List'!B1:D727,3,FALSE)</f>
        <v>RW</v>
      </c>
      <c r="C327" s="48">
        <f>IF(Settings!$E$15="POINTS",RANK(E327,E3:E430),H327)</f>
        <v>328</v>
      </c>
      <c r="D327" s="35" t="str">
        <f>VLOOKUP(A327,'The List'!B1:F727,5,FALSE)</f>
        <v>NSH</v>
      </c>
      <c r="E327" s="39">
        <f>VLOOKUP(A327,'The List'!B1:I727,8,FALSE)</f>
        <v>121.91977834262656</v>
      </c>
      <c r="F327" s="39">
        <f>IF(Settings!$E$15="POINTS",E327-VLOOKUP(B$2,C1:E430,3,FALSE),J327)</f>
        <v>-245.52934848206411</v>
      </c>
      <c r="G327" s="39"/>
      <c r="H327" s="138">
        <f>RANK(I327,I3:I430)</f>
        <v>329</v>
      </c>
      <c r="I327" s="139">
        <f>VLOOKUP(A327,'Standard Deviations'!A1:C728,3,FALSE)</f>
        <v>-3.3072339351126052</v>
      </c>
      <c r="J327" s="139">
        <f>I327-VLOOKUP(B$2,H1:J430,2,FALSE)</f>
        <v>-8.6104895223396909</v>
      </c>
    </row>
    <row r="328" spans="1:10" ht="21.25" customHeight="1" x14ac:dyDescent="0.15">
      <c r="A328" s="8" t="s">
        <v>733</v>
      </c>
      <c r="B328" s="137" t="str">
        <f>VLOOKUP(A328,'The List'!B1:D727,3,FALSE)</f>
        <v>C</v>
      </c>
      <c r="C328" s="48">
        <f>IF(Settings!$E$15="POINTS",RANK(E328,E3:E430),H328)</f>
        <v>315</v>
      </c>
      <c r="D328" s="35" t="str">
        <f>VLOOKUP(A328,'The List'!B1:F727,5,FALSE)</f>
        <v>DAL</v>
      </c>
      <c r="E328" s="39">
        <f>VLOOKUP(A328,'The List'!B1:I727,8,FALSE)</f>
        <v>127.59364217504567</v>
      </c>
      <c r="F328" s="39">
        <f>IF(Settings!$E$15="POINTS",E328-VLOOKUP(B$2,C1:E430,3,FALSE),J328)</f>
        <v>-239.85548464964501</v>
      </c>
      <c r="G328" s="39"/>
      <c r="H328" s="138">
        <f>RANK(I328,I3:I430)</f>
        <v>283</v>
      </c>
      <c r="I328" s="139">
        <f>VLOOKUP(A328,'Standard Deviations'!A1:C728,3,FALSE)</f>
        <v>-2.4243151518178476</v>
      </c>
      <c r="J328" s="139">
        <f>I328-VLOOKUP(B$2,H1:J430,2,FALSE)</f>
        <v>-7.727570739044932</v>
      </c>
    </row>
    <row r="329" spans="1:10" ht="21.25" customHeight="1" x14ac:dyDescent="0.15">
      <c r="A329" s="8" t="s">
        <v>627</v>
      </c>
      <c r="B329" s="137" t="str">
        <f>VLOOKUP(A329,'The List'!B1:D727,3,FALSE)</f>
        <v>RW</v>
      </c>
      <c r="C329" s="48">
        <f>IF(Settings!$E$15="POINTS",RANK(E329,E3:E430),H329)</f>
        <v>329</v>
      </c>
      <c r="D329" s="35" t="str">
        <f>VLOOKUP(A329,'The List'!B1:F727,5,FALSE)</f>
        <v>NYI</v>
      </c>
      <c r="E329" s="39">
        <f>VLOOKUP(A329,'The List'!B1:I727,8,FALSE)</f>
        <v>121.81506296001123</v>
      </c>
      <c r="F329" s="39">
        <f>IF(Settings!$E$15="POINTS",E329-VLOOKUP(B$2,C1:E430,3,FALSE),J329)</f>
        <v>-245.63406386467943</v>
      </c>
      <c r="G329" s="39"/>
      <c r="H329" s="138">
        <f>RANK(I329,I3:I430)</f>
        <v>310</v>
      </c>
      <c r="I329" s="139">
        <f>VLOOKUP(A329,'Standard Deviations'!A1:C728,3,FALSE)</f>
        <v>-2.9236754550334698</v>
      </c>
      <c r="J329" s="139">
        <f>I329-VLOOKUP(B$2,H1:J430,2,FALSE)</f>
        <v>-8.2269310422605546</v>
      </c>
    </row>
    <row r="330" spans="1:10" ht="21.25" customHeight="1" x14ac:dyDescent="0.15">
      <c r="A330" s="8" t="s">
        <v>742</v>
      </c>
      <c r="B330" s="137" t="str">
        <f>VLOOKUP(A330,'The List'!B1:D727,3,FALSE)</f>
        <v>C</v>
      </c>
      <c r="C330" s="48">
        <f>IF(Settings!$E$15="POINTS",RANK(E330,E3:E430),H330)</f>
        <v>325</v>
      </c>
      <c r="D330" s="35" t="str">
        <f>VLOOKUP(A330,'The List'!B1:F727,5,FALSE)</f>
        <v>BUF</v>
      </c>
      <c r="E330" s="39">
        <f>VLOOKUP(A330,'The List'!B1:I727,8,FALSE)</f>
        <v>122.93542004166916</v>
      </c>
      <c r="F330" s="39">
        <f>IF(Settings!$E$15="POINTS",E330-VLOOKUP(B$2,C1:E430,3,FALSE),J330)</f>
        <v>-244.51370678302152</v>
      </c>
      <c r="G330" s="39"/>
      <c r="H330" s="138">
        <f>RANK(I330,I3:I430)</f>
        <v>369</v>
      </c>
      <c r="I330" s="139">
        <f>VLOOKUP(A330,'Standard Deviations'!A1:C728,3,FALSE)</f>
        <v>-4.2408592933271265</v>
      </c>
      <c r="J330" s="139">
        <f>I330-VLOOKUP(B$2,H1:J430,2,FALSE)</f>
        <v>-9.5441148805542113</v>
      </c>
    </row>
    <row r="331" spans="1:10" ht="21.25" customHeight="1" x14ac:dyDescent="0.15">
      <c r="A331" s="8" t="s">
        <v>631</v>
      </c>
      <c r="B331" s="137" t="str">
        <f>VLOOKUP(A331,'The List'!B1:D727,3,FALSE)</f>
        <v>RW</v>
      </c>
      <c r="C331" s="48">
        <f>IF(Settings!$E$15="POINTS",RANK(E331,E3:E430),H331)</f>
        <v>331</v>
      </c>
      <c r="D331" s="35" t="str">
        <f>VLOOKUP(A331,'The List'!B1:F727,5,FALSE)</f>
        <v>CBJ</v>
      </c>
      <c r="E331" s="39">
        <f>VLOOKUP(A331,'The List'!B1:I727,8,FALSE)</f>
        <v>120.85512870656531</v>
      </c>
      <c r="F331" s="39">
        <f>IF(Settings!$E$15="POINTS",E331-VLOOKUP(B$2,C1:E430,3,FALSE),J331)</f>
        <v>-246.59399811812534</v>
      </c>
      <c r="G331" s="39"/>
      <c r="H331" s="138">
        <f>RANK(I331,I3:I430)</f>
        <v>382</v>
      </c>
      <c r="I331" s="139">
        <f>VLOOKUP(A331,'Standard Deviations'!A1:C728,3,FALSE)</f>
        <v>-4.3952191583586666</v>
      </c>
      <c r="J331" s="139">
        <f>I331-VLOOKUP(B$2,H1:J430,2,FALSE)</f>
        <v>-9.6984747455857523</v>
      </c>
    </row>
    <row r="332" spans="1:10" ht="21.25" customHeight="1" x14ac:dyDescent="0.15">
      <c r="A332" s="8" t="s">
        <v>743</v>
      </c>
      <c r="B332" s="137" t="str">
        <f>VLOOKUP(A332,'The List'!B1:D727,3,FALSE)</f>
        <v>C</v>
      </c>
      <c r="C332" s="48">
        <f>IF(Settings!$E$15="POINTS",RANK(E332,E3:E430),H332)</f>
        <v>327</v>
      </c>
      <c r="D332" s="35" t="str">
        <f>VLOOKUP(A332,'The List'!B1:F727,5,FALSE)</f>
        <v>NJD</v>
      </c>
      <c r="E332" s="39">
        <f>VLOOKUP(A332,'The List'!B1:I727,8,FALSE)</f>
        <v>121.92884704196358</v>
      </c>
      <c r="F332" s="39">
        <f>IF(Settings!$E$15="POINTS",E332-VLOOKUP(B$2,C1:E430,3,FALSE),J332)</f>
        <v>-245.52027978272707</v>
      </c>
      <c r="G332" s="39"/>
      <c r="H332" s="138">
        <f>RANK(I332,I3:I430)</f>
        <v>330</v>
      </c>
      <c r="I332" s="139">
        <f>VLOOKUP(A332,'Standard Deviations'!A1:C728,3,FALSE)</f>
        <v>-3.3186122886160163</v>
      </c>
      <c r="J332" s="139">
        <f>I332-VLOOKUP(B$2,H1:J430,2,FALSE)</f>
        <v>-8.6218678758431011</v>
      </c>
    </row>
    <row r="333" spans="1:10" ht="21.25" customHeight="1" x14ac:dyDescent="0.15">
      <c r="A333" s="8" t="s">
        <v>634</v>
      </c>
      <c r="B333" s="137" t="str">
        <f>VLOOKUP(A333,'The List'!B1:D727,3,FALSE)</f>
        <v>RW</v>
      </c>
      <c r="C333" s="48">
        <f>IF(Settings!$E$15="POINTS",RANK(E333,E3:E430),H333)</f>
        <v>333</v>
      </c>
      <c r="D333" s="35" t="str">
        <f>VLOOKUP(A333,'The List'!B1:F727,5,FALSE)</f>
        <v>CGY</v>
      </c>
      <c r="E333" s="39">
        <f>VLOOKUP(A333,'The List'!B1:I727,8,FALSE)</f>
        <v>120.14758334311534</v>
      </c>
      <c r="F333" s="39">
        <f>IF(Settings!$E$15="POINTS",E333-VLOOKUP(B$2,C1:E430,3,FALSE),J333)</f>
        <v>-247.30154348157532</v>
      </c>
      <c r="G333" s="39"/>
      <c r="H333" s="138">
        <f>RANK(I333,I3:I430)</f>
        <v>324</v>
      </c>
      <c r="I333" s="139">
        <f>VLOOKUP(A333,'Standard Deviations'!A1:C728,3,FALSE)</f>
        <v>-3.1761929346102633</v>
      </c>
      <c r="J333" s="139">
        <f>I333-VLOOKUP(B$2,H1:J430,2,FALSE)</f>
        <v>-8.4794485218373481</v>
      </c>
    </row>
    <row r="334" spans="1:10" ht="21.25" customHeight="1" x14ac:dyDescent="0.15">
      <c r="A334" s="8" t="s">
        <v>685</v>
      </c>
      <c r="B334" s="137" t="str">
        <f>VLOOKUP(A334,'The List'!B1:D727,3,FALSE)</f>
        <v>LW</v>
      </c>
      <c r="C334" s="48">
        <f>IF(Settings!$E$15="POINTS",RANK(E334,E3:E430),H334)</f>
        <v>335</v>
      </c>
      <c r="D334" s="35" t="str">
        <f>VLOOKUP(A334,'The List'!B1:F727,5,FALSE)</f>
        <v>UFA</v>
      </c>
      <c r="E334" s="39">
        <f>VLOOKUP(A334,'The List'!B1:I727,8,FALSE)</f>
        <v>120.0268379715418</v>
      </c>
      <c r="F334" s="39">
        <f>IF(Settings!$E$15="POINTS",E334-VLOOKUP(B$2,C1:E430,3,FALSE),J334)</f>
        <v>-247.42228885314887</v>
      </c>
      <c r="G334" s="39"/>
      <c r="H334" s="138">
        <f>RANK(I334,I3:I430)</f>
        <v>305</v>
      </c>
      <c r="I334" s="139">
        <f>VLOOKUP(A334,'Standard Deviations'!A1:C728,3,FALSE)</f>
        <v>-2.8563407082757339</v>
      </c>
      <c r="J334" s="139">
        <f>I334-VLOOKUP(B$2,H1:J430,2,FALSE)</f>
        <v>-8.1595962955028192</v>
      </c>
    </row>
    <row r="335" spans="1:10" ht="21.25" customHeight="1" x14ac:dyDescent="0.15">
      <c r="A335" s="8" t="s">
        <v>684</v>
      </c>
      <c r="B335" s="137" t="str">
        <f>VLOOKUP(A335,'The List'!B1:D727,3,FALSE)</f>
        <v>LW</v>
      </c>
      <c r="C335" s="48">
        <f>IF(Settings!$E$15="POINTS",RANK(E335,E3:E430),H335)</f>
        <v>334</v>
      </c>
      <c r="D335" s="35" t="str">
        <f>VLOOKUP(A335,'The List'!B1:F727,5,FALSE)</f>
        <v>STL</v>
      </c>
      <c r="E335" s="39">
        <f>VLOOKUP(A335,'The List'!B1:I727,8,FALSE)</f>
        <v>120.03758897608662</v>
      </c>
      <c r="F335" s="39">
        <f>IF(Settings!$E$15="POINTS",E335-VLOOKUP(B$2,C1:E430,3,FALSE),J335)</f>
        <v>-247.41153784860404</v>
      </c>
      <c r="G335" s="39"/>
      <c r="H335" s="138">
        <f>RANK(I335,I3:I430)</f>
        <v>388</v>
      </c>
      <c r="I335" s="139">
        <f>VLOOKUP(A335,'Standard Deviations'!A1:C728,3,FALSE)</f>
        <v>-4.4706491107836559</v>
      </c>
      <c r="J335" s="139">
        <f>I335-VLOOKUP(B$2,H1:J430,2,FALSE)</f>
        <v>-9.7739046980107407</v>
      </c>
    </row>
    <row r="336" spans="1:10" ht="21.25" customHeight="1" x14ac:dyDescent="0.15">
      <c r="A336" s="8" t="s">
        <v>639</v>
      </c>
      <c r="B336" s="137" t="str">
        <f>VLOOKUP(A336,'The List'!B1:D727,3,FALSE)</f>
        <v>RW</v>
      </c>
      <c r="C336" s="48">
        <f>IF(Settings!$E$15="POINTS",RANK(E336,E3:E430),H336)</f>
        <v>338</v>
      </c>
      <c r="D336" s="35" t="str">
        <f>VLOOKUP(A336,'The List'!B1:F727,5,FALSE)</f>
        <v>NJD</v>
      </c>
      <c r="E336" s="39">
        <f>VLOOKUP(A336,'The List'!B1:I727,8,FALSE)</f>
        <v>118.70700731937896</v>
      </c>
      <c r="F336" s="39">
        <f>IF(Settings!$E$15="POINTS",E336-VLOOKUP(B$2,C1:E430,3,FALSE),J336)</f>
        <v>-248.74211950531171</v>
      </c>
      <c r="G336" s="39"/>
      <c r="H336" s="138">
        <f>RANK(I336,I3:I430)</f>
        <v>298</v>
      </c>
      <c r="I336" s="139">
        <f>VLOOKUP(A336,'Standard Deviations'!A1:C728,3,FALSE)</f>
        <v>-2.7259629739765923</v>
      </c>
      <c r="J336" s="139">
        <f>I336-VLOOKUP(B$2,H1:J430,2,FALSE)</f>
        <v>-8.0292185612036775</v>
      </c>
    </row>
    <row r="337" spans="1:10" ht="21.25" customHeight="1" x14ac:dyDescent="0.15">
      <c r="A337" s="8" t="s">
        <v>752</v>
      </c>
      <c r="B337" s="137" t="str">
        <f>VLOOKUP(A337,'The List'!B1:D727,3,FALSE)</f>
        <v>C</v>
      </c>
      <c r="C337" s="48">
        <f>IF(Settings!$E$15="POINTS",RANK(E337,E3:E430),H337)</f>
        <v>339</v>
      </c>
      <c r="D337" s="35" t="str">
        <f>VLOOKUP(A337,'The List'!B1:F727,5,FALSE)</f>
        <v>OTT</v>
      </c>
      <c r="E337" s="39">
        <f>VLOOKUP(A337,'The List'!B1:I727,8,FALSE)</f>
        <v>118.42222702371805</v>
      </c>
      <c r="F337" s="39">
        <f>IF(Settings!$E$15="POINTS",E337-VLOOKUP(B$2,C1:E430,3,FALSE),J337)</f>
        <v>-249.02689980097261</v>
      </c>
      <c r="G337" s="39"/>
      <c r="H337" s="138">
        <f>RANK(I337,I3:I430)</f>
        <v>321</v>
      </c>
      <c r="I337" s="139">
        <f>VLOOKUP(A337,'Standard Deviations'!A1:C728,3,FALSE)</f>
        <v>-3.1340512290564071</v>
      </c>
      <c r="J337" s="139">
        <f>I337-VLOOKUP(B$2,H1:J430,2,FALSE)</f>
        <v>-8.4373068162834919</v>
      </c>
    </row>
    <row r="338" spans="1:10" ht="21.25" customHeight="1" x14ac:dyDescent="0.15">
      <c r="A338" s="8" t="s">
        <v>745</v>
      </c>
      <c r="B338" s="137" t="str">
        <f>VLOOKUP(A338,'The List'!B1:D727,3,FALSE)</f>
        <v>C</v>
      </c>
      <c r="C338" s="48">
        <f>IF(Settings!$E$15="POINTS",RANK(E338,E3:E430),H338)</f>
        <v>330</v>
      </c>
      <c r="D338" s="35" t="str">
        <f>VLOOKUP(A338,'The List'!B1:F727,5,FALSE)</f>
        <v>PIT</v>
      </c>
      <c r="E338" s="39">
        <f>VLOOKUP(A338,'The List'!B1:I727,8,FALSE)</f>
        <v>121.11456459877066</v>
      </c>
      <c r="F338" s="39">
        <f>IF(Settings!$E$15="POINTS",E338-VLOOKUP(B$2,C1:E430,3,FALSE),J338)</f>
        <v>-246.33456222592002</v>
      </c>
      <c r="G338" s="39"/>
      <c r="H338" s="138">
        <f>RANK(I338,I3:I430)</f>
        <v>276</v>
      </c>
      <c r="I338" s="139">
        <f>VLOOKUP(A338,'Standard Deviations'!A1:C728,3,FALSE)</f>
        <v>-2.3316790992212191</v>
      </c>
      <c r="J338" s="139">
        <f>I338-VLOOKUP(B$2,H1:J430,2,FALSE)</f>
        <v>-7.6349346864483039</v>
      </c>
    </row>
    <row r="339" spans="1:10" ht="21.25" customHeight="1" x14ac:dyDescent="0.15">
      <c r="A339" s="8" t="s">
        <v>750</v>
      </c>
      <c r="B339" s="137" t="str">
        <f>VLOOKUP(A339,'The List'!B1:D727,3,FALSE)</f>
        <v>C</v>
      </c>
      <c r="C339" s="48">
        <f>IF(Settings!$E$15="POINTS",RANK(E339,E3:E430),H339)</f>
        <v>337</v>
      </c>
      <c r="D339" s="35" t="str">
        <f>VLOOKUP(A339,'The List'!B1:F727,5,FALSE)</f>
        <v>VGK</v>
      </c>
      <c r="E339" s="39">
        <f>VLOOKUP(A339,'The List'!B1:I727,8,FALSE)</f>
        <v>119.3680710649522</v>
      </c>
      <c r="F339" s="39">
        <f>IF(Settings!$E$15="POINTS",E339-VLOOKUP(B$2,C1:E430,3,FALSE),J339)</f>
        <v>-248.08105575973846</v>
      </c>
      <c r="G339" s="39"/>
      <c r="H339" s="138">
        <f>RANK(I339,I3:I430)</f>
        <v>266</v>
      </c>
      <c r="I339" s="139">
        <f>VLOOKUP(A339,'Standard Deviations'!A1:C728,3,FALSE)</f>
        <v>-2.136746282660277</v>
      </c>
      <c r="J339" s="139">
        <f>I339-VLOOKUP(B$2,H1:J430,2,FALSE)</f>
        <v>-7.4400018698873618</v>
      </c>
    </row>
    <row r="340" spans="1:10" ht="21.25" customHeight="1" x14ac:dyDescent="0.15">
      <c r="A340" s="8" t="s">
        <v>747</v>
      </c>
      <c r="B340" s="137" t="str">
        <f>VLOOKUP(A340,'The List'!B1:D727,3,FALSE)</f>
        <v>C</v>
      </c>
      <c r="C340" s="48">
        <f>IF(Settings!$E$15="POINTS",RANK(E340,E3:E430),H340)</f>
        <v>332</v>
      </c>
      <c r="D340" s="35" t="str">
        <f>VLOOKUP(A340,'The List'!B1:F727,5,FALSE)</f>
        <v>WPG</v>
      </c>
      <c r="E340" s="39">
        <f>VLOOKUP(A340,'The List'!B1:I727,8,FALSE)</f>
        <v>120.49235908399493</v>
      </c>
      <c r="F340" s="39">
        <f>IF(Settings!$E$15="POINTS",E340-VLOOKUP(B$2,C1:E430,3,FALSE),J340)</f>
        <v>-246.95676774069574</v>
      </c>
      <c r="G340" s="39"/>
      <c r="H340" s="138">
        <f>RANK(I340,I3:I430)</f>
        <v>315</v>
      </c>
      <c r="I340" s="139">
        <f>VLOOKUP(A340,'Standard Deviations'!A1:C728,3,FALSE)</f>
        <v>-3.0123651963141422</v>
      </c>
      <c r="J340" s="139">
        <f>I340-VLOOKUP(B$2,H1:J430,2,FALSE)</f>
        <v>-8.3156207835412275</v>
      </c>
    </row>
    <row r="341" spans="1:10" ht="21.25" customHeight="1" x14ac:dyDescent="0.15">
      <c r="A341" s="8" t="s">
        <v>643</v>
      </c>
      <c r="B341" s="137" t="str">
        <f>VLOOKUP(A341,'The List'!B1:D727,3,FALSE)</f>
        <v>RW</v>
      </c>
      <c r="C341" s="48">
        <f>IF(Settings!$E$15="POINTS",RANK(E341,E3:E430),H341)</f>
        <v>341</v>
      </c>
      <c r="D341" s="35" t="str">
        <f>VLOOKUP(A341,'The List'!B1:F727,5,FALSE)</f>
        <v>LAK</v>
      </c>
      <c r="E341" s="39">
        <f>VLOOKUP(A341,'The List'!B1:I727,8,FALSE)</f>
        <v>117.63192964471591</v>
      </c>
      <c r="F341" s="39">
        <f>IF(Settings!$E$15="POINTS",E341-VLOOKUP(B$2,C1:E430,3,FALSE),J341)</f>
        <v>-249.81719717997476</v>
      </c>
      <c r="G341" s="39"/>
      <c r="H341" s="138">
        <f>RANK(I341,I3:I430)</f>
        <v>332</v>
      </c>
      <c r="I341" s="139">
        <f>VLOOKUP(A341,'Standard Deviations'!A1:C728,3,FALSE)</f>
        <v>-3.3840748943558956</v>
      </c>
      <c r="J341" s="139">
        <f>I341-VLOOKUP(B$2,H1:J430,2,FALSE)</f>
        <v>-8.6873304815829808</v>
      </c>
    </row>
    <row r="342" spans="1:10" ht="21.25" customHeight="1" x14ac:dyDescent="0.15">
      <c r="A342" s="8" t="s">
        <v>755</v>
      </c>
      <c r="B342" s="137" t="str">
        <f>VLOOKUP(A342,'The List'!B1:D727,3,FALSE)</f>
        <v>C</v>
      </c>
      <c r="C342" s="48">
        <f>IF(Settings!$E$15="POINTS",RANK(E342,E3:E430),H342)</f>
        <v>343</v>
      </c>
      <c r="D342" s="35" t="str">
        <f>VLOOKUP(A342,'The List'!B1:F727,5,FALSE)</f>
        <v>VGK</v>
      </c>
      <c r="E342" s="39">
        <f>VLOOKUP(A342,'The List'!B1:I727,8,FALSE)</f>
        <v>116.87366577957985</v>
      </c>
      <c r="F342" s="39">
        <f>IF(Settings!$E$15="POINTS",E342-VLOOKUP(B$2,C1:E430,3,FALSE),J342)</f>
        <v>-250.57546104511081</v>
      </c>
      <c r="G342" s="39"/>
      <c r="H342" s="138">
        <f>RANK(I342,I3:I430)</f>
        <v>312</v>
      </c>
      <c r="I342" s="139">
        <f>VLOOKUP(A342,'Standard Deviations'!A1:C728,3,FALSE)</f>
        <v>-2.9537329194914563</v>
      </c>
      <c r="J342" s="139">
        <f>I342-VLOOKUP(B$2,H1:J430,2,FALSE)</f>
        <v>-8.2569885067185407</v>
      </c>
    </row>
    <row r="343" spans="1:10" ht="21.25" customHeight="1" x14ac:dyDescent="0.15">
      <c r="A343" s="8" t="s">
        <v>686</v>
      </c>
      <c r="B343" s="137" t="str">
        <f>VLOOKUP(A343,'The List'!B1:D727,3,FALSE)</f>
        <v>LW</v>
      </c>
      <c r="C343" s="48">
        <f>IF(Settings!$E$15="POINTS",RANK(E343,E3:E430),H343)</f>
        <v>336</v>
      </c>
      <c r="D343" s="35" t="str">
        <f>VLOOKUP(A343,'The List'!B1:F727,5,FALSE)</f>
        <v>ANA</v>
      </c>
      <c r="E343" s="39">
        <f>VLOOKUP(A343,'The List'!B1:I727,8,FALSE)</f>
        <v>119.49733274317362</v>
      </c>
      <c r="F343" s="39">
        <f>IF(Settings!$E$15="POINTS",E343-VLOOKUP(B$2,C1:E430,3,FALSE),J343)</f>
        <v>-247.95179408151705</v>
      </c>
      <c r="G343" s="39"/>
      <c r="H343" s="138">
        <f>RANK(I343,I3:I430)</f>
        <v>410</v>
      </c>
      <c r="I343" s="139">
        <f>VLOOKUP(A343,'Standard Deviations'!A1:C728,3,FALSE)</f>
        <v>-4.9508319733734716</v>
      </c>
      <c r="J343" s="139">
        <f>I343-VLOOKUP(B$2,H1:J430,2,FALSE)</f>
        <v>-10.254087560600556</v>
      </c>
    </row>
    <row r="344" spans="1:10" ht="21.25" customHeight="1" x14ac:dyDescent="0.15">
      <c r="A344" s="8" t="s">
        <v>644</v>
      </c>
      <c r="B344" s="137" t="str">
        <f>VLOOKUP(A344,'The List'!B1:D727,3,FALSE)</f>
        <v>RW</v>
      </c>
      <c r="C344" s="48">
        <f>IF(Settings!$E$15="POINTS",RANK(E344,E3:E430),H344)</f>
        <v>342</v>
      </c>
      <c r="D344" s="35" t="str">
        <f>VLOOKUP(A344,'The List'!B1:F727,5,FALSE)</f>
        <v>WSH</v>
      </c>
      <c r="E344" s="39">
        <f>VLOOKUP(A344,'The List'!B1:I727,8,FALSE)</f>
        <v>116.99397225589891</v>
      </c>
      <c r="F344" s="39">
        <f>IF(Settings!$E$15="POINTS",E344-VLOOKUP(B$2,C1:E430,3,FALSE),J344)</f>
        <v>-250.45515456879176</v>
      </c>
      <c r="G344" s="39"/>
      <c r="H344" s="138">
        <f>RANK(I344,I3:I430)</f>
        <v>365</v>
      </c>
      <c r="I344" s="139">
        <f>VLOOKUP(A344,'Standard Deviations'!A1:C728,3,FALSE)</f>
        <v>-4.1872475223862216</v>
      </c>
      <c r="J344" s="139">
        <f>I344-VLOOKUP(B$2,H1:J430,2,FALSE)</f>
        <v>-9.4905031096133072</v>
      </c>
    </row>
    <row r="345" spans="1:10" ht="21.25" customHeight="1" x14ac:dyDescent="0.15">
      <c r="A345" s="8" t="s">
        <v>754</v>
      </c>
      <c r="B345" s="137" t="str">
        <f>VLOOKUP(A345,'The List'!B1:D727,3,FALSE)</f>
        <v>C</v>
      </c>
      <c r="C345" s="48">
        <f>IF(Settings!$E$15="POINTS",RANK(E345,E3:E430),H345)</f>
        <v>340</v>
      </c>
      <c r="D345" s="35" t="str">
        <f>VLOOKUP(A345,'The List'!B1:F727,5,FALSE)</f>
        <v>NYI</v>
      </c>
      <c r="E345" s="39">
        <f>VLOOKUP(A345,'The List'!B1:I727,8,FALSE)</f>
        <v>118.04925414598516</v>
      </c>
      <c r="F345" s="39">
        <f>IF(Settings!$E$15="POINTS",E345-VLOOKUP(B$2,C1:E430,3,FALSE),J345)</f>
        <v>-249.39987267870549</v>
      </c>
      <c r="G345" s="39"/>
      <c r="H345" s="138">
        <f>RANK(I345,I3:I430)</f>
        <v>335</v>
      </c>
      <c r="I345" s="139">
        <f>VLOOKUP(A345,'Standard Deviations'!A1:C728,3,FALSE)</f>
        <v>-3.4488663253507905</v>
      </c>
      <c r="J345" s="139">
        <f>I345-VLOOKUP(B$2,H1:J430,2,FALSE)</f>
        <v>-8.7521219125778753</v>
      </c>
    </row>
    <row r="346" spans="1:10" ht="21.25" customHeight="1" x14ac:dyDescent="0.15">
      <c r="A346" s="8" t="s">
        <v>696</v>
      </c>
      <c r="B346" s="137" t="str">
        <f>VLOOKUP(A346,'The List'!B1:D727,3,FALSE)</f>
        <v>LW</v>
      </c>
      <c r="C346" s="48">
        <f>IF(Settings!$E$15="POINTS",RANK(E346,E3:E430),H346)</f>
        <v>346</v>
      </c>
      <c r="D346" s="35" t="str">
        <f>VLOOKUP(A346,'The List'!B1:F727,5,FALSE)</f>
        <v>FLA</v>
      </c>
      <c r="E346" s="39">
        <f>VLOOKUP(A346,'The List'!B1:I727,8,FALSE)</f>
        <v>115.76546410390661</v>
      </c>
      <c r="F346" s="39">
        <f>IF(Settings!$E$15="POINTS",E346-VLOOKUP(B$2,C1:E430,3,FALSE),J346)</f>
        <v>-251.68366272078407</v>
      </c>
      <c r="G346" s="39"/>
      <c r="H346" s="138">
        <f>RANK(I346,I3:I430)</f>
        <v>309</v>
      </c>
      <c r="I346" s="139">
        <f>VLOOKUP(A346,'Standard Deviations'!A1:C728,3,FALSE)</f>
        <v>-2.9190266702151355</v>
      </c>
      <c r="J346" s="139">
        <f>I346-VLOOKUP(B$2,H1:J430,2,FALSE)</f>
        <v>-8.2222822574422203</v>
      </c>
    </row>
    <row r="347" spans="1:10" ht="21.25" customHeight="1" x14ac:dyDescent="0.15">
      <c r="A347" s="8" t="s">
        <v>695</v>
      </c>
      <c r="B347" s="137" t="str">
        <f>VLOOKUP(A347,'The List'!B1:D727,3,FALSE)</f>
        <v>LW</v>
      </c>
      <c r="C347" s="48">
        <f>IF(Settings!$E$15="POINTS",RANK(E347,E3:E430),H347)</f>
        <v>344</v>
      </c>
      <c r="D347" s="35" t="str">
        <f>VLOOKUP(A347,'The List'!B1:F727,5,FALSE)</f>
        <v>NYR</v>
      </c>
      <c r="E347" s="39">
        <f>VLOOKUP(A347,'The List'!B1:I727,8,FALSE)</f>
        <v>116.25733603690544</v>
      </c>
      <c r="F347" s="39">
        <f>IF(Settings!$E$15="POINTS",E347-VLOOKUP(B$2,C1:E430,3,FALSE),J347)</f>
        <v>-251.19179078778524</v>
      </c>
      <c r="G347" s="39"/>
      <c r="H347" s="138">
        <f>RANK(I347,I3:I430)</f>
        <v>280</v>
      </c>
      <c r="I347" s="139">
        <f>VLOOKUP(A347,'Standard Deviations'!A1:C728,3,FALSE)</f>
        <v>-2.4007001170436215</v>
      </c>
      <c r="J347" s="139">
        <f>I347-VLOOKUP(B$2,H1:J430,2,FALSE)</f>
        <v>-7.7039557042707063</v>
      </c>
    </row>
    <row r="348" spans="1:10" ht="21.25" customHeight="1" x14ac:dyDescent="0.15">
      <c r="A348" s="8" t="s">
        <v>650</v>
      </c>
      <c r="B348" s="137" t="str">
        <f>VLOOKUP(A348,'The List'!B1:D727,3,FALSE)</f>
        <v>RW</v>
      </c>
      <c r="C348" s="48">
        <f>IF(Settings!$E$15="POINTS",RANK(E348,E3:E430),H348)</f>
        <v>345</v>
      </c>
      <c r="D348" s="35" t="str">
        <f>VLOOKUP(A348,'The List'!B1:F727,5,FALSE)</f>
        <v>MTL</v>
      </c>
      <c r="E348" s="39">
        <f>VLOOKUP(A348,'The List'!B1:I727,8,FALSE)</f>
        <v>116.13167421831723</v>
      </c>
      <c r="F348" s="39">
        <f>IF(Settings!$E$15="POINTS",E348-VLOOKUP(B$2,C1:E430,3,FALSE),J348)</f>
        <v>-251.31745260637342</v>
      </c>
      <c r="G348" s="39"/>
      <c r="H348" s="138">
        <f>RANK(I348,I3:I430)</f>
        <v>414</v>
      </c>
      <c r="I348" s="139">
        <f>VLOOKUP(A348,'Standard Deviations'!A1:C728,3,FALSE)</f>
        <v>-5.0554533880954828</v>
      </c>
      <c r="J348" s="139">
        <f>I348-VLOOKUP(B$2,H1:J430,2,FALSE)</f>
        <v>-10.358708975322568</v>
      </c>
    </row>
    <row r="349" spans="1:10" ht="21.25" customHeight="1" x14ac:dyDescent="0.15">
      <c r="A349" s="8" t="s">
        <v>759</v>
      </c>
      <c r="B349" s="137" t="str">
        <f>VLOOKUP(A349,'The List'!B1:D727,3,FALSE)</f>
        <v>C</v>
      </c>
      <c r="C349" s="48">
        <f>IF(Settings!$E$15="POINTS",RANK(E349,E3:E430),H349)</f>
        <v>347</v>
      </c>
      <c r="D349" s="35" t="str">
        <f>VLOOKUP(A349,'The List'!B1:F727,5,FALSE)</f>
        <v>ARI</v>
      </c>
      <c r="E349" s="39">
        <f>VLOOKUP(A349,'The List'!B1:I727,8,FALSE)</f>
        <v>113.48605185360516</v>
      </c>
      <c r="F349" s="39">
        <f>IF(Settings!$E$15="POINTS",E349-VLOOKUP(B$2,C1:E430,3,FALSE),J349)</f>
        <v>-253.96307497108552</v>
      </c>
      <c r="G349" s="39"/>
      <c r="H349" s="138">
        <f>RANK(I349,I3:I430)</f>
        <v>381</v>
      </c>
      <c r="I349" s="139">
        <f>VLOOKUP(A349,'Standard Deviations'!A1:C728,3,FALSE)</f>
        <v>-4.369008244767282</v>
      </c>
      <c r="J349" s="139">
        <f>I349-VLOOKUP(B$2,H1:J430,2,FALSE)</f>
        <v>-9.6722638319943677</v>
      </c>
    </row>
    <row r="350" spans="1:10" ht="21.25" customHeight="1" x14ac:dyDescent="0.15">
      <c r="A350" s="8" t="s">
        <v>698</v>
      </c>
      <c r="B350" s="137" t="str">
        <f>VLOOKUP(A350,'The List'!B1:D727,3,FALSE)</f>
        <v>LW</v>
      </c>
      <c r="C350" s="48">
        <f>IF(Settings!$E$15="POINTS",RANK(E350,E3:E430),H350)</f>
        <v>348</v>
      </c>
      <c r="D350" s="35" t="str">
        <f>VLOOKUP(A350,'The List'!B1:F727,5,FALSE)</f>
        <v>PIT</v>
      </c>
      <c r="E350" s="39">
        <f>VLOOKUP(A350,'The List'!B1:I727,8,FALSE)</f>
        <v>113.37463449292987</v>
      </c>
      <c r="F350" s="39">
        <f>IF(Settings!$E$15="POINTS",E350-VLOOKUP(B$2,C1:E430,3,FALSE),J350)</f>
        <v>-254.07449233176078</v>
      </c>
      <c r="G350" s="39"/>
      <c r="H350" s="138">
        <f>RANK(I350,I3:I430)</f>
        <v>322</v>
      </c>
      <c r="I350" s="139">
        <f>VLOOKUP(A350,'Standard Deviations'!A1:C728,3,FALSE)</f>
        <v>-3.1608158210472976</v>
      </c>
      <c r="J350" s="139">
        <f>I350-VLOOKUP(B$2,H1:J430,2,FALSE)</f>
        <v>-8.464071408274382</v>
      </c>
    </row>
    <row r="351" spans="1:10" ht="21.25" customHeight="1" x14ac:dyDescent="0.15">
      <c r="A351" s="8" t="s">
        <v>660</v>
      </c>
      <c r="B351" s="137" t="str">
        <f>VLOOKUP(A351,'The List'!B1:D727,3,FALSE)</f>
        <v>RW</v>
      </c>
      <c r="C351" s="48">
        <f>IF(Settings!$E$15="POINTS",RANK(E351,E3:E430),H351)</f>
        <v>350</v>
      </c>
      <c r="D351" s="35" t="str">
        <f>VLOOKUP(A351,'The List'!B1:F727,5,FALSE)</f>
        <v>VAN</v>
      </c>
      <c r="E351" s="39">
        <f>VLOOKUP(A351,'The List'!B1:I727,8,FALSE)</f>
        <v>112.65309655729749</v>
      </c>
      <c r="F351" s="39">
        <f>IF(Settings!$E$15="POINTS",E351-VLOOKUP(B$2,C1:E430,3,FALSE),J351)</f>
        <v>-254.79603026739318</v>
      </c>
      <c r="G351" s="39"/>
      <c r="H351" s="138">
        <f>RANK(I351,I3:I430)</f>
        <v>334</v>
      </c>
      <c r="I351" s="139">
        <f>VLOOKUP(A351,'Standard Deviations'!A1:C728,3,FALSE)</f>
        <v>-3.4437654327339793</v>
      </c>
      <c r="J351" s="139">
        <f>I351-VLOOKUP(B$2,H1:J430,2,FALSE)</f>
        <v>-8.7470210199610641</v>
      </c>
    </row>
    <row r="352" spans="1:10" ht="21.25" customHeight="1" x14ac:dyDescent="0.15">
      <c r="A352" s="8" t="s">
        <v>703</v>
      </c>
      <c r="B352" s="137" t="str">
        <f>VLOOKUP(A352,'The List'!B1:D727,3,FALSE)</f>
        <v>LW</v>
      </c>
      <c r="C352" s="48">
        <f>IF(Settings!$E$15="POINTS",RANK(E352,E3:E430),H352)</f>
        <v>352</v>
      </c>
      <c r="D352" s="35" t="str">
        <f>VLOOKUP(A352,'The List'!B1:F727,5,FALSE)</f>
        <v>SJS</v>
      </c>
      <c r="E352" s="39">
        <f>VLOOKUP(A352,'The List'!B1:I727,8,FALSE)</f>
        <v>112.00037274603974</v>
      </c>
      <c r="F352" s="39">
        <f>IF(Settings!$E$15="POINTS",E352-VLOOKUP(B$2,C1:E430,3,FALSE),J352)</f>
        <v>-255.44875407865092</v>
      </c>
      <c r="G352" s="39"/>
      <c r="H352" s="138">
        <f>RANK(I352,I3:I430)</f>
        <v>344</v>
      </c>
      <c r="I352" s="139">
        <f>VLOOKUP(A352,'Standard Deviations'!A1:C728,3,FALSE)</f>
        <v>-3.7085094473295781</v>
      </c>
      <c r="J352" s="139">
        <f>I352-VLOOKUP(B$2,H1:J430,2,FALSE)</f>
        <v>-9.0117650345566638</v>
      </c>
    </row>
    <row r="353" spans="1:10" ht="21.25" customHeight="1" x14ac:dyDescent="0.15">
      <c r="A353" s="8" t="s">
        <v>664</v>
      </c>
      <c r="B353" s="137" t="str">
        <f>VLOOKUP(A353,'The List'!B1:D727,3,FALSE)</f>
        <v>RW</v>
      </c>
      <c r="C353" s="48">
        <f>IF(Settings!$E$15="POINTS",RANK(E353,E3:E430),H353)</f>
        <v>353</v>
      </c>
      <c r="D353" s="35" t="str">
        <f>VLOOKUP(A353,'The List'!B1:F727,5,FALSE)</f>
        <v>VGK</v>
      </c>
      <c r="E353" s="39">
        <f>VLOOKUP(A353,'The List'!B1:I727,8,FALSE)</f>
        <v>111.65063786434267</v>
      </c>
      <c r="F353" s="39">
        <f>IF(Settings!$E$15="POINTS",E353-VLOOKUP(B$2,C1:E430,3,FALSE),J353)</f>
        <v>-255.79848896034798</v>
      </c>
      <c r="G353" s="39"/>
      <c r="H353" s="138">
        <f>RANK(I353,I3:I430)</f>
        <v>284</v>
      </c>
      <c r="I353" s="139">
        <f>VLOOKUP(A353,'Standard Deviations'!A1:C728,3,FALSE)</f>
        <v>-2.4548027118172997</v>
      </c>
      <c r="J353" s="139">
        <f>I353-VLOOKUP(B$2,H1:J430,2,FALSE)</f>
        <v>-7.758058299044384</v>
      </c>
    </row>
    <row r="354" spans="1:10" ht="21.25" customHeight="1" x14ac:dyDescent="0.15">
      <c r="A354" s="8" t="s">
        <v>705</v>
      </c>
      <c r="B354" s="137" t="str">
        <f>VLOOKUP(A354,'The List'!B1:D727,3,FALSE)</f>
        <v>LW</v>
      </c>
      <c r="C354" s="48">
        <f>IF(Settings!$E$15="POINTS",RANK(E354,E3:E430),H354)</f>
        <v>355</v>
      </c>
      <c r="D354" s="35" t="str">
        <f>VLOOKUP(A354,'The List'!B1:F727,5,FALSE)</f>
        <v>ARI</v>
      </c>
      <c r="E354" s="39">
        <f>VLOOKUP(A354,'The List'!B1:I727,8,FALSE)</f>
        <v>111.34299494393336</v>
      </c>
      <c r="F354" s="39">
        <f>IF(Settings!$E$15="POINTS",E354-VLOOKUP(B$2,C1:E430,3,FALSE),J354)</f>
        <v>-256.10613188075729</v>
      </c>
      <c r="G354" s="39"/>
      <c r="H354" s="138">
        <f>RANK(I354,I3:I430)</f>
        <v>320</v>
      </c>
      <c r="I354" s="139">
        <f>VLOOKUP(A354,'Standard Deviations'!A1:C728,3,FALSE)</f>
        <v>-3.1151372104672208</v>
      </c>
      <c r="J354" s="139">
        <f>I354-VLOOKUP(B$2,H1:J430,2,FALSE)</f>
        <v>-8.418392797694306</v>
      </c>
    </row>
    <row r="355" spans="1:10" ht="21.25" customHeight="1" x14ac:dyDescent="0.15">
      <c r="A355" s="8" t="s">
        <v>769</v>
      </c>
      <c r="B355" s="137" t="str">
        <f>VLOOKUP(A355,'The List'!B1:D727,3,FALSE)</f>
        <v>C</v>
      </c>
      <c r="C355" s="48">
        <f>IF(Settings!$E$15="POINTS",RANK(E355,E3:E430),H355)</f>
        <v>354</v>
      </c>
      <c r="D355" s="35" t="str">
        <f>VLOOKUP(A355,'The List'!B1:F727,5,FALSE)</f>
        <v>WSH</v>
      </c>
      <c r="E355" s="39">
        <f>VLOOKUP(A355,'The List'!B1:I727,8,FALSE)</f>
        <v>111.39094086611792</v>
      </c>
      <c r="F355" s="39">
        <f>IF(Settings!$E$15="POINTS",E355-VLOOKUP(B$2,C1:E430,3,FALSE),J355)</f>
        <v>-256.05818595857272</v>
      </c>
      <c r="G355" s="39"/>
      <c r="H355" s="138">
        <f>RANK(I355,I3:I430)</f>
        <v>372</v>
      </c>
      <c r="I355" s="139">
        <f>VLOOKUP(A355,'Standard Deviations'!A1:C728,3,FALSE)</f>
        <v>-4.277071442824826</v>
      </c>
      <c r="J355" s="139">
        <f>I355-VLOOKUP(B$2,H1:J430,2,FALSE)</f>
        <v>-9.5803270300519117</v>
      </c>
    </row>
    <row r="356" spans="1:10" ht="21.25" customHeight="1" x14ac:dyDescent="0.15">
      <c r="A356" s="8" t="s">
        <v>669</v>
      </c>
      <c r="B356" s="137" t="str">
        <f>VLOOKUP(A356,'The List'!B1:D727,3,FALSE)</f>
        <v>RW</v>
      </c>
      <c r="C356" s="48">
        <f>IF(Settings!$E$15="POINTS",RANK(E356,E3:E430),H356)</f>
        <v>356</v>
      </c>
      <c r="D356" s="35" t="str">
        <f>VLOOKUP(A356,'The List'!B1:F727,5,FALSE)</f>
        <v>DET</v>
      </c>
      <c r="E356" s="39">
        <f>VLOOKUP(A356,'The List'!B1:I727,8,FALSE)</f>
        <v>111.0034762743269</v>
      </c>
      <c r="F356" s="39">
        <f>IF(Settings!$E$15="POINTS",E356-VLOOKUP(B$2,C1:E430,3,FALSE),J356)</f>
        <v>-256.44565055036378</v>
      </c>
      <c r="G356" s="39"/>
      <c r="H356" s="138">
        <f>RANK(I356,I3:I430)</f>
        <v>376</v>
      </c>
      <c r="I356" s="139">
        <f>VLOOKUP(A356,'Standard Deviations'!A1:C728,3,FALSE)</f>
        <v>-4.2995589108067716</v>
      </c>
      <c r="J356" s="139">
        <f>I356-VLOOKUP(B$2,H1:J430,2,FALSE)</f>
        <v>-9.6028144980338563</v>
      </c>
    </row>
    <row r="357" spans="1:10" ht="21.25" customHeight="1" x14ac:dyDescent="0.15">
      <c r="A357" s="8" t="s">
        <v>774</v>
      </c>
      <c r="B357" s="137" t="str">
        <f>VLOOKUP(A357,'The List'!B1:D727,3,FALSE)</f>
        <v>C</v>
      </c>
      <c r="C357" s="48">
        <f>IF(Settings!$E$15="POINTS",RANK(E357,E3:E430),H357)</f>
        <v>359</v>
      </c>
      <c r="D357" s="35" t="str">
        <f>VLOOKUP(A357,'The List'!B1:F727,5,FALSE)</f>
        <v>DET</v>
      </c>
      <c r="E357" s="39">
        <f>VLOOKUP(A357,'The List'!B1:I727,8,FALSE)</f>
        <v>109.55577630218318</v>
      </c>
      <c r="F357" s="39">
        <f>IF(Settings!$E$15="POINTS",E357-VLOOKUP(B$2,C1:E430,3,FALSE),J357)</f>
        <v>-257.89335052250749</v>
      </c>
      <c r="G357" s="39"/>
      <c r="H357" s="138">
        <f>RANK(I357,I3:I430)</f>
        <v>364</v>
      </c>
      <c r="I357" s="139">
        <f>VLOOKUP(A357,'Standard Deviations'!A1:C728,3,FALSE)</f>
        <v>-4.1680944374571256</v>
      </c>
      <c r="J357" s="139">
        <f>I357-VLOOKUP(B$2,H1:J430,2,FALSE)</f>
        <v>-9.4713500246842095</v>
      </c>
    </row>
    <row r="358" spans="1:10" ht="21.25" customHeight="1" x14ac:dyDescent="0.15">
      <c r="A358" s="8" t="s">
        <v>762</v>
      </c>
      <c r="B358" s="137" t="str">
        <f>VLOOKUP(A358,'The List'!B1:D727,3,FALSE)</f>
        <v>C</v>
      </c>
      <c r="C358" s="48">
        <f>IF(Settings!$E$15="POINTS",RANK(E358,E3:E430),H358)</f>
        <v>349</v>
      </c>
      <c r="D358" s="35" t="str">
        <f>VLOOKUP(A358,'The List'!B1:F727,5,FALSE)</f>
        <v>DAL</v>
      </c>
      <c r="E358" s="39">
        <f>VLOOKUP(A358,'The List'!B1:I727,8,FALSE)</f>
        <v>112.91422999148806</v>
      </c>
      <c r="F358" s="39">
        <f>IF(Settings!$E$15="POINTS",E358-VLOOKUP(B$2,C1:E430,3,FALSE),J358)</f>
        <v>-254.53489683320259</v>
      </c>
      <c r="G358" s="39"/>
      <c r="H358" s="138">
        <f>RANK(I358,I3:I430)</f>
        <v>270</v>
      </c>
      <c r="I358" s="139">
        <f>VLOOKUP(A358,'Standard Deviations'!A1:C728,3,FALSE)</f>
        <v>-2.2586645148574886</v>
      </c>
      <c r="J358" s="139">
        <f>I358-VLOOKUP(B$2,H1:J430,2,FALSE)</f>
        <v>-7.5619201020845734</v>
      </c>
    </row>
    <row r="359" spans="1:10" ht="21.25" customHeight="1" x14ac:dyDescent="0.15">
      <c r="A359" s="8" t="s">
        <v>772</v>
      </c>
      <c r="B359" s="137" t="str">
        <f>VLOOKUP(A359,'The List'!B1:D727,3,FALSE)</f>
        <v>C</v>
      </c>
      <c r="C359" s="48">
        <f>IF(Settings!$E$15="POINTS",RANK(E359,E3:E430),H359)</f>
        <v>358</v>
      </c>
      <c r="D359" s="35" t="str">
        <f>VLOOKUP(A359,'The List'!B1:F727,5,FALSE)</f>
        <v>DAL</v>
      </c>
      <c r="E359" s="39">
        <f>VLOOKUP(A359,'The List'!B1:I727,8,FALSE)</f>
        <v>110.29237262080035</v>
      </c>
      <c r="F359" s="39">
        <f>IF(Settings!$E$15="POINTS",E359-VLOOKUP(B$2,C1:E430,3,FALSE),J359)</f>
        <v>-257.15675420389033</v>
      </c>
      <c r="G359" s="39"/>
      <c r="H359" s="138">
        <f>RANK(I359,I3:I430)</f>
        <v>308</v>
      </c>
      <c r="I359" s="139">
        <f>VLOOKUP(A359,'Standard Deviations'!A1:C728,3,FALSE)</f>
        <v>-2.9168618580227705</v>
      </c>
      <c r="J359" s="139">
        <f>I359-VLOOKUP(B$2,H1:J430,2,FALSE)</f>
        <v>-8.2201174452498549</v>
      </c>
    </row>
    <row r="360" spans="1:10" ht="21.25" customHeight="1" x14ac:dyDescent="0.15">
      <c r="A360" s="8" t="s">
        <v>713</v>
      </c>
      <c r="B360" s="137" t="str">
        <f>VLOOKUP(A360,'The List'!B1:D727,3,FALSE)</f>
        <v>LW</v>
      </c>
      <c r="C360" s="48">
        <f>IF(Settings!$E$15="POINTS",RANK(E360,E3:E430),H360)</f>
        <v>361</v>
      </c>
      <c r="D360" s="35" t="str">
        <f>VLOOKUP(A360,'The List'!B1:F727,5,FALSE)</f>
        <v>ARI</v>
      </c>
      <c r="E360" s="39">
        <f>VLOOKUP(A360,'The List'!B1:I727,8,FALSE)</f>
        <v>108.46676583441689</v>
      </c>
      <c r="F360" s="39">
        <f>IF(Settings!$E$15="POINTS",E360-VLOOKUP(B$2,C1:E430,3,FALSE),J360)</f>
        <v>-258.98236099027378</v>
      </c>
      <c r="G360" s="39"/>
      <c r="H360" s="138">
        <f>RANK(I360,I3:I430)</f>
        <v>366</v>
      </c>
      <c r="I360" s="139">
        <f>VLOOKUP(A360,'Standard Deviations'!A1:C728,3,FALSE)</f>
        <v>-4.2124463924906816</v>
      </c>
      <c r="J360" s="139">
        <f>I360-VLOOKUP(B$2,H1:J430,2,FALSE)</f>
        <v>-9.5157019797177664</v>
      </c>
    </row>
    <row r="361" spans="1:10" ht="21.25" customHeight="1" x14ac:dyDescent="0.15">
      <c r="A361" s="8" t="s">
        <v>706</v>
      </c>
      <c r="B361" s="137" t="str">
        <f>VLOOKUP(A361,'The List'!B1:D727,3,FALSE)</f>
        <v>LW</v>
      </c>
      <c r="C361" s="48">
        <f>IF(Settings!$E$15="POINTS",RANK(E361,E3:E430),H361)</f>
        <v>357</v>
      </c>
      <c r="D361" s="35" t="str">
        <f>VLOOKUP(A361,'The List'!B1:F727,5,FALSE)</f>
        <v>CHI</v>
      </c>
      <c r="E361" s="39">
        <f>VLOOKUP(A361,'The List'!B1:I727,8,FALSE)</f>
        <v>110.45577645334315</v>
      </c>
      <c r="F361" s="39">
        <f>IF(Settings!$E$15="POINTS",E361-VLOOKUP(B$2,C1:E430,3,FALSE),J361)</f>
        <v>-256.9933503713475</v>
      </c>
      <c r="G361" s="39"/>
      <c r="H361" s="138">
        <f>RANK(I361,I3:I430)</f>
        <v>406</v>
      </c>
      <c r="I361" s="139">
        <f>VLOOKUP(A361,'Standard Deviations'!A1:C728,3,FALSE)</f>
        <v>-4.7958781620452093</v>
      </c>
      <c r="J361" s="139">
        <f>I361-VLOOKUP(B$2,H1:J430,2,FALSE)</f>
        <v>-10.099133749272294</v>
      </c>
    </row>
    <row r="362" spans="1:10" ht="21.25" customHeight="1" x14ac:dyDescent="0.15">
      <c r="A362" s="8" t="s">
        <v>711</v>
      </c>
      <c r="B362" s="137" t="str">
        <f>VLOOKUP(A362,'The List'!B1:D727,3,FALSE)</f>
        <v>LW</v>
      </c>
      <c r="C362" s="48">
        <f>IF(Settings!$E$15="POINTS",RANK(E362,E3:E430),H362)</f>
        <v>360</v>
      </c>
      <c r="D362" s="35" t="str">
        <f>VLOOKUP(A362,'The List'!B1:F727,5,FALSE)</f>
        <v>BUF</v>
      </c>
      <c r="E362" s="39">
        <f>VLOOKUP(A362,'The List'!B1:I727,8,FALSE)</f>
        <v>108.73431040157526</v>
      </c>
      <c r="F362" s="39">
        <f>IF(Settings!$E$15="POINTS",E362-VLOOKUP(B$2,C1:E430,3,FALSE),J362)</f>
        <v>-258.71481642311539</v>
      </c>
      <c r="G362" s="39"/>
      <c r="H362" s="138">
        <f>RANK(I362,I3:I430)</f>
        <v>349</v>
      </c>
      <c r="I362" s="139">
        <f>VLOOKUP(A362,'Standard Deviations'!A1:C728,3,FALSE)</f>
        <v>-3.8453806222063456</v>
      </c>
      <c r="J362" s="139">
        <f>I362-VLOOKUP(B$2,H1:J430,2,FALSE)</f>
        <v>-9.1486362094334304</v>
      </c>
    </row>
    <row r="363" spans="1:10" ht="21.25" customHeight="1" x14ac:dyDescent="0.15">
      <c r="A363" s="8" t="s">
        <v>766</v>
      </c>
      <c r="B363" s="137" t="str">
        <f>VLOOKUP(A363,'The List'!B1:D727,3,FALSE)</f>
        <v>C</v>
      </c>
      <c r="C363" s="48">
        <f>IF(Settings!$E$15="POINTS",RANK(E363,E3:E430),H363)</f>
        <v>351</v>
      </c>
      <c r="D363" s="35" t="str">
        <f>VLOOKUP(A363,'The List'!B1:F727,5,FALSE)</f>
        <v>PHI</v>
      </c>
      <c r="E363" s="39">
        <f>VLOOKUP(A363,'The List'!B1:I727,8,FALSE)</f>
        <v>112.38264017355581</v>
      </c>
      <c r="F363" s="39">
        <f>IF(Settings!$E$15="POINTS",E363-VLOOKUP(B$2,C1:E430,3,FALSE),J363)</f>
        <v>-255.06648665113485</v>
      </c>
      <c r="G363" s="39"/>
      <c r="H363" s="138">
        <f>RANK(I363,I3:I430)</f>
        <v>398</v>
      </c>
      <c r="I363" s="139">
        <f>VLOOKUP(A363,'Standard Deviations'!A1:C728,3,FALSE)</f>
        <v>-4.6809801436107108</v>
      </c>
      <c r="J363" s="139">
        <f>I363-VLOOKUP(B$2,H1:J430,2,FALSE)</f>
        <v>-9.9842357308377956</v>
      </c>
    </row>
    <row r="364" spans="1:10" ht="21.25" customHeight="1" x14ac:dyDescent="0.15">
      <c r="A364" s="8" t="s">
        <v>716</v>
      </c>
      <c r="B364" s="137" t="str">
        <f>VLOOKUP(A364,'The List'!B1:D727,3,FALSE)</f>
        <v>LW</v>
      </c>
      <c r="C364" s="48">
        <f>IF(Settings!$E$15="POINTS",RANK(E364,E3:E430),H364)</f>
        <v>363</v>
      </c>
      <c r="D364" s="35" t="str">
        <f>VLOOKUP(A364,'The List'!B1:F727,5,FALSE)</f>
        <v>ANA</v>
      </c>
      <c r="E364" s="39">
        <f>VLOOKUP(A364,'The List'!B1:I727,8,FALSE)</f>
        <v>107.24605458513849</v>
      </c>
      <c r="F364" s="39">
        <f>IF(Settings!$E$15="POINTS",E364-VLOOKUP(B$2,C1:E430,3,FALSE),J364)</f>
        <v>-260.20307223955217</v>
      </c>
      <c r="G364" s="39"/>
      <c r="H364" s="138">
        <f>RANK(I364,I3:I430)</f>
        <v>423</v>
      </c>
      <c r="I364" s="139">
        <f>VLOOKUP(A364,'Standard Deviations'!A1:C728,3,FALSE)</f>
        <v>-5.8164850045080181</v>
      </c>
      <c r="J364" s="139">
        <f>I364-VLOOKUP(B$2,H1:J430,2,FALSE)</f>
        <v>-11.119740591735102</v>
      </c>
    </row>
    <row r="365" spans="1:10" ht="21.25" customHeight="1" x14ac:dyDescent="0.15">
      <c r="A365" s="8" t="s">
        <v>775</v>
      </c>
      <c r="B365" s="137" t="str">
        <f>VLOOKUP(A365,'The List'!B1:D727,3,FALSE)</f>
        <v>C</v>
      </c>
      <c r="C365" s="48">
        <f>IF(Settings!$E$15="POINTS",RANK(E365,E3:E430),H365)</f>
        <v>362</v>
      </c>
      <c r="D365" s="35" t="str">
        <f>VLOOKUP(A365,'The List'!B1:F727,5,FALSE)</f>
        <v>NYR</v>
      </c>
      <c r="E365" s="39">
        <f>VLOOKUP(A365,'The List'!B1:I727,8,FALSE)</f>
        <v>107.67552623249995</v>
      </c>
      <c r="F365" s="39">
        <f>IF(Settings!$E$15="POINTS",E365-VLOOKUP(B$2,C1:E430,3,FALSE),J365)</f>
        <v>-259.77360059219075</v>
      </c>
      <c r="G365" s="39"/>
      <c r="H365" s="138">
        <f>RANK(I365,I3:I430)</f>
        <v>260</v>
      </c>
      <c r="I365" s="139">
        <f>VLOOKUP(A365,'Standard Deviations'!A1:C728,3,FALSE)</f>
        <v>-1.9147916365501825</v>
      </c>
      <c r="J365" s="139">
        <f>I365-VLOOKUP(B$2,H1:J430,2,FALSE)</f>
        <v>-7.2180472237772673</v>
      </c>
    </row>
    <row r="366" spans="1:10" ht="21.25" customHeight="1" x14ac:dyDescent="0.15">
      <c r="A366" s="8" t="s">
        <v>776</v>
      </c>
      <c r="B366" s="137" t="str">
        <f>VLOOKUP(A366,'The List'!B1:D727,3,FALSE)</f>
        <v>C</v>
      </c>
      <c r="C366" s="48">
        <f>IF(Settings!$E$15="POINTS",RANK(E366,E3:E430),H366)</f>
        <v>364</v>
      </c>
      <c r="D366" s="35" t="str">
        <f>VLOOKUP(A366,'The List'!B1:F727,5,FALSE)</f>
        <v>WSH</v>
      </c>
      <c r="E366" s="39">
        <f>VLOOKUP(A366,'The List'!B1:I727,8,FALSE)</f>
        <v>106.91309596372173</v>
      </c>
      <c r="F366" s="39">
        <f>IF(Settings!$E$15="POINTS",E366-VLOOKUP(B$2,C1:E430,3,FALSE),J366)</f>
        <v>-260.53603086096894</v>
      </c>
      <c r="G366" s="39"/>
      <c r="H366" s="138">
        <f>RANK(I366,I3:I430)</f>
        <v>368</v>
      </c>
      <c r="I366" s="139">
        <f>VLOOKUP(A366,'Standard Deviations'!A1:C728,3,FALSE)</f>
        <v>-4.2297076463556316</v>
      </c>
      <c r="J366" s="139">
        <f>I366-VLOOKUP(B$2,H1:J430,2,FALSE)</f>
        <v>-9.5329632335827164</v>
      </c>
    </row>
    <row r="367" spans="1:10" ht="21.25" customHeight="1" x14ac:dyDescent="0.15">
      <c r="A367" s="8" t="s">
        <v>683</v>
      </c>
      <c r="B367" s="137" t="str">
        <f>VLOOKUP(A367,'The List'!B1:D727,3,FALSE)</f>
        <v>RW</v>
      </c>
      <c r="C367" s="48">
        <f>IF(Settings!$E$15="POINTS",RANK(E367,E3:E430),H367)</f>
        <v>365</v>
      </c>
      <c r="D367" s="35" t="str">
        <f>VLOOKUP(A367,'The List'!B1:F727,5,FALSE)</f>
        <v>STL</v>
      </c>
      <c r="E367" s="39">
        <f>VLOOKUP(A367,'The List'!B1:I727,8,FALSE)</f>
        <v>106.50761334185913</v>
      </c>
      <c r="F367" s="39">
        <f>IF(Settings!$E$15="POINTS",E367-VLOOKUP(B$2,C1:E430,3,FALSE),J367)</f>
        <v>-260.94151348283151</v>
      </c>
      <c r="G367" s="39"/>
      <c r="H367" s="138">
        <f>RANK(I367,I3:I430)</f>
        <v>375</v>
      </c>
      <c r="I367" s="139">
        <f>VLOOKUP(A367,'Standard Deviations'!A1:C728,3,FALSE)</f>
        <v>-4.2921667313106271</v>
      </c>
      <c r="J367" s="139">
        <f>I367-VLOOKUP(B$2,H1:J430,2,FALSE)</f>
        <v>-9.595422318537711</v>
      </c>
    </row>
    <row r="368" spans="1:10" ht="21.25" customHeight="1" x14ac:dyDescent="0.15">
      <c r="A368" s="8" t="s">
        <v>720</v>
      </c>
      <c r="B368" s="137" t="str">
        <f>VLOOKUP(A368,'The List'!B1:D727,3,FALSE)</f>
        <v>LW</v>
      </c>
      <c r="C368" s="48">
        <f>IF(Settings!$E$15="POINTS",RANK(E368,E3:E430),H368)</f>
        <v>367</v>
      </c>
      <c r="D368" s="35" t="str">
        <f>VLOOKUP(A368,'The List'!B1:F727,5,FALSE)</f>
        <v>TOR</v>
      </c>
      <c r="E368" s="39">
        <f>VLOOKUP(A368,'The List'!B1:I727,8,FALSE)</f>
        <v>103.88117076784565</v>
      </c>
      <c r="F368" s="39">
        <f>IF(Settings!$E$15="POINTS",E368-VLOOKUP(B$2,C1:E430,3,FALSE),J368)</f>
        <v>-263.56795605684499</v>
      </c>
      <c r="G368" s="39"/>
      <c r="H368" s="138">
        <f>RANK(I368,I3:I430)</f>
        <v>327</v>
      </c>
      <c r="I368" s="139">
        <f>VLOOKUP(A368,'Standard Deviations'!A1:C728,3,FALSE)</f>
        <v>-3.2688473114746786</v>
      </c>
      <c r="J368" s="139">
        <f>I368-VLOOKUP(B$2,H1:J430,2,FALSE)</f>
        <v>-8.5721028987017629</v>
      </c>
    </row>
    <row r="369" spans="1:10" ht="21.25" customHeight="1" x14ac:dyDescent="0.15">
      <c r="A369" s="8" t="s">
        <v>779</v>
      </c>
      <c r="B369" s="137" t="str">
        <f>VLOOKUP(A369,'The List'!B1:D727,3,FALSE)</f>
        <v>C</v>
      </c>
      <c r="C369" s="48">
        <f>IF(Settings!$E$15="POINTS",RANK(E369,E3:E430),H369)</f>
        <v>366</v>
      </c>
      <c r="D369" s="35" t="str">
        <f>VLOOKUP(A369,'The List'!B1:F727,5,FALSE)</f>
        <v>FLA</v>
      </c>
      <c r="E369" s="39">
        <f>VLOOKUP(A369,'The List'!B1:I727,8,FALSE)</f>
        <v>105.70738784978856</v>
      </c>
      <c r="F369" s="39">
        <f>IF(Settings!$E$15="POINTS",E369-VLOOKUP(B$2,C1:E430,3,FALSE),J369)</f>
        <v>-261.74173897490209</v>
      </c>
      <c r="G369" s="39"/>
      <c r="H369" s="138">
        <f>RANK(I369,I3:I430)</f>
        <v>328</v>
      </c>
      <c r="I369" s="139">
        <f>VLOOKUP(A369,'Standard Deviations'!A1:C728,3,FALSE)</f>
        <v>-3.2730992761183013</v>
      </c>
      <c r="J369" s="139">
        <f>I369-VLOOKUP(B$2,H1:J430,2,FALSE)</f>
        <v>-8.5763548633453865</v>
      </c>
    </row>
    <row r="370" spans="1:10" ht="21.25" customHeight="1" x14ac:dyDescent="0.15">
      <c r="A370" s="8" t="s">
        <v>723</v>
      </c>
      <c r="B370" s="137" t="str">
        <f>VLOOKUP(A370,'The List'!B1:D727,3,FALSE)</f>
        <v>LW</v>
      </c>
      <c r="C370" s="48">
        <f>IF(Settings!$E$15="POINTS",RANK(E370,E3:E430),H370)</f>
        <v>371</v>
      </c>
      <c r="D370" s="35" t="str">
        <f>VLOOKUP(A370,'The List'!B1:F727,5,FALSE)</f>
        <v>VAN</v>
      </c>
      <c r="E370" s="39">
        <f>VLOOKUP(A370,'The List'!B1:I727,8,FALSE)</f>
        <v>102.31343808708611</v>
      </c>
      <c r="F370" s="39">
        <f>IF(Settings!$E$15="POINTS",E370-VLOOKUP(B$2,C1:E430,3,FALSE),J370)</f>
        <v>-265.13568873760454</v>
      </c>
      <c r="G370" s="39"/>
      <c r="H370" s="138">
        <f>RANK(I370,I3:I430)</f>
        <v>357</v>
      </c>
      <c r="I370" s="139">
        <f>VLOOKUP(A370,'Standard Deviations'!A1:C728,3,FALSE)</f>
        <v>-4.0762759713815839</v>
      </c>
      <c r="J370" s="139">
        <f>I370-VLOOKUP(B$2,H1:J430,2,FALSE)</f>
        <v>-9.3795315586086687</v>
      </c>
    </row>
    <row r="371" spans="1:10" ht="21.25" customHeight="1" x14ac:dyDescent="0.15">
      <c r="A371" s="8" t="s">
        <v>784</v>
      </c>
      <c r="B371" s="137" t="str">
        <f>VLOOKUP(A371,'The List'!B1:D727,3,FALSE)</f>
        <v>C</v>
      </c>
      <c r="C371" s="48">
        <f>IF(Settings!$E$15="POINTS",RANK(E371,E3:E430),H371)</f>
        <v>370</v>
      </c>
      <c r="D371" s="35" t="str">
        <f>VLOOKUP(A371,'The List'!B1:F727,5,FALSE)</f>
        <v>EDM</v>
      </c>
      <c r="E371" s="39">
        <f>VLOOKUP(A371,'The List'!B1:I727,8,FALSE)</f>
        <v>102.77119265047428</v>
      </c>
      <c r="F371" s="39">
        <f>IF(Settings!$E$15="POINTS",E371-VLOOKUP(B$2,C1:E430,3,FALSE),J371)</f>
        <v>-264.67793417421638</v>
      </c>
      <c r="G371" s="39"/>
      <c r="H371" s="138">
        <f>RANK(I371,I3:I430)</f>
        <v>267</v>
      </c>
      <c r="I371" s="139">
        <f>VLOOKUP(A371,'Standard Deviations'!A1:C728,3,FALSE)</f>
        <v>-2.2040393275745007</v>
      </c>
      <c r="J371" s="139">
        <f>I371-VLOOKUP(B$2,H1:J430,2,FALSE)</f>
        <v>-7.5072949148015855</v>
      </c>
    </row>
    <row r="372" spans="1:10" ht="21.25" customHeight="1" x14ac:dyDescent="0.15">
      <c r="A372" s="8" t="s">
        <v>722</v>
      </c>
      <c r="B372" s="137" t="str">
        <f>VLOOKUP(A372,'The List'!B1:D727,3,FALSE)</f>
        <v>LW</v>
      </c>
      <c r="C372" s="48">
        <f>IF(Settings!$E$15="POINTS",RANK(E372,E3:E430),H372)</f>
        <v>369</v>
      </c>
      <c r="D372" s="35" t="str">
        <f>VLOOKUP(A372,'The List'!B1:F727,5,FALSE)</f>
        <v>CHI</v>
      </c>
      <c r="E372" s="39">
        <f>VLOOKUP(A372,'The List'!B1:I727,8,FALSE)</f>
        <v>103.44661867395064</v>
      </c>
      <c r="F372" s="39">
        <f>IF(Settings!$E$15="POINTS",E372-VLOOKUP(B$2,C1:E430,3,FALSE),J372)</f>
        <v>-264.00250815074003</v>
      </c>
      <c r="G372" s="39"/>
      <c r="H372" s="138">
        <f>RANK(I372,I3:I430)</f>
        <v>421</v>
      </c>
      <c r="I372" s="139">
        <f>VLOOKUP(A372,'Standard Deviations'!A1:C728,3,FALSE)</f>
        <v>-5.5912471136089241</v>
      </c>
      <c r="J372" s="139">
        <f>I372-VLOOKUP(B$2,H1:J430,2,FALSE)</f>
        <v>-10.894502700836009</v>
      </c>
    </row>
    <row r="373" spans="1:10" ht="21.25" customHeight="1" x14ac:dyDescent="0.15">
      <c r="A373" s="8" t="s">
        <v>783</v>
      </c>
      <c r="B373" s="137" t="str">
        <f>VLOOKUP(A373,'The List'!B1:D727,3,FALSE)</f>
        <v>C</v>
      </c>
      <c r="C373" s="48">
        <f>IF(Settings!$E$15="POINTS",RANK(E373,E3:E430),H373)</f>
        <v>368</v>
      </c>
      <c r="D373" s="35" t="str">
        <f>VLOOKUP(A373,'The List'!B1:F727,5,FALSE)</f>
        <v>COL</v>
      </c>
      <c r="E373" s="39">
        <f>VLOOKUP(A373,'The List'!B1:I727,8,FALSE)</f>
        <v>103.66372387794394</v>
      </c>
      <c r="F373" s="39">
        <f>IF(Settings!$E$15="POINTS",E373-VLOOKUP(B$2,C1:E430,3,FALSE),J373)</f>
        <v>-263.78540294674673</v>
      </c>
      <c r="G373" s="39"/>
      <c r="H373" s="138">
        <f>RANK(I373,I3:I430)</f>
        <v>313</v>
      </c>
      <c r="I373" s="139">
        <f>VLOOKUP(A373,'Standard Deviations'!A1:C728,3,FALSE)</f>
        <v>-2.9620984141370537</v>
      </c>
      <c r="J373" s="139">
        <f>I373-VLOOKUP(B$2,H1:J430,2,FALSE)</f>
        <v>-8.2653540013641376</v>
      </c>
    </row>
    <row r="374" spans="1:10" ht="21.25" customHeight="1" x14ac:dyDescent="0.15">
      <c r="A374" s="8" t="s">
        <v>734</v>
      </c>
      <c r="B374" s="137" t="str">
        <f>VLOOKUP(A374,'The List'!B1:D727,3,FALSE)</f>
        <v>LW</v>
      </c>
      <c r="C374" s="48">
        <f>IF(Settings!$E$15="POINTS",RANK(E374,E3:E430),H374)</f>
        <v>373</v>
      </c>
      <c r="D374" s="35" t="str">
        <f>VLOOKUP(A374,'The List'!B1:F727,5,FALSE)</f>
        <v>BOS</v>
      </c>
      <c r="E374" s="39">
        <f>VLOOKUP(A374,'The List'!B1:I727,8,FALSE)</f>
        <v>98.010873527663634</v>
      </c>
      <c r="F374" s="39">
        <f>IF(Settings!$E$15="POINTS",E374-VLOOKUP(B$2,C1:E430,3,FALSE),J374)</f>
        <v>-269.43825329702702</v>
      </c>
      <c r="G374" s="39"/>
      <c r="H374" s="138">
        <f>RANK(I374,I3:I430)</f>
        <v>355</v>
      </c>
      <c r="I374" s="139">
        <f>VLOOKUP(A374,'Standard Deviations'!A1:C728,3,FALSE)</f>
        <v>-4.0537904424896425</v>
      </c>
      <c r="J374" s="139">
        <f>I374-VLOOKUP(B$2,H1:J430,2,FALSE)</f>
        <v>-9.3570460297167273</v>
      </c>
    </row>
    <row r="375" spans="1:10" ht="21.25" customHeight="1" x14ac:dyDescent="0.15">
      <c r="A375" s="8" t="s">
        <v>701</v>
      </c>
      <c r="B375" s="137" t="str">
        <f>VLOOKUP(A375,'The List'!B1:D727,3,FALSE)</f>
        <v>RW</v>
      </c>
      <c r="C375" s="48">
        <f>IF(Settings!$E$15="POINTS",RANK(E375,E3:E430),H375)</f>
        <v>372</v>
      </c>
      <c r="D375" s="35" t="str">
        <f>VLOOKUP(A375,'The List'!B1:F727,5,FALSE)</f>
        <v>MIN</v>
      </c>
      <c r="E375" s="39">
        <f>VLOOKUP(A375,'The List'!B1:I727,8,FALSE)</f>
        <v>98.825460450654333</v>
      </c>
      <c r="F375" s="39">
        <f>IF(Settings!$E$15="POINTS",E375-VLOOKUP(B$2,C1:E430,3,FALSE),J375)</f>
        <v>-268.62366637403636</v>
      </c>
      <c r="G375" s="39"/>
      <c r="H375" s="138">
        <f>RANK(I375,I3:I430)</f>
        <v>343</v>
      </c>
      <c r="I375" s="139">
        <f>VLOOKUP(A375,'Standard Deviations'!A1:C728,3,FALSE)</f>
        <v>-3.6703319732229245</v>
      </c>
      <c r="J375" s="139">
        <f>I375-VLOOKUP(B$2,H1:J430,2,FALSE)</f>
        <v>-8.9735875604500102</v>
      </c>
    </row>
    <row r="376" spans="1:10" ht="21.25" customHeight="1" x14ac:dyDescent="0.15">
      <c r="A376" s="8" t="s">
        <v>735</v>
      </c>
      <c r="B376" s="137" t="str">
        <f>VLOOKUP(A376,'The List'!B1:D727,3,FALSE)</f>
        <v>LW</v>
      </c>
      <c r="C376" s="48">
        <f>IF(Settings!$E$15="POINTS",RANK(E376,E3:E430),H376)</f>
        <v>375</v>
      </c>
      <c r="D376" s="35" t="str">
        <f>VLOOKUP(A376,'The List'!B1:F727,5,FALSE)</f>
        <v>NJD</v>
      </c>
      <c r="E376" s="39">
        <f>VLOOKUP(A376,'The List'!B1:I727,8,FALSE)</f>
        <v>97.838981692670572</v>
      </c>
      <c r="F376" s="39">
        <f>IF(Settings!$E$15="POINTS",E376-VLOOKUP(B$2,C1:E430,3,FALSE),J376)</f>
        <v>-269.61014513202008</v>
      </c>
      <c r="G376" s="39"/>
      <c r="H376" s="138">
        <f>RANK(I376,I3:I430)</f>
        <v>356</v>
      </c>
      <c r="I376" s="139">
        <f>VLOOKUP(A376,'Standard Deviations'!A1:C728,3,FALSE)</f>
        <v>-4.0610007275177304</v>
      </c>
      <c r="J376" s="139">
        <f>I376-VLOOKUP(B$2,H1:J430,2,FALSE)</f>
        <v>-9.3642563147448143</v>
      </c>
    </row>
    <row r="377" spans="1:10" ht="21.25" customHeight="1" x14ac:dyDescent="0.15">
      <c r="A377" s="8" t="s">
        <v>792</v>
      </c>
      <c r="B377" s="137" t="str">
        <f>VLOOKUP(A377,'The List'!B1:D727,3,FALSE)</f>
        <v>C</v>
      </c>
      <c r="C377" s="48">
        <f>IF(Settings!$E$15="POINTS",RANK(E377,E3:E430),H377)</f>
        <v>378</v>
      </c>
      <c r="D377" s="35" t="str">
        <f>VLOOKUP(A377,'The List'!B1:F727,5,FALSE)</f>
        <v>UFA</v>
      </c>
      <c r="E377" s="39">
        <f>VLOOKUP(A377,'The List'!B1:I727,8,FALSE)</f>
        <v>94.290214014685063</v>
      </c>
      <c r="F377" s="39">
        <f>IF(Settings!$E$15="POINTS",E377-VLOOKUP(B$2,C1:E430,3,FALSE),J377)</f>
        <v>-273.15891281000563</v>
      </c>
      <c r="G377" s="39"/>
      <c r="H377" s="138">
        <f>RANK(I377,I3:I430)</f>
        <v>353</v>
      </c>
      <c r="I377" s="139">
        <f>VLOOKUP(A377,'Standard Deviations'!A1:C728,3,FALSE)</f>
        <v>-3.9884312443069945</v>
      </c>
      <c r="J377" s="139">
        <f>I377-VLOOKUP(B$2,H1:J430,2,FALSE)</f>
        <v>-9.2916868315340793</v>
      </c>
    </row>
    <row r="378" spans="1:10" ht="21.25" customHeight="1" x14ac:dyDescent="0.15">
      <c r="A378" s="8" t="s">
        <v>791</v>
      </c>
      <c r="B378" s="137" t="str">
        <f>VLOOKUP(A378,'The List'!B1:D727,3,FALSE)</f>
        <v>C</v>
      </c>
      <c r="C378" s="48">
        <f>IF(Settings!$E$15="POINTS",RANK(E378,E3:E430),H378)</f>
        <v>377</v>
      </c>
      <c r="D378" s="35" t="str">
        <f>VLOOKUP(A378,'The List'!B1:F727,5,FALSE)</f>
        <v>DET</v>
      </c>
      <c r="E378" s="39">
        <f>VLOOKUP(A378,'The List'!B1:I727,8,FALSE)</f>
        <v>94.596032468761067</v>
      </c>
      <c r="F378" s="39">
        <f>IF(Settings!$E$15="POINTS",E378-VLOOKUP(B$2,C1:E430,3,FALSE),J378)</f>
        <v>-272.85309435592961</v>
      </c>
      <c r="G378" s="39"/>
      <c r="H378" s="138">
        <f>RANK(I378,I3:I430)</f>
        <v>405</v>
      </c>
      <c r="I378" s="139">
        <f>VLOOKUP(A378,'Standard Deviations'!A1:C728,3,FALSE)</f>
        <v>-4.7848039725516243</v>
      </c>
      <c r="J378" s="139">
        <f>I378-VLOOKUP(B$2,H1:J430,2,FALSE)</f>
        <v>-10.08805955977871</v>
      </c>
    </row>
    <row r="379" spans="1:10" ht="21.25" customHeight="1" x14ac:dyDescent="0.15">
      <c r="A379" s="8" t="s">
        <v>789</v>
      </c>
      <c r="B379" s="137" t="str">
        <f>VLOOKUP(A379,'The List'!B1:D727,3,FALSE)</f>
        <v>C</v>
      </c>
      <c r="C379" s="48">
        <f>IF(Settings!$E$15="POINTS",RANK(E379,E3:E430),H379)</f>
        <v>376</v>
      </c>
      <c r="D379" s="35" t="str">
        <f>VLOOKUP(A379,'The List'!B1:F727,5,FALSE)</f>
        <v>VAN</v>
      </c>
      <c r="E379" s="39">
        <f>VLOOKUP(A379,'The List'!B1:I727,8,FALSE)</f>
        <v>95.234702791550021</v>
      </c>
      <c r="F379" s="39">
        <f>IF(Settings!$E$15="POINTS",E379-VLOOKUP(B$2,C1:E430,3,FALSE),J379)</f>
        <v>-272.21442403314063</v>
      </c>
      <c r="G379" s="39"/>
      <c r="H379" s="138">
        <f>RANK(I379,I3:I430)</f>
        <v>370</v>
      </c>
      <c r="I379" s="139">
        <f>VLOOKUP(A379,'Standard Deviations'!A1:C728,3,FALSE)</f>
        <v>-4.2498894537438119</v>
      </c>
      <c r="J379" s="139">
        <f>I379-VLOOKUP(B$2,H1:J430,2,FALSE)</f>
        <v>-9.5531450409708967</v>
      </c>
    </row>
    <row r="380" spans="1:10" ht="21.25" customHeight="1" x14ac:dyDescent="0.15">
      <c r="A380" s="8" t="s">
        <v>794</v>
      </c>
      <c r="B380" s="137" t="str">
        <f>VLOOKUP(A380,'The List'!B1:D727,3,FALSE)</f>
        <v>C</v>
      </c>
      <c r="C380" s="48">
        <f>IF(Settings!$E$15="POINTS",RANK(E380,E3:E430),H380)</f>
        <v>379</v>
      </c>
      <c r="D380" s="35" t="str">
        <f>VLOOKUP(A380,'The List'!B1:F727,5,FALSE)</f>
        <v>VAN</v>
      </c>
      <c r="E380" s="39">
        <f>VLOOKUP(A380,'The List'!B1:I727,8,FALSE)</f>
        <v>93.744245868429232</v>
      </c>
      <c r="F380" s="39">
        <f>IF(Settings!$E$15="POINTS",E380-VLOOKUP(B$2,C1:E430,3,FALSE),J380)</f>
        <v>-273.70488095626143</v>
      </c>
      <c r="G380" s="39"/>
      <c r="H380" s="138">
        <f>RANK(I380,I3:I430)</f>
        <v>352</v>
      </c>
      <c r="I380" s="139">
        <f>VLOOKUP(A380,'Standard Deviations'!A1:C728,3,FALSE)</f>
        <v>-3.9447536243326216</v>
      </c>
      <c r="J380" s="139">
        <f>I380-VLOOKUP(B$2,H1:J430,2,FALSE)</f>
        <v>-9.2480092115597063</v>
      </c>
    </row>
    <row r="381" spans="1:10" ht="21.25" customHeight="1" x14ac:dyDescent="0.15">
      <c r="A381" s="8" t="s">
        <v>787</v>
      </c>
      <c r="B381" s="137" t="str">
        <f>VLOOKUP(A381,'The List'!B1:D727,3,FALSE)</f>
        <v>C</v>
      </c>
      <c r="C381" s="48">
        <f>IF(Settings!$E$15="POINTS",RANK(E381,E3:E430),H381)</f>
        <v>374</v>
      </c>
      <c r="D381" s="35" t="str">
        <f>VLOOKUP(A381,'The List'!B1:F727,5,FALSE)</f>
        <v>MIN</v>
      </c>
      <c r="E381" s="39">
        <f>VLOOKUP(A381,'The List'!B1:I727,8,FALSE)</f>
        <v>97.958024627907122</v>
      </c>
      <c r="F381" s="39">
        <f>IF(Settings!$E$15="POINTS",E381-VLOOKUP(B$2,C1:E430,3,FALSE),J381)</f>
        <v>-269.49110219678357</v>
      </c>
      <c r="G381" s="39"/>
      <c r="H381" s="138">
        <f>RANK(I381,I3:I430)</f>
        <v>348</v>
      </c>
      <c r="I381" s="139">
        <f>VLOOKUP(A381,'Standard Deviations'!A1:C728,3,FALSE)</f>
        <v>-3.8421837150543983</v>
      </c>
      <c r="J381" s="139">
        <f>I381-VLOOKUP(B$2,H1:J430,2,FALSE)</f>
        <v>-9.1454393022814831</v>
      </c>
    </row>
    <row r="382" spans="1:10" ht="21.25" customHeight="1" x14ac:dyDescent="0.15">
      <c r="A382" s="8" t="s">
        <v>718</v>
      </c>
      <c r="B382" s="137" t="str">
        <f>VLOOKUP(A382,'The List'!B1:D727,3,FALSE)</f>
        <v>RW</v>
      </c>
      <c r="C382" s="48">
        <f>IF(Settings!$E$15="POINTS",RANK(E382,E3:E430),H382)</f>
        <v>380</v>
      </c>
      <c r="D382" s="35" t="str">
        <f>VLOOKUP(A382,'The List'!B1:F727,5,FALSE)</f>
        <v>NYR</v>
      </c>
      <c r="E382" s="39">
        <f>VLOOKUP(A382,'The List'!B1:I727,8,FALSE)</f>
        <v>91.921006348878819</v>
      </c>
      <c r="F382" s="39">
        <f>IF(Settings!$E$15="POINTS",E382-VLOOKUP(B$2,C1:E430,3,FALSE),J382)</f>
        <v>-275.52812047581187</v>
      </c>
      <c r="G382" s="39"/>
      <c r="H382" s="138">
        <f>RANK(I382,I3:I430)</f>
        <v>361</v>
      </c>
      <c r="I382" s="139">
        <f>VLOOKUP(A382,'Standard Deviations'!A1:C728,3,FALSE)</f>
        <v>-4.1193397141108035</v>
      </c>
      <c r="J382" s="139">
        <f>I382-VLOOKUP(B$2,H1:J430,2,FALSE)</f>
        <v>-9.4225953013378891</v>
      </c>
    </row>
    <row r="383" spans="1:10" ht="21.25" customHeight="1" x14ac:dyDescent="0.15">
      <c r="A383" s="8" t="s">
        <v>798</v>
      </c>
      <c r="B383" s="137" t="str">
        <f>VLOOKUP(A383,'The List'!B1:D727,3,FALSE)</f>
        <v>C</v>
      </c>
      <c r="C383" s="48">
        <f>IF(Settings!$E$15="POINTS",RANK(E383,E3:E430),H383)</f>
        <v>381</v>
      </c>
      <c r="D383" s="35" t="str">
        <f>VLOOKUP(A383,'The List'!B1:F727,5,FALSE)</f>
        <v>OTT</v>
      </c>
      <c r="E383" s="39">
        <f>VLOOKUP(A383,'The List'!B1:I727,8,FALSE)</f>
        <v>91.268250565853322</v>
      </c>
      <c r="F383" s="39">
        <f>IF(Settings!$E$15="POINTS",E383-VLOOKUP(B$2,C1:E430,3,FALSE),J383)</f>
        <v>-276.18087625883732</v>
      </c>
      <c r="G383" s="39"/>
      <c r="H383" s="138">
        <f>RANK(I383,I3:I430)</f>
        <v>354</v>
      </c>
      <c r="I383" s="139">
        <f>VLOOKUP(A383,'Standard Deviations'!A1:C728,3,FALSE)</f>
        <v>-4.0413933223631089</v>
      </c>
      <c r="J383" s="139">
        <f>I383-VLOOKUP(B$2,H1:J430,2,FALSE)</f>
        <v>-9.3446489095901946</v>
      </c>
    </row>
    <row r="384" spans="1:10" ht="21.25" customHeight="1" x14ac:dyDescent="0.15">
      <c r="A384" s="8" t="s">
        <v>800</v>
      </c>
      <c r="B384" s="137" t="str">
        <f>VLOOKUP(A384,'The List'!B1:D727,3,FALSE)</f>
        <v>C</v>
      </c>
      <c r="C384" s="48">
        <f>IF(Settings!$E$15="POINTS",RANK(E384,E3:E430),H384)</f>
        <v>384</v>
      </c>
      <c r="D384" s="35" t="str">
        <f>VLOOKUP(A384,'The List'!B1:F727,5,FALSE)</f>
        <v>CAR</v>
      </c>
      <c r="E384" s="39">
        <f>VLOOKUP(A384,'The List'!B1:I727,8,FALSE)</f>
        <v>89.617887956225601</v>
      </c>
      <c r="F384" s="39">
        <f>IF(Settings!$E$15="POINTS",E384-VLOOKUP(B$2,C1:E430,3,FALSE),J384)</f>
        <v>-277.83123886846505</v>
      </c>
      <c r="G384" s="39"/>
      <c r="H384" s="138">
        <f>RANK(I384,I3:I430)</f>
        <v>323</v>
      </c>
      <c r="I384" s="139">
        <f>VLOOKUP(A384,'Standard Deviations'!A1:C728,3,FALSE)</f>
        <v>-3.1709599740051591</v>
      </c>
      <c r="J384" s="139">
        <f>I384-VLOOKUP(B$2,H1:J430,2,FALSE)</f>
        <v>-8.4742155612322438</v>
      </c>
    </row>
    <row r="385" spans="1:10" ht="21.25" customHeight="1" x14ac:dyDescent="0.15">
      <c r="A385" s="8" t="s">
        <v>799</v>
      </c>
      <c r="B385" s="137" t="str">
        <f>VLOOKUP(A385,'The List'!B1:D727,3,FALSE)</f>
        <v>C</v>
      </c>
      <c r="C385" s="48">
        <f>IF(Settings!$E$15="POINTS",RANK(E385,E3:E430),H385)</f>
        <v>382</v>
      </c>
      <c r="D385" s="35" t="str">
        <f>VLOOKUP(A385,'The List'!B1:F727,5,FALSE)</f>
        <v>BOS</v>
      </c>
      <c r="E385" s="39">
        <f>VLOOKUP(A385,'The List'!B1:I727,8,FALSE)</f>
        <v>90.448259692776972</v>
      </c>
      <c r="F385" s="39">
        <f>IF(Settings!$E$15="POINTS",E385-VLOOKUP(B$2,C1:E430,3,FALSE),J385)</f>
        <v>-277.00086713191371</v>
      </c>
      <c r="G385" s="39"/>
      <c r="H385" s="138">
        <f>RANK(I385,I3:I430)</f>
        <v>339</v>
      </c>
      <c r="I385" s="139">
        <f>VLOOKUP(A385,'Standard Deviations'!A1:C728,3,FALSE)</f>
        <v>-3.5700307418130102</v>
      </c>
      <c r="J385" s="139">
        <f>I385-VLOOKUP(B$2,H1:J430,2,FALSE)</f>
        <v>-8.873286329040095</v>
      </c>
    </row>
    <row r="386" spans="1:10" ht="21.25" customHeight="1" x14ac:dyDescent="0.15">
      <c r="A386" s="8" t="s">
        <v>802</v>
      </c>
      <c r="B386" s="137" t="str">
        <f>VLOOKUP(A386,'The List'!B1:D727,3,FALSE)</f>
        <v>C</v>
      </c>
      <c r="C386" s="48">
        <f>IF(Settings!$E$15="POINTS",RANK(E386,E3:E430),H386)</f>
        <v>387</v>
      </c>
      <c r="D386" s="35" t="str">
        <f>VLOOKUP(A386,'The List'!B1:F727,5,FALSE)</f>
        <v>OTT</v>
      </c>
      <c r="E386" s="39">
        <f>VLOOKUP(A386,'The List'!B1:I727,8,FALSE)</f>
        <v>87.285641677943559</v>
      </c>
      <c r="F386" s="39">
        <f>IF(Settings!$E$15="POINTS",E386-VLOOKUP(B$2,C1:E430,3,FALSE),J386)</f>
        <v>-280.16348514674712</v>
      </c>
      <c r="G386" s="39"/>
      <c r="H386" s="138">
        <f>RANK(I386,I3:I430)</f>
        <v>367</v>
      </c>
      <c r="I386" s="139">
        <f>VLOOKUP(A386,'Standard Deviations'!A1:C728,3,FALSE)</f>
        <v>-4.2294005313066876</v>
      </c>
      <c r="J386" s="139">
        <f>I386-VLOOKUP(B$2,H1:J430,2,FALSE)</f>
        <v>-9.5326561185337724</v>
      </c>
    </row>
    <row r="387" spans="1:10" ht="21.25" customHeight="1" x14ac:dyDescent="0.15">
      <c r="A387" s="8" t="s">
        <v>749</v>
      </c>
      <c r="B387" s="137" t="str">
        <f>VLOOKUP(A387,'The List'!B1:D727,3,FALSE)</f>
        <v>LW</v>
      </c>
      <c r="C387" s="48">
        <f>IF(Settings!$E$15="POINTS",RANK(E387,E3:E430),H387)</f>
        <v>383</v>
      </c>
      <c r="D387" s="35" t="str">
        <f>VLOOKUP(A387,'The List'!B1:F727,5,FALSE)</f>
        <v>NSH</v>
      </c>
      <c r="E387" s="39">
        <f>VLOOKUP(A387,'The List'!B1:I727,8,FALSE)</f>
        <v>90.199076178565377</v>
      </c>
      <c r="F387" s="39">
        <f>IF(Settings!$E$15="POINTS",E387-VLOOKUP(B$2,C1:E430,3,FALSE),J387)</f>
        <v>-277.25005064612526</v>
      </c>
      <c r="G387" s="39"/>
      <c r="H387" s="138">
        <f>RANK(I387,I3:I430)</f>
        <v>409</v>
      </c>
      <c r="I387" s="139">
        <f>VLOOKUP(A387,'Standard Deviations'!A1:C728,3,FALSE)</f>
        <v>-4.9301912958619196</v>
      </c>
      <c r="J387" s="139">
        <f>I387-VLOOKUP(B$2,H1:J430,2,FALSE)</f>
        <v>-10.233446883089005</v>
      </c>
    </row>
    <row r="388" spans="1:10" ht="21.25" customHeight="1" x14ac:dyDescent="0.15">
      <c r="A388" s="8" t="s">
        <v>801</v>
      </c>
      <c r="B388" s="137" t="str">
        <f>VLOOKUP(A388,'The List'!B1:D727,3,FALSE)</f>
        <v>C</v>
      </c>
      <c r="C388" s="48">
        <f>IF(Settings!$E$15="POINTS",RANK(E388,E3:E430),H388)</f>
        <v>386</v>
      </c>
      <c r="D388" s="35" t="str">
        <f>VLOOKUP(A388,'The List'!B1:F727,5,FALSE)</f>
        <v>PIT</v>
      </c>
      <c r="E388" s="39">
        <f>VLOOKUP(A388,'The List'!B1:I727,8,FALSE)</f>
        <v>87.43968222903851</v>
      </c>
      <c r="F388" s="39">
        <f>IF(Settings!$E$15="POINTS",E388-VLOOKUP(B$2,C1:E430,3,FALSE),J388)</f>
        <v>-280.00944459565216</v>
      </c>
      <c r="G388" s="39"/>
      <c r="H388" s="138">
        <f>RANK(I388,I3:I430)</f>
        <v>392</v>
      </c>
      <c r="I388" s="139">
        <f>VLOOKUP(A388,'Standard Deviations'!A1:C728,3,FALSE)</f>
        <v>-4.5461614877498544</v>
      </c>
      <c r="J388" s="139">
        <f>I388-VLOOKUP(B$2,H1:J430,2,FALSE)</f>
        <v>-9.8494170749769392</v>
      </c>
    </row>
    <row r="389" spans="1:10" ht="21.25" customHeight="1" x14ac:dyDescent="0.15">
      <c r="A389" s="8" t="s">
        <v>804</v>
      </c>
      <c r="B389" s="137" t="str">
        <f>VLOOKUP(A389,'The List'!B1:D727,3,FALSE)</f>
        <v>C</v>
      </c>
      <c r="C389" s="48">
        <f>IF(Settings!$E$15="POINTS",RANK(E389,E3:E430),H389)</f>
        <v>388</v>
      </c>
      <c r="D389" s="35" t="str">
        <f>VLOOKUP(A389,'The List'!B1:F727,5,FALSE)</f>
        <v>LAK</v>
      </c>
      <c r="E389" s="39">
        <f>VLOOKUP(A389,'The List'!B1:I727,8,FALSE)</f>
        <v>86.398081059313313</v>
      </c>
      <c r="F389" s="39">
        <f>IF(Settings!$E$15="POINTS",E389-VLOOKUP(B$2,C1:E430,3,FALSE),J389)</f>
        <v>-281.05104576537735</v>
      </c>
      <c r="G389" s="39"/>
      <c r="H389" s="138">
        <f>RANK(I389,I3:I430)</f>
        <v>378</v>
      </c>
      <c r="I389" s="139">
        <f>VLOOKUP(A389,'Standard Deviations'!A1:C728,3,FALSE)</f>
        <v>-4.3489057135030675</v>
      </c>
      <c r="J389" s="139">
        <f>I389-VLOOKUP(B$2,H1:J430,2,FALSE)</f>
        <v>-9.6521613007301532</v>
      </c>
    </row>
    <row r="390" spans="1:10" ht="21.25" customHeight="1" x14ac:dyDescent="0.15">
      <c r="A390" s="8" t="s">
        <v>729</v>
      </c>
      <c r="B390" s="137" t="str">
        <f>VLOOKUP(A390,'The List'!B1:D727,3,FALSE)</f>
        <v>RW</v>
      </c>
      <c r="C390" s="48">
        <f>IF(Settings!$E$15="POINTS",RANK(E390,E3:E430),H390)</f>
        <v>385</v>
      </c>
      <c r="D390" s="35" t="str">
        <f>VLOOKUP(A390,'The List'!B1:F727,5,FALSE)</f>
        <v>NYI</v>
      </c>
      <c r="E390" s="39">
        <f>VLOOKUP(A390,'The List'!B1:I727,8,FALSE)</f>
        <v>87.480221804300442</v>
      </c>
      <c r="F390" s="39">
        <f>IF(Settings!$E$15="POINTS",E390-VLOOKUP(B$2,C1:E430,3,FALSE),J390)</f>
        <v>-279.96890502039025</v>
      </c>
      <c r="G390" s="39"/>
      <c r="H390" s="138">
        <f>RANK(I390,I3:I430)</f>
        <v>377</v>
      </c>
      <c r="I390" s="139">
        <f>VLOOKUP(A390,'Standard Deviations'!A1:C728,3,FALSE)</f>
        <v>-4.3152971866706826</v>
      </c>
      <c r="J390" s="139">
        <f>I390-VLOOKUP(B$2,H1:J430,2,FALSE)</f>
        <v>-9.6185527738977683</v>
      </c>
    </row>
    <row r="391" spans="1:10" ht="21.25" customHeight="1" x14ac:dyDescent="0.15">
      <c r="A391" s="8" t="s">
        <v>757</v>
      </c>
      <c r="B391" s="137" t="str">
        <f>VLOOKUP(A391,'The List'!B1:D727,3,FALSE)</f>
        <v>LW</v>
      </c>
      <c r="C391" s="48">
        <f>IF(Settings!$E$15="POINTS",RANK(E391,E3:E430),H391)</f>
        <v>390</v>
      </c>
      <c r="D391" s="35" t="str">
        <f>VLOOKUP(A391,'The List'!B1:F727,5,FALSE)</f>
        <v>NYI</v>
      </c>
      <c r="E391" s="39">
        <f>VLOOKUP(A391,'The List'!B1:I727,8,FALSE)</f>
        <v>84.792799291421261</v>
      </c>
      <c r="F391" s="39">
        <f>IF(Settings!$E$15="POINTS",E391-VLOOKUP(B$2,C1:E430,3,FALSE),J391)</f>
        <v>-282.6563275332694</v>
      </c>
      <c r="G391" s="39"/>
      <c r="H391" s="138">
        <f>RANK(I391,I3:I430)</f>
        <v>389</v>
      </c>
      <c r="I391" s="139">
        <f>VLOOKUP(A391,'Standard Deviations'!A1:C728,3,FALSE)</f>
        <v>-4.4863619056230997</v>
      </c>
      <c r="J391" s="139">
        <f>I391-VLOOKUP(B$2,H1:J430,2,FALSE)</f>
        <v>-9.7896174928501836</v>
      </c>
    </row>
    <row r="392" spans="1:10" ht="21.25" customHeight="1" x14ac:dyDescent="0.15">
      <c r="A392" s="8" t="s">
        <v>760</v>
      </c>
      <c r="B392" s="137" t="str">
        <f>VLOOKUP(A392,'The List'!B1:D727,3,FALSE)</f>
        <v>LW</v>
      </c>
      <c r="C392" s="48">
        <f>IF(Settings!$E$15="POINTS",RANK(E392,E3:E430),H392)</f>
        <v>391</v>
      </c>
      <c r="D392" s="35" t="str">
        <f>VLOOKUP(A392,'The List'!B1:F727,5,FALSE)</f>
        <v>BOS</v>
      </c>
      <c r="E392" s="39">
        <f>VLOOKUP(A392,'The List'!B1:I727,8,FALSE)</f>
        <v>83.87677584728722</v>
      </c>
      <c r="F392" s="39">
        <f>IF(Settings!$E$15="POINTS",E392-VLOOKUP(B$2,C1:E430,3,FALSE),J392)</f>
        <v>-283.57235097740346</v>
      </c>
      <c r="G392" s="39"/>
      <c r="H392" s="138">
        <f>RANK(I392,I3:I430)</f>
        <v>346</v>
      </c>
      <c r="I392" s="139">
        <f>VLOOKUP(A392,'Standard Deviations'!A1:C728,3,FALSE)</f>
        <v>-3.7677796615682064</v>
      </c>
      <c r="J392" s="139">
        <f>I392-VLOOKUP(B$2,H1:J430,2,FALSE)</f>
        <v>-9.0710352487952903</v>
      </c>
    </row>
    <row r="393" spans="1:10" ht="21.25" customHeight="1" x14ac:dyDescent="0.15">
      <c r="A393" s="8" t="s">
        <v>765</v>
      </c>
      <c r="B393" s="137" t="str">
        <f>VLOOKUP(A393,'The List'!B1:D727,3,FALSE)</f>
        <v>LW</v>
      </c>
      <c r="C393" s="48">
        <f>IF(Settings!$E$15="POINTS",RANK(E393,E3:E430),H393)</f>
        <v>392</v>
      </c>
      <c r="D393" s="35" t="str">
        <f>VLOOKUP(A393,'The List'!B1:F727,5,FALSE)</f>
        <v>PIT</v>
      </c>
      <c r="E393" s="39">
        <f>VLOOKUP(A393,'The List'!B1:I727,8,FALSE)</f>
        <v>83.138940534336456</v>
      </c>
      <c r="F393" s="39">
        <f>IF(Settings!$E$15="POINTS",E393-VLOOKUP(B$2,C1:E430,3,FALSE),J393)</f>
        <v>-284.31018629035418</v>
      </c>
      <c r="G393" s="39"/>
      <c r="H393" s="138">
        <f>RANK(I393,I3:I430)</f>
        <v>380</v>
      </c>
      <c r="I393" s="139">
        <f>VLOOKUP(A393,'Standard Deviations'!A1:C728,3,FALSE)</f>
        <v>-4.3625620428970278</v>
      </c>
      <c r="J393" s="139">
        <f>I393-VLOOKUP(B$2,H1:J430,2,FALSE)</f>
        <v>-9.6658176301241134</v>
      </c>
    </row>
    <row r="394" spans="1:10" ht="21.25" customHeight="1" x14ac:dyDescent="0.15">
      <c r="A394" s="8" t="s">
        <v>768</v>
      </c>
      <c r="B394" s="137" t="str">
        <f>VLOOKUP(A394,'The List'!B1:D727,3,FALSE)</f>
        <v>LW</v>
      </c>
      <c r="C394" s="48">
        <f>IF(Settings!$E$15="POINTS",RANK(E394,E3:E430),H394)</f>
        <v>395</v>
      </c>
      <c r="D394" s="35" t="str">
        <f>VLOOKUP(A394,'The List'!B1:F727,5,FALSE)</f>
        <v>EDM</v>
      </c>
      <c r="E394" s="39">
        <f>VLOOKUP(A394,'The List'!B1:I727,8,FALSE)</f>
        <v>82.393360700858906</v>
      </c>
      <c r="F394" s="39">
        <f>IF(Settings!$E$15="POINTS",E394-VLOOKUP(B$2,C1:E430,3,FALSE),J394)</f>
        <v>-285.05576612383175</v>
      </c>
      <c r="G394" s="39"/>
      <c r="H394" s="138">
        <f>RANK(I394,I3:I430)</f>
        <v>337</v>
      </c>
      <c r="I394" s="139">
        <f>VLOOKUP(A394,'Standard Deviations'!A1:C728,3,FALSE)</f>
        <v>-3.5395694599838787</v>
      </c>
      <c r="J394" s="139">
        <f>I394-VLOOKUP(B$2,H1:J430,2,FALSE)</f>
        <v>-8.8428250472109635</v>
      </c>
    </row>
    <row r="395" spans="1:10" ht="21.25" customHeight="1" x14ac:dyDescent="0.15">
      <c r="A395" s="8" t="s">
        <v>808</v>
      </c>
      <c r="B395" s="137" t="str">
        <f>VLOOKUP(A395,'The List'!B1:D727,3,FALSE)</f>
        <v>C</v>
      </c>
      <c r="C395" s="48">
        <f>IF(Settings!$E$15="POINTS",RANK(E395,E3:E430),H395)</f>
        <v>394</v>
      </c>
      <c r="D395" s="35" t="str">
        <f>VLOOKUP(A395,'The List'!B1:F727,5,FALSE)</f>
        <v>ANA</v>
      </c>
      <c r="E395" s="39">
        <f>VLOOKUP(A395,'The List'!B1:I727,8,FALSE)</f>
        <v>82.681931148804168</v>
      </c>
      <c r="F395" s="39">
        <f>IF(Settings!$E$15="POINTS",E395-VLOOKUP(B$2,C1:E430,3,FALSE),J395)</f>
        <v>-284.76719567588651</v>
      </c>
      <c r="G395" s="39"/>
      <c r="H395" s="138">
        <f>RANK(I395,I3:I430)</f>
        <v>426</v>
      </c>
      <c r="I395" s="139">
        <f>VLOOKUP(A395,'Standard Deviations'!A1:C728,3,FALSE)</f>
        <v>-6.3422301118345601</v>
      </c>
      <c r="J395" s="139">
        <f>I395-VLOOKUP(B$2,H1:J430,2,FALSE)</f>
        <v>-11.645485699061645</v>
      </c>
    </row>
    <row r="396" spans="1:10" ht="21.25" customHeight="1" x14ac:dyDescent="0.15">
      <c r="A396" s="8" t="s">
        <v>806</v>
      </c>
      <c r="B396" s="137" t="str">
        <f>VLOOKUP(A396,'The List'!B1:D727,3,FALSE)</f>
        <v>C</v>
      </c>
      <c r="C396" s="48">
        <f>IF(Settings!$E$15="POINTS",RANK(E396,E3:E430),H396)</f>
        <v>389</v>
      </c>
      <c r="D396" s="35" t="str">
        <f>VLOOKUP(A396,'The List'!B1:F727,5,FALSE)</f>
        <v>VAN</v>
      </c>
      <c r="E396" s="39">
        <f>VLOOKUP(A396,'The List'!B1:I727,8,FALSE)</f>
        <v>84.833013483339101</v>
      </c>
      <c r="F396" s="39">
        <f>IF(Settings!$E$15="POINTS",E396-VLOOKUP(B$2,C1:E430,3,FALSE),J396)</f>
        <v>-282.61611334135159</v>
      </c>
      <c r="G396" s="39"/>
      <c r="H396" s="138">
        <f>RANK(I396,I3:I430)</f>
        <v>403</v>
      </c>
      <c r="I396" s="139">
        <f>VLOOKUP(A396,'Standard Deviations'!A1:C728,3,FALSE)</f>
        <v>-4.7526929144899235</v>
      </c>
      <c r="J396" s="139">
        <f>I396-VLOOKUP(B$2,H1:J430,2,FALSE)</f>
        <v>-10.055948501717008</v>
      </c>
    </row>
    <row r="397" spans="1:10" ht="21.25" customHeight="1" x14ac:dyDescent="0.15">
      <c r="A397" s="8" t="s">
        <v>771</v>
      </c>
      <c r="B397" s="137" t="str">
        <f>VLOOKUP(A397,'The List'!B1:D727,3,FALSE)</f>
        <v>LW</v>
      </c>
      <c r="C397" s="48">
        <f>IF(Settings!$E$15="POINTS",RANK(E397,E3:E430),H397)</f>
        <v>398</v>
      </c>
      <c r="D397" s="35" t="str">
        <f>VLOOKUP(A397,'The List'!B1:F727,5,FALSE)</f>
        <v>MIN</v>
      </c>
      <c r="E397" s="39">
        <f>VLOOKUP(A397,'The List'!B1:I727,8,FALSE)</f>
        <v>81.76548572289056</v>
      </c>
      <c r="F397" s="39">
        <f>IF(Settings!$E$15="POINTS",E397-VLOOKUP(B$2,C1:E430,3,FALSE),J397)</f>
        <v>-285.68364110180011</v>
      </c>
      <c r="G397" s="39"/>
      <c r="H397" s="138">
        <f>RANK(I397,I3:I430)</f>
        <v>384</v>
      </c>
      <c r="I397" s="139">
        <f>VLOOKUP(A397,'Standard Deviations'!A1:C728,3,FALSE)</f>
        <v>-4.4210069659326967</v>
      </c>
      <c r="J397" s="139">
        <f>I397-VLOOKUP(B$2,H1:J430,2,FALSE)</f>
        <v>-9.7242625531597824</v>
      </c>
    </row>
    <row r="398" spans="1:10" ht="21.25" customHeight="1" x14ac:dyDescent="0.15">
      <c r="A398" s="8" t="s">
        <v>807</v>
      </c>
      <c r="B398" s="137" t="str">
        <f>VLOOKUP(A398,'The List'!B1:D727,3,FALSE)</f>
        <v>C</v>
      </c>
      <c r="C398" s="48">
        <f>IF(Settings!$E$15="POINTS",RANK(E398,E3:E430),H398)</f>
        <v>393</v>
      </c>
      <c r="D398" s="35" t="str">
        <f>VLOOKUP(A398,'The List'!B1:F727,5,FALSE)</f>
        <v>LAK</v>
      </c>
      <c r="E398" s="39">
        <f>VLOOKUP(A398,'The List'!B1:I727,8,FALSE)</f>
        <v>82.683436033160405</v>
      </c>
      <c r="F398" s="39">
        <f>IF(Settings!$E$15="POINTS",E398-VLOOKUP(B$2,C1:E430,3,FALSE),J398)</f>
        <v>-284.76569079153023</v>
      </c>
      <c r="G398" s="39"/>
      <c r="H398" s="138">
        <f>RANK(I398,I3:I430)</f>
        <v>399</v>
      </c>
      <c r="I398" s="139">
        <f>VLOOKUP(A398,'Standard Deviations'!A1:C728,3,FALSE)</f>
        <v>-4.6838297444633659</v>
      </c>
      <c r="J398" s="139">
        <f>I398-VLOOKUP(B$2,H1:J430,2,FALSE)</f>
        <v>-9.9870853316904515</v>
      </c>
    </row>
    <row r="399" spans="1:10" ht="21.25" customHeight="1" x14ac:dyDescent="0.15">
      <c r="A399" s="8" t="s">
        <v>809</v>
      </c>
      <c r="B399" s="137" t="str">
        <f>VLOOKUP(A399,'The List'!B1:D727,3,FALSE)</f>
        <v>C</v>
      </c>
      <c r="C399" s="48">
        <f>IF(Settings!$E$15="POINTS",RANK(E399,E3:E430),H399)</f>
        <v>396</v>
      </c>
      <c r="D399" s="35" t="str">
        <f>VLOOKUP(A399,'The List'!B1:F727,5,FALSE)</f>
        <v>WPG</v>
      </c>
      <c r="E399" s="39">
        <f>VLOOKUP(A399,'The List'!B1:I727,8,FALSE)</f>
        <v>82.202850203211227</v>
      </c>
      <c r="F399" s="39">
        <f>IF(Settings!$E$15="POINTS",E399-VLOOKUP(B$2,C1:E430,3,FALSE),J399)</f>
        <v>-285.24627662147941</v>
      </c>
      <c r="G399" s="39"/>
      <c r="H399" s="138">
        <f>RANK(I399,I3:I430)</f>
        <v>387</v>
      </c>
      <c r="I399" s="139">
        <f>VLOOKUP(A399,'Standard Deviations'!A1:C728,3,FALSE)</f>
        <v>-4.4519657515613895</v>
      </c>
      <c r="J399" s="139">
        <f>I399-VLOOKUP(B$2,H1:J430,2,FALSE)</f>
        <v>-9.7552213387884734</v>
      </c>
    </row>
    <row r="400" spans="1:10" ht="21.25" customHeight="1" x14ac:dyDescent="0.15">
      <c r="A400" s="8" t="s">
        <v>770</v>
      </c>
      <c r="B400" s="137" t="str">
        <f>VLOOKUP(A400,'The List'!B1:D727,3,FALSE)</f>
        <v>LW</v>
      </c>
      <c r="C400" s="48">
        <f>IF(Settings!$E$15="POINTS",RANK(E400,E3:E430),H400)</f>
        <v>397</v>
      </c>
      <c r="D400" s="35" t="str">
        <f>VLOOKUP(A400,'The List'!B1:F727,5,FALSE)</f>
        <v>OTT</v>
      </c>
      <c r="E400" s="39">
        <f>VLOOKUP(A400,'The List'!B1:I727,8,FALSE)</f>
        <v>81.976112132301907</v>
      </c>
      <c r="F400" s="39">
        <f>IF(Settings!$E$15="POINTS",E400-VLOOKUP(B$2,C1:E430,3,FALSE),J400)</f>
        <v>-285.47301469238874</v>
      </c>
      <c r="G400" s="39"/>
      <c r="H400" s="138">
        <f>RANK(I400,I3:I430)</f>
        <v>390</v>
      </c>
      <c r="I400" s="139">
        <f>VLOOKUP(A400,'Standard Deviations'!A1:C728,3,FALSE)</f>
        <v>-4.4952756909062126</v>
      </c>
      <c r="J400" s="139">
        <f>I400-VLOOKUP(B$2,H1:J430,2,FALSE)</f>
        <v>-9.7985312781332965</v>
      </c>
    </row>
    <row r="401" spans="1:10" ht="21.25" customHeight="1" x14ac:dyDescent="0.15">
      <c r="A401" s="8" t="s">
        <v>811</v>
      </c>
      <c r="B401" s="137" t="str">
        <f>VLOOKUP(A401,'The List'!B1:D727,3,FALSE)</f>
        <v>C</v>
      </c>
      <c r="C401" s="48">
        <f>IF(Settings!$E$15="POINTS",RANK(E401,E3:E430),H401)</f>
        <v>399</v>
      </c>
      <c r="D401" s="35" t="str">
        <f>VLOOKUP(A401,'The List'!B1:F727,5,FALSE)</f>
        <v>FLA</v>
      </c>
      <c r="E401" s="39">
        <f>VLOOKUP(A401,'The List'!B1:I727,8,FALSE)</f>
        <v>81.177589882080866</v>
      </c>
      <c r="F401" s="39">
        <f>IF(Settings!$E$15="POINTS",E401-VLOOKUP(B$2,C1:E430,3,FALSE),J401)</f>
        <v>-286.27153694260983</v>
      </c>
      <c r="G401" s="39"/>
      <c r="H401" s="138">
        <f>RANK(I401,I3:I430)</f>
        <v>391</v>
      </c>
      <c r="I401" s="139">
        <f>VLOOKUP(A401,'Standard Deviations'!A1:C728,3,FALSE)</f>
        <v>-4.5233288295144343</v>
      </c>
      <c r="J401" s="139">
        <f>I401-VLOOKUP(B$2,H1:J430,2,FALSE)</f>
        <v>-9.8265844167415182</v>
      </c>
    </row>
    <row r="402" spans="1:10" ht="21.25" customHeight="1" x14ac:dyDescent="0.15">
      <c r="A402" s="8" t="s">
        <v>812</v>
      </c>
      <c r="B402" s="137" t="str">
        <f>VLOOKUP(A402,'The List'!B1:D727,3,FALSE)</f>
        <v>C</v>
      </c>
      <c r="C402" s="48">
        <f>IF(Settings!$E$15="POINTS",RANK(E402,E3:E430),H402)</f>
        <v>400</v>
      </c>
      <c r="D402" s="35" t="str">
        <f>VLOOKUP(A402,'The List'!B1:F727,5,FALSE)</f>
        <v>TBL</v>
      </c>
      <c r="E402" s="39">
        <f>VLOOKUP(A402,'The List'!B1:I727,8,FALSE)</f>
        <v>81.053084039968795</v>
      </c>
      <c r="F402" s="39">
        <f>IF(Settings!$E$15="POINTS",E402-VLOOKUP(B$2,C1:E430,3,FALSE),J402)</f>
        <v>-286.39604278472189</v>
      </c>
      <c r="G402" s="39"/>
      <c r="H402" s="138">
        <f>RANK(I402,I3:I430)</f>
        <v>374</v>
      </c>
      <c r="I402" s="139">
        <f>VLOOKUP(A402,'Standard Deviations'!A1:C728,3,FALSE)</f>
        <v>-4.279601747301407</v>
      </c>
      <c r="J402" s="139">
        <f>I402-VLOOKUP(B$2,H1:J430,2,FALSE)</f>
        <v>-9.5828573345284909</v>
      </c>
    </row>
    <row r="403" spans="1:10" ht="21.25" customHeight="1" x14ac:dyDescent="0.15">
      <c r="A403" s="8" t="s">
        <v>813</v>
      </c>
      <c r="B403" s="137" t="str">
        <f>VLOOKUP(A403,'The List'!B1:D727,3,FALSE)</f>
        <v>C</v>
      </c>
      <c r="C403" s="48">
        <f>IF(Settings!$E$15="POINTS",RANK(E403,E3:E430),H403)</f>
        <v>401</v>
      </c>
      <c r="D403" s="35" t="str">
        <f>VLOOKUP(A403,'The List'!B1:F727,5,FALSE)</f>
        <v>STL</v>
      </c>
      <c r="E403" s="39">
        <f>VLOOKUP(A403,'The List'!B1:I727,8,FALSE)</f>
        <v>78.634348169884433</v>
      </c>
      <c r="F403" s="39">
        <f>IF(Settings!$E$15="POINTS",E403-VLOOKUP(B$2,C1:E430,3,FALSE),J403)</f>
        <v>-288.81477865480622</v>
      </c>
      <c r="G403" s="39"/>
      <c r="H403" s="138">
        <f>RANK(I403,I3:I430)</f>
        <v>418</v>
      </c>
      <c r="I403" s="139">
        <f>VLOOKUP(A403,'Standard Deviations'!A1:C728,3,FALSE)</f>
        <v>-5.2796544356195376</v>
      </c>
      <c r="J403" s="139">
        <f>I403-VLOOKUP(B$2,H1:J430,2,FALSE)</f>
        <v>-10.582910022846622</v>
      </c>
    </row>
    <row r="404" spans="1:10" ht="21.25" customHeight="1" x14ac:dyDescent="0.15">
      <c r="A404" s="8" t="s">
        <v>814</v>
      </c>
      <c r="B404" s="137" t="str">
        <f>VLOOKUP(A404,'The List'!B1:D727,3,FALSE)</f>
        <v>C</v>
      </c>
      <c r="C404" s="48">
        <f>IF(Settings!$E$15="POINTS",RANK(E404,E3:E430),H404)</f>
        <v>403</v>
      </c>
      <c r="D404" s="35" t="str">
        <f>VLOOKUP(A404,'The List'!B1:F727,5,FALSE)</f>
        <v>MIN</v>
      </c>
      <c r="E404" s="39">
        <f>VLOOKUP(A404,'The List'!B1:I727,8,FALSE)</f>
        <v>77.456546722325498</v>
      </c>
      <c r="F404" s="39">
        <f>IF(Settings!$E$15="POINTS",E404-VLOOKUP(B$2,C1:E430,3,FALSE),J404)</f>
        <v>-289.9925801023652</v>
      </c>
      <c r="G404" s="39"/>
      <c r="H404" s="138">
        <f>RANK(I404,I3:I430)</f>
        <v>397</v>
      </c>
      <c r="I404" s="139">
        <f>VLOOKUP(A404,'Standard Deviations'!A1:C728,3,FALSE)</f>
        <v>-4.6394339102182034</v>
      </c>
      <c r="J404" s="139">
        <f>I404-VLOOKUP(B$2,H1:J430,2,FALSE)</f>
        <v>-9.9426894974452882</v>
      </c>
    </row>
    <row r="405" spans="1:10" ht="21.25" customHeight="1" x14ac:dyDescent="0.15">
      <c r="A405" s="8" t="s">
        <v>748</v>
      </c>
      <c r="B405" s="137" t="str">
        <f>VLOOKUP(A405,'The List'!B1:D727,3,FALSE)</f>
        <v>RW</v>
      </c>
      <c r="C405" s="48">
        <f>IF(Settings!$E$15="POINTS",RANK(E405,E3:E430),H405)</f>
        <v>405</v>
      </c>
      <c r="D405" s="35" t="str">
        <f>VLOOKUP(A405,'The List'!B1:F727,5,FALSE)</f>
        <v>ANA</v>
      </c>
      <c r="E405" s="39">
        <f>VLOOKUP(A405,'The List'!B1:I727,8,FALSE)</f>
        <v>76.776035292203446</v>
      </c>
      <c r="F405" s="39">
        <f>IF(Settings!$E$15="POINTS",E405-VLOOKUP(B$2,C1:E430,3,FALSE),J405)</f>
        <v>-290.67309153248721</v>
      </c>
      <c r="G405" s="39"/>
      <c r="H405" s="138">
        <f>RANK(I405,I3:I430)</f>
        <v>428</v>
      </c>
      <c r="I405" s="139">
        <f>VLOOKUP(A405,'Standard Deviations'!A1:C728,3,FALSE)</f>
        <v>-6.6419764034378836</v>
      </c>
      <c r="J405" s="139">
        <f>I405-VLOOKUP(B$2,H1:J430,2,FALSE)</f>
        <v>-11.945231990664968</v>
      </c>
    </row>
    <row r="406" spans="1:10" ht="21.25" customHeight="1" x14ac:dyDescent="0.15">
      <c r="A406" s="8" t="s">
        <v>815</v>
      </c>
      <c r="B406" s="137" t="str">
        <f>VLOOKUP(A406,'The List'!B1:D727,3,FALSE)</f>
        <v>C</v>
      </c>
      <c r="C406" s="48">
        <f>IF(Settings!$E$15="POINTS",RANK(E406,E3:E430),H406)</f>
        <v>404</v>
      </c>
      <c r="D406" s="35" t="str">
        <f>VLOOKUP(A406,'The List'!B1:F727,5,FALSE)</f>
        <v>OTT</v>
      </c>
      <c r="E406" s="39">
        <f>VLOOKUP(A406,'The List'!B1:I727,8,FALSE)</f>
        <v>76.980455060115403</v>
      </c>
      <c r="F406" s="39">
        <f>IF(Settings!$E$15="POINTS",E406-VLOOKUP(B$2,C1:E430,3,FALSE),J406)</f>
        <v>-290.46867176457528</v>
      </c>
      <c r="G406" s="39"/>
      <c r="H406" s="138">
        <f>RANK(I406,I3:I430)</f>
        <v>379</v>
      </c>
      <c r="I406" s="139">
        <f>VLOOKUP(A406,'Standard Deviations'!A1:C728,3,FALSE)</f>
        <v>-4.3543703732550529</v>
      </c>
      <c r="J406" s="139">
        <f>I406-VLOOKUP(B$2,H1:J430,2,FALSE)</f>
        <v>-9.6576259604821377</v>
      </c>
    </row>
    <row r="407" spans="1:10" ht="21.25" customHeight="1" x14ac:dyDescent="0.15">
      <c r="A407" s="8" t="s">
        <v>778</v>
      </c>
      <c r="B407" s="137" t="str">
        <f>VLOOKUP(A407,'The List'!B1:D727,3,FALSE)</f>
        <v>LW</v>
      </c>
      <c r="C407" s="48">
        <f>IF(Settings!$E$15="POINTS",RANK(E407,E3:E430),H407)</f>
        <v>406</v>
      </c>
      <c r="D407" s="35" t="str">
        <f>VLOOKUP(A407,'The List'!B1:F727,5,FALSE)</f>
        <v>PHI</v>
      </c>
      <c r="E407" s="39">
        <f>VLOOKUP(A407,'The List'!B1:I727,8,FALSE)</f>
        <v>76.59540055135939</v>
      </c>
      <c r="F407" s="39">
        <f>IF(Settings!$E$15="POINTS",E407-VLOOKUP(B$2,C1:E430,3,FALSE),J407)</f>
        <v>-290.85372627333129</v>
      </c>
      <c r="G407" s="39"/>
      <c r="H407" s="138">
        <f>RANK(I407,I3:I430)</f>
        <v>425</v>
      </c>
      <c r="I407" s="139">
        <f>VLOOKUP(A407,'Standard Deviations'!A1:C728,3,FALSE)</f>
        <v>-6.3201942266065778</v>
      </c>
      <c r="J407" s="139">
        <f>I407-VLOOKUP(B$2,H1:J430,2,FALSE)</f>
        <v>-11.623449813833663</v>
      </c>
    </row>
    <row r="408" spans="1:10" ht="21.25" customHeight="1" x14ac:dyDescent="0.15">
      <c r="A408" s="8" t="s">
        <v>744</v>
      </c>
      <c r="B408" s="137" t="str">
        <f>VLOOKUP(A408,'The List'!B1:D727,3,FALSE)</f>
        <v>RW</v>
      </c>
      <c r="C408" s="48">
        <f>IF(Settings!$E$15="POINTS",RANK(E408,E3:E430),H408)</f>
        <v>402</v>
      </c>
      <c r="D408" s="35" t="str">
        <f>VLOOKUP(A408,'The List'!B1:F727,5,FALSE)</f>
        <v>NSH</v>
      </c>
      <c r="E408" s="39">
        <f>VLOOKUP(A408,'The List'!B1:I727,8,FALSE)</f>
        <v>78.457324099788991</v>
      </c>
      <c r="F408" s="39">
        <f>IF(Settings!$E$15="POINTS",E408-VLOOKUP(B$2,C1:E430,3,FALSE),J408)</f>
        <v>-288.99180272490167</v>
      </c>
      <c r="G408" s="39"/>
      <c r="H408" s="138">
        <f>RANK(I408,I3:I430)</f>
        <v>401</v>
      </c>
      <c r="I408" s="139">
        <f>VLOOKUP(A408,'Standard Deviations'!A1:C728,3,FALSE)</f>
        <v>-4.6877409499632474</v>
      </c>
      <c r="J408" s="139">
        <f>I408-VLOOKUP(B$2,H1:J430,2,FALSE)</f>
        <v>-9.9909965371903322</v>
      </c>
    </row>
    <row r="409" spans="1:10" ht="21.25" customHeight="1" x14ac:dyDescent="0.15">
      <c r="A409" s="8" t="s">
        <v>780</v>
      </c>
      <c r="B409" s="137" t="str">
        <f>VLOOKUP(A409,'The List'!B1:D727,3,FALSE)</f>
        <v>LW</v>
      </c>
      <c r="C409" s="48">
        <f>IF(Settings!$E$15="POINTS",RANK(E409,E3:E430),H409)</f>
        <v>407</v>
      </c>
      <c r="D409" s="35" t="str">
        <f>VLOOKUP(A409,'The List'!B1:F727,5,FALSE)</f>
        <v>STL</v>
      </c>
      <c r="E409" s="39">
        <f>VLOOKUP(A409,'The List'!B1:I727,8,FALSE)</f>
        <v>75.813651501836176</v>
      </c>
      <c r="F409" s="39">
        <f>IF(Settings!$E$15="POINTS",E409-VLOOKUP(B$2,C1:E430,3,FALSE),J409)</f>
        <v>-291.63547532285452</v>
      </c>
      <c r="G409" s="39"/>
      <c r="H409" s="138">
        <f>RANK(I409,I3:I430)</f>
        <v>419</v>
      </c>
      <c r="I409" s="139">
        <f>VLOOKUP(A409,'Standard Deviations'!A1:C728,3,FALSE)</f>
        <v>-5.2838714573336372</v>
      </c>
      <c r="J409" s="139">
        <f>I409-VLOOKUP(B$2,H1:J430,2,FALSE)</f>
        <v>-10.587127044560722</v>
      </c>
    </row>
    <row r="410" spans="1:10" ht="21.25" customHeight="1" x14ac:dyDescent="0.15">
      <c r="A410" s="8" t="s">
        <v>751</v>
      </c>
      <c r="B410" s="137" t="str">
        <f>VLOOKUP(A410,'The List'!B1:D727,3,FALSE)</f>
        <v>RW</v>
      </c>
      <c r="C410" s="48">
        <f>IF(Settings!$E$15="POINTS",RANK(E410,E3:E430),H410)</f>
        <v>408</v>
      </c>
      <c r="D410" s="35" t="str">
        <f>VLOOKUP(A410,'The List'!B1:F727,5,FALSE)</f>
        <v>TBL</v>
      </c>
      <c r="E410" s="39">
        <f>VLOOKUP(A410,'The List'!B1:I727,8,FALSE)</f>
        <v>75.504520685029874</v>
      </c>
      <c r="F410" s="39">
        <f>IF(Settings!$E$15="POINTS",E410-VLOOKUP(B$2,C1:E430,3,FALSE),J410)</f>
        <v>-291.94460613966078</v>
      </c>
      <c r="G410" s="39"/>
      <c r="H410" s="138">
        <f>RANK(I410,I3:I430)</f>
        <v>396</v>
      </c>
      <c r="I410" s="139">
        <f>VLOOKUP(A410,'Standard Deviations'!A1:C728,3,FALSE)</f>
        <v>-4.6128875088000685</v>
      </c>
      <c r="J410" s="139">
        <f>I410-VLOOKUP(B$2,H1:J430,2,FALSE)</f>
        <v>-9.9161430960271524</v>
      </c>
    </row>
    <row r="411" spans="1:10" ht="21.25" customHeight="1" x14ac:dyDescent="0.15">
      <c r="A411" s="8" t="s">
        <v>817</v>
      </c>
      <c r="B411" s="137" t="str">
        <f>VLOOKUP(A411,'The List'!B1:D727,3,FALSE)</f>
        <v>C</v>
      </c>
      <c r="C411" s="48">
        <f>IF(Settings!$E$15="POINTS",RANK(E411,E3:E430),H411)</f>
        <v>409</v>
      </c>
      <c r="D411" s="35" t="str">
        <f>VLOOKUP(A411,'The List'!B1:F727,5,FALSE)</f>
        <v>BOS</v>
      </c>
      <c r="E411" s="39">
        <f>VLOOKUP(A411,'The List'!B1:I727,8,FALSE)</f>
        <v>75.280642100190647</v>
      </c>
      <c r="F411" s="39">
        <f>IF(Settings!$E$15="POINTS",E411-VLOOKUP(B$2,C1:E430,3,FALSE),J411)</f>
        <v>-292.16848472449999</v>
      </c>
      <c r="G411" s="39"/>
      <c r="H411" s="138">
        <f>RANK(I411,I3:I430)</f>
        <v>383</v>
      </c>
      <c r="I411" s="139">
        <f>VLOOKUP(A411,'Standard Deviations'!A1:C728,3,FALSE)</f>
        <v>-4.4037162693080028</v>
      </c>
      <c r="J411" s="139">
        <f>I411-VLOOKUP(B$2,H1:J430,2,FALSE)</f>
        <v>-9.7069718565350875</v>
      </c>
    </row>
    <row r="412" spans="1:10" ht="21.25" customHeight="1" x14ac:dyDescent="0.15">
      <c r="A412" s="8" t="s">
        <v>753</v>
      </c>
      <c r="B412" s="137" t="str">
        <f>VLOOKUP(A412,'The List'!B1:D727,3,FALSE)</f>
        <v>RW</v>
      </c>
      <c r="C412" s="48">
        <f>IF(Settings!$E$15="POINTS",RANK(E412,E3:E430),H412)</f>
        <v>410</v>
      </c>
      <c r="D412" s="35" t="str">
        <f>VLOOKUP(A412,'The List'!B1:F727,5,FALSE)</f>
        <v>TOR</v>
      </c>
      <c r="E412" s="39">
        <f>VLOOKUP(A412,'The List'!B1:I727,8,FALSE)</f>
        <v>75.223649017808867</v>
      </c>
      <c r="F412" s="39">
        <f>IF(Settings!$E$15="POINTS",E412-VLOOKUP(B$2,C1:E430,3,FALSE),J412)</f>
        <v>-292.22547780688183</v>
      </c>
      <c r="G412" s="39"/>
      <c r="H412" s="138">
        <f>RANK(I412,I3:I430)</f>
        <v>362</v>
      </c>
      <c r="I412" s="139">
        <f>VLOOKUP(A412,'Standard Deviations'!A1:C728,3,FALSE)</f>
        <v>-4.1259879214715447</v>
      </c>
      <c r="J412" s="139">
        <f>I412-VLOOKUP(B$2,H1:J430,2,FALSE)</f>
        <v>-9.4292435086986295</v>
      </c>
    </row>
    <row r="413" spans="1:10" ht="21.25" customHeight="1" x14ac:dyDescent="0.15">
      <c r="A413" s="8" t="s">
        <v>819</v>
      </c>
      <c r="B413" s="137" t="str">
        <f>VLOOKUP(A413,'The List'!B1:D727,3,FALSE)</f>
        <v>C</v>
      </c>
      <c r="C413" s="48">
        <f>IF(Settings!$E$15="POINTS",RANK(E413,E3:E430),H413)</f>
        <v>411</v>
      </c>
      <c r="D413" s="35" t="str">
        <f>VLOOKUP(A413,'The List'!B1:F727,5,FALSE)</f>
        <v>NYR</v>
      </c>
      <c r="E413" s="39">
        <f>VLOOKUP(A413,'The List'!B1:I727,8,FALSE)</f>
        <v>71.94915654708646</v>
      </c>
      <c r="F413" s="39">
        <f>IF(Settings!$E$15="POINTS",E413-VLOOKUP(B$2,C1:E430,3,FALSE),J413)</f>
        <v>-295.49997027760423</v>
      </c>
      <c r="G413" s="39"/>
      <c r="H413" s="138">
        <f>RANK(I413,I3:I430)</f>
        <v>359</v>
      </c>
      <c r="I413" s="139">
        <f>VLOOKUP(A413,'Standard Deviations'!A1:C728,3,FALSE)</f>
        <v>-4.0878351831140431</v>
      </c>
      <c r="J413" s="139">
        <f>I413-VLOOKUP(B$2,H1:J430,2,FALSE)</f>
        <v>-9.3910907703411279</v>
      </c>
    </row>
    <row r="414" spans="1:10" ht="21.25" customHeight="1" x14ac:dyDescent="0.15">
      <c r="A414" s="8" t="s">
        <v>767</v>
      </c>
      <c r="B414" s="137" t="str">
        <f>VLOOKUP(A414,'The List'!B1:D727,3,FALSE)</f>
        <v>RW</v>
      </c>
      <c r="C414" s="48">
        <f>IF(Settings!$E$15="POINTS",RANK(E414,E3:E430),H414)</f>
        <v>413</v>
      </c>
      <c r="D414" s="35" t="str">
        <f>VLOOKUP(A414,'The List'!B1:F727,5,FALSE)</f>
        <v>CBJ</v>
      </c>
      <c r="E414" s="39">
        <f>VLOOKUP(A414,'The List'!B1:I727,8,FALSE)</f>
        <v>69.296125656414503</v>
      </c>
      <c r="F414" s="39">
        <f>IF(Settings!$E$15="POINTS",E414-VLOOKUP(B$2,C1:E430,3,FALSE),J414)</f>
        <v>-298.15300116827615</v>
      </c>
      <c r="G414" s="39"/>
      <c r="H414" s="138">
        <f>RANK(I414,I3:I430)</f>
        <v>422</v>
      </c>
      <c r="I414" s="139">
        <f>VLOOKUP(A414,'Standard Deviations'!A1:C728,3,FALSE)</f>
        <v>-5.7359764741609327</v>
      </c>
      <c r="J414" s="139">
        <f>I414-VLOOKUP(B$2,H1:J430,2,FALSE)</f>
        <v>-11.039232061388017</v>
      </c>
    </row>
    <row r="415" spans="1:10" ht="21.25" customHeight="1" x14ac:dyDescent="0.15">
      <c r="A415" s="8" t="s">
        <v>821</v>
      </c>
      <c r="B415" s="137" t="str">
        <f>VLOOKUP(A415,'The List'!B1:D727,3,FALSE)</f>
        <v>C</v>
      </c>
      <c r="C415" s="48">
        <f>IF(Settings!$E$15="POINTS",RANK(E415,E3:E430),H415)</f>
        <v>414</v>
      </c>
      <c r="D415" s="35" t="str">
        <f>VLOOKUP(A415,'The List'!B1:F727,5,FALSE)</f>
        <v>TBL</v>
      </c>
      <c r="E415" s="39">
        <f>VLOOKUP(A415,'The List'!B1:I727,8,FALSE)</f>
        <v>68.580728865866377</v>
      </c>
      <c r="F415" s="39">
        <f>IF(Settings!$E$15="POINTS",E415-VLOOKUP(B$2,C1:E430,3,FALSE),J415)</f>
        <v>-298.86839795882429</v>
      </c>
      <c r="G415" s="39"/>
      <c r="H415" s="138">
        <f>RANK(I415,I3:I430)</f>
        <v>416</v>
      </c>
      <c r="I415" s="139">
        <f>VLOOKUP(A415,'Standard Deviations'!A1:C728,3,FALSE)</f>
        <v>-5.2117666407985874</v>
      </c>
      <c r="J415" s="139">
        <f>I415-VLOOKUP(B$2,H1:J430,2,FALSE)</f>
        <v>-10.515022228025671</v>
      </c>
    </row>
    <row r="416" spans="1:10" ht="21.25" customHeight="1" x14ac:dyDescent="0.15">
      <c r="A416" s="8" t="s">
        <v>785</v>
      </c>
      <c r="B416" s="137" t="str">
        <f>VLOOKUP(A416,'The List'!B1:D727,3,FALSE)</f>
        <v>LW</v>
      </c>
      <c r="C416" s="48">
        <f>IF(Settings!$E$15="POINTS",RANK(E416,E3:E430),H416)</f>
        <v>412</v>
      </c>
      <c r="D416" s="35" t="str">
        <f>VLOOKUP(A416,'The List'!B1:F727,5,FALSE)</f>
        <v>SEA</v>
      </c>
      <c r="E416" s="39">
        <f>VLOOKUP(A416,'The List'!B1:I727,8,FALSE)</f>
        <v>69.795916072319059</v>
      </c>
      <c r="F416" s="39">
        <f>IF(Settings!$E$15="POINTS",E416-VLOOKUP(B$2,C1:E430,3,FALSE),J416)</f>
        <v>-297.65321075237159</v>
      </c>
      <c r="G416" s="39"/>
      <c r="H416" s="138">
        <f>RANK(I416,I3:I430)</f>
        <v>402</v>
      </c>
      <c r="I416" s="139">
        <f>VLOOKUP(A416,'Standard Deviations'!A1:C728,3,FALSE)</f>
        <v>-4.7338702896114224</v>
      </c>
      <c r="J416" s="139">
        <f>I416-VLOOKUP(B$2,H1:J430,2,FALSE)</f>
        <v>-10.037125876838507</v>
      </c>
    </row>
    <row r="417" spans="1:10" ht="21.25" customHeight="1" x14ac:dyDescent="0.15">
      <c r="A417" s="8" t="s">
        <v>823</v>
      </c>
      <c r="B417" s="137" t="str">
        <f>VLOOKUP(A417,'The List'!B1:D727,3,FALSE)</f>
        <v>C</v>
      </c>
      <c r="C417" s="48">
        <f>IF(Settings!$E$15="POINTS",RANK(E417,E3:E430),H417)</f>
        <v>416</v>
      </c>
      <c r="D417" s="35" t="str">
        <f>VLOOKUP(A417,'The List'!B1:F727,5,FALSE)</f>
        <v>MIN</v>
      </c>
      <c r="E417" s="39">
        <f>VLOOKUP(A417,'The List'!B1:I727,8,FALSE)</f>
        <v>67.135825616221084</v>
      </c>
      <c r="F417" s="39">
        <f>IF(Settings!$E$15="POINTS",E417-VLOOKUP(B$2,C1:E430,3,FALSE),J417)</f>
        <v>-300.31330120846957</v>
      </c>
      <c r="G417" s="39"/>
      <c r="H417" s="138">
        <f>RANK(I417,I3:I430)</f>
        <v>408</v>
      </c>
      <c r="I417" s="139">
        <f>VLOOKUP(A417,'Standard Deviations'!A1:C728,3,FALSE)</f>
        <v>-4.8419834782325415</v>
      </c>
      <c r="J417" s="139">
        <f>I417-VLOOKUP(B$2,H1:J430,2,FALSE)</f>
        <v>-10.145239065459627</v>
      </c>
    </row>
    <row r="418" spans="1:10" ht="21.25" customHeight="1" x14ac:dyDescent="0.15">
      <c r="A418" s="8" t="s">
        <v>822</v>
      </c>
      <c r="B418" s="137" t="str">
        <f>VLOOKUP(A418,'The List'!B1:D727,3,FALSE)</f>
        <v>C</v>
      </c>
      <c r="C418" s="48">
        <f>IF(Settings!$E$15="POINTS",RANK(E418,E3:E430),H418)</f>
        <v>415</v>
      </c>
      <c r="D418" s="35" t="str">
        <f>VLOOKUP(A418,'The List'!B1:F727,5,FALSE)</f>
        <v>NJD</v>
      </c>
      <c r="E418" s="39">
        <f>VLOOKUP(A418,'The List'!B1:I727,8,FALSE)</f>
        <v>67.508630451357277</v>
      </c>
      <c r="F418" s="39">
        <f>IF(Settings!$E$15="POINTS",E418-VLOOKUP(B$2,C1:E430,3,FALSE),J418)</f>
        <v>-299.94049637333342</v>
      </c>
      <c r="G418" s="39"/>
      <c r="H418" s="138">
        <f>RANK(I418,I3:I430)</f>
        <v>400</v>
      </c>
      <c r="I418" s="139">
        <f>VLOOKUP(A418,'Standard Deviations'!A1:C728,3,FALSE)</f>
        <v>-4.6852057912066574</v>
      </c>
      <c r="J418" s="139">
        <f>I418-VLOOKUP(B$2,H1:J430,2,FALSE)</f>
        <v>-9.9884613784337422</v>
      </c>
    </row>
    <row r="419" spans="1:10" ht="21.25" customHeight="1" x14ac:dyDescent="0.15">
      <c r="A419" s="8" t="s">
        <v>773</v>
      </c>
      <c r="B419" s="137" t="str">
        <f>VLOOKUP(A419,'The List'!B1:D727,3,FALSE)</f>
        <v>RW</v>
      </c>
      <c r="C419" s="48">
        <f>IF(Settings!$E$15="POINTS",RANK(E419,E3:E430),H419)</f>
        <v>417</v>
      </c>
      <c r="D419" s="35" t="str">
        <f>VLOOKUP(A419,'The List'!B1:F727,5,FALSE)</f>
        <v>TOR</v>
      </c>
      <c r="E419" s="39">
        <f>VLOOKUP(A419,'The List'!B1:I727,8,FALSE)</f>
        <v>66.741079527526892</v>
      </c>
      <c r="F419" s="39">
        <f>IF(Settings!$E$15="POINTS",E419-VLOOKUP(B$2,C1:E430,3,FALSE),J419)</f>
        <v>-300.70804729716377</v>
      </c>
      <c r="G419" s="39"/>
      <c r="H419" s="138">
        <f>RANK(I419,I3:I430)</f>
        <v>386</v>
      </c>
      <c r="I419" s="139">
        <f>VLOOKUP(A419,'Standard Deviations'!A1:C728,3,FALSE)</f>
        <v>-4.4437010961056114</v>
      </c>
      <c r="J419" s="139">
        <f>I419-VLOOKUP(B$2,H1:J430,2,FALSE)</f>
        <v>-9.7469566833326962</v>
      </c>
    </row>
    <row r="420" spans="1:10" ht="21.25" customHeight="1" x14ac:dyDescent="0.15">
      <c r="A420" s="8" t="s">
        <v>795</v>
      </c>
      <c r="B420" s="137" t="str">
        <f>VLOOKUP(A420,'The List'!B1:D727,3,FALSE)</f>
        <v>LW</v>
      </c>
      <c r="C420" s="48">
        <f>IF(Settings!$E$15="POINTS",RANK(E420,E3:E430),H420)</f>
        <v>418</v>
      </c>
      <c r="D420" s="35" t="str">
        <f>VLOOKUP(A420,'The List'!B1:F727,5,FALSE)</f>
        <v>COL</v>
      </c>
      <c r="E420" s="39">
        <f>VLOOKUP(A420,'The List'!B1:I727,8,FALSE)</f>
        <v>64.081858180406456</v>
      </c>
      <c r="F420" s="39">
        <f>IF(Settings!$E$15="POINTS",E420-VLOOKUP(B$2,C1:E430,3,FALSE),J420)</f>
        <v>-303.3672686442842</v>
      </c>
      <c r="G420" s="39"/>
      <c r="H420" s="138">
        <f>RANK(I420,I3:I430)</f>
        <v>394</v>
      </c>
      <c r="I420" s="139">
        <f>VLOOKUP(A420,'Standard Deviations'!A1:C728,3,FALSE)</f>
        <v>-4.5827931395191532</v>
      </c>
      <c r="J420" s="139">
        <f>I420-VLOOKUP(B$2,H1:J430,2,FALSE)</f>
        <v>-9.8860487267462389</v>
      </c>
    </row>
    <row r="421" spans="1:10" ht="21.25" customHeight="1" x14ac:dyDescent="0.15">
      <c r="A421" s="8" t="s">
        <v>796</v>
      </c>
      <c r="B421" s="137" t="str">
        <f>VLOOKUP(A421,'The List'!B1:D727,3,FALSE)</f>
        <v>C,LW</v>
      </c>
      <c r="C421" s="48">
        <f>IF(Settings!$E$15="POINTS",RANK(E421,E3:E430),H421)</f>
        <v>419</v>
      </c>
      <c r="D421" s="35" t="str">
        <f>VLOOKUP(A421,'The List'!B1:F727,5,FALSE)</f>
        <v>CGY</v>
      </c>
      <c r="E421" s="39">
        <f>VLOOKUP(A421,'The List'!B1:I727,8,FALSE)</f>
        <v>63.505571470031263</v>
      </c>
      <c r="F421" s="39">
        <f>IF(Settings!$E$15="POINTS",E421-VLOOKUP(B$2,C1:E430,3,FALSE),J421)</f>
        <v>-303.9435553546594</v>
      </c>
      <c r="G421" s="39"/>
      <c r="H421" s="138">
        <f>RANK(I421,I3:I430)</f>
        <v>407</v>
      </c>
      <c r="I421" s="139">
        <f>VLOOKUP(A421,'Standard Deviations'!A1:C728,3,FALSE)</f>
        <v>-4.8298491824512526</v>
      </c>
      <c r="J421" s="139">
        <f>I421-VLOOKUP(B$2,H1:J430,2,FALSE)</f>
        <v>-10.133104769678337</v>
      </c>
    </row>
    <row r="422" spans="1:10" ht="21.25" customHeight="1" x14ac:dyDescent="0.15">
      <c r="A422" s="8" t="s">
        <v>797</v>
      </c>
      <c r="B422" s="137" t="str">
        <f>VLOOKUP(A422,'The List'!B1:D727,3,FALSE)</f>
        <v>LW</v>
      </c>
      <c r="C422" s="48">
        <f>IF(Settings!$E$15="POINTS",RANK(E422,E3:E430),H422)</f>
        <v>420</v>
      </c>
      <c r="D422" s="35" t="str">
        <f>VLOOKUP(A422,'The List'!B1:F727,5,FALSE)</f>
        <v>FLA</v>
      </c>
      <c r="E422" s="39">
        <f>VLOOKUP(A422,'The List'!B1:I727,8,FALSE)</f>
        <v>63.31772953181612</v>
      </c>
      <c r="F422" s="39">
        <f>IF(Settings!$E$15="POINTS",E422-VLOOKUP(B$2,C1:E430,3,FALSE),J422)</f>
        <v>-304.13139729287457</v>
      </c>
      <c r="G422" s="39"/>
      <c r="H422" s="138">
        <f>RANK(I422,I3:I430)</f>
        <v>411</v>
      </c>
      <c r="I422" s="139">
        <f>VLOOKUP(A422,'Standard Deviations'!A1:C728,3,FALSE)</f>
        <v>-4.9603199548909602</v>
      </c>
      <c r="J422" s="139">
        <f>I422-VLOOKUP(B$2,H1:J430,2,FALSE)</f>
        <v>-10.263575542118044</v>
      </c>
    </row>
    <row r="423" spans="1:10" ht="21.25" customHeight="1" x14ac:dyDescent="0.15">
      <c r="A423" s="8" t="s">
        <v>825</v>
      </c>
      <c r="B423" s="137" t="str">
        <f>VLOOKUP(A423,'The List'!B1:D727,3,FALSE)</f>
        <v>C</v>
      </c>
      <c r="C423" s="48">
        <f>IF(Settings!$E$15="POINTS",RANK(E423,E3:E430),H423)</f>
        <v>422</v>
      </c>
      <c r="D423" s="35" t="str">
        <f>VLOOKUP(A423,'The List'!B1:F727,5,FALSE)</f>
        <v>EDM</v>
      </c>
      <c r="E423" s="39">
        <f>VLOOKUP(A423,'The List'!B1:I727,8,FALSE)</f>
        <v>62.613099357259095</v>
      </c>
      <c r="F423" s="39">
        <f>IF(Settings!$E$15="POINTS",E423-VLOOKUP(B$2,C1:E430,3,FALSE),J423)</f>
        <v>-304.83602746743156</v>
      </c>
      <c r="G423" s="39"/>
      <c r="H423" s="138">
        <f>RANK(I423,I3:I430)</f>
        <v>385</v>
      </c>
      <c r="I423" s="139">
        <f>VLOOKUP(A423,'Standard Deviations'!A1:C728,3,FALSE)</f>
        <v>-4.4233763071834007</v>
      </c>
      <c r="J423" s="139">
        <f>I423-VLOOKUP(B$2,H1:J430,2,FALSE)</f>
        <v>-9.7266318944104846</v>
      </c>
    </row>
    <row r="424" spans="1:10" ht="21.25" customHeight="1" x14ac:dyDescent="0.15">
      <c r="A424" s="8" t="s">
        <v>826</v>
      </c>
      <c r="B424" s="137" t="str">
        <f>VLOOKUP(A424,'The List'!B1:D727,3,FALSE)</f>
        <v>C</v>
      </c>
      <c r="C424" s="48">
        <f>IF(Settings!$E$15="POINTS",RANK(E424,E3:E430),H424)</f>
        <v>423</v>
      </c>
      <c r="D424" s="35" t="str">
        <f>VLOOKUP(A424,'The List'!B1:F727,5,FALSE)</f>
        <v>BOS</v>
      </c>
      <c r="E424" s="39">
        <f>VLOOKUP(A424,'The List'!B1:I727,8,FALSE)</f>
        <v>61.641313391744184</v>
      </c>
      <c r="F424" s="39">
        <f>IF(Settings!$E$15="POINTS",E424-VLOOKUP(B$2,C1:E430,3,FALSE),J424)</f>
        <v>-305.80781343294649</v>
      </c>
      <c r="G424" s="39"/>
      <c r="H424" s="138">
        <f>RANK(I424,I3:I430)</f>
        <v>412</v>
      </c>
      <c r="I424" s="139">
        <f>VLOOKUP(A424,'Standard Deviations'!A1:C728,3,FALSE)</f>
        <v>-4.9711614098371157</v>
      </c>
      <c r="J424" s="139">
        <f>I424-VLOOKUP(B$2,H1:J430,2,FALSE)</f>
        <v>-10.274416997064201</v>
      </c>
    </row>
    <row r="425" spans="1:10" ht="21.25" customHeight="1" x14ac:dyDescent="0.15">
      <c r="A425" s="8" t="s">
        <v>824</v>
      </c>
      <c r="B425" s="137" t="str">
        <f>VLOOKUP(A425,'The List'!B1:D727,3,FALSE)</f>
        <v>C</v>
      </c>
      <c r="C425" s="48">
        <f>IF(Settings!$E$15="POINTS",RANK(E425,E3:E430),H425)</f>
        <v>421</v>
      </c>
      <c r="D425" s="35" t="str">
        <f>VLOOKUP(A425,'The List'!B1:F727,5,FALSE)</f>
        <v>WPG</v>
      </c>
      <c r="E425" s="39">
        <f>VLOOKUP(A425,'The List'!B1:I727,8,FALSE)</f>
        <v>62.866183250184406</v>
      </c>
      <c r="F425" s="39">
        <f>IF(Settings!$E$15="POINTS",E425-VLOOKUP(B$2,C1:E430,3,FALSE),J425)</f>
        <v>-304.58294357450626</v>
      </c>
      <c r="G425" s="39"/>
      <c r="H425" s="138">
        <f>RANK(I425,I3:I430)</f>
        <v>415</v>
      </c>
      <c r="I425" s="139">
        <f>VLOOKUP(A425,'Standard Deviations'!A1:C728,3,FALSE)</f>
        <v>-5.0935540678088751</v>
      </c>
      <c r="J425" s="139">
        <f>I425-VLOOKUP(B$2,H1:J430,2,FALSE)</f>
        <v>-10.396809655035959</v>
      </c>
    </row>
    <row r="426" spans="1:10" ht="21.25" customHeight="1" x14ac:dyDescent="0.15">
      <c r="A426" s="8" t="s">
        <v>828</v>
      </c>
      <c r="B426" s="137" t="str">
        <f>VLOOKUP(A426,'The List'!B1:D727,3,FALSE)</f>
        <v>C</v>
      </c>
      <c r="C426" s="48">
        <f>IF(Settings!$E$15="POINTS",RANK(E426,E3:E430),H426)</f>
        <v>424</v>
      </c>
      <c r="D426" s="35" t="str">
        <f>VLOOKUP(A426,'The List'!B1:F727,5,FALSE)</f>
        <v>SJS</v>
      </c>
      <c r="E426" s="39">
        <f>VLOOKUP(A426,'The List'!B1:I727,8,FALSE)</f>
        <v>59.655132627619295</v>
      </c>
      <c r="F426" s="39">
        <f>IF(Settings!$E$15="POINTS",E426-VLOOKUP(B$2,C1:E430,3,FALSE),J426)</f>
        <v>-307.79399419707136</v>
      </c>
      <c r="G426" s="39"/>
      <c r="H426" s="138">
        <f>RANK(I426,I3:I430)</f>
        <v>417</v>
      </c>
      <c r="I426" s="139">
        <f>VLOOKUP(A426,'Standard Deviations'!A1:C728,3,FALSE)</f>
        <v>-5.25428438130609</v>
      </c>
      <c r="J426" s="139">
        <f>I426-VLOOKUP(B$2,H1:J430,2,FALSE)</f>
        <v>-10.557539968533174</v>
      </c>
    </row>
    <row r="427" spans="1:10" ht="21.25" customHeight="1" x14ac:dyDescent="0.15">
      <c r="A427" s="8" t="s">
        <v>829</v>
      </c>
      <c r="B427" s="137" t="str">
        <f>VLOOKUP(A427,'The List'!B1:D727,3,FALSE)</f>
        <v>C</v>
      </c>
      <c r="C427" s="48">
        <f>IF(Settings!$E$15="POINTS",RANK(E427,E3:E430),H427)</f>
        <v>425</v>
      </c>
      <c r="D427" s="35" t="str">
        <f>VLOOKUP(A427,'The List'!B1:F727,5,FALSE)</f>
        <v>COL</v>
      </c>
      <c r="E427" s="39">
        <f>VLOOKUP(A427,'The List'!B1:I727,8,FALSE)</f>
        <v>57.514239561641723</v>
      </c>
      <c r="F427" s="39">
        <f>IF(Settings!$E$15="POINTS",E427-VLOOKUP(B$2,C1:E430,3,FALSE),J427)</f>
        <v>-309.93488726304895</v>
      </c>
      <c r="G427" s="39"/>
      <c r="H427" s="138">
        <f>RANK(I427,I3:I430)</f>
        <v>404</v>
      </c>
      <c r="I427" s="139">
        <f>VLOOKUP(A427,'Standard Deviations'!A1:C728,3,FALSE)</f>
        <v>-4.7615233605702105</v>
      </c>
      <c r="J427" s="139">
        <f>I427-VLOOKUP(B$2,H1:J430,2,FALSE)</f>
        <v>-10.064778947797295</v>
      </c>
    </row>
    <row r="428" spans="1:10" ht="21.25" customHeight="1" x14ac:dyDescent="0.15">
      <c r="A428" s="8" t="s">
        <v>786</v>
      </c>
      <c r="B428" s="137" t="str">
        <f>VLOOKUP(A428,'The List'!B1:D727,3,FALSE)</f>
        <v>RW</v>
      </c>
      <c r="C428" s="48">
        <f>IF(Settings!$E$15="POINTS",RANK(E428,E3:E430),H428)</f>
        <v>426</v>
      </c>
      <c r="D428" s="35" t="str">
        <f>VLOOKUP(A428,'The List'!B1:F727,5,FALSE)</f>
        <v>SJS</v>
      </c>
      <c r="E428" s="39">
        <f>VLOOKUP(A428,'The List'!B1:I727,8,FALSE)</f>
        <v>55.501407672484113</v>
      </c>
      <c r="F428" s="39">
        <f>IF(Settings!$E$15="POINTS",E428-VLOOKUP(B$2,C1:E430,3,FALSE),J428)</f>
        <v>-311.94771915220656</v>
      </c>
      <c r="G428" s="39"/>
      <c r="H428" s="138">
        <f>RANK(I428,I3:I430)</f>
        <v>420</v>
      </c>
      <c r="I428" s="139">
        <f>VLOOKUP(A428,'Standard Deviations'!A1:C728,3,FALSE)</f>
        <v>-5.5762940610399845</v>
      </c>
      <c r="J428" s="139">
        <f>I428-VLOOKUP(B$2,H1:J430,2,FALSE)</f>
        <v>-10.879549648267069</v>
      </c>
    </row>
    <row r="429" spans="1:10" ht="21.25" customHeight="1" x14ac:dyDescent="0.15">
      <c r="A429" s="8" t="s">
        <v>830</v>
      </c>
      <c r="B429" s="137" t="str">
        <f>VLOOKUP(A429,'The List'!B1:D727,3,FALSE)</f>
        <v>C</v>
      </c>
      <c r="C429" s="48">
        <f>IF(Settings!$E$15="POINTS",RANK(E429,E3:E430),H429)</f>
        <v>427</v>
      </c>
      <c r="D429" s="35" t="str">
        <f>VLOOKUP(A429,'The List'!B1:F727,5,FALSE)</f>
        <v>PHI</v>
      </c>
      <c r="E429" s="39">
        <f>VLOOKUP(A429,'The List'!B1:I727,8,FALSE)</f>
        <v>54.998261270650765</v>
      </c>
      <c r="F429" s="39">
        <f>IF(Settings!$E$15="POINTS",E429-VLOOKUP(B$2,C1:E430,3,FALSE),J429)</f>
        <v>-312.45086555403992</v>
      </c>
      <c r="G429" s="39"/>
      <c r="H429" s="138">
        <f>RANK(I429,I3:I430)</f>
        <v>427</v>
      </c>
      <c r="I429" s="139">
        <f>VLOOKUP(A429,'Standard Deviations'!A1:C728,3,FALSE)</f>
        <v>-6.5003065467581589</v>
      </c>
      <c r="J429" s="139">
        <f>I429-VLOOKUP(B$2,H1:J430,2,FALSE)</f>
        <v>-11.803562133985244</v>
      </c>
    </row>
    <row r="430" spans="1:10" ht="21.25" customHeight="1" x14ac:dyDescent="0.15">
      <c r="A430" s="8" t="s">
        <v>820</v>
      </c>
      <c r="B430" s="137" t="str">
        <f>VLOOKUP(A430,'The List'!B1:D727,3,FALSE)</f>
        <v>LW</v>
      </c>
      <c r="C430" s="48">
        <f>IF(Settings!$E$15="POINTS",RANK(E430,E3:E430),H430)</f>
        <v>428</v>
      </c>
      <c r="D430" s="35" t="str">
        <f>VLOOKUP(A430,'The List'!B1:F727,5,FALSE)</f>
        <v>NYI</v>
      </c>
      <c r="E430" s="39">
        <f>VLOOKUP(A430,'The List'!B1:I727,8,FALSE)</f>
        <v>41.598750312903341</v>
      </c>
      <c r="F430" s="39">
        <f>IF(Settings!$E$15="POINTS",E430-VLOOKUP(B$2,C1:E430,3,FALSE),J430)</f>
        <v>-325.85037651178732</v>
      </c>
      <c r="G430" s="39"/>
      <c r="H430" s="138">
        <f>RANK(I430,I3:I430)</f>
        <v>424</v>
      </c>
      <c r="I430" s="139">
        <f>VLOOKUP(A430,'Standard Deviations'!A1:C728,3,FALSE)</f>
        <v>-6.0345985537270126</v>
      </c>
      <c r="J430" s="139">
        <f>I430-VLOOKUP(B$2,H1:J430,2,FALSE)</f>
        <v>-11.337854140954096</v>
      </c>
    </row>
  </sheetData>
  <conditionalFormatting sqref="C3:C430 H3:H430">
    <cfRule type="containsText" dxfId="35" priority="1" stopIfTrue="1" operator="containsText" text="/">
      <formula>NOT(ISERROR(FIND(UPPER("/"),UPPER(C3))))</formula>
      <formula>"/"</formula>
    </cfRule>
    <cfRule type="containsText" dxfId="34" priority="2" stopIfTrue="1" operator="containsText" text="C">
      <formula>NOT(ISERROR(FIND(UPPER("C"),UPPER(C3))))</formula>
      <formula>"C"</formula>
    </cfRule>
    <cfRule type="containsText" dxfId="33" priority="3" stopIfTrue="1" operator="containsText" text="D">
      <formula>NOT(ISERROR(FIND(UPPER("D"),UPPER(C3))))</formula>
      <formula>"D"</formula>
    </cfRule>
    <cfRule type="containsText" dxfId="32" priority="4" stopIfTrue="1" operator="containsText" text="LW">
      <formula>NOT(ISERROR(FIND(UPPER("LW"),UPPER(C3))))</formula>
      <formula>"LW"</formula>
    </cfRule>
    <cfRule type="containsText" dxfId="31" priority="5" stopIfTrue="1" operator="containsText" text="RW">
      <formula>NOT(ISERROR(FIND(UPPER("RW"),UPPER(C3))))</formula>
      <formula>"RW"</formula>
    </cfRule>
    <cfRule type="containsText" dxfId="30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J211"/>
  <sheetViews>
    <sheetView showGridLines="0" workbookViewId="0">
      <pane ySplit="2" topLeftCell="A3" activePane="bottomLeft" state="frozen"/>
      <selection pane="bottomLeft"/>
    </sheetView>
  </sheetViews>
  <sheetFormatPr baseColWidth="10" defaultColWidth="8" defaultRowHeight="16.25" customHeight="1" x14ac:dyDescent="0.15"/>
  <cols>
    <col min="1" max="1" width="33" style="1" customWidth="1"/>
    <col min="2" max="2" width="7.1640625" style="1" customWidth="1"/>
    <col min="3" max="3" width="6" style="1" customWidth="1"/>
    <col min="4" max="6" width="8.33203125" style="1" customWidth="1"/>
    <col min="7" max="10" width="1.33203125" style="1" customWidth="1"/>
    <col min="11" max="11" width="8" style="1" customWidth="1"/>
    <col min="12" max="16384" width="8" style="1"/>
  </cols>
  <sheetData>
    <row r="1" spans="1:10" ht="28.25" customHeight="1" x14ac:dyDescent="0.15">
      <c r="A1" s="122" t="s">
        <v>852</v>
      </c>
      <c r="B1" s="123" t="s">
        <v>857</v>
      </c>
      <c r="C1" s="124"/>
      <c r="D1" s="4" t="s">
        <v>854</v>
      </c>
      <c r="E1" s="125" t="s">
        <v>855</v>
      </c>
      <c r="F1" s="123" t="s">
        <v>74</v>
      </c>
      <c r="G1" s="126"/>
      <c r="H1" s="127"/>
      <c r="I1" s="128" t="s">
        <v>856</v>
      </c>
      <c r="J1" s="129" t="s">
        <v>74</v>
      </c>
    </row>
    <row r="2" spans="1:10" ht="28.25" customHeight="1" x14ac:dyDescent="0.15">
      <c r="A2" s="130" t="s">
        <v>41</v>
      </c>
      <c r="B2" s="131">
        <f>Settings!F2</f>
        <v>22</v>
      </c>
      <c r="C2" s="132"/>
      <c r="D2" s="133"/>
      <c r="E2" s="134"/>
      <c r="F2" s="134"/>
      <c r="G2" s="134"/>
      <c r="H2" s="140"/>
      <c r="I2" s="136"/>
      <c r="J2" s="141"/>
    </row>
    <row r="3" spans="1:10" ht="21.25" customHeight="1" x14ac:dyDescent="0.15">
      <c r="A3" s="8" t="s">
        <v>105</v>
      </c>
      <c r="B3" s="57" t="str">
        <f>VLOOKUP(A3,'The List'!B1:D727,3,FALSE)</f>
        <v>C</v>
      </c>
      <c r="C3" s="58">
        <f>IF(Settings!$E$15="POINTS",RANK(E3,E3:E211),H3)</f>
        <v>1</v>
      </c>
      <c r="D3" s="35" t="str">
        <f>VLOOKUP(A3,'The List'!B1:F727,5,FALSE)</f>
        <v>EDM</v>
      </c>
      <c r="E3" s="39">
        <f>VLOOKUP(A3,'The List'!B1:I727,8,FALSE)</f>
        <v>725.95094051984688</v>
      </c>
      <c r="F3" s="39">
        <f>IF(Settings!$E$15="POINTS",E3-VLOOKUP(B$2,C1:E211,3,FALSE),J3)</f>
        <v>332.62213475363723</v>
      </c>
      <c r="G3" s="39"/>
      <c r="H3" s="142">
        <f>RANK(I3,I3:I211)</f>
        <v>1</v>
      </c>
      <c r="I3" s="139">
        <f>VLOOKUP(A3,'Standard Deviations'!A1:C728,3,FALSE)</f>
        <v>19.412252011318326</v>
      </c>
      <c r="J3" s="143">
        <f>I3-VLOOKUP(B$2,H1:J211,2,FALSE)</f>
        <v>12.837987120535121</v>
      </c>
    </row>
    <row r="4" spans="1:10" ht="21.25" customHeight="1" x14ac:dyDescent="0.15">
      <c r="A4" s="8" t="s">
        <v>107</v>
      </c>
      <c r="B4" s="57" t="str">
        <f>VLOOKUP(A4,'The List'!B1:D727,3,FALSE)</f>
        <v>C</v>
      </c>
      <c r="C4" s="58">
        <f>IF(Settings!$E$15="POINTS",RANK(E4,E3:E211),H4)</f>
        <v>2</v>
      </c>
      <c r="D4" s="35" t="str">
        <f>VLOOKUP(A4,'The List'!B1:F727,5,FALSE)</f>
        <v>EDM</v>
      </c>
      <c r="E4" s="39">
        <f>VLOOKUP(A4,'The List'!B1:I727,8,FALSE)</f>
        <v>603.71400231757525</v>
      </c>
      <c r="F4" s="39">
        <f>IF(Settings!$E$15="POINTS",E4-VLOOKUP(B$2,C1:E211,3,FALSE),J4)</f>
        <v>210.3851965513656</v>
      </c>
      <c r="G4" s="39"/>
      <c r="H4" s="138">
        <f>RANK(I4,I3:I211)</f>
        <v>3</v>
      </c>
      <c r="I4" s="139">
        <f>VLOOKUP(A4,'Standard Deviations'!A1:C728,3,FALSE)</f>
        <v>14.81668738138106</v>
      </c>
      <c r="J4" s="139">
        <f>I4-VLOOKUP(B$2,H1:J211,2,FALSE)</f>
        <v>8.2424224905978534</v>
      </c>
    </row>
    <row r="5" spans="1:10" ht="21.25" customHeight="1" x14ac:dyDescent="0.15">
      <c r="A5" s="8" t="s">
        <v>108</v>
      </c>
      <c r="B5" s="57" t="str">
        <f>VLOOKUP(A5,'The List'!B1:D727,3,FALSE)</f>
        <v>C</v>
      </c>
      <c r="C5" s="58">
        <f>IF(Settings!$E$15="POINTS",RANK(E5,E3:E211),H5)</f>
        <v>3</v>
      </c>
      <c r="D5" s="35" t="str">
        <f>VLOOKUP(A5,'The List'!B1:F727,5,FALSE)</f>
        <v>COL</v>
      </c>
      <c r="E5" s="39">
        <f>VLOOKUP(A5,'The List'!B1:I727,8,FALSE)</f>
        <v>601.12060820531156</v>
      </c>
      <c r="F5" s="39">
        <f>IF(Settings!$E$15="POINTS",E5-VLOOKUP(B$2,C1:E211,3,FALSE),J5)</f>
        <v>207.7918024391019</v>
      </c>
      <c r="G5" s="39"/>
      <c r="H5" s="138">
        <f>RANK(I5,I3:I211)</f>
        <v>4</v>
      </c>
      <c r="I5" s="139">
        <f>VLOOKUP(A5,'Standard Deviations'!A1:C728,3,FALSE)</f>
        <v>14.740248441290445</v>
      </c>
      <c r="J5" s="139">
        <f>I5-VLOOKUP(B$2,H1:J211,2,FALSE)</f>
        <v>8.1659835505072387</v>
      </c>
    </row>
    <row r="6" spans="1:10" ht="21.25" customHeight="1" x14ac:dyDescent="0.15">
      <c r="A6" s="8" t="s">
        <v>113</v>
      </c>
      <c r="B6" s="57" t="str">
        <f>VLOOKUP(A6,'The List'!B1:D727,3,FALSE)</f>
        <v>C</v>
      </c>
      <c r="C6" s="58">
        <f>IF(Settings!$E$15="POINTS",RANK(E6,E3:E211),H6)</f>
        <v>4</v>
      </c>
      <c r="D6" s="35" t="str">
        <f>VLOOKUP(A6,'The List'!B1:F727,5,FALSE)</f>
        <v>TOR</v>
      </c>
      <c r="E6" s="39">
        <f>VLOOKUP(A6,'The List'!B1:I727,8,FALSE)</f>
        <v>572.61749152913956</v>
      </c>
      <c r="F6" s="39">
        <f>IF(Settings!$E$15="POINTS",E6-VLOOKUP(B$2,C1:E211,3,FALSE),J6)</f>
        <v>179.2886857629299</v>
      </c>
      <c r="G6" s="39"/>
      <c r="H6" s="138">
        <f>RANK(I6,I3:I211)</f>
        <v>2</v>
      </c>
      <c r="I6" s="139">
        <f>VLOOKUP(A6,'Standard Deviations'!A1:C728,3,FALSE)</f>
        <v>15.799006580589996</v>
      </c>
      <c r="J6" s="139">
        <f>I6-VLOOKUP(B$2,H1:J211,2,FALSE)</f>
        <v>9.2247416898067911</v>
      </c>
    </row>
    <row r="7" spans="1:10" ht="21.25" customHeight="1" x14ac:dyDescent="0.15">
      <c r="A7" s="8" t="s">
        <v>114</v>
      </c>
      <c r="B7" s="57" t="str">
        <f>VLOOKUP(A7,'The List'!B1:D727,3,FALSE)</f>
        <v>C,LW</v>
      </c>
      <c r="C7" s="58">
        <f>IF(Settings!$E$15="POINTS",RANK(E7,E3:E211),H7)</f>
        <v>5</v>
      </c>
      <c r="D7" s="35" t="str">
        <f>VLOOKUP(A7,'The List'!B1:F727,5,FALSE)</f>
        <v>NJD</v>
      </c>
      <c r="E7" s="39">
        <f>VLOOKUP(A7,'The List'!B1:I727,8,FALSE)</f>
        <v>534.75382516616844</v>
      </c>
      <c r="F7" s="39">
        <f>IF(Settings!$E$15="POINTS",E7-VLOOKUP(B$2,C1:E211,3,FALSE),J7)</f>
        <v>141.42501939995879</v>
      </c>
      <c r="G7" s="39"/>
      <c r="H7" s="138">
        <f>RANK(I7,I3:I211)</f>
        <v>5</v>
      </c>
      <c r="I7" s="139">
        <f>VLOOKUP(A7,'Standard Deviations'!A1:C728,3,FALSE)</f>
        <v>10.586986169366119</v>
      </c>
      <c r="J7" s="139">
        <f>I7-VLOOKUP(B$2,H1:J211,2,FALSE)</f>
        <v>4.0127212785829132</v>
      </c>
    </row>
    <row r="8" spans="1:10" ht="21.25" customHeight="1" x14ac:dyDescent="0.15">
      <c r="A8" s="8" t="s">
        <v>125</v>
      </c>
      <c r="B8" s="57" t="str">
        <f>VLOOKUP(A8,'The List'!B1:D727,3,FALSE)</f>
        <v>C</v>
      </c>
      <c r="C8" s="58">
        <f>IF(Settings!$E$15="POINTS",RANK(E8,E3:E211),H8)</f>
        <v>6</v>
      </c>
      <c r="D8" s="35" t="str">
        <f>VLOOKUP(A8,'The List'!B1:F727,5,FALSE)</f>
        <v>BUF</v>
      </c>
      <c r="E8" s="39">
        <f>VLOOKUP(A8,'The List'!B1:I727,8,FALSE)</f>
        <v>498.4069407922496</v>
      </c>
      <c r="F8" s="39">
        <f>IF(Settings!$E$15="POINTS",E8-VLOOKUP(B$2,C1:E211,3,FALSE),J8)</f>
        <v>105.07813502603994</v>
      </c>
      <c r="G8" s="39"/>
      <c r="H8" s="138">
        <f>RANK(I8,I3:I211)</f>
        <v>8</v>
      </c>
      <c r="I8" s="139">
        <f>VLOOKUP(A8,'Standard Deviations'!A1:C728,3,FALSE)</f>
        <v>9.2436271815038946</v>
      </c>
      <c r="J8" s="139">
        <f>I8-VLOOKUP(B$2,H1:J211,2,FALSE)</f>
        <v>2.6693622907206889</v>
      </c>
    </row>
    <row r="9" spans="1:10" ht="21.25" customHeight="1" x14ac:dyDescent="0.15">
      <c r="A9" s="8" t="s">
        <v>139</v>
      </c>
      <c r="B9" s="57" t="str">
        <f>VLOOKUP(A9,'The List'!B1:D727,3,FALSE)</f>
        <v>C</v>
      </c>
      <c r="C9" s="58">
        <f>IF(Settings!$E$15="POINTS",RANK(E9,E3:E211),H9)</f>
        <v>7</v>
      </c>
      <c r="D9" s="35" t="str">
        <f>VLOOKUP(A9,'The List'!B1:F727,5,FALSE)</f>
        <v>NYR</v>
      </c>
      <c r="E9" s="39">
        <f>VLOOKUP(A9,'The List'!B1:I727,8,FALSE)</f>
        <v>467.69528231964279</v>
      </c>
      <c r="F9" s="39">
        <f>IF(Settings!$E$15="POINTS",E9-VLOOKUP(B$2,C1:E211,3,FALSE),J9)</f>
        <v>74.366476553433131</v>
      </c>
      <c r="G9" s="39"/>
      <c r="H9" s="138">
        <f>RANK(I9,I3:I211)</f>
        <v>6</v>
      </c>
      <c r="I9" s="139">
        <f>VLOOKUP(A9,'Standard Deviations'!A1:C728,3,FALSE)</f>
        <v>9.9644448102992698</v>
      </c>
      <c r="J9" s="139">
        <f>I9-VLOOKUP(B$2,H1:J211,2,FALSE)</f>
        <v>3.390179919516064</v>
      </c>
    </row>
    <row r="10" spans="1:10" ht="21.25" customHeight="1" x14ac:dyDescent="0.15">
      <c r="A10" s="8" t="s">
        <v>141</v>
      </c>
      <c r="B10" s="57" t="str">
        <f>VLOOKUP(A10,'The List'!B1:D727,3,FALSE)</f>
        <v>C</v>
      </c>
      <c r="C10" s="58">
        <f>IF(Settings!$E$15="POINTS",RANK(E10,E3:E211),H10)</f>
        <v>9</v>
      </c>
      <c r="D10" s="35" t="str">
        <f>VLOOKUP(A10,'The List'!B1:F727,5,FALSE)</f>
        <v>FLA</v>
      </c>
      <c r="E10" s="39">
        <f>VLOOKUP(A10,'The List'!B1:I727,8,FALSE)</f>
        <v>462.52556518566763</v>
      </c>
      <c r="F10" s="39">
        <f>IF(Settings!$E$15="POINTS",E10-VLOOKUP(B$2,C1:E211,3,FALSE),J10)</f>
        <v>69.196759419457976</v>
      </c>
      <c r="G10" s="39"/>
      <c r="H10" s="138">
        <f>RANK(I10,I3:I211)</f>
        <v>7</v>
      </c>
      <c r="I10" s="139">
        <f>VLOOKUP(A10,'Standard Deviations'!A1:C728,3,FALSE)</f>
        <v>9.5295808044052226</v>
      </c>
      <c r="J10" s="139">
        <f>I10-VLOOKUP(B$2,H1:J211,2,FALSE)</f>
        <v>2.9553159136220168</v>
      </c>
    </row>
    <row r="11" spans="1:10" ht="21.25" customHeight="1" x14ac:dyDescent="0.15">
      <c r="A11" s="8" t="s">
        <v>147</v>
      </c>
      <c r="B11" s="57" t="str">
        <f>VLOOKUP(A11,'The List'!B1:D727,3,FALSE)</f>
        <v>C</v>
      </c>
      <c r="C11" s="58">
        <f>IF(Settings!$E$15="POINTS",RANK(E11,E3:E211),H11)</f>
        <v>10</v>
      </c>
      <c r="D11" s="35" t="str">
        <f>VLOOKUP(A11,'The List'!B1:F727,5,FALSE)</f>
        <v>PIT</v>
      </c>
      <c r="E11" s="39">
        <f>VLOOKUP(A11,'The List'!B1:I727,8,FALSE)</f>
        <v>450.60359760830181</v>
      </c>
      <c r="F11" s="39">
        <f>IF(Settings!$E$15="POINTS",E11-VLOOKUP(B$2,C1:E211,3,FALSE),J11)</f>
        <v>57.274791842092156</v>
      </c>
      <c r="G11" s="39"/>
      <c r="H11" s="138">
        <f>RANK(I11,I3:I211)</f>
        <v>9</v>
      </c>
      <c r="I11" s="139">
        <f>VLOOKUP(A11,'Standard Deviations'!A1:C728,3,FALSE)</f>
        <v>9.036182250178534</v>
      </c>
      <c r="J11" s="139">
        <f>I11-VLOOKUP(B$2,H1:J211,2,FALSE)</f>
        <v>2.4619173593953283</v>
      </c>
    </row>
    <row r="12" spans="1:10" ht="21.25" customHeight="1" x14ac:dyDescent="0.15">
      <c r="A12" s="8" t="s">
        <v>159</v>
      </c>
      <c r="B12" s="57" t="str">
        <f>VLOOKUP(A12,'The List'!B1:D727,3,FALSE)</f>
        <v>C</v>
      </c>
      <c r="C12" s="58">
        <f>IF(Settings!$E$15="POINTS",RANK(E12,E3:E211),H12)</f>
        <v>12</v>
      </c>
      <c r="D12" s="35" t="str">
        <f>VLOOKUP(A12,'The List'!B1:F727,5,FALSE)</f>
        <v>TBL</v>
      </c>
      <c r="E12" s="39">
        <f>VLOOKUP(A12,'The List'!B1:I727,8,FALSE)</f>
        <v>430.2150728063657</v>
      </c>
      <c r="F12" s="39">
        <f>IF(Settings!$E$15="POINTS",E12-VLOOKUP(B$2,C1:E211,3,FALSE),J12)</f>
        <v>36.886267040156042</v>
      </c>
      <c r="G12" s="39"/>
      <c r="H12" s="138">
        <f>RANK(I12,I3:I211)</f>
        <v>18</v>
      </c>
      <c r="I12" s="139">
        <f>VLOOKUP(A12,'Standard Deviations'!A1:C728,3,FALSE)</f>
        <v>7.5879505099045366</v>
      </c>
      <c r="J12" s="139">
        <f>I12-VLOOKUP(B$2,H1:J211,2,FALSE)</f>
        <v>1.0136856191213308</v>
      </c>
    </row>
    <row r="13" spans="1:10" ht="21.25" customHeight="1" x14ac:dyDescent="0.15">
      <c r="A13" s="8" t="s">
        <v>140</v>
      </c>
      <c r="B13" s="57" t="str">
        <f>VLOOKUP(A13,'The List'!B1:D727,3,FALSE)</f>
        <v>C</v>
      </c>
      <c r="C13" s="58">
        <f>IF(Settings!$E$15="POINTS",RANK(E13,E3:E211),H13)</f>
        <v>8</v>
      </c>
      <c r="D13" s="35" t="str">
        <f>VLOOKUP(A13,'The List'!B1:F727,5,FALSE)</f>
        <v>VAN</v>
      </c>
      <c r="E13" s="39">
        <f>VLOOKUP(A13,'The List'!B1:I727,8,FALSE)</f>
        <v>464.07200653414577</v>
      </c>
      <c r="F13" s="39">
        <f>IF(Settings!$E$15="POINTS",E13-VLOOKUP(B$2,C1:E211,3,FALSE),J13)</f>
        <v>70.743200767936116</v>
      </c>
      <c r="G13" s="39"/>
      <c r="H13" s="138">
        <f>RANK(I13,I3:I211)</f>
        <v>10</v>
      </c>
      <c r="I13" s="139">
        <f>VLOOKUP(A13,'Standard Deviations'!A1:C728,3,FALSE)</f>
        <v>8.9945212132729431</v>
      </c>
      <c r="J13" s="139">
        <f>I13-VLOOKUP(B$2,H1:J211,2,FALSE)</f>
        <v>2.4202563224897373</v>
      </c>
    </row>
    <row r="14" spans="1:10" ht="21.25" customHeight="1" x14ac:dyDescent="0.15">
      <c r="A14" s="8" t="s">
        <v>149</v>
      </c>
      <c r="B14" s="57" t="str">
        <f>VLOOKUP(A14,'The List'!B1:D727,3,FALSE)</f>
        <v>C</v>
      </c>
      <c r="C14" s="58">
        <f>IF(Settings!$E$15="POINTS",RANK(E14,E3:E211),H14)</f>
        <v>11</v>
      </c>
      <c r="D14" s="35" t="str">
        <f>VLOOKUP(A14,'The List'!B1:F727,5,FALSE)</f>
        <v>TBL</v>
      </c>
      <c r="E14" s="39">
        <f>VLOOKUP(A14,'The List'!B1:I727,8,FALSE)</f>
        <v>450.17435705189615</v>
      </c>
      <c r="F14" s="39">
        <f>IF(Settings!$E$15="POINTS",E14-VLOOKUP(B$2,C1:E211,3,FALSE),J14)</f>
        <v>56.845551285686497</v>
      </c>
      <c r="G14" s="39"/>
      <c r="H14" s="138">
        <f>RANK(I14,I3:I211)</f>
        <v>14</v>
      </c>
      <c r="I14" s="139">
        <f>VLOOKUP(A14,'Standard Deviations'!A1:C728,3,FALSE)</f>
        <v>8.2557919370218436</v>
      </c>
      <c r="J14" s="139">
        <f>I14-VLOOKUP(B$2,H1:J211,2,FALSE)</f>
        <v>1.6815270462386378</v>
      </c>
    </row>
    <row r="15" spans="1:10" ht="21.25" customHeight="1" x14ac:dyDescent="0.15">
      <c r="A15" s="8" t="s">
        <v>143</v>
      </c>
      <c r="B15" s="57" t="str">
        <f>VLOOKUP(A15,'The List'!B1:D727,3,FALSE)</f>
        <v>C,RW</v>
      </c>
      <c r="C15" s="58">
        <f>IF(Settings!$E$15="POINTS",RANK(E15,E3:E211),H15)</f>
        <v>17</v>
      </c>
      <c r="D15" s="35" t="str">
        <f>VLOOKUP(A15,'The List'!B1:F727,5,FALSE)</f>
        <v>VAN</v>
      </c>
      <c r="E15" s="39">
        <f>VLOOKUP(A15,'The List'!B1:I727,8,FALSE)</f>
        <v>416.4138573570396</v>
      </c>
      <c r="F15" s="39">
        <f>IF(Settings!$E$15="POINTS",E15-VLOOKUP(B$2,C1:E211,3,FALSE),J15)</f>
        <v>23.085051590829949</v>
      </c>
      <c r="G15" s="39"/>
      <c r="H15" s="138">
        <f>RANK(I15,I3:I211)</f>
        <v>22</v>
      </c>
      <c r="I15" s="139">
        <f>VLOOKUP(A15,'Standard Deviations'!A1:C728,3,FALSE)</f>
        <v>6.5742648907832058</v>
      </c>
      <c r="J15" s="139">
        <f>I15-VLOOKUP(B$2,H1:J211,2,FALSE)</f>
        <v>0</v>
      </c>
    </row>
    <row r="16" spans="1:10" ht="21.25" customHeight="1" x14ac:dyDescent="0.15">
      <c r="A16" s="8" t="s">
        <v>160</v>
      </c>
      <c r="B16" s="57" t="str">
        <f>VLOOKUP(A16,'The List'!B1:D727,3,FALSE)</f>
        <v>C</v>
      </c>
      <c r="C16" s="58">
        <f>IF(Settings!$E$15="POINTS",RANK(E16,E3:E211),H16)</f>
        <v>13</v>
      </c>
      <c r="D16" s="35" t="str">
        <f>VLOOKUP(A16,'The List'!B1:F727,5,FALSE)</f>
        <v>TOR</v>
      </c>
      <c r="E16" s="39">
        <f>VLOOKUP(A16,'The List'!B1:I727,8,FALSE)</f>
        <v>428.75740533170483</v>
      </c>
      <c r="F16" s="39">
        <f>IF(Settings!$E$15="POINTS",E16-VLOOKUP(B$2,C1:E211,3,FALSE),J16)</f>
        <v>35.428599565495176</v>
      </c>
      <c r="G16" s="39"/>
      <c r="H16" s="138">
        <f>RANK(I16,I3:I211)</f>
        <v>11</v>
      </c>
      <c r="I16" s="139">
        <f>VLOOKUP(A16,'Standard Deviations'!A1:C728,3,FALSE)</f>
        <v>8.6373537190965308</v>
      </c>
      <c r="J16" s="139">
        <f>I16-VLOOKUP(B$2,H1:J211,2,FALSE)</f>
        <v>2.0630888283133251</v>
      </c>
    </row>
    <row r="17" spans="1:10" ht="21.25" customHeight="1" x14ac:dyDescent="0.15">
      <c r="A17" s="8" t="s">
        <v>179</v>
      </c>
      <c r="B17" s="57" t="str">
        <f>VLOOKUP(A17,'The List'!B1:D727,3,FALSE)</f>
        <v>C</v>
      </c>
      <c r="C17" s="58">
        <f>IF(Settings!$E$15="POINTS",RANK(E17,E3:E211),H17)</f>
        <v>20</v>
      </c>
      <c r="D17" s="35" t="str">
        <f>VLOOKUP(A17,'The List'!B1:F727,5,FALSE)</f>
        <v>STL</v>
      </c>
      <c r="E17" s="39">
        <f>VLOOKUP(A17,'The List'!B1:I727,8,FALSE)</f>
        <v>406.90297739626266</v>
      </c>
      <c r="F17" s="39">
        <f>IF(Settings!$E$15="POINTS",E17-VLOOKUP(B$2,C1:E211,3,FALSE),J17)</f>
        <v>13.574171630053002</v>
      </c>
      <c r="G17" s="39"/>
      <c r="H17" s="138">
        <f>RANK(I17,I3:I211)</f>
        <v>37</v>
      </c>
      <c r="I17" s="139">
        <f>VLOOKUP(A17,'Standard Deviations'!A1:C728,3,FALSE)</f>
        <v>4.9608938401954177</v>
      </c>
      <c r="J17" s="139">
        <f>I17-VLOOKUP(B$2,H1:J211,2,FALSE)</f>
        <v>-1.6133710505877881</v>
      </c>
    </row>
    <row r="18" spans="1:10" ht="21.25" customHeight="1" x14ac:dyDescent="0.15">
      <c r="A18" s="8" t="s">
        <v>163</v>
      </c>
      <c r="B18" s="57" t="str">
        <f>VLOOKUP(A18,'The List'!B1:D727,3,FALSE)</f>
        <v>C</v>
      </c>
      <c r="C18" s="58">
        <f>IF(Settings!$E$15="POINTS",RANK(E18,E3:E211),H18)</f>
        <v>15</v>
      </c>
      <c r="D18" s="35" t="str">
        <f>VLOOKUP(A18,'The List'!B1:F727,5,FALSE)</f>
        <v>EDM</v>
      </c>
      <c r="E18" s="39">
        <f>VLOOKUP(A18,'The List'!B1:I727,8,FALSE)</f>
        <v>425.95168931598198</v>
      </c>
      <c r="F18" s="39">
        <f>IF(Settings!$E$15="POINTS",E18-VLOOKUP(B$2,C1:E211,3,FALSE),J18)</f>
        <v>32.622883549772325</v>
      </c>
      <c r="G18" s="39"/>
      <c r="H18" s="138">
        <f>RANK(I18,I3:I211)</f>
        <v>13</v>
      </c>
      <c r="I18" s="139">
        <f>VLOOKUP(A18,'Standard Deviations'!A1:C728,3,FALSE)</f>
        <v>8.4381257747786602</v>
      </c>
      <c r="J18" s="139">
        <f>I18-VLOOKUP(B$2,H1:J211,2,FALSE)</f>
        <v>1.8638608839954545</v>
      </c>
    </row>
    <row r="19" spans="1:10" ht="21.25" customHeight="1" x14ac:dyDescent="0.15">
      <c r="A19" s="8" t="s">
        <v>172</v>
      </c>
      <c r="B19" s="57" t="str">
        <f>VLOOKUP(A19,'The List'!B1:D727,3,FALSE)</f>
        <v>C</v>
      </c>
      <c r="C19" s="58">
        <f>IF(Settings!$E$15="POINTS",RANK(E19,E3:E211),H19)</f>
        <v>18</v>
      </c>
      <c r="D19" s="35" t="str">
        <f>VLOOKUP(A19,'The List'!B1:F727,5,FALSE)</f>
        <v>CAR</v>
      </c>
      <c r="E19" s="39">
        <f>VLOOKUP(A19,'The List'!B1:I727,8,FALSE)</f>
        <v>411.92844306428276</v>
      </c>
      <c r="F19" s="39">
        <f>IF(Settings!$E$15="POINTS",E19-VLOOKUP(B$2,C1:E211,3,FALSE),J19)</f>
        <v>18.599637298073105</v>
      </c>
      <c r="G19" s="39"/>
      <c r="H19" s="138">
        <f>RANK(I19,I3:I211)</f>
        <v>15</v>
      </c>
      <c r="I19" s="139">
        <f>VLOOKUP(A19,'Standard Deviations'!A1:C728,3,FALSE)</f>
        <v>8.1391521227980075</v>
      </c>
      <c r="J19" s="139">
        <f>I19-VLOOKUP(B$2,H1:J211,2,FALSE)</f>
        <v>1.5648872320148017</v>
      </c>
    </row>
    <row r="20" spans="1:10" ht="21.25" customHeight="1" x14ac:dyDescent="0.15">
      <c r="A20" s="8" t="s">
        <v>162</v>
      </c>
      <c r="B20" s="57" t="str">
        <f>VLOOKUP(A20,'The List'!B1:D727,3,FALSE)</f>
        <v>C</v>
      </c>
      <c r="C20" s="58">
        <f>IF(Settings!$E$15="POINTS",RANK(E20,E3:E211),H20)</f>
        <v>14</v>
      </c>
      <c r="D20" s="35" t="str">
        <f>VLOOKUP(A20,'The List'!B1:F727,5,FALSE)</f>
        <v>NJD</v>
      </c>
      <c r="E20" s="39">
        <f>VLOOKUP(A20,'The List'!B1:I727,8,FALSE)</f>
        <v>427.63964562746742</v>
      </c>
      <c r="F20" s="39">
        <f>IF(Settings!$E$15="POINTS",E20-VLOOKUP(B$2,C1:E211,3,FALSE),J20)</f>
        <v>34.310839861257762</v>
      </c>
      <c r="G20" s="39"/>
      <c r="H20" s="138">
        <f>RANK(I20,I3:I211)</f>
        <v>19</v>
      </c>
      <c r="I20" s="139">
        <f>VLOOKUP(A20,'Standard Deviations'!A1:C728,3,FALSE)</f>
        <v>7.4190840434474987</v>
      </c>
      <c r="J20" s="139">
        <f>I20-VLOOKUP(B$2,H1:J211,2,FALSE)</f>
        <v>0.84481915266429297</v>
      </c>
    </row>
    <row r="21" spans="1:10" ht="21.25" customHeight="1" x14ac:dyDescent="0.15">
      <c r="A21" s="8" t="s">
        <v>209</v>
      </c>
      <c r="B21" s="57" t="str">
        <f>VLOOKUP(A21,'The List'!B1:D727,3,FALSE)</f>
        <v>C</v>
      </c>
      <c r="C21" s="58">
        <f>IF(Settings!$E$15="POINTS",RANK(E21,E3:E211),H21)</f>
        <v>28</v>
      </c>
      <c r="D21" s="35" t="str">
        <f>VLOOKUP(A21,'The List'!B1:F727,5,FALSE)</f>
        <v>CHI</v>
      </c>
      <c r="E21" s="39">
        <f>VLOOKUP(A21,'The List'!B1:I727,8,FALSE)</f>
        <v>380.42792343629969</v>
      </c>
      <c r="F21" s="39">
        <f>IF(Settings!$E$15="POINTS",E21-VLOOKUP(B$2,C1:E211,3,FALSE),J21)</f>
        <v>-12.900882329909962</v>
      </c>
      <c r="G21" s="39"/>
      <c r="H21" s="138">
        <f>RANK(I21,I3:I211)</f>
        <v>31</v>
      </c>
      <c r="I21" s="139">
        <f>VLOOKUP(A21,'Standard Deviations'!A1:C728,3,FALSE)</f>
        <v>5.5652969047207073</v>
      </c>
      <c r="J21" s="139">
        <f>I21-VLOOKUP(B$2,H1:J211,2,FALSE)</f>
        <v>-1.0089679860624985</v>
      </c>
    </row>
    <row r="22" spans="1:10" ht="21.25" customHeight="1" x14ac:dyDescent="0.15">
      <c r="A22" s="8" t="s">
        <v>181</v>
      </c>
      <c r="B22" s="57" t="str">
        <f>VLOOKUP(A22,'The List'!B1:D727,3,FALSE)</f>
        <v>C</v>
      </c>
      <c r="C22" s="58">
        <f>IF(Settings!$E$15="POINTS",RANK(E22,E3:E211),H22)</f>
        <v>21</v>
      </c>
      <c r="D22" s="35" t="str">
        <f>VLOOKUP(A22,'The List'!B1:F727,5,FALSE)</f>
        <v>DAL</v>
      </c>
      <c r="E22" s="39">
        <f>VLOOKUP(A22,'The List'!B1:I727,8,FALSE)</f>
        <v>404.08132670734426</v>
      </c>
      <c r="F22" s="39">
        <f>IF(Settings!$E$15="POINTS",E22-VLOOKUP(B$2,C1:E211,3,FALSE),J22)</f>
        <v>10.752520941134605</v>
      </c>
      <c r="G22" s="39"/>
      <c r="H22" s="138">
        <f>RANK(I22,I3:I211)</f>
        <v>12</v>
      </c>
      <c r="I22" s="139">
        <f>VLOOKUP(A22,'Standard Deviations'!A1:C728,3,FALSE)</f>
        <v>8.4701597360955336</v>
      </c>
      <c r="J22" s="139">
        <f>I22-VLOOKUP(B$2,H1:J211,2,FALSE)</f>
        <v>1.8958948453123279</v>
      </c>
    </row>
    <row r="23" spans="1:10" ht="21.25" customHeight="1" x14ac:dyDescent="0.15">
      <c r="A23" s="8" t="s">
        <v>164</v>
      </c>
      <c r="B23" s="57" t="str">
        <f>VLOOKUP(A23,'The List'!B1:D727,3,FALSE)</f>
        <v>C</v>
      </c>
      <c r="C23" s="58">
        <f>IF(Settings!$E$15="POINTS",RANK(E23,E3:E211),H23)</f>
        <v>16</v>
      </c>
      <c r="D23" s="35" t="str">
        <f>VLOOKUP(A23,'The List'!B1:F727,5,FALSE)</f>
        <v>DET</v>
      </c>
      <c r="E23" s="39">
        <f>VLOOKUP(A23,'The List'!B1:I727,8,FALSE)</f>
        <v>425.20343924739086</v>
      </c>
      <c r="F23" s="39">
        <f>IF(Settings!$E$15="POINTS",E23-VLOOKUP(B$2,C1:E211,3,FALSE),J23)</f>
        <v>31.874633481181206</v>
      </c>
      <c r="G23" s="39"/>
      <c r="H23" s="138">
        <f>RANK(I23,I3:I211)</f>
        <v>29</v>
      </c>
      <c r="I23" s="139">
        <f>VLOOKUP(A23,'Standard Deviations'!A1:C728,3,FALSE)</f>
        <v>5.9775214103802794</v>
      </c>
      <c r="J23" s="139">
        <f>I23-VLOOKUP(B$2,H1:J211,2,FALSE)</f>
        <v>-0.59674348040292635</v>
      </c>
    </row>
    <row r="24" spans="1:10" ht="21.25" customHeight="1" x14ac:dyDescent="0.15">
      <c r="A24" s="8" t="s">
        <v>214</v>
      </c>
      <c r="B24" s="57" t="str">
        <f>VLOOKUP(A24,'The List'!B1:D727,3,FALSE)</f>
        <v>C</v>
      </c>
      <c r="C24" s="58">
        <f>IF(Settings!$E$15="POINTS",RANK(E24,E3:E211),H24)</f>
        <v>30</v>
      </c>
      <c r="D24" s="35" t="str">
        <f>VLOOKUP(A24,'The List'!B1:F727,5,FALSE)</f>
        <v>FLA</v>
      </c>
      <c r="E24" s="39">
        <f>VLOOKUP(A24,'The List'!B1:I727,8,FALSE)</f>
        <v>376.99097470573219</v>
      </c>
      <c r="F24" s="39">
        <f>IF(Settings!$E$15="POINTS",E24-VLOOKUP(B$2,C1:E211,3,FALSE),J24)</f>
        <v>-16.33783106047747</v>
      </c>
      <c r="G24" s="39"/>
      <c r="H24" s="138">
        <f>RANK(I24,I3:I211)</f>
        <v>24</v>
      </c>
      <c r="I24" s="139">
        <f>VLOOKUP(A24,'Standard Deviations'!A1:C728,3,FALSE)</f>
        <v>6.3865403584476832</v>
      </c>
      <c r="J24" s="139">
        <f>I24-VLOOKUP(B$2,H1:J211,2,FALSE)</f>
        <v>-0.18772453233552255</v>
      </c>
    </row>
    <row r="25" spans="1:10" ht="21.25" customHeight="1" x14ac:dyDescent="0.15">
      <c r="A25" s="8" t="s">
        <v>206</v>
      </c>
      <c r="B25" s="57" t="str">
        <f>VLOOKUP(A25,'The List'!B1:D727,3,FALSE)</f>
        <v>C</v>
      </c>
      <c r="C25" s="58">
        <f>IF(Settings!$E$15="POINTS",RANK(E25,E3:E211),H25)</f>
        <v>27</v>
      </c>
      <c r="D25" s="35" t="str">
        <f>VLOOKUP(A25,'The List'!B1:F727,5,FALSE)</f>
        <v>FLA</v>
      </c>
      <c r="E25" s="39">
        <f>VLOOKUP(A25,'The List'!B1:I727,8,FALSE)</f>
        <v>382.8834734849176</v>
      </c>
      <c r="F25" s="39">
        <f>IF(Settings!$E$15="POINTS",E25-VLOOKUP(B$2,C1:E211,3,FALSE),J25)</f>
        <v>-10.445332281292053</v>
      </c>
      <c r="G25" s="39"/>
      <c r="H25" s="138">
        <f>RANK(I25,I3:I211)</f>
        <v>20</v>
      </c>
      <c r="I25" s="139">
        <f>VLOOKUP(A25,'Standard Deviations'!A1:C728,3,FALSE)</f>
        <v>7.0964577271942524</v>
      </c>
      <c r="J25" s="139">
        <f>I25-VLOOKUP(B$2,H1:J211,2,FALSE)</f>
        <v>0.52219283641104663</v>
      </c>
    </row>
    <row r="26" spans="1:10" ht="21.25" customHeight="1" x14ac:dyDescent="0.15">
      <c r="A26" s="8" t="s">
        <v>195</v>
      </c>
      <c r="B26" s="57" t="str">
        <f>VLOOKUP(A26,'The List'!B1:D727,3,FALSE)</f>
        <v>C</v>
      </c>
      <c r="C26" s="58">
        <f>IF(Settings!$E$15="POINTS",RANK(E26,E3:E211),H26)</f>
        <v>23</v>
      </c>
      <c r="D26" s="35" t="str">
        <f>VLOOKUP(A26,'The List'!B1:F727,5,FALSE)</f>
        <v>VGK</v>
      </c>
      <c r="E26" s="39">
        <f>VLOOKUP(A26,'The List'!B1:I727,8,FALSE)</f>
        <v>391.32381749292205</v>
      </c>
      <c r="F26" s="39">
        <f>IF(Settings!$E$15="POINTS",E26-VLOOKUP(B$2,C1:E211,3,FALSE),J26)</f>
        <v>-2.0049882732876085</v>
      </c>
      <c r="G26" s="39"/>
      <c r="H26" s="138">
        <f>RANK(I26,I3:I211)</f>
        <v>17</v>
      </c>
      <c r="I26" s="139">
        <f>VLOOKUP(A26,'Standard Deviations'!A1:C728,3,FALSE)</f>
        <v>7.6407226059044717</v>
      </c>
      <c r="J26" s="139">
        <f>I26-VLOOKUP(B$2,H1:J211,2,FALSE)</f>
        <v>1.066457715121266</v>
      </c>
    </row>
    <row r="27" spans="1:10" ht="21.25" customHeight="1" x14ac:dyDescent="0.15">
      <c r="A27" s="8" t="s">
        <v>177</v>
      </c>
      <c r="B27" s="57" t="str">
        <f>VLOOKUP(A27,'The List'!B1:D727,3,FALSE)</f>
        <v>C</v>
      </c>
      <c r="C27" s="58">
        <f>IF(Settings!$E$15="POINTS",RANK(E27,E3:E211),H27)</f>
        <v>19</v>
      </c>
      <c r="D27" s="35" t="str">
        <f>VLOOKUP(A27,'The List'!B1:F727,5,FALSE)</f>
        <v>BUF</v>
      </c>
      <c r="E27" s="39">
        <f>VLOOKUP(A27,'The List'!B1:I727,8,FALSE)</f>
        <v>407.67256026988247</v>
      </c>
      <c r="F27" s="39">
        <f>IF(Settings!$E$15="POINTS",E27-VLOOKUP(B$2,C1:E211,3,FALSE),J27)</f>
        <v>14.343754503672812</v>
      </c>
      <c r="G27" s="39"/>
      <c r="H27" s="138">
        <f>RANK(I27,I3:I211)</f>
        <v>33</v>
      </c>
      <c r="I27" s="139">
        <f>VLOOKUP(A27,'Standard Deviations'!A1:C728,3,FALSE)</f>
        <v>5.4292298069021507</v>
      </c>
      <c r="J27" s="139">
        <f>I27-VLOOKUP(B$2,H1:J211,2,FALSE)</f>
        <v>-1.145035083881055</v>
      </c>
    </row>
    <row r="28" spans="1:10" ht="21.25" customHeight="1" x14ac:dyDescent="0.15">
      <c r="A28" s="8" t="s">
        <v>192</v>
      </c>
      <c r="B28" s="57" t="str">
        <f>VLOOKUP(A28,'The List'!B1:D727,3,FALSE)</f>
        <v>C</v>
      </c>
      <c r="C28" s="58">
        <f>IF(Settings!$E$15="POINTS",RANK(E28,E3:E211),H28)</f>
        <v>22</v>
      </c>
      <c r="D28" s="35" t="str">
        <f>VLOOKUP(A28,'The List'!B1:F727,5,FALSE)</f>
        <v>NYI</v>
      </c>
      <c r="E28" s="39">
        <f>VLOOKUP(A28,'The List'!B1:I727,8,FALSE)</f>
        <v>393.32880576620965</v>
      </c>
      <c r="F28" s="39">
        <f>IF(Settings!$E$15="POINTS",E28-VLOOKUP(B$2,C1:E211,3,FALSE),J28)</f>
        <v>0</v>
      </c>
      <c r="G28" s="39"/>
      <c r="H28" s="138">
        <f>RANK(I28,I3:I211)</f>
        <v>25</v>
      </c>
      <c r="I28" s="139">
        <f>VLOOKUP(A28,'Standard Deviations'!A1:C728,3,FALSE)</f>
        <v>6.3087086260264673</v>
      </c>
      <c r="J28" s="139">
        <f>I28-VLOOKUP(B$2,H1:J211,2,FALSE)</f>
        <v>-0.26555626475673844</v>
      </c>
    </row>
    <row r="29" spans="1:10" ht="21.25" customHeight="1" x14ac:dyDescent="0.15">
      <c r="A29" s="8" t="s">
        <v>218</v>
      </c>
      <c r="B29" s="57" t="str">
        <f>VLOOKUP(A29,'The List'!B1:D727,3,FALSE)</f>
        <v>C</v>
      </c>
      <c r="C29" s="58">
        <f>IF(Settings!$E$15="POINTS",RANK(E29,E3:E211),H29)</f>
        <v>31</v>
      </c>
      <c r="D29" s="35" t="str">
        <f>VLOOKUP(A29,'The List'!B1:F727,5,FALSE)</f>
        <v>CGY</v>
      </c>
      <c r="E29" s="39">
        <f>VLOOKUP(A29,'The List'!B1:I727,8,FALSE)</f>
        <v>374.08712999126766</v>
      </c>
      <c r="F29" s="39">
        <f>IF(Settings!$E$15="POINTS",E29-VLOOKUP(B$2,C1:E211,3,FALSE),J29)</f>
        <v>-19.241675774941996</v>
      </c>
      <c r="G29" s="39"/>
      <c r="H29" s="138">
        <f>RANK(I29,I3:I211)</f>
        <v>23</v>
      </c>
      <c r="I29" s="139">
        <f>VLOOKUP(A29,'Standard Deviations'!A1:C728,3,FALSE)</f>
        <v>6.5464766857302283</v>
      </c>
      <c r="J29" s="139">
        <f>I29-VLOOKUP(B$2,H1:J211,2,FALSE)</f>
        <v>-2.7788205052977411E-2</v>
      </c>
    </row>
    <row r="30" spans="1:10" ht="21.25" customHeight="1" x14ac:dyDescent="0.15">
      <c r="A30" s="8" t="s">
        <v>200</v>
      </c>
      <c r="B30" s="57" t="str">
        <f>VLOOKUP(A30,'The List'!B1:D727,3,FALSE)</f>
        <v>C</v>
      </c>
      <c r="C30" s="58">
        <f>IF(Settings!$E$15="POINTS",RANK(E30,E3:E211),H30)</f>
        <v>24</v>
      </c>
      <c r="D30" s="35" t="str">
        <f>VLOOKUP(A30,'The List'!B1:F727,5,FALSE)</f>
        <v>WPG</v>
      </c>
      <c r="E30" s="39">
        <f>VLOOKUP(A30,'The List'!B1:I727,8,FALSE)</f>
        <v>385.11624783871372</v>
      </c>
      <c r="F30" s="39">
        <f>IF(Settings!$E$15="POINTS",E30-VLOOKUP(B$2,C1:E211,3,FALSE),J30)</f>
        <v>-8.2125579274959364</v>
      </c>
      <c r="G30" s="39"/>
      <c r="H30" s="138">
        <f>RANK(I30,I3:I211)</f>
        <v>28</v>
      </c>
      <c r="I30" s="139">
        <f>VLOOKUP(A30,'Standard Deviations'!A1:C728,3,FALSE)</f>
        <v>6.004276467652959</v>
      </c>
      <c r="J30" s="139">
        <f>I30-VLOOKUP(B$2,H1:J211,2,FALSE)</f>
        <v>-0.56998842313024678</v>
      </c>
    </row>
    <row r="31" spans="1:10" ht="21.25" customHeight="1" x14ac:dyDescent="0.15">
      <c r="A31" s="8" t="s">
        <v>205</v>
      </c>
      <c r="B31" s="57" t="str">
        <f>VLOOKUP(A31,'The List'!B1:D727,3,FALSE)</f>
        <v>C</v>
      </c>
      <c r="C31" s="58">
        <f>IF(Settings!$E$15="POINTS",RANK(E31,E3:E211),H31)</f>
        <v>26</v>
      </c>
      <c r="D31" s="35" t="str">
        <f>VLOOKUP(A31,'The List'!B1:F727,5,FALSE)</f>
        <v>ANA</v>
      </c>
      <c r="E31" s="39">
        <f>VLOOKUP(A31,'The List'!B1:I727,8,FALSE)</f>
        <v>382.98390994240623</v>
      </c>
      <c r="F31" s="39">
        <f>IF(Settings!$E$15="POINTS",E31-VLOOKUP(B$2,C1:E211,3,FALSE),J31)</f>
        <v>-10.344895823803427</v>
      </c>
      <c r="G31" s="39"/>
      <c r="H31" s="138">
        <f>RANK(I31,I3:I211)</f>
        <v>51</v>
      </c>
      <c r="I31" s="139">
        <f>VLOOKUP(A31,'Standard Deviations'!A1:C728,3,FALSE)</f>
        <v>2.7916135469166181</v>
      </c>
      <c r="J31" s="139">
        <f>I31-VLOOKUP(B$2,H1:J211,2,FALSE)</f>
        <v>-3.7826513438665876</v>
      </c>
    </row>
    <row r="32" spans="1:10" ht="21.25" customHeight="1" x14ac:dyDescent="0.15">
      <c r="A32" s="8" t="s">
        <v>226</v>
      </c>
      <c r="B32" s="57" t="str">
        <f>VLOOKUP(A32,'The List'!B1:D727,3,FALSE)</f>
        <v>C</v>
      </c>
      <c r="C32" s="58">
        <f>IF(Settings!$E$15="POINTS",RANK(E32,E3:E211),H32)</f>
        <v>33</v>
      </c>
      <c r="D32" s="35" t="str">
        <f>VLOOKUP(A32,'The List'!B1:F727,5,FALSE)</f>
        <v>DAL</v>
      </c>
      <c r="E32" s="39">
        <f>VLOOKUP(A32,'The List'!B1:I727,8,FALSE)</f>
        <v>366.71196358538396</v>
      </c>
      <c r="F32" s="39">
        <f>IF(Settings!$E$15="POINTS",E32-VLOOKUP(B$2,C1:E211,3,FALSE),J32)</f>
        <v>-26.616842180825699</v>
      </c>
      <c r="G32" s="39"/>
      <c r="H32" s="138">
        <f>RANK(I32,I3:I211)</f>
        <v>16</v>
      </c>
      <c r="I32" s="139">
        <f>VLOOKUP(A32,'Standard Deviations'!A1:C728,3,FALSE)</f>
        <v>7.7721824178463255</v>
      </c>
      <c r="J32" s="139">
        <f>I32-VLOOKUP(B$2,H1:J211,2,FALSE)</f>
        <v>1.1979175270631197</v>
      </c>
    </row>
    <row r="33" spans="1:10" ht="21.25" customHeight="1" x14ac:dyDescent="0.15">
      <c r="A33" s="8" t="s">
        <v>204</v>
      </c>
      <c r="B33" s="57" t="str">
        <f>VLOOKUP(A33,'The List'!B1:D727,3,FALSE)</f>
        <v>C</v>
      </c>
      <c r="C33" s="58">
        <f>IF(Settings!$E$15="POINTS",RANK(E33,E3:E211),H33)</f>
        <v>25</v>
      </c>
      <c r="D33" s="35" t="str">
        <f>VLOOKUP(A33,'The List'!B1:F727,5,FALSE)</f>
        <v>MIN</v>
      </c>
      <c r="E33" s="39">
        <f>VLOOKUP(A33,'The List'!B1:I727,8,FALSE)</f>
        <v>383.00920620826975</v>
      </c>
      <c r="F33" s="39">
        <f>IF(Settings!$E$15="POINTS",E33-VLOOKUP(B$2,C1:E211,3,FALSE),J33)</f>
        <v>-10.31959955793991</v>
      </c>
      <c r="G33" s="39"/>
      <c r="H33" s="138">
        <f>RANK(I33,I3:I211)</f>
        <v>21</v>
      </c>
      <c r="I33" s="139">
        <f>VLOOKUP(A33,'Standard Deviations'!A1:C728,3,FALSE)</f>
        <v>6.942721142001675</v>
      </c>
      <c r="J33" s="139">
        <f>I33-VLOOKUP(B$2,H1:J211,2,FALSE)</f>
        <v>0.36845625121846926</v>
      </c>
    </row>
    <row r="34" spans="1:10" ht="21.25" customHeight="1" x14ac:dyDescent="0.15">
      <c r="A34" s="8" t="s">
        <v>210</v>
      </c>
      <c r="B34" s="57" t="str">
        <f>VLOOKUP(A34,'The List'!B1:D727,3,FALSE)</f>
        <v>C</v>
      </c>
      <c r="C34" s="58">
        <f>IF(Settings!$E$15="POINTS",RANK(E34,E3:E211),H34)</f>
        <v>29</v>
      </c>
      <c r="D34" s="35" t="str">
        <f>VLOOKUP(A34,'The List'!B1:F727,5,FALSE)</f>
        <v>PIT</v>
      </c>
      <c r="E34" s="39">
        <f>VLOOKUP(A34,'The List'!B1:I727,8,FALSE)</f>
        <v>379.2995926176057</v>
      </c>
      <c r="F34" s="39">
        <f>IF(Settings!$E$15="POINTS",E34-VLOOKUP(B$2,C1:E211,3,FALSE),J34)</f>
        <v>-14.029213148603958</v>
      </c>
      <c r="G34" s="39"/>
      <c r="H34" s="138">
        <f>RANK(I34,I3:I211)</f>
        <v>26</v>
      </c>
      <c r="I34" s="139">
        <f>VLOOKUP(A34,'Standard Deviations'!A1:C728,3,FALSE)</f>
        <v>6.1488991581467882</v>
      </c>
      <c r="J34" s="139">
        <f>I34-VLOOKUP(B$2,H1:J211,2,FALSE)</f>
        <v>-0.42536573263641753</v>
      </c>
    </row>
    <row r="35" spans="1:10" ht="21.25" customHeight="1" x14ac:dyDescent="0.15">
      <c r="A35" s="8" t="s">
        <v>228</v>
      </c>
      <c r="B35" s="57" t="str">
        <f>VLOOKUP(A35,'The List'!B1:D727,3,FALSE)</f>
        <v>C</v>
      </c>
      <c r="C35" s="58">
        <f>IF(Settings!$E$15="POINTS",RANK(E35,E3:E211),H35)</f>
        <v>34</v>
      </c>
      <c r="D35" s="35" t="str">
        <f>VLOOKUP(A35,'The List'!B1:F727,5,FALSE)</f>
        <v>CAR</v>
      </c>
      <c r="E35" s="39">
        <f>VLOOKUP(A35,'The List'!B1:I727,8,FALSE)</f>
        <v>364.89159157508874</v>
      </c>
      <c r="F35" s="39">
        <f>IF(Settings!$E$15="POINTS",E35-VLOOKUP(B$2,C1:E211,3,FALSE),J35)</f>
        <v>-28.437214191120916</v>
      </c>
      <c r="G35" s="39"/>
      <c r="H35" s="138">
        <f>RANK(I35,I3:I211)</f>
        <v>27</v>
      </c>
      <c r="I35" s="139">
        <f>VLOOKUP(A35,'Standard Deviations'!A1:C728,3,FALSE)</f>
        <v>6.0951409806100019</v>
      </c>
      <c r="J35" s="139">
        <f>I35-VLOOKUP(B$2,H1:J211,2,FALSE)</f>
        <v>-0.47912391017320388</v>
      </c>
    </row>
    <row r="36" spans="1:10" ht="21.25" customHeight="1" x14ac:dyDescent="0.15">
      <c r="A36" s="8" t="s">
        <v>229</v>
      </c>
      <c r="B36" s="57" t="str">
        <f>VLOOKUP(A36,'The List'!B1:D727,3,FALSE)</f>
        <v>C</v>
      </c>
      <c r="C36" s="58">
        <f>IF(Settings!$E$15="POINTS",RANK(E36,E3:E211),H36)</f>
        <v>35</v>
      </c>
      <c r="D36" s="35" t="str">
        <f>VLOOKUP(A36,'The List'!B1:F727,5,FALSE)</f>
        <v>NYI</v>
      </c>
      <c r="E36" s="39">
        <f>VLOOKUP(A36,'The List'!B1:I727,8,FALSE)</f>
        <v>361.75607616544806</v>
      </c>
      <c r="F36" s="39">
        <f>IF(Settings!$E$15="POINTS",E36-VLOOKUP(B$2,C1:E211,3,FALSE),J36)</f>
        <v>-31.572729600761591</v>
      </c>
      <c r="G36" s="39"/>
      <c r="H36" s="138">
        <f>RANK(I36,I3:I211)</f>
        <v>32</v>
      </c>
      <c r="I36" s="139">
        <f>VLOOKUP(A36,'Standard Deviations'!A1:C728,3,FALSE)</f>
        <v>5.5582522391025933</v>
      </c>
      <c r="J36" s="139">
        <f>I36-VLOOKUP(B$2,H1:J211,2,FALSE)</f>
        <v>-1.0160126516806125</v>
      </c>
    </row>
    <row r="37" spans="1:10" ht="21.25" customHeight="1" x14ac:dyDescent="0.15">
      <c r="A37" s="8" t="s">
        <v>256</v>
      </c>
      <c r="B37" s="57" t="str">
        <f>VLOOKUP(A37,'The List'!B1:D727,3,FALSE)</f>
        <v>C</v>
      </c>
      <c r="C37" s="58">
        <f>IF(Settings!$E$15="POINTS",RANK(E37,E3:E211),H37)</f>
        <v>42</v>
      </c>
      <c r="D37" s="35" t="str">
        <f>VLOOKUP(A37,'The List'!B1:F727,5,FALSE)</f>
        <v>SJS</v>
      </c>
      <c r="E37" s="39">
        <f>VLOOKUP(A37,'The List'!B1:I727,8,FALSE)</f>
        <v>343.20325550677262</v>
      </c>
      <c r="F37" s="39">
        <f>IF(Settings!$E$15="POINTS",E37-VLOOKUP(B$2,C1:E211,3,FALSE),J37)</f>
        <v>-50.125550259437034</v>
      </c>
      <c r="G37" s="39"/>
      <c r="H37" s="138">
        <f>RANK(I37,I3:I211)</f>
        <v>39</v>
      </c>
      <c r="I37" s="139">
        <f>VLOOKUP(A37,'Standard Deviations'!A1:C728,3,FALSE)</f>
        <v>4.6757603366467695</v>
      </c>
      <c r="J37" s="139">
        <f>I37-VLOOKUP(B$2,H1:J211,2,FALSE)</f>
        <v>-1.8985045541364363</v>
      </c>
    </row>
    <row r="38" spans="1:10" ht="21.25" customHeight="1" x14ac:dyDescent="0.15">
      <c r="A38" s="8" t="s">
        <v>244</v>
      </c>
      <c r="B38" s="57" t="str">
        <f>VLOOKUP(A38,'The List'!B1:D727,3,FALSE)</f>
        <v>C</v>
      </c>
      <c r="C38" s="58">
        <f>IF(Settings!$E$15="POINTS",RANK(E38,E3:E211),H38)</f>
        <v>39</v>
      </c>
      <c r="D38" s="35" t="str">
        <f>VLOOKUP(A38,'The List'!B1:F727,5,FALSE)</f>
        <v>CGY</v>
      </c>
      <c r="E38" s="39">
        <f>VLOOKUP(A38,'The List'!B1:I727,8,FALSE)</f>
        <v>352.67580034019909</v>
      </c>
      <c r="F38" s="39">
        <f>IF(Settings!$E$15="POINTS",E38-VLOOKUP(B$2,C1:E211,3,FALSE),J38)</f>
        <v>-40.653005426010566</v>
      </c>
      <c r="G38" s="39"/>
      <c r="H38" s="138">
        <f>RANK(I38,I3:I211)</f>
        <v>36</v>
      </c>
      <c r="I38" s="139">
        <f>VLOOKUP(A38,'Standard Deviations'!A1:C728,3,FALSE)</f>
        <v>4.9902627935812349</v>
      </c>
      <c r="J38" s="139">
        <f>I38-VLOOKUP(B$2,H1:J211,2,FALSE)</f>
        <v>-1.5840020972019708</v>
      </c>
    </row>
    <row r="39" spans="1:10" ht="21.25" customHeight="1" x14ac:dyDescent="0.15">
      <c r="A39" s="8" t="s">
        <v>225</v>
      </c>
      <c r="B39" s="57" t="str">
        <f>VLOOKUP(A39,'The List'!B1:D727,3,FALSE)</f>
        <v>C</v>
      </c>
      <c r="C39" s="58">
        <f>IF(Settings!$E$15="POINTS",RANK(E39,E3:E211),H39)</f>
        <v>32</v>
      </c>
      <c r="D39" s="35" t="str">
        <f>VLOOKUP(A39,'The List'!B1:F727,5,FALSE)</f>
        <v>NYI</v>
      </c>
      <c r="E39" s="39">
        <f>VLOOKUP(A39,'The List'!B1:I727,8,FALSE)</f>
        <v>367.44912682469067</v>
      </c>
      <c r="F39" s="39">
        <f>IF(Settings!$E$15="POINTS",E39-VLOOKUP(B$2,C1:E211,3,FALSE),J39)</f>
        <v>-25.879678941518989</v>
      </c>
      <c r="G39" s="39"/>
      <c r="H39" s="138">
        <f>RANK(I39,I3:I211)</f>
        <v>30</v>
      </c>
      <c r="I39" s="139">
        <f>VLOOKUP(A39,'Standard Deviations'!A1:C728,3,FALSE)</f>
        <v>5.6272799277373799</v>
      </c>
      <c r="J39" s="139">
        <f>I39-VLOOKUP(B$2,H1:J211,2,FALSE)</f>
        <v>-0.9469849630458258</v>
      </c>
    </row>
    <row r="40" spans="1:10" ht="21.25" customHeight="1" x14ac:dyDescent="0.15">
      <c r="A40" s="8" t="s">
        <v>237</v>
      </c>
      <c r="B40" s="57" t="str">
        <f>VLOOKUP(A40,'The List'!B1:D727,3,FALSE)</f>
        <v>C</v>
      </c>
      <c r="C40" s="58">
        <f>IF(Settings!$E$15="POINTS",RANK(E40,E3:E211),H40)</f>
        <v>36</v>
      </c>
      <c r="D40" s="35" t="str">
        <f>VLOOKUP(A40,'The List'!B1:F727,5,FALSE)</f>
        <v>LAK</v>
      </c>
      <c r="E40" s="39">
        <f>VLOOKUP(A40,'The List'!B1:I727,8,FALSE)</f>
        <v>357.34081558137484</v>
      </c>
      <c r="F40" s="39">
        <f>IF(Settings!$E$15="POINTS",E40-VLOOKUP(B$2,C1:E211,3,FALSE),J40)</f>
        <v>-35.987990184834814</v>
      </c>
      <c r="G40" s="39"/>
      <c r="H40" s="138">
        <f>RANK(I40,I3:I211)</f>
        <v>38</v>
      </c>
      <c r="I40" s="139">
        <f>VLOOKUP(A40,'Standard Deviations'!A1:C728,3,FALSE)</f>
        <v>4.73038219428157</v>
      </c>
      <c r="J40" s="139">
        <f>I40-VLOOKUP(B$2,H1:J211,2,FALSE)</f>
        <v>-1.8438826965016357</v>
      </c>
    </row>
    <row r="41" spans="1:10" ht="21.25" customHeight="1" x14ac:dyDescent="0.15">
      <c r="A41" s="8" t="s">
        <v>241</v>
      </c>
      <c r="B41" s="57" t="str">
        <f>VLOOKUP(A41,'The List'!B1:D727,3,FALSE)</f>
        <v>C</v>
      </c>
      <c r="C41" s="58">
        <f>IF(Settings!$E$15="POINTS",RANK(E41,E3:E211),H41)</f>
        <v>38</v>
      </c>
      <c r="D41" s="35" t="str">
        <f>VLOOKUP(A41,'The List'!B1:F727,5,FALSE)</f>
        <v>MTL</v>
      </c>
      <c r="E41" s="39">
        <f>VLOOKUP(A41,'The List'!B1:I727,8,FALSE)</f>
        <v>355.35656137552519</v>
      </c>
      <c r="F41" s="39">
        <f>IF(Settings!$E$15="POINTS",E41-VLOOKUP(B$2,C1:E211,3,FALSE),J41)</f>
        <v>-37.972244390684466</v>
      </c>
      <c r="G41" s="39"/>
      <c r="H41" s="138">
        <f>RANK(I41,I3:I211)</f>
        <v>54</v>
      </c>
      <c r="I41" s="139">
        <f>VLOOKUP(A41,'Standard Deviations'!A1:C728,3,FALSE)</f>
        <v>2.4982637819246918</v>
      </c>
      <c r="J41" s="139">
        <f>I41-VLOOKUP(B$2,H1:J211,2,FALSE)</f>
        <v>-4.076001108858514</v>
      </c>
    </row>
    <row r="42" spans="1:10" ht="21.25" customHeight="1" x14ac:dyDescent="0.15">
      <c r="A42" s="8" t="s">
        <v>254</v>
      </c>
      <c r="B42" s="57" t="str">
        <f>VLOOKUP(A42,'The List'!B1:D727,3,FALSE)</f>
        <v>C</v>
      </c>
      <c r="C42" s="58">
        <f>IF(Settings!$E$15="POINTS",RANK(E42,E3:E211),H42)</f>
        <v>41</v>
      </c>
      <c r="D42" s="35" t="str">
        <f>VLOOKUP(A42,'The List'!B1:F727,5,FALSE)</f>
        <v>LAK</v>
      </c>
      <c r="E42" s="39">
        <f>VLOOKUP(A42,'The List'!B1:I727,8,FALSE)</f>
        <v>344.88363545338518</v>
      </c>
      <c r="F42" s="39">
        <f>IF(Settings!$E$15="POINTS",E42-VLOOKUP(B$2,C1:E211,3,FALSE),J42)</f>
        <v>-48.445170312824473</v>
      </c>
      <c r="G42" s="39"/>
      <c r="H42" s="138">
        <f>RANK(I42,I3:I211)</f>
        <v>35</v>
      </c>
      <c r="I42" s="139">
        <f>VLOOKUP(A42,'Standard Deviations'!A1:C728,3,FALSE)</f>
        <v>5.0122470214473545</v>
      </c>
      <c r="J42" s="139">
        <f>I42-VLOOKUP(B$2,H1:J211,2,FALSE)</f>
        <v>-1.5620178693358513</v>
      </c>
    </row>
    <row r="43" spans="1:10" ht="21.25" customHeight="1" x14ac:dyDescent="0.15">
      <c r="A43" s="8" t="s">
        <v>252</v>
      </c>
      <c r="B43" s="57" t="str">
        <f>VLOOKUP(A43,'The List'!B1:D727,3,FALSE)</f>
        <v>C</v>
      </c>
      <c r="C43" s="58">
        <f>IF(Settings!$E$15="POINTS",RANK(E43,E3:E211),H43)</f>
        <v>40</v>
      </c>
      <c r="D43" s="35" t="str">
        <f>VLOOKUP(A43,'The List'!B1:F727,5,FALSE)</f>
        <v>STL</v>
      </c>
      <c r="E43" s="39">
        <f>VLOOKUP(A43,'The List'!B1:I727,8,FALSE)</f>
        <v>345.27654708295341</v>
      </c>
      <c r="F43" s="39">
        <f>IF(Settings!$E$15="POINTS",E43-VLOOKUP(B$2,C1:E211,3,FALSE),J43)</f>
        <v>-48.052258683256241</v>
      </c>
      <c r="G43" s="39"/>
      <c r="H43" s="138">
        <f>RANK(I43,I3:I211)</f>
        <v>50</v>
      </c>
      <c r="I43" s="139">
        <f>VLOOKUP(A43,'Standard Deviations'!A1:C728,3,FALSE)</f>
        <v>3.0911970486009288</v>
      </c>
      <c r="J43" s="139">
        <f>I43-VLOOKUP(B$2,H1:J211,2,FALSE)</f>
        <v>-3.4830678421822769</v>
      </c>
    </row>
    <row r="44" spans="1:10" ht="21.25" customHeight="1" x14ac:dyDescent="0.15">
      <c r="A44" s="8" t="s">
        <v>239</v>
      </c>
      <c r="B44" s="57" t="str">
        <f>VLOOKUP(A44,'The List'!B1:D727,3,FALSE)</f>
        <v>C</v>
      </c>
      <c r="C44" s="58">
        <f>IF(Settings!$E$15="POINTS",RANK(E44,E3:E211),H44)</f>
        <v>37</v>
      </c>
      <c r="D44" s="35" t="str">
        <f>VLOOKUP(A44,'The List'!B1:F727,5,FALSE)</f>
        <v>SEA</v>
      </c>
      <c r="E44" s="39">
        <f>VLOOKUP(A44,'The List'!B1:I727,8,FALSE)</f>
        <v>356.37678236327895</v>
      </c>
      <c r="F44" s="39">
        <f>IF(Settings!$E$15="POINTS",E44-VLOOKUP(B$2,C1:E211,3,FALSE),J44)</f>
        <v>-36.952023402930706</v>
      </c>
      <c r="G44" s="39"/>
      <c r="H44" s="138">
        <f>RANK(I44,I3:I211)</f>
        <v>34</v>
      </c>
      <c r="I44" s="139">
        <f>VLOOKUP(A44,'Standard Deviations'!A1:C728,3,FALSE)</f>
        <v>5.1823057699138833</v>
      </c>
      <c r="J44" s="139">
        <f>I44-VLOOKUP(B$2,H1:J211,2,FALSE)</f>
        <v>-1.3919591208693225</v>
      </c>
    </row>
    <row r="45" spans="1:10" ht="21.25" customHeight="1" x14ac:dyDescent="0.15">
      <c r="A45" s="8" t="s">
        <v>259</v>
      </c>
      <c r="B45" s="57" t="str">
        <f>VLOOKUP(A45,'The List'!B1:D727,3,FALSE)</f>
        <v>C</v>
      </c>
      <c r="C45" s="58">
        <f>IF(Settings!$E$15="POINTS",RANK(E45,E3:E211),H45)</f>
        <v>43</v>
      </c>
      <c r="D45" s="35" t="str">
        <f>VLOOKUP(A45,'The List'!B1:F727,5,FALSE)</f>
        <v>ARI</v>
      </c>
      <c r="E45" s="39">
        <f>VLOOKUP(A45,'The List'!B1:I727,8,FALSE)</f>
        <v>335.66319467361672</v>
      </c>
      <c r="F45" s="39">
        <f>IF(Settings!$E$15="POINTS",E45-VLOOKUP(B$2,C1:E211,3,FALSE),J45)</f>
        <v>-57.66561109259294</v>
      </c>
      <c r="G45" s="39"/>
      <c r="H45" s="138">
        <f>RANK(I45,I3:I211)</f>
        <v>47</v>
      </c>
      <c r="I45" s="139">
        <f>VLOOKUP(A45,'Standard Deviations'!A1:C728,3,FALSE)</f>
        <v>3.2770182925618672</v>
      </c>
      <c r="J45" s="139">
        <f>I45-VLOOKUP(B$2,H1:J211,2,FALSE)</f>
        <v>-3.2972465982213386</v>
      </c>
    </row>
    <row r="46" spans="1:10" ht="21.25" customHeight="1" x14ac:dyDescent="0.15">
      <c r="A46" s="8" t="s">
        <v>262</v>
      </c>
      <c r="B46" s="57" t="str">
        <f>VLOOKUP(A46,'The List'!B1:D727,3,FALSE)</f>
        <v>C</v>
      </c>
      <c r="C46" s="58">
        <f>IF(Settings!$E$15="POINTS",RANK(E46,E3:E211),H46)</f>
        <v>44</v>
      </c>
      <c r="D46" s="35" t="str">
        <f>VLOOKUP(A46,'The List'!B1:F727,5,FALSE)</f>
        <v>SJS</v>
      </c>
      <c r="E46" s="39">
        <f>VLOOKUP(A46,'The List'!B1:I727,8,FALSE)</f>
        <v>331.93821454217948</v>
      </c>
      <c r="F46" s="39">
        <f>IF(Settings!$E$15="POINTS",E46-VLOOKUP(B$2,C1:E211,3,FALSE),J46)</f>
        <v>-61.390591224030175</v>
      </c>
      <c r="G46" s="39"/>
      <c r="H46" s="138">
        <f>RANK(I46,I3:I211)</f>
        <v>40</v>
      </c>
      <c r="I46" s="139">
        <f>VLOOKUP(A46,'Standard Deviations'!A1:C728,3,FALSE)</f>
        <v>4.4037236099585009</v>
      </c>
      <c r="J46" s="139">
        <f>I46-VLOOKUP(B$2,H1:J211,2,FALSE)</f>
        <v>-2.1705412808247049</v>
      </c>
    </row>
    <row r="47" spans="1:10" ht="21.25" customHeight="1" x14ac:dyDescent="0.15">
      <c r="A47" s="8" t="s">
        <v>268</v>
      </c>
      <c r="B47" s="57" t="str">
        <f>VLOOKUP(A47,'The List'!B1:D727,3,FALSE)</f>
        <v>C</v>
      </c>
      <c r="C47" s="58">
        <f>IF(Settings!$E$15="POINTS",RANK(E47,E3:E211),H47)</f>
        <v>45</v>
      </c>
      <c r="D47" s="35" t="str">
        <f>VLOOKUP(A47,'The List'!B1:F727,5,FALSE)</f>
        <v>BOS</v>
      </c>
      <c r="E47" s="39">
        <f>VLOOKUP(A47,'The List'!B1:I727,8,FALSE)</f>
        <v>323.34962728992338</v>
      </c>
      <c r="F47" s="39">
        <f>IF(Settings!$E$15="POINTS",E47-VLOOKUP(B$2,C1:E211,3,FALSE),J47)</f>
        <v>-69.979178476286279</v>
      </c>
      <c r="G47" s="39"/>
      <c r="H47" s="138">
        <f>RANK(I47,I3:I211)</f>
        <v>43</v>
      </c>
      <c r="I47" s="139">
        <f>VLOOKUP(A47,'Standard Deviations'!A1:C728,3,FALSE)</f>
        <v>4.060614073680247</v>
      </c>
      <c r="J47" s="139">
        <f>I47-VLOOKUP(B$2,H1:J211,2,FALSE)</f>
        <v>-2.5136508171029588</v>
      </c>
    </row>
    <row r="48" spans="1:10" ht="21.25" customHeight="1" x14ac:dyDescent="0.15">
      <c r="A48" s="8" t="s">
        <v>276</v>
      </c>
      <c r="B48" s="57" t="str">
        <f>VLOOKUP(A48,'The List'!B1:D727,3,FALSE)</f>
        <v>C</v>
      </c>
      <c r="C48" s="58">
        <f>IF(Settings!$E$15="POINTS",RANK(E48,E3:E211),H48)</f>
        <v>46</v>
      </c>
      <c r="D48" s="35" t="str">
        <f>VLOOKUP(A48,'The List'!B1:F727,5,FALSE)</f>
        <v>ANA</v>
      </c>
      <c r="E48" s="39">
        <f>VLOOKUP(A48,'The List'!B1:I727,8,FALSE)</f>
        <v>311.88675474885338</v>
      </c>
      <c r="F48" s="39">
        <f>IF(Settings!$E$15="POINTS",E48-VLOOKUP(B$2,C1:E211,3,FALSE),J48)</f>
        <v>-81.442051017356277</v>
      </c>
      <c r="G48" s="39"/>
      <c r="H48" s="138">
        <f>RANK(I48,I3:I211)</f>
        <v>69</v>
      </c>
      <c r="I48" s="139">
        <f>VLOOKUP(A48,'Standard Deviations'!A1:C728,3,FALSE)</f>
        <v>1.0841273329434147</v>
      </c>
      <c r="J48" s="139">
        <f>I48-VLOOKUP(B$2,H1:J211,2,FALSE)</f>
        <v>-5.4901375578397911</v>
      </c>
    </row>
    <row r="49" spans="1:10" ht="21.25" customHeight="1" x14ac:dyDescent="0.15">
      <c r="A49" s="8" t="s">
        <v>286</v>
      </c>
      <c r="B49" s="57" t="str">
        <f>VLOOKUP(A49,'The List'!B1:D727,3,FALSE)</f>
        <v>C</v>
      </c>
      <c r="C49" s="58">
        <f>IF(Settings!$E$15="POINTS",RANK(E49,E3:E211),H49)</f>
        <v>49</v>
      </c>
      <c r="D49" s="35" t="str">
        <f>VLOOKUP(A49,'The List'!B1:F727,5,FALSE)</f>
        <v>NYR</v>
      </c>
      <c r="E49" s="39">
        <f>VLOOKUP(A49,'The List'!B1:I727,8,FALSE)</f>
        <v>304.86626627991421</v>
      </c>
      <c r="F49" s="39">
        <f>IF(Settings!$E$15="POINTS",E49-VLOOKUP(B$2,C1:E211,3,FALSE),J49)</f>
        <v>-88.462539486295441</v>
      </c>
      <c r="G49" s="39"/>
      <c r="H49" s="138">
        <f>RANK(I49,I3:I211)</f>
        <v>42</v>
      </c>
      <c r="I49" s="139">
        <f>VLOOKUP(A49,'Standard Deviations'!A1:C728,3,FALSE)</f>
        <v>4.2156288196432925</v>
      </c>
      <c r="J49" s="139">
        <f>I49-VLOOKUP(B$2,H1:J211,2,FALSE)</f>
        <v>-2.3586360711399132</v>
      </c>
    </row>
    <row r="50" spans="1:10" ht="21.25" customHeight="1" x14ac:dyDescent="0.15">
      <c r="A50" s="8" t="s">
        <v>285</v>
      </c>
      <c r="B50" s="57" t="str">
        <f>VLOOKUP(A50,'The List'!B1:D727,3,FALSE)</f>
        <v>C</v>
      </c>
      <c r="C50" s="58">
        <f>IF(Settings!$E$15="POINTS",RANK(E50,E3:E211),H50)</f>
        <v>48</v>
      </c>
      <c r="D50" s="35" t="str">
        <f>VLOOKUP(A50,'The List'!B1:F727,5,FALSE)</f>
        <v>VGK</v>
      </c>
      <c r="E50" s="39">
        <f>VLOOKUP(A50,'The List'!B1:I727,8,FALSE)</f>
        <v>306.14834828142614</v>
      </c>
      <c r="F50" s="39">
        <f>IF(Settings!$E$15="POINTS",E50-VLOOKUP(B$2,C1:E211,3,FALSE),J50)</f>
        <v>-87.180457484783517</v>
      </c>
      <c r="G50" s="39"/>
      <c r="H50" s="138">
        <f>RANK(I50,I3:I211)</f>
        <v>41</v>
      </c>
      <c r="I50" s="139">
        <f>VLOOKUP(A50,'Standard Deviations'!A1:C728,3,FALSE)</f>
        <v>4.3468715370893412</v>
      </c>
      <c r="J50" s="139">
        <f>I50-VLOOKUP(B$2,H1:J211,2,FALSE)</f>
        <v>-2.2273933536938646</v>
      </c>
    </row>
    <row r="51" spans="1:10" ht="21.25" customHeight="1" x14ac:dyDescent="0.15">
      <c r="A51" s="8" t="s">
        <v>291</v>
      </c>
      <c r="B51" s="57" t="str">
        <f>VLOOKUP(A51,'The List'!B1:D727,3,FALSE)</f>
        <v>C</v>
      </c>
      <c r="C51" s="58">
        <f>IF(Settings!$E$15="POINTS",RANK(E51,E3:E211),H51)</f>
        <v>50</v>
      </c>
      <c r="D51" s="35" t="str">
        <f>VLOOKUP(A51,'The List'!B1:F727,5,FALSE)</f>
        <v>WSH</v>
      </c>
      <c r="E51" s="39">
        <f>VLOOKUP(A51,'The List'!B1:I727,8,FALSE)</f>
        <v>301.41963693600576</v>
      </c>
      <c r="F51" s="39">
        <f>IF(Settings!$E$15="POINTS",E51-VLOOKUP(B$2,C1:E211,3,FALSE),J51)</f>
        <v>-91.909168830203896</v>
      </c>
      <c r="G51" s="39"/>
      <c r="H51" s="138">
        <f>RANK(I51,I3:I211)</f>
        <v>64</v>
      </c>
      <c r="I51" s="139">
        <f>VLOOKUP(A51,'Standard Deviations'!A1:C728,3,FALSE)</f>
        <v>1.533819579016324</v>
      </c>
      <c r="J51" s="139">
        <f>I51-VLOOKUP(B$2,H1:J211,2,FALSE)</f>
        <v>-5.0404453117668817</v>
      </c>
    </row>
    <row r="52" spans="1:10" ht="21.25" customHeight="1" x14ac:dyDescent="0.15">
      <c r="A52" s="8" t="s">
        <v>302</v>
      </c>
      <c r="B52" s="57" t="str">
        <f>VLOOKUP(A52,'The List'!B1:D727,3,FALSE)</f>
        <v>C</v>
      </c>
      <c r="C52" s="58">
        <f>IF(Settings!$E$15="POINTS",RANK(E52,E3:E211),H52)</f>
        <v>51</v>
      </c>
      <c r="D52" s="35" t="str">
        <f>VLOOKUP(A52,'The List'!B1:F727,5,FALSE)</f>
        <v>OTT</v>
      </c>
      <c r="E52" s="39">
        <f>VLOOKUP(A52,'The List'!B1:I727,8,FALSE)</f>
        <v>294.9294197586533</v>
      </c>
      <c r="F52" s="39">
        <f>IF(Settings!$E$15="POINTS",E52-VLOOKUP(B$2,C1:E211,3,FALSE),J52)</f>
        <v>-98.399386007556359</v>
      </c>
      <c r="G52" s="39"/>
      <c r="H52" s="138">
        <f>RANK(I52,I3:I211)</f>
        <v>45</v>
      </c>
      <c r="I52" s="139">
        <f>VLOOKUP(A52,'Standard Deviations'!A1:C728,3,FALSE)</f>
        <v>3.468977183717687</v>
      </c>
      <c r="J52" s="139">
        <f>I52-VLOOKUP(B$2,H1:J211,2,FALSE)</f>
        <v>-3.1052877070655187</v>
      </c>
    </row>
    <row r="53" spans="1:10" ht="21.25" customHeight="1" x14ac:dyDescent="0.15">
      <c r="A53" s="8" t="s">
        <v>304</v>
      </c>
      <c r="B53" s="57" t="str">
        <f>VLOOKUP(A53,'The List'!B1:D727,3,FALSE)</f>
        <v>C</v>
      </c>
      <c r="C53" s="58">
        <f>IF(Settings!$E$15="POINTS",RANK(E53,E3:E211),H53)</f>
        <v>52</v>
      </c>
      <c r="D53" s="35" t="str">
        <f>VLOOKUP(A53,'The List'!B1:F727,5,FALSE)</f>
        <v>STL</v>
      </c>
      <c r="E53" s="39">
        <f>VLOOKUP(A53,'The List'!B1:I727,8,FALSE)</f>
        <v>292.76750333508227</v>
      </c>
      <c r="F53" s="39">
        <f>IF(Settings!$E$15="POINTS",E53-VLOOKUP(B$2,C1:E211,3,FALSE),J53)</f>
        <v>-100.56130243112739</v>
      </c>
      <c r="G53" s="39"/>
      <c r="H53" s="138">
        <f>RANK(I53,I3:I211)</f>
        <v>71</v>
      </c>
      <c r="I53" s="139">
        <f>VLOOKUP(A53,'Standard Deviations'!A1:C728,3,FALSE)</f>
        <v>1.0544624166726235</v>
      </c>
      <c r="J53" s="139">
        <f>I53-VLOOKUP(B$2,H1:J211,2,FALSE)</f>
        <v>-5.5198024741105822</v>
      </c>
    </row>
    <row r="54" spans="1:10" ht="21.25" customHeight="1" x14ac:dyDescent="0.15">
      <c r="A54" s="8" t="s">
        <v>335</v>
      </c>
      <c r="B54" s="57" t="str">
        <f>VLOOKUP(A54,'The List'!B1:D727,3,FALSE)</f>
        <v>C</v>
      </c>
      <c r="C54" s="58">
        <f>IF(Settings!$E$15="POINTS",RANK(E54,E3:E211),H54)</f>
        <v>58</v>
      </c>
      <c r="D54" s="35" t="str">
        <f>VLOOKUP(A54,'The List'!B1:F727,5,FALSE)</f>
        <v>SJS</v>
      </c>
      <c r="E54" s="39">
        <f>VLOOKUP(A54,'The List'!B1:I727,8,FALSE)</f>
        <v>275.19572009638034</v>
      </c>
      <c r="F54" s="39">
        <f>IF(Settings!$E$15="POINTS",E54-VLOOKUP(B$2,C1:E211,3,FALSE),J54)</f>
        <v>-118.13308566982931</v>
      </c>
      <c r="G54" s="39"/>
      <c r="H54" s="138">
        <f>RANK(I54,I3:I211)</f>
        <v>58</v>
      </c>
      <c r="I54" s="139">
        <f>VLOOKUP(A54,'Standard Deviations'!A1:C728,3,FALSE)</f>
        <v>1.9430184351944413</v>
      </c>
      <c r="J54" s="139">
        <f>I54-VLOOKUP(B$2,H1:J211,2,FALSE)</f>
        <v>-4.631246455588764</v>
      </c>
    </row>
    <row r="55" spans="1:10" ht="21.25" customHeight="1" x14ac:dyDescent="0.15">
      <c r="A55" s="8" t="s">
        <v>311</v>
      </c>
      <c r="B55" s="57" t="str">
        <f>VLOOKUP(A55,'The List'!B1:D727,3,FALSE)</f>
        <v>C</v>
      </c>
      <c r="C55" s="58">
        <f>IF(Settings!$E$15="POINTS",RANK(E55,E3:E211),H55)</f>
        <v>53</v>
      </c>
      <c r="D55" s="35" t="str">
        <f>VLOOKUP(A55,'The List'!B1:F727,5,FALSE)</f>
        <v>ARI</v>
      </c>
      <c r="E55" s="39">
        <f>VLOOKUP(A55,'The List'!B1:I727,8,FALSE)</f>
        <v>285.76582365705622</v>
      </c>
      <c r="F55" s="39">
        <f>IF(Settings!$E$15="POINTS",E55-VLOOKUP(B$2,C1:E211,3,FALSE),J55)</f>
        <v>-107.56298210915344</v>
      </c>
      <c r="G55" s="39"/>
      <c r="H55" s="138">
        <f>RANK(I55,I3:I211)</f>
        <v>56</v>
      </c>
      <c r="I55" s="139">
        <f>VLOOKUP(A55,'Standard Deviations'!A1:C728,3,FALSE)</f>
        <v>2.3268448424132155</v>
      </c>
      <c r="J55" s="139">
        <f>I55-VLOOKUP(B$2,H1:J211,2,FALSE)</f>
        <v>-4.2474200483699907</v>
      </c>
    </row>
    <row r="56" spans="1:10" ht="21.25" customHeight="1" x14ac:dyDescent="0.15">
      <c r="A56" s="8" t="s">
        <v>315</v>
      </c>
      <c r="B56" s="57" t="str">
        <f>VLOOKUP(A56,'The List'!B1:D727,3,FALSE)</f>
        <v>C</v>
      </c>
      <c r="C56" s="58">
        <f>IF(Settings!$E$15="POINTS",RANK(E56,E3:E211),H56)</f>
        <v>55</v>
      </c>
      <c r="D56" s="35" t="str">
        <f>VLOOKUP(A56,'The List'!B1:F727,5,FALSE)</f>
        <v>FLA</v>
      </c>
      <c r="E56" s="39">
        <f>VLOOKUP(A56,'The List'!B1:I727,8,FALSE)</f>
        <v>284.80051239805437</v>
      </c>
      <c r="F56" s="39">
        <f>IF(Settings!$E$15="POINTS",E56-VLOOKUP(B$2,C1:E211,3,FALSE),J56)</f>
        <v>-108.52829336815529</v>
      </c>
      <c r="G56" s="39"/>
      <c r="H56" s="138">
        <f>RANK(I56,I3:I211)</f>
        <v>46</v>
      </c>
      <c r="I56" s="139">
        <f>VLOOKUP(A56,'Standard Deviations'!A1:C728,3,FALSE)</f>
        <v>3.3979635206851713</v>
      </c>
      <c r="J56" s="139">
        <f>I56-VLOOKUP(B$2,H1:J211,2,FALSE)</f>
        <v>-3.1763013700980345</v>
      </c>
    </row>
    <row r="57" spans="1:10" ht="21.25" customHeight="1" x14ac:dyDescent="0.15">
      <c r="A57" s="8" t="s">
        <v>316</v>
      </c>
      <c r="B57" s="57" t="str">
        <f>VLOOKUP(A57,'The List'!B1:D727,3,FALSE)</f>
        <v>C</v>
      </c>
      <c r="C57" s="58">
        <f>IF(Settings!$E$15="POINTS",RANK(E57,E3:E211),H57)</f>
        <v>56</v>
      </c>
      <c r="D57" s="35" t="str">
        <f>VLOOKUP(A57,'The List'!B1:F727,5,FALSE)</f>
        <v>NSH</v>
      </c>
      <c r="E57" s="39">
        <f>VLOOKUP(A57,'The List'!B1:I727,8,FALSE)</f>
        <v>282.66340092358456</v>
      </c>
      <c r="F57" s="39">
        <f>IF(Settings!$E$15="POINTS",E57-VLOOKUP(B$2,C1:E211,3,FALSE),J57)</f>
        <v>-110.66540484262509</v>
      </c>
      <c r="G57" s="39"/>
      <c r="H57" s="138">
        <f>RANK(I57,I3:I211)</f>
        <v>59</v>
      </c>
      <c r="I57" s="139">
        <f>VLOOKUP(A57,'Standard Deviations'!A1:C728,3,FALSE)</f>
        <v>1.9154611711935297</v>
      </c>
      <c r="J57" s="139">
        <f>I57-VLOOKUP(B$2,H1:J211,2,FALSE)</f>
        <v>-4.6588037195896757</v>
      </c>
    </row>
    <row r="58" spans="1:10" ht="21.25" customHeight="1" x14ac:dyDescent="0.15">
      <c r="A58" s="8" t="s">
        <v>279</v>
      </c>
      <c r="B58" s="57" t="str">
        <f>VLOOKUP(A58,'The List'!B1:D727,3,FALSE)</f>
        <v>C</v>
      </c>
      <c r="C58" s="58">
        <f>IF(Settings!$E$15="POINTS",RANK(E58,E3:E211),H58)</f>
        <v>47</v>
      </c>
      <c r="D58" s="35" t="str">
        <f>VLOOKUP(A58,'The List'!B1:F727,5,FALSE)</f>
        <v>NJD</v>
      </c>
      <c r="E58" s="39">
        <f>VLOOKUP(A58,'The List'!B1:I727,8,FALSE)</f>
        <v>309.17031985018787</v>
      </c>
      <c r="F58" s="39">
        <f>IF(Settings!$E$15="POINTS",E58-VLOOKUP(B$2,C1:E211,3,FALSE),J58)</f>
        <v>-84.158485916021789</v>
      </c>
      <c r="G58" s="39"/>
      <c r="H58" s="138">
        <f>RANK(I58,I3:I211)</f>
        <v>49</v>
      </c>
      <c r="I58" s="139">
        <f>VLOOKUP(A58,'Standard Deviations'!A1:C728,3,FALSE)</f>
        <v>3.0961507477008974</v>
      </c>
      <c r="J58" s="139">
        <f>I58-VLOOKUP(B$2,H1:J211,2,FALSE)</f>
        <v>-3.4781141430823084</v>
      </c>
    </row>
    <row r="59" spans="1:10" ht="21.25" customHeight="1" x14ac:dyDescent="0.15">
      <c r="A59" s="8" t="s">
        <v>312</v>
      </c>
      <c r="B59" s="57" t="str">
        <f>VLOOKUP(A59,'The List'!B1:D727,3,FALSE)</f>
        <v>C</v>
      </c>
      <c r="C59" s="58">
        <f>IF(Settings!$E$15="POINTS",RANK(E59,E3:E211),H59)</f>
        <v>54</v>
      </c>
      <c r="D59" s="35" t="str">
        <f>VLOOKUP(A59,'The List'!B1:F727,5,FALSE)</f>
        <v>CGY</v>
      </c>
      <c r="E59" s="39">
        <f>VLOOKUP(A59,'The List'!B1:I727,8,FALSE)</f>
        <v>285.75678715352723</v>
      </c>
      <c r="F59" s="39">
        <f>IF(Settings!$E$15="POINTS",E59-VLOOKUP(B$2,C1:E211,3,FALSE),J59)</f>
        <v>-107.57201861268243</v>
      </c>
      <c r="G59" s="39"/>
      <c r="H59" s="138">
        <f>RANK(I59,I3:I211)</f>
        <v>48</v>
      </c>
      <c r="I59" s="139">
        <f>VLOOKUP(A59,'Standard Deviations'!A1:C728,3,FALSE)</f>
        <v>3.2446250639604854</v>
      </c>
      <c r="J59" s="139">
        <f>I59-VLOOKUP(B$2,H1:J211,2,FALSE)</f>
        <v>-3.3296398268227203</v>
      </c>
    </row>
    <row r="60" spans="1:10" ht="21.25" customHeight="1" x14ac:dyDescent="0.15">
      <c r="A60" s="8" t="s">
        <v>352</v>
      </c>
      <c r="B60" s="57" t="str">
        <f>VLOOKUP(A60,'The List'!B1:D727,3,FALSE)</f>
        <v>C</v>
      </c>
      <c r="C60" s="58">
        <f>IF(Settings!$E$15="POINTS",RANK(E60,E3:E211),H60)</f>
        <v>61</v>
      </c>
      <c r="D60" s="35" t="str">
        <f>VLOOKUP(A60,'The List'!B1:F727,5,FALSE)</f>
        <v>DAL</v>
      </c>
      <c r="E60" s="39">
        <f>VLOOKUP(A60,'The List'!B1:I727,8,FALSE)</f>
        <v>267.13327182063421</v>
      </c>
      <c r="F60" s="39">
        <f>IF(Settings!$E$15="POINTS",E60-VLOOKUP(B$2,C1:E211,3,FALSE),J60)</f>
        <v>-126.19553394557545</v>
      </c>
      <c r="G60" s="39"/>
      <c r="H60" s="138">
        <f>RANK(I60,I3:I211)</f>
        <v>53</v>
      </c>
      <c r="I60" s="139">
        <f>VLOOKUP(A60,'Standard Deviations'!A1:C728,3,FALSE)</f>
        <v>2.7487226713986268</v>
      </c>
      <c r="J60" s="139">
        <f>I60-VLOOKUP(B$2,H1:J211,2,FALSE)</f>
        <v>-3.8255422193845789</v>
      </c>
    </row>
    <row r="61" spans="1:10" ht="21.25" customHeight="1" x14ac:dyDescent="0.15">
      <c r="A61" s="8" t="s">
        <v>346</v>
      </c>
      <c r="B61" s="57" t="str">
        <f>VLOOKUP(A61,'The List'!B1:D727,3,FALSE)</f>
        <v>C</v>
      </c>
      <c r="C61" s="58">
        <f>IF(Settings!$E$15="POINTS",RANK(E61,E3:E211),H61)</f>
        <v>60</v>
      </c>
      <c r="D61" s="35" t="str">
        <f>VLOOKUP(A61,'The List'!B1:F727,5,FALSE)</f>
        <v>LAK</v>
      </c>
      <c r="E61" s="39">
        <f>VLOOKUP(A61,'The List'!B1:I727,8,FALSE)</f>
        <v>269.97666385107232</v>
      </c>
      <c r="F61" s="39">
        <f>IF(Settings!$E$15="POINTS",E61-VLOOKUP(B$2,C1:E211,3,FALSE),J61)</f>
        <v>-123.35214191513734</v>
      </c>
      <c r="G61" s="39"/>
      <c r="H61" s="138">
        <f>RANK(I61,I3:I211)</f>
        <v>57</v>
      </c>
      <c r="I61" s="139">
        <f>VLOOKUP(A61,'Standard Deviations'!A1:C728,3,FALSE)</f>
        <v>2.2542269348796151</v>
      </c>
      <c r="J61" s="139">
        <f>I61-VLOOKUP(B$2,H1:J211,2,FALSE)</f>
        <v>-4.3200379559035902</v>
      </c>
    </row>
    <row r="62" spans="1:10" ht="21.25" customHeight="1" x14ac:dyDescent="0.15">
      <c r="A62" s="8" t="s">
        <v>356</v>
      </c>
      <c r="B62" s="57" t="str">
        <f>VLOOKUP(A62,'The List'!B1:D727,3,FALSE)</f>
        <v>C</v>
      </c>
      <c r="C62" s="58">
        <f>IF(Settings!$E$15="POINTS",RANK(E62,E3:E211),H62)</f>
        <v>62</v>
      </c>
      <c r="D62" s="35" t="str">
        <f>VLOOKUP(A62,'The List'!B1:F727,5,FALSE)</f>
        <v>CBJ</v>
      </c>
      <c r="E62" s="39">
        <f>VLOOKUP(A62,'The List'!B1:I727,8,FALSE)</f>
        <v>265.53913167742883</v>
      </c>
      <c r="F62" s="39">
        <f>IF(Settings!$E$15="POINTS",E62-VLOOKUP(B$2,C1:E211,3,FALSE),J62)</f>
        <v>-127.78967408878083</v>
      </c>
      <c r="G62" s="39"/>
      <c r="H62" s="138">
        <f>RANK(I62,I3:I211)</f>
        <v>63</v>
      </c>
      <c r="I62" s="139">
        <f>VLOOKUP(A62,'Standard Deviations'!A1:C728,3,FALSE)</f>
        <v>1.6333764455486004</v>
      </c>
      <c r="J62" s="139">
        <f>I62-VLOOKUP(B$2,H1:J211,2,FALSE)</f>
        <v>-4.9408884452346058</v>
      </c>
    </row>
    <row r="63" spans="1:10" ht="21.25" customHeight="1" x14ac:dyDescent="0.15">
      <c r="A63" s="8" t="s">
        <v>328</v>
      </c>
      <c r="B63" s="57" t="str">
        <f>VLOOKUP(A63,'The List'!B1:D727,3,FALSE)</f>
        <v>C</v>
      </c>
      <c r="C63" s="58">
        <f>IF(Settings!$E$15="POINTS",RANK(E63,E3:E211),H63)</f>
        <v>57</v>
      </c>
      <c r="D63" s="35" t="str">
        <f>VLOOKUP(A63,'The List'!B1:F727,5,FALSE)</f>
        <v>BUF</v>
      </c>
      <c r="E63" s="39">
        <f>VLOOKUP(A63,'The List'!B1:I727,8,FALSE)</f>
        <v>277.464919479868</v>
      </c>
      <c r="F63" s="39">
        <f>IF(Settings!$E$15="POINTS",E63-VLOOKUP(B$2,C1:E211,3,FALSE),J63)</f>
        <v>-115.86388628634165</v>
      </c>
      <c r="G63" s="39"/>
      <c r="H63" s="138">
        <f>RANK(I63,I3:I211)</f>
        <v>73</v>
      </c>
      <c r="I63" s="139">
        <f>VLOOKUP(A63,'Standard Deviations'!A1:C728,3,FALSE)</f>
        <v>0.90831439068631548</v>
      </c>
      <c r="J63" s="139">
        <f>I63-VLOOKUP(B$2,H1:J211,2,FALSE)</f>
        <v>-5.6659505000968906</v>
      </c>
    </row>
    <row r="64" spans="1:10" ht="21.25" customHeight="1" x14ac:dyDescent="0.15">
      <c r="A64" s="8" t="s">
        <v>336</v>
      </c>
      <c r="B64" s="57" t="str">
        <f>VLOOKUP(A64,'The List'!B1:D727,3,FALSE)</f>
        <v>C</v>
      </c>
      <c r="C64" s="58">
        <f>IF(Settings!$E$15="POINTS",RANK(E64,E3:E211),H64)</f>
        <v>59</v>
      </c>
      <c r="D64" s="35" t="str">
        <f>VLOOKUP(A64,'The List'!B1:F727,5,FALSE)</f>
        <v>CAR</v>
      </c>
      <c r="E64" s="39">
        <f>VLOOKUP(A64,'The List'!B1:I727,8,FALSE)</f>
        <v>275.04655633754817</v>
      </c>
      <c r="F64" s="39">
        <f>IF(Settings!$E$15="POINTS",E64-VLOOKUP(B$2,C1:E211,3,FALSE),J64)</f>
        <v>-118.28224942866149</v>
      </c>
      <c r="G64" s="39"/>
      <c r="H64" s="138">
        <f>RANK(I64,I3:I211)</f>
        <v>44</v>
      </c>
      <c r="I64" s="139">
        <f>VLOOKUP(A64,'Standard Deviations'!A1:C728,3,FALSE)</f>
        <v>3.883577876930532</v>
      </c>
      <c r="J64" s="139">
        <f>I64-VLOOKUP(B$2,H1:J211,2,FALSE)</f>
        <v>-2.6906870138526737</v>
      </c>
    </row>
    <row r="65" spans="1:10" ht="21.25" customHeight="1" x14ac:dyDescent="0.15">
      <c r="A65" s="8" t="s">
        <v>361</v>
      </c>
      <c r="B65" s="57" t="str">
        <f>VLOOKUP(A65,'The List'!B1:D727,3,FALSE)</f>
        <v>C</v>
      </c>
      <c r="C65" s="58">
        <f>IF(Settings!$E$15="POINTS",RANK(E65,E3:E211),H65)</f>
        <v>63</v>
      </c>
      <c r="D65" s="35" t="str">
        <f>VLOOKUP(A65,'The List'!B1:F727,5,FALSE)</f>
        <v>CBJ</v>
      </c>
      <c r="E65" s="39">
        <f>VLOOKUP(A65,'The List'!B1:I727,8,FALSE)</f>
        <v>262.80243065219219</v>
      </c>
      <c r="F65" s="39">
        <f>IF(Settings!$E$15="POINTS",E65-VLOOKUP(B$2,C1:E211,3,FALSE),J65)</f>
        <v>-130.52637511401747</v>
      </c>
      <c r="G65" s="39"/>
      <c r="H65" s="138">
        <f>RANK(I65,I3:I211)</f>
        <v>77</v>
      </c>
      <c r="I65" s="139">
        <f>VLOOKUP(A65,'Standard Deviations'!A1:C728,3,FALSE)</f>
        <v>0.69708209167312729</v>
      </c>
      <c r="J65" s="139">
        <f>I65-VLOOKUP(B$2,H1:J211,2,FALSE)</f>
        <v>-5.8771827991100789</v>
      </c>
    </row>
    <row r="66" spans="1:10" ht="21.25" customHeight="1" x14ac:dyDescent="0.15">
      <c r="A66" s="8" t="s">
        <v>372</v>
      </c>
      <c r="B66" s="57" t="str">
        <f>VLOOKUP(A66,'The List'!B1:D727,3,FALSE)</f>
        <v>C</v>
      </c>
      <c r="C66" s="58">
        <f>IF(Settings!$E$15="POINTS",RANK(E66,E3:E211),H66)</f>
        <v>66</v>
      </c>
      <c r="D66" s="35" t="str">
        <f>VLOOKUP(A66,'The List'!B1:F727,5,FALSE)</f>
        <v>ANA</v>
      </c>
      <c r="E66" s="39">
        <f>VLOOKUP(A66,'The List'!B1:I727,8,FALSE)</f>
        <v>256.3913603262269</v>
      </c>
      <c r="F66" s="39">
        <f>IF(Settings!$E$15="POINTS",E66-VLOOKUP(B$2,C1:E211,3,FALSE),J66)</f>
        <v>-136.93744543998275</v>
      </c>
      <c r="G66" s="39"/>
      <c r="H66" s="138">
        <f>RANK(I66,I3:I211)</f>
        <v>81</v>
      </c>
      <c r="I66" s="139">
        <f>VLOOKUP(A66,'Standard Deviations'!A1:C728,3,FALSE)</f>
        <v>0.37010160934291214</v>
      </c>
      <c r="J66" s="139">
        <f>I66-VLOOKUP(B$2,H1:J211,2,FALSE)</f>
        <v>-6.2041632814402936</v>
      </c>
    </row>
    <row r="67" spans="1:10" ht="21.25" customHeight="1" x14ac:dyDescent="0.15">
      <c r="A67" s="8" t="s">
        <v>379</v>
      </c>
      <c r="B67" s="57" t="str">
        <f>VLOOKUP(A67,'The List'!B1:D727,3,FALSE)</f>
        <v>C</v>
      </c>
      <c r="C67" s="58">
        <f>IF(Settings!$E$15="POINTS",RANK(E67,E3:E211),H67)</f>
        <v>69</v>
      </c>
      <c r="D67" s="35" t="str">
        <f>VLOOKUP(A67,'The List'!B1:F727,5,FALSE)</f>
        <v>PHI</v>
      </c>
      <c r="E67" s="39">
        <f>VLOOKUP(A67,'The List'!B1:I727,8,FALSE)</f>
        <v>253.99470579268629</v>
      </c>
      <c r="F67" s="39">
        <f>IF(Settings!$E$15="POINTS",E67-VLOOKUP(B$2,C1:E211,3,FALSE),J67)</f>
        <v>-139.33409997352337</v>
      </c>
      <c r="G67" s="39"/>
      <c r="H67" s="138">
        <f>RANK(I67,I3:I211)</f>
        <v>85</v>
      </c>
      <c r="I67" s="139">
        <f>VLOOKUP(A67,'Standard Deviations'!A1:C728,3,FALSE)</f>
        <v>0.1994399164516607</v>
      </c>
      <c r="J67" s="139">
        <f>I67-VLOOKUP(B$2,H1:J211,2,FALSE)</f>
        <v>-6.3748249743315455</v>
      </c>
    </row>
    <row r="68" spans="1:10" ht="21.25" customHeight="1" x14ac:dyDescent="0.15">
      <c r="A68" s="8" t="s">
        <v>363</v>
      </c>
      <c r="B68" s="57" t="str">
        <f>VLOOKUP(A68,'The List'!B1:D727,3,FALSE)</f>
        <v>C</v>
      </c>
      <c r="C68" s="58">
        <f>IF(Settings!$E$15="POINTS",RANK(E68,E3:E211),H68)</f>
        <v>64</v>
      </c>
      <c r="D68" s="35" t="str">
        <f>VLOOKUP(A68,'The List'!B1:F727,5,FALSE)</f>
        <v>DAL</v>
      </c>
      <c r="E68" s="39">
        <f>VLOOKUP(A68,'The List'!B1:I727,8,FALSE)</f>
        <v>261.45214284262335</v>
      </c>
      <c r="F68" s="39">
        <f>IF(Settings!$E$15="POINTS",E68-VLOOKUP(B$2,C1:E211,3,FALSE),J68)</f>
        <v>-131.87666292358631</v>
      </c>
      <c r="G68" s="39"/>
      <c r="H68" s="138">
        <f>RANK(I68,I3:I211)</f>
        <v>52</v>
      </c>
      <c r="I68" s="139">
        <f>VLOOKUP(A68,'Standard Deviations'!A1:C728,3,FALSE)</f>
        <v>2.7865435468770992</v>
      </c>
      <c r="J68" s="139">
        <f>I68-VLOOKUP(B$2,H1:J211,2,FALSE)</f>
        <v>-3.7877213439061066</v>
      </c>
    </row>
    <row r="69" spans="1:10" ht="21.25" customHeight="1" x14ac:dyDescent="0.15">
      <c r="A69" s="8" t="s">
        <v>364</v>
      </c>
      <c r="B69" s="57" t="str">
        <f>VLOOKUP(A69,'The List'!B1:D727,3,FALSE)</f>
        <v>C</v>
      </c>
      <c r="C69" s="58">
        <f>IF(Settings!$E$15="POINTS",RANK(E69,E3:E211),H69)</f>
        <v>65</v>
      </c>
      <c r="D69" s="35" t="str">
        <f>VLOOKUP(A69,'The List'!B1:F727,5,FALSE)</f>
        <v>CBJ</v>
      </c>
      <c r="E69" s="39">
        <f>VLOOKUP(A69,'The List'!B1:I727,8,FALSE)</f>
        <v>260.90760995895317</v>
      </c>
      <c r="F69" s="39">
        <f>IF(Settings!$E$15="POINTS",E69-VLOOKUP(B$2,C1:E211,3,FALSE),J69)</f>
        <v>-132.42119580725648</v>
      </c>
      <c r="G69" s="39"/>
      <c r="H69" s="138">
        <f>RANK(I69,I3:I211)</f>
        <v>93</v>
      </c>
      <c r="I69" s="139">
        <f>VLOOKUP(A69,'Standard Deviations'!A1:C728,3,FALSE)</f>
        <v>-6.963176079842559E-2</v>
      </c>
      <c r="J69" s="139">
        <f>I69-VLOOKUP(B$2,H1:J211,2,FALSE)</f>
        <v>-6.6438966515816311</v>
      </c>
    </row>
    <row r="70" spans="1:10" ht="21.25" customHeight="1" x14ac:dyDescent="0.15">
      <c r="A70" s="8" t="s">
        <v>378</v>
      </c>
      <c r="B70" s="57" t="str">
        <f>VLOOKUP(A70,'The List'!B1:D727,3,FALSE)</f>
        <v>C</v>
      </c>
      <c r="C70" s="58">
        <f>IF(Settings!$E$15="POINTS",RANK(E70,E3:E211),H70)</f>
        <v>68</v>
      </c>
      <c r="D70" s="35" t="str">
        <f>VLOOKUP(A70,'The List'!B1:F727,5,FALSE)</f>
        <v>VGK</v>
      </c>
      <c r="E70" s="39">
        <f>VLOOKUP(A70,'The List'!B1:I727,8,FALSE)</f>
        <v>254.33919820763199</v>
      </c>
      <c r="F70" s="39">
        <f>IF(Settings!$E$15="POINTS",E70-VLOOKUP(B$2,C1:E211,3,FALSE),J70)</f>
        <v>-138.98960755857766</v>
      </c>
      <c r="G70" s="39"/>
      <c r="H70" s="138">
        <f>RANK(I70,I3:I211)</f>
        <v>55</v>
      </c>
      <c r="I70" s="139">
        <f>VLOOKUP(A70,'Standard Deviations'!A1:C728,3,FALSE)</f>
        <v>2.463721791205205</v>
      </c>
      <c r="J70" s="139">
        <f>I70-VLOOKUP(B$2,H1:J211,2,FALSE)</f>
        <v>-4.1105430995780008</v>
      </c>
    </row>
    <row r="71" spans="1:10" ht="21.25" customHeight="1" x14ac:dyDescent="0.15">
      <c r="A71" s="8" t="s">
        <v>383</v>
      </c>
      <c r="B71" s="57" t="str">
        <f>VLOOKUP(A71,'The List'!B1:D727,3,FALSE)</f>
        <v>C</v>
      </c>
      <c r="C71" s="58">
        <f>IF(Settings!$E$15="POINTS",RANK(E71,E3:E211),H71)</f>
        <v>70</v>
      </c>
      <c r="D71" s="35" t="str">
        <f>VLOOKUP(A71,'The List'!B1:F727,5,FALSE)</f>
        <v>NSH</v>
      </c>
      <c r="E71" s="39">
        <f>VLOOKUP(A71,'The List'!B1:I727,8,FALSE)</f>
        <v>248.82831213527587</v>
      </c>
      <c r="F71" s="39">
        <f>IF(Settings!$E$15="POINTS",E71-VLOOKUP(B$2,C1:E211,3,FALSE),J71)</f>
        <v>-144.50049363093379</v>
      </c>
      <c r="G71" s="39"/>
      <c r="H71" s="138">
        <f>RANK(I71,I3:I211)</f>
        <v>76</v>
      </c>
      <c r="I71" s="139">
        <f>VLOOKUP(A71,'Standard Deviations'!A1:C728,3,FALSE)</f>
        <v>0.73956591754264844</v>
      </c>
      <c r="J71" s="139">
        <f>I71-VLOOKUP(B$2,H1:J211,2,FALSE)</f>
        <v>-5.834698973240557</v>
      </c>
    </row>
    <row r="72" spans="1:10" ht="21.25" customHeight="1" x14ac:dyDescent="0.15">
      <c r="A72" s="8" t="s">
        <v>393</v>
      </c>
      <c r="B72" s="57" t="str">
        <f>VLOOKUP(A72,'The List'!B1:D727,3,FALSE)</f>
        <v>C</v>
      </c>
      <c r="C72" s="58">
        <f>IF(Settings!$E$15="POINTS",RANK(E72,E3:E211),H72)</f>
        <v>74</v>
      </c>
      <c r="D72" s="35" t="str">
        <f>VLOOKUP(A72,'The List'!B1:F727,5,FALSE)</f>
        <v>WSH</v>
      </c>
      <c r="E72" s="39">
        <f>VLOOKUP(A72,'The List'!B1:I727,8,FALSE)</f>
        <v>244.41287298071077</v>
      </c>
      <c r="F72" s="39">
        <f>IF(Settings!$E$15="POINTS",E72-VLOOKUP(B$2,C1:E211,3,FALSE),J72)</f>
        <v>-148.91593278549888</v>
      </c>
      <c r="G72" s="39"/>
      <c r="H72" s="138">
        <f>RANK(I72,I3:I211)</f>
        <v>78</v>
      </c>
      <c r="I72" s="139">
        <f>VLOOKUP(A72,'Standard Deviations'!A1:C728,3,FALSE)</f>
        <v>0.58940897809363935</v>
      </c>
      <c r="J72" s="139">
        <f>I72-VLOOKUP(B$2,H1:J211,2,FALSE)</f>
        <v>-5.9848559126895662</v>
      </c>
    </row>
    <row r="73" spans="1:10" ht="21.25" customHeight="1" x14ac:dyDescent="0.15">
      <c r="A73" s="8" t="s">
        <v>375</v>
      </c>
      <c r="B73" s="57" t="str">
        <f>VLOOKUP(A73,'The List'!B1:D727,3,FALSE)</f>
        <v>C</v>
      </c>
      <c r="C73" s="58">
        <f>IF(Settings!$E$15="POINTS",RANK(E73,E3:E211),H73)</f>
        <v>67</v>
      </c>
      <c r="D73" s="35" t="str">
        <f>VLOOKUP(A73,'The List'!B1:F727,5,FALSE)</f>
        <v>MTL</v>
      </c>
      <c r="E73" s="39">
        <f>VLOOKUP(A73,'The List'!B1:I727,8,FALSE)</f>
        <v>255.61706143361724</v>
      </c>
      <c r="F73" s="39">
        <f>IF(Settings!$E$15="POINTS",E73-VLOOKUP(B$2,C1:E211,3,FALSE),J73)</f>
        <v>-137.71174433259242</v>
      </c>
      <c r="G73" s="39"/>
      <c r="H73" s="138">
        <f>RANK(I73,I3:I211)</f>
        <v>88</v>
      </c>
      <c r="I73" s="139">
        <f>VLOOKUP(A73,'Standard Deviations'!A1:C728,3,FALSE)</f>
        <v>0.13246424306784732</v>
      </c>
      <c r="J73" s="139">
        <f>I73-VLOOKUP(B$2,H1:J211,2,FALSE)</f>
        <v>-6.4418006477153584</v>
      </c>
    </row>
    <row r="74" spans="1:10" ht="21.25" customHeight="1" x14ac:dyDescent="0.15">
      <c r="A74" s="8" t="s">
        <v>395</v>
      </c>
      <c r="B74" s="57" t="str">
        <f>VLOOKUP(A74,'The List'!B1:D727,3,FALSE)</f>
        <v>C</v>
      </c>
      <c r="C74" s="58">
        <f>IF(Settings!$E$15="POINTS",RANK(E74,E3:E211),H74)</f>
        <v>75</v>
      </c>
      <c r="D74" s="35" t="str">
        <f>VLOOKUP(A74,'The List'!B1:F727,5,FALSE)</f>
        <v>ARI</v>
      </c>
      <c r="E74" s="39">
        <f>VLOOKUP(A74,'The List'!B1:I727,8,FALSE)</f>
        <v>243.44090235014107</v>
      </c>
      <c r="F74" s="39">
        <f>IF(Settings!$E$15="POINTS",E74-VLOOKUP(B$2,C1:E211,3,FALSE),J74)</f>
        <v>-149.88790341606858</v>
      </c>
      <c r="G74" s="39"/>
      <c r="H74" s="138">
        <f>RANK(I74,I3:I211)</f>
        <v>84</v>
      </c>
      <c r="I74" s="139">
        <f>VLOOKUP(A74,'Standard Deviations'!A1:C728,3,FALSE)</f>
        <v>0.2443496912601022</v>
      </c>
      <c r="J74" s="139">
        <f>I74-VLOOKUP(B$2,H1:J211,2,FALSE)</f>
        <v>-6.3299151995231036</v>
      </c>
    </row>
    <row r="75" spans="1:10" ht="21.25" customHeight="1" x14ac:dyDescent="0.15">
      <c r="A75" s="8" t="s">
        <v>391</v>
      </c>
      <c r="B75" s="57" t="str">
        <f>VLOOKUP(A75,'The List'!B1:D727,3,FALSE)</f>
        <v>C</v>
      </c>
      <c r="C75" s="58">
        <f>IF(Settings!$E$15="POINTS",RANK(E75,E3:E211),H75)</f>
        <v>73</v>
      </c>
      <c r="D75" s="35" t="str">
        <f>VLOOKUP(A75,'The List'!B1:F727,5,FALSE)</f>
        <v>DAL</v>
      </c>
      <c r="E75" s="39">
        <f>VLOOKUP(A75,'The List'!B1:I727,8,FALSE)</f>
        <v>245.03212184167259</v>
      </c>
      <c r="F75" s="39">
        <f>IF(Settings!$E$15="POINTS",E75-VLOOKUP(B$2,C1:E211,3,FALSE),J75)</f>
        <v>-148.29668392453706</v>
      </c>
      <c r="G75" s="39"/>
      <c r="H75" s="138">
        <f>RANK(I75,I3:I211)</f>
        <v>66</v>
      </c>
      <c r="I75" s="139">
        <f>VLOOKUP(A75,'Standard Deviations'!A1:C728,3,FALSE)</f>
        <v>1.4955870804424056</v>
      </c>
      <c r="J75" s="139">
        <f>I75-VLOOKUP(B$2,H1:J211,2,FALSE)</f>
        <v>-5.0786778103407997</v>
      </c>
    </row>
    <row r="76" spans="1:10" ht="21.25" customHeight="1" x14ac:dyDescent="0.15">
      <c r="A76" s="8" t="s">
        <v>390</v>
      </c>
      <c r="B76" s="57" t="str">
        <f>VLOOKUP(A76,'The List'!B1:D727,3,FALSE)</f>
        <v>C</v>
      </c>
      <c r="C76" s="58">
        <f>IF(Settings!$E$15="POINTS",RANK(E76,E3:E211),H76)</f>
        <v>72</v>
      </c>
      <c r="D76" s="35" t="str">
        <f>VLOOKUP(A76,'The List'!B1:F727,5,FALSE)</f>
        <v>FLA</v>
      </c>
      <c r="E76" s="39">
        <f>VLOOKUP(A76,'The List'!B1:I727,8,FALSE)</f>
        <v>245.37592554833034</v>
      </c>
      <c r="F76" s="39">
        <f>IF(Settings!$E$15="POINTS",E76-VLOOKUP(B$2,C1:E211,3,FALSE),J76)</f>
        <v>-147.95288021787931</v>
      </c>
      <c r="G76" s="39"/>
      <c r="H76" s="138">
        <f>RANK(I76,I3:I211)</f>
        <v>60</v>
      </c>
      <c r="I76" s="139">
        <f>VLOOKUP(A76,'Standard Deviations'!A1:C728,3,FALSE)</f>
        <v>1.8326367075128531</v>
      </c>
      <c r="J76" s="139">
        <f>I76-VLOOKUP(B$2,H1:J211,2,FALSE)</f>
        <v>-4.7416281832703522</v>
      </c>
    </row>
    <row r="77" spans="1:10" ht="21.25" customHeight="1" x14ac:dyDescent="0.15">
      <c r="A77" s="8" t="s">
        <v>405</v>
      </c>
      <c r="B77" s="57" t="str">
        <f>VLOOKUP(A77,'The List'!B1:D727,3,FALSE)</f>
        <v>C</v>
      </c>
      <c r="C77" s="58">
        <f>IF(Settings!$E$15="POINTS",RANK(E77,E3:E211),H77)</f>
        <v>77</v>
      </c>
      <c r="D77" s="35" t="str">
        <f>VLOOKUP(A77,'The List'!B1:F727,5,FALSE)</f>
        <v>ANA</v>
      </c>
      <c r="E77" s="39">
        <f>VLOOKUP(A77,'The List'!B1:I727,8,FALSE)</f>
        <v>239.21970989118435</v>
      </c>
      <c r="F77" s="39">
        <f>IF(Settings!$E$15="POINTS",E77-VLOOKUP(B$2,C1:E211,3,FALSE),J77)</f>
        <v>-154.1090958750253</v>
      </c>
      <c r="G77" s="39"/>
      <c r="H77" s="138">
        <f>RANK(I77,I3:I211)</f>
        <v>112</v>
      </c>
      <c r="I77" s="139">
        <f>VLOOKUP(A77,'Standard Deviations'!A1:C728,3,FALSE)</f>
        <v>-1.2948187911890867</v>
      </c>
      <c r="J77" s="139">
        <f>I77-VLOOKUP(B$2,H1:J211,2,FALSE)</f>
        <v>-7.8690836819722927</v>
      </c>
    </row>
    <row r="78" spans="1:10" ht="21.25" customHeight="1" x14ac:dyDescent="0.15">
      <c r="A78" s="8" t="s">
        <v>409</v>
      </c>
      <c r="B78" s="57" t="str">
        <f>VLOOKUP(A78,'The List'!B1:D727,3,FALSE)</f>
        <v>C</v>
      </c>
      <c r="C78" s="58">
        <f>IF(Settings!$E$15="POINTS",RANK(E78,E3:E211),H78)</f>
        <v>79</v>
      </c>
      <c r="D78" s="35" t="str">
        <f>VLOOKUP(A78,'The List'!B1:F727,5,FALSE)</f>
        <v>STL</v>
      </c>
      <c r="E78" s="39">
        <f>VLOOKUP(A78,'The List'!B1:I727,8,FALSE)</f>
        <v>237.82741049660606</v>
      </c>
      <c r="F78" s="39">
        <f>IF(Settings!$E$15="POINTS",E78-VLOOKUP(B$2,C1:E211,3,FALSE),J78)</f>
        <v>-155.50139526960359</v>
      </c>
      <c r="G78" s="39"/>
      <c r="H78" s="138">
        <f>RANK(I78,I3:I211)</f>
        <v>98</v>
      </c>
      <c r="I78" s="139">
        <f>VLOOKUP(A78,'Standard Deviations'!A1:C728,3,FALSE)</f>
        <v>-0.64679981798336184</v>
      </c>
      <c r="J78" s="139">
        <f>I78-VLOOKUP(B$2,H1:J211,2,FALSE)</f>
        <v>-7.2210647087665674</v>
      </c>
    </row>
    <row r="79" spans="1:10" ht="21.25" customHeight="1" x14ac:dyDescent="0.15">
      <c r="A79" s="8" t="s">
        <v>412</v>
      </c>
      <c r="B79" s="57" t="str">
        <f>VLOOKUP(A79,'The List'!B1:D727,3,FALSE)</f>
        <v>C</v>
      </c>
      <c r="C79" s="58">
        <f>IF(Settings!$E$15="POINTS",RANK(E79,E3:E211),H79)</f>
        <v>80</v>
      </c>
      <c r="D79" s="35" t="str">
        <f>VLOOKUP(A79,'The List'!B1:F727,5,FALSE)</f>
        <v>WPG</v>
      </c>
      <c r="E79" s="39">
        <f>VLOOKUP(A79,'The List'!B1:I727,8,FALSE)</f>
        <v>236.79843533421618</v>
      </c>
      <c r="F79" s="39">
        <f>IF(Settings!$E$15="POINTS",E79-VLOOKUP(B$2,C1:E211,3,FALSE),J79)</f>
        <v>-156.53037043199348</v>
      </c>
      <c r="G79" s="39"/>
      <c r="H79" s="138">
        <f>RANK(I79,I3:I211)</f>
        <v>68</v>
      </c>
      <c r="I79" s="139">
        <f>VLOOKUP(A79,'Standard Deviations'!A1:C728,3,FALSE)</f>
        <v>1.4027573376563585</v>
      </c>
      <c r="J79" s="139">
        <f>I79-VLOOKUP(B$2,H1:J211,2,FALSE)</f>
        <v>-5.1715075531268475</v>
      </c>
    </row>
    <row r="80" spans="1:10" ht="21.25" customHeight="1" x14ac:dyDescent="0.15">
      <c r="A80" s="8" t="s">
        <v>384</v>
      </c>
      <c r="B80" s="57" t="str">
        <f>VLOOKUP(A80,'The List'!B1:D727,3,FALSE)</f>
        <v>C</v>
      </c>
      <c r="C80" s="58">
        <f>IF(Settings!$E$15="POINTS",RANK(E80,E3:E211),H80)</f>
        <v>71</v>
      </c>
      <c r="D80" s="35" t="str">
        <f>VLOOKUP(A80,'The List'!B1:F727,5,FALSE)</f>
        <v>VGK</v>
      </c>
      <c r="E80" s="39">
        <f>VLOOKUP(A80,'The List'!B1:I727,8,FALSE)</f>
        <v>247.66637071976439</v>
      </c>
      <c r="F80" s="39">
        <f>IF(Settings!$E$15="POINTS",E80-VLOOKUP(B$2,C1:E211,3,FALSE),J80)</f>
        <v>-145.66243504644527</v>
      </c>
      <c r="G80" s="39"/>
      <c r="H80" s="138">
        <f>RANK(I80,I3:I211)</f>
        <v>61</v>
      </c>
      <c r="I80" s="139">
        <f>VLOOKUP(A80,'Standard Deviations'!A1:C728,3,FALSE)</f>
        <v>1.756525728376273</v>
      </c>
      <c r="J80" s="139">
        <f>I80-VLOOKUP(B$2,H1:J211,2,FALSE)</f>
        <v>-4.8177391624069328</v>
      </c>
    </row>
    <row r="81" spans="1:10" ht="21.25" customHeight="1" x14ac:dyDescent="0.15">
      <c r="A81" s="8" t="s">
        <v>407</v>
      </c>
      <c r="B81" s="57" t="str">
        <f>VLOOKUP(A81,'The List'!B1:D727,3,FALSE)</f>
        <v>C</v>
      </c>
      <c r="C81" s="58">
        <f>IF(Settings!$E$15="POINTS",RANK(E81,E3:E211),H81)</f>
        <v>78</v>
      </c>
      <c r="D81" s="35" t="str">
        <f>VLOOKUP(A81,'The List'!B1:F727,5,FALSE)</f>
        <v>BOS</v>
      </c>
      <c r="E81" s="39">
        <f>VLOOKUP(A81,'The List'!B1:I727,8,FALSE)</f>
        <v>239.10143637824899</v>
      </c>
      <c r="F81" s="39">
        <f>IF(Settings!$E$15="POINTS",E81-VLOOKUP(B$2,C1:E211,3,FALSE),J81)</f>
        <v>-154.22736938796066</v>
      </c>
      <c r="G81" s="39"/>
      <c r="H81" s="138">
        <f>RANK(I81,I3:I211)</f>
        <v>67</v>
      </c>
      <c r="I81" s="139">
        <f>VLOOKUP(A81,'Standard Deviations'!A1:C728,3,FALSE)</f>
        <v>1.4626972329201293</v>
      </c>
      <c r="J81" s="139">
        <f>I81-VLOOKUP(B$2,H1:J211,2,FALSE)</f>
        <v>-5.1115676578630769</v>
      </c>
    </row>
    <row r="82" spans="1:10" ht="21.25" customHeight="1" x14ac:dyDescent="0.15">
      <c r="A82" s="8" t="s">
        <v>402</v>
      </c>
      <c r="B82" s="57" t="str">
        <f>VLOOKUP(A82,'The List'!B1:D727,3,FALSE)</f>
        <v>C</v>
      </c>
      <c r="C82" s="58">
        <f>IF(Settings!$E$15="POINTS",RANK(E82,E3:E211),H82)</f>
        <v>76</v>
      </c>
      <c r="D82" s="35" t="str">
        <f>VLOOKUP(A82,'The List'!B1:F727,5,FALSE)</f>
        <v>PHI</v>
      </c>
      <c r="E82" s="39">
        <f>VLOOKUP(A82,'The List'!B1:I727,8,FALSE)</f>
        <v>239.67744807680134</v>
      </c>
      <c r="F82" s="39">
        <f>IF(Settings!$E$15="POINTS",E82-VLOOKUP(B$2,C1:E211,3,FALSE),J82)</f>
        <v>-153.65135768940831</v>
      </c>
      <c r="G82" s="39"/>
      <c r="H82" s="138">
        <f>RANK(I82,I3:I211)</f>
        <v>100</v>
      </c>
      <c r="I82" s="139">
        <f>VLOOKUP(A82,'Standard Deviations'!A1:C728,3,FALSE)</f>
        <v>-0.733150344292538</v>
      </c>
      <c r="J82" s="139">
        <f>I82-VLOOKUP(B$2,H1:J211,2,FALSE)</f>
        <v>-7.3074152350757435</v>
      </c>
    </row>
    <row r="83" spans="1:10" ht="21.25" customHeight="1" x14ac:dyDescent="0.15">
      <c r="A83" s="8" t="s">
        <v>431</v>
      </c>
      <c r="B83" s="57" t="str">
        <f>VLOOKUP(A83,'The List'!B1:D727,3,FALSE)</f>
        <v>C</v>
      </c>
      <c r="C83" s="58">
        <f>IF(Settings!$E$15="POINTS",RANK(E83,E3:E211),H83)</f>
        <v>83</v>
      </c>
      <c r="D83" s="35" t="str">
        <f>VLOOKUP(A83,'The List'!B1:F727,5,FALSE)</f>
        <v>NYR</v>
      </c>
      <c r="E83" s="39">
        <f>VLOOKUP(A83,'The List'!B1:I727,8,FALSE)</f>
        <v>230.17002993868331</v>
      </c>
      <c r="F83" s="39">
        <f>IF(Settings!$E$15="POINTS",E83-VLOOKUP(B$2,C1:E211,3,FALSE),J83)</f>
        <v>-163.15877582752634</v>
      </c>
      <c r="G83" s="39"/>
      <c r="H83" s="138">
        <f>RANK(I83,I3:I211)</f>
        <v>65</v>
      </c>
      <c r="I83" s="139">
        <f>VLOOKUP(A83,'Standard Deviations'!A1:C728,3,FALSE)</f>
        <v>1.5163141947002816</v>
      </c>
      <c r="J83" s="139">
        <f>I83-VLOOKUP(B$2,H1:J211,2,FALSE)</f>
        <v>-5.0579506960829246</v>
      </c>
    </row>
    <row r="84" spans="1:10" ht="21.25" customHeight="1" x14ac:dyDescent="0.15">
      <c r="A84" s="8" t="s">
        <v>418</v>
      </c>
      <c r="B84" s="57" t="str">
        <f>VLOOKUP(A84,'The List'!B1:D727,3,FALSE)</f>
        <v>C</v>
      </c>
      <c r="C84" s="58">
        <f>IF(Settings!$E$15="POINTS",RANK(E84,E3:E211),H84)</f>
        <v>81</v>
      </c>
      <c r="D84" s="35" t="str">
        <f>VLOOKUP(A84,'The List'!B1:F727,5,FALSE)</f>
        <v>NSH</v>
      </c>
      <c r="E84" s="39">
        <f>VLOOKUP(A84,'The List'!B1:I727,8,FALSE)</f>
        <v>234.89158609710728</v>
      </c>
      <c r="F84" s="39">
        <f>IF(Settings!$E$15="POINTS",E84-VLOOKUP(B$2,C1:E211,3,FALSE),J84)</f>
        <v>-158.43721966910238</v>
      </c>
      <c r="G84" s="39"/>
      <c r="H84" s="138">
        <f>RANK(I84,I3:I211)</f>
        <v>74</v>
      </c>
      <c r="I84" s="139">
        <f>VLOOKUP(A84,'Standard Deviations'!A1:C728,3,FALSE)</f>
        <v>0.90271653258086593</v>
      </c>
      <c r="J84" s="139">
        <f>I84-VLOOKUP(B$2,H1:J211,2,FALSE)</f>
        <v>-5.6715483582023403</v>
      </c>
    </row>
    <row r="85" spans="1:10" ht="21.25" customHeight="1" x14ac:dyDescent="0.15">
      <c r="A85" s="8" t="s">
        <v>440</v>
      </c>
      <c r="B85" s="57" t="str">
        <f>VLOOKUP(A85,'The List'!B1:D727,3,FALSE)</f>
        <v>C</v>
      </c>
      <c r="C85" s="58">
        <f>IF(Settings!$E$15="POINTS",RANK(E85,E3:E211),H85)</f>
        <v>85</v>
      </c>
      <c r="D85" s="35" t="str">
        <f>VLOOKUP(A85,'The List'!B1:F727,5,FALSE)</f>
        <v>CAR</v>
      </c>
      <c r="E85" s="39">
        <f>VLOOKUP(A85,'The List'!B1:I727,8,FALSE)</f>
        <v>225.65235905908733</v>
      </c>
      <c r="F85" s="39">
        <f>IF(Settings!$E$15="POINTS",E85-VLOOKUP(B$2,C1:E211,3,FALSE),J85)</f>
        <v>-167.67644670712232</v>
      </c>
      <c r="G85" s="39"/>
      <c r="H85" s="138">
        <f>RANK(I85,I3:I211)</f>
        <v>62</v>
      </c>
      <c r="I85" s="139">
        <f>VLOOKUP(A85,'Standard Deviations'!A1:C728,3,FALSE)</f>
        <v>1.7133740063703073</v>
      </c>
      <c r="J85" s="139">
        <f>I85-VLOOKUP(B$2,H1:J211,2,FALSE)</f>
        <v>-4.860890884412898</v>
      </c>
    </row>
    <row r="86" spans="1:10" ht="21.25" customHeight="1" x14ac:dyDescent="0.15">
      <c r="A86" s="8" t="s">
        <v>435</v>
      </c>
      <c r="B86" s="57" t="str">
        <f>VLOOKUP(A86,'The List'!B1:D727,3,FALSE)</f>
        <v>C</v>
      </c>
      <c r="C86" s="58">
        <f>IF(Settings!$E$15="POINTS",RANK(E86,E3:E211),H86)</f>
        <v>84</v>
      </c>
      <c r="D86" s="35" t="str">
        <f>VLOOKUP(A86,'The List'!B1:F727,5,FALSE)</f>
        <v>CGY</v>
      </c>
      <c r="E86" s="39">
        <f>VLOOKUP(A86,'The List'!B1:I727,8,FALSE)</f>
        <v>228.56262670928945</v>
      </c>
      <c r="F86" s="39">
        <f>IF(Settings!$E$15="POINTS",E86-VLOOKUP(B$2,C1:E211,3,FALSE),J86)</f>
        <v>-164.76617905692021</v>
      </c>
      <c r="G86" s="39"/>
      <c r="H86" s="138">
        <f>RANK(I86,I3:I211)</f>
        <v>90</v>
      </c>
      <c r="I86" s="139">
        <f>VLOOKUP(A86,'Standard Deviations'!A1:C728,3,FALSE)</f>
        <v>4.912832474059943E-2</v>
      </c>
      <c r="J86" s="139">
        <f>I86-VLOOKUP(B$2,H1:J211,2,FALSE)</f>
        <v>-6.5251365660426064</v>
      </c>
    </row>
    <row r="87" spans="1:10" ht="21.25" customHeight="1" x14ac:dyDescent="0.15">
      <c r="A87" s="8" t="s">
        <v>446</v>
      </c>
      <c r="B87" s="57" t="str">
        <f>VLOOKUP(A87,'The List'!B1:D727,3,FALSE)</f>
        <v>C</v>
      </c>
      <c r="C87" s="58">
        <f>IF(Settings!$E$15="POINTS",RANK(E87,E3:E211),H87)</f>
        <v>87</v>
      </c>
      <c r="D87" s="35" t="str">
        <f>VLOOKUP(A87,'The List'!B1:F727,5,FALSE)</f>
        <v>FLA</v>
      </c>
      <c r="E87" s="39">
        <f>VLOOKUP(A87,'The List'!B1:I727,8,FALSE)</f>
        <v>223.85986731154631</v>
      </c>
      <c r="F87" s="39">
        <f>IF(Settings!$E$15="POINTS",E87-VLOOKUP(B$2,C1:E211,3,FALSE),J87)</f>
        <v>-169.46893845466334</v>
      </c>
      <c r="G87" s="39"/>
      <c r="H87" s="138">
        <f>RANK(I87,I3:I211)</f>
        <v>72</v>
      </c>
      <c r="I87" s="139">
        <f>VLOOKUP(A87,'Standard Deviations'!A1:C728,3,FALSE)</f>
        <v>1.0076945974786145</v>
      </c>
      <c r="J87" s="139">
        <f>I87-VLOOKUP(B$2,H1:J211,2,FALSE)</f>
        <v>-5.5665702933045917</v>
      </c>
    </row>
    <row r="88" spans="1:10" ht="21.25" customHeight="1" x14ac:dyDescent="0.15">
      <c r="A88" s="8" t="s">
        <v>456</v>
      </c>
      <c r="B88" s="57" t="str">
        <f>VLOOKUP(A88,'The List'!B1:D727,3,FALSE)</f>
        <v>C</v>
      </c>
      <c r="C88" s="58">
        <f>IF(Settings!$E$15="POINTS",RANK(E88,E3:E211),H88)</f>
        <v>89</v>
      </c>
      <c r="D88" s="35" t="str">
        <f>VLOOKUP(A88,'The List'!B1:F727,5,FALSE)</f>
        <v>TOR</v>
      </c>
      <c r="E88" s="39">
        <f>VLOOKUP(A88,'The List'!B1:I727,8,FALSE)</f>
        <v>220.63192577782368</v>
      </c>
      <c r="F88" s="39">
        <f>IF(Settings!$E$15="POINTS",E88-VLOOKUP(B$2,C1:E211,3,FALSE),J88)</f>
        <v>-172.69687998838597</v>
      </c>
      <c r="G88" s="39"/>
      <c r="H88" s="138">
        <f>RANK(I88,I3:I211)</f>
        <v>80</v>
      </c>
      <c r="I88" s="139">
        <f>VLOOKUP(A88,'Standard Deviations'!A1:C728,3,FALSE)</f>
        <v>0.58251472966546847</v>
      </c>
      <c r="J88" s="139">
        <f>I88-VLOOKUP(B$2,H1:J211,2,FALSE)</f>
        <v>-5.9917501611177375</v>
      </c>
    </row>
    <row r="89" spans="1:10" ht="21.25" customHeight="1" x14ac:dyDescent="0.15">
      <c r="A89" s="8" t="s">
        <v>445</v>
      </c>
      <c r="B89" s="57" t="str">
        <f>VLOOKUP(A89,'The List'!B1:D727,3,FALSE)</f>
        <v>C</v>
      </c>
      <c r="C89" s="58">
        <f>IF(Settings!$E$15="POINTS",RANK(E89,E3:E211),H89)</f>
        <v>86</v>
      </c>
      <c r="D89" s="35" t="str">
        <f>VLOOKUP(A89,'The List'!B1:F727,5,FALSE)</f>
        <v>TBL</v>
      </c>
      <c r="E89" s="39">
        <f>VLOOKUP(A89,'The List'!B1:I727,8,FALSE)</f>
        <v>224.25459542917582</v>
      </c>
      <c r="F89" s="39">
        <f>IF(Settings!$E$15="POINTS",E89-VLOOKUP(B$2,C1:E211,3,FALSE),J89)</f>
        <v>-169.07421033703383</v>
      </c>
      <c r="G89" s="39"/>
      <c r="H89" s="138">
        <f>RANK(I89,I3:I211)</f>
        <v>79</v>
      </c>
      <c r="I89" s="139">
        <f>VLOOKUP(A89,'Standard Deviations'!A1:C728,3,FALSE)</f>
        <v>0.58483443368263888</v>
      </c>
      <c r="J89" s="139">
        <f>I89-VLOOKUP(B$2,H1:J211,2,FALSE)</f>
        <v>-5.9894304571005668</v>
      </c>
    </row>
    <row r="90" spans="1:10" ht="21.25" customHeight="1" x14ac:dyDescent="0.15">
      <c r="A90" s="8" t="s">
        <v>466</v>
      </c>
      <c r="B90" s="57" t="str">
        <f>VLOOKUP(A90,'The List'!B1:D727,3,FALSE)</f>
        <v>C</v>
      </c>
      <c r="C90" s="58">
        <f>IF(Settings!$E$15="POINTS",RANK(E90,E3:E211),H90)</f>
        <v>90</v>
      </c>
      <c r="D90" s="35" t="str">
        <f>VLOOKUP(A90,'The List'!B1:F727,5,FALSE)</f>
        <v>COL</v>
      </c>
      <c r="E90" s="39">
        <f>VLOOKUP(A90,'The List'!B1:I727,8,FALSE)</f>
        <v>217.69358176082179</v>
      </c>
      <c r="F90" s="39">
        <f>IF(Settings!$E$15="POINTS",E90-VLOOKUP(B$2,C1:E211,3,FALSE),J90)</f>
        <v>-175.63522400538787</v>
      </c>
      <c r="G90" s="39"/>
      <c r="H90" s="138">
        <f>RANK(I90,I3:I211)</f>
        <v>75</v>
      </c>
      <c r="I90" s="139">
        <f>VLOOKUP(A90,'Standard Deviations'!A1:C728,3,FALSE)</f>
        <v>0.89121398597470358</v>
      </c>
      <c r="J90" s="139">
        <f>I90-VLOOKUP(B$2,H1:J211,2,FALSE)</f>
        <v>-5.6830509048085025</v>
      </c>
    </row>
    <row r="91" spans="1:10" ht="21.25" customHeight="1" x14ac:dyDescent="0.15">
      <c r="A91" s="8" t="s">
        <v>455</v>
      </c>
      <c r="B91" s="57" t="str">
        <f>VLOOKUP(A91,'The List'!B1:D727,3,FALSE)</f>
        <v>C</v>
      </c>
      <c r="C91" s="58">
        <f>IF(Settings!$E$15="POINTS",RANK(E91,E3:E211),H91)</f>
        <v>88</v>
      </c>
      <c r="D91" s="35" t="str">
        <f>VLOOKUP(A91,'The List'!B1:F727,5,FALSE)</f>
        <v>SEA</v>
      </c>
      <c r="E91" s="39">
        <f>VLOOKUP(A91,'The List'!B1:I727,8,FALSE)</f>
        <v>221.05610289322669</v>
      </c>
      <c r="F91" s="39">
        <f>IF(Settings!$E$15="POINTS",E91-VLOOKUP(B$2,C1:E211,3,FALSE),J91)</f>
        <v>-172.27270287298296</v>
      </c>
      <c r="G91" s="39"/>
      <c r="H91" s="138">
        <f>RANK(I91,I3:I211)</f>
        <v>89</v>
      </c>
      <c r="I91" s="139">
        <f>VLOOKUP(A91,'Standard Deviations'!A1:C728,3,FALSE)</f>
        <v>7.3459821417126314E-2</v>
      </c>
      <c r="J91" s="139">
        <f>I91-VLOOKUP(B$2,H1:J211,2,FALSE)</f>
        <v>-6.5008050693660797</v>
      </c>
    </row>
    <row r="92" spans="1:10" ht="21.25" customHeight="1" x14ac:dyDescent="0.15">
      <c r="A92" s="8" t="s">
        <v>474</v>
      </c>
      <c r="B92" s="57" t="str">
        <f>VLOOKUP(A92,'The List'!B1:D727,3,FALSE)</f>
        <v>C</v>
      </c>
      <c r="C92" s="58">
        <f>IF(Settings!$E$15="POINTS",RANK(E92,E3:E211),H92)</f>
        <v>91</v>
      </c>
      <c r="D92" s="35" t="str">
        <f>VLOOKUP(A92,'The List'!B1:F727,5,FALSE)</f>
        <v>PHI</v>
      </c>
      <c r="E92" s="39">
        <f>VLOOKUP(A92,'The List'!B1:I727,8,FALSE)</f>
        <v>214.55943364223992</v>
      </c>
      <c r="F92" s="39">
        <f>IF(Settings!$E$15="POINTS",E92-VLOOKUP(B$2,C1:E211,3,FALSE),J92)</f>
        <v>-178.76937212396973</v>
      </c>
      <c r="G92" s="39"/>
      <c r="H92" s="138">
        <f>RANK(I92,I3:I211)</f>
        <v>111</v>
      </c>
      <c r="I92" s="139">
        <f>VLOOKUP(A92,'Standard Deviations'!A1:C728,3,FALSE)</f>
        <v>-1.261151389249427</v>
      </c>
      <c r="J92" s="139">
        <f>I92-VLOOKUP(B$2,H1:J211,2,FALSE)</f>
        <v>-7.835416280032633</v>
      </c>
    </row>
    <row r="93" spans="1:10" ht="21.25" customHeight="1" x14ac:dyDescent="0.15">
      <c r="A93" s="8" t="s">
        <v>479</v>
      </c>
      <c r="B93" s="57" t="str">
        <f>VLOOKUP(A93,'The List'!B1:D727,3,FALSE)</f>
        <v>C</v>
      </c>
      <c r="C93" s="58">
        <f>IF(Settings!$E$15="POINTS",RANK(E93,E3:E211),H93)</f>
        <v>92</v>
      </c>
      <c r="D93" s="35" t="str">
        <f>VLOOKUP(A93,'The List'!B1:F727,5,FALSE)</f>
        <v>WSH</v>
      </c>
      <c r="E93" s="39">
        <f>VLOOKUP(A93,'The List'!B1:I727,8,FALSE)</f>
        <v>213.88118582879633</v>
      </c>
      <c r="F93" s="39">
        <f>IF(Settings!$E$15="POINTS",E93-VLOOKUP(B$2,C1:E211,3,FALSE),J93)</f>
        <v>-179.44761993741332</v>
      </c>
      <c r="G93" s="39"/>
      <c r="H93" s="138">
        <f>RANK(I93,I3:I211)</f>
        <v>101</v>
      </c>
      <c r="I93" s="139">
        <f>VLOOKUP(A93,'Standard Deviations'!A1:C728,3,FALSE)</f>
        <v>-0.86881675747788745</v>
      </c>
      <c r="J93" s="139">
        <f>I93-VLOOKUP(B$2,H1:J211,2,FALSE)</f>
        <v>-7.4430816482610931</v>
      </c>
    </row>
    <row r="94" spans="1:10" ht="21.25" customHeight="1" x14ac:dyDescent="0.15">
      <c r="A94" s="8" t="s">
        <v>483</v>
      </c>
      <c r="B94" s="57" t="str">
        <f>VLOOKUP(A94,'The List'!B1:D727,3,FALSE)</f>
        <v>C</v>
      </c>
      <c r="C94" s="58">
        <f>IF(Settings!$E$15="POINTS",RANK(E94,E3:E211),H94)</f>
        <v>93</v>
      </c>
      <c r="D94" s="35" t="str">
        <f>VLOOKUP(A94,'The List'!B1:F727,5,FALSE)</f>
        <v>CHI</v>
      </c>
      <c r="E94" s="39">
        <f>VLOOKUP(A94,'The List'!B1:I727,8,FALSE)</f>
        <v>212.98103571600069</v>
      </c>
      <c r="F94" s="39">
        <f>IF(Settings!$E$15="POINTS",E94-VLOOKUP(B$2,C1:E211,3,FALSE),J94)</f>
        <v>-180.34777005020896</v>
      </c>
      <c r="G94" s="39"/>
      <c r="H94" s="138">
        <f>RANK(I94,I3:I211)</f>
        <v>117</v>
      </c>
      <c r="I94" s="139">
        <f>VLOOKUP(A94,'Standard Deviations'!A1:C728,3,FALSE)</f>
        <v>-1.7253614270256308</v>
      </c>
      <c r="J94" s="139">
        <f>I94-VLOOKUP(B$2,H1:J211,2,FALSE)</f>
        <v>-8.299626317808837</v>
      </c>
    </row>
    <row r="95" spans="1:10" ht="21.25" customHeight="1" x14ac:dyDescent="0.15">
      <c r="A95" s="8" t="s">
        <v>486</v>
      </c>
      <c r="B95" s="57" t="str">
        <f>VLOOKUP(A95,'The List'!B1:D727,3,FALSE)</f>
        <v>C</v>
      </c>
      <c r="C95" s="58">
        <f>IF(Settings!$E$15="POINTS",RANK(E95,E3:E211),H95)</f>
        <v>94</v>
      </c>
      <c r="D95" s="35" t="str">
        <f>VLOOKUP(A95,'The List'!B1:F727,5,FALSE)</f>
        <v>WPG</v>
      </c>
      <c r="E95" s="39">
        <f>VLOOKUP(A95,'The List'!B1:I727,8,FALSE)</f>
        <v>212.52034218229593</v>
      </c>
      <c r="F95" s="39">
        <f>IF(Settings!$E$15="POINTS",E95-VLOOKUP(B$2,C1:E211,3,FALSE),J95)</f>
        <v>-180.80846358391372</v>
      </c>
      <c r="G95" s="39"/>
      <c r="H95" s="138">
        <f>RANK(I95,I3:I211)</f>
        <v>87</v>
      </c>
      <c r="I95" s="139">
        <f>VLOOKUP(A95,'Standard Deviations'!A1:C728,3,FALSE)</f>
        <v>0.13972521009579048</v>
      </c>
      <c r="J95" s="139">
        <f>I95-VLOOKUP(B$2,H1:J211,2,FALSE)</f>
        <v>-6.4345396806874149</v>
      </c>
    </row>
    <row r="96" spans="1:10" ht="21.25" customHeight="1" x14ac:dyDescent="0.15">
      <c r="A96" s="8" t="s">
        <v>510</v>
      </c>
      <c r="B96" s="57" t="str">
        <f>VLOOKUP(A96,'The List'!B1:D727,3,FALSE)</f>
        <v>C</v>
      </c>
      <c r="C96" s="58">
        <f>IF(Settings!$E$15="POINTS",RANK(E96,E3:E211),H96)</f>
        <v>99</v>
      </c>
      <c r="D96" s="35" t="str">
        <f>VLOOKUP(A96,'The List'!B1:F727,5,FALSE)</f>
        <v>NSH</v>
      </c>
      <c r="E96" s="39">
        <f>VLOOKUP(A96,'The List'!B1:I727,8,FALSE)</f>
        <v>205.66381564311095</v>
      </c>
      <c r="F96" s="39">
        <f>IF(Settings!$E$15="POINTS",E96-VLOOKUP(B$2,C1:E211,3,FALSE),J96)</f>
        <v>-187.6649901230987</v>
      </c>
      <c r="G96" s="39"/>
      <c r="H96" s="138">
        <f>RANK(I96,I3:I211)</f>
        <v>97</v>
      </c>
      <c r="I96" s="139">
        <f>VLOOKUP(A96,'Standard Deviations'!A1:C728,3,FALSE)</f>
        <v>-0.58121566262008906</v>
      </c>
      <c r="J96" s="139">
        <f>I96-VLOOKUP(B$2,H1:J211,2,FALSE)</f>
        <v>-7.1554805534032946</v>
      </c>
    </row>
    <row r="97" spans="1:10" ht="21.25" customHeight="1" x14ac:dyDescent="0.15">
      <c r="A97" s="8" t="s">
        <v>500</v>
      </c>
      <c r="B97" s="57" t="str">
        <f>VLOOKUP(A97,'The List'!B1:D727,3,FALSE)</f>
        <v>C</v>
      </c>
      <c r="C97" s="58">
        <f>IF(Settings!$E$15="POINTS",RANK(E97,E3:E211),H97)</f>
        <v>96</v>
      </c>
      <c r="D97" s="35" t="str">
        <f>VLOOKUP(A97,'The List'!B1:F727,5,FALSE)</f>
        <v>DET</v>
      </c>
      <c r="E97" s="39">
        <f>VLOOKUP(A97,'The List'!B1:I727,8,FALSE)</f>
        <v>208.13007158472021</v>
      </c>
      <c r="F97" s="39">
        <f>IF(Settings!$E$15="POINTS",E97-VLOOKUP(B$2,C1:E211,3,FALSE),J97)</f>
        <v>-185.19873418148944</v>
      </c>
      <c r="G97" s="39"/>
      <c r="H97" s="138">
        <f>RANK(I97,I3:I211)</f>
        <v>106</v>
      </c>
      <c r="I97" s="139">
        <f>VLOOKUP(A97,'Standard Deviations'!A1:C728,3,FALSE)</f>
        <v>-1.070676983339125</v>
      </c>
      <c r="J97" s="139">
        <f>I97-VLOOKUP(B$2,H1:J211,2,FALSE)</f>
        <v>-7.6449418741223312</v>
      </c>
    </row>
    <row r="98" spans="1:10" ht="21.25" customHeight="1" x14ac:dyDescent="0.15">
      <c r="A98" s="8" t="s">
        <v>509</v>
      </c>
      <c r="B98" s="57" t="str">
        <f>VLOOKUP(A98,'The List'!B1:D727,3,FALSE)</f>
        <v>C</v>
      </c>
      <c r="C98" s="58">
        <f>IF(Settings!$E$15="POINTS",RANK(E98,E3:E211),H98)</f>
        <v>98</v>
      </c>
      <c r="D98" s="35" t="str">
        <f>VLOOKUP(A98,'The List'!B1:F727,5,FALSE)</f>
        <v>VGK</v>
      </c>
      <c r="E98" s="39">
        <f>VLOOKUP(A98,'The List'!B1:I727,8,FALSE)</f>
        <v>206.13515067167975</v>
      </c>
      <c r="F98" s="39">
        <f>IF(Settings!$E$15="POINTS",E98-VLOOKUP(B$2,C1:E211,3,FALSE),J98)</f>
        <v>-187.1936550945299</v>
      </c>
      <c r="G98" s="39"/>
      <c r="H98" s="138">
        <f>RANK(I98,I3:I211)</f>
        <v>70</v>
      </c>
      <c r="I98" s="139">
        <f>VLOOKUP(A98,'Standard Deviations'!A1:C728,3,FALSE)</f>
        <v>1.0710488646267069</v>
      </c>
      <c r="J98" s="139">
        <f>I98-VLOOKUP(B$2,H1:J211,2,FALSE)</f>
        <v>-5.5032160261564993</v>
      </c>
    </row>
    <row r="99" spans="1:10" ht="21.25" customHeight="1" x14ac:dyDescent="0.15">
      <c r="A99" s="8" t="s">
        <v>505</v>
      </c>
      <c r="B99" s="57" t="str">
        <f>VLOOKUP(A99,'The List'!B1:D727,3,FALSE)</f>
        <v>C</v>
      </c>
      <c r="C99" s="58">
        <f>IF(Settings!$E$15="POINTS",RANK(E99,E3:E211),H99)</f>
        <v>97</v>
      </c>
      <c r="D99" s="35" t="str">
        <f>VLOOKUP(A99,'The List'!B1:F727,5,FALSE)</f>
        <v>CGY</v>
      </c>
      <c r="E99" s="39">
        <f>VLOOKUP(A99,'The List'!B1:I727,8,FALSE)</f>
        <v>206.50968825916505</v>
      </c>
      <c r="F99" s="39">
        <f>IF(Settings!$E$15="POINTS",E99-VLOOKUP(B$2,C1:E211,3,FALSE),J99)</f>
        <v>-186.81911750704461</v>
      </c>
      <c r="G99" s="39"/>
      <c r="H99" s="138">
        <f>RANK(I99,I3:I211)</f>
        <v>82</v>
      </c>
      <c r="I99" s="139">
        <f>VLOOKUP(A99,'Standard Deviations'!A1:C728,3,FALSE)</f>
        <v>0.35322490843913479</v>
      </c>
      <c r="J99" s="139">
        <f>I99-VLOOKUP(B$2,H1:J211,2,FALSE)</f>
        <v>-6.2210399823440712</v>
      </c>
    </row>
    <row r="100" spans="1:10" ht="21.25" customHeight="1" x14ac:dyDescent="0.15">
      <c r="A100" s="8" t="s">
        <v>497</v>
      </c>
      <c r="B100" s="57" t="str">
        <f>VLOOKUP(A100,'The List'!B1:D727,3,FALSE)</f>
        <v>C</v>
      </c>
      <c r="C100" s="58">
        <f>IF(Settings!$E$15="POINTS",RANK(E100,E3:E211),H100)</f>
        <v>95</v>
      </c>
      <c r="D100" s="35" t="str">
        <f>VLOOKUP(A100,'The List'!B1:F727,5,FALSE)</f>
        <v>NYI</v>
      </c>
      <c r="E100" s="39">
        <f>VLOOKUP(A100,'The List'!B1:I727,8,FALSE)</f>
        <v>209.59104603414252</v>
      </c>
      <c r="F100" s="39">
        <f>IF(Settings!$E$15="POINTS",E100-VLOOKUP(B$2,C1:E211,3,FALSE),J100)</f>
        <v>-183.73775973206713</v>
      </c>
      <c r="G100" s="39"/>
      <c r="H100" s="138">
        <f>RANK(I100,I3:I211)</f>
        <v>86</v>
      </c>
      <c r="I100" s="139">
        <f>VLOOKUP(A100,'Standard Deviations'!A1:C728,3,FALSE)</f>
        <v>0.19620633484055999</v>
      </c>
      <c r="J100" s="139">
        <f>I100-VLOOKUP(B$2,H1:J211,2,FALSE)</f>
        <v>-6.3780585559426459</v>
      </c>
    </row>
    <row r="101" spans="1:10" ht="21.25" customHeight="1" x14ac:dyDescent="0.15">
      <c r="A101" s="8" t="s">
        <v>520</v>
      </c>
      <c r="B101" s="57" t="str">
        <f>VLOOKUP(A101,'The List'!B1:D727,3,FALSE)</f>
        <v>C</v>
      </c>
      <c r="C101" s="58">
        <f>IF(Settings!$E$15="POINTS",RANK(E101,E3:E211),H101)</f>
        <v>100</v>
      </c>
      <c r="D101" s="35" t="str">
        <f>VLOOKUP(A101,'The List'!B1:F727,5,FALSE)</f>
        <v>SEA</v>
      </c>
      <c r="E101" s="39">
        <f>VLOOKUP(A101,'The List'!B1:I727,8,FALSE)</f>
        <v>201.06658959942027</v>
      </c>
      <c r="F101" s="39">
        <f>IF(Settings!$E$15="POINTS",E101-VLOOKUP(B$2,C1:E211,3,FALSE),J101)</f>
        <v>-192.26221616678939</v>
      </c>
      <c r="G101" s="39"/>
      <c r="H101" s="138">
        <f>RANK(I101,I3:I211)</f>
        <v>104</v>
      </c>
      <c r="I101" s="139">
        <f>VLOOKUP(A101,'Standard Deviations'!A1:C728,3,FALSE)</f>
        <v>-1.0299266581212136</v>
      </c>
      <c r="J101" s="139">
        <f>I101-VLOOKUP(B$2,H1:J211,2,FALSE)</f>
        <v>-7.604191548904419</v>
      </c>
    </row>
    <row r="102" spans="1:10" ht="21.25" customHeight="1" x14ac:dyDescent="0.15">
      <c r="A102" s="8" t="s">
        <v>426</v>
      </c>
      <c r="B102" s="57" t="str">
        <f>VLOOKUP(A102,'The List'!B1:D727,3,FALSE)</f>
        <v>C</v>
      </c>
      <c r="C102" s="58">
        <f>IF(Settings!$E$15="POINTS",RANK(E102,E3:E211),H102)</f>
        <v>82</v>
      </c>
      <c r="D102" s="35" t="str">
        <f>VLOOKUP(A102,'The List'!B1:F727,5,FALSE)</f>
        <v>LAK</v>
      </c>
      <c r="E102" s="39">
        <f>VLOOKUP(A102,'The List'!B1:I727,8,FALSE)</f>
        <v>232.66702668700711</v>
      </c>
      <c r="F102" s="39">
        <f>IF(Settings!$E$15="POINTS",E102-VLOOKUP(B$2,C1:E211,3,FALSE),J102)</f>
        <v>-160.66177907920255</v>
      </c>
      <c r="G102" s="39"/>
      <c r="H102" s="138">
        <f>RANK(I102,I3:I211)</f>
        <v>83</v>
      </c>
      <c r="I102" s="139">
        <f>VLOOKUP(A102,'Standard Deviations'!A1:C728,3,FALSE)</f>
        <v>0.288963323687632</v>
      </c>
      <c r="J102" s="139">
        <f>I102-VLOOKUP(B$2,H1:J211,2,FALSE)</f>
        <v>-6.2853015670955736</v>
      </c>
    </row>
    <row r="103" spans="1:10" ht="21.25" customHeight="1" x14ac:dyDescent="0.15">
      <c r="A103" s="8" t="s">
        <v>531</v>
      </c>
      <c r="B103" s="57" t="str">
        <f>VLOOKUP(A103,'The List'!B1:D727,3,FALSE)</f>
        <v>C</v>
      </c>
      <c r="C103" s="58">
        <f>IF(Settings!$E$15="POINTS",RANK(E103,E3:E211),H103)</f>
        <v>101</v>
      </c>
      <c r="D103" s="35" t="str">
        <f>VLOOKUP(A103,'The List'!B1:F727,5,FALSE)</f>
        <v>SJS</v>
      </c>
      <c r="E103" s="39">
        <f>VLOOKUP(A103,'The List'!B1:I727,8,FALSE)</f>
        <v>196.85653350166029</v>
      </c>
      <c r="F103" s="39">
        <f>IF(Settings!$E$15="POINTS",E103-VLOOKUP(B$2,C1:E211,3,FALSE),J103)</f>
        <v>-196.47227226454936</v>
      </c>
      <c r="G103" s="39"/>
      <c r="H103" s="138">
        <f>RANK(I103,I3:I211)</f>
        <v>99</v>
      </c>
      <c r="I103" s="139">
        <f>VLOOKUP(A103,'Standard Deviations'!A1:C728,3,FALSE)</f>
        <v>-0.65904682752708676</v>
      </c>
      <c r="J103" s="139">
        <f>I103-VLOOKUP(B$2,H1:J211,2,FALSE)</f>
        <v>-7.2333117183102926</v>
      </c>
    </row>
    <row r="104" spans="1:10" ht="21.25" customHeight="1" x14ac:dyDescent="0.15">
      <c r="A104" s="8" t="s">
        <v>532</v>
      </c>
      <c r="B104" s="57" t="str">
        <f>VLOOKUP(A104,'The List'!B1:D727,3,FALSE)</f>
        <v>C</v>
      </c>
      <c r="C104" s="58">
        <f>IF(Settings!$E$15="POINTS",RANK(E104,E3:E211),H104)</f>
        <v>102</v>
      </c>
      <c r="D104" s="35" t="str">
        <f>VLOOKUP(A104,'The List'!B1:F727,5,FALSE)</f>
        <v>MTL</v>
      </c>
      <c r="E104" s="39">
        <f>VLOOKUP(A104,'The List'!B1:I727,8,FALSE)</f>
        <v>196.66954153301108</v>
      </c>
      <c r="F104" s="39">
        <f>IF(Settings!$E$15="POINTS",E104-VLOOKUP(B$2,C1:E211,3,FALSE),J104)</f>
        <v>-196.65926423319857</v>
      </c>
      <c r="G104" s="39"/>
      <c r="H104" s="138">
        <f>RANK(I104,I3:I211)</f>
        <v>136</v>
      </c>
      <c r="I104" s="139">
        <f>VLOOKUP(A104,'Standard Deviations'!A1:C728,3,FALSE)</f>
        <v>-2.329050802773764</v>
      </c>
      <c r="J104" s="139">
        <f>I104-VLOOKUP(B$2,H1:J211,2,FALSE)</f>
        <v>-8.9033156935569693</v>
      </c>
    </row>
    <row r="105" spans="1:10" ht="21.25" customHeight="1" x14ac:dyDescent="0.15">
      <c r="A105" s="8" t="s">
        <v>539</v>
      </c>
      <c r="B105" s="57" t="str">
        <f>VLOOKUP(A105,'The List'!B1:D727,3,FALSE)</f>
        <v>C</v>
      </c>
      <c r="C105" s="58">
        <f>IF(Settings!$E$15="POINTS",RANK(E105,E3:E211),H105)</f>
        <v>105</v>
      </c>
      <c r="D105" s="35" t="str">
        <f>VLOOKUP(A105,'The List'!B1:F727,5,FALSE)</f>
        <v>MTL</v>
      </c>
      <c r="E105" s="39">
        <f>VLOOKUP(A105,'The List'!B1:I727,8,FALSE)</f>
        <v>194.55737811145266</v>
      </c>
      <c r="F105" s="39">
        <f>IF(Settings!$E$15="POINTS",E105-VLOOKUP(B$2,C1:E211,3,FALSE),J105)</f>
        <v>-198.77142765475699</v>
      </c>
      <c r="G105" s="39"/>
      <c r="H105" s="138">
        <f>RANK(I105,I3:I211)</f>
        <v>138</v>
      </c>
      <c r="I105" s="139">
        <f>VLOOKUP(A105,'Standard Deviations'!A1:C728,3,FALSE)</f>
        <v>-2.3704673761731812</v>
      </c>
      <c r="J105" s="139">
        <f>I105-VLOOKUP(B$2,H1:J211,2,FALSE)</f>
        <v>-8.944732266956386</v>
      </c>
    </row>
    <row r="106" spans="1:10" ht="21.25" customHeight="1" x14ac:dyDescent="0.15">
      <c r="A106" s="8" t="s">
        <v>536</v>
      </c>
      <c r="B106" s="57" t="str">
        <f>VLOOKUP(A106,'The List'!B1:D727,3,FALSE)</f>
        <v>C</v>
      </c>
      <c r="C106" s="58">
        <f>IF(Settings!$E$15="POINTS",RANK(E106,E3:E211),H106)</f>
        <v>104</v>
      </c>
      <c r="D106" s="35" t="str">
        <f>VLOOKUP(A106,'The List'!B1:F727,5,FALSE)</f>
        <v>BOS</v>
      </c>
      <c r="E106" s="39">
        <f>VLOOKUP(A106,'The List'!B1:I727,8,FALSE)</f>
        <v>195.17762839245464</v>
      </c>
      <c r="F106" s="39">
        <f>IF(Settings!$E$15="POINTS",E106-VLOOKUP(B$2,C1:E211,3,FALSE),J106)</f>
        <v>-198.15117737375502</v>
      </c>
      <c r="G106" s="39"/>
      <c r="H106" s="138">
        <f>RANK(I106,I3:I211)</f>
        <v>92</v>
      </c>
      <c r="I106" s="139">
        <f>VLOOKUP(A106,'Standard Deviations'!A1:C728,3,FALSE)</f>
        <v>-5.6707197523603092E-2</v>
      </c>
      <c r="J106" s="139">
        <f>I106-VLOOKUP(B$2,H1:J211,2,FALSE)</f>
        <v>-6.6309720883068088</v>
      </c>
    </row>
    <row r="107" spans="1:10" ht="21.25" customHeight="1" x14ac:dyDescent="0.15">
      <c r="A107" s="8" t="s">
        <v>542</v>
      </c>
      <c r="B107" s="57" t="str">
        <f>VLOOKUP(A107,'The List'!B1:D727,3,FALSE)</f>
        <v>C</v>
      </c>
      <c r="C107" s="58">
        <f>IF(Settings!$E$15="POINTS",RANK(E107,E3:E211),H107)</f>
        <v>106</v>
      </c>
      <c r="D107" s="35" t="str">
        <f>VLOOKUP(A107,'The List'!B1:F727,5,FALSE)</f>
        <v>COL</v>
      </c>
      <c r="E107" s="39">
        <f>VLOOKUP(A107,'The List'!B1:I727,8,FALSE)</f>
        <v>193.98060900668938</v>
      </c>
      <c r="F107" s="39">
        <f>IF(Settings!$E$15="POINTS",E107-VLOOKUP(B$2,C1:E211,3,FALSE),J107)</f>
        <v>-199.34819675952028</v>
      </c>
      <c r="G107" s="39"/>
      <c r="H107" s="138">
        <f>RANK(I107,I3:I211)</f>
        <v>91</v>
      </c>
      <c r="I107" s="139">
        <f>VLOOKUP(A107,'Standard Deviations'!A1:C728,3,FALSE)</f>
        <v>-3.952801021986696E-3</v>
      </c>
      <c r="J107" s="139">
        <f>I107-VLOOKUP(B$2,H1:J211,2,FALSE)</f>
        <v>-6.5782176918051922</v>
      </c>
    </row>
    <row r="108" spans="1:10" ht="21.25" customHeight="1" x14ac:dyDescent="0.15">
      <c r="A108" s="8" t="s">
        <v>535</v>
      </c>
      <c r="B108" s="57" t="str">
        <f>VLOOKUP(A108,'The List'!B1:D727,3,FALSE)</f>
        <v>C</v>
      </c>
      <c r="C108" s="58">
        <f>IF(Settings!$E$15="POINTS",RANK(E108,E3:E211),H108)</f>
        <v>103</v>
      </c>
      <c r="D108" s="35" t="str">
        <f>VLOOKUP(A108,'The List'!B1:F727,5,FALSE)</f>
        <v>CGY</v>
      </c>
      <c r="E108" s="39">
        <f>VLOOKUP(A108,'The List'!B1:I727,8,FALSE)</f>
        <v>195.61055890802658</v>
      </c>
      <c r="F108" s="39">
        <f>IF(Settings!$E$15="POINTS",E108-VLOOKUP(B$2,C1:E211,3,FALSE),J108)</f>
        <v>-197.71824685818308</v>
      </c>
      <c r="G108" s="39"/>
      <c r="H108" s="138">
        <f>RANK(I108,I3:I211)</f>
        <v>107</v>
      </c>
      <c r="I108" s="139">
        <f>VLOOKUP(A108,'Standard Deviations'!A1:C728,3,FALSE)</f>
        <v>-1.0846872761924018</v>
      </c>
      <c r="J108" s="139">
        <f>I108-VLOOKUP(B$2,H1:J211,2,FALSE)</f>
        <v>-7.6589521669756078</v>
      </c>
    </row>
    <row r="109" spans="1:10" ht="21.25" customHeight="1" x14ac:dyDescent="0.15">
      <c r="A109" s="8" t="s">
        <v>562</v>
      </c>
      <c r="B109" s="57" t="str">
        <f>VLOOKUP(A109,'The List'!B1:D727,3,FALSE)</f>
        <v>C</v>
      </c>
      <c r="C109" s="58">
        <f>IF(Settings!$E$15="POINTS",RANK(E109,E3:E211),H109)</f>
        <v>108</v>
      </c>
      <c r="D109" s="35" t="str">
        <f>VLOOKUP(A109,'The List'!B1:F727,5,FALSE)</f>
        <v>CHI</v>
      </c>
      <c r="E109" s="39">
        <f>VLOOKUP(A109,'The List'!B1:I727,8,FALSE)</f>
        <v>187.93516789116177</v>
      </c>
      <c r="F109" s="39">
        <f>IF(Settings!$E$15="POINTS",E109-VLOOKUP(B$2,C1:E211,3,FALSE),J109)</f>
        <v>-205.39363787504789</v>
      </c>
      <c r="G109" s="39"/>
      <c r="H109" s="138">
        <f>RANK(I109,I3:I211)</f>
        <v>148</v>
      </c>
      <c r="I109" s="139">
        <f>VLOOKUP(A109,'Standard Deviations'!A1:C728,3,FALSE)</f>
        <v>-2.6847883738022453</v>
      </c>
      <c r="J109" s="139">
        <f>I109-VLOOKUP(B$2,H1:J211,2,FALSE)</f>
        <v>-9.2590532645854502</v>
      </c>
    </row>
    <row r="110" spans="1:10" ht="21.25" customHeight="1" x14ac:dyDescent="0.15">
      <c r="A110" s="8" t="s">
        <v>566</v>
      </c>
      <c r="B110" s="57" t="str">
        <f>VLOOKUP(A110,'The List'!B1:D727,3,FALSE)</f>
        <v>C</v>
      </c>
      <c r="C110" s="58">
        <f>IF(Settings!$E$15="POINTS",RANK(E110,E3:E211),H110)</f>
        <v>109</v>
      </c>
      <c r="D110" s="35" t="str">
        <f>VLOOKUP(A110,'The List'!B1:F727,5,FALSE)</f>
        <v>NSH</v>
      </c>
      <c r="E110" s="39">
        <f>VLOOKUP(A110,'The List'!B1:I727,8,FALSE)</f>
        <v>186.9862027885772</v>
      </c>
      <c r="F110" s="39">
        <f>IF(Settings!$E$15="POINTS",E110-VLOOKUP(B$2,C1:E211,3,FALSE),J110)</f>
        <v>-206.34260297763245</v>
      </c>
      <c r="G110" s="39"/>
      <c r="H110" s="138">
        <f>RANK(I110,I3:I211)</f>
        <v>109</v>
      </c>
      <c r="I110" s="139">
        <f>VLOOKUP(A110,'Standard Deviations'!A1:C728,3,FALSE)</f>
        <v>-1.1609812609375858</v>
      </c>
      <c r="J110" s="139">
        <f>I110-VLOOKUP(B$2,H1:J211,2,FALSE)</f>
        <v>-7.7352461517207916</v>
      </c>
    </row>
    <row r="111" spans="1:10" ht="21.25" customHeight="1" x14ac:dyDescent="0.15">
      <c r="A111" s="8" t="s">
        <v>572</v>
      </c>
      <c r="B111" s="57" t="str">
        <f>VLOOKUP(A111,'The List'!B1:D727,3,FALSE)</f>
        <v>C</v>
      </c>
      <c r="C111" s="58">
        <f>IF(Settings!$E$15="POINTS",RANK(E111,E3:E211),H111)</f>
        <v>110</v>
      </c>
      <c r="D111" s="35" t="str">
        <f>VLOOKUP(A111,'The List'!B1:F727,5,FALSE)</f>
        <v>SJS</v>
      </c>
      <c r="E111" s="39">
        <f>VLOOKUP(A111,'The List'!B1:I727,8,FALSE)</f>
        <v>185.88981588048946</v>
      </c>
      <c r="F111" s="39">
        <f>IF(Settings!$E$15="POINTS",E111-VLOOKUP(B$2,C1:E211,3,FALSE),J111)</f>
        <v>-207.43898988572019</v>
      </c>
      <c r="G111" s="39"/>
      <c r="H111" s="138">
        <f>RANK(I111,I3:I211)</f>
        <v>108</v>
      </c>
      <c r="I111" s="139">
        <f>VLOOKUP(A111,'Standard Deviations'!A1:C728,3,FALSE)</f>
        <v>-1.1460251608676402</v>
      </c>
      <c r="J111" s="139">
        <f>I111-VLOOKUP(B$2,H1:J211,2,FALSE)</f>
        <v>-7.7202900516508457</v>
      </c>
    </row>
    <row r="112" spans="1:10" ht="21.25" customHeight="1" x14ac:dyDescent="0.15">
      <c r="A112" s="8" t="s">
        <v>556</v>
      </c>
      <c r="B112" s="57" t="str">
        <f>VLOOKUP(A112,'The List'!B1:D727,3,FALSE)</f>
        <v>C</v>
      </c>
      <c r="C112" s="58">
        <f>IF(Settings!$E$15="POINTS",RANK(E112,E3:E211),H112)</f>
        <v>107</v>
      </c>
      <c r="D112" s="35" t="str">
        <f>VLOOKUP(A112,'The List'!B1:F727,5,FALSE)</f>
        <v>MIN</v>
      </c>
      <c r="E112" s="39">
        <f>VLOOKUP(A112,'The List'!B1:I727,8,FALSE)</f>
        <v>189.61918963870784</v>
      </c>
      <c r="F112" s="39">
        <f>IF(Settings!$E$15="POINTS",E112-VLOOKUP(B$2,C1:E211,3,FALSE),J112)</f>
        <v>-203.70961612750182</v>
      </c>
      <c r="G112" s="39"/>
      <c r="H112" s="138">
        <f>RANK(I112,I3:I211)</f>
        <v>96</v>
      </c>
      <c r="I112" s="139">
        <f>VLOOKUP(A112,'Standard Deviations'!A1:C728,3,FALSE)</f>
        <v>-0.5527635664383248</v>
      </c>
      <c r="J112" s="139">
        <f>I112-VLOOKUP(B$2,H1:J211,2,FALSE)</f>
        <v>-7.127028457221531</v>
      </c>
    </row>
    <row r="113" spans="1:10" ht="21.25" customHeight="1" x14ac:dyDescent="0.15">
      <c r="A113" s="8" t="s">
        <v>575</v>
      </c>
      <c r="B113" s="57" t="str">
        <f>VLOOKUP(A113,'The List'!B1:D727,3,FALSE)</f>
        <v>C</v>
      </c>
      <c r="C113" s="58">
        <f>IF(Settings!$E$15="POINTS",RANK(E113,E3:E211),H113)</f>
        <v>111</v>
      </c>
      <c r="D113" s="35" t="str">
        <f>VLOOKUP(A113,'The List'!B1:F727,5,FALSE)</f>
        <v>SEA</v>
      </c>
      <c r="E113" s="39">
        <f>VLOOKUP(A113,'The List'!B1:I727,8,FALSE)</f>
        <v>184.66913421048673</v>
      </c>
      <c r="F113" s="39">
        <f>IF(Settings!$E$15="POINTS",E113-VLOOKUP(B$2,C1:E211,3,FALSE),J113)</f>
        <v>-208.65967155572292</v>
      </c>
      <c r="G113" s="39"/>
      <c r="H113" s="138">
        <f>RANK(I113,I3:I211)</f>
        <v>105</v>
      </c>
      <c r="I113" s="139">
        <f>VLOOKUP(A113,'Standard Deviations'!A1:C728,3,FALSE)</f>
        <v>-1.0410762119846393</v>
      </c>
      <c r="J113" s="139">
        <f>I113-VLOOKUP(B$2,H1:J211,2,FALSE)</f>
        <v>-7.6153411027678448</v>
      </c>
    </row>
    <row r="114" spans="1:10" ht="21.25" customHeight="1" x14ac:dyDescent="0.15">
      <c r="A114" s="8" t="s">
        <v>582</v>
      </c>
      <c r="B114" s="57" t="str">
        <f>VLOOKUP(A114,'The List'!B1:D727,3,FALSE)</f>
        <v>C</v>
      </c>
      <c r="C114" s="58">
        <f>IF(Settings!$E$15="POINTS",RANK(E114,E3:E211),H114)</f>
        <v>112</v>
      </c>
      <c r="D114" s="35" t="str">
        <f>VLOOKUP(A114,'The List'!B1:F727,5,FALSE)</f>
        <v>CHI</v>
      </c>
      <c r="E114" s="39">
        <f>VLOOKUP(A114,'The List'!B1:I727,8,FALSE)</f>
        <v>181.67709721424461</v>
      </c>
      <c r="F114" s="39">
        <f>IF(Settings!$E$15="POINTS",E114-VLOOKUP(B$2,C1:E211,3,FALSE),J114)</f>
        <v>-211.65170855196504</v>
      </c>
      <c r="G114" s="39"/>
      <c r="H114" s="138">
        <f>RANK(I114,I3:I211)</f>
        <v>150</v>
      </c>
      <c r="I114" s="139">
        <f>VLOOKUP(A114,'Standard Deviations'!A1:C728,3,FALSE)</f>
        <v>-2.7240597534714972</v>
      </c>
      <c r="J114" s="139">
        <f>I114-VLOOKUP(B$2,H1:J211,2,FALSE)</f>
        <v>-9.2983246442547021</v>
      </c>
    </row>
    <row r="115" spans="1:10" ht="21.25" customHeight="1" x14ac:dyDescent="0.15">
      <c r="A115" s="8" t="s">
        <v>584</v>
      </c>
      <c r="B115" s="57" t="str">
        <f>VLOOKUP(A115,'The List'!B1:D727,3,FALSE)</f>
        <v>C</v>
      </c>
      <c r="C115" s="58">
        <f>IF(Settings!$E$15="POINTS",RANK(E115,E3:E211),H115)</f>
        <v>113</v>
      </c>
      <c r="D115" s="35" t="str">
        <f>VLOOKUP(A115,'The List'!B1:F727,5,FALSE)</f>
        <v>CHI</v>
      </c>
      <c r="E115" s="39">
        <f>VLOOKUP(A115,'The List'!B1:I727,8,FALSE)</f>
        <v>180.79993661192304</v>
      </c>
      <c r="F115" s="39">
        <f>IF(Settings!$E$15="POINTS",E115-VLOOKUP(B$2,C1:E211,3,FALSE),J115)</f>
        <v>-212.52886915428661</v>
      </c>
      <c r="G115" s="39"/>
      <c r="H115" s="138">
        <f>RANK(I115,I3:I211)</f>
        <v>164</v>
      </c>
      <c r="I115" s="139">
        <f>VLOOKUP(A115,'Standard Deviations'!A1:C728,3,FALSE)</f>
        <v>-3.4383036359190218</v>
      </c>
      <c r="J115" s="139">
        <f>I115-VLOOKUP(B$2,H1:J211,2,FALSE)</f>
        <v>-10.012568526702228</v>
      </c>
    </row>
    <row r="116" spans="1:10" ht="21.25" customHeight="1" x14ac:dyDescent="0.15">
      <c r="A116" s="8" t="s">
        <v>586</v>
      </c>
      <c r="B116" s="57" t="str">
        <f>VLOOKUP(A116,'The List'!B1:D727,3,FALSE)</f>
        <v>C</v>
      </c>
      <c r="C116" s="58">
        <f>IF(Settings!$E$15="POINTS",RANK(E116,E3:E211),H116)</f>
        <v>114</v>
      </c>
      <c r="D116" s="35" t="str">
        <f>VLOOKUP(A116,'The List'!B1:F727,5,FALSE)</f>
        <v>ARI</v>
      </c>
      <c r="E116" s="39">
        <f>VLOOKUP(A116,'The List'!B1:I727,8,FALSE)</f>
        <v>180.60006613269448</v>
      </c>
      <c r="F116" s="39">
        <f>IF(Settings!$E$15="POINTS",E116-VLOOKUP(B$2,C1:E211,3,FALSE),J116)</f>
        <v>-212.72873963351518</v>
      </c>
      <c r="G116" s="39"/>
      <c r="H116" s="138">
        <f>RANK(I116,I3:I211)</f>
        <v>121</v>
      </c>
      <c r="I116" s="139">
        <f>VLOOKUP(A116,'Standard Deviations'!A1:C728,3,FALSE)</f>
        <v>-1.8941121400249115</v>
      </c>
      <c r="J116" s="139">
        <f>I116-VLOOKUP(B$2,H1:J211,2,FALSE)</f>
        <v>-8.4683770308081172</v>
      </c>
    </row>
    <row r="117" spans="1:10" ht="21.25" customHeight="1" x14ac:dyDescent="0.15">
      <c r="A117" s="8" t="s">
        <v>593</v>
      </c>
      <c r="B117" s="57" t="str">
        <f>VLOOKUP(A117,'The List'!B1:D727,3,FALSE)</f>
        <v>C</v>
      </c>
      <c r="C117" s="58">
        <f>IF(Settings!$E$15="POINTS",RANK(E117,E3:E211),H117)</f>
        <v>115</v>
      </c>
      <c r="D117" s="35" t="str">
        <f>VLOOKUP(A117,'The List'!B1:F727,5,FALSE)</f>
        <v>FLA</v>
      </c>
      <c r="E117" s="39">
        <f>VLOOKUP(A117,'The List'!B1:I727,8,FALSE)</f>
        <v>176.98180235294106</v>
      </c>
      <c r="F117" s="39">
        <f>IF(Settings!$E$15="POINTS",E117-VLOOKUP(B$2,C1:E211,3,FALSE),J117)</f>
        <v>-216.3470034132686</v>
      </c>
      <c r="G117" s="39"/>
      <c r="H117" s="138">
        <f>RANK(I117,I3:I211)</f>
        <v>94</v>
      </c>
      <c r="I117" s="139">
        <f>VLOOKUP(A117,'Standard Deviations'!A1:C728,3,FALSE)</f>
        <v>-0.18193654130741876</v>
      </c>
      <c r="J117" s="139">
        <f>I117-VLOOKUP(B$2,H1:J211,2,FALSE)</f>
        <v>-6.7562014320906245</v>
      </c>
    </row>
    <row r="118" spans="1:10" ht="21.25" customHeight="1" x14ac:dyDescent="0.15">
      <c r="A118" s="8" t="s">
        <v>599</v>
      </c>
      <c r="B118" s="57" t="str">
        <f>VLOOKUP(A118,'The List'!B1:D727,3,FALSE)</f>
        <v>C</v>
      </c>
      <c r="C118" s="58">
        <f>IF(Settings!$E$15="POINTS",RANK(E118,E3:E211),H118)</f>
        <v>116</v>
      </c>
      <c r="D118" s="35" t="str">
        <f>VLOOKUP(A118,'The List'!B1:F727,5,FALSE)</f>
        <v>CHI</v>
      </c>
      <c r="E118" s="39">
        <f>VLOOKUP(A118,'The List'!B1:I727,8,FALSE)</f>
        <v>173.88244758561291</v>
      </c>
      <c r="F118" s="39">
        <f>IF(Settings!$E$15="POINTS",E118-VLOOKUP(B$2,C1:E211,3,FALSE),J118)</f>
        <v>-219.44635818059675</v>
      </c>
      <c r="G118" s="39"/>
      <c r="H118" s="138">
        <f>RANK(I118,I3:I211)</f>
        <v>147</v>
      </c>
      <c r="I118" s="139">
        <f>VLOOKUP(A118,'Standard Deviations'!A1:C728,3,FALSE)</f>
        <v>-2.6568676287892661</v>
      </c>
      <c r="J118" s="139">
        <f>I118-VLOOKUP(B$2,H1:J211,2,FALSE)</f>
        <v>-9.2311325195724727</v>
      </c>
    </row>
    <row r="119" spans="1:10" ht="21.25" customHeight="1" x14ac:dyDescent="0.15">
      <c r="A119" s="8" t="s">
        <v>603</v>
      </c>
      <c r="B119" s="57" t="str">
        <f>VLOOKUP(A119,'The List'!B1:D727,3,FALSE)</f>
        <v>C</v>
      </c>
      <c r="C119" s="58">
        <f>IF(Settings!$E$15="POINTS",RANK(E119,E3:E211),H119)</f>
        <v>117</v>
      </c>
      <c r="D119" s="35" t="str">
        <f>VLOOKUP(A119,'The List'!B1:F727,5,FALSE)</f>
        <v>MTL</v>
      </c>
      <c r="E119" s="39">
        <f>VLOOKUP(A119,'The List'!B1:I727,8,FALSE)</f>
        <v>170.82031238749354</v>
      </c>
      <c r="F119" s="39">
        <f>IF(Settings!$E$15="POINTS",E119-VLOOKUP(B$2,C1:E211,3,FALSE),J119)</f>
        <v>-222.50849337871611</v>
      </c>
      <c r="G119" s="39"/>
      <c r="H119" s="138">
        <f>RANK(I119,I3:I211)</f>
        <v>158</v>
      </c>
      <c r="I119" s="139">
        <f>VLOOKUP(A119,'Standard Deviations'!A1:C728,3,FALSE)</f>
        <v>-3.0747891964383465</v>
      </c>
      <c r="J119" s="139">
        <f>I119-VLOOKUP(B$2,H1:J211,2,FALSE)</f>
        <v>-9.6490540872215522</v>
      </c>
    </row>
    <row r="120" spans="1:10" ht="21.25" customHeight="1" x14ac:dyDescent="0.15">
      <c r="A120" s="8" t="s">
        <v>614</v>
      </c>
      <c r="B120" s="57" t="str">
        <f>VLOOKUP(A120,'The List'!B1:D727,3,FALSE)</f>
        <v>C</v>
      </c>
      <c r="C120" s="58">
        <f>IF(Settings!$E$15="POINTS",RANK(E120,E3:E211),H120)</f>
        <v>120</v>
      </c>
      <c r="D120" s="35" t="str">
        <f>VLOOKUP(A120,'The List'!B1:F727,5,FALSE)</f>
        <v>DET</v>
      </c>
      <c r="E120" s="39">
        <f>VLOOKUP(A120,'The List'!B1:I727,8,FALSE)</f>
        <v>168.79105245814475</v>
      </c>
      <c r="F120" s="39">
        <f>IF(Settings!$E$15="POINTS",E120-VLOOKUP(B$2,C1:E211,3,FALSE),J120)</f>
        <v>-224.53775330806491</v>
      </c>
      <c r="G120" s="39"/>
      <c r="H120" s="138">
        <f>RANK(I120,I3:I211)</f>
        <v>124</v>
      </c>
      <c r="I120" s="139">
        <f>VLOOKUP(A120,'Standard Deviations'!A1:C728,3,FALSE)</f>
        <v>-1.925092812170432</v>
      </c>
      <c r="J120" s="139">
        <f>I120-VLOOKUP(B$2,H1:J211,2,FALSE)</f>
        <v>-8.4993577029536382</v>
      </c>
    </row>
    <row r="121" spans="1:10" ht="21.25" customHeight="1" x14ac:dyDescent="0.15">
      <c r="A121" s="8" t="s">
        <v>611</v>
      </c>
      <c r="B121" s="57" t="str">
        <f>VLOOKUP(A121,'The List'!B1:D727,3,FALSE)</f>
        <v>C</v>
      </c>
      <c r="C121" s="58">
        <f>IF(Settings!$E$15="POINTS",RANK(E121,E3:E211),H121)</f>
        <v>119</v>
      </c>
      <c r="D121" s="35" t="str">
        <f>VLOOKUP(A121,'The List'!B1:F727,5,FALSE)</f>
        <v>PIT</v>
      </c>
      <c r="E121" s="39">
        <f>VLOOKUP(A121,'The List'!B1:I727,8,FALSE)</f>
        <v>169.26202783088996</v>
      </c>
      <c r="F121" s="39">
        <f>IF(Settings!$E$15="POINTS",E121-VLOOKUP(B$2,C1:E211,3,FALSE),J121)</f>
        <v>-224.06677793531969</v>
      </c>
      <c r="G121" s="39"/>
      <c r="H121" s="138">
        <f>RANK(I121,I3:I211)</f>
        <v>113</v>
      </c>
      <c r="I121" s="139">
        <f>VLOOKUP(A121,'Standard Deviations'!A1:C728,3,FALSE)</f>
        <v>-1.3004879638247664</v>
      </c>
      <c r="J121" s="139">
        <f>I121-VLOOKUP(B$2,H1:J211,2,FALSE)</f>
        <v>-7.8747528546079719</v>
      </c>
    </row>
    <row r="122" spans="1:10" ht="21.25" customHeight="1" x14ac:dyDescent="0.15">
      <c r="A122" s="8" t="s">
        <v>608</v>
      </c>
      <c r="B122" s="57" t="str">
        <f>VLOOKUP(A122,'The List'!B1:D727,3,FALSE)</f>
        <v>C</v>
      </c>
      <c r="C122" s="58">
        <f>IF(Settings!$E$15="POINTS",RANK(E122,E3:E211),H122)</f>
        <v>118</v>
      </c>
      <c r="D122" s="35" t="str">
        <f>VLOOKUP(A122,'The List'!B1:F727,5,FALSE)</f>
        <v>TOR</v>
      </c>
      <c r="E122" s="39">
        <f>VLOOKUP(A122,'The List'!B1:I727,8,FALSE)</f>
        <v>169.48578396480016</v>
      </c>
      <c r="F122" s="39">
        <f>IF(Settings!$E$15="POINTS",E122-VLOOKUP(B$2,C1:E211,3,FALSE),J122)</f>
        <v>-223.84302180140949</v>
      </c>
      <c r="G122" s="39"/>
      <c r="H122" s="138">
        <f>RANK(I122,I3:I211)</f>
        <v>102</v>
      </c>
      <c r="I122" s="139">
        <f>VLOOKUP(A122,'Standard Deviations'!A1:C728,3,FALSE)</f>
        <v>-0.91620521006684918</v>
      </c>
      <c r="J122" s="139">
        <f>I122-VLOOKUP(B$2,H1:J211,2,FALSE)</f>
        <v>-7.4904701008500547</v>
      </c>
    </row>
    <row r="123" spans="1:10" ht="21.25" customHeight="1" x14ac:dyDescent="0.15">
      <c r="A123" s="8" t="s">
        <v>642</v>
      </c>
      <c r="B123" s="57" t="str">
        <f>VLOOKUP(A123,'The List'!B1:D727,3,FALSE)</f>
        <v>C</v>
      </c>
      <c r="C123" s="58">
        <f>IF(Settings!$E$15="POINTS",RANK(E123,E3:E211),H123)</f>
        <v>122</v>
      </c>
      <c r="D123" s="35" t="str">
        <f>VLOOKUP(A123,'The List'!B1:F727,5,FALSE)</f>
        <v>SJS</v>
      </c>
      <c r="E123" s="39">
        <f>VLOOKUP(A123,'The List'!B1:I727,8,FALSE)</f>
        <v>161.39698489049658</v>
      </c>
      <c r="F123" s="39">
        <f>IF(Settings!$E$15="POINTS",E123-VLOOKUP(B$2,C1:E211,3,FALSE),J123)</f>
        <v>-231.93182087571307</v>
      </c>
      <c r="G123" s="39"/>
      <c r="H123" s="138">
        <f>RANK(I123,I3:I211)</f>
        <v>116</v>
      </c>
      <c r="I123" s="139">
        <f>VLOOKUP(A123,'Standard Deviations'!A1:C728,3,FALSE)</f>
        <v>-1.6767101652348191</v>
      </c>
      <c r="J123" s="139">
        <f>I123-VLOOKUP(B$2,H1:J211,2,FALSE)</f>
        <v>-8.2509750560180244</v>
      </c>
    </row>
    <row r="124" spans="1:10" ht="21.25" customHeight="1" x14ac:dyDescent="0.15">
      <c r="A124" s="8" t="s">
        <v>648</v>
      </c>
      <c r="B124" s="57" t="str">
        <f>VLOOKUP(A124,'The List'!B1:D727,3,FALSE)</f>
        <v>C</v>
      </c>
      <c r="C124" s="58">
        <f>IF(Settings!$E$15="POINTS",RANK(E124,E3:E211),H124)</f>
        <v>124</v>
      </c>
      <c r="D124" s="35" t="str">
        <f>VLOOKUP(A124,'The List'!B1:F727,5,FALSE)</f>
        <v>SEA</v>
      </c>
      <c r="E124" s="39">
        <f>VLOOKUP(A124,'The List'!B1:I727,8,FALSE)</f>
        <v>159.48378687977697</v>
      </c>
      <c r="F124" s="39">
        <f>IF(Settings!$E$15="POINTS",E124-VLOOKUP(B$2,C1:E211,3,FALSE),J124)</f>
        <v>-233.84501888643268</v>
      </c>
      <c r="G124" s="39"/>
      <c r="H124" s="138">
        <f>RANK(I124,I3:I211)</f>
        <v>125</v>
      </c>
      <c r="I124" s="139">
        <f>VLOOKUP(A124,'Standard Deviations'!A1:C728,3,FALSE)</f>
        <v>-2.0046933584710267</v>
      </c>
      <c r="J124" s="139">
        <f>I124-VLOOKUP(B$2,H1:J211,2,FALSE)</f>
        <v>-8.5789582492542316</v>
      </c>
    </row>
    <row r="125" spans="1:10" ht="21.25" customHeight="1" x14ac:dyDescent="0.15">
      <c r="A125" s="8" t="s">
        <v>649</v>
      </c>
      <c r="B125" s="57" t="str">
        <f>VLOOKUP(A125,'The List'!B1:D727,3,FALSE)</f>
        <v>C</v>
      </c>
      <c r="C125" s="58">
        <f>IF(Settings!$E$15="POINTS",RANK(E125,E3:E211),H125)</f>
        <v>125</v>
      </c>
      <c r="D125" s="35" t="str">
        <f>VLOOKUP(A125,'The List'!B1:F727,5,FALSE)</f>
        <v>OTT</v>
      </c>
      <c r="E125" s="39">
        <f>VLOOKUP(A125,'The List'!B1:I727,8,FALSE)</f>
        <v>159.46887243296703</v>
      </c>
      <c r="F125" s="39">
        <f>IF(Settings!$E$15="POINTS",E125-VLOOKUP(B$2,C1:E211,3,FALSE),J125)</f>
        <v>-233.85993333324262</v>
      </c>
      <c r="G125" s="39"/>
      <c r="H125" s="138">
        <f>RANK(I125,I3:I211)</f>
        <v>120</v>
      </c>
      <c r="I125" s="139">
        <f>VLOOKUP(A125,'Standard Deviations'!A1:C728,3,FALSE)</f>
        <v>-1.885220363348185</v>
      </c>
      <c r="J125" s="139">
        <f>I125-VLOOKUP(B$2,H1:J211,2,FALSE)</f>
        <v>-8.4594852541313905</v>
      </c>
    </row>
    <row r="126" spans="1:10" ht="21.25" customHeight="1" x14ac:dyDescent="0.15">
      <c r="A126" s="8" t="s">
        <v>651</v>
      </c>
      <c r="B126" s="57" t="str">
        <f>VLOOKUP(A126,'The List'!B1:D727,3,FALSE)</f>
        <v>C</v>
      </c>
      <c r="C126" s="58">
        <f>IF(Settings!$E$15="POINTS",RANK(E126,E3:E211),H126)</f>
        <v>126</v>
      </c>
      <c r="D126" s="35" t="str">
        <f>VLOOKUP(A126,'The List'!B1:F727,5,FALSE)</f>
        <v>CAR</v>
      </c>
      <c r="E126" s="39">
        <f>VLOOKUP(A126,'The List'!B1:I727,8,FALSE)</f>
        <v>159.16209032517074</v>
      </c>
      <c r="F126" s="39">
        <f>IF(Settings!$E$15="POINTS",E126-VLOOKUP(B$2,C1:E211,3,FALSE),J126)</f>
        <v>-234.16671544103892</v>
      </c>
      <c r="G126" s="39"/>
      <c r="H126" s="138">
        <f>RANK(I126,I3:I211)</f>
        <v>95</v>
      </c>
      <c r="I126" s="139">
        <f>VLOOKUP(A126,'Standard Deviations'!A1:C728,3,FALSE)</f>
        <v>-0.32143919620416161</v>
      </c>
      <c r="J126" s="139">
        <f>I126-VLOOKUP(B$2,H1:J211,2,FALSE)</f>
        <v>-6.8957040869873669</v>
      </c>
    </row>
    <row r="127" spans="1:10" ht="21.25" customHeight="1" x14ac:dyDescent="0.15">
      <c r="A127" s="8" t="s">
        <v>652</v>
      </c>
      <c r="B127" s="57" t="str">
        <f>VLOOKUP(A127,'The List'!B1:D727,3,FALSE)</f>
        <v>C</v>
      </c>
      <c r="C127" s="58">
        <f>IF(Settings!$E$15="POINTS",RANK(E127,E3:E211),H127)</f>
        <v>127</v>
      </c>
      <c r="D127" s="35" t="str">
        <f>VLOOKUP(A127,'The List'!B1:F727,5,FALSE)</f>
        <v>CBJ</v>
      </c>
      <c r="E127" s="39">
        <f>VLOOKUP(A127,'The List'!B1:I727,8,FALSE)</f>
        <v>158.82461443652309</v>
      </c>
      <c r="F127" s="39">
        <f>IF(Settings!$E$15="POINTS",E127-VLOOKUP(B$2,C1:E211,3,FALSE),J127)</f>
        <v>-234.50419132968656</v>
      </c>
      <c r="G127" s="39"/>
      <c r="H127" s="138">
        <f>RANK(I127,I3:I211)</f>
        <v>167</v>
      </c>
      <c r="I127" s="139">
        <f>VLOOKUP(A127,'Standard Deviations'!A1:C728,3,FALSE)</f>
        <v>-3.5874410021348364</v>
      </c>
      <c r="J127" s="139">
        <f>I127-VLOOKUP(B$2,H1:J211,2,FALSE)</f>
        <v>-10.161705892918043</v>
      </c>
    </row>
    <row r="128" spans="1:10" ht="21.25" customHeight="1" x14ac:dyDescent="0.15">
      <c r="A128" s="8" t="s">
        <v>646</v>
      </c>
      <c r="B128" s="57" t="str">
        <f>VLOOKUP(A128,'The List'!B1:D727,3,FALSE)</f>
        <v>C</v>
      </c>
      <c r="C128" s="58">
        <f>IF(Settings!$E$15="POINTS",RANK(E128,E3:E211),H128)</f>
        <v>123</v>
      </c>
      <c r="D128" s="35" t="str">
        <f>VLOOKUP(A128,'The List'!B1:F727,5,FALSE)</f>
        <v>UFA</v>
      </c>
      <c r="E128" s="39">
        <f>VLOOKUP(A128,'The List'!B1:I727,8,FALSE)</f>
        <v>159.78714799506324</v>
      </c>
      <c r="F128" s="39">
        <f>IF(Settings!$E$15="POINTS",E128-VLOOKUP(B$2,C1:E211,3,FALSE),J128)</f>
        <v>-233.54165777114642</v>
      </c>
      <c r="G128" s="39"/>
      <c r="H128" s="138">
        <f>RANK(I128,I3:I211)</f>
        <v>118</v>
      </c>
      <c r="I128" s="139">
        <f>VLOOKUP(A128,'Standard Deviations'!A1:C728,3,FALSE)</f>
        <v>-1.8653129545641527</v>
      </c>
      <c r="J128" s="139">
        <f>I128-VLOOKUP(B$2,H1:J211,2,FALSE)</f>
        <v>-8.4395778453473582</v>
      </c>
    </row>
    <row r="129" spans="1:10" ht="21.25" customHeight="1" x14ac:dyDescent="0.15">
      <c r="A129" s="8" t="s">
        <v>640</v>
      </c>
      <c r="B129" s="57" t="str">
        <f>VLOOKUP(A129,'The List'!B1:D727,3,FALSE)</f>
        <v>C</v>
      </c>
      <c r="C129" s="58">
        <f>IF(Settings!$E$15="POINTS",RANK(E129,E3:E211),H129)</f>
        <v>121</v>
      </c>
      <c r="D129" s="35" t="str">
        <f>VLOOKUP(A129,'The List'!B1:F727,5,FALSE)</f>
        <v>WPG</v>
      </c>
      <c r="E129" s="39">
        <f>VLOOKUP(A129,'The List'!B1:I727,8,FALSE)</f>
        <v>161.64994015045767</v>
      </c>
      <c r="F129" s="39">
        <f>IF(Settings!$E$15="POINTS",E129-VLOOKUP(B$2,C1:E211,3,FALSE),J129)</f>
        <v>-231.67886561575199</v>
      </c>
      <c r="G129" s="39"/>
      <c r="H129" s="138">
        <f>RANK(I129,I3:I211)</f>
        <v>115</v>
      </c>
      <c r="I129" s="139">
        <f>VLOOKUP(A129,'Standard Deviations'!A1:C728,3,FALSE)</f>
        <v>-1.6462456270560568</v>
      </c>
      <c r="J129" s="139">
        <f>I129-VLOOKUP(B$2,H1:J211,2,FALSE)</f>
        <v>-8.2205105178392621</v>
      </c>
    </row>
    <row r="130" spans="1:10" ht="21.25" customHeight="1" x14ac:dyDescent="0.15">
      <c r="A130" s="8" t="s">
        <v>665</v>
      </c>
      <c r="B130" s="57" t="str">
        <f>VLOOKUP(A130,'The List'!B1:D727,3,FALSE)</f>
        <v>C</v>
      </c>
      <c r="C130" s="58">
        <f>IF(Settings!$E$15="POINTS",RANK(E130,E3:E211),H130)</f>
        <v>129</v>
      </c>
      <c r="D130" s="35" t="str">
        <f>VLOOKUP(A130,'The List'!B1:F727,5,FALSE)</f>
        <v>TBL</v>
      </c>
      <c r="E130" s="39">
        <f>VLOOKUP(A130,'The List'!B1:I727,8,FALSE)</f>
        <v>154.44143672735058</v>
      </c>
      <c r="F130" s="39">
        <f>IF(Settings!$E$15="POINTS",E130-VLOOKUP(B$2,C1:E211,3,FALSE),J130)</f>
        <v>-238.88736903885908</v>
      </c>
      <c r="G130" s="39"/>
      <c r="H130" s="138">
        <f>RANK(I130,I3:I211)</f>
        <v>127</v>
      </c>
      <c r="I130" s="139">
        <f>VLOOKUP(A130,'Standard Deviations'!A1:C728,3,FALSE)</f>
        <v>-2.0391252041470653</v>
      </c>
      <c r="J130" s="139">
        <f>I130-VLOOKUP(B$2,H1:J211,2,FALSE)</f>
        <v>-8.6133900949302706</v>
      </c>
    </row>
    <row r="131" spans="1:10" ht="21.25" customHeight="1" x14ac:dyDescent="0.15">
      <c r="A131" s="8" t="s">
        <v>657</v>
      </c>
      <c r="B131" s="57" t="str">
        <f>VLOOKUP(A131,'The List'!B1:D727,3,FALSE)</f>
        <v>C</v>
      </c>
      <c r="C131" s="58">
        <f>IF(Settings!$E$15="POINTS",RANK(E131,E3:E211),H131)</f>
        <v>128</v>
      </c>
      <c r="D131" s="35" t="str">
        <f>VLOOKUP(A131,'The List'!B1:F727,5,FALSE)</f>
        <v>NSH</v>
      </c>
      <c r="E131" s="39">
        <f>VLOOKUP(A131,'The List'!B1:I727,8,FALSE)</f>
        <v>157.00202407955777</v>
      </c>
      <c r="F131" s="39">
        <f>IF(Settings!$E$15="POINTS",E131-VLOOKUP(B$2,C1:E211,3,FALSE),J131)</f>
        <v>-236.32678168665188</v>
      </c>
      <c r="G131" s="39"/>
      <c r="H131" s="138">
        <f>RANK(I131,I3:I211)</f>
        <v>145</v>
      </c>
      <c r="I131" s="139">
        <f>VLOOKUP(A131,'Standard Deviations'!A1:C728,3,FALSE)</f>
        <v>-2.593182536813178</v>
      </c>
      <c r="J131" s="139">
        <f>I131-VLOOKUP(B$2,H1:J211,2,FALSE)</f>
        <v>-9.1674474275963842</v>
      </c>
    </row>
    <row r="132" spans="1:10" ht="21.25" customHeight="1" x14ac:dyDescent="0.15">
      <c r="A132" s="8" t="s">
        <v>675</v>
      </c>
      <c r="B132" s="57" t="str">
        <f>VLOOKUP(A132,'The List'!B1:D727,3,FALSE)</f>
        <v>C</v>
      </c>
      <c r="C132" s="58">
        <f>IF(Settings!$E$15="POINTS",RANK(E132,E3:E211),H132)</f>
        <v>132</v>
      </c>
      <c r="D132" s="35" t="str">
        <f>VLOOKUP(A132,'The List'!B1:F727,5,FALSE)</f>
        <v>UFA</v>
      </c>
      <c r="E132" s="39">
        <f>VLOOKUP(A132,'The List'!B1:I727,8,FALSE)</f>
        <v>152.02173061794485</v>
      </c>
      <c r="F132" s="39">
        <f>IF(Settings!$E$15="POINTS",E132-VLOOKUP(B$2,C1:E211,3,FALSE),J132)</f>
        <v>-241.3070751482648</v>
      </c>
      <c r="G132" s="39"/>
      <c r="H132" s="138">
        <f>RANK(I132,I3:I211)</f>
        <v>146</v>
      </c>
      <c r="I132" s="139">
        <f>VLOOKUP(A132,'Standard Deviations'!A1:C728,3,FALSE)</f>
        <v>-2.6402565325797043</v>
      </c>
      <c r="J132" s="139">
        <f>I132-VLOOKUP(B$2,H1:J211,2,FALSE)</f>
        <v>-9.2145214233629105</v>
      </c>
    </row>
    <row r="133" spans="1:10" ht="21.25" customHeight="1" x14ac:dyDescent="0.15">
      <c r="A133" s="8" t="s">
        <v>679</v>
      </c>
      <c r="B133" s="57" t="str">
        <f>VLOOKUP(A133,'The List'!B1:D727,3,FALSE)</f>
        <v>C</v>
      </c>
      <c r="C133" s="58">
        <f>IF(Settings!$E$15="POINTS",RANK(E133,E3:E211),H133)</f>
        <v>133</v>
      </c>
      <c r="D133" s="35" t="str">
        <f>VLOOKUP(A133,'The List'!B1:F727,5,FALSE)</f>
        <v>BOS</v>
      </c>
      <c r="E133" s="39">
        <f>VLOOKUP(A133,'The List'!B1:I727,8,FALSE)</f>
        <v>151.30695946571737</v>
      </c>
      <c r="F133" s="39">
        <f>IF(Settings!$E$15="POINTS",E133-VLOOKUP(B$2,C1:E211,3,FALSE),J133)</f>
        <v>-242.02184630049229</v>
      </c>
      <c r="G133" s="39"/>
      <c r="H133" s="138">
        <f>RANK(I133,I3:I211)</f>
        <v>103</v>
      </c>
      <c r="I133" s="139">
        <f>VLOOKUP(A133,'Standard Deviations'!A1:C728,3,FALSE)</f>
        <v>-0.9773984272367493</v>
      </c>
      <c r="J133" s="139">
        <f>I133-VLOOKUP(B$2,H1:J211,2,FALSE)</f>
        <v>-7.5516633180199548</v>
      </c>
    </row>
    <row r="134" spans="1:10" ht="21.25" customHeight="1" x14ac:dyDescent="0.15">
      <c r="A134" s="8" t="s">
        <v>668</v>
      </c>
      <c r="B134" s="57" t="str">
        <f>VLOOKUP(A134,'The List'!B1:D727,3,FALSE)</f>
        <v>C</v>
      </c>
      <c r="C134" s="58">
        <f>IF(Settings!$E$15="POINTS",RANK(E134,E3:E211),H134)</f>
        <v>130</v>
      </c>
      <c r="D134" s="35" t="str">
        <f>VLOOKUP(A134,'The List'!B1:F727,5,FALSE)</f>
        <v>EDM</v>
      </c>
      <c r="E134" s="39">
        <f>VLOOKUP(A134,'The List'!B1:I727,8,FALSE)</f>
        <v>154.07120460853051</v>
      </c>
      <c r="F134" s="39">
        <f>IF(Settings!$E$15="POINTS",E134-VLOOKUP(B$2,C1:E211,3,FALSE),J134)</f>
        <v>-239.25760115767915</v>
      </c>
      <c r="G134" s="39"/>
      <c r="H134" s="138">
        <f>RANK(I134,I3:I211)</f>
        <v>110</v>
      </c>
      <c r="I134" s="139">
        <f>VLOOKUP(A134,'Standard Deviations'!A1:C728,3,FALSE)</f>
        <v>-1.1671929846546041</v>
      </c>
      <c r="J134" s="139">
        <f>I134-VLOOKUP(B$2,H1:J211,2,FALSE)</f>
        <v>-7.7414578754378098</v>
      </c>
    </row>
    <row r="135" spans="1:10" ht="21.25" customHeight="1" x14ac:dyDescent="0.15">
      <c r="A135" s="8" t="s">
        <v>671</v>
      </c>
      <c r="B135" s="57" t="str">
        <f>VLOOKUP(A135,'The List'!B1:D727,3,FALSE)</f>
        <v>C</v>
      </c>
      <c r="C135" s="58">
        <f>IF(Settings!$E$15="POINTS",RANK(E135,E3:E211),H135)</f>
        <v>131</v>
      </c>
      <c r="D135" s="35" t="str">
        <f>VLOOKUP(A135,'The List'!B1:F727,5,FALSE)</f>
        <v>LAK</v>
      </c>
      <c r="E135" s="39">
        <f>VLOOKUP(A135,'The List'!B1:I727,8,FALSE)</f>
        <v>153.5882276147284</v>
      </c>
      <c r="F135" s="39">
        <f>IF(Settings!$E$15="POINTS",E135-VLOOKUP(B$2,C1:E211,3,FALSE),J135)</f>
        <v>-239.74057815148126</v>
      </c>
      <c r="G135" s="39"/>
      <c r="H135" s="138">
        <f>RANK(I135,I3:I211)</f>
        <v>135</v>
      </c>
      <c r="I135" s="139">
        <f>VLOOKUP(A135,'Standard Deviations'!A1:C728,3,FALSE)</f>
        <v>-2.3105991812362654</v>
      </c>
      <c r="J135" s="139">
        <f>I135-VLOOKUP(B$2,H1:J211,2,FALSE)</f>
        <v>-8.8848640720194716</v>
      </c>
    </row>
    <row r="136" spans="1:10" ht="21.25" customHeight="1" x14ac:dyDescent="0.15">
      <c r="A136" s="8" t="s">
        <v>688</v>
      </c>
      <c r="B136" s="57" t="str">
        <f>VLOOKUP(A136,'The List'!B1:D727,3,FALSE)</f>
        <v>C</v>
      </c>
      <c r="C136" s="58">
        <f>IF(Settings!$E$15="POINTS",RANK(E136,E3:E211),H136)</f>
        <v>136</v>
      </c>
      <c r="D136" s="35" t="str">
        <f>VLOOKUP(A136,'The List'!B1:F727,5,FALSE)</f>
        <v>DET</v>
      </c>
      <c r="E136" s="39">
        <f>VLOOKUP(A136,'The List'!B1:I727,8,FALSE)</f>
        <v>148.0489390311198</v>
      </c>
      <c r="F136" s="39">
        <f>IF(Settings!$E$15="POINTS",E136-VLOOKUP(B$2,C1:E211,3,FALSE),J136)</f>
        <v>-245.27986673508985</v>
      </c>
      <c r="G136" s="39"/>
      <c r="H136" s="138">
        <f>RANK(I136,I3:I211)</f>
        <v>151</v>
      </c>
      <c r="I136" s="139">
        <f>VLOOKUP(A136,'Standard Deviations'!A1:C728,3,FALSE)</f>
        <v>-2.7506752161100536</v>
      </c>
      <c r="J136" s="139">
        <f>I136-VLOOKUP(B$2,H1:J211,2,FALSE)</f>
        <v>-9.3249401068932585</v>
      </c>
    </row>
    <row r="137" spans="1:10" ht="21.25" customHeight="1" x14ac:dyDescent="0.15">
      <c r="A137" s="8" t="s">
        <v>687</v>
      </c>
      <c r="B137" s="57" t="str">
        <f>VLOOKUP(A137,'The List'!B1:D727,3,FALSE)</f>
        <v>C</v>
      </c>
      <c r="C137" s="58">
        <f>IF(Settings!$E$15="POINTS",RANK(E137,E3:E211),H137)</f>
        <v>135</v>
      </c>
      <c r="D137" s="35" t="str">
        <f>VLOOKUP(A137,'The List'!B1:F727,5,FALSE)</f>
        <v>SJS</v>
      </c>
      <c r="E137" s="39">
        <f>VLOOKUP(A137,'The List'!B1:I727,8,FALSE)</f>
        <v>148.50606152045623</v>
      </c>
      <c r="F137" s="39">
        <f>IF(Settings!$E$15="POINTS",E137-VLOOKUP(B$2,C1:E211,3,FALSE),J137)</f>
        <v>-244.82274424575343</v>
      </c>
      <c r="G137" s="39"/>
      <c r="H137" s="138">
        <f>RANK(I137,I3:I211)</f>
        <v>133</v>
      </c>
      <c r="I137" s="139">
        <f>VLOOKUP(A137,'Standard Deviations'!A1:C728,3,FALSE)</f>
        <v>-2.2626264116211172</v>
      </c>
      <c r="J137" s="139">
        <f>I137-VLOOKUP(B$2,H1:J211,2,FALSE)</f>
        <v>-8.8368913024043234</v>
      </c>
    </row>
    <row r="138" spans="1:10" ht="21.25" customHeight="1" x14ac:dyDescent="0.15">
      <c r="A138" s="8" t="s">
        <v>681</v>
      </c>
      <c r="B138" s="57" t="str">
        <f>VLOOKUP(A138,'The List'!B1:D727,3,FALSE)</f>
        <v>C</v>
      </c>
      <c r="C138" s="58">
        <f>IF(Settings!$E$15="POINTS",RANK(E138,E3:E211),H138)</f>
        <v>134</v>
      </c>
      <c r="D138" s="35" t="str">
        <f>VLOOKUP(A138,'The List'!B1:F727,5,FALSE)</f>
        <v>CHI</v>
      </c>
      <c r="E138" s="39">
        <f>VLOOKUP(A138,'The List'!B1:I727,8,FALSE)</f>
        <v>151.18964837155184</v>
      </c>
      <c r="F138" s="39">
        <f>IF(Settings!$E$15="POINTS",E138-VLOOKUP(B$2,C1:E211,3,FALSE),J138)</f>
        <v>-242.13915739465781</v>
      </c>
      <c r="G138" s="39"/>
      <c r="H138" s="138">
        <f>RANK(I138,I3:I211)</f>
        <v>168</v>
      </c>
      <c r="I138" s="139">
        <f>VLOOKUP(A138,'Standard Deviations'!A1:C728,3,FALSE)</f>
        <v>-3.7613982724994179</v>
      </c>
      <c r="J138" s="139">
        <f>I138-VLOOKUP(B$2,H1:J211,2,FALSE)</f>
        <v>-10.335663163282623</v>
      </c>
    </row>
    <row r="139" spans="1:10" ht="21.25" customHeight="1" x14ac:dyDescent="0.15">
      <c r="A139" s="8" t="s">
        <v>692</v>
      </c>
      <c r="B139" s="57" t="str">
        <f>VLOOKUP(A139,'The List'!B1:D727,3,FALSE)</f>
        <v>C</v>
      </c>
      <c r="C139" s="58">
        <f>IF(Settings!$E$15="POINTS",RANK(E139,E3:E211),H139)</f>
        <v>138</v>
      </c>
      <c r="D139" s="35" t="str">
        <f>VLOOKUP(A139,'The List'!B1:F727,5,FALSE)</f>
        <v>WPG</v>
      </c>
      <c r="E139" s="39">
        <f>VLOOKUP(A139,'The List'!B1:I727,8,FALSE)</f>
        <v>146.17302664424537</v>
      </c>
      <c r="F139" s="39">
        <f>IF(Settings!$E$15="POINTS",E139-VLOOKUP(B$2,C1:E211,3,FALSE),J139)</f>
        <v>-247.15577912196429</v>
      </c>
      <c r="G139" s="39"/>
      <c r="H139" s="138">
        <f>RANK(I139,I3:I211)</f>
        <v>131</v>
      </c>
      <c r="I139" s="139">
        <f>VLOOKUP(A139,'Standard Deviations'!A1:C728,3,FALSE)</f>
        <v>-2.2054013903361511</v>
      </c>
      <c r="J139" s="139">
        <f>I139-VLOOKUP(B$2,H1:J211,2,FALSE)</f>
        <v>-8.7796662811193578</v>
      </c>
    </row>
    <row r="140" spans="1:10" ht="21.25" customHeight="1" x14ac:dyDescent="0.15">
      <c r="A140" s="8" t="s">
        <v>691</v>
      </c>
      <c r="B140" s="57" t="str">
        <f>VLOOKUP(A140,'The List'!B1:D727,3,FALSE)</f>
        <v>C</v>
      </c>
      <c r="C140" s="58">
        <f>IF(Settings!$E$15="POINTS",RANK(E140,E3:E211),H140)</f>
        <v>137</v>
      </c>
      <c r="D140" s="35" t="str">
        <f>VLOOKUP(A140,'The List'!B1:F727,5,FALSE)</f>
        <v>ARI</v>
      </c>
      <c r="E140" s="39">
        <f>VLOOKUP(A140,'The List'!B1:I727,8,FALSE)</f>
        <v>146.46425278873022</v>
      </c>
      <c r="F140" s="39">
        <f>IF(Settings!$E$15="POINTS",E140-VLOOKUP(B$2,C1:E211,3,FALSE),J140)</f>
        <v>-246.86455297747943</v>
      </c>
      <c r="G140" s="39"/>
      <c r="H140" s="138">
        <f>RANK(I140,I3:I211)</f>
        <v>152</v>
      </c>
      <c r="I140" s="139">
        <f>VLOOKUP(A140,'Standard Deviations'!A1:C728,3,FALSE)</f>
        <v>-2.7606714380052928</v>
      </c>
      <c r="J140" s="139">
        <f>I140-VLOOKUP(B$2,H1:J211,2,FALSE)</f>
        <v>-9.3349363287884977</v>
      </c>
    </row>
    <row r="141" spans="1:10" ht="21.25" customHeight="1" x14ac:dyDescent="0.15">
      <c r="A141" s="8" t="s">
        <v>694</v>
      </c>
      <c r="B141" s="57" t="str">
        <f>VLOOKUP(A141,'The List'!B1:D727,3,FALSE)</f>
        <v>C</v>
      </c>
      <c r="C141" s="58">
        <f>IF(Settings!$E$15="POINTS",RANK(E141,E3:E211),H141)</f>
        <v>139</v>
      </c>
      <c r="D141" s="35" t="str">
        <f>VLOOKUP(A141,'The List'!B1:F727,5,FALSE)</f>
        <v>NSH</v>
      </c>
      <c r="E141" s="39">
        <f>VLOOKUP(A141,'The List'!B1:I727,8,FALSE)</f>
        <v>145.72588203411783</v>
      </c>
      <c r="F141" s="39">
        <f>IF(Settings!$E$15="POINTS",E141-VLOOKUP(B$2,C1:E211,3,FALSE),J141)</f>
        <v>-247.60292373209182</v>
      </c>
      <c r="G141" s="39"/>
      <c r="H141" s="138">
        <f>RANK(I141,I3:I211)</f>
        <v>144</v>
      </c>
      <c r="I141" s="139">
        <f>VLOOKUP(A141,'Standard Deviations'!A1:C728,3,FALSE)</f>
        <v>-2.5549367528689224</v>
      </c>
      <c r="J141" s="139">
        <f>I141-VLOOKUP(B$2,H1:J211,2,FALSE)</f>
        <v>-9.1292016436521273</v>
      </c>
    </row>
    <row r="142" spans="1:10" ht="21.25" customHeight="1" x14ac:dyDescent="0.15">
      <c r="A142" s="8" t="s">
        <v>702</v>
      </c>
      <c r="B142" s="57" t="str">
        <f>VLOOKUP(A142,'The List'!B1:D727,3,FALSE)</f>
        <v>C</v>
      </c>
      <c r="C142" s="58">
        <f>IF(Settings!$E$15="POINTS",RANK(E142,E3:E211),H142)</f>
        <v>140</v>
      </c>
      <c r="D142" s="35" t="str">
        <f>VLOOKUP(A142,'The List'!B1:F727,5,FALSE)</f>
        <v>UFA</v>
      </c>
      <c r="E142" s="39">
        <f>VLOOKUP(A142,'The List'!B1:I727,8,FALSE)</f>
        <v>141.48279291071893</v>
      </c>
      <c r="F142" s="39">
        <f>IF(Settings!$E$15="POINTS",E142-VLOOKUP(B$2,C1:E211,3,FALSE),J142)</f>
        <v>-251.84601285549073</v>
      </c>
      <c r="G142" s="39"/>
      <c r="H142" s="138">
        <f>RANK(I142,I3:I211)</f>
        <v>143</v>
      </c>
      <c r="I142" s="139">
        <f>VLOOKUP(A142,'Standard Deviations'!A1:C728,3,FALSE)</f>
        <v>-2.5525309897151724</v>
      </c>
      <c r="J142" s="139">
        <f>I142-VLOOKUP(B$2,H1:J211,2,FALSE)</f>
        <v>-9.1267958804983778</v>
      </c>
    </row>
    <row r="143" spans="1:10" ht="21.25" customHeight="1" x14ac:dyDescent="0.15">
      <c r="A143" s="8" t="s">
        <v>704</v>
      </c>
      <c r="B143" s="57" t="str">
        <f>VLOOKUP(A143,'The List'!B1:D727,3,FALSE)</f>
        <v>C</v>
      </c>
      <c r="C143" s="58">
        <f>IF(Settings!$E$15="POINTS",RANK(E143,E3:E211),H143)</f>
        <v>141</v>
      </c>
      <c r="D143" s="35" t="str">
        <f>VLOOKUP(A143,'The List'!B1:F727,5,FALSE)</f>
        <v>NYR</v>
      </c>
      <c r="E143" s="39">
        <f>VLOOKUP(A143,'The List'!B1:I727,8,FALSE)</f>
        <v>141.2540240556327</v>
      </c>
      <c r="F143" s="39">
        <f>IF(Settings!$E$15="POINTS",E143-VLOOKUP(B$2,C1:E211,3,FALSE),J143)</f>
        <v>-252.07478171057696</v>
      </c>
      <c r="G143" s="39"/>
      <c r="H143" s="138">
        <f>RANK(I143,I3:I211)</f>
        <v>114</v>
      </c>
      <c r="I143" s="139">
        <f>VLOOKUP(A143,'Standard Deviations'!A1:C728,3,FALSE)</f>
        <v>-1.3702774275892089</v>
      </c>
      <c r="J143" s="139">
        <f>I143-VLOOKUP(B$2,H1:J211,2,FALSE)</f>
        <v>-7.9445423183724149</v>
      </c>
    </row>
    <row r="144" spans="1:10" ht="21.25" customHeight="1" x14ac:dyDescent="0.15">
      <c r="A144" s="8" t="s">
        <v>708</v>
      </c>
      <c r="B144" s="57" t="str">
        <f>VLOOKUP(A144,'The List'!B1:D727,3,FALSE)</f>
        <v>C</v>
      </c>
      <c r="C144" s="58">
        <f>IF(Settings!$E$15="POINTS",RANK(E144,E3:E211),H144)</f>
        <v>142</v>
      </c>
      <c r="D144" s="35" t="str">
        <f>VLOOKUP(A144,'The List'!B1:F727,5,FALSE)</f>
        <v>TOR</v>
      </c>
      <c r="E144" s="39">
        <f>VLOOKUP(A144,'The List'!B1:I727,8,FALSE)</f>
        <v>139.38448241226629</v>
      </c>
      <c r="F144" s="39">
        <f>IF(Settings!$E$15="POINTS",E144-VLOOKUP(B$2,C1:E211,3,FALSE),J144)</f>
        <v>-253.94432335394336</v>
      </c>
      <c r="G144" s="39"/>
      <c r="H144" s="138">
        <f>RANK(I144,I3:I211)</f>
        <v>128</v>
      </c>
      <c r="I144" s="139">
        <f>VLOOKUP(A144,'Standard Deviations'!A1:C728,3,FALSE)</f>
        <v>-2.1305058003181618</v>
      </c>
      <c r="J144" s="139">
        <f>I144-VLOOKUP(B$2,H1:J211,2,FALSE)</f>
        <v>-8.704770691101368</v>
      </c>
    </row>
    <row r="145" spans="1:10" ht="21.25" customHeight="1" x14ac:dyDescent="0.15">
      <c r="A145" s="8" t="s">
        <v>709</v>
      </c>
      <c r="B145" s="57" t="str">
        <f>VLOOKUP(A145,'The List'!B1:D727,3,FALSE)</f>
        <v>C</v>
      </c>
      <c r="C145" s="58">
        <f>IF(Settings!$E$15="POINTS",RANK(E145,E3:E211),H145)</f>
        <v>143</v>
      </c>
      <c r="D145" s="35" t="str">
        <f>VLOOKUP(A145,'The List'!B1:F727,5,FALSE)</f>
        <v>EDM</v>
      </c>
      <c r="E145" s="39">
        <f>VLOOKUP(A145,'The List'!B1:I727,8,FALSE)</f>
        <v>138.86359950449793</v>
      </c>
      <c r="F145" s="39">
        <f>IF(Settings!$E$15="POINTS",E145-VLOOKUP(B$2,C1:E211,3,FALSE),J145)</f>
        <v>-254.46520626171173</v>
      </c>
      <c r="G145" s="39"/>
      <c r="H145" s="138">
        <f>RANK(I145,I3:I211)</f>
        <v>126</v>
      </c>
      <c r="I145" s="139">
        <f>VLOOKUP(A145,'Standard Deviations'!A1:C728,3,FALSE)</f>
        <v>-2.0325857723825993</v>
      </c>
      <c r="J145" s="139">
        <f>I145-VLOOKUP(B$2,H1:J211,2,FALSE)</f>
        <v>-8.6068506631658046</v>
      </c>
    </row>
    <row r="146" spans="1:10" ht="21.25" customHeight="1" x14ac:dyDescent="0.15">
      <c r="A146" s="8" t="s">
        <v>719</v>
      </c>
      <c r="B146" s="57" t="str">
        <f>VLOOKUP(A146,'The List'!B1:D727,3,FALSE)</f>
        <v>C</v>
      </c>
      <c r="C146" s="58">
        <f>IF(Settings!$E$15="POINTS",RANK(E146,E3:E211),H146)</f>
        <v>145</v>
      </c>
      <c r="D146" s="35" t="str">
        <f>VLOOKUP(A146,'The List'!B1:F727,5,FALSE)</f>
        <v>PIT</v>
      </c>
      <c r="E146" s="39">
        <f>VLOOKUP(A146,'The List'!B1:I727,8,FALSE)</f>
        <v>134.17186007750206</v>
      </c>
      <c r="F146" s="39">
        <f>IF(Settings!$E$15="POINTS",E146-VLOOKUP(B$2,C1:E211,3,FALSE),J146)</f>
        <v>-259.15694568870759</v>
      </c>
      <c r="G146" s="39"/>
      <c r="H146" s="138">
        <f>RANK(I146,I3:I211)</f>
        <v>139</v>
      </c>
      <c r="I146" s="139">
        <f>VLOOKUP(A146,'Standard Deviations'!A1:C728,3,FALSE)</f>
        <v>-2.393163718691997</v>
      </c>
      <c r="J146" s="139">
        <f>I146-VLOOKUP(B$2,H1:J211,2,FALSE)</f>
        <v>-8.9674286094752027</v>
      </c>
    </row>
    <row r="147" spans="1:10" ht="21.25" customHeight="1" x14ac:dyDescent="0.15">
      <c r="A147" s="8" t="s">
        <v>724</v>
      </c>
      <c r="B147" s="57" t="str">
        <f>VLOOKUP(A147,'The List'!B1:D727,3,FALSE)</f>
        <v>C</v>
      </c>
      <c r="C147" s="58">
        <f>IF(Settings!$E$15="POINTS",RANK(E147,E3:E211),H147)</f>
        <v>146</v>
      </c>
      <c r="D147" s="35" t="str">
        <f>VLOOKUP(A147,'The List'!B1:F727,5,FALSE)</f>
        <v>FLA</v>
      </c>
      <c r="E147" s="39">
        <f>VLOOKUP(A147,'The List'!B1:I727,8,FALSE)</f>
        <v>131.57604042746354</v>
      </c>
      <c r="F147" s="39">
        <f>IF(Settings!$E$15="POINTS",E147-VLOOKUP(B$2,C1:E211,3,FALSE),J147)</f>
        <v>-261.75276533874614</v>
      </c>
      <c r="G147" s="39"/>
      <c r="H147" s="138">
        <f>RANK(I147,I3:I211)</f>
        <v>140</v>
      </c>
      <c r="I147" s="139">
        <f>VLOOKUP(A147,'Standard Deviations'!A1:C728,3,FALSE)</f>
        <v>-2.4120294136659468</v>
      </c>
      <c r="J147" s="139">
        <f>I147-VLOOKUP(B$2,H1:J211,2,FALSE)</f>
        <v>-8.986294304449153</v>
      </c>
    </row>
    <row r="148" spans="1:10" ht="21.25" customHeight="1" x14ac:dyDescent="0.15">
      <c r="A148" s="8" t="s">
        <v>714</v>
      </c>
      <c r="B148" s="57" t="str">
        <f>VLOOKUP(A148,'The List'!B1:D727,3,FALSE)</f>
        <v>C</v>
      </c>
      <c r="C148" s="58">
        <f>IF(Settings!$E$15="POINTS",RANK(E148,E3:E211),H148)</f>
        <v>144</v>
      </c>
      <c r="D148" s="35" t="str">
        <f>VLOOKUP(A148,'The List'!B1:F727,5,FALSE)</f>
        <v>TOR</v>
      </c>
      <c r="E148" s="39">
        <f>VLOOKUP(A148,'The List'!B1:I727,8,FALSE)</f>
        <v>137.56582931963027</v>
      </c>
      <c r="F148" s="39">
        <f>IF(Settings!$E$15="POINTS",E148-VLOOKUP(B$2,C1:E211,3,FALSE),J148)</f>
        <v>-255.76297644657939</v>
      </c>
      <c r="G148" s="39"/>
      <c r="H148" s="138">
        <f>RANK(I148,I3:I211)</f>
        <v>141</v>
      </c>
      <c r="I148" s="139">
        <f>VLOOKUP(A148,'Standard Deviations'!A1:C728,3,FALSE)</f>
        <v>-2.4187039771152459</v>
      </c>
      <c r="J148" s="139">
        <f>I148-VLOOKUP(B$2,H1:J211,2,FALSE)</f>
        <v>-8.9929688678984512</v>
      </c>
    </row>
    <row r="149" spans="1:10" ht="21.25" customHeight="1" x14ac:dyDescent="0.15">
      <c r="A149" s="8" t="s">
        <v>726</v>
      </c>
      <c r="B149" s="57" t="str">
        <f>VLOOKUP(A149,'The List'!B1:D727,3,FALSE)</f>
        <v>C</v>
      </c>
      <c r="C149" s="58">
        <f>IF(Settings!$E$15="POINTS",RANK(E149,E3:E211),H149)</f>
        <v>148</v>
      </c>
      <c r="D149" s="35" t="str">
        <f>VLOOKUP(A149,'The List'!B1:F727,5,FALSE)</f>
        <v>CGY</v>
      </c>
      <c r="E149" s="39">
        <f>VLOOKUP(A149,'The List'!B1:I727,8,FALSE)</f>
        <v>130.88579988732664</v>
      </c>
      <c r="F149" s="39">
        <f>IF(Settings!$E$15="POINTS",E149-VLOOKUP(B$2,C1:E211,3,FALSE),J149)</f>
        <v>-262.44300587888301</v>
      </c>
      <c r="G149" s="39"/>
      <c r="H149" s="138">
        <f>RANK(I149,I3:I211)</f>
        <v>149</v>
      </c>
      <c r="I149" s="139">
        <f>VLOOKUP(A149,'Standard Deviations'!A1:C728,3,FALSE)</f>
        <v>-2.6913897308491816</v>
      </c>
      <c r="J149" s="139">
        <f>I149-VLOOKUP(B$2,H1:J211,2,FALSE)</f>
        <v>-9.2656546216323878</v>
      </c>
    </row>
    <row r="150" spans="1:10" ht="21.25" customHeight="1" x14ac:dyDescent="0.15">
      <c r="A150" s="8" t="s">
        <v>727</v>
      </c>
      <c r="B150" s="57" t="str">
        <f>VLOOKUP(A150,'The List'!B1:D727,3,FALSE)</f>
        <v>C</v>
      </c>
      <c r="C150" s="58">
        <f>IF(Settings!$E$15="POINTS",RANK(E150,E3:E211),H150)</f>
        <v>149</v>
      </c>
      <c r="D150" s="35" t="str">
        <f>VLOOKUP(A150,'The List'!B1:F727,5,FALSE)</f>
        <v>VGK</v>
      </c>
      <c r="E150" s="39">
        <f>VLOOKUP(A150,'The List'!B1:I727,8,FALSE)</f>
        <v>130.84734551135807</v>
      </c>
      <c r="F150" s="39">
        <f>IF(Settings!$E$15="POINTS",E150-VLOOKUP(B$2,C1:E211,3,FALSE),J150)</f>
        <v>-262.48146025485158</v>
      </c>
      <c r="G150" s="39"/>
      <c r="H150" s="138">
        <f>RANK(I150,I3:I211)</f>
        <v>122</v>
      </c>
      <c r="I150" s="139">
        <f>VLOOKUP(A150,'Standard Deviations'!A1:C728,3,FALSE)</f>
        <v>-1.9063948814408307</v>
      </c>
      <c r="J150" s="139">
        <f>I150-VLOOKUP(B$2,H1:J211,2,FALSE)</f>
        <v>-8.4806597722240369</v>
      </c>
    </row>
    <row r="151" spans="1:10" ht="21.25" customHeight="1" x14ac:dyDescent="0.15">
      <c r="A151" s="8" t="s">
        <v>725</v>
      </c>
      <c r="B151" s="57" t="str">
        <f>VLOOKUP(A151,'The List'!B1:D727,3,FALSE)</f>
        <v>C</v>
      </c>
      <c r="C151" s="58">
        <f>IF(Settings!$E$15="POINTS",RANK(E151,E3:E211),H151)</f>
        <v>147</v>
      </c>
      <c r="D151" s="35" t="str">
        <f>VLOOKUP(A151,'The List'!B1:F727,5,FALSE)</f>
        <v>WPG</v>
      </c>
      <c r="E151" s="39">
        <f>VLOOKUP(A151,'The List'!B1:I727,8,FALSE)</f>
        <v>131.12055733892169</v>
      </c>
      <c r="F151" s="39">
        <f>IF(Settings!$E$15="POINTS",E151-VLOOKUP(B$2,C1:E211,3,FALSE),J151)</f>
        <v>-262.20824842728797</v>
      </c>
      <c r="G151" s="39"/>
      <c r="H151" s="138">
        <f>RANK(I151,I3:I211)</f>
        <v>134</v>
      </c>
      <c r="I151" s="139">
        <f>VLOOKUP(A151,'Standard Deviations'!A1:C728,3,FALSE)</f>
        <v>-2.2752699274193677</v>
      </c>
      <c r="J151" s="139">
        <f>I151-VLOOKUP(B$2,H1:J211,2,FALSE)</f>
        <v>-8.8495348182025744</v>
      </c>
    </row>
    <row r="152" spans="1:10" ht="21.25" customHeight="1" x14ac:dyDescent="0.15">
      <c r="A152" s="8" t="s">
        <v>731</v>
      </c>
      <c r="B152" s="57" t="str">
        <f>VLOOKUP(A152,'The List'!B1:D727,3,FALSE)</f>
        <v>C</v>
      </c>
      <c r="C152" s="58">
        <f>IF(Settings!$E$15="POINTS",RANK(E152,E3:E211),H152)</f>
        <v>151</v>
      </c>
      <c r="D152" s="35" t="str">
        <f>VLOOKUP(A152,'The List'!B1:F727,5,FALSE)</f>
        <v>DAL</v>
      </c>
      <c r="E152" s="39">
        <f>VLOOKUP(A152,'The List'!B1:I727,8,FALSE)</f>
        <v>129.1958142608008</v>
      </c>
      <c r="F152" s="39">
        <f>IF(Settings!$E$15="POINTS",E152-VLOOKUP(B$2,C1:E211,3,FALSE),J152)</f>
        <v>-264.13299150540888</v>
      </c>
      <c r="G152" s="39"/>
      <c r="H152" s="138">
        <f>RANK(I152,I3:I211)</f>
        <v>119</v>
      </c>
      <c r="I152" s="139">
        <f>VLOOKUP(A152,'Standard Deviations'!A1:C728,3,FALSE)</f>
        <v>-1.8725021853058845</v>
      </c>
      <c r="J152" s="139">
        <f>I152-VLOOKUP(B$2,H1:J211,2,FALSE)</f>
        <v>-8.4467670760890901</v>
      </c>
    </row>
    <row r="153" spans="1:10" ht="21.25" customHeight="1" x14ac:dyDescent="0.15">
      <c r="A153" s="8" t="s">
        <v>730</v>
      </c>
      <c r="B153" s="57" t="str">
        <f>VLOOKUP(A153,'The List'!B1:D727,3,FALSE)</f>
        <v>C</v>
      </c>
      <c r="C153" s="58">
        <f>IF(Settings!$E$15="POINTS",RANK(E153,E3:E211),H153)</f>
        <v>150</v>
      </c>
      <c r="D153" s="35" t="str">
        <f>VLOOKUP(A153,'The List'!B1:F727,5,FALSE)</f>
        <v>MTL</v>
      </c>
      <c r="E153" s="39">
        <f>VLOOKUP(A153,'The List'!B1:I727,8,FALSE)</f>
        <v>130.50378973601349</v>
      </c>
      <c r="F153" s="39">
        <f>IF(Settings!$E$15="POINTS",E153-VLOOKUP(B$2,C1:E211,3,FALSE),J153)</f>
        <v>-262.82501603019614</v>
      </c>
      <c r="G153" s="39"/>
      <c r="H153" s="138">
        <f>RANK(I153,I3:I211)</f>
        <v>191</v>
      </c>
      <c r="I153" s="139">
        <f>VLOOKUP(A153,'Standard Deviations'!A1:C728,3,FALSE)</f>
        <v>-4.553866249360377</v>
      </c>
      <c r="J153" s="139">
        <f>I153-VLOOKUP(B$2,H1:J211,2,FALSE)</f>
        <v>-11.128131140143584</v>
      </c>
    </row>
    <row r="154" spans="1:10" ht="21.25" customHeight="1" x14ac:dyDescent="0.15">
      <c r="A154" s="8" t="s">
        <v>732</v>
      </c>
      <c r="B154" s="57" t="str">
        <f>VLOOKUP(A154,'The List'!B1:D727,3,FALSE)</f>
        <v>C</v>
      </c>
      <c r="C154" s="58">
        <f>IF(Settings!$E$15="POINTS",RANK(E154,E3:E211),H154)</f>
        <v>152</v>
      </c>
      <c r="D154" s="35" t="str">
        <f>VLOOKUP(A154,'The List'!B1:F727,5,FALSE)</f>
        <v>VAN</v>
      </c>
      <c r="E154" s="39">
        <f>VLOOKUP(A154,'The List'!B1:I727,8,FALSE)</f>
        <v>128.58619856918196</v>
      </c>
      <c r="F154" s="39">
        <f>IF(Settings!$E$15="POINTS",E154-VLOOKUP(B$2,C1:E211,3,FALSE),J154)</f>
        <v>-264.74260719702772</v>
      </c>
      <c r="G154" s="39"/>
      <c r="H154" s="138">
        <f>RANK(I154,I3:I211)</f>
        <v>157</v>
      </c>
      <c r="I154" s="139">
        <f>VLOOKUP(A154,'Standard Deviations'!A1:C728,3,FALSE)</f>
        <v>-3.035542709965926</v>
      </c>
      <c r="J154" s="139">
        <f>I154-VLOOKUP(B$2,H1:J211,2,FALSE)</f>
        <v>-9.6098076007491322</v>
      </c>
    </row>
    <row r="155" spans="1:10" ht="21.25" customHeight="1" x14ac:dyDescent="0.15">
      <c r="A155" s="8" t="s">
        <v>737</v>
      </c>
      <c r="B155" s="57" t="str">
        <f>VLOOKUP(A155,'The List'!B1:D727,3,FALSE)</f>
        <v>C</v>
      </c>
      <c r="C155" s="58">
        <f>IF(Settings!$E$15="POINTS",RANK(E155,E3:E211),H155)</f>
        <v>155</v>
      </c>
      <c r="D155" s="35" t="str">
        <f>VLOOKUP(A155,'The List'!B1:F727,5,FALSE)</f>
        <v>BUF</v>
      </c>
      <c r="E155" s="39">
        <f>VLOOKUP(A155,'The List'!B1:I727,8,FALSE)</f>
        <v>125.20120564247635</v>
      </c>
      <c r="F155" s="39">
        <f>IF(Settings!$E$15="POINTS",E155-VLOOKUP(B$2,C1:E211,3,FALSE),J155)</f>
        <v>-268.12760012373332</v>
      </c>
      <c r="G155" s="39"/>
      <c r="H155" s="138">
        <f>RANK(I155,I3:I211)</f>
        <v>169</v>
      </c>
      <c r="I155" s="139">
        <f>VLOOKUP(A155,'Standard Deviations'!A1:C728,3,FALSE)</f>
        <v>-3.7844274493999555</v>
      </c>
      <c r="J155" s="139">
        <f>I155-VLOOKUP(B$2,H1:J211,2,FALSE)</f>
        <v>-10.358692340183161</v>
      </c>
    </row>
    <row r="156" spans="1:10" ht="21.25" customHeight="1" x14ac:dyDescent="0.15">
      <c r="A156" s="8" t="s">
        <v>740</v>
      </c>
      <c r="B156" s="57" t="str">
        <f>VLOOKUP(A156,'The List'!B1:D727,3,FALSE)</f>
        <v>C</v>
      </c>
      <c r="C156" s="58">
        <f>IF(Settings!$E$15="POINTS",RANK(E156,E3:E211),H156)</f>
        <v>158</v>
      </c>
      <c r="D156" s="35" t="str">
        <f>VLOOKUP(A156,'The List'!B1:F727,5,FALSE)</f>
        <v>ARI</v>
      </c>
      <c r="E156" s="39">
        <f>VLOOKUP(A156,'The List'!B1:I727,8,FALSE)</f>
        <v>124.10794414417873</v>
      </c>
      <c r="F156" s="39">
        <f>IF(Settings!$E$15="POINTS",E156-VLOOKUP(B$2,C1:E211,3,FALSE),J156)</f>
        <v>-269.22086162203095</v>
      </c>
      <c r="G156" s="39"/>
      <c r="H156" s="138">
        <f>RANK(I156,I3:I211)</f>
        <v>174</v>
      </c>
      <c r="I156" s="139">
        <f>VLOOKUP(A156,'Standard Deviations'!A1:C728,3,FALSE)</f>
        <v>-4.0837787972877759</v>
      </c>
      <c r="J156" s="139">
        <f>I156-VLOOKUP(B$2,H1:J211,2,FALSE)</f>
        <v>-10.658043688070983</v>
      </c>
    </row>
    <row r="157" spans="1:10" ht="21.25" customHeight="1" x14ac:dyDescent="0.15">
      <c r="A157" s="8" t="s">
        <v>736</v>
      </c>
      <c r="B157" s="57" t="str">
        <f>VLOOKUP(A157,'The List'!B1:D727,3,FALSE)</f>
        <v>C</v>
      </c>
      <c r="C157" s="58">
        <f>IF(Settings!$E$15="POINTS",RANK(E157,E3:E211),H157)</f>
        <v>154</v>
      </c>
      <c r="D157" s="35" t="str">
        <f>VLOOKUP(A157,'The List'!B1:F727,5,FALSE)</f>
        <v>ANA</v>
      </c>
      <c r="E157" s="39">
        <f>VLOOKUP(A157,'The List'!B1:I727,8,FALSE)</f>
        <v>125.60271597910516</v>
      </c>
      <c r="F157" s="39">
        <f>IF(Settings!$E$15="POINTS",E157-VLOOKUP(B$2,C1:E211,3,FALSE),J157)</f>
        <v>-267.72608978710451</v>
      </c>
      <c r="G157" s="39"/>
      <c r="H157" s="138">
        <f>RANK(I157,I3:I211)</f>
        <v>203</v>
      </c>
      <c r="I157" s="139">
        <f>VLOOKUP(A157,'Standard Deviations'!A1:C728,3,FALSE)</f>
        <v>-5.0063601647237626</v>
      </c>
      <c r="J157" s="139">
        <f>I157-VLOOKUP(B$2,H1:J211,2,FALSE)</f>
        <v>-11.580625055506967</v>
      </c>
    </row>
    <row r="158" spans="1:10" ht="21.25" customHeight="1" x14ac:dyDescent="0.15">
      <c r="A158" s="8" t="s">
        <v>738</v>
      </c>
      <c r="B158" s="57" t="str">
        <f>VLOOKUP(A158,'The List'!B1:D727,3,FALSE)</f>
        <v>C</v>
      </c>
      <c r="C158" s="58">
        <f>IF(Settings!$E$15="POINTS",RANK(E158,E3:E211),H158)</f>
        <v>156</v>
      </c>
      <c r="D158" s="35" t="str">
        <f>VLOOKUP(A158,'The List'!B1:F727,5,FALSE)</f>
        <v>WSH</v>
      </c>
      <c r="E158" s="39">
        <f>VLOOKUP(A158,'The List'!B1:I727,8,FALSE)</f>
        <v>124.93271596445747</v>
      </c>
      <c r="F158" s="39">
        <f>IF(Settings!$E$15="POINTS",E158-VLOOKUP(B$2,C1:E211,3,FALSE),J158)</f>
        <v>-268.39608980175217</v>
      </c>
      <c r="G158" s="39"/>
      <c r="H158" s="138">
        <f>RANK(I158,I3:I211)</f>
        <v>159</v>
      </c>
      <c r="I158" s="139">
        <f>VLOOKUP(A158,'Standard Deviations'!A1:C728,3,FALSE)</f>
        <v>-3.0759262024895202</v>
      </c>
      <c r="J158" s="139">
        <f>I158-VLOOKUP(B$2,H1:J211,2,FALSE)</f>
        <v>-9.650191093272726</v>
      </c>
    </row>
    <row r="159" spans="1:10" ht="21.25" customHeight="1" x14ac:dyDescent="0.15">
      <c r="A159" s="8" t="s">
        <v>739</v>
      </c>
      <c r="B159" s="57" t="str">
        <f>VLOOKUP(A159,'The List'!B1:D727,3,FALSE)</f>
        <v>C</v>
      </c>
      <c r="C159" s="58">
        <f>IF(Settings!$E$15="POINTS",RANK(E159,E3:E211),H159)</f>
        <v>157</v>
      </c>
      <c r="D159" s="35" t="str">
        <f>VLOOKUP(A159,'The List'!B1:F727,5,FALSE)</f>
        <v>CBJ</v>
      </c>
      <c r="E159" s="39">
        <f>VLOOKUP(A159,'The List'!B1:I727,8,FALSE)</f>
        <v>124.27180798551854</v>
      </c>
      <c r="F159" s="39">
        <f>IF(Settings!$E$15="POINTS",E159-VLOOKUP(B$2,C1:E211,3,FALSE),J159)</f>
        <v>-269.05699778069112</v>
      </c>
      <c r="G159" s="39"/>
      <c r="H159" s="138">
        <f>RANK(I159,I3:I211)</f>
        <v>192</v>
      </c>
      <c r="I159" s="139">
        <f>VLOOKUP(A159,'Standard Deviations'!A1:C728,3,FALSE)</f>
        <v>-4.6081411099150547</v>
      </c>
      <c r="J159" s="139">
        <f>I159-VLOOKUP(B$2,H1:J211,2,FALSE)</f>
        <v>-11.182406000698261</v>
      </c>
    </row>
    <row r="160" spans="1:10" ht="21.25" customHeight="1" x14ac:dyDescent="0.15">
      <c r="A160" s="8" t="s">
        <v>733</v>
      </c>
      <c r="B160" s="57" t="str">
        <f>VLOOKUP(A160,'The List'!B1:D727,3,FALSE)</f>
        <v>C</v>
      </c>
      <c r="C160" s="58">
        <f>IF(Settings!$E$15="POINTS",RANK(E160,E3:E211),H160)</f>
        <v>153</v>
      </c>
      <c r="D160" s="35" t="str">
        <f>VLOOKUP(A160,'The List'!B1:F727,5,FALSE)</f>
        <v>DAL</v>
      </c>
      <c r="E160" s="39">
        <f>VLOOKUP(A160,'The List'!B1:I727,8,FALSE)</f>
        <v>127.59364217504567</v>
      </c>
      <c r="F160" s="39">
        <f>IF(Settings!$E$15="POINTS",E160-VLOOKUP(B$2,C1:E211,3,FALSE),J160)</f>
        <v>-265.735163591164</v>
      </c>
      <c r="G160" s="39"/>
      <c r="H160" s="138">
        <f>RANK(I160,I3:I211)</f>
        <v>142</v>
      </c>
      <c r="I160" s="139">
        <f>VLOOKUP(A160,'Standard Deviations'!A1:C728,3,FALSE)</f>
        <v>-2.4243151518178476</v>
      </c>
      <c r="J160" s="139">
        <f>I160-VLOOKUP(B$2,H1:J211,2,FALSE)</f>
        <v>-8.9985800426010538</v>
      </c>
    </row>
    <row r="161" spans="1:10" ht="21.25" customHeight="1" x14ac:dyDescent="0.15">
      <c r="A161" s="8" t="s">
        <v>742</v>
      </c>
      <c r="B161" s="57" t="str">
        <f>VLOOKUP(A161,'The List'!B1:D727,3,FALSE)</f>
        <v>C</v>
      </c>
      <c r="C161" s="58">
        <f>IF(Settings!$E$15="POINTS",RANK(E161,E3:E211),H161)</f>
        <v>159</v>
      </c>
      <c r="D161" s="35" t="str">
        <f>VLOOKUP(A161,'The List'!B1:F727,5,FALSE)</f>
        <v>BUF</v>
      </c>
      <c r="E161" s="39">
        <f>VLOOKUP(A161,'The List'!B1:I727,8,FALSE)</f>
        <v>122.93542004166916</v>
      </c>
      <c r="F161" s="39">
        <f>IF(Settings!$E$15="POINTS",E161-VLOOKUP(B$2,C1:E211,3,FALSE),J161)</f>
        <v>-270.39338572454051</v>
      </c>
      <c r="G161" s="39"/>
      <c r="H161" s="138">
        <f>RANK(I161,I3:I211)</f>
        <v>179</v>
      </c>
      <c r="I161" s="139">
        <f>VLOOKUP(A161,'Standard Deviations'!A1:C728,3,FALSE)</f>
        <v>-4.2408592933271265</v>
      </c>
      <c r="J161" s="139">
        <f>I161-VLOOKUP(B$2,H1:J211,2,FALSE)</f>
        <v>-10.815124184110331</v>
      </c>
    </row>
    <row r="162" spans="1:10" ht="21.25" customHeight="1" x14ac:dyDescent="0.15">
      <c r="A162" s="8" t="s">
        <v>743</v>
      </c>
      <c r="B162" s="57" t="str">
        <f>VLOOKUP(A162,'The List'!B1:D727,3,FALSE)</f>
        <v>C</v>
      </c>
      <c r="C162" s="58">
        <f>IF(Settings!$E$15="POINTS",RANK(E162,E3:E211),H162)</f>
        <v>160</v>
      </c>
      <c r="D162" s="35" t="str">
        <f>VLOOKUP(A162,'The List'!B1:F727,5,FALSE)</f>
        <v>NJD</v>
      </c>
      <c r="E162" s="39">
        <f>VLOOKUP(A162,'The List'!B1:I727,8,FALSE)</f>
        <v>121.92884704196358</v>
      </c>
      <c r="F162" s="39">
        <f>IF(Settings!$E$15="POINTS",E162-VLOOKUP(B$2,C1:E211,3,FALSE),J162)</f>
        <v>-271.39995872424606</v>
      </c>
      <c r="G162" s="39"/>
      <c r="H162" s="138">
        <f>RANK(I162,I3:I211)</f>
        <v>163</v>
      </c>
      <c r="I162" s="139">
        <f>VLOOKUP(A162,'Standard Deviations'!A1:C728,3,FALSE)</f>
        <v>-3.3186122886160163</v>
      </c>
      <c r="J162" s="139">
        <f>I162-VLOOKUP(B$2,H1:J211,2,FALSE)</f>
        <v>-9.8928771793992212</v>
      </c>
    </row>
    <row r="163" spans="1:10" ht="21.25" customHeight="1" x14ac:dyDescent="0.15">
      <c r="A163" s="8" t="s">
        <v>752</v>
      </c>
      <c r="B163" s="57" t="str">
        <f>VLOOKUP(A163,'The List'!B1:D727,3,FALSE)</f>
        <v>C</v>
      </c>
      <c r="C163" s="58">
        <f>IF(Settings!$E$15="POINTS",RANK(E163,E3:E211),H163)</f>
        <v>164</v>
      </c>
      <c r="D163" s="35" t="str">
        <f>VLOOKUP(A163,'The List'!B1:F727,5,FALSE)</f>
        <v>OTT</v>
      </c>
      <c r="E163" s="39">
        <f>VLOOKUP(A163,'The List'!B1:I727,8,FALSE)</f>
        <v>118.42222702371805</v>
      </c>
      <c r="F163" s="39">
        <f>IF(Settings!$E$15="POINTS",E163-VLOOKUP(B$2,C1:E211,3,FALSE),J163)</f>
        <v>-274.9065787424916</v>
      </c>
      <c r="G163" s="39"/>
      <c r="H163" s="138">
        <f>RANK(I163,I3:I211)</f>
        <v>160</v>
      </c>
      <c r="I163" s="139">
        <f>VLOOKUP(A163,'Standard Deviations'!A1:C728,3,FALSE)</f>
        <v>-3.1340512290564071</v>
      </c>
      <c r="J163" s="139">
        <f>I163-VLOOKUP(B$2,H1:J211,2,FALSE)</f>
        <v>-9.708316119839612</v>
      </c>
    </row>
    <row r="164" spans="1:10" ht="21.25" customHeight="1" x14ac:dyDescent="0.15">
      <c r="A164" s="8" t="s">
        <v>745</v>
      </c>
      <c r="B164" s="57" t="str">
        <f>VLOOKUP(A164,'The List'!B1:D727,3,FALSE)</f>
        <v>C</v>
      </c>
      <c r="C164" s="58">
        <f>IF(Settings!$E$15="POINTS",RANK(E164,E3:E211),H164)</f>
        <v>161</v>
      </c>
      <c r="D164" s="35" t="str">
        <f>VLOOKUP(A164,'The List'!B1:F727,5,FALSE)</f>
        <v>PIT</v>
      </c>
      <c r="E164" s="39">
        <f>VLOOKUP(A164,'The List'!B1:I727,8,FALSE)</f>
        <v>121.11456459877066</v>
      </c>
      <c r="F164" s="39">
        <f>IF(Settings!$E$15="POINTS",E164-VLOOKUP(B$2,C1:E211,3,FALSE),J164)</f>
        <v>-272.21424116743901</v>
      </c>
      <c r="G164" s="39"/>
      <c r="H164" s="138">
        <f>RANK(I164,I3:I211)</f>
        <v>137</v>
      </c>
      <c r="I164" s="139">
        <f>VLOOKUP(A164,'Standard Deviations'!A1:C728,3,FALSE)</f>
        <v>-2.3316790992212191</v>
      </c>
      <c r="J164" s="139">
        <f>I164-VLOOKUP(B$2,H1:J211,2,FALSE)</f>
        <v>-8.9059439900044239</v>
      </c>
    </row>
    <row r="165" spans="1:10" ht="21.25" customHeight="1" x14ac:dyDescent="0.15">
      <c r="A165" s="8" t="s">
        <v>750</v>
      </c>
      <c r="B165" s="57" t="str">
        <f>VLOOKUP(A165,'The List'!B1:D727,3,FALSE)</f>
        <v>C</v>
      </c>
      <c r="C165" s="58">
        <f>IF(Settings!$E$15="POINTS",RANK(E165,E3:E211),H165)</f>
        <v>163</v>
      </c>
      <c r="D165" s="35" t="str">
        <f>VLOOKUP(A165,'The List'!B1:F727,5,FALSE)</f>
        <v>VGK</v>
      </c>
      <c r="E165" s="39">
        <f>VLOOKUP(A165,'The List'!B1:I727,8,FALSE)</f>
        <v>119.3680710649522</v>
      </c>
      <c r="F165" s="39">
        <f>IF(Settings!$E$15="POINTS",E165-VLOOKUP(B$2,C1:E211,3,FALSE),J165)</f>
        <v>-273.96073470125748</v>
      </c>
      <c r="G165" s="39"/>
      <c r="H165" s="138">
        <f>RANK(I165,I3:I211)</f>
        <v>129</v>
      </c>
      <c r="I165" s="139">
        <f>VLOOKUP(A165,'Standard Deviations'!A1:C728,3,FALSE)</f>
        <v>-2.136746282660277</v>
      </c>
      <c r="J165" s="139">
        <f>I165-VLOOKUP(B$2,H1:J211,2,FALSE)</f>
        <v>-8.7110111734434827</v>
      </c>
    </row>
    <row r="166" spans="1:10" ht="21.25" customHeight="1" x14ac:dyDescent="0.15">
      <c r="A166" s="8" t="s">
        <v>747</v>
      </c>
      <c r="B166" s="57" t="str">
        <f>VLOOKUP(A166,'The List'!B1:D727,3,FALSE)</f>
        <v>C</v>
      </c>
      <c r="C166" s="58">
        <f>IF(Settings!$E$15="POINTS",RANK(E166,E3:E211),H166)</f>
        <v>162</v>
      </c>
      <c r="D166" s="35" t="str">
        <f>VLOOKUP(A166,'The List'!B1:F727,5,FALSE)</f>
        <v>WPG</v>
      </c>
      <c r="E166" s="39">
        <f>VLOOKUP(A166,'The List'!B1:I727,8,FALSE)</f>
        <v>120.49235908399493</v>
      </c>
      <c r="F166" s="39">
        <f>IF(Settings!$E$15="POINTS",E166-VLOOKUP(B$2,C1:E211,3,FALSE),J166)</f>
        <v>-272.83644668221473</v>
      </c>
      <c r="G166" s="39"/>
      <c r="H166" s="138">
        <f>RANK(I166,I3:I211)</f>
        <v>156</v>
      </c>
      <c r="I166" s="139">
        <f>VLOOKUP(A166,'Standard Deviations'!A1:C728,3,FALSE)</f>
        <v>-3.0123651963141422</v>
      </c>
      <c r="J166" s="139">
        <f>I166-VLOOKUP(B$2,H1:J211,2,FALSE)</f>
        <v>-9.5866300870973475</v>
      </c>
    </row>
    <row r="167" spans="1:10" ht="21.25" customHeight="1" x14ac:dyDescent="0.15">
      <c r="A167" s="8" t="s">
        <v>755</v>
      </c>
      <c r="B167" s="57" t="str">
        <f>VLOOKUP(A167,'The List'!B1:D727,3,FALSE)</f>
        <v>C</v>
      </c>
      <c r="C167" s="58">
        <f>IF(Settings!$E$15="POINTS",RANK(E167,E3:E211),H167)</f>
        <v>166</v>
      </c>
      <c r="D167" s="35" t="str">
        <f>VLOOKUP(A167,'The List'!B1:F727,5,FALSE)</f>
        <v>VGK</v>
      </c>
      <c r="E167" s="39">
        <f>VLOOKUP(A167,'The List'!B1:I727,8,FALSE)</f>
        <v>116.87366577957985</v>
      </c>
      <c r="F167" s="39">
        <f>IF(Settings!$E$15="POINTS",E167-VLOOKUP(B$2,C1:E211,3,FALSE),J167)</f>
        <v>-276.45513998662977</v>
      </c>
      <c r="G167" s="39"/>
      <c r="H167" s="138">
        <f>RANK(I167,I3:I211)</f>
        <v>154</v>
      </c>
      <c r="I167" s="139">
        <f>VLOOKUP(A167,'Standard Deviations'!A1:C728,3,FALSE)</f>
        <v>-2.9537329194914563</v>
      </c>
      <c r="J167" s="139">
        <f>I167-VLOOKUP(B$2,H1:J211,2,FALSE)</f>
        <v>-9.5279978102746625</v>
      </c>
    </row>
    <row r="168" spans="1:10" ht="21.25" customHeight="1" x14ac:dyDescent="0.15">
      <c r="A168" s="8" t="s">
        <v>754</v>
      </c>
      <c r="B168" s="57" t="str">
        <f>VLOOKUP(A168,'The List'!B1:D727,3,FALSE)</f>
        <v>C</v>
      </c>
      <c r="C168" s="58">
        <f>IF(Settings!$E$15="POINTS",RANK(E168,E3:E211),H168)</f>
        <v>165</v>
      </c>
      <c r="D168" s="35" t="str">
        <f>VLOOKUP(A168,'The List'!B1:F727,5,FALSE)</f>
        <v>NYI</v>
      </c>
      <c r="E168" s="39">
        <f>VLOOKUP(A168,'The List'!B1:I727,8,FALSE)</f>
        <v>118.04925414598516</v>
      </c>
      <c r="F168" s="39">
        <f>IF(Settings!$E$15="POINTS",E168-VLOOKUP(B$2,C1:E211,3,FALSE),J168)</f>
        <v>-275.27955162022448</v>
      </c>
      <c r="G168" s="39"/>
      <c r="H168" s="138">
        <f>RANK(I168,I3:I211)</f>
        <v>165</v>
      </c>
      <c r="I168" s="139">
        <f>VLOOKUP(A168,'Standard Deviations'!A1:C728,3,FALSE)</f>
        <v>-3.4488663253507905</v>
      </c>
      <c r="J168" s="139">
        <f>I168-VLOOKUP(B$2,H1:J211,2,FALSE)</f>
        <v>-10.023131216133997</v>
      </c>
    </row>
    <row r="169" spans="1:10" ht="21.25" customHeight="1" x14ac:dyDescent="0.15">
      <c r="A169" s="8" t="s">
        <v>759</v>
      </c>
      <c r="B169" s="57" t="str">
        <f>VLOOKUP(A169,'The List'!B1:D727,3,FALSE)</f>
        <v>C</v>
      </c>
      <c r="C169" s="58">
        <f>IF(Settings!$E$15="POINTS",RANK(E169,E3:E211),H169)</f>
        <v>167</v>
      </c>
      <c r="D169" s="35" t="str">
        <f>VLOOKUP(A169,'The List'!B1:F727,5,FALSE)</f>
        <v>ARI</v>
      </c>
      <c r="E169" s="39">
        <f>VLOOKUP(A169,'The List'!B1:I727,8,FALSE)</f>
        <v>113.48605185360516</v>
      </c>
      <c r="F169" s="39">
        <f>IF(Settings!$E$15="POINTS",E169-VLOOKUP(B$2,C1:E211,3,FALSE),J169)</f>
        <v>-279.84275391260451</v>
      </c>
      <c r="G169" s="39"/>
      <c r="H169" s="138">
        <f>RANK(I169,I3:I211)</f>
        <v>185</v>
      </c>
      <c r="I169" s="139">
        <f>VLOOKUP(A169,'Standard Deviations'!A1:C728,3,FALSE)</f>
        <v>-4.369008244767282</v>
      </c>
      <c r="J169" s="139">
        <f>I169-VLOOKUP(B$2,H1:J211,2,FALSE)</f>
        <v>-10.943273135550488</v>
      </c>
    </row>
    <row r="170" spans="1:10" ht="21.25" customHeight="1" x14ac:dyDescent="0.15">
      <c r="A170" s="8" t="s">
        <v>769</v>
      </c>
      <c r="B170" s="57" t="str">
        <f>VLOOKUP(A170,'The List'!B1:D727,3,FALSE)</f>
        <v>C</v>
      </c>
      <c r="C170" s="58">
        <f>IF(Settings!$E$15="POINTS",RANK(E170,E3:E211),H170)</f>
        <v>170</v>
      </c>
      <c r="D170" s="35" t="str">
        <f>VLOOKUP(A170,'The List'!B1:F727,5,FALSE)</f>
        <v>WSH</v>
      </c>
      <c r="E170" s="39">
        <f>VLOOKUP(A170,'The List'!B1:I727,8,FALSE)</f>
        <v>111.39094086611792</v>
      </c>
      <c r="F170" s="39">
        <f>IF(Settings!$E$15="POINTS",E170-VLOOKUP(B$2,C1:E211,3,FALSE),J170)</f>
        <v>-281.93786490009177</v>
      </c>
      <c r="G170" s="39"/>
      <c r="H170" s="138">
        <f>RANK(I170,I3:I211)</f>
        <v>181</v>
      </c>
      <c r="I170" s="139">
        <f>VLOOKUP(A170,'Standard Deviations'!A1:C728,3,FALSE)</f>
        <v>-4.277071442824826</v>
      </c>
      <c r="J170" s="139">
        <f>I170-VLOOKUP(B$2,H1:J211,2,FALSE)</f>
        <v>-10.851336333608032</v>
      </c>
    </row>
    <row r="171" spans="1:10" ht="21.25" customHeight="1" x14ac:dyDescent="0.15">
      <c r="A171" s="8" t="s">
        <v>774</v>
      </c>
      <c r="B171" s="57" t="str">
        <f>VLOOKUP(A171,'The List'!B1:D727,3,FALSE)</f>
        <v>C</v>
      </c>
      <c r="C171" s="58">
        <f>IF(Settings!$E$15="POINTS",RANK(E171,E3:E211),H171)</f>
        <v>172</v>
      </c>
      <c r="D171" s="35" t="str">
        <f>VLOOKUP(A171,'The List'!B1:F727,5,FALSE)</f>
        <v>DET</v>
      </c>
      <c r="E171" s="39">
        <f>VLOOKUP(A171,'The List'!B1:I727,8,FALSE)</f>
        <v>109.55577630218318</v>
      </c>
      <c r="F171" s="39">
        <f>IF(Settings!$E$15="POINTS",E171-VLOOKUP(B$2,C1:E211,3,FALSE),J171)</f>
        <v>-283.77302946402648</v>
      </c>
      <c r="G171" s="39"/>
      <c r="H171" s="138">
        <f>RANK(I171,I3:I211)</f>
        <v>176</v>
      </c>
      <c r="I171" s="139">
        <f>VLOOKUP(A171,'Standard Deviations'!A1:C728,3,FALSE)</f>
        <v>-4.1680944374571256</v>
      </c>
      <c r="J171" s="139">
        <f>I171-VLOOKUP(B$2,H1:J211,2,FALSE)</f>
        <v>-10.742359328240331</v>
      </c>
    </row>
    <row r="172" spans="1:10" ht="21.25" customHeight="1" x14ac:dyDescent="0.15">
      <c r="A172" s="8" t="s">
        <v>762</v>
      </c>
      <c r="B172" s="57" t="str">
        <f>VLOOKUP(A172,'The List'!B1:D727,3,FALSE)</f>
        <v>C</v>
      </c>
      <c r="C172" s="58">
        <f>IF(Settings!$E$15="POINTS",RANK(E172,E3:E211),H172)</f>
        <v>168</v>
      </c>
      <c r="D172" s="35" t="str">
        <f>VLOOKUP(A172,'The List'!B1:F727,5,FALSE)</f>
        <v>DAL</v>
      </c>
      <c r="E172" s="39">
        <f>VLOOKUP(A172,'The List'!B1:I727,8,FALSE)</f>
        <v>112.91422999148806</v>
      </c>
      <c r="F172" s="39">
        <f>IF(Settings!$E$15="POINTS",E172-VLOOKUP(B$2,C1:E211,3,FALSE),J172)</f>
        <v>-280.41457577472158</v>
      </c>
      <c r="G172" s="39"/>
      <c r="H172" s="138">
        <f>RANK(I172,I3:I211)</f>
        <v>132</v>
      </c>
      <c r="I172" s="139">
        <f>VLOOKUP(A172,'Standard Deviations'!A1:C728,3,FALSE)</f>
        <v>-2.2586645148574886</v>
      </c>
      <c r="J172" s="139">
        <f>I172-VLOOKUP(B$2,H1:J211,2,FALSE)</f>
        <v>-8.8329294056406944</v>
      </c>
    </row>
    <row r="173" spans="1:10" ht="21.25" customHeight="1" x14ac:dyDescent="0.15">
      <c r="A173" s="8" t="s">
        <v>772</v>
      </c>
      <c r="B173" s="57" t="str">
        <f>VLOOKUP(A173,'The List'!B1:D727,3,FALSE)</f>
        <v>C</v>
      </c>
      <c r="C173" s="58">
        <f>IF(Settings!$E$15="POINTS",RANK(E173,E3:E211),H173)</f>
        <v>171</v>
      </c>
      <c r="D173" s="35" t="str">
        <f>VLOOKUP(A173,'The List'!B1:F727,5,FALSE)</f>
        <v>DAL</v>
      </c>
      <c r="E173" s="39">
        <f>VLOOKUP(A173,'The List'!B1:I727,8,FALSE)</f>
        <v>110.29237262080035</v>
      </c>
      <c r="F173" s="39">
        <f>IF(Settings!$E$15="POINTS",E173-VLOOKUP(B$2,C1:E211,3,FALSE),J173)</f>
        <v>-283.03643314540932</v>
      </c>
      <c r="G173" s="39"/>
      <c r="H173" s="138">
        <f>RANK(I173,I3:I211)</f>
        <v>153</v>
      </c>
      <c r="I173" s="139">
        <f>VLOOKUP(A173,'Standard Deviations'!A1:C728,3,FALSE)</f>
        <v>-2.9168618580227705</v>
      </c>
      <c r="J173" s="139">
        <f>I173-VLOOKUP(B$2,H1:J211,2,FALSE)</f>
        <v>-9.4911267488059767</v>
      </c>
    </row>
    <row r="174" spans="1:10" ht="21.25" customHeight="1" x14ac:dyDescent="0.15">
      <c r="A174" s="8" t="s">
        <v>766</v>
      </c>
      <c r="B174" s="57" t="str">
        <f>VLOOKUP(A174,'The List'!B1:D727,3,FALSE)</f>
        <v>C</v>
      </c>
      <c r="C174" s="58">
        <f>IF(Settings!$E$15="POINTS",RANK(E174,E3:E211),H174)</f>
        <v>169</v>
      </c>
      <c r="D174" s="35" t="str">
        <f>VLOOKUP(A174,'The List'!B1:F727,5,FALSE)</f>
        <v>PHI</v>
      </c>
      <c r="E174" s="39">
        <f>VLOOKUP(A174,'The List'!B1:I727,8,FALSE)</f>
        <v>112.38264017355581</v>
      </c>
      <c r="F174" s="39">
        <f>IF(Settings!$E$15="POINTS",E174-VLOOKUP(B$2,C1:E211,3,FALSE),J174)</f>
        <v>-280.94616559265387</v>
      </c>
      <c r="G174" s="39"/>
      <c r="H174" s="138">
        <f>RANK(I174,I3:I211)</f>
        <v>194</v>
      </c>
      <c r="I174" s="139">
        <f>VLOOKUP(A174,'Standard Deviations'!A1:C728,3,FALSE)</f>
        <v>-4.6809801436107108</v>
      </c>
      <c r="J174" s="139">
        <f>I174-VLOOKUP(B$2,H1:J211,2,FALSE)</f>
        <v>-11.255245034393916</v>
      </c>
    </row>
    <row r="175" spans="1:10" ht="21.25" customHeight="1" x14ac:dyDescent="0.15">
      <c r="A175" s="8" t="s">
        <v>775</v>
      </c>
      <c r="B175" s="57" t="str">
        <f>VLOOKUP(A175,'The List'!B1:D727,3,FALSE)</f>
        <v>C</v>
      </c>
      <c r="C175" s="58">
        <f>IF(Settings!$E$15="POINTS",RANK(E175,E3:E211),H175)</f>
        <v>173</v>
      </c>
      <c r="D175" s="35" t="str">
        <f>VLOOKUP(A175,'The List'!B1:F727,5,FALSE)</f>
        <v>NYR</v>
      </c>
      <c r="E175" s="39">
        <f>VLOOKUP(A175,'The List'!B1:I727,8,FALSE)</f>
        <v>107.67552623249995</v>
      </c>
      <c r="F175" s="39">
        <f>IF(Settings!$E$15="POINTS",E175-VLOOKUP(B$2,C1:E211,3,FALSE),J175)</f>
        <v>-285.65327953370968</v>
      </c>
      <c r="G175" s="39"/>
      <c r="H175" s="138">
        <f>RANK(I175,I3:I211)</f>
        <v>123</v>
      </c>
      <c r="I175" s="139">
        <f>VLOOKUP(A175,'Standard Deviations'!A1:C728,3,FALSE)</f>
        <v>-1.9147916365501825</v>
      </c>
      <c r="J175" s="139">
        <f>I175-VLOOKUP(B$2,H1:J211,2,FALSE)</f>
        <v>-8.4890565273333891</v>
      </c>
    </row>
    <row r="176" spans="1:10" ht="21.25" customHeight="1" x14ac:dyDescent="0.15">
      <c r="A176" s="8" t="s">
        <v>776</v>
      </c>
      <c r="B176" s="57" t="str">
        <f>VLOOKUP(A176,'The List'!B1:D727,3,FALSE)</f>
        <v>C</v>
      </c>
      <c r="C176" s="58">
        <f>IF(Settings!$E$15="POINTS",RANK(E176,E3:E211),H176)</f>
        <v>174</v>
      </c>
      <c r="D176" s="35" t="str">
        <f>VLOOKUP(A176,'The List'!B1:F727,5,FALSE)</f>
        <v>WSH</v>
      </c>
      <c r="E176" s="39">
        <f>VLOOKUP(A176,'The List'!B1:I727,8,FALSE)</f>
        <v>106.91309596372173</v>
      </c>
      <c r="F176" s="39">
        <f>IF(Settings!$E$15="POINTS",E176-VLOOKUP(B$2,C1:E211,3,FALSE),J176)</f>
        <v>-286.41570980248792</v>
      </c>
      <c r="G176" s="39"/>
      <c r="H176" s="138">
        <f>RANK(I176,I3:I211)</f>
        <v>178</v>
      </c>
      <c r="I176" s="139">
        <f>VLOOKUP(A176,'Standard Deviations'!A1:C728,3,FALSE)</f>
        <v>-4.2297076463556316</v>
      </c>
      <c r="J176" s="139">
        <f>I176-VLOOKUP(B$2,H1:J211,2,FALSE)</f>
        <v>-10.803972537138836</v>
      </c>
    </row>
    <row r="177" spans="1:10" ht="21.25" customHeight="1" x14ac:dyDescent="0.15">
      <c r="A177" s="8" t="s">
        <v>779</v>
      </c>
      <c r="B177" s="57" t="str">
        <f>VLOOKUP(A177,'The List'!B1:D727,3,FALSE)</f>
        <v>C</v>
      </c>
      <c r="C177" s="58">
        <f>IF(Settings!$E$15="POINTS",RANK(E177,E3:E211),H177)</f>
        <v>175</v>
      </c>
      <c r="D177" s="35" t="str">
        <f>VLOOKUP(A177,'The List'!B1:F727,5,FALSE)</f>
        <v>FLA</v>
      </c>
      <c r="E177" s="39">
        <f>VLOOKUP(A177,'The List'!B1:I727,8,FALSE)</f>
        <v>105.70738784978856</v>
      </c>
      <c r="F177" s="39">
        <f>IF(Settings!$E$15="POINTS",E177-VLOOKUP(B$2,C1:E211,3,FALSE),J177)</f>
        <v>-287.62141791642108</v>
      </c>
      <c r="G177" s="39"/>
      <c r="H177" s="138">
        <f>RANK(I177,I3:I211)</f>
        <v>162</v>
      </c>
      <c r="I177" s="139">
        <f>VLOOKUP(A177,'Standard Deviations'!A1:C728,3,FALSE)</f>
        <v>-3.2730992761183013</v>
      </c>
      <c r="J177" s="139">
        <f>I177-VLOOKUP(B$2,H1:J211,2,FALSE)</f>
        <v>-9.8473641669015066</v>
      </c>
    </row>
    <row r="178" spans="1:10" ht="21.25" customHeight="1" x14ac:dyDescent="0.15">
      <c r="A178" s="8" t="s">
        <v>784</v>
      </c>
      <c r="B178" s="57" t="str">
        <f>VLOOKUP(A178,'The List'!B1:D727,3,FALSE)</f>
        <v>C</v>
      </c>
      <c r="C178" s="58">
        <f>IF(Settings!$E$15="POINTS",RANK(E178,E3:E211),H178)</f>
        <v>177</v>
      </c>
      <c r="D178" s="35" t="str">
        <f>VLOOKUP(A178,'The List'!B1:F727,5,FALSE)</f>
        <v>EDM</v>
      </c>
      <c r="E178" s="39">
        <f>VLOOKUP(A178,'The List'!B1:I727,8,FALSE)</f>
        <v>102.77119265047428</v>
      </c>
      <c r="F178" s="39">
        <f>IF(Settings!$E$15="POINTS",E178-VLOOKUP(B$2,C1:E211,3,FALSE),J178)</f>
        <v>-290.55761311573536</v>
      </c>
      <c r="G178" s="39"/>
      <c r="H178" s="138">
        <f>RANK(I178,I3:I211)</f>
        <v>130</v>
      </c>
      <c r="I178" s="139">
        <f>VLOOKUP(A178,'Standard Deviations'!A1:C728,3,FALSE)</f>
        <v>-2.2040393275745007</v>
      </c>
      <c r="J178" s="139">
        <f>I178-VLOOKUP(B$2,H1:J211,2,FALSE)</f>
        <v>-8.7783042183577074</v>
      </c>
    </row>
    <row r="179" spans="1:10" ht="21.25" customHeight="1" x14ac:dyDescent="0.15">
      <c r="A179" s="8" t="s">
        <v>783</v>
      </c>
      <c r="B179" s="57" t="str">
        <f>VLOOKUP(A179,'The List'!B1:D727,3,FALSE)</f>
        <v>C</v>
      </c>
      <c r="C179" s="58">
        <f>IF(Settings!$E$15="POINTS",RANK(E179,E3:E211),H179)</f>
        <v>176</v>
      </c>
      <c r="D179" s="35" t="str">
        <f>VLOOKUP(A179,'The List'!B1:F727,5,FALSE)</f>
        <v>COL</v>
      </c>
      <c r="E179" s="39">
        <f>VLOOKUP(A179,'The List'!B1:I727,8,FALSE)</f>
        <v>103.66372387794394</v>
      </c>
      <c r="F179" s="39">
        <f>IF(Settings!$E$15="POINTS",E179-VLOOKUP(B$2,C1:E211,3,FALSE),J179)</f>
        <v>-289.66508188826572</v>
      </c>
      <c r="G179" s="39"/>
      <c r="H179" s="138">
        <f>RANK(I179,I3:I211)</f>
        <v>155</v>
      </c>
      <c r="I179" s="139">
        <f>VLOOKUP(A179,'Standard Deviations'!A1:C728,3,FALSE)</f>
        <v>-2.9620984141370537</v>
      </c>
      <c r="J179" s="139">
        <f>I179-VLOOKUP(B$2,H1:J211,2,FALSE)</f>
        <v>-9.5363633049202594</v>
      </c>
    </row>
    <row r="180" spans="1:10" ht="21.25" customHeight="1" x14ac:dyDescent="0.15">
      <c r="A180" s="8" t="s">
        <v>792</v>
      </c>
      <c r="B180" s="57" t="str">
        <f>VLOOKUP(A180,'The List'!B1:D727,3,FALSE)</f>
        <v>C</v>
      </c>
      <c r="C180" s="58">
        <f>IF(Settings!$E$15="POINTS",RANK(E180,E3:E211),H180)</f>
        <v>181</v>
      </c>
      <c r="D180" s="35" t="str">
        <f>VLOOKUP(A180,'The List'!B1:F727,5,FALSE)</f>
        <v>UFA</v>
      </c>
      <c r="E180" s="39">
        <f>VLOOKUP(A180,'The List'!B1:I727,8,FALSE)</f>
        <v>94.290214014685063</v>
      </c>
      <c r="F180" s="39">
        <f>IF(Settings!$E$15="POINTS",E180-VLOOKUP(B$2,C1:E211,3,FALSE),J180)</f>
        <v>-299.03859175152456</v>
      </c>
      <c r="G180" s="39"/>
      <c r="H180" s="138">
        <f>RANK(I180,I3:I211)</f>
        <v>172</v>
      </c>
      <c r="I180" s="139">
        <f>VLOOKUP(A180,'Standard Deviations'!A1:C728,3,FALSE)</f>
        <v>-3.9884312443069945</v>
      </c>
      <c r="J180" s="139">
        <f>I180-VLOOKUP(B$2,H1:J211,2,FALSE)</f>
        <v>-10.562696135090199</v>
      </c>
    </row>
    <row r="181" spans="1:10" ht="21.25" customHeight="1" x14ac:dyDescent="0.15">
      <c r="A181" s="8" t="s">
        <v>791</v>
      </c>
      <c r="B181" s="57" t="str">
        <f>VLOOKUP(A181,'The List'!B1:D727,3,FALSE)</f>
        <v>C</v>
      </c>
      <c r="C181" s="58">
        <f>IF(Settings!$E$15="POINTS",RANK(E181,E3:E211),H181)</f>
        <v>180</v>
      </c>
      <c r="D181" s="35" t="str">
        <f>VLOOKUP(A181,'The List'!B1:F727,5,FALSE)</f>
        <v>DET</v>
      </c>
      <c r="E181" s="39">
        <f>VLOOKUP(A181,'The List'!B1:I727,8,FALSE)</f>
        <v>94.596032468761067</v>
      </c>
      <c r="F181" s="39">
        <f>IF(Settings!$E$15="POINTS",E181-VLOOKUP(B$2,C1:E211,3,FALSE),J181)</f>
        <v>-298.7327732974486</v>
      </c>
      <c r="G181" s="39"/>
      <c r="H181" s="138">
        <f>RANK(I181,I3:I211)</f>
        <v>199</v>
      </c>
      <c r="I181" s="139">
        <f>VLOOKUP(A181,'Standard Deviations'!A1:C728,3,FALSE)</f>
        <v>-4.7848039725516243</v>
      </c>
      <c r="J181" s="139">
        <f>I181-VLOOKUP(B$2,H1:J211,2,FALSE)</f>
        <v>-11.35906886333483</v>
      </c>
    </row>
    <row r="182" spans="1:10" ht="21.25" customHeight="1" x14ac:dyDescent="0.15">
      <c r="A182" s="8" t="s">
        <v>789</v>
      </c>
      <c r="B182" s="57" t="str">
        <f>VLOOKUP(A182,'The List'!B1:D727,3,FALSE)</f>
        <v>C</v>
      </c>
      <c r="C182" s="58">
        <f>IF(Settings!$E$15="POINTS",RANK(E182,E3:E211),H182)</f>
        <v>179</v>
      </c>
      <c r="D182" s="35" t="str">
        <f>VLOOKUP(A182,'The List'!B1:F727,5,FALSE)</f>
        <v>VAN</v>
      </c>
      <c r="E182" s="39">
        <f>VLOOKUP(A182,'The List'!B1:I727,8,FALSE)</f>
        <v>95.234702791550021</v>
      </c>
      <c r="F182" s="39">
        <f>IF(Settings!$E$15="POINTS",E182-VLOOKUP(B$2,C1:E211,3,FALSE),J182)</f>
        <v>-298.09410297465962</v>
      </c>
      <c r="G182" s="39"/>
      <c r="H182" s="138">
        <f>RANK(I182,I3:I211)</f>
        <v>180</v>
      </c>
      <c r="I182" s="139">
        <f>VLOOKUP(A182,'Standard Deviations'!A1:C728,3,FALSE)</f>
        <v>-4.2498894537438119</v>
      </c>
      <c r="J182" s="139">
        <f>I182-VLOOKUP(B$2,H1:J211,2,FALSE)</f>
        <v>-10.824154344527017</v>
      </c>
    </row>
    <row r="183" spans="1:10" ht="21.25" customHeight="1" x14ac:dyDescent="0.15">
      <c r="A183" s="8" t="s">
        <v>794</v>
      </c>
      <c r="B183" s="57" t="str">
        <f>VLOOKUP(A183,'The List'!B1:D727,3,FALSE)</f>
        <v>C</v>
      </c>
      <c r="C183" s="58">
        <f>IF(Settings!$E$15="POINTS",RANK(E183,E3:E211),H183)</f>
        <v>182</v>
      </c>
      <c r="D183" s="35" t="str">
        <f>VLOOKUP(A183,'The List'!B1:F727,5,FALSE)</f>
        <v>VAN</v>
      </c>
      <c r="E183" s="39">
        <f>VLOOKUP(A183,'The List'!B1:I727,8,FALSE)</f>
        <v>93.744245868429232</v>
      </c>
      <c r="F183" s="39">
        <f>IF(Settings!$E$15="POINTS",E183-VLOOKUP(B$2,C1:E211,3,FALSE),J183)</f>
        <v>-299.58455989778042</v>
      </c>
      <c r="G183" s="39"/>
      <c r="H183" s="138">
        <f>RANK(I183,I3:I211)</f>
        <v>171</v>
      </c>
      <c r="I183" s="139">
        <f>VLOOKUP(A183,'Standard Deviations'!A1:C728,3,FALSE)</f>
        <v>-3.9447536243326216</v>
      </c>
      <c r="J183" s="139">
        <f>I183-VLOOKUP(B$2,H1:J211,2,FALSE)</f>
        <v>-10.519018515115828</v>
      </c>
    </row>
    <row r="184" spans="1:10" ht="21.25" customHeight="1" x14ac:dyDescent="0.15">
      <c r="A184" s="8" t="s">
        <v>787</v>
      </c>
      <c r="B184" s="57" t="str">
        <f>VLOOKUP(A184,'The List'!B1:D727,3,FALSE)</f>
        <v>C</v>
      </c>
      <c r="C184" s="58">
        <f>IF(Settings!$E$15="POINTS",RANK(E184,E3:E211),H184)</f>
        <v>178</v>
      </c>
      <c r="D184" s="35" t="str">
        <f>VLOOKUP(A184,'The List'!B1:F727,5,FALSE)</f>
        <v>MIN</v>
      </c>
      <c r="E184" s="39">
        <f>VLOOKUP(A184,'The List'!B1:I727,8,FALSE)</f>
        <v>97.958024627907122</v>
      </c>
      <c r="F184" s="39">
        <f>IF(Settings!$E$15="POINTS",E184-VLOOKUP(B$2,C1:E211,3,FALSE),J184)</f>
        <v>-295.3707811383025</v>
      </c>
      <c r="G184" s="39"/>
      <c r="H184" s="138">
        <f>RANK(I184,I3:I211)</f>
        <v>170</v>
      </c>
      <c r="I184" s="139">
        <f>VLOOKUP(A184,'Standard Deviations'!A1:C728,3,FALSE)</f>
        <v>-3.8421837150543983</v>
      </c>
      <c r="J184" s="139">
        <f>I184-VLOOKUP(B$2,H1:J211,2,FALSE)</f>
        <v>-10.416448605837605</v>
      </c>
    </row>
    <row r="185" spans="1:10" ht="21.25" customHeight="1" x14ac:dyDescent="0.15">
      <c r="A185" s="8" t="s">
        <v>798</v>
      </c>
      <c r="B185" s="57" t="str">
        <f>VLOOKUP(A185,'The List'!B1:D727,3,FALSE)</f>
        <v>C</v>
      </c>
      <c r="C185" s="58">
        <f>IF(Settings!$E$15="POINTS",RANK(E185,E3:E211),H185)</f>
        <v>183</v>
      </c>
      <c r="D185" s="35" t="str">
        <f>VLOOKUP(A185,'The List'!B1:F727,5,FALSE)</f>
        <v>OTT</v>
      </c>
      <c r="E185" s="39">
        <f>VLOOKUP(A185,'The List'!B1:I727,8,FALSE)</f>
        <v>91.268250565853322</v>
      </c>
      <c r="F185" s="39">
        <f>IF(Settings!$E$15="POINTS",E185-VLOOKUP(B$2,C1:E211,3,FALSE),J185)</f>
        <v>-302.06055520035636</v>
      </c>
      <c r="G185" s="39"/>
      <c r="H185" s="138">
        <f>RANK(I185,I3:I211)</f>
        <v>173</v>
      </c>
      <c r="I185" s="139">
        <f>VLOOKUP(A185,'Standard Deviations'!A1:C728,3,FALSE)</f>
        <v>-4.0413933223631089</v>
      </c>
      <c r="J185" s="139">
        <f>I185-VLOOKUP(B$2,H1:J211,2,FALSE)</f>
        <v>-10.615658213146315</v>
      </c>
    </row>
    <row r="186" spans="1:10" ht="21.25" customHeight="1" x14ac:dyDescent="0.15">
      <c r="A186" s="8" t="s">
        <v>800</v>
      </c>
      <c r="B186" s="57" t="str">
        <f>VLOOKUP(A186,'The List'!B1:D727,3,FALSE)</f>
        <v>C</v>
      </c>
      <c r="C186" s="58">
        <f>IF(Settings!$E$15="POINTS",RANK(E186,E3:E211),H186)</f>
        <v>185</v>
      </c>
      <c r="D186" s="35" t="str">
        <f>VLOOKUP(A186,'The List'!B1:F727,5,FALSE)</f>
        <v>CAR</v>
      </c>
      <c r="E186" s="39">
        <f>VLOOKUP(A186,'The List'!B1:I727,8,FALSE)</f>
        <v>89.617887956225601</v>
      </c>
      <c r="F186" s="39">
        <f>IF(Settings!$E$15="POINTS",E186-VLOOKUP(B$2,C1:E211,3,FALSE),J186)</f>
        <v>-303.71091780998404</v>
      </c>
      <c r="G186" s="39"/>
      <c r="H186" s="138">
        <f>RANK(I186,I3:I211)</f>
        <v>161</v>
      </c>
      <c r="I186" s="139">
        <f>VLOOKUP(A186,'Standard Deviations'!A1:C728,3,FALSE)</f>
        <v>-3.1709599740051591</v>
      </c>
      <c r="J186" s="139">
        <f>I186-VLOOKUP(B$2,H1:J211,2,FALSE)</f>
        <v>-9.7452248647883657</v>
      </c>
    </row>
    <row r="187" spans="1:10" ht="21.25" customHeight="1" x14ac:dyDescent="0.15">
      <c r="A187" s="8" t="s">
        <v>799</v>
      </c>
      <c r="B187" s="57" t="str">
        <f>VLOOKUP(A187,'The List'!B1:D727,3,FALSE)</f>
        <v>C</v>
      </c>
      <c r="C187" s="58">
        <f>IF(Settings!$E$15="POINTS",RANK(E187,E3:E211),H187)</f>
        <v>184</v>
      </c>
      <c r="D187" s="35" t="str">
        <f>VLOOKUP(A187,'The List'!B1:F727,5,FALSE)</f>
        <v>BOS</v>
      </c>
      <c r="E187" s="39">
        <f>VLOOKUP(A187,'The List'!B1:I727,8,FALSE)</f>
        <v>90.448259692776972</v>
      </c>
      <c r="F187" s="39">
        <f>IF(Settings!$E$15="POINTS",E187-VLOOKUP(B$2,C1:E211,3,FALSE),J187)</f>
        <v>-302.8805460734327</v>
      </c>
      <c r="G187" s="39"/>
      <c r="H187" s="138">
        <f>RANK(I187,I3:I211)</f>
        <v>166</v>
      </c>
      <c r="I187" s="139">
        <f>VLOOKUP(A187,'Standard Deviations'!A1:C728,3,FALSE)</f>
        <v>-3.5700307418130102</v>
      </c>
      <c r="J187" s="139">
        <f>I187-VLOOKUP(B$2,H1:J211,2,FALSE)</f>
        <v>-10.144295632596215</v>
      </c>
    </row>
    <row r="188" spans="1:10" ht="21.25" customHeight="1" x14ac:dyDescent="0.15">
      <c r="A188" s="8" t="s">
        <v>802</v>
      </c>
      <c r="B188" s="57" t="str">
        <f>VLOOKUP(A188,'The List'!B1:D727,3,FALSE)</f>
        <v>C</v>
      </c>
      <c r="C188" s="58">
        <f>IF(Settings!$E$15="POINTS",RANK(E188,E3:E211),H188)</f>
        <v>187</v>
      </c>
      <c r="D188" s="35" t="str">
        <f>VLOOKUP(A188,'The List'!B1:F727,5,FALSE)</f>
        <v>OTT</v>
      </c>
      <c r="E188" s="39">
        <f>VLOOKUP(A188,'The List'!B1:I727,8,FALSE)</f>
        <v>87.285641677943559</v>
      </c>
      <c r="F188" s="39">
        <f>IF(Settings!$E$15="POINTS",E188-VLOOKUP(B$2,C1:E211,3,FALSE),J188)</f>
        <v>-306.04316408826611</v>
      </c>
      <c r="G188" s="39"/>
      <c r="H188" s="138">
        <f>RANK(I188,I3:I211)</f>
        <v>177</v>
      </c>
      <c r="I188" s="139">
        <f>VLOOKUP(A188,'Standard Deviations'!A1:C728,3,FALSE)</f>
        <v>-4.2294005313066876</v>
      </c>
      <c r="J188" s="139">
        <f>I188-VLOOKUP(B$2,H1:J211,2,FALSE)</f>
        <v>-10.803665422089892</v>
      </c>
    </row>
    <row r="189" spans="1:10" ht="21.25" customHeight="1" x14ac:dyDescent="0.15">
      <c r="A189" s="8" t="s">
        <v>801</v>
      </c>
      <c r="B189" s="57" t="str">
        <f>VLOOKUP(A189,'The List'!B1:D727,3,FALSE)</f>
        <v>C</v>
      </c>
      <c r="C189" s="58">
        <f>IF(Settings!$E$15="POINTS",RANK(E189,E3:E211),H189)</f>
        <v>186</v>
      </c>
      <c r="D189" s="35" t="str">
        <f>VLOOKUP(A189,'The List'!B1:F727,5,FALSE)</f>
        <v>PIT</v>
      </c>
      <c r="E189" s="39">
        <f>VLOOKUP(A189,'The List'!B1:I727,8,FALSE)</f>
        <v>87.43968222903851</v>
      </c>
      <c r="F189" s="39">
        <f>IF(Settings!$E$15="POINTS",E189-VLOOKUP(B$2,C1:E211,3,FALSE),J189)</f>
        <v>-305.88912353717114</v>
      </c>
      <c r="G189" s="39"/>
      <c r="H189" s="138">
        <f>RANK(I189,I3:I211)</f>
        <v>190</v>
      </c>
      <c r="I189" s="139">
        <f>VLOOKUP(A189,'Standard Deviations'!A1:C728,3,FALSE)</f>
        <v>-4.5461614877498544</v>
      </c>
      <c r="J189" s="139">
        <f>I189-VLOOKUP(B$2,H1:J211,2,FALSE)</f>
        <v>-11.120426378533061</v>
      </c>
    </row>
    <row r="190" spans="1:10" ht="21.25" customHeight="1" x14ac:dyDescent="0.15">
      <c r="A190" s="8" t="s">
        <v>804</v>
      </c>
      <c r="B190" s="57" t="str">
        <f>VLOOKUP(A190,'The List'!B1:D727,3,FALSE)</f>
        <v>C</v>
      </c>
      <c r="C190" s="58">
        <f>IF(Settings!$E$15="POINTS",RANK(E190,E3:E211),H190)</f>
        <v>188</v>
      </c>
      <c r="D190" s="35" t="str">
        <f>VLOOKUP(A190,'The List'!B1:F727,5,FALSE)</f>
        <v>LAK</v>
      </c>
      <c r="E190" s="39">
        <f>VLOOKUP(A190,'The List'!B1:I727,8,FALSE)</f>
        <v>86.398081059313313</v>
      </c>
      <c r="F190" s="39">
        <f>IF(Settings!$E$15="POINTS",E190-VLOOKUP(B$2,C1:E211,3,FALSE),J190)</f>
        <v>-306.93072470689634</v>
      </c>
      <c r="G190" s="39"/>
      <c r="H190" s="138">
        <f>RANK(I190,I3:I211)</f>
        <v>183</v>
      </c>
      <c r="I190" s="139">
        <f>VLOOKUP(A190,'Standard Deviations'!A1:C728,3,FALSE)</f>
        <v>-4.3489057135030675</v>
      </c>
      <c r="J190" s="139">
        <f>I190-VLOOKUP(B$2,H1:J211,2,FALSE)</f>
        <v>-10.923170604286273</v>
      </c>
    </row>
    <row r="191" spans="1:10" ht="21.25" customHeight="1" x14ac:dyDescent="0.15">
      <c r="A191" s="8" t="s">
        <v>808</v>
      </c>
      <c r="B191" s="57" t="str">
        <f>VLOOKUP(A191,'The List'!B1:D727,3,FALSE)</f>
        <v>C</v>
      </c>
      <c r="C191" s="58">
        <f>IF(Settings!$E$15="POINTS",RANK(E191,E3:E211),H191)</f>
        <v>191</v>
      </c>
      <c r="D191" s="35" t="str">
        <f>VLOOKUP(A191,'The List'!B1:F727,5,FALSE)</f>
        <v>ANA</v>
      </c>
      <c r="E191" s="39">
        <f>VLOOKUP(A191,'The List'!B1:I727,8,FALSE)</f>
        <v>82.681931148804168</v>
      </c>
      <c r="F191" s="39">
        <f>IF(Settings!$E$15="POINTS",E191-VLOOKUP(B$2,C1:E211,3,FALSE),J191)</f>
        <v>-310.6468746174055</v>
      </c>
      <c r="G191" s="39"/>
      <c r="H191" s="138">
        <f>RANK(I191,I3:I211)</f>
        <v>208</v>
      </c>
      <c r="I191" s="139">
        <f>VLOOKUP(A191,'Standard Deviations'!A1:C728,3,FALSE)</f>
        <v>-6.3422301118345601</v>
      </c>
      <c r="J191" s="139">
        <f>I191-VLOOKUP(B$2,H1:J211,2,FALSE)</f>
        <v>-12.916495002617765</v>
      </c>
    </row>
    <row r="192" spans="1:10" ht="21.25" customHeight="1" x14ac:dyDescent="0.15">
      <c r="A192" s="8" t="s">
        <v>806</v>
      </c>
      <c r="B192" s="57" t="str">
        <f>VLOOKUP(A192,'The List'!B1:D727,3,FALSE)</f>
        <v>C</v>
      </c>
      <c r="C192" s="58">
        <f>IF(Settings!$E$15="POINTS",RANK(E192,E3:E211),H192)</f>
        <v>189</v>
      </c>
      <c r="D192" s="35" t="str">
        <f>VLOOKUP(A192,'The List'!B1:F727,5,FALSE)</f>
        <v>VAN</v>
      </c>
      <c r="E192" s="39">
        <f>VLOOKUP(A192,'The List'!B1:I727,8,FALSE)</f>
        <v>84.833013483339101</v>
      </c>
      <c r="F192" s="39">
        <f>IF(Settings!$E$15="POINTS",E192-VLOOKUP(B$2,C1:E211,3,FALSE),J192)</f>
        <v>-308.49579228287053</v>
      </c>
      <c r="G192" s="39"/>
      <c r="H192" s="138">
        <f>RANK(I192,I3:I211)</f>
        <v>197</v>
      </c>
      <c r="I192" s="139">
        <f>VLOOKUP(A192,'Standard Deviations'!A1:C728,3,FALSE)</f>
        <v>-4.7526929144899235</v>
      </c>
      <c r="J192" s="139">
        <f>I192-VLOOKUP(B$2,H1:J211,2,FALSE)</f>
        <v>-11.326957805273128</v>
      </c>
    </row>
    <row r="193" spans="1:10" ht="21.25" customHeight="1" x14ac:dyDescent="0.15">
      <c r="A193" s="8" t="s">
        <v>807</v>
      </c>
      <c r="B193" s="57" t="str">
        <f>VLOOKUP(A193,'The List'!B1:D727,3,FALSE)</f>
        <v>C</v>
      </c>
      <c r="C193" s="58">
        <f>IF(Settings!$E$15="POINTS",RANK(E193,E3:E211),H193)</f>
        <v>190</v>
      </c>
      <c r="D193" s="35" t="str">
        <f>VLOOKUP(A193,'The List'!B1:F727,5,FALSE)</f>
        <v>LAK</v>
      </c>
      <c r="E193" s="39">
        <f>VLOOKUP(A193,'The List'!B1:I727,8,FALSE)</f>
        <v>82.683436033160405</v>
      </c>
      <c r="F193" s="39">
        <f>IF(Settings!$E$15="POINTS",E193-VLOOKUP(B$2,C1:E211,3,FALSE),J193)</f>
        <v>-310.64536973304928</v>
      </c>
      <c r="G193" s="39"/>
      <c r="H193" s="138">
        <f>RANK(I193,I3:I211)</f>
        <v>195</v>
      </c>
      <c r="I193" s="139">
        <f>VLOOKUP(A193,'Standard Deviations'!A1:C728,3,FALSE)</f>
        <v>-4.6838297444633659</v>
      </c>
      <c r="J193" s="139">
        <f>I193-VLOOKUP(B$2,H1:J211,2,FALSE)</f>
        <v>-11.258094635246572</v>
      </c>
    </row>
    <row r="194" spans="1:10" ht="21.25" customHeight="1" x14ac:dyDescent="0.15">
      <c r="A194" s="8" t="s">
        <v>809</v>
      </c>
      <c r="B194" s="57" t="str">
        <f>VLOOKUP(A194,'The List'!B1:D727,3,FALSE)</f>
        <v>C</v>
      </c>
      <c r="C194" s="58">
        <f>IF(Settings!$E$15="POINTS",RANK(E194,E3:E211),H194)</f>
        <v>192</v>
      </c>
      <c r="D194" s="35" t="str">
        <f>VLOOKUP(A194,'The List'!B1:F727,5,FALSE)</f>
        <v>WPG</v>
      </c>
      <c r="E194" s="39">
        <f>VLOOKUP(A194,'The List'!B1:I727,8,FALSE)</f>
        <v>82.202850203211227</v>
      </c>
      <c r="F194" s="39">
        <f>IF(Settings!$E$15="POINTS",E194-VLOOKUP(B$2,C1:E211,3,FALSE),J194)</f>
        <v>-311.12595556299846</v>
      </c>
      <c r="G194" s="39"/>
      <c r="H194" s="138">
        <f>RANK(I194,I3:I211)</f>
        <v>188</v>
      </c>
      <c r="I194" s="139">
        <f>VLOOKUP(A194,'Standard Deviations'!A1:C728,3,FALSE)</f>
        <v>-4.4519657515613895</v>
      </c>
      <c r="J194" s="139">
        <f>I194-VLOOKUP(B$2,H1:J211,2,FALSE)</f>
        <v>-11.026230642344595</v>
      </c>
    </row>
    <row r="195" spans="1:10" ht="21.25" customHeight="1" x14ac:dyDescent="0.15">
      <c r="A195" s="8" t="s">
        <v>811</v>
      </c>
      <c r="B195" s="57" t="str">
        <f>VLOOKUP(A195,'The List'!B1:D727,3,FALSE)</f>
        <v>C</v>
      </c>
      <c r="C195" s="58">
        <f>IF(Settings!$E$15="POINTS",RANK(E195,E3:E211),H195)</f>
        <v>193</v>
      </c>
      <c r="D195" s="35" t="str">
        <f>VLOOKUP(A195,'The List'!B1:F727,5,FALSE)</f>
        <v>FLA</v>
      </c>
      <c r="E195" s="39">
        <f>VLOOKUP(A195,'The List'!B1:I727,8,FALSE)</f>
        <v>81.177589882080866</v>
      </c>
      <c r="F195" s="39">
        <f>IF(Settings!$E$15="POINTS",E195-VLOOKUP(B$2,C1:E211,3,FALSE),J195)</f>
        <v>-312.15121588412876</v>
      </c>
      <c r="G195" s="39"/>
      <c r="H195" s="138">
        <f>RANK(I195,I3:I211)</f>
        <v>189</v>
      </c>
      <c r="I195" s="139">
        <f>VLOOKUP(A195,'Standard Deviations'!A1:C728,3,FALSE)</f>
        <v>-4.5233288295144343</v>
      </c>
      <c r="J195" s="139">
        <f>I195-VLOOKUP(B$2,H1:J211,2,FALSE)</f>
        <v>-11.09759372029764</v>
      </c>
    </row>
    <row r="196" spans="1:10" ht="21.25" customHeight="1" x14ac:dyDescent="0.15">
      <c r="A196" s="8" t="s">
        <v>812</v>
      </c>
      <c r="B196" s="57" t="str">
        <f>VLOOKUP(A196,'The List'!B1:D727,3,FALSE)</f>
        <v>C</v>
      </c>
      <c r="C196" s="58">
        <f>IF(Settings!$E$15="POINTS",RANK(E196,E3:E211),H196)</f>
        <v>194</v>
      </c>
      <c r="D196" s="35" t="str">
        <f>VLOOKUP(A196,'The List'!B1:F727,5,FALSE)</f>
        <v>TBL</v>
      </c>
      <c r="E196" s="39">
        <f>VLOOKUP(A196,'The List'!B1:I727,8,FALSE)</f>
        <v>81.053084039968795</v>
      </c>
      <c r="F196" s="39">
        <f>IF(Settings!$E$15="POINTS",E196-VLOOKUP(B$2,C1:E211,3,FALSE),J196)</f>
        <v>-312.27572172624087</v>
      </c>
      <c r="G196" s="39"/>
      <c r="H196" s="138">
        <f>RANK(I196,I3:I211)</f>
        <v>182</v>
      </c>
      <c r="I196" s="139">
        <f>VLOOKUP(A196,'Standard Deviations'!A1:C728,3,FALSE)</f>
        <v>-4.279601747301407</v>
      </c>
      <c r="J196" s="139">
        <f>I196-VLOOKUP(B$2,H1:J211,2,FALSE)</f>
        <v>-10.853866638084613</v>
      </c>
    </row>
    <row r="197" spans="1:10" ht="21.25" customHeight="1" x14ac:dyDescent="0.15">
      <c r="A197" s="8" t="s">
        <v>813</v>
      </c>
      <c r="B197" s="57" t="str">
        <f>VLOOKUP(A197,'The List'!B1:D727,3,FALSE)</f>
        <v>C</v>
      </c>
      <c r="C197" s="58">
        <f>IF(Settings!$E$15="POINTS",RANK(E197,E3:E211),H197)</f>
        <v>195</v>
      </c>
      <c r="D197" s="35" t="str">
        <f>VLOOKUP(A197,'The List'!B1:F727,5,FALSE)</f>
        <v>STL</v>
      </c>
      <c r="E197" s="39">
        <f>VLOOKUP(A197,'The List'!B1:I727,8,FALSE)</f>
        <v>78.634348169884433</v>
      </c>
      <c r="F197" s="39">
        <f>IF(Settings!$E$15="POINTS",E197-VLOOKUP(B$2,C1:E211,3,FALSE),J197)</f>
        <v>-314.69445759632521</v>
      </c>
      <c r="G197" s="39"/>
      <c r="H197" s="138">
        <f>RANK(I197,I3:I211)</f>
        <v>207</v>
      </c>
      <c r="I197" s="139">
        <f>VLOOKUP(A197,'Standard Deviations'!A1:C728,3,FALSE)</f>
        <v>-5.2796544356195376</v>
      </c>
      <c r="J197" s="139">
        <f>I197-VLOOKUP(B$2,H1:J211,2,FALSE)</f>
        <v>-11.853919326402742</v>
      </c>
    </row>
    <row r="198" spans="1:10" ht="21.25" customHeight="1" x14ac:dyDescent="0.15">
      <c r="A198" s="8" t="s">
        <v>814</v>
      </c>
      <c r="B198" s="57" t="str">
        <f>VLOOKUP(A198,'The List'!B1:D727,3,FALSE)</f>
        <v>C</v>
      </c>
      <c r="C198" s="58">
        <f>IF(Settings!$E$15="POINTS",RANK(E198,E3:E211),H198)</f>
        <v>196</v>
      </c>
      <c r="D198" s="35" t="str">
        <f>VLOOKUP(A198,'The List'!B1:F727,5,FALSE)</f>
        <v>MIN</v>
      </c>
      <c r="E198" s="39">
        <f>VLOOKUP(A198,'The List'!B1:I727,8,FALSE)</f>
        <v>77.456546722325498</v>
      </c>
      <c r="F198" s="39">
        <f>IF(Settings!$E$15="POINTS",E198-VLOOKUP(B$2,C1:E211,3,FALSE),J198)</f>
        <v>-315.87225904388413</v>
      </c>
      <c r="G198" s="39"/>
      <c r="H198" s="138">
        <f>RANK(I198,I3:I211)</f>
        <v>193</v>
      </c>
      <c r="I198" s="139">
        <f>VLOOKUP(A198,'Standard Deviations'!A1:C728,3,FALSE)</f>
        <v>-4.6394339102182034</v>
      </c>
      <c r="J198" s="139">
        <f>I198-VLOOKUP(B$2,H1:J211,2,FALSE)</f>
        <v>-11.21369880100141</v>
      </c>
    </row>
    <row r="199" spans="1:10" ht="21.25" customHeight="1" x14ac:dyDescent="0.15">
      <c r="A199" s="8" t="s">
        <v>815</v>
      </c>
      <c r="B199" s="57" t="str">
        <f>VLOOKUP(A199,'The List'!B1:D727,3,FALSE)</f>
        <v>C</v>
      </c>
      <c r="C199" s="58">
        <f>IF(Settings!$E$15="POINTS",RANK(E199,E3:E211),H199)</f>
        <v>197</v>
      </c>
      <c r="D199" s="35" t="str">
        <f>VLOOKUP(A199,'The List'!B1:F727,5,FALSE)</f>
        <v>OTT</v>
      </c>
      <c r="E199" s="39">
        <f>VLOOKUP(A199,'The List'!B1:I727,8,FALSE)</f>
        <v>76.980455060115403</v>
      </c>
      <c r="F199" s="39">
        <f>IF(Settings!$E$15="POINTS",E199-VLOOKUP(B$2,C1:E211,3,FALSE),J199)</f>
        <v>-316.34835070609427</v>
      </c>
      <c r="G199" s="39"/>
      <c r="H199" s="138">
        <f>RANK(I199,I3:I211)</f>
        <v>184</v>
      </c>
      <c r="I199" s="139">
        <f>VLOOKUP(A199,'Standard Deviations'!A1:C728,3,FALSE)</f>
        <v>-4.3543703732550529</v>
      </c>
      <c r="J199" s="139">
        <f>I199-VLOOKUP(B$2,H1:J211,2,FALSE)</f>
        <v>-10.92863526403826</v>
      </c>
    </row>
    <row r="200" spans="1:10" ht="21.25" customHeight="1" x14ac:dyDescent="0.15">
      <c r="A200" s="8" t="s">
        <v>817</v>
      </c>
      <c r="B200" s="57" t="str">
        <f>VLOOKUP(A200,'The List'!B1:D727,3,FALSE)</f>
        <v>C</v>
      </c>
      <c r="C200" s="58">
        <f>IF(Settings!$E$15="POINTS",RANK(E200,E3:E211),H200)</f>
        <v>198</v>
      </c>
      <c r="D200" s="35" t="str">
        <f>VLOOKUP(A200,'The List'!B1:F727,5,FALSE)</f>
        <v>BOS</v>
      </c>
      <c r="E200" s="39">
        <f>VLOOKUP(A200,'The List'!B1:I727,8,FALSE)</f>
        <v>75.280642100190647</v>
      </c>
      <c r="F200" s="39">
        <f>IF(Settings!$E$15="POINTS",E200-VLOOKUP(B$2,C1:E211,3,FALSE),J200)</f>
        <v>-318.04816366601904</v>
      </c>
      <c r="G200" s="39"/>
      <c r="H200" s="138">
        <f>RANK(I200,I3:I211)</f>
        <v>186</v>
      </c>
      <c r="I200" s="139">
        <f>VLOOKUP(A200,'Standard Deviations'!A1:C728,3,FALSE)</f>
        <v>-4.4037162693080028</v>
      </c>
      <c r="J200" s="139">
        <f>I200-VLOOKUP(B$2,H1:J211,2,FALSE)</f>
        <v>-10.977981160091208</v>
      </c>
    </row>
    <row r="201" spans="1:10" ht="21.25" customHeight="1" x14ac:dyDescent="0.15">
      <c r="A201" s="8" t="s">
        <v>819</v>
      </c>
      <c r="B201" s="57" t="str">
        <f>VLOOKUP(A201,'The List'!B1:D727,3,FALSE)</f>
        <v>C</v>
      </c>
      <c r="C201" s="58">
        <f>IF(Settings!$E$15="POINTS",RANK(E201,E3:E211),H201)</f>
        <v>199</v>
      </c>
      <c r="D201" s="35" t="str">
        <f>VLOOKUP(A201,'The List'!B1:F727,5,FALSE)</f>
        <v>NYR</v>
      </c>
      <c r="E201" s="39">
        <f>VLOOKUP(A201,'The List'!B1:I727,8,FALSE)</f>
        <v>71.94915654708646</v>
      </c>
      <c r="F201" s="39">
        <f>IF(Settings!$E$15="POINTS",E201-VLOOKUP(B$2,C1:E211,3,FALSE),J201)</f>
        <v>-321.37964921912317</v>
      </c>
      <c r="G201" s="39"/>
      <c r="H201" s="138">
        <f>RANK(I201,I3:I211)</f>
        <v>175</v>
      </c>
      <c r="I201" s="139">
        <f>VLOOKUP(A201,'Standard Deviations'!A1:C728,3,FALSE)</f>
        <v>-4.0878351831140431</v>
      </c>
      <c r="J201" s="139">
        <f>I201-VLOOKUP(B$2,H1:J211,2,FALSE)</f>
        <v>-10.66210007389725</v>
      </c>
    </row>
    <row r="202" spans="1:10" ht="21.25" customHeight="1" x14ac:dyDescent="0.15">
      <c r="A202" s="8" t="s">
        <v>821</v>
      </c>
      <c r="B202" s="57" t="str">
        <f>VLOOKUP(A202,'The List'!B1:D727,3,FALSE)</f>
        <v>C</v>
      </c>
      <c r="C202" s="58">
        <f>IF(Settings!$E$15="POINTS",RANK(E202,E3:E211),H202)</f>
        <v>200</v>
      </c>
      <c r="D202" s="35" t="str">
        <f>VLOOKUP(A202,'The List'!B1:F727,5,FALSE)</f>
        <v>TBL</v>
      </c>
      <c r="E202" s="39">
        <f>VLOOKUP(A202,'The List'!B1:I727,8,FALSE)</f>
        <v>68.580728865866377</v>
      </c>
      <c r="F202" s="39">
        <f>IF(Settings!$E$15="POINTS",E202-VLOOKUP(B$2,C1:E211,3,FALSE),J202)</f>
        <v>-324.74807690034328</v>
      </c>
      <c r="G202" s="39"/>
      <c r="H202" s="138">
        <f>RANK(I202,I3:I211)</f>
        <v>205</v>
      </c>
      <c r="I202" s="139">
        <f>VLOOKUP(A202,'Standard Deviations'!A1:C728,3,FALSE)</f>
        <v>-5.2117666407985874</v>
      </c>
      <c r="J202" s="139">
        <f>I202-VLOOKUP(B$2,H1:J211,2,FALSE)</f>
        <v>-11.786031531581793</v>
      </c>
    </row>
    <row r="203" spans="1:10" ht="21.25" customHeight="1" x14ac:dyDescent="0.15">
      <c r="A203" s="8" t="s">
        <v>823</v>
      </c>
      <c r="B203" s="57" t="str">
        <f>VLOOKUP(A203,'The List'!B1:D727,3,FALSE)</f>
        <v>C</v>
      </c>
      <c r="C203" s="58">
        <f>IF(Settings!$E$15="POINTS",RANK(E203,E3:E211),H203)</f>
        <v>202</v>
      </c>
      <c r="D203" s="35" t="str">
        <f>VLOOKUP(A203,'The List'!B1:F727,5,FALSE)</f>
        <v>MIN</v>
      </c>
      <c r="E203" s="39">
        <f>VLOOKUP(A203,'The List'!B1:I727,8,FALSE)</f>
        <v>67.135825616221084</v>
      </c>
      <c r="F203" s="39">
        <f>IF(Settings!$E$15="POINTS",E203-VLOOKUP(B$2,C1:E211,3,FALSE),J203)</f>
        <v>-326.19298014998856</v>
      </c>
      <c r="G203" s="39"/>
      <c r="H203" s="138">
        <f>RANK(I203,I3:I211)</f>
        <v>201</v>
      </c>
      <c r="I203" s="139">
        <f>VLOOKUP(A203,'Standard Deviations'!A1:C728,3,FALSE)</f>
        <v>-4.8419834782325415</v>
      </c>
      <c r="J203" s="139">
        <f>I203-VLOOKUP(B$2,H1:J211,2,FALSE)</f>
        <v>-11.416248369015747</v>
      </c>
    </row>
    <row r="204" spans="1:10" ht="21.25" customHeight="1" x14ac:dyDescent="0.15">
      <c r="A204" s="8" t="s">
        <v>822</v>
      </c>
      <c r="B204" s="57" t="str">
        <f>VLOOKUP(A204,'The List'!B1:D727,3,FALSE)</f>
        <v>C</v>
      </c>
      <c r="C204" s="58">
        <f>IF(Settings!$E$15="POINTS",RANK(E204,E3:E211),H204)</f>
        <v>201</v>
      </c>
      <c r="D204" s="35" t="str">
        <f>VLOOKUP(A204,'The List'!B1:F727,5,FALSE)</f>
        <v>NJD</v>
      </c>
      <c r="E204" s="39">
        <f>VLOOKUP(A204,'The List'!B1:I727,8,FALSE)</f>
        <v>67.508630451357277</v>
      </c>
      <c r="F204" s="39">
        <f>IF(Settings!$E$15="POINTS",E204-VLOOKUP(B$2,C1:E211,3,FALSE),J204)</f>
        <v>-325.82017531485235</v>
      </c>
      <c r="G204" s="39"/>
      <c r="H204" s="138">
        <f>RANK(I204,I3:I211)</f>
        <v>196</v>
      </c>
      <c r="I204" s="139">
        <f>VLOOKUP(A204,'Standard Deviations'!A1:C728,3,FALSE)</f>
        <v>-4.6852057912066574</v>
      </c>
      <c r="J204" s="139">
        <f>I204-VLOOKUP(B$2,H1:J211,2,FALSE)</f>
        <v>-11.259470681989864</v>
      </c>
    </row>
    <row r="205" spans="1:10" ht="21.25" customHeight="1" x14ac:dyDescent="0.15">
      <c r="A205" s="8" t="s">
        <v>796</v>
      </c>
      <c r="B205" s="57" t="str">
        <f>VLOOKUP(A205,'The List'!B1:D727,3,FALSE)</f>
        <v>C,LW</v>
      </c>
      <c r="C205" s="58">
        <f>IF(Settings!$E$15="POINTS",RANK(E205,E3:E211),H205)</f>
        <v>203</v>
      </c>
      <c r="D205" s="35" t="str">
        <f>VLOOKUP(A205,'The List'!B1:F727,5,FALSE)</f>
        <v>CGY</v>
      </c>
      <c r="E205" s="39">
        <f>VLOOKUP(A205,'The List'!B1:I727,8,FALSE)</f>
        <v>63.505571470031263</v>
      </c>
      <c r="F205" s="39">
        <f>IF(Settings!$E$15="POINTS",E205-VLOOKUP(B$2,C1:E211,3,FALSE),J205)</f>
        <v>-329.82323429617838</v>
      </c>
      <c r="G205" s="39"/>
      <c r="H205" s="138">
        <f>RANK(I205,I3:I211)</f>
        <v>200</v>
      </c>
      <c r="I205" s="139">
        <f>VLOOKUP(A205,'Standard Deviations'!A1:C728,3,FALSE)</f>
        <v>-4.8298491824512526</v>
      </c>
      <c r="J205" s="139">
        <f>I205-VLOOKUP(B$2,H1:J211,2,FALSE)</f>
        <v>-11.404114073234458</v>
      </c>
    </row>
    <row r="206" spans="1:10" ht="21.25" customHeight="1" x14ac:dyDescent="0.15">
      <c r="A206" s="8" t="s">
        <v>825</v>
      </c>
      <c r="B206" s="57" t="str">
        <f>VLOOKUP(A206,'The List'!B1:D727,3,FALSE)</f>
        <v>C</v>
      </c>
      <c r="C206" s="58">
        <f>IF(Settings!$E$15="POINTS",RANK(E206,E3:E211),H206)</f>
        <v>205</v>
      </c>
      <c r="D206" s="35" t="str">
        <f>VLOOKUP(A206,'The List'!B1:F727,5,FALSE)</f>
        <v>EDM</v>
      </c>
      <c r="E206" s="39">
        <f>VLOOKUP(A206,'The List'!B1:I727,8,FALSE)</f>
        <v>62.613099357259095</v>
      </c>
      <c r="F206" s="39">
        <f>IF(Settings!$E$15="POINTS",E206-VLOOKUP(B$2,C1:E211,3,FALSE),J206)</f>
        <v>-330.71570640895055</v>
      </c>
      <c r="G206" s="39"/>
      <c r="H206" s="138">
        <f>RANK(I206,I3:I211)</f>
        <v>187</v>
      </c>
      <c r="I206" s="139">
        <f>VLOOKUP(A206,'Standard Deviations'!A1:C728,3,FALSE)</f>
        <v>-4.4233763071834007</v>
      </c>
      <c r="J206" s="139">
        <f>I206-VLOOKUP(B$2,H1:J211,2,FALSE)</f>
        <v>-10.997641197966606</v>
      </c>
    </row>
    <row r="207" spans="1:10" ht="21.25" customHeight="1" x14ac:dyDescent="0.15">
      <c r="A207" s="8" t="s">
        <v>826</v>
      </c>
      <c r="B207" s="57" t="str">
        <f>VLOOKUP(A207,'The List'!B1:D727,3,FALSE)</f>
        <v>C</v>
      </c>
      <c r="C207" s="58">
        <f>IF(Settings!$E$15="POINTS",RANK(E207,E3:E211),H207)</f>
        <v>206</v>
      </c>
      <c r="D207" s="35" t="str">
        <f>VLOOKUP(A207,'The List'!B1:F727,5,FALSE)</f>
        <v>BOS</v>
      </c>
      <c r="E207" s="39">
        <f>VLOOKUP(A207,'The List'!B1:I727,8,FALSE)</f>
        <v>61.641313391744184</v>
      </c>
      <c r="F207" s="39">
        <f>IF(Settings!$E$15="POINTS",E207-VLOOKUP(B$2,C1:E211,3,FALSE),J207)</f>
        <v>-331.68749237446548</v>
      </c>
      <c r="G207" s="39"/>
      <c r="H207" s="138">
        <f>RANK(I207,I3:I211)</f>
        <v>202</v>
      </c>
      <c r="I207" s="139">
        <f>VLOOKUP(A207,'Standard Deviations'!A1:C728,3,FALSE)</f>
        <v>-4.9711614098371157</v>
      </c>
      <c r="J207" s="139">
        <f>I207-VLOOKUP(B$2,H1:J211,2,FALSE)</f>
        <v>-11.545426300620321</v>
      </c>
    </row>
    <row r="208" spans="1:10" ht="21.25" customHeight="1" x14ac:dyDescent="0.15">
      <c r="A208" s="8" t="s">
        <v>824</v>
      </c>
      <c r="B208" s="57" t="str">
        <f>VLOOKUP(A208,'The List'!B1:D727,3,FALSE)</f>
        <v>C</v>
      </c>
      <c r="C208" s="58">
        <f>IF(Settings!$E$15="POINTS",RANK(E208,E3:E211),H208)</f>
        <v>204</v>
      </c>
      <c r="D208" s="35" t="str">
        <f>VLOOKUP(A208,'The List'!B1:F727,5,FALSE)</f>
        <v>WPG</v>
      </c>
      <c r="E208" s="39">
        <f>VLOOKUP(A208,'The List'!B1:I727,8,FALSE)</f>
        <v>62.866183250184406</v>
      </c>
      <c r="F208" s="39">
        <f>IF(Settings!$E$15="POINTS",E208-VLOOKUP(B$2,C1:E211,3,FALSE),J208)</f>
        <v>-330.46262251602525</v>
      </c>
      <c r="G208" s="39"/>
      <c r="H208" s="138">
        <f>RANK(I208,I3:I211)</f>
        <v>204</v>
      </c>
      <c r="I208" s="139">
        <f>VLOOKUP(A208,'Standard Deviations'!A1:C728,3,FALSE)</f>
        <v>-5.0935540678088751</v>
      </c>
      <c r="J208" s="139">
        <f>I208-VLOOKUP(B$2,H1:J211,2,FALSE)</f>
        <v>-11.667818958592081</v>
      </c>
    </row>
    <row r="209" spans="1:10" ht="21.25" customHeight="1" x14ac:dyDescent="0.15">
      <c r="A209" s="8" t="s">
        <v>828</v>
      </c>
      <c r="B209" s="57" t="str">
        <f>VLOOKUP(A209,'The List'!B1:D727,3,FALSE)</f>
        <v>C</v>
      </c>
      <c r="C209" s="58">
        <f>IF(Settings!$E$15="POINTS",RANK(E209,E3:E211),H209)</f>
        <v>207</v>
      </c>
      <c r="D209" s="35" t="str">
        <f>VLOOKUP(A209,'The List'!B1:F727,5,FALSE)</f>
        <v>SJS</v>
      </c>
      <c r="E209" s="39">
        <f>VLOOKUP(A209,'The List'!B1:I727,8,FALSE)</f>
        <v>59.655132627619295</v>
      </c>
      <c r="F209" s="39">
        <f>IF(Settings!$E$15="POINTS",E209-VLOOKUP(B$2,C1:E211,3,FALSE),J209)</f>
        <v>-333.67367313859035</v>
      </c>
      <c r="G209" s="39"/>
      <c r="H209" s="138">
        <f>RANK(I209,I3:I211)</f>
        <v>206</v>
      </c>
      <c r="I209" s="139">
        <f>VLOOKUP(A209,'Standard Deviations'!A1:C728,3,FALSE)</f>
        <v>-5.25428438130609</v>
      </c>
      <c r="J209" s="139">
        <f>I209-VLOOKUP(B$2,H1:J211,2,FALSE)</f>
        <v>-11.828549272089296</v>
      </c>
    </row>
    <row r="210" spans="1:10" ht="21.25" customHeight="1" x14ac:dyDescent="0.15">
      <c r="A210" s="8" t="s">
        <v>829</v>
      </c>
      <c r="B210" s="57" t="str">
        <f>VLOOKUP(A210,'The List'!B1:D727,3,FALSE)</f>
        <v>C</v>
      </c>
      <c r="C210" s="58">
        <f>IF(Settings!$E$15="POINTS",RANK(E210,E3:E211),H210)</f>
        <v>208</v>
      </c>
      <c r="D210" s="35" t="str">
        <f>VLOOKUP(A210,'The List'!B1:F727,5,FALSE)</f>
        <v>COL</v>
      </c>
      <c r="E210" s="39">
        <f>VLOOKUP(A210,'The List'!B1:I727,8,FALSE)</f>
        <v>57.514239561641723</v>
      </c>
      <c r="F210" s="39">
        <f>IF(Settings!$E$15="POINTS",E210-VLOOKUP(B$2,C1:E211,3,FALSE),J210)</f>
        <v>-335.81456620456794</v>
      </c>
      <c r="G210" s="39"/>
      <c r="H210" s="138">
        <f>RANK(I210,I3:I211)</f>
        <v>198</v>
      </c>
      <c r="I210" s="139">
        <f>VLOOKUP(A210,'Standard Deviations'!A1:C728,3,FALSE)</f>
        <v>-4.7615233605702105</v>
      </c>
      <c r="J210" s="139">
        <f>I210-VLOOKUP(B$2,H1:J211,2,FALSE)</f>
        <v>-11.335788251353417</v>
      </c>
    </row>
    <row r="211" spans="1:10" ht="21.25" customHeight="1" x14ac:dyDescent="0.15">
      <c r="A211" s="8" t="s">
        <v>830</v>
      </c>
      <c r="B211" s="57" t="str">
        <f>VLOOKUP(A211,'The List'!B1:D727,3,FALSE)</f>
        <v>C</v>
      </c>
      <c r="C211" s="58">
        <f>IF(Settings!$E$15="POINTS",RANK(E211,E3:E211),H211)</f>
        <v>209</v>
      </c>
      <c r="D211" s="35" t="str">
        <f>VLOOKUP(A211,'The List'!B1:F727,5,FALSE)</f>
        <v>PHI</v>
      </c>
      <c r="E211" s="39">
        <f>VLOOKUP(A211,'The List'!B1:I727,8,FALSE)</f>
        <v>54.998261270650765</v>
      </c>
      <c r="F211" s="39">
        <f>IF(Settings!$E$15="POINTS",E211-VLOOKUP(B$2,C1:E211,3,FALSE),J211)</f>
        <v>-338.33054449555891</v>
      </c>
      <c r="G211" s="39"/>
      <c r="H211" s="138">
        <f>RANK(I211,I3:I211)</f>
        <v>209</v>
      </c>
      <c r="I211" s="139">
        <f>VLOOKUP(A211,'Standard Deviations'!A1:C728,3,FALSE)</f>
        <v>-6.5003065467581589</v>
      </c>
      <c r="J211" s="139">
        <f>I211-VLOOKUP(B$2,H1:J211,2,FALSE)</f>
        <v>-13.074571437541366</v>
      </c>
    </row>
  </sheetData>
  <conditionalFormatting sqref="C3:C211 H3:H211">
    <cfRule type="containsText" dxfId="29" priority="1" stopIfTrue="1" operator="containsText" text="/">
      <formula>NOT(ISERROR(FIND(UPPER("/"),UPPER(C3))))</formula>
      <formula>"/"</formula>
    </cfRule>
    <cfRule type="containsText" dxfId="28" priority="2" stopIfTrue="1" operator="containsText" text="C">
      <formula>NOT(ISERROR(FIND(UPPER("C"),UPPER(C3))))</formula>
      <formula>"C"</formula>
    </cfRule>
    <cfRule type="containsText" dxfId="27" priority="3" stopIfTrue="1" operator="containsText" text="D">
      <formula>NOT(ISERROR(FIND(UPPER("D"),UPPER(C3))))</formula>
      <formula>"D"</formula>
    </cfRule>
    <cfRule type="containsText" dxfId="26" priority="4" stopIfTrue="1" operator="containsText" text="LW">
      <formula>NOT(ISERROR(FIND(UPPER("LW"),UPPER(C3))))</formula>
      <formula>"LW"</formula>
    </cfRule>
    <cfRule type="containsText" dxfId="25" priority="5" stopIfTrue="1" operator="containsText" text="RW">
      <formula>NOT(ISERROR(FIND(UPPER("RW"),UPPER(C3))))</formula>
      <formula>"RW"</formula>
    </cfRule>
    <cfRule type="containsText" dxfId="24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J130"/>
  <sheetViews>
    <sheetView showGridLines="0" workbookViewId="0">
      <pane ySplit="2" topLeftCell="A3" activePane="bottomLeft" state="frozen"/>
      <selection pane="bottomLeft"/>
    </sheetView>
  </sheetViews>
  <sheetFormatPr baseColWidth="10" defaultColWidth="8" defaultRowHeight="16.25" customHeight="1" x14ac:dyDescent="0.15"/>
  <cols>
    <col min="1" max="1" width="33" style="1" customWidth="1"/>
    <col min="2" max="2" width="7.1640625" style="1" customWidth="1"/>
    <col min="3" max="3" width="6" style="1" customWidth="1"/>
    <col min="4" max="6" width="8.33203125" style="1" customWidth="1"/>
    <col min="7" max="10" width="1.33203125" style="1" customWidth="1"/>
    <col min="11" max="11" width="8" style="1" customWidth="1"/>
    <col min="12" max="16384" width="8" style="1"/>
  </cols>
  <sheetData>
    <row r="1" spans="1:10" ht="28.25" customHeight="1" x14ac:dyDescent="0.15">
      <c r="A1" s="122" t="s">
        <v>852</v>
      </c>
      <c r="B1" s="123" t="s">
        <v>858</v>
      </c>
      <c r="C1" s="124"/>
      <c r="D1" s="4" t="s">
        <v>854</v>
      </c>
      <c r="E1" s="125" t="s">
        <v>855</v>
      </c>
      <c r="F1" s="123" t="s">
        <v>74</v>
      </c>
      <c r="G1" s="126"/>
      <c r="H1" s="127"/>
      <c r="I1" s="128" t="s">
        <v>856</v>
      </c>
      <c r="J1" s="129" t="s">
        <v>74</v>
      </c>
    </row>
    <row r="2" spans="1:10" ht="28.25" customHeight="1" x14ac:dyDescent="0.15">
      <c r="A2" s="130" t="s">
        <v>41</v>
      </c>
      <c r="B2" s="131">
        <f>Settings!F3</f>
        <v>21</v>
      </c>
      <c r="C2" s="132"/>
      <c r="D2" s="133"/>
      <c r="E2" s="134"/>
      <c r="F2" s="134"/>
      <c r="G2" s="134"/>
      <c r="H2" s="140"/>
      <c r="I2" s="136"/>
      <c r="J2" s="141"/>
    </row>
    <row r="3" spans="1:10" ht="21.25" customHeight="1" x14ac:dyDescent="0.15">
      <c r="A3" s="8" t="s">
        <v>111</v>
      </c>
      <c r="B3" s="62" t="str">
        <f>VLOOKUP(A3,'The List'!B1:D727,3,FALSE)</f>
        <v>LW</v>
      </c>
      <c r="C3" s="63">
        <f>IF(Settings!$E$15="POINTS",RANK(E3,E3:E130),H3)</f>
        <v>1</v>
      </c>
      <c r="D3" s="35" t="str">
        <f>VLOOKUP(A3,'The List'!B1:F727,5,FALSE)</f>
        <v>FLA</v>
      </c>
      <c r="E3" s="39">
        <f>VLOOKUP(A3,'The List'!B1:I727,8,FALSE)</f>
        <v>553.02647887611465</v>
      </c>
      <c r="F3" s="39">
        <f>IF(Settings!$E$15="POINTS",E3-VLOOKUP(B$2,C1:E130,3,FALSE),J3)</f>
        <v>188.98587401846419</v>
      </c>
      <c r="G3" s="39"/>
      <c r="H3" s="142">
        <f>RANK(I3,I3:I130)</f>
        <v>1</v>
      </c>
      <c r="I3" s="139">
        <f>VLOOKUP(A3,'Standard Deviations'!A1:C728,3,FALSE)</f>
        <v>13.544002251126631</v>
      </c>
      <c r="J3" s="143">
        <f>I3-VLOOKUP(B$2,H1:J130,2,FALSE)</f>
        <v>8.4259086934655034</v>
      </c>
    </row>
    <row r="4" spans="1:10" ht="21.25" customHeight="1" x14ac:dyDescent="0.15">
      <c r="A4" s="8" t="s">
        <v>115</v>
      </c>
      <c r="B4" s="62" t="str">
        <f>VLOOKUP(A4,'The List'!B1:D727,3,FALSE)</f>
        <v>LW</v>
      </c>
      <c r="C4" s="63">
        <f>IF(Settings!$E$15="POINTS",RANK(E4,E3:E130),H4)</f>
        <v>3</v>
      </c>
      <c r="D4" s="35" t="str">
        <f>VLOOKUP(A4,'The List'!B1:F727,5,FALSE)</f>
        <v>MIN</v>
      </c>
      <c r="E4" s="39">
        <f>VLOOKUP(A4,'The List'!B1:I727,8,FALSE)</f>
        <v>516.33899984607899</v>
      </c>
      <c r="F4" s="39">
        <f>IF(Settings!$E$15="POINTS",E4-VLOOKUP(B$2,C1:E130,3,FALSE),J4)</f>
        <v>152.29839498842853</v>
      </c>
      <c r="G4" s="39"/>
      <c r="H4" s="138">
        <f>RANK(I4,I3:I130)</f>
        <v>3</v>
      </c>
      <c r="I4" s="139">
        <f>VLOOKUP(A4,'Standard Deviations'!A1:C728,3,FALSE)</f>
        <v>11.071363307548703</v>
      </c>
      <c r="J4" s="139">
        <f>I4-VLOOKUP(B$2,H1:J130,2,FALSE)</f>
        <v>5.9532697498875748</v>
      </c>
    </row>
    <row r="5" spans="1:10" ht="21.25" customHeight="1" x14ac:dyDescent="0.15">
      <c r="A5" s="8" t="s">
        <v>114</v>
      </c>
      <c r="B5" s="62" t="str">
        <f>VLOOKUP(A5,'The List'!B1:D727,3,FALSE)</f>
        <v>C,LW</v>
      </c>
      <c r="C5" s="63">
        <f>IF(Settings!$E$15="POINTS",RANK(E5,E3:E130),H5)</f>
        <v>2</v>
      </c>
      <c r="D5" s="35" t="str">
        <f>VLOOKUP(A5,'The List'!B1:F727,5,FALSE)</f>
        <v>NJD</v>
      </c>
      <c r="E5" s="39">
        <f>VLOOKUP(A5,'The List'!B1:I727,8,FALSE)</f>
        <v>534.75382516616844</v>
      </c>
      <c r="F5" s="39">
        <f>IF(Settings!$E$15="POINTS",E5-VLOOKUP(B$2,C1:E130,3,FALSE),J5)</f>
        <v>170.71322030851798</v>
      </c>
      <c r="G5" s="39"/>
      <c r="H5" s="138">
        <f>RANK(I5,I3:I130)</f>
        <v>4</v>
      </c>
      <c r="I5" s="139">
        <f>VLOOKUP(A5,'Standard Deviations'!A1:C728,3,FALSE)</f>
        <v>10.586986169366119</v>
      </c>
      <c r="J5" s="139">
        <f>I5-VLOOKUP(B$2,H1:J130,2,FALSE)</f>
        <v>5.468892611704991</v>
      </c>
    </row>
    <row r="6" spans="1:10" ht="21.25" customHeight="1" x14ac:dyDescent="0.15">
      <c r="A6" s="8" t="s">
        <v>117</v>
      </c>
      <c r="B6" s="62" t="str">
        <f>VLOOKUP(A6,'The List'!B1:D727,3,FALSE)</f>
        <v>LW</v>
      </c>
      <c r="C6" s="63">
        <f>IF(Settings!$E$15="POINTS",RANK(E6,E3:E130),H6)</f>
        <v>4</v>
      </c>
      <c r="D6" s="35" t="str">
        <f>VLOOKUP(A6,'The List'!B1:F727,5,FALSE)</f>
        <v>DAL</v>
      </c>
      <c r="E6" s="39">
        <f>VLOOKUP(A6,'The List'!B1:I727,8,FALSE)</f>
        <v>509.91606352067902</v>
      </c>
      <c r="F6" s="39">
        <f>IF(Settings!$E$15="POINTS",E6-VLOOKUP(B$2,C1:E130,3,FALSE),J6)</f>
        <v>145.87545866302855</v>
      </c>
      <c r="G6" s="39"/>
      <c r="H6" s="138">
        <f>RANK(I6,I3:I130)</f>
        <v>2</v>
      </c>
      <c r="I6" s="139">
        <f>VLOOKUP(A6,'Standard Deviations'!A1:C728,3,FALSE)</f>
        <v>12.223008809756044</v>
      </c>
      <c r="J6" s="139">
        <f>I6-VLOOKUP(B$2,H1:J130,2,FALSE)</f>
        <v>7.1049152520949157</v>
      </c>
    </row>
    <row r="7" spans="1:10" ht="21.25" customHeight="1" x14ac:dyDescent="0.15">
      <c r="A7" s="8" t="s">
        <v>131</v>
      </c>
      <c r="B7" s="62" t="str">
        <f>VLOOKUP(A7,'The List'!B1:D727,3,FALSE)</f>
        <v>LW</v>
      </c>
      <c r="C7" s="63">
        <f>IF(Settings!$E$15="POINTS",RANK(E7,E3:E130),H7)</f>
        <v>5</v>
      </c>
      <c r="D7" s="35" t="str">
        <f>VLOOKUP(A7,'The List'!B1:F727,5,FALSE)</f>
        <v>WPG</v>
      </c>
      <c r="E7" s="39">
        <f>VLOOKUP(A7,'The List'!B1:I727,8,FALSE)</f>
        <v>449.47835150555562</v>
      </c>
      <c r="F7" s="39">
        <f>IF(Settings!$E$15="POINTS",E7-VLOOKUP(B$2,C1:E130,3,FALSE),J7)</f>
        <v>85.437746647905158</v>
      </c>
      <c r="G7" s="39"/>
      <c r="H7" s="138">
        <f>RANK(I7,I3:I130)</f>
        <v>10</v>
      </c>
      <c r="I7" s="139">
        <f>VLOOKUP(A7,'Standard Deviations'!A1:C728,3,FALSE)</f>
        <v>7.6891056118606551</v>
      </c>
      <c r="J7" s="139">
        <f>I7-VLOOKUP(B$2,H1:J130,2,FALSE)</f>
        <v>2.5710120541995272</v>
      </c>
    </row>
    <row r="8" spans="1:10" ht="21.25" customHeight="1" x14ac:dyDescent="0.15">
      <c r="A8" s="8" t="s">
        <v>132</v>
      </c>
      <c r="B8" s="62" t="str">
        <f>VLOOKUP(A8,'The List'!B1:D727,3,FALSE)</f>
        <v>LW</v>
      </c>
      <c r="C8" s="63">
        <f>IF(Settings!$E$15="POINTS",RANK(E8,E3:E130),H8)</f>
        <v>6</v>
      </c>
      <c r="D8" s="35" t="str">
        <f>VLOOKUP(A8,'The List'!B1:F727,5,FALSE)</f>
        <v>WSH</v>
      </c>
      <c r="E8" s="39">
        <f>VLOOKUP(A8,'The List'!B1:I727,8,FALSE)</f>
        <v>448.58563069126262</v>
      </c>
      <c r="F8" s="39">
        <f>IF(Settings!$E$15="POINTS",E8-VLOOKUP(B$2,C1:E130,3,FALSE),J8)</f>
        <v>84.545025833612158</v>
      </c>
      <c r="G8" s="39"/>
      <c r="H8" s="138">
        <f>RANK(I8,I3:I130)</f>
        <v>13</v>
      </c>
      <c r="I8" s="139">
        <f>VLOOKUP(A8,'Standard Deviations'!A1:C728,3,FALSE)</f>
        <v>7.1624856087545412</v>
      </c>
      <c r="J8" s="139">
        <f>I8-VLOOKUP(B$2,H1:J130,2,FALSE)</f>
        <v>2.0443920510934133</v>
      </c>
    </row>
    <row r="9" spans="1:10" ht="21.25" customHeight="1" x14ac:dyDescent="0.15">
      <c r="A9" s="8" t="s">
        <v>137</v>
      </c>
      <c r="B9" s="62" t="str">
        <f>VLOOKUP(A9,'The List'!B1:D727,3,FALSE)</f>
        <v>LW</v>
      </c>
      <c r="C9" s="63">
        <f>IF(Settings!$E$15="POINTS",RANK(E9,E3:E130),H9)</f>
        <v>8</v>
      </c>
      <c r="D9" s="35" t="str">
        <f>VLOOKUP(A9,'The List'!B1:F727,5,FALSE)</f>
        <v>NYR</v>
      </c>
      <c r="E9" s="39">
        <f>VLOOKUP(A9,'The List'!B1:I727,8,FALSE)</f>
        <v>445.22945205924469</v>
      </c>
      <c r="F9" s="39">
        <f>IF(Settings!$E$15="POINTS",E9-VLOOKUP(B$2,C1:E130,3,FALSE),J9)</f>
        <v>81.188847201594228</v>
      </c>
      <c r="G9" s="39"/>
      <c r="H9" s="138">
        <f>RANK(I9,I3:I130)</f>
        <v>5</v>
      </c>
      <c r="I9" s="139">
        <f>VLOOKUP(A9,'Standard Deviations'!A1:C728,3,FALSE)</f>
        <v>8.3231965210600141</v>
      </c>
      <c r="J9" s="139">
        <f>I9-VLOOKUP(B$2,H1:J130,2,FALSE)</f>
        <v>3.2051029633988861</v>
      </c>
    </row>
    <row r="10" spans="1:10" ht="21.25" customHeight="1" x14ac:dyDescent="0.15">
      <c r="A10" s="8" t="s">
        <v>150</v>
      </c>
      <c r="B10" s="62" t="str">
        <f>VLOOKUP(A10,'The List'!B1:D727,3,FALSE)</f>
        <v>LW</v>
      </c>
      <c r="C10" s="63">
        <f>IF(Settings!$E$15="POINTS",RANK(E10,E3:E130),H10)</f>
        <v>12</v>
      </c>
      <c r="D10" s="35" t="str">
        <f>VLOOKUP(A10,'The List'!B1:F727,5,FALSE)</f>
        <v>CBJ</v>
      </c>
      <c r="E10" s="39">
        <f>VLOOKUP(A10,'The List'!B1:I727,8,FALSE)</f>
        <v>417.17011899222427</v>
      </c>
      <c r="F10" s="39">
        <f>IF(Settings!$E$15="POINTS",E10-VLOOKUP(B$2,C1:E130,3,FALSE),J10)</f>
        <v>53.12951413457381</v>
      </c>
      <c r="G10" s="39"/>
      <c r="H10" s="138">
        <f>RANK(I10,I3:I130)</f>
        <v>17</v>
      </c>
      <c r="I10" s="139">
        <f>VLOOKUP(A10,'Standard Deviations'!A1:C728,3,FALSE)</f>
        <v>5.3218228284285685</v>
      </c>
      <c r="J10" s="139">
        <f>I10-VLOOKUP(B$2,H1:J130,2,FALSE)</f>
        <v>0.20372927076744052</v>
      </c>
    </row>
    <row r="11" spans="1:10" ht="21.25" customHeight="1" x14ac:dyDescent="0.15">
      <c r="A11" s="8" t="s">
        <v>144</v>
      </c>
      <c r="B11" s="62" t="str">
        <f>VLOOKUP(A11,'The List'!B1:D727,3,FALSE)</f>
        <v>LW</v>
      </c>
      <c r="C11" s="63">
        <f>IF(Settings!$E$15="POINTS",RANK(E11,E3:E130),H11)</f>
        <v>9</v>
      </c>
      <c r="D11" s="35" t="str">
        <f>VLOOKUP(A11,'The List'!B1:F727,5,FALSE)</f>
        <v>OTT</v>
      </c>
      <c r="E11" s="39">
        <f>VLOOKUP(A11,'The List'!B1:I727,8,FALSE)</f>
        <v>429.38088289787777</v>
      </c>
      <c r="F11" s="39">
        <f>IF(Settings!$E$15="POINTS",E11-VLOOKUP(B$2,C1:E130,3,FALSE),J11)</f>
        <v>65.340278040227304</v>
      </c>
      <c r="G11" s="39"/>
      <c r="H11" s="138">
        <f>RANK(I11,I3:I130)</f>
        <v>11</v>
      </c>
      <c r="I11" s="139">
        <f>VLOOKUP(A11,'Standard Deviations'!A1:C728,3,FALSE)</f>
        <v>7.299438476523922</v>
      </c>
      <c r="J11" s="139">
        <f>I11-VLOOKUP(B$2,H1:J130,2,FALSE)</f>
        <v>2.181344918862794</v>
      </c>
    </row>
    <row r="12" spans="1:10" ht="21.25" customHeight="1" x14ac:dyDescent="0.15">
      <c r="A12" s="8" t="s">
        <v>133</v>
      </c>
      <c r="B12" s="62" t="str">
        <f>VLOOKUP(A12,'The List'!B1:D727,3,FALSE)</f>
        <v>LW</v>
      </c>
      <c r="C12" s="63">
        <f>IF(Settings!$E$15="POINTS",RANK(E12,E3:E130),H12)</f>
        <v>7</v>
      </c>
      <c r="D12" s="35" t="str">
        <f>VLOOKUP(A12,'The List'!B1:F727,5,FALSE)</f>
        <v>OTT</v>
      </c>
      <c r="E12" s="39">
        <f>VLOOKUP(A12,'The List'!B1:I727,8,FALSE)</f>
        <v>448.55229294746431</v>
      </c>
      <c r="F12" s="39">
        <f>IF(Settings!$E$15="POINTS",E12-VLOOKUP(B$2,C1:E130,3,FALSE),J12)</f>
        <v>84.511688089813845</v>
      </c>
      <c r="G12" s="39"/>
      <c r="H12" s="138">
        <f>RANK(I12,I3:I130)</f>
        <v>6</v>
      </c>
      <c r="I12" s="139">
        <f>VLOOKUP(A12,'Standard Deviations'!A1:C728,3,FALSE)</f>
        <v>8.1067176894363939</v>
      </c>
      <c r="J12" s="139">
        <f>I12-VLOOKUP(B$2,H1:J130,2,FALSE)</f>
        <v>2.988624131775266</v>
      </c>
    </row>
    <row r="13" spans="1:10" ht="21.25" customHeight="1" x14ac:dyDescent="0.15">
      <c r="A13" s="8" t="s">
        <v>145</v>
      </c>
      <c r="B13" s="62" t="str">
        <f>VLOOKUP(A13,'The List'!B1:D727,3,FALSE)</f>
        <v>LW</v>
      </c>
      <c r="C13" s="63">
        <f>IF(Settings!$E$15="POINTS",RANK(E13,E3:E130),H13)</f>
        <v>10</v>
      </c>
      <c r="D13" s="35" t="str">
        <f>VLOOKUP(A13,'The List'!B1:F727,5,FALSE)</f>
        <v>PIT</v>
      </c>
      <c r="E13" s="39">
        <f>VLOOKUP(A13,'The List'!B1:I727,8,FALSE)</f>
        <v>422.82266221369161</v>
      </c>
      <c r="F13" s="39">
        <f>IF(Settings!$E$15="POINTS",E13-VLOOKUP(B$2,C1:E130,3,FALSE),J13)</f>
        <v>58.78205735604115</v>
      </c>
      <c r="G13" s="39"/>
      <c r="H13" s="138">
        <f>RANK(I13,I3:I130)</f>
        <v>8</v>
      </c>
      <c r="I13" s="139">
        <f>VLOOKUP(A13,'Standard Deviations'!A1:C728,3,FALSE)</f>
        <v>7.9283896550247217</v>
      </c>
      <c r="J13" s="139">
        <f>I13-VLOOKUP(B$2,H1:J130,2,FALSE)</f>
        <v>2.8102960973635938</v>
      </c>
    </row>
    <row r="14" spans="1:10" ht="21.25" customHeight="1" x14ac:dyDescent="0.15">
      <c r="A14" s="8" t="s">
        <v>146</v>
      </c>
      <c r="B14" s="62" t="str">
        <f>VLOOKUP(A14,'The List'!B1:D727,3,FALSE)</f>
        <v>LW</v>
      </c>
      <c r="C14" s="63">
        <f>IF(Settings!$E$15="POINTS",RANK(E14,E3:E130),H14)</f>
        <v>11</v>
      </c>
      <c r="D14" s="35" t="str">
        <f>VLOOKUP(A14,'The List'!B1:F727,5,FALSE)</f>
        <v>MIN</v>
      </c>
      <c r="E14" s="39">
        <f>VLOOKUP(A14,'The List'!B1:I727,8,FALSE)</f>
        <v>421.74067572524592</v>
      </c>
      <c r="F14" s="39">
        <f>IF(Settings!$E$15="POINTS",E14-VLOOKUP(B$2,C1:E130,3,FALSE),J14)</f>
        <v>57.700070867595457</v>
      </c>
      <c r="G14" s="39"/>
      <c r="H14" s="138">
        <f>RANK(I14,I3:I130)</f>
        <v>7</v>
      </c>
      <c r="I14" s="139">
        <f>VLOOKUP(A14,'Standard Deviations'!A1:C728,3,FALSE)</f>
        <v>7.9478193333430465</v>
      </c>
      <c r="J14" s="139">
        <f>I14-VLOOKUP(B$2,H1:J130,2,FALSE)</f>
        <v>2.8297257756819185</v>
      </c>
    </row>
    <row r="15" spans="1:10" ht="21.25" customHeight="1" x14ac:dyDescent="0.15">
      <c r="A15" s="8" t="s">
        <v>156</v>
      </c>
      <c r="B15" s="62" t="str">
        <f>VLOOKUP(A15,'The List'!B1:D727,3,FALSE)</f>
        <v>LW</v>
      </c>
      <c r="C15" s="63">
        <f>IF(Settings!$E$15="POINTS",RANK(E15,E3:E130),H15)</f>
        <v>13</v>
      </c>
      <c r="D15" s="35" t="str">
        <f>VLOOKUP(A15,'The List'!B1:F727,5,FALSE)</f>
        <v>LAK</v>
      </c>
      <c r="E15" s="39">
        <f>VLOOKUP(A15,'The List'!B1:I727,8,FALSE)</f>
        <v>403.99314653060344</v>
      </c>
      <c r="F15" s="39">
        <f>IF(Settings!$E$15="POINTS",E15-VLOOKUP(B$2,C1:E130,3,FALSE),J15)</f>
        <v>39.952541672952975</v>
      </c>
      <c r="G15" s="39"/>
      <c r="H15" s="138">
        <f>RANK(I15,I3:I130)</f>
        <v>15</v>
      </c>
      <c r="I15" s="139">
        <f>VLOOKUP(A15,'Standard Deviations'!A1:C728,3,FALSE)</f>
        <v>6.0349869571772041</v>
      </c>
      <c r="J15" s="139">
        <f>I15-VLOOKUP(B$2,H1:J130,2,FALSE)</f>
        <v>0.91689339951607618</v>
      </c>
    </row>
    <row r="16" spans="1:10" ht="21.25" customHeight="1" x14ac:dyDescent="0.15">
      <c r="A16" s="8" t="s">
        <v>169</v>
      </c>
      <c r="B16" s="62" t="str">
        <f>VLOOKUP(A16,'The List'!B1:D727,3,FALSE)</f>
        <v>LW</v>
      </c>
      <c r="C16" s="63">
        <f>IF(Settings!$E$15="POINTS",RANK(E16,E3:E130),H16)</f>
        <v>15</v>
      </c>
      <c r="D16" s="35" t="str">
        <f>VLOOKUP(A16,'The List'!B1:F727,5,FALSE)</f>
        <v>STL</v>
      </c>
      <c r="E16" s="39">
        <f>VLOOKUP(A16,'The List'!B1:I727,8,FALSE)</f>
        <v>390.67202095519838</v>
      </c>
      <c r="F16" s="39">
        <f>IF(Settings!$E$15="POINTS",E16-VLOOKUP(B$2,C1:E130,3,FALSE),J16)</f>
        <v>26.631416097547913</v>
      </c>
      <c r="G16" s="39"/>
      <c r="H16" s="138">
        <f>RANK(I16,I3:I130)</f>
        <v>19</v>
      </c>
      <c r="I16" s="139">
        <f>VLOOKUP(A16,'Standard Deviations'!A1:C728,3,FALSE)</f>
        <v>5.2847558332594167</v>
      </c>
      <c r="J16" s="139">
        <f>I16-VLOOKUP(B$2,H1:J130,2,FALSE)</f>
        <v>0.16666227559828872</v>
      </c>
    </row>
    <row r="17" spans="1:10" ht="21.25" customHeight="1" x14ac:dyDescent="0.15">
      <c r="A17" s="8" t="s">
        <v>158</v>
      </c>
      <c r="B17" s="62" t="str">
        <f>VLOOKUP(A17,'The List'!B1:D727,3,FALSE)</f>
        <v>LW</v>
      </c>
      <c r="C17" s="63">
        <f>IF(Settings!$E$15="POINTS",RANK(E17,E3:E130),H17)</f>
        <v>14</v>
      </c>
      <c r="D17" s="35" t="str">
        <f>VLOOKUP(A17,'The List'!B1:F727,5,FALSE)</f>
        <v>EDM</v>
      </c>
      <c r="E17" s="39">
        <f>VLOOKUP(A17,'The List'!B1:I727,8,FALSE)</f>
        <v>402.87078699991486</v>
      </c>
      <c r="F17" s="39">
        <f>IF(Settings!$E$15="POINTS",E17-VLOOKUP(B$2,C1:E130,3,FALSE),J17)</f>
        <v>38.830182142264391</v>
      </c>
      <c r="G17" s="39"/>
      <c r="H17" s="138">
        <f>RANK(I17,I3:I130)</f>
        <v>9</v>
      </c>
      <c r="I17" s="139">
        <f>VLOOKUP(A17,'Standard Deviations'!A1:C728,3,FALSE)</f>
        <v>7.8896902646168057</v>
      </c>
      <c r="J17" s="139">
        <f>I17-VLOOKUP(B$2,H1:J130,2,FALSE)</f>
        <v>2.7715967069556777</v>
      </c>
    </row>
    <row r="18" spans="1:10" ht="21.25" customHeight="1" x14ac:dyDescent="0.15">
      <c r="A18" s="8" t="s">
        <v>171</v>
      </c>
      <c r="B18" s="62" t="str">
        <f>VLOOKUP(A18,'The List'!B1:D727,3,FALSE)</f>
        <v>LW</v>
      </c>
      <c r="C18" s="63">
        <f>IF(Settings!$E$15="POINTS",RANK(E18,E3:E130),H18)</f>
        <v>16</v>
      </c>
      <c r="D18" s="35" t="str">
        <f>VLOOKUP(A18,'The List'!B1:F727,5,FALSE)</f>
        <v>BOS</v>
      </c>
      <c r="E18" s="39">
        <f>VLOOKUP(A18,'The List'!B1:I727,8,FALSE)</f>
        <v>388.89618898511213</v>
      </c>
      <c r="F18" s="39">
        <f>IF(Settings!$E$15="POINTS",E18-VLOOKUP(B$2,C1:E130,3,FALSE),J18)</f>
        <v>24.855584127461668</v>
      </c>
      <c r="G18" s="39"/>
      <c r="H18" s="138">
        <f>RANK(I18,I3:I130)</f>
        <v>12</v>
      </c>
      <c r="I18" s="139">
        <f>VLOOKUP(A18,'Standard Deviations'!A1:C728,3,FALSE)</f>
        <v>7.1831147620024556</v>
      </c>
      <c r="J18" s="139">
        <f>I18-VLOOKUP(B$2,H1:J130,2,FALSE)</f>
        <v>2.0650212043413276</v>
      </c>
    </row>
    <row r="19" spans="1:10" ht="21.25" customHeight="1" x14ac:dyDescent="0.15">
      <c r="A19" s="8" t="s">
        <v>175</v>
      </c>
      <c r="B19" s="62" t="str">
        <f>VLOOKUP(A19,'The List'!B1:D727,3,FALSE)</f>
        <v>LW</v>
      </c>
      <c r="C19" s="63">
        <f>IF(Settings!$E$15="POINTS",RANK(E19,E3:E130),H19)</f>
        <v>17</v>
      </c>
      <c r="D19" s="35" t="str">
        <f>VLOOKUP(A19,'The List'!B1:F727,5,FALSE)</f>
        <v>BUF</v>
      </c>
      <c r="E19" s="39">
        <f>VLOOKUP(A19,'The List'!B1:I727,8,FALSE)</f>
        <v>378.99830546695591</v>
      </c>
      <c r="F19" s="39">
        <f>IF(Settings!$E$15="POINTS",E19-VLOOKUP(B$2,C1:E130,3,FALSE),J19)</f>
        <v>14.957700609305448</v>
      </c>
      <c r="G19" s="39"/>
      <c r="H19" s="138">
        <f>RANK(I19,I3:I130)</f>
        <v>20</v>
      </c>
      <c r="I19" s="139">
        <f>VLOOKUP(A19,'Standard Deviations'!A1:C728,3,FALSE)</f>
        <v>5.2201105750199828</v>
      </c>
      <c r="J19" s="139">
        <f>I19-VLOOKUP(B$2,H1:J130,2,FALSE)</f>
        <v>0.10201701735885482</v>
      </c>
    </row>
    <row r="20" spans="1:10" ht="21.25" customHeight="1" x14ac:dyDescent="0.15">
      <c r="A20" s="8" t="s">
        <v>176</v>
      </c>
      <c r="B20" s="62" t="str">
        <f>VLOOKUP(A20,'The List'!B1:D727,3,FALSE)</f>
        <v>LW</v>
      </c>
      <c r="C20" s="63">
        <f>IF(Settings!$E$15="POINTS",RANK(E20,E3:E130),H20)</f>
        <v>18</v>
      </c>
      <c r="D20" s="35" t="str">
        <f>VLOOKUP(A20,'The List'!B1:F727,5,FALSE)</f>
        <v>NJD</v>
      </c>
      <c r="E20" s="39">
        <f>VLOOKUP(A20,'The List'!B1:I727,8,FALSE)</f>
        <v>378.79732042132815</v>
      </c>
      <c r="F20" s="39">
        <f>IF(Settings!$E$15="POINTS",E20-VLOOKUP(B$2,C1:E130,3,FALSE),J20)</f>
        <v>14.756715563677687</v>
      </c>
      <c r="G20" s="39"/>
      <c r="H20" s="138">
        <f>RANK(I20,I3:I130)</f>
        <v>16</v>
      </c>
      <c r="I20" s="139">
        <f>VLOOKUP(A20,'Standard Deviations'!A1:C728,3,FALSE)</f>
        <v>5.5961904317154074</v>
      </c>
      <c r="J20" s="139">
        <f>I20-VLOOKUP(B$2,H1:J130,2,FALSE)</f>
        <v>0.47809687405427947</v>
      </c>
    </row>
    <row r="21" spans="1:10" ht="21.25" customHeight="1" x14ac:dyDescent="0.15">
      <c r="A21" s="8" t="s">
        <v>178</v>
      </c>
      <c r="B21" s="62" t="str">
        <f>VLOOKUP(A21,'The List'!B1:D727,3,FALSE)</f>
        <v>LW</v>
      </c>
      <c r="C21" s="63">
        <f>IF(Settings!$E$15="POINTS",RANK(E21,E3:E130),H21)</f>
        <v>19</v>
      </c>
      <c r="D21" s="35" t="str">
        <f>VLOOKUP(A21,'The List'!B1:F727,5,FALSE)</f>
        <v>CBJ</v>
      </c>
      <c r="E21" s="39">
        <f>VLOOKUP(A21,'The List'!B1:I727,8,FALSE)</f>
        <v>378.17820461222209</v>
      </c>
      <c r="F21" s="39">
        <f>IF(Settings!$E$15="POINTS",E21-VLOOKUP(B$2,C1:E130,3,FALSE),J21)</f>
        <v>14.137599754571625</v>
      </c>
      <c r="G21" s="39"/>
      <c r="H21" s="138">
        <f>RANK(I21,I3:I130)</f>
        <v>29</v>
      </c>
      <c r="I21" s="139">
        <f>VLOOKUP(A21,'Standard Deviations'!A1:C728,3,FALSE)</f>
        <v>4.2055392250174499</v>
      </c>
      <c r="J21" s="139">
        <f>I21-VLOOKUP(B$2,H1:J130,2,FALSE)</f>
        <v>-0.91255433264367802</v>
      </c>
    </row>
    <row r="22" spans="1:10" ht="21.25" customHeight="1" x14ac:dyDescent="0.15">
      <c r="A22" s="8" t="s">
        <v>190</v>
      </c>
      <c r="B22" s="62" t="str">
        <f>VLOOKUP(A22,'The List'!B1:D727,3,FALSE)</f>
        <v>LW</v>
      </c>
      <c r="C22" s="63">
        <f>IF(Settings!$E$15="POINTS",RANK(E22,E3:E130),H22)</f>
        <v>21</v>
      </c>
      <c r="D22" s="35" t="str">
        <f>VLOOKUP(A22,'The List'!B1:F727,5,FALSE)</f>
        <v>CGY</v>
      </c>
      <c r="E22" s="39">
        <f>VLOOKUP(A22,'The List'!B1:I727,8,FALSE)</f>
        <v>364.04060485765046</v>
      </c>
      <c r="F22" s="39">
        <f>IF(Settings!$E$15="POINTS",E22-VLOOKUP(B$2,C1:E130,3,FALSE),J22)</f>
        <v>0</v>
      </c>
      <c r="G22" s="39"/>
      <c r="H22" s="138">
        <f>RANK(I22,I3:I130)</f>
        <v>18</v>
      </c>
      <c r="I22" s="139">
        <f>VLOOKUP(A22,'Standard Deviations'!A1:C728,3,FALSE)</f>
        <v>5.3032555872270848</v>
      </c>
      <c r="J22" s="139">
        <f>I22-VLOOKUP(B$2,H1:J130,2,FALSE)</f>
        <v>0.18516202956595684</v>
      </c>
    </row>
    <row r="23" spans="1:10" ht="21.25" customHeight="1" x14ac:dyDescent="0.15">
      <c r="A23" s="8" t="s">
        <v>182</v>
      </c>
      <c r="B23" s="62" t="str">
        <f>VLOOKUP(A23,'The List'!B1:D727,3,FALSE)</f>
        <v>LW</v>
      </c>
      <c r="C23" s="63">
        <f>IF(Settings!$E$15="POINTS",RANK(E23,E3:E130),H23)</f>
        <v>20</v>
      </c>
      <c r="D23" s="35" t="str">
        <f>VLOOKUP(A23,'The List'!B1:F727,5,FALSE)</f>
        <v>NSH</v>
      </c>
      <c r="E23" s="39">
        <f>VLOOKUP(A23,'The List'!B1:I727,8,FALSE)</f>
        <v>366.90918120641453</v>
      </c>
      <c r="F23" s="39">
        <f>IF(Settings!$E$15="POINTS",E23-VLOOKUP(B$2,C1:E130,3,FALSE),J23)</f>
        <v>2.8685763487640656</v>
      </c>
      <c r="G23" s="39"/>
      <c r="H23" s="138">
        <f>RANK(I23,I3:I130)</f>
        <v>23</v>
      </c>
      <c r="I23" s="139">
        <f>VLOOKUP(A23,'Standard Deviations'!A1:C728,3,FALSE)</f>
        <v>5.0511679036927291</v>
      </c>
      <c r="J23" s="139">
        <f>I23-VLOOKUP(B$2,H1:J130,2,FALSE)</f>
        <v>-6.692565396839889E-2</v>
      </c>
    </row>
    <row r="24" spans="1:10" ht="21.25" customHeight="1" x14ac:dyDescent="0.15">
      <c r="A24" s="8" t="s">
        <v>208</v>
      </c>
      <c r="B24" s="62" t="str">
        <f>VLOOKUP(A24,'The List'!B1:D727,3,FALSE)</f>
        <v>LW</v>
      </c>
      <c r="C24" s="63">
        <f>IF(Settings!$E$15="POINTS",RANK(E24,E3:E130),H24)</f>
        <v>23</v>
      </c>
      <c r="D24" s="35" t="str">
        <f>VLOOKUP(A24,'The List'!B1:F727,5,FALSE)</f>
        <v>LAK</v>
      </c>
      <c r="E24" s="39">
        <f>VLOOKUP(A24,'The List'!B1:I727,8,FALSE)</f>
        <v>351.79261849203982</v>
      </c>
      <c r="F24" s="39">
        <f>IF(Settings!$E$15="POINTS",E24-VLOOKUP(B$2,C1:E130,3,FALSE),J24)</f>
        <v>-12.247986365610643</v>
      </c>
      <c r="G24" s="39"/>
      <c r="H24" s="138">
        <f>RANK(I24,I3:I130)</f>
        <v>24</v>
      </c>
      <c r="I24" s="139">
        <f>VLOOKUP(A24,'Standard Deviations'!A1:C728,3,FALSE)</f>
        <v>5.0224087455135056</v>
      </c>
      <c r="J24" s="139">
        <f>I24-VLOOKUP(B$2,H1:J130,2,FALSE)</f>
        <v>-9.5684812147622367E-2</v>
      </c>
    </row>
    <row r="25" spans="1:10" ht="21.25" customHeight="1" x14ac:dyDescent="0.15">
      <c r="A25" s="8" t="s">
        <v>201</v>
      </c>
      <c r="B25" s="62" t="str">
        <f>VLOOKUP(A25,'The List'!B1:D727,3,FALSE)</f>
        <v>LW</v>
      </c>
      <c r="C25" s="63">
        <f>IF(Settings!$E$15="POINTS",RANK(E25,E3:E130),H25)</f>
        <v>22</v>
      </c>
      <c r="D25" s="35" t="str">
        <f>VLOOKUP(A25,'The List'!B1:F727,5,FALSE)</f>
        <v>NYR</v>
      </c>
      <c r="E25" s="39">
        <f>VLOOKUP(A25,'The List'!B1:I727,8,FALSE)</f>
        <v>354.73574334384506</v>
      </c>
      <c r="F25" s="39">
        <f>IF(Settings!$E$15="POINTS",E25-VLOOKUP(B$2,C1:E130,3,FALSE),J25)</f>
        <v>-9.304861513805406</v>
      </c>
      <c r="G25" s="39"/>
      <c r="H25" s="138">
        <f>RANK(I25,I3:I130)</f>
        <v>14</v>
      </c>
      <c r="I25" s="139">
        <f>VLOOKUP(A25,'Standard Deviations'!A1:C728,3,FALSE)</f>
        <v>6.4045697527198202</v>
      </c>
      <c r="J25" s="139">
        <f>I25-VLOOKUP(B$2,H1:J130,2,FALSE)</f>
        <v>1.2864761950586923</v>
      </c>
    </row>
    <row r="26" spans="1:10" ht="21.25" customHeight="1" x14ac:dyDescent="0.15">
      <c r="A26" s="8" t="s">
        <v>215</v>
      </c>
      <c r="B26" s="62" t="str">
        <f>VLOOKUP(A26,'The List'!B1:D727,3,FALSE)</f>
        <v>LW</v>
      </c>
      <c r="C26" s="63">
        <f>IF(Settings!$E$15="POINTS",RANK(E26,E3:E130),H26)</f>
        <v>24</v>
      </c>
      <c r="D26" s="35" t="str">
        <f>VLOOKUP(A26,'The List'!B1:F727,5,FALSE)</f>
        <v>WPG</v>
      </c>
      <c r="E26" s="39">
        <f>VLOOKUP(A26,'The List'!B1:I727,8,FALSE)</f>
        <v>347.66087529761461</v>
      </c>
      <c r="F26" s="39">
        <f>IF(Settings!$E$15="POINTS",E26-VLOOKUP(B$2,C1:E130,3,FALSE),J26)</f>
        <v>-16.379729560035855</v>
      </c>
      <c r="G26" s="39"/>
      <c r="H26" s="138">
        <f>RANK(I26,I3:I130)</f>
        <v>22</v>
      </c>
      <c r="I26" s="139">
        <f>VLOOKUP(A26,'Standard Deviations'!A1:C728,3,FALSE)</f>
        <v>5.079319746696231</v>
      </c>
      <c r="J26" s="139">
        <f>I26-VLOOKUP(B$2,H1:J130,2,FALSE)</f>
        <v>-3.877381096489696E-2</v>
      </c>
    </row>
    <row r="27" spans="1:10" ht="21.25" customHeight="1" x14ac:dyDescent="0.15">
      <c r="A27" s="8" t="s">
        <v>216</v>
      </c>
      <c r="B27" s="62" t="str">
        <f>VLOOKUP(A27,'The List'!B1:D727,3,FALSE)</f>
        <v>LW</v>
      </c>
      <c r="C27" s="63">
        <f>IF(Settings!$E$15="POINTS",RANK(E27,E3:E130),H27)</f>
        <v>25</v>
      </c>
      <c r="D27" s="35" t="str">
        <f>VLOOKUP(A27,'The List'!B1:F727,5,FALSE)</f>
        <v>SEA</v>
      </c>
      <c r="E27" s="39">
        <f>VLOOKUP(A27,'The List'!B1:I727,8,FALSE)</f>
        <v>346.33602439025049</v>
      </c>
      <c r="F27" s="39">
        <f>IF(Settings!$E$15="POINTS",E27-VLOOKUP(B$2,C1:E130,3,FALSE),J27)</f>
        <v>-17.704580467399978</v>
      </c>
      <c r="G27" s="39"/>
      <c r="H27" s="138">
        <f>RANK(I27,I3:I130)</f>
        <v>27</v>
      </c>
      <c r="I27" s="139">
        <f>VLOOKUP(A27,'Standard Deviations'!A1:C728,3,FALSE)</f>
        <v>4.7503340061717036</v>
      </c>
      <c r="J27" s="139">
        <f>I27-VLOOKUP(B$2,H1:J130,2,FALSE)</f>
        <v>-0.3677595514894243</v>
      </c>
    </row>
    <row r="28" spans="1:10" ht="21.25" customHeight="1" x14ac:dyDescent="0.15">
      <c r="A28" s="8" t="s">
        <v>219</v>
      </c>
      <c r="B28" s="62" t="str">
        <f>VLOOKUP(A28,'The List'!B1:D727,3,FALSE)</f>
        <v>LW</v>
      </c>
      <c r="C28" s="63">
        <f>IF(Settings!$E$15="POINTS",RANK(E28,E3:E130),H28)</f>
        <v>26</v>
      </c>
      <c r="D28" s="35" t="str">
        <f>VLOOKUP(A28,'The List'!B1:F727,5,FALSE)</f>
        <v>TBL</v>
      </c>
      <c r="E28" s="39">
        <f>VLOOKUP(A28,'The List'!B1:I727,8,FALSE)</f>
        <v>343.932188730071</v>
      </c>
      <c r="F28" s="39">
        <f>IF(Settings!$E$15="POINTS",E28-VLOOKUP(B$2,C1:E130,3,FALSE),J28)</f>
        <v>-20.10841612757946</v>
      </c>
      <c r="G28" s="39"/>
      <c r="H28" s="138">
        <f>RANK(I28,I3:I130)</f>
        <v>28</v>
      </c>
      <c r="I28" s="139">
        <f>VLOOKUP(A28,'Standard Deviations'!A1:C728,3,FALSE)</f>
        <v>4.4012702626795228</v>
      </c>
      <c r="J28" s="139">
        <f>I28-VLOOKUP(B$2,H1:J130,2,FALSE)</f>
        <v>-0.71682329498160513</v>
      </c>
    </row>
    <row r="29" spans="1:10" ht="21.25" customHeight="1" x14ac:dyDescent="0.15">
      <c r="A29" s="8" t="s">
        <v>249</v>
      </c>
      <c r="B29" s="62" t="str">
        <f>VLOOKUP(A29,'The List'!B1:D727,3,FALSE)</f>
        <v>LW</v>
      </c>
      <c r="C29" s="63">
        <f>IF(Settings!$E$15="POINTS",RANK(E29,E3:E130),H29)</f>
        <v>31</v>
      </c>
      <c r="D29" s="35" t="str">
        <f>VLOOKUP(A29,'The List'!B1:F727,5,FALSE)</f>
        <v>VAN</v>
      </c>
      <c r="E29" s="39">
        <f>VLOOKUP(A29,'The List'!B1:I727,8,FALSE)</f>
        <v>318.27636323177103</v>
      </c>
      <c r="F29" s="39">
        <f>IF(Settings!$E$15="POINTS",E29-VLOOKUP(B$2,C1:E130,3,FALSE),J29)</f>
        <v>-45.764241625879436</v>
      </c>
      <c r="G29" s="39"/>
      <c r="H29" s="138">
        <f>RANK(I29,I3:I130)</f>
        <v>30</v>
      </c>
      <c r="I29" s="139">
        <f>VLOOKUP(A29,'Standard Deviations'!A1:C728,3,FALSE)</f>
        <v>3.7697496855791277</v>
      </c>
      <c r="J29" s="139">
        <f>I29-VLOOKUP(B$2,H1:J130,2,FALSE)</f>
        <v>-1.3483438720820002</v>
      </c>
    </row>
    <row r="30" spans="1:10" ht="21.25" customHeight="1" x14ac:dyDescent="0.15">
      <c r="A30" s="8" t="s">
        <v>238</v>
      </c>
      <c r="B30" s="62" t="str">
        <f>VLOOKUP(A30,'The List'!B1:D727,3,FALSE)</f>
        <v>LW</v>
      </c>
      <c r="C30" s="63">
        <f>IF(Settings!$E$15="POINTS",RANK(E30,E3:E130),H30)</f>
        <v>28</v>
      </c>
      <c r="D30" s="35" t="str">
        <f>VLOOKUP(A30,'The List'!B1:F727,5,FALSE)</f>
        <v>COL</v>
      </c>
      <c r="E30" s="39">
        <f>VLOOKUP(A30,'The List'!B1:I727,8,FALSE)</f>
        <v>327.17468503655869</v>
      </c>
      <c r="F30" s="39">
        <f>IF(Settings!$E$15="POINTS",E30-VLOOKUP(B$2,C1:E130,3,FALSE),J30)</f>
        <v>-36.865919821091779</v>
      </c>
      <c r="G30" s="39"/>
      <c r="H30" s="138">
        <f>RANK(I30,I3:I130)</f>
        <v>21</v>
      </c>
      <c r="I30" s="139">
        <f>VLOOKUP(A30,'Standard Deviations'!A1:C728,3,FALSE)</f>
        <v>5.1180935576611279</v>
      </c>
      <c r="J30" s="139">
        <f>I30-VLOOKUP(B$2,H1:J130,2,FALSE)</f>
        <v>0</v>
      </c>
    </row>
    <row r="31" spans="1:10" ht="21.25" customHeight="1" x14ac:dyDescent="0.15">
      <c r="A31" s="8" t="s">
        <v>231</v>
      </c>
      <c r="B31" s="62" t="str">
        <f>VLOOKUP(A31,'The List'!B1:D727,3,FALSE)</f>
        <v>LW</v>
      </c>
      <c r="C31" s="63">
        <f>IF(Settings!$E$15="POINTS",RANK(E31,E3:E130),H31)</f>
        <v>27</v>
      </c>
      <c r="D31" s="35" t="str">
        <f>VLOOKUP(A31,'The List'!B1:F727,5,FALSE)</f>
        <v>CHI</v>
      </c>
      <c r="E31" s="39">
        <f>VLOOKUP(A31,'The List'!B1:I727,8,FALSE)</f>
        <v>332.16390346750529</v>
      </c>
      <c r="F31" s="39">
        <f>IF(Settings!$E$15="POINTS",E31-VLOOKUP(B$2,C1:E130,3,FALSE),J31)</f>
        <v>-31.876701390145172</v>
      </c>
      <c r="G31" s="39"/>
      <c r="H31" s="138">
        <f>RANK(I31,I3:I130)</f>
        <v>35</v>
      </c>
      <c r="I31" s="139">
        <f>VLOOKUP(A31,'Standard Deviations'!A1:C728,3,FALSE)</f>
        <v>2.7616218823837544</v>
      </c>
      <c r="J31" s="139">
        <f>I31-VLOOKUP(B$2,H1:J130,2,FALSE)</f>
        <v>-2.3564716752773736</v>
      </c>
    </row>
    <row r="32" spans="1:10" ht="21.25" customHeight="1" x14ac:dyDescent="0.15">
      <c r="A32" s="8" t="s">
        <v>248</v>
      </c>
      <c r="B32" s="62" t="str">
        <f>VLOOKUP(A32,'The List'!B1:D727,3,FALSE)</f>
        <v>LW</v>
      </c>
      <c r="C32" s="63">
        <f>IF(Settings!$E$15="POINTS",RANK(E32,E3:E130),H32)</f>
        <v>30</v>
      </c>
      <c r="D32" s="35" t="str">
        <f>VLOOKUP(A32,'The List'!B1:F727,5,FALSE)</f>
        <v>BOS</v>
      </c>
      <c r="E32" s="39">
        <f>VLOOKUP(A32,'The List'!B1:I727,8,FALSE)</f>
        <v>320.65780080665684</v>
      </c>
      <c r="F32" s="39">
        <f>IF(Settings!$E$15="POINTS",E32-VLOOKUP(B$2,C1:E130,3,FALSE),J32)</f>
        <v>-43.382804050993627</v>
      </c>
      <c r="G32" s="39"/>
      <c r="H32" s="138">
        <f>RANK(I32,I3:I130)</f>
        <v>26</v>
      </c>
      <c r="I32" s="139">
        <f>VLOOKUP(A32,'Standard Deviations'!A1:C728,3,FALSE)</f>
        <v>4.8681263433743904</v>
      </c>
      <c r="J32" s="139">
        <f>I32-VLOOKUP(B$2,H1:J130,2,FALSE)</f>
        <v>-0.24996721428673752</v>
      </c>
    </row>
    <row r="33" spans="1:10" ht="21.25" customHeight="1" x14ac:dyDescent="0.15">
      <c r="A33" s="8" t="s">
        <v>255</v>
      </c>
      <c r="B33" s="62" t="str">
        <f>VLOOKUP(A33,'The List'!B1:D727,3,FALSE)</f>
        <v>LW</v>
      </c>
      <c r="C33" s="63">
        <f>IF(Settings!$E$15="POINTS",RANK(E33,E3:E130),H33)</f>
        <v>33</v>
      </c>
      <c r="D33" s="35" t="str">
        <f>VLOOKUP(A33,'The List'!B1:F727,5,FALSE)</f>
        <v>DET</v>
      </c>
      <c r="E33" s="39">
        <f>VLOOKUP(A33,'The List'!B1:I727,8,FALSE)</f>
        <v>314.60808658147852</v>
      </c>
      <c r="F33" s="39">
        <f>IF(Settings!$E$15="POINTS",E33-VLOOKUP(B$2,C1:E130,3,FALSE),J33)</f>
        <v>-49.432518276171947</v>
      </c>
      <c r="G33" s="39"/>
      <c r="H33" s="138">
        <f>RANK(I33,I3:I130)</f>
        <v>34</v>
      </c>
      <c r="I33" s="139">
        <f>VLOOKUP(A33,'Standard Deviations'!A1:C728,3,FALSE)</f>
        <v>2.8674811720049003</v>
      </c>
      <c r="J33" s="139">
        <f>I33-VLOOKUP(B$2,H1:J130,2,FALSE)</f>
        <v>-2.2506123856562277</v>
      </c>
    </row>
    <row r="34" spans="1:10" ht="21.25" customHeight="1" x14ac:dyDescent="0.15">
      <c r="A34" s="8" t="s">
        <v>251</v>
      </c>
      <c r="B34" s="62" t="str">
        <f>VLOOKUP(A34,'The List'!B1:D727,3,FALSE)</f>
        <v>LW</v>
      </c>
      <c r="C34" s="63">
        <f>IF(Settings!$E$15="POINTS",RANK(E34,E3:E130),H34)</f>
        <v>32</v>
      </c>
      <c r="D34" s="35" t="str">
        <f>VLOOKUP(A34,'The List'!B1:F727,5,FALSE)</f>
        <v>DAL</v>
      </c>
      <c r="E34" s="39">
        <f>VLOOKUP(A34,'The List'!B1:I727,8,FALSE)</f>
        <v>317.62209018386216</v>
      </c>
      <c r="F34" s="39">
        <f>IF(Settings!$E$15="POINTS",E34-VLOOKUP(B$2,C1:E130,3,FALSE),J34)</f>
        <v>-46.418514673788309</v>
      </c>
      <c r="G34" s="39"/>
      <c r="H34" s="138">
        <f>RANK(I34,I3:I130)</f>
        <v>25</v>
      </c>
      <c r="I34" s="139">
        <f>VLOOKUP(A34,'Standard Deviations'!A1:C728,3,FALSE)</f>
        <v>4.9020658931367151</v>
      </c>
      <c r="J34" s="139">
        <f>I34-VLOOKUP(B$2,H1:J130,2,FALSE)</f>
        <v>-0.2160276645244128</v>
      </c>
    </row>
    <row r="35" spans="1:10" ht="21.25" customHeight="1" x14ac:dyDescent="0.15">
      <c r="A35" s="8" t="s">
        <v>245</v>
      </c>
      <c r="B35" s="62" t="str">
        <f>VLOOKUP(A35,'The List'!B1:D727,3,FALSE)</f>
        <v>LW</v>
      </c>
      <c r="C35" s="63">
        <f>IF(Settings!$E$15="POINTS",RANK(E35,E3:E130),H35)</f>
        <v>29</v>
      </c>
      <c r="D35" s="35" t="str">
        <f>VLOOKUP(A35,'The List'!B1:F727,5,FALSE)</f>
        <v>DET</v>
      </c>
      <c r="E35" s="39">
        <f>VLOOKUP(A35,'The List'!B1:I727,8,FALSE)</f>
        <v>322.01128910318926</v>
      </c>
      <c r="F35" s="39">
        <f>IF(Settings!$E$15="POINTS",E35-VLOOKUP(B$2,C1:E130,3,FALSE),J35)</f>
        <v>-42.029315754461209</v>
      </c>
      <c r="G35" s="39"/>
      <c r="H35" s="138">
        <f>RANK(I35,I3:I130)</f>
        <v>39</v>
      </c>
      <c r="I35" s="139">
        <f>VLOOKUP(A35,'Standard Deviations'!A1:C728,3,FALSE)</f>
        <v>2.1681194989698414</v>
      </c>
      <c r="J35" s="139">
        <f>I35-VLOOKUP(B$2,H1:J130,2,FALSE)</f>
        <v>-2.9499740586912866</v>
      </c>
    </row>
    <row r="36" spans="1:10" ht="21.25" customHeight="1" x14ac:dyDescent="0.15">
      <c r="A36" s="8" t="s">
        <v>258</v>
      </c>
      <c r="B36" s="62" t="str">
        <f>VLOOKUP(A36,'The List'!B1:D727,3,FALSE)</f>
        <v>LW</v>
      </c>
      <c r="C36" s="63">
        <f>IF(Settings!$E$15="POINTS",RANK(E36,E3:E130),H36)</f>
        <v>34</v>
      </c>
      <c r="D36" s="35" t="str">
        <f>VLOOKUP(A36,'The List'!B1:F727,5,FALSE)</f>
        <v>LAK</v>
      </c>
      <c r="E36" s="39">
        <f>VLOOKUP(A36,'The List'!B1:I727,8,FALSE)</f>
        <v>307.924876930241</v>
      </c>
      <c r="F36" s="39">
        <f>IF(Settings!$E$15="POINTS",E36-VLOOKUP(B$2,C1:E130,3,FALSE),J36)</f>
        <v>-56.115727927409466</v>
      </c>
      <c r="G36" s="39"/>
      <c r="H36" s="138">
        <f>RANK(I36,I3:I130)</f>
        <v>31</v>
      </c>
      <c r="I36" s="139">
        <f>VLOOKUP(A36,'Standard Deviations'!A1:C728,3,FALSE)</f>
        <v>3.51999138450803</v>
      </c>
      <c r="J36" s="139">
        <f>I36-VLOOKUP(B$2,H1:J130,2,FALSE)</f>
        <v>-1.598102173153098</v>
      </c>
    </row>
    <row r="37" spans="1:10" ht="21.25" customHeight="1" x14ac:dyDescent="0.15">
      <c r="A37" s="8" t="s">
        <v>260</v>
      </c>
      <c r="B37" s="62" t="str">
        <f>VLOOKUP(A37,'The List'!B1:D727,3,FALSE)</f>
        <v>LW</v>
      </c>
      <c r="C37" s="63">
        <f>IF(Settings!$E$15="POINTS",RANK(E37,E3:E130),H37)</f>
        <v>35</v>
      </c>
      <c r="D37" s="35" t="str">
        <f>VLOOKUP(A37,'The List'!B1:F727,5,FALSE)</f>
        <v>SEA</v>
      </c>
      <c r="E37" s="39">
        <f>VLOOKUP(A37,'The List'!B1:I727,8,FALSE)</f>
        <v>306.21134459035306</v>
      </c>
      <c r="F37" s="39">
        <f>IF(Settings!$E$15="POINTS",E37-VLOOKUP(B$2,C1:E130,3,FALSE),J37)</f>
        <v>-57.8292602672974</v>
      </c>
      <c r="G37" s="39"/>
      <c r="H37" s="138">
        <f>RANK(I37,I3:I130)</f>
        <v>37</v>
      </c>
      <c r="I37" s="139">
        <f>VLOOKUP(A37,'Standard Deviations'!A1:C728,3,FALSE)</f>
        <v>2.5995219607312317</v>
      </c>
      <c r="J37" s="139">
        <f>I37-VLOOKUP(B$2,H1:J130,2,FALSE)</f>
        <v>-2.5185715969298963</v>
      </c>
    </row>
    <row r="38" spans="1:10" ht="21.25" customHeight="1" x14ac:dyDescent="0.15">
      <c r="A38" s="8" t="s">
        <v>272</v>
      </c>
      <c r="B38" s="62" t="str">
        <f>VLOOKUP(A38,'The List'!B1:D727,3,FALSE)</f>
        <v>LW</v>
      </c>
      <c r="C38" s="63">
        <f>IF(Settings!$E$15="POINTS",RANK(E38,E3:E130),H38)</f>
        <v>36</v>
      </c>
      <c r="D38" s="35" t="str">
        <f>VLOOKUP(A38,'The List'!B1:F727,5,FALSE)</f>
        <v>ANA</v>
      </c>
      <c r="E38" s="39">
        <f>VLOOKUP(A38,'The List'!B1:I727,8,FALSE)</f>
        <v>288.05171127702164</v>
      </c>
      <c r="F38" s="39">
        <f>IF(Settings!$E$15="POINTS",E38-VLOOKUP(B$2,C1:E130,3,FALSE),J38)</f>
        <v>-75.988893580628826</v>
      </c>
      <c r="G38" s="39"/>
      <c r="H38" s="138">
        <f>RANK(I38,I3:I130)</f>
        <v>49</v>
      </c>
      <c r="I38" s="139">
        <f>VLOOKUP(A38,'Standard Deviations'!A1:C728,3,FALSE)</f>
        <v>0.45909847292318218</v>
      </c>
      <c r="J38" s="139">
        <f>I38-VLOOKUP(B$2,H1:J130,2,FALSE)</f>
        <v>-4.6589950847379455</v>
      </c>
    </row>
    <row r="39" spans="1:10" ht="21.25" customHeight="1" x14ac:dyDescent="0.15">
      <c r="A39" s="8" t="s">
        <v>274</v>
      </c>
      <c r="B39" s="62" t="str">
        <f>VLOOKUP(A39,'The List'!B1:D727,3,FALSE)</f>
        <v>LW</v>
      </c>
      <c r="C39" s="63">
        <f>IF(Settings!$E$15="POINTS",RANK(E39,E3:E130),H39)</f>
        <v>37</v>
      </c>
      <c r="D39" s="35" t="str">
        <f>VLOOKUP(A39,'The List'!B1:F727,5,FALSE)</f>
        <v>CGY</v>
      </c>
      <c r="E39" s="39">
        <f>VLOOKUP(A39,'The List'!B1:I727,8,FALSE)</f>
        <v>287.08224876707419</v>
      </c>
      <c r="F39" s="39">
        <f>IF(Settings!$E$15="POINTS",E39-VLOOKUP(B$2,C1:E130,3,FALSE),J39)</f>
        <v>-76.958356090576274</v>
      </c>
      <c r="G39" s="39"/>
      <c r="H39" s="138">
        <f>RANK(I39,I3:I130)</f>
        <v>32</v>
      </c>
      <c r="I39" s="139">
        <f>VLOOKUP(A39,'Standard Deviations'!A1:C728,3,FALSE)</f>
        <v>3.3634718235644696</v>
      </c>
      <c r="J39" s="139">
        <f>I39-VLOOKUP(B$2,H1:J130,2,FALSE)</f>
        <v>-1.7546217340966583</v>
      </c>
    </row>
    <row r="40" spans="1:10" ht="21.25" customHeight="1" x14ac:dyDescent="0.15">
      <c r="A40" s="8" t="s">
        <v>284</v>
      </c>
      <c r="B40" s="62" t="str">
        <f>VLOOKUP(A40,'The List'!B1:D727,3,FALSE)</f>
        <v>LW</v>
      </c>
      <c r="C40" s="63">
        <f>IF(Settings!$E$15="POINTS",RANK(E40,E3:E130),H40)</f>
        <v>38</v>
      </c>
      <c r="D40" s="35" t="str">
        <f>VLOOKUP(A40,'The List'!B1:F727,5,FALSE)</f>
        <v>NYI</v>
      </c>
      <c r="E40" s="39">
        <f>VLOOKUP(A40,'The List'!B1:I727,8,FALSE)</f>
        <v>277.10268217186632</v>
      </c>
      <c r="F40" s="39">
        <f>IF(Settings!$E$15="POINTS",E40-VLOOKUP(B$2,C1:E130,3,FALSE),J40)</f>
        <v>-86.937922685784145</v>
      </c>
      <c r="G40" s="39"/>
      <c r="H40" s="138">
        <f>RANK(I40,I3:I130)</f>
        <v>33</v>
      </c>
      <c r="I40" s="139">
        <f>VLOOKUP(A40,'Standard Deviations'!A1:C728,3,FALSE)</f>
        <v>3.0467987799274754</v>
      </c>
      <c r="J40" s="139">
        <f>I40-VLOOKUP(B$2,H1:J130,2,FALSE)</f>
        <v>-2.0712947777336526</v>
      </c>
    </row>
    <row r="41" spans="1:10" ht="21.25" customHeight="1" x14ac:dyDescent="0.15">
      <c r="A41" s="8" t="s">
        <v>299</v>
      </c>
      <c r="B41" s="62" t="str">
        <f>VLOOKUP(A41,'The List'!B1:D727,3,FALSE)</f>
        <v>LW</v>
      </c>
      <c r="C41" s="63">
        <f>IF(Settings!$E$15="POINTS",RANK(E41,E3:E130),H41)</f>
        <v>39</v>
      </c>
      <c r="D41" s="35" t="str">
        <f>VLOOKUP(A41,'The List'!B1:F727,5,FALSE)</f>
        <v>CHI</v>
      </c>
      <c r="E41" s="39">
        <f>VLOOKUP(A41,'The List'!B1:I727,8,FALSE)</f>
        <v>267.25014181004207</v>
      </c>
      <c r="F41" s="39">
        <f>IF(Settings!$E$15="POINTS",E41-VLOOKUP(B$2,C1:E130,3,FALSE),J41)</f>
        <v>-96.790463047608398</v>
      </c>
      <c r="G41" s="39"/>
      <c r="H41" s="138">
        <f>RANK(I41,I3:I130)</f>
        <v>53</v>
      </c>
      <c r="I41" s="139">
        <f>VLOOKUP(A41,'Standard Deviations'!A1:C728,3,FALSE)</f>
        <v>0.32423744998847992</v>
      </c>
      <c r="J41" s="139">
        <f>I41-VLOOKUP(B$2,H1:J130,2,FALSE)</f>
        <v>-4.7938561076726476</v>
      </c>
    </row>
    <row r="42" spans="1:10" ht="21.25" customHeight="1" x14ac:dyDescent="0.15">
      <c r="A42" s="8" t="s">
        <v>313</v>
      </c>
      <c r="B42" s="62" t="str">
        <f>VLOOKUP(A42,'The List'!B1:D727,3,FALSE)</f>
        <v>LW</v>
      </c>
      <c r="C42" s="63">
        <f>IF(Settings!$E$15="POINTS",RANK(E42,E3:E130),H42)</f>
        <v>40</v>
      </c>
      <c r="D42" s="35" t="str">
        <f>VLOOKUP(A42,'The List'!B1:F727,5,FALSE)</f>
        <v>VAN</v>
      </c>
      <c r="E42" s="39">
        <f>VLOOKUP(A42,'The List'!B1:I727,8,FALSE)</f>
        <v>256.0617040371103</v>
      </c>
      <c r="F42" s="39">
        <f>IF(Settings!$E$15="POINTS",E42-VLOOKUP(B$2,C1:E130,3,FALSE),J42)</f>
        <v>-107.97890082054016</v>
      </c>
      <c r="G42" s="39"/>
      <c r="H42" s="138">
        <f>RANK(I42,I3:I130)</f>
        <v>42</v>
      </c>
      <c r="I42" s="139">
        <f>VLOOKUP(A42,'Standard Deviations'!A1:C728,3,FALSE)</f>
        <v>1.0975757199539065</v>
      </c>
      <c r="J42" s="139">
        <f>I42-VLOOKUP(B$2,H1:J130,2,FALSE)</f>
        <v>-4.0205178377072217</v>
      </c>
    </row>
    <row r="43" spans="1:10" ht="21.25" customHeight="1" x14ac:dyDescent="0.15">
      <c r="A43" s="8" t="s">
        <v>319</v>
      </c>
      <c r="B43" s="62" t="str">
        <f>VLOOKUP(A43,'The List'!B1:D727,3,FALSE)</f>
        <v>LW</v>
      </c>
      <c r="C43" s="63">
        <f>IF(Settings!$E$15="POINTS",RANK(E43,E3:E130),H43)</f>
        <v>41</v>
      </c>
      <c r="D43" s="35" t="str">
        <f>VLOOKUP(A43,'The List'!B1:F727,5,FALSE)</f>
        <v>ARI</v>
      </c>
      <c r="E43" s="39">
        <f>VLOOKUP(A43,'The List'!B1:I727,8,FALSE)</f>
        <v>252.22331091824526</v>
      </c>
      <c r="F43" s="39">
        <f>IF(Settings!$E$15="POINTS",E43-VLOOKUP(B$2,C1:E130,3,FALSE),J43)</f>
        <v>-111.8172939394052</v>
      </c>
      <c r="G43" s="39"/>
      <c r="H43" s="138">
        <f>RANK(I43,I3:I130)</f>
        <v>54</v>
      </c>
      <c r="I43" s="139">
        <f>VLOOKUP(A43,'Standard Deviations'!A1:C728,3,FALSE)</f>
        <v>0.26348216872944352</v>
      </c>
      <c r="J43" s="139">
        <f>I43-VLOOKUP(B$2,H1:J130,2,FALSE)</f>
        <v>-4.8546113889316844</v>
      </c>
    </row>
    <row r="44" spans="1:10" ht="21.25" customHeight="1" x14ac:dyDescent="0.15">
      <c r="A44" s="8" t="s">
        <v>320</v>
      </c>
      <c r="B44" s="62" t="str">
        <f>VLOOKUP(A44,'The List'!B1:D727,3,FALSE)</f>
        <v>LW</v>
      </c>
      <c r="C44" s="63">
        <f>IF(Settings!$E$15="POINTS",RANK(E44,E3:E130),H44)</f>
        <v>42</v>
      </c>
      <c r="D44" s="35" t="str">
        <f>VLOOKUP(A44,'The List'!B1:F727,5,FALSE)</f>
        <v>STL</v>
      </c>
      <c r="E44" s="39">
        <f>VLOOKUP(A44,'The List'!B1:I727,8,FALSE)</f>
        <v>251.79654961859586</v>
      </c>
      <c r="F44" s="39">
        <f>IF(Settings!$E$15="POINTS",E44-VLOOKUP(B$2,C1:E130,3,FALSE),J44)</f>
        <v>-112.2440552390546</v>
      </c>
      <c r="G44" s="39"/>
      <c r="H44" s="138">
        <f>RANK(I44,I3:I130)</f>
        <v>48</v>
      </c>
      <c r="I44" s="139">
        <f>VLOOKUP(A44,'Standard Deviations'!A1:C728,3,FALSE)</f>
        <v>0.48700847575000139</v>
      </c>
      <c r="J44" s="139">
        <f>I44-VLOOKUP(B$2,H1:J130,2,FALSE)</f>
        <v>-4.6310850819111264</v>
      </c>
    </row>
    <row r="45" spans="1:10" ht="21.25" customHeight="1" x14ac:dyDescent="0.15">
      <c r="A45" s="8" t="s">
        <v>321</v>
      </c>
      <c r="B45" s="62" t="str">
        <f>VLOOKUP(A45,'The List'!B1:D727,3,FALSE)</f>
        <v>LW</v>
      </c>
      <c r="C45" s="63">
        <f>IF(Settings!$E$15="POINTS",RANK(E45,E3:E130),H45)</f>
        <v>43</v>
      </c>
      <c r="D45" s="35" t="str">
        <f>VLOOKUP(A45,'The List'!B1:F727,5,FALSE)</f>
        <v>CAR</v>
      </c>
      <c r="E45" s="39">
        <f>VLOOKUP(A45,'The List'!B1:I727,8,FALSE)</f>
        <v>251.02386494404385</v>
      </c>
      <c r="F45" s="39">
        <f>IF(Settings!$E$15="POINTS",E45-VLOOKUP(B$2,C1:E130,3,FALSE),J45)</f>
        <v>-113.01673991360661</v>
      </c>
      <c r="G45" s="39"/>
      <c r="H45" s="138">
        <f>RANK(I45,I3:I130)</f>
        <v>36</v>
      </c>
      <c r="I45" s="139">
        <f>VLOOKUP(A45,'Standard Deviations'!A1:C728,3,FALSE)</f>
        <v>2.7026062887488203</v>
      </c>
      <c r="J45" s="139">
        <f>I45-VLOOKUP(B$2,H1:J130,2,FALSE)</f>
        <v>-2.4154872689123077</v>
      </c>
    </row>
    <row r="46" spans="1:10" ht="21.25" customHeight="1" x14ac:dyDescent="0.15">
      <c r="A46" s="8" t="s">
        <v>324</v>
      </c>
      <c r="B46" s="62" t="str">
        <f>VLOOKUP(A46,'The List'!B1:D727,3,FALSE)</f>
        <v>LW</v>
      </c>
      <c r="C46" s="63">
        <f>IF(Settings!$E$15="POINTS",RANK(E46,E3:E130),H46)</f>
        <v>45</v>
      </c>
      <c r="D46" s="35" t="str">
        <f>VLOOKUP(A46,'The List'!B1:F727,5,FALSE)</f>
        <v>CAR</v>
      </c>
      <c r="E46" s="39">
        <f>VLOOKUP(A46,'The List'!B1:I727,8,FALSE)</f>
        <v>249.55089267257344</v>
      </c>
      <c r="F46" s="39">
        <f>IF(Settings!$E$15="POINTS",E46-VLOOKUP(B$2,C1:E130,3,FALSE),J46)</f>
        <v>-114.48971218507702</v>
      </c>
      <c r="G46" s="39"/>
      <c r="H46" s="138">
        <f>RANK(I46,I3:I130)</f>
        <v>38</v>
      </c>
      <c r="I46" s="139">
        <f>VLOOKUP(A46,'Standard Deviations'!A1:C728,3,FALSE)</f>
        <v>2.2375866839667324</v>
      </c>
      <c r="J46" s="139">
        <f>I46-VLOOKUP(B$2,H1:J130,2,FALSE)</f>
        <v>-2.8805068736943955</v>
      </c>
    </row>
    <row r="47" spans="1:10" ht="21.25" customHeight="1" x14ac:dyDescent="0.15">
      <c r="A47" s="8" t="s">
        <v>326</v>
      </c>
      <c r="B47" s="62" t="str">
        <f>VLOOKUP(A47,'The List'!B1:D727,3,FALSE)</f>
        <v>LW</v>
      </c>
      <c r="C47" s="63">
        <f>IF(Settings!$E$15="POINTS",RANK(E47,E3:E130),H47)</f>
        <v>46</v>
      </c>
      <c r="D47" s="35" t="str">
        <f>VLOOKUP(A47,'The List'!B1:F727,5,FALSE)</f>
        <v>LAK</v>
      </c>
      <c r="E47" s="39">
        <f>VLOOKUP(A47,'The List'!B1:I727,8,FALSE)</f>
        <v>249.15218162704716</v>
      </c>
      <c r="F47" s="39">
        <f>IF(Settings!$E$15="POINTS",E47-VLOOKUP(B$2,C1:E130,3,FALSE),J47)</f>
        <v>-114.88842323060331</v>
      </c>
      <c r="G47" s="39"/>
      <c r="H47" s="138">
        <f>RANK(I47,I3:I130)</f>
        <v>45</v>
      </c>
      <c r="I47" s="139">
        <f>VLOOKUP(A47,'Standard Deviations'!A1:C728,3,FALSE)</f>
        <v>0.72714448525923137</v>
      </c>
      <c r="J47" s="139">
        <f>I47-VLOOKUP(B$2,H1:J130,2,FALSE)</f>
        <v>-4.3909490724018969</v>
      </c>
    </row>
    <row r="48" spans="1:10" ht="21.25" customHeight="1" x14ac:dyDescent="0.15">
      <c r="A48" s="8" t="s">
        <v>345</v>
      </c>
      <c r="B48" s="62" t="str">
        <f>VLOOKUP(A48,'The List'!B1:D727,3,FALSE)</f>
        <v>LW</v>
      </c>
      <c r="C48" s="63">
        <f>IF(Settings!$E$15="POINTS",RANK(E48,E3:E130),H48)</f>
        <v>48</v>
      </c>
      <c r="D48" s="35" t="str">
        <f>VLOOKUP(A48,'The List'!B1:F727,5,FALSE)</f>
        <v>SJS</v>
      </c>
      <c r="E48" s="39">
        <f>VLOOKUP(A48,'The List'!B1:I727,8,FALSE)</f>
        <v>240.95026054123605</v>
      </c>
      <c r="F48" s="39">
        <f>IF(Settings!$E$15="POINTS",E48-VLOOKUP(B$2,C1:E130,3,FALSE),J48)</f>
        <v>-123.09034431641442</v>
      </c>
      <c r="G48" s="39"/>
      <c r="H48" s="138">
        <f>RANK(I48,I3:I130)</f>
        <v>43</v>
      </c>
      <c r="I48" s="139">
        <f>VLOOKUP(A48,'Standard Deviations'!A1:C728,3,FALSE)</f>
        <v>0.83820879308226737</v>
      </c>
      <c r="J48" s="139">
        <f>I48-VLOOKUP(B$2,H1:J130,2,FALSE)</f>
        <v>-4.2798847645788607</v>
      </c>
    </row>
    <row r="49" spans="1:10" ht="21.25" customHeight="1" x14ac:dyDescent="0.15">
      <c r="A49" s="8" t="s">
        <v>340</v>
      </c>
      <c r="B49" s="62" t="str">
        <f>VLOOKUP(A49,'The List'!B1:D727,3,FALSE)</f>
        <v>LW</v>
      </c>
      <c r="C49" s="63">
        <f>IF(Settings!$E$15="POINTS",RANK(E49,E3:E130),H49)</f>
        <v>47</v>
      </c>
      <c r="D49" s="35" t="str">
        <f>VLOOKUP(A49,'The List'!B1:F727,5,FALSE)</f>
        <v>EDM</v>
      </c>
      <c r="E49" s="39">
        <f>VLOOKUP(A49,'The List'!B1:I727,8,FALSE)</f>
        <v>243.39307077615649</v>
      </c>
      <c r="F49" s="39">
        <f>IF(Settings!$E$15="POINTS",E49-VLOOKUP(B$2,C1:E130,3,FALSE),J49)</f>
        <v>-120.64753408149397</v>
      </c>
      <c r="G49" s="39"/>
      <c r="H49" s="138">
        <f>RANK(I49,I3:I130)</f>
        <v>41</v>
      </c>
      <c r="I49" s="139">
        <f>VLOOKUP(A49,'Standard Deviations'!A1:C728,3,FALSE)</f>
        <v>1.4587059199642356</v>
      </c>
      <c r="J49" s="139">
        <f>I49-VLOOKUP(B$2,H1:J130,2,FALSE)</f>
        <v>-3.6593876376968923</v>
      </c>
    </row>
    <row r="50" spans="1:10" ht="21.25" customHeight="1" x14ac:dyDescent="0.15">
      <c r="A50" s="8" t="s">
        <v>362</v>
      </c>
      <c r="B50" s="62" t="str">
        <f>VLOOKUP(A50,'The List'!B1:D727,3,FALSE)</f>
        <v>LW</v>
      </c>
      <c r="C50" s="63">
        <f>IF(Settings!$E$15="POINTS",RANK(E50,E3:E130),H50)</f>
        <v>49</v>
      </c>
      <c r="D50" s="35" t="str">
        <f>VLOOKUP(A50,'The List'!B1:F727,5,FALSE)</f>
        <v>PHI</v>
      </c>
      <c r="E50" s="39">
        <f>VLOOKUP(A50,'The List'!B1:I727,8,FALSE)</f>
        <v>232.35057379035044</v>
      </c>
      <c r="F50" s="39">
        <f>IF(Settings!$E$15="POINTS",E50-VLOOKUP(B$2,C1:E130,3,FALSE),J50)</f>
        <v>-131.69003106730003</v>
      </c>
      <c r="G50" s="39"/>
      <c r="H50" s="138">
        <f>RANK(I50,I3:I130)</f>
        <v>70</v>
      </c>
      <c r="I50" s="139">
        <f>VLOOKUP(A50,'Standard Deviations'!A1:C728,3,FALSE)</f>
        <v>-0.85372863324244463</v>
      </c>
      <c r="J50" s="139">
        <f>I50-VLOOKUP(B$2,H1:J130,2,FALSE)</f>
        <v>-5.9718221909035725</v>
      </c>
    </row>
    <row r="51" spans="1:10" ht="21.25" customHeight="1" x14ac:dyDescent="0.15">
      <c r="A51" s="8" t="s">
        <v>365</v>
      </c>
      <c r="B51" s="62" t="str">
        <f>VLOOKUP(A51,'The List'!B1:D727,3,FALSE)</f>
        <v>LW</v>
      </c>
      <c r="C51" s="63">
        <f>IF(Settings!$E$15="POINTS",RANK(E51,E3:E130),H51)</f>
        <v>50</v>
      </c>
      <c r="D51" s="35" t="str">
        <f>VLOOKUP(A51,'The List'!B1:F727,5,FALSE)</f>
        <v>OTT</v>
      </c>
      <c r="E51" s="39">
        <f>VLOOKUP(A51,'The List'!B1:I727,8,FALSE)</f>
        <v>231.50808315538004</v>
      </c>
      <c r="F51" s="39">
        <f>IF(Settings!$E$15="POINTS",E51-VLOOKUP(B$2,C1:E130,3,FALSE),J51)</f>
        <v>-132.53252170227043</v>
      </c>
      <c r="G51" s="39"/>
      <c r="H51" s="138">
        <f>RANK(I51,I3:I130)</f>
        <v>46</v>
      </c>
      <c r="I51" s="139">
        <f>VLOOKUP(A51,'Standard Deviations'!A1:C728,3,FALSE)</f>
        <v>0.70003282006132661</v>
      </c>
      <c r="J51" s="139">
        <f>I51-VLOOKUP(B$2,H1:J130,2,FALSE)</f>
        <v>-4.4180607375998013</v>
      </c>
    </row>
    <row r="52" spans="1:10" ht="21.25" customHeight="1" x14ac:dyDescent="0.15">
      <c r="A52" s="8" t="s">
        <v>370</v>
      </c>
      <c r="B52" s="62" t="str">
        <f>VLOOKUP(A52,'The List'!B1:D727,3,FALSE)</f>
        <v>LW</v>
      </c>
      <c r="C52" s="63">
        <f>IF(Settings!$E$15="POINTS",RANK(E52,E3:E130),H52)</f>
        <v>51</v>
      </c>
      <c r="D52" s="35" t="str">
        <f>VLOOKUP(A52,'The List'!B1:F727,5,FALSE)</f>
        <v>SJS</v>
      </c>
      <c r="E52" s="39">
        <f>VLOOKUP(A52,'The List'!B1:I727,8,FALSE)</f>
        <v>228.15776765830245</v>
      </c>
      <c r="F52" s="39">
        <f>IF(Settings!$E$15="POINTS",E52-VLOOKUP(B$2,C1:E130,3,FALSE),J52)</f>
        <v>-135.88283719934802</v>
      </c>
      <c r="G52" s="39"/>
      <c r="H52" s="138">
        <f>RANK(I52,I3:I130)</f>
        <v>52</v>
      </c>
      <c r="I52" s="139">
        <f>VLOOKUP(A52,'Standard Deviations'!A1:C728,3,FALSE)</f>
        <v>0.33400635880329321</v>
      </c>
      <c r="J52" s="139">
        <f>I52-VLOOKUP(B$2,H1:J130,2,FALSE)</f>
        <v>-4.7840871988578346</v>
      </c>
    </row>
    <row r="53" spans="1:10" ht="21.25" customHeight="1" x14ac:dyDescent="0.15">
      <c r="A53" s="8" t="s">
        <v>381</v>
      </c>
      <c r="B53" s="62" t="str">
        <f>VLOOKUP(A53,'The List'!B1:D727,3,FALSE)</f>
        <v>LW</v>
      </c>
      <c r="C53" s="63">
        <f>IF(Settings!$E$15="POINTS",RANK(E53,E3:E130),H53)</f>
        <v>53</v>
      </c>
      <c r="D53" s="35" t="str">
        <f>VLOOKUP(A53,'The List'!B1:F727,5,FALSE)</f>
        <v>DET</v>
      </c>
      <c r="E53" s="39">
        <f>VLOOKUP(A53,'The List'!B1:I727,8,FALSE)</f>
        <v>223.93816402109007</v>
      </c>
      <c r="F53" s="39">
        <f>IF(Settings!$E$15="POINTS",E53-VLOOKUP(B$2,C1:E130,3,FALSE),J53)</f>
        <v>-140.10244083656039</v>
      </c>
      <c r="G53" s="39"/>
      <c r="H53" s="138">
        <f>RANK(I53,I3:I130)</f>
        <v>47</v>
      </c>
      <c r="I53" s="139">
        <f>VLOOKUP(A53,'Standard Deviations'!A1:C728,3,FALSE)</f>
        <v>0.57690831884901717</v>
      </c>
      <c r="J53" s="139">
        <f>I53-VLOOKUP(B$2,H1:J130,2,FALSE)</f>
        <v>-4.541185238812111</v>
      </c>
    </row>
    <row r="54" spans="1:10" ht="21.25" customHeight="1" x14ac:dyDescent="0.15">
      <c r="A54" s="8" t="s">
        <v>376</v>
      </c>
      <c r="B54" s="62" t="str">
        <f>VLOOKUP(A54,'The List'!B1:D727,3,FALSE)</f>
        <v>LW</v>
      </c>
      <c r="C54" s="63">
        <f>IF(Settings!$E$15="POINTS",RANK(E54,E3:E130),H54)</f>
        <v>52</v>
      </c>
      <c r="D54" s="35" t="str">
        <f>VLOOKUP(A54,'The List'!B1:F727,5,FALSE)</f>
        <v>STL</v>
      </c>
      <c r="E54" s="39">
        <f>VLOOKUP(A54,'The List'!B1:I727,8,FALSE)</f>
        <v>225.79907354198809</v>
      </c>
      <c r="F54" s="39">
        <f>IF(Settings!$E$15="POINTS",E54-VLOOKUP(B$2,C1:E130,3,FALSE),J54)</f>
        <v>-138.24153131566237</v>
      </c>
      <c r="G54" s="39"/>
      <c r="H54" s="138">
        <f>RANK(I54,I3:I130)</f>
        <v>72</v>
      </c>
      <c r="I54" s="139">
        <f>VLOOKUP(A54,'Standard Deviations'!A1:C728,3,FALSE)</f>
        <v>-0.87473676737261796</v>
      </c>
      <c r="J54" s="139">
        <f>I54-VLOOKUP(B$2,H1:J130,2,FALSE)</f>
        <v>-5.9928303250337462</v>
      </c>
    </row>
    <row r="55" spans="1:10" ht="21.25" customHeight="1" x14ac:dyDescent="0.15">
      <c r="A55" s="8" t="s">
        <v>387</v>
      </c>
      <c r="B55" s="62" t="str">
        <f>VLOOKUP(A55,'The List'!B1:D727,3,FALSE)</f>
        <v>LW</v>
      </c>
      <c r="C55" s="63">
        <f>IF(Settings!$E$15="POINTS",RANK(E55,E3:E130),H55)</f>
        <v>55</v>
      </c>
      <c r="D55" s="35" t="str">
        <f>VLOOKUP(A55,'The List'!B1:F727,5,FALSE)</f>
        <v>BUF</v>
      </c>
      <c r="E55" s="39">
        <f>VLOOKUP(A55,'The List'!B1:I727,8,FALSE)</f>
        <v>217.2318647513402</v>
      </c>
      <c r="F55" s="39">
        <f>IF(Settings!$E$15="POINTS",E55-VLOOKUP(B$2,C1:E130,3,FALSE),J55)</f>
        <v>-146.80874010631027</v>
      </c>
      <c r="G55" s="39"/>
      <c r="H55" s="138">
        <f>RANK(I55,I3:I130)</f>
        <v>79</v>
      </c>
      <c r="I55" s="139">
        <f>VLOOKUP(A55,'Standard Deviations'!A1:C728,3,FALSE)</f>
        <v>-1.1444709095122385</v>
      </c>
      <c r="J55" s="139">
        <f>I55-VLOOKUP(B$2,H1:J130,2,FALSE)</f>
        <v>-6.262564467173366</v>
      </c>
    </row>
    <row r="56" spans="1:10" ht="21.25" customHeight="1" x14ac:dyDescent="0.15">
      <c r="A56" s="8" t="s">
        <v>322</v>
      </c>
      <c r="B56" s="62" t="str">
        <f>VLOOKUP(A56,'The List'!B1:D727,3,FALSE)</f>
        <v>LW</v>
      </c>
      <c r="C56" s="63">
        <f>IF(Settings!$E$15="POINTS",RANK(E56,E3:E130),H56)</f>
        <v>44</v>
      </c>
      <c r="D56" s="35" t="str">
        <f>VLOOKUP(A56,'The List'!B1:F727,5,FALSE)</f>
        <v>TOR</v>
      </c>
      <c r="E56" s="39">
        <f>VLOOKUP(A56,'The List'!B1:I727,8,FALSE)</f>
        <v>250.73830349052707</v>
      </c>
      <c r="F56" s="39">
        <f>IF(Settings!$E$15="POINTS",E56-VLOOKUP(B$2,C1:E130,3,FALSE),J56)</f>
        <v>-113.30230136712339</v>
      </c>
      <c r="G56" s="39"/>
      <c r="H56" s="138">
        <f>RANK(I56,I3:I130)</f>
        <v>40</v>
      </c>
      <c r="I56" s="139">
        <f>VLOOKUP(A56,'Standard Deviations'!A1:C728,3,FALSE)</f>
        <v>2.1530229143302781</v>
      </c>
      <c r="J56" s="139">
        <f>I56-VLOOKUP(B$2,H1:J130,2,FALSE)</f>
        <v>-2.9650706433308498</v>
      </c>
    </row>
    <row r="57" spans="1:10" ht="21.25" customHeight="1" x14ac:dyDescent="0.15">
      <c r="A57" s="8" t="s">
        <v>392</v>
      </c>
      <c r="B57" s="62" t="str">
        <f>VLOOKUP(A57,'The List'!B1:D727,3,FALSE)</f>
        <v>LW</v>
      </c>
      <c r="C57" s="63">
        <f>IF(Settings!$E$15="POINTS",RANK(E57,E3:E130),H57)</f>
        <v>56</v>
      </c>
      <c r="D57" s="35" t="str">
        <f>VLOOKUP(A57,'The List'!B1:F727,5,FALSE)</f>
        <v>ARI</v>
      </c>
      <c r="E57" s="39">
        <f>VLOOKUP(A57,'The List'!B1:I727,8,FALSE)</f>
        <v>215.69960956836934</v>
      </c>
      <c r="F57" s="39">
        <f>IF(Settings!$E$15="POINTS",E57-VLOOKUP(B$2,C1:E130,3,FALSE),J57)</f>
        <v>-148.34099528928112</v>
      </c>
      <c r="G57" s="39"/>
      <c r="H57" s="138">
        <f>RANK(I57,I3:I130)</f>
        <v>60</v>
      </c>
      <c r="I57" s="139">
        <f>VLOOKUP(A57,'Standard Deviations'!A1:C728,3,FALSE)</f>
        <v>-0.4085351651864299</v>
      </c>
      <c r="J57" s="139">
        <f>I57-VLOOKUP(B$2,H1:J130,2,FALSE)</f>
        <v>-5.5266287228475575</v>
      </c>
    </row>
    <row r="58" spans="1:10" ht="21.25" customHeight="1" x14ac:dyDescent="0.15">
      <c r="A58" s="8" t="s">
        <v>400</v>
      </c>
      <c r="B58" s="62" t="str">
        <f>VLOOKUP(A58,'The List'!B1:D727,3,FALSE)</f>
        <v>LW</v>
      </c>
      <c r="C58" s="63">
        <f>IF(Settings!$E$15="POINTS",RANK(E58,E3:E130),H58)</f>
        <v>57</v>
      </c>
      <c r="D58" s="35" t="str">
        <f>VLOOKUP(A58,'The List'!B1:F727,5,FALSE)</f>
        <v>WPG</v>
      </c>
      <c r="E58" s="39">
        <f>VLOOKUP(A58,'The List'!B1:I727,8,FALSE)</f>
        <v>211.73169901424731</v>
      </c>
      <c r="F58" s="39">
        <f>IF(Settings!$E$15="POINTS",E58-VLOOKUP(B$2,C1:E130,3,FALSE),J58)</f>
        <v>-152.30890584340315</v>
      </c>
      <c r="G58" s="39"/>
      <c r="H58" s="138">
        <f>RANK(I58,I3:I130)</f>
        <v>51</v>
      </c>
      <c r="I58" s="139">
        <f>VLOOKUP(A58,'Standard Deviations'!A1:C728,3,FALSE)</f>
        <v>0.33696131590022477</v>
      </c>
      <c r="J58" s="139">
        <f>I58-VLOOKUP(B$2,H1:J130,2,FALSE)</f>
        <v>-4.7811322417609032</v>
      </c>
    </row>
    <row r="59" spans="1:10" ht="21.25" customHeight="1" x14ac:dyDescent="0.15">
      <c r="A59" s="8" t="s">
        <v>386</v>
      </c>
      <c r="B59" s="62" t="str">
        <f>VLOOKUP(A59,'The List'!B1:D727,3,FALSE)</f>
        <v>LW</v>
      </c>
      <c r="C59" s="63">
        <f>IF(Settings!$E$15="POINTS",RANK(E59,E3:E130),H59)</f>
        <v>54</v>
      </c>
      <c r="D59" s="35" t="str">
        <f>VLOOKUP(A59,'The List'!B1:F727,5,FALSE)</f>
        <v>NYR</v>
      </c>
      <c r="E59" s="39">
        <f>VLOOKUP(A59,'The List'!B1:I727,8,FALSE)</f>
        <v>217.48996895058011</v>
      </c>
      <c r="F59" s="39">
        <f>IF(Settings!$E$15="POINTS",E59-VLOOKUP(B$2,C1:E130,3,FALSE),J59)</f>
        <v>-146.55063590707036</v>
      </c>
      <c r="G59" s="39"/>
      <c r="H59" s="138">
        <f>RANK(I59,I3:I130)</f>
        <v>44</v>
      </c>
      <c r="I59" s="139">
        <f>VLOOKUP(A59,'Standard Deviations'!A1:C728,3,FALSE)</f>
        <v>0.8313941113100396</v>
      </c>
      <c r="J59" s="139">
        <f>I59-VLOOKUP(B$2,H1:J130,2,FALSE)</f>
        <v>-4.2866994463510881</v>
      </c>
    </row>
    <row r="60" spans="1:10" ht="21.25" customHeight="1" x14ac:dyDescent="0.15">
      <c r="A60" s="8" t="s">
        <v>403</v>
      </c>
      <c r="B60" s="62" t="str">
        <f>VLOOKUP(A60,'The List'!B1:D727,3,FALSE)</f>
        <v>LW</v>
      </c>
      <c r="C60" s="63">
        <f>IF(Settings!$E$15="POINTS",RANK(E60,E3:E130),H60)</f>
        <v>58</v>
      </c>
      <c r="D60" s="35" t="str">
        <f>VLOOKUP(A60,'The List'!B1:F727,5,FALSE)</f>
        <v>TBL</v>
      </c>
      <c r="E60" s="39">
        <f>VLOOKUP(A60,'The List'!B1:I727,8,FALSE)</f>
        <v>210.3649955694188</v>
      </c>
      <c r="F60" s="39">
        <f>IF(Settings!$E$15="POINTS",E60-VLOOKUP(B$2,C1:E130,3,FALSE),J60)</f>
        <v>-153.67560928823167</v>
      </c>
      <c r="G60" s="39"/>
      <c r="H60" s="138">
        <f>RANK(I60,I3:I130)</f>
        <v>55</v>
      </c>
      <c r="I60" s="139">
        <f>VLOOKUP(A60,'Standard Deviations'!A1:C728,3,FALSE)</f>
        <v>-0.1624219136731942</v>
      </c>
      <c r="J60" s="139">
        <f>I60-VLOOKUP(B$2,H1:J130,2,FALSE)</f>
        <v>-5.2805154713343221</v>
      </c>
    </row>
    <row r="61" spans="1:10" ht="21.25" customHeight="1" x14ac:dyDescent="0.15">
      <c r="A61" s="8" t="s">
        <v>411</v>
      </c>
      <c r="B61" s="62" t="str">
        <f>VLOOKUP(A61,'The List'!B1:D727,3,FALSE)</f>
        <v>LW</v>
      </c>
      <c r="C61" s="63">
        <f>IF(Settings!$E$15="POINTS",RANK(E61,E3:E130),H61)</f>
        <v>60</v>
      </c>
      <c r="D61" s="35" t="str">
        <f>VLOOKUP(A61,'The List'!B1:F727,5,FALSE)</f>
        <v>ANA</v>
      </c>
      <c r="E61" s="39">
        <f>VLOOKUP(A61,'The List'!B1:I727,8,FALSE)</f>
        <v>207.82392255357354</v>
      </c>
      <c r="F61" s="39">
        <f>IF(Settings!$E$15="POINTS",E61-VLOOKUP(B$2,C1:E130,3,FALSE),J61)</f>
        <v>-156.21668230407693</v>
      </c>
      <c r="G61" s="39"/>
      <c r="H61" s="138">
        <f>RANK(I61,I3:I130)</f>
        <v>94</v>
      </c>
      <c r="I61" s="139">
        <f>VLOOKUP(A61,'Standard Deviations'!A1:C728,3,FALSE)</f>
        <v>-3.0160227452733128</v>
      </c>
      <c r="J61" s="139">
        <f>I61-VLOOKUP(B$2,H1:J130,2,FALSE)</f>
        <v>-8.1341163029344408</v>
      </c>
    </row>
    <row r="62" spans="1:10" ht="21.25" customHeight="1" x14ac:dyDescent="0.15">
      <c r="A62" s="8" t="s">
        <v>406</v>
      </c>
      <c r="B62" s="62" t="str">
        <f>VLOOKUP(A62,'The List'!B1:D727,3,FALSE)</f>
        <v>LW</v>
      </c>
      <c r="C62" s="63">
        <f>IF(Settings!$E$15="POINTS",RANK(E62,E3:E130),H62)</f>
        <v>59</v>
      </c>
      <c r="D62" s="35" t="str">
        <f>VLOOKUP(A62,'The List'!B1:F727,5,FALSE)</f>
        <v>PHI</v>
      </c>
      <c r="E62" s="39">
        <f>VLOOKUP(A62,'The List'!B1:I727,8,FALSE)</f>
        <v>209.9109817223231</v>
      </c>
      <c r="F62" s="39">
        <f>IF(Settings!$E$15="POINTS",E62-VLOOKUP(B$2,C1:E130,3,FALSE),J62)</f>
        <v>-154.12962313532736</v>
      </c>
      <c r="G62" s="39"/>
      <c r="H62" s="138">
        <f>RANK(I62,I3:I130)</f>
        <v>76</v>
      </c>
      <c r="I62" s="139">
        <f>VLOOKUP(A62,'Standard Deviations'!A1:C728,3,FALSE)</f>
        <v>-1.0017253624125504</v>
      </c>
      <c r="J62" s="139">
        <f>I62-VLOOKUP(B$2,H1:J130,2,FALSE)</f>
        <v>-6.1198189200736781</v>
      </c>
    </row>
    <row r="63" spans="1:10" ht="21.25" customHeight="1" x14ac:dyDescent="0.15">
      <c r="A63" s="8" t="s">
        <v>414</v>
      </c>
      <c r="B63" s="62" t="str">
        <f>VLOOKUP(A63,'The List'!B1:D727,3,FALSE)</f>
        <v>LW</v>
      </c>
      <c r="C63" s="63">
        <f>IF(Settings!$E$15="POINTS",RANK(E63,E3:E130),H63)</f>
        <v>61</v>
      </c>
      <c r="D63" s="35" t="str">
        <f>VLOOKUP(A63,'The List'!B1:F727,5,FALSE)</f>
        <v>NSH</v>
      </c>
      <c r="E63" s="39">
        <f>VLOOKUP(A63,'The List'!B1:I727,8,FALSE)</f>
        <v>207.01949141282424</v>
      </c>
      <c r="F63" s="39">
        <f>IF(Settings!$E$15="POINTS",E63-VLOOKUP(B$2,C1:E130,3,FALSE),J63)</f>
        <v>-157.02111344482623</v>
      </c>
      <c r="G63" s="39"/>
      <c r="H63" s="138">
        <f>RANK(I63,I3:I130)</f>
        <v>73</v>
      </c>
      <c r="I63" s="139">
        <f>VLOOKUP(A63,'Standard Deviations'!A1:C728,3,FALSE)</f>
        <v>-0.92926005214041241</v>
      </c>
      <c r="J63" s="139">
        <f>I63-VLOOKUP(B$2,H1:J130,2,FALSE)</f>
        <v>-6.0473536098015401</v>
      </c>
    </row>
    <row r="64" spans="1:10" ht="21.25" customHeight="1" x14ac:dyDescent="0.15">
      <c r="A64" s="8" t="s">
        <v>423</v>
      </c>
      <c r="B64" s="62" t="str">
        <f>VLOOKUP(A64,'The List'!B1:D727,3,FALSE)</f>
        <v>LW</v>
      </c>
      <c r="C64" s="63">
        <f>IF(Settings!$E$15="POINTS",RANK(E64,E3:E130),H64)</f>
        <v>62</v>
      </c>
      <c r="D64" s="35" t="str">
        <f>VLOOKUP(A64,'The List'!B1:F727,5,FALSE)</f>
        <v>BOS</v>
      </c>
      <c r="E64" s="39">
        <f>VLOOKUP(A64,'The List'!B1:I727,8,FALSE)</f>
        <v>203.51951999577028</v>
      </c>
      <c r="F64" s="39">
        <f>IF(Settings!$E$15="POINTS",E64-VLOOKUP(B$2,C1:E130,3,FALSE),J64)</f>
        <v>-160.52108486188018</v>
      </c>
      <c r="G64" s="39"/>
      <c r="H64" s="138">
        <f>RANK(I64,I3:I130)</f>
        <v>50</v>
      </c>
      <c r="I64" s="139">
        <f>VLOOKUP(A64,'Standard Deviations'!A1:C728,3,FALSE)</f>
        <v>0.40798455245546883</v>
      </c>
      <c r="J64" s="139">
        <f>I64-VLOOKUP(B$2,H1:J130,2,FALSE)</f>
        <v>-4.7101090052056591</v>
      </c>
    </row>
    <row r="65" spans="1:10" ht="21.25" customHeight="1" x14ac:dyDescent="0.15">
      <c r="A65" s="8" t="s">
        <v>425</v>
      </c>
      <c r="B65" s="62" t="str">
        <f>VLOOKUP(A65,'The List'!B1:D727,3,FALSE)</f>
        <v>LW</v>
      </c>
      <c r="C65" s="63">
        <f>IF(Settings!$E$15="POINTS",RANK(E65,E3:E130),H65)</f>
        <v>63</v>
      </c>
      <c r="D65" s="35" t="str">
        <f>VLOOKUP(A65,'The List'!B1:F727,5,FALSE)</f>
        <v>ARI</v>
      </c>
      <c r="E65" s="39">
        <f>VLOOKUP(A65,'The List'!B1:I727,8,FALSE)</f>
        <v>203.41190511985511</v>
      </c>
      <c r="F65" s="39">
        <f>IF(Settings!$E$15="POINTS",E65-VLOOKUP(B$2,C1:E130,3,FALSE),J65)</f>
        <v>-160.62869973779536</v>
      </c>
      <c r="G65" s="39"/>
      <c r="H65" s="138">
        <f>RANK(I65,I3:I130)</f>
        <v>75</v>
      </c>
      <c r="I65" s="139">
        <f>VLOOKUP(A65,'Standard Deviations'!A1:C728,3,FALSE)</f>
        <v>-0.98208394900045881</v>
      </c>
      <c r="J65" s="139">
        <f>I65-VLOOKUP(B$2,H1:J130,2,FALSE)</f>
        <v>-6.1001775066615869</v>
      </c>
    </row>
    <row r="66" spans="1:10" ht="21.25" customHeight="1" x14ac:dyDescent="0.15">
      <c r="A66" s="8" t="s">
        <v>434</v>
      </c>
      <c r="B66" s="62" t="str">
        <f>VLOOKUP(A66,'The List'!B1:D727,3,FALSE)</f>
        <v>LW</v>
      </c>
      <c r="C66" s="63">
        <f>IF(Settings!$E$15="POINTS",RANK(E66,E3:E130),H66)</f>
        <v>65</v>
      </c>
      <c r="D66" s="35" t="str">
        <f>VLOOKUP(A66,'The List'!B1:F727,5,FALSE)</f>
        <v>UFA</v>
      </c>
      <c r="E66" s="39">
        <f>VLOOKUP(A66,'The List'!B1:I727,8,FALSE)</f>
        <v>199.39929218130914</v>
      </c>
      <c r="F66" s="39">
        <f>IF(Settings!$E$15="POINTS",E66-VLOOKUP(B$2,C1:E130,3,FALSE),J66)</f>
        <v>-164.64131267634133</v>
      </c>
      <c r="G66" s="39"/>
      <c r="H66" s="138">
        <f>RANK(I66,I3:I130)</f>
        <v>57</v>
      </c>
      <c r="I66" s="139">
        <f>VLOOKUP(A66,'Standard Deviations'!A1:C728,3,FALSE)</f>
        <v>-0.3252065856006997</v>
      </c>
      <c r="J66" s="139">
        <f>I66-VLOOKUP(B$2,H1:J130,2,FALSE)</f>
        <v>-5.443300143261828</v>
      </c>
    </row>
    <row r="67" spans="1:10" ht="21.25" customHeight="1" x14ac:dyDescent="0.15">
      <c r="A67" s="8" t="s">
        <v>437</v>
      </c>
      <c r="B67" s="62" t="str">
        <f>VLOOKUP(A67,'The List'!B1:D727,3,FALSE)</f>
        <v>LW</v>
      </c>
      <c r="C67" s="63">
        <f>IF(Settings!$E$15="POINTS",RANK(E67,E3:E130),H67)</f>
        <v>66</v>
      </c>
      <c r="D67" s="35" t="str">
        <f>VLOOKUP(A67,'The List'!B1:F727,5,FALSE)</f>
        <v>WSH</v>
      </c>
      <c r="E67" s="39">
        <f>VLOOKUP(A67,'The List'!B1:I727,8,FALSE)</f>
        <v>198.60652867325857</v>
      </c>
      <c r="F67" s="39">
        <f>IF(Settings!$E$15="POINTS",E67-VLOOKUP(B$2,C1:E130,3,FALSE),J67)</f>
        <v>-165.4340761843919</v>
      </c>
      <c r="G67" s="39"/>
      <c r="H67" s="138">
        <f>RANK(I67,I3:I130)</f>
        <v>71</v>
      </c>
      <c r="I67" s="139">
        <f>VLOOKUP(A67,'Standard Deviations'!A1:C728,3,FALSE)</f>
        <v>-0.86429365294083604</v>
      </c>
      <c r="J67" s="139">
        <f>I67-VLOOKUP(B$2,H1:J130,2,FALSE)</f>
        <v>-5.9823872106019635</v>
      </c>
    </row>
    <row r="68" spans="1:10" ht="21.25" customHeight="1" x14ac:dyDescent="0.15">
      <c r="A68" s="8" t="s">
        <v>433</v>
      </c>
      <c r="B68" s="62" t="str">
        <f>VLOOKUP(A68,'The List'!B1:D727,3,FALSE)</f>
        <v>LW</v>
      </c>
      <c r="C68" s="63">
        <f>IF(Settings!$E$15="POINTS",RANK(E68,E3:E130),H68)</f>
        <v>64</v>
      </c>
      <c r="D68" s="35" t="str">
        <f>VLOOKUP(A68,'The List'!B1:F727,5,FALSE)</f>
        <v>TBL</v>
      </c>
      <c r="E68" s="39">
        <f>VLOOKUP(A68,'The List'!B1:I727,8,FALSE)</f>
        <v>199.43019185720101</v>
      </c>
      <c r="F68" s="39">
        <f>IF(Settings!$E$15="POINTS",E68-VLOOKUP(B$2,C1:E130,3,FALSE),J68)</f>
        <v>-164.61041300044946</v>
      </c>
      <c r="G68" s="39"/>
      <c r="H68" s="138">
        <f>RANK(I68,I3:I130)</f>
        <v>62</v>
      </c>
      <c r="I68" s="139">
        <f>VLOOKUP(A68,'Standard Deviations'!A1:C728,3,FALSE)</f>
        <v>-0.4459103133592156</v>
      </c>
      <c r="J68" s="139">
        <f>I68-VLOOKUP(B$2,H1:J130,2,FALSE)</f>
        <v>-5.5640038710203434</v>
      </c>
    </row>
    <row r="69" spans="1:10" ht="21.25" customHeight="1" x14ac:dyDescent="0.15">
      <c r="A69" s="8" t="s">
        <v>451</v>
      </c>
      <c r="B69" s="62" t="str">
        <f>VLOOKUP(A69,'The List'!B1:D727,3,FALSE)</f>
        <v>LW</v>
      </c>
      <c r="C69" s="63">
        <f>IF(Settings!$E$15="POINTS",RANK(E69,E3:E130),H69)</f>
        <v>70</v>
      </c>
      <c r="D69" s="35" t="str">
        <f>VLOOKUP(A69,'The List'!B1:F727,5,FALSE)</f>
        <v>NJD</v>
      </c>
      <c r="E69" s="39">
        <f>VLOOKUP(A69,'The List'!B1:I727,8,FALSE)</f>
        <v>192.94282378409994</v>
      </c>
      <c r="F69" s="39">
        <f>IF(Settings!$E$15="POINTS",E69-VLOOKUP(B$2,C1:E130,3,FALSE),J69)</f>
        <v>-171.09778107355052</v>
      </c>
      <c r="G69" s="39"/>
      <c r="H69" s="138">
        <f>RANK(I69,I3:I130)</f>
        <v>61</v>
      </c>
      <c r="I69" s="139">
        <f>VLOOKUP(A69,'Standard Deviations'!A1:C728,3,FALSE)</f>
        <v>-0.44436978947976863</v>
      </c>
      <c r="J69" s="139">
        <f>I69-VLOOKUP(B$2,H1:J130,2,FALSE)</f>
        <v>-5.5624633471408966</v>
      </c>
    </row>
    <row r="70" spans="1:10" ht="21.25" customHeight="1" x14ac:dyDescent="0.15">
      <c r="A70" s="8" t="s">
        <v>454</v>
      </c>
      <c r="B70" s="62" t="str">
        <f>VLOOKUP(A70,'The List'!B1:D727,3,FALSE)</f>
        <v>LW</v>
      </c>
      <c r="C70" s="63">
        <f>IF(Settings!$E$15="POINTS",RANK(E70,E3:E130),H70)</f>
        <v>71</v>
      </c>
      <c r="D70" s="35" t="str">
        <f>VLOOKUP(A70,'The List'!B1:F727,5,FALSE)</f>
        <v>SJS</v>
      </c>
      <c r="E70" s="39">
        <f>VLOOKUP(A70,'The List'!B1:I727,8,FALSE)</f>
        <v>191.93624483986576</v>
      </c>
      <c r="F70" s="39">
        <f>IF(Settings!$E$15="POINTS",E70-VLOOKUP(B$2,C1:E130,3,FALSE),J70)</f>
        <v>-172.1043600177847</v>
      </c>
      <c r="G70" s="39"/>
      <c r="H70" s="138">
        <f>RANK(I70,I3:I130)</f>
        <v>77</v>
      </c>
      <c r="I70" s="139">
        <f>VLOOKUP(A70,'Standard Deviations'!A1:C728,3,FALSE)</f>
        <v>-1.035246584409794</v>
      </c>
      <c r="J70" s="139">
        <f>I70-VLOOKUP(B$2,H1:J130,2,FALSE)</f>
        <v>-6.1533401420709222</v>
      </c>
    </row>
    <row r="71" spans="1:10" ht="21.25" customHeight="1" x14ac:dyDescent="0.15">
      <c r="A71" s="8" t="s">
        <v>447</v>
      </c>
      <c r="B71" s="62" t="str">
        <f>VLOOKUP(A71,'The List'!B1:D727,3,FALSE)</f>
        <v>LW</v>
      </c>
      <c r="C71" s="63">
        <f>IF(Settings!$E$15="POINTS",RANK(E71,E3:E130),H71)</f>
        <v>69</v>
      </c>
      <c r="D71" s="35" t="str">
        <f>VLOOKUP(A71,'The List'!B1:F727,5,FALSE)</f>
        <v>TBL</v>
      </c>
      <c r="E71" s="39">
        <f>VLOOKUP(A71,'The List'!B1:I727,8,FALSE)</f>
        <v>194.1503075335107</v>
      </c>
      <c r="F71" s="39">
        <f>IF(Settings!$E$15="POINTS",E71-VLOOKUP(B$2,C1:E130,3,FALSE),J71)</f>
        <v>-169.89029732413977</v>
      </c>
      <c r="G71" s="39"/>
      <c r="H71" s="138">
        <f>RANK(I71,I3:I130)</f>
        <v>59</v>
      </c>
      <c r="I71" s="139">
        <f>VLOOKUP(A71,'Standard Deviations'!A1:C728,3,FALSE)</f>
        <v>-0.34144713630938944</v>
      </c>
      <c r="J71" s="139">
        <f>I71-VLOOKUP(B$2,H1:J130,2,FALSE)</f>
        <v>-5.4595406939705171</v>
      </c>
    </row>
    <row r="72" spans="1:10" ht="21.25" customHeight="1" x14ac:dyDescent="0.15">
      <c r="A72" s="8" t="s">
        <v>443</v>
      </c>
      <c r="B72" s="62" t="str">
        <f>VLOOKUP(A72,'The List'!B1:D727,3,FALSE)</f>
        <v>LW</v>
      </c>
      <c r="C72" s="63">
        <f>IF(Settings!$E$15="POINTS",RANK(E72,E3:E130),H72)</f>
        <v>67</v>
      </c>
      <c r="D72" s="35" t="str">
        <f>VLOOKUP(A72,'The List'!B1:F727,5,FALSE)</f>
        <v>NJD</v>
      </c>
      <c r="E72" s="39">
        <f>VLOOKUP(A72,'The List'!B1:I727,8,FALSE)</f>
        <v>196.11438569853908</v>
      </c>
      <c r="F72" s="39">
        <f>IF(Settings!$E$15="POINTS",E72-VLOOKUP(B$2,C1:E130,3,FALSE),J72)</f>
        <v>-167.92621915911138</v>
      </c>
      <c r="G72" s="39"/>
      <c r="H72" s="138">
        <f>RANK(I72,I3:I130)</f>
        <v>63</v>
      </c>
      <c r="I72" s="139">
        <f>VLOOKUP(A72,'Standard Deviations'!A1:C728,3,FALSE)</f>
        <v>-0.57408668261139972</v>
      </c>
      <c r="J72" s="139">
        <f>I72-VLOOKUP(B$2,H1:J130,2,FALSE)</f>
        <v>-5.6921802402725277</v>
      </c>
    </row>
    <row r="73" spans="1:10" ht="21.25" customHeight="1" x14ac:dyDescent="0.15">
      <c r="A73" s="8" t="s">
        <v>458</v>
      </c>
      <c r="B73" s="62" t="str">
        <f>VLOOKUP(A73,'The List'!B1:D727,3,FALSE)</f>
        <v>LW</v>
      </c>
      <c r="C73" s="63">
        <f>IF(Settings!$E$15="POINTS",RANK(E73,E3:E130),H73)</f>
        <v>72</v>
      </c>
      <c r="D73" s="35" t="str">
        <f>VLOOKUP(A73,'The List'!B1:F727,5,FALSE)</f>
        <v>NYI</v>
      </c>
      <c r="E73" s="39">
        <f>VLOOKUP(A73,'The List'!B1:I727,8,FALSE)</f>
        <v>191.14290363771153</v>
      </c>
      <c r="F73" s="39">
        <f>IF(Settings!$E$15="POINTS",E73-VLOOKUP(B$2,C1:E130,3,FALSE),J73)</f>
        <v>-172.89770121993894</v>
      </c>
      <c r="G73" s="39"/>
      <c r="H73" s="138">
        <f>RANK(I73,I3:I130)</f>
        <v>74</v>
      </c>
      <c r="I73" s="139">
        <f>VLOOKUP(A73,'Standard Deviations'!A1:C728,3,FALSE)</f>
        <v>-0.95894313556776867</v>
      </c>
      <c r="J73" s="139">
        <f>I73-VLOOKUP(B$2,H1:J130,2,FALSE)</f>
        <v>-6.0770366932288962</v>
      </c>
    </row>
    <row r="74" spans="1:10" ht="21.25" customHeight="1" x14ac:dyDescent="0.15">
      <c r="A74" s="8" t="s">
        <v>461</v>
      </c>
      <c r="B74" s="62" t="str">
        <f>VLOOKUP(A74,'The List'!B1:D727,3,FALSE)</f>
        <v>LW</v>
      </c>
      <c r="C74" s="63">
        <f>IF(Settings!$E$15="POINTS",RANK(E74,E3:E130),H74)</f>
        <v>73</v>
      </c>
      <c r="D74" s="35" t="str">
        <f>VLOOKUP(A74,'The List'!B1:F727,5,FALSE)</f>
        <v>MTL</v>
      </c>
      <c r="E74" s="39">
        <f>VLOOKUP(A74,'The List'!B1:I727,8,FALSE)</f>
        <v>189.78708220083786</v>
      </c>
      <c r="F74" s="39">
        <f>IF(Settings!$E$15="POINTS",E74-VLOOKUP(B$2,C1:E130,3,FALSE),J74)</f>
        <v>-174.25352265681261</v>
      </c>
      <c r="G74" s="39"/>
      <c r="H74" s="138">
        <f>RANK(I74,I3:I130)</f>
        <v>80</v>
      </c>
      <c r="I74" s="139">
        <f>VLOOKUP(A74,'Standard Deviations'!A1:C728,3,FALSE)</f>
        <v>-1.1892645857272219</v>
      </c>
      <c r="J74" s="139">
        <f>I74-VLOOKUP(B$2,H1:J130,2,FALSE)</f>
        <v>-6.3073581433883499</v>
      </c>
    </row>
    <row r="75" spans="1:10" ht="21.25" customHeight="1" x14ac:dyDescent="0.15">
      <c r="A75" s="8" t="s">
        <v>471</v>
      </c>
      <c r="B75" s="62" t="str">
        <f>VLOOKUP(A75,'The List'!B1:D727,3,FALSE)</f>
        <v>LW</v>
      </c>
      <c r="C75" s="63">
        <f>IF(Settings!$E$15="POINTS",RANK(E75,E3:E130),H75)</f>
        <v>74</v>
      </c>
      <c r="D75" s="35" t="str">
        <f>VLOOKUP(A75,'The List'!B1:F727,5,FALSE)</f>
        <v>MIN</v>
      </c>
      <c r="E75" s="39">
        <f>VLOOKUP(A75,'The List'!B1:I727,8,FALSE)</f>
        <v>186.63413430545472</v>
      </c>
      <c r="F75" s="39">
        <f>IF(Settings!$E$15="POINTS",E75-VLOOKUP(B$2,C1:E130,3,FALSE),J75)</f>
        <v>-177.40647055219574</v>
      </c>
      <c r="G75" s="39"/>
      <c r="H75" s="138">
        <f>RANK(I75,I3:I130)</f>
        <v>64</v>
      </c>
      <c r="I75" s="139">
        <f>VLOOKUP(A75,'Standard Deviations'!A1:C728,3,FALSE)</f>
        <v>-0.60624966980315653</v>
      </c>
      <c r="J75" s="139">
        <f>I75-VLOOKUP(B$2,H1:J130,2,FALSE)</f>
        <v>-5.7243432274642849</v>
      </c>
    </row>
    <row r="76" spans="1:10" ht="21.25" customHeight="1" x14ac:dyDescent="0.15">
      <c r="A76" s="8" t="s">
        <v>491</v>
      </c>
      <c r="B76" s="62" t="str">
        <f>VLOOKUP(A76,'The List'!B1:D727,3,FALSE)</f>
        <v>LW</v>
      </c>
      <c r="C76" s="63">
        <f>IF(Settings!$E$15="POINTS",RANK(E76,E3:E130),H76)</f>
        <v>75</v>
      </c>
      <c r="D76" s="35" t="str">
        <f>VLOOKUP(A76,'The List'!B1:F727,5,FALSE)</f>
        <v>DAL</v>
      </c>
      <c r="E76" s="39">
        <f>VLOOKUP(A76,'The List'!B1:I727,8,FALSE)</f>
        <v>182.04545573590983</v>
      </c>
      <c r="F76" s="39">
        <f>IF(Settings!$E$15="POINTS",E76-VLOOKUP(B$2,C1:E130,3,FALSE),J76)</f>
        <v>-181.99514912174064</v>
      </c>
      <c r="G76" s="39"/>
      <c r="H76" s="138">
        <f>RANK(I76,I3:I130)</f>
        <v>58</v>
      </c>
      <c r="I76" s="139">
        <f>VLOOKUP(A76,'Standard Deviations'!A1:C728,3,FALSE)</f>
        <v>-0.33476941373765257</v>
      </c>
      <c r="J76" s="139">
        <f>I76-VLOOKUP(B$2,H1:J130,2,FALSE)</f>
        <v>-5.4528629713987806</v>
      </c>
    </row>
    <row r="77" spans="1:10" ht="21.25" customHeight="1" x14ac:dyDescent="0.15">
      <c r="A77" s="8" t="s">
        <v>508</v>
      </c>
      <c r="B77" s="62" t="str">
        <f>VLOOKUP(A77,'The List'!B1:D727,3,FALSE)</f>
        <v>LW</v>
      </c>
      <c r="C77" s="63">
        <f>IF(Settings!$E$15="POINTS",RANK(E77,E3:E130),H77)</f>
        <v>76</v>
      </c>
      <c r="D77" s="35" t="str">
        <f>VLOOKUP(A77,'The List'!B1:F727,5,FALSE)</f>
        <v>UFA</v>
      </c>
      <c r="E77" s="39">
        <f>VLOOKUP(A77,'The List'!B1:I727,8,FALSE)</f>
        <v>177.15458636644286</v>
      </c>
      <c r="F77" s="39">
        <f>IF(Settings!$E$15="POINTS",E77-VLOOKUP(B$2,C1:E130,3,FALSE),J77)</f>
        <v>-186.88601849120761</v>
      </c>
      <c r="G77" s="39"/>
      <c r="H77" s="138">
        <f>RANK(I77,I3:I130)</f>
        <v>67</v>
      </c>
      <c r="I77" s="139">
        <f>VLOOKUP(A77,'Standard Deviations'!A1:C728,3,FALSE)</f>
        <v>-0.72123131286290765</v>
      </c>
      <c r="J77" s="139">
        <f>I77-VLOOKUP(B$2,H1:J130,2,FALSE)</f>
        <v>-5.8393248705240355</v>
      </c>
    </row>
    <row r="78" spans="1:10" ht="21.25" customHeight="1" x14ac:dyDescent="0.15">
      <c r="A78" s="8" t="s">
        <v>444</v>
      </c>
      <c r="B78" s="62" t="str">
        <f>VLOOKUP(A78,'The List'!B1:D727,3,FALSE)</f>
        <v>LW</v>
      </c>
      <c r="C78" s="63">
        <f>IF(Settings!$E$15="POINTS",RANK(E78,E3:E130),H78)</f>
        <v>68</v>
      </c>
      <c r="D78" s="35" t="str">
        <f>VLOOKUP(A78,'The List'!B1:F727,5,FALSE)</f>
        <v>TOR</v>
      </c>
      <c r="E78" s="39">
        <f>VLOOKUP(A78,'The List'!B1:I727,8,FALSE)</f>
        <v>195.86212628286532</v>
      </c>
      <c r="F78" s="39">
        <f>IF(Settings!$E$15="POINTS",E78-VLOOKUP(B$2,C1:E130,3,FALSE),J78)</f>
        <v>-168.17847857478515</v>
      </c>
      <c r="G78" s="39"/>
      <c r="H78" s="138">
        <f>RANK(I78,I3:I130)</f>
        <v>68</v>
      </c>
      <c r="I78" s="139">
        <f>VLOOKUP(A78,'Standard Deviations'!A1:C728,3,FALSE)</f>
        <v>-0.75035737428993032</v>
      </c>
      <c r="J78" s="139">
        <f>I78-VLOOKUP(B$2,H1:J130,2,FALSE)</f>
        <v>-5.8684509319510578</v>
      </c>
    </row>
    <row r="79" spans="1:10" ht="21.25" customHeight="1" x14ac:dyDescent="0.15">
      <c r="A79" s="8" t="s">
        <v>529</v>
      </c>
      <c r="B79" s="62" t="str">
        <f>VLOOKUP(A79,'The List'!B1:D727,3,FALSE)</f>
        <v>LW</v>
      </c>
      <c r="C79" s="63">
        <f>IF(Settings!$E$15="POINTS",RANK(E79,E3:E130),H79)</f>
        <v>77</v>
      </c>
      <c r="D79" s="35" t="str">
        <f>VLOOKUP(A79,'The List'!B1:F727,5,FALSE)</f>
        <v>CGY</v>
      </c>
      <c r="E79" s="39">
        <f>VLOOKUP(A79,'The List'!B1:I727,8,FALSE)</f>
        <v>168.45185179449001</v>
      </c>
      <c r="F79" s="39">
        <f>IF(Settings!$E$15="POINTS",E79-VLOOKUP(B$2,C1:E130,3,FALSE),J79)</f>
        <v>-195.58875306316045</v>
      </c>
      <c r="G79" s="39"/>
      <c r="H79" s="138">
        <f>RANK(I79,I3:I130)</f>
        <v>78</v>
      </c>
      <c r="I79" s="139">
        <f>VLOOKUP(A79,'Standard Deviations'!A1:C728,3,FALSE)</f>
        <v>-1.1075648923637298</v>
      </c>
      <c r="J79" s="139">
        <f>I79-VLOOKUP(B$2,H1:J130,2,FALSE)</f>
        <v>-6.2256584500248575</v>
      </c>
    </row>
    <row r="80" spans="1:10" ht="21.25" customHeight="1" x14ac:dyDescent="0.15">
      <c r="A80" s="8" t="s">
        <v>540</v>
      </c>
      <c r="B80" s="62" t="str">
        <f>VLOOKUP(A80,'The List'!B1:D727,3,FALSE)</f>
        <v>LW</v>
      </c>
      <c r="C80" s="63">
        <f>IF(Settings!$E$15="POINTS",RANK(E80,E3:E130),H80)</f>
        <v>79</v>
      </c>
      <c r="D80" s="35" t="str">
        <f>VLOOKUP(A80,'The List'!B1:F727,5,FALSE)</f>
        <v>ARI</v>
      </c>
      <c r="E80" s="39">
        <f>VLOOKUP(A80,'The List'!B1:I727,8,FALSE)</f>
        <v>165.18647464674402</v>
      </c>
      <c r="F80" s="39">
        <f>IF(Settings!$E$15="POINTS",E80-VLOOKUP(B$2,C1:E130,3,FALSE),J80)</f>
        <v>-198.85413021090645</v>
      </c>
      <c r="G80" s="39"/>
      <c r="H80" s="138">
        <f>RANK(I80,I3:I130)</f>
        <v>86</v>
      </c>
      <c r="I80" s="139">
        <f>VLOOKUP(A80,'Standard Deviations'!A1:C728,3,FALSE)</f>
        <v>-2.5481428254836258</v>
      </c>
      <c r="J80" s="139">
        <f>I80-VLOOKUP(B$2,H1:J130,2,FALSE)</f>
        <v>-7.6662363831447538</v>
      </c>
    </row>
    <row r="81" spans="1:10" ht="21.25" customHeight="1" x14ac:dyDescent="0.15">
      <c r="A81" s="8" t="s">
        <v>538</v>
      </c>
      <c r="B81" s="62" t="str">
        <f>VLOOKUP(A81,'The List'!B1:D727,3,FALSE)</f>
        <v>LW</v>
      </c>
      <c r="C81" s="63">
        <f>IF(Settings!$E$15="POINTS",RANK(E81,E3:E130),H81)</f>
        <v>78</v>
      </c>
      <c r="D81" s="35" t="str">
        <f>VLOOKUP(A81,'The List'!B1:F727,5,FALSE)</f>
        <v>VGK</v>
      </c>
      <c r="E81" s="39">
        <f>VLOOKUP(A81,'The List'!B1:I727,8,FALSE)</f>
        <v>165.27101494532678</v>
      </c>
      <c r="F81" s="39">
        <f>IF(Settings!$E$15="POINTS",E81-VLOOKUP(B$2,C1:E130,3,FALSE),J81)</f>
        <v>-198.76958991232368</v>
      </c>
      <c r="G81" s="39"/>
      <c r="H81" s="138">
        <f>RANK(I81,I3:I130)</f>
        <v>56</v>
      </c>
      <c r="I81" s="139">
        <f>VLOOKUP(A81,'Standard Deviations'!A1:C728,3,FALSE)</f>
        <v>-0.29417224824283816</v>
      </c>
      <c r="J81" s="139">
        <f>I81-VLOOKUP(B$2,H1:J130,2,FALSE)</f>
        <v>-5.4122658059039663</v>
      </c>
    </row>
    <row r="82" spans="1:10" ht="21.25" customHeight="1" x14ac:dyDescent="0.15">
      <c r="A82" s="8" t="s">
        <v>543</v>
      </c>
      <c r="B82" s="62" t="str">
        <f>VLOOKUP(A82,'The List'!B1:D727,3,FALSE)</f>
        <v>LW</v>
      </c>
      <c r="C82" s="63">
        <f>IF(Settings!$E$15="POINTS",RANK(E82,E3:E130),H82)</f>
        <v>80</v>
      </c>
      <c r="D82" s="35" t="str">
        <f>VLOOKUP(A82,'The List'!B1:F727,5,FALSE)</f>
        <v>VGK</v>
      </c>
      <c r="E82" s="39">
        <f>VLOOKUP(A82,'The List'!B1:I727,8,FALSE)</f>
        <v>164.65796048351729</v>
      </c>
      <c r="F82" s="39">
        <f>IF(Settings!$E$15="POINTS",E82-VLOOKUP(B$2,C1:E130,3,FALSE),J82)</f>
        <v>-199.38264437413318</v>
      </c>
      <c r="G82" s="39"/>
      <c r="H82" s="138">
        <f>RANK(I82,I3:I130)</f>
        <v>65</v>
      </c>
      <c r="I82" s="139">
        <f>VLOOKUP(A82,'Standard Deviations'!A1:C728,3,FALSE)</f>
        <v>-0.61627049330401396</v>
      </c>
      <c r="J82" s="139">
        <f>I82-VLOOKUP(B$2,H1:J130,2,FALSE)</f>
        <v>-5.7343640509651417</v>
      </c>
    </row>
    <row r="83" spans="1:10" ht="21.25" customHeight="1" x14ac:dyDescent="0.15">
      <c r="A83" s="8" t="s">
        <v>561</v>
      </c>
      <c r="B83" s="62" t="str">
        <f>VLOOKUP(A83,'The List'!B1:D727,3,FALSE)</f>
        <v>LW</v>
      </c>
      <c r="C83" s="63">
        <f>IF(Settings!$E$15="POINTS",RANK(E83,E3:E130),H83)</f>
        <v>82</v>
      </c>
      <c r="D83" s="35" t="str">
        <f>VLOOKUP(A83,'The List'!B1:F727,5,FALSE)</f>
        <v>EDM</v>
      </c>
      <c r="E83" s="39">
        <f>VLOOKUP(A83,'The List'!B1:I727,8,FALSE)</f>
        <v>159.41518750893826</v>
      </c>
      <c r="F83" s="39">
        <f>IF(Settings!$E$15="POINTS",E83-VLOOKUP(B$2,C1:E130,3,FALSE),J83)</f>
        <v>-204.6254173487122</v>
      </c>
      <c r="G83" s="39"/>
      <c r="H83" s="138">
        <f>RANK(I83,I3:I130)</f>
        <v>69</v>
      </c>
      <c r="I83" s="139">
        <f>VLOOKUP(A83,'Standard Deviations'!A1:C728,3,FALSE)</f>
        <v>-0.76762457768099424</v>
      </c>
      <c r="J83" s="139">
        <f>I83-VLOOKUP(B$2,H1:J130,2,FALSE)</f>
        <v>-5.8857181353421222</v>
      </c>
    </row>
    <row r="84" spans="1:10" ht="21.25" customHeight="1" x14ac:dyDescent="0.15">
      <c r="A84" s="8" t="s">
        <v>560</v>
      </c>
      <c r="B84" s="62" t="str">
        <f>VLOOKUP(A84,'The List'!B1:D727,3,FALSE)</f>
        <v>LW</v>
      </c>
      <c r="C84" s="63">
        <f>IF(Settings!$E$15="POINTS",RANK(E84,E3:E130),H84)</f>
        <v>81</v>
      </c>
      <c r="D84" s="35" t="str">
        <f>VLOOKUP(A84,'The List'!B1:F727,5,FALSE)</f>
        <v>CAR</v>
      </c>
      <c r="E84" s="39">
        <f>VLOOKUP(A84,'The List'!B1:I727,8,FALSE)</f>
        <v>159.54785816106269</v>
      </c>
      <c r="F84" s="39">
        <f>IF(Settings!$E$15="POINTS",E84-VLOOKUP(B$2,C1:E130,3,FALSE),J84)</f>
        <v>-204.49274669658777</v>
      </c>
      <c r="G84" s="39"/>
      <c r="H84" s="138">
        <f>RANK(I84,I3:I130)</f>
        <v>66</v>
      </c>
      <c r="I84" s="139">
        <f>VLOOKUP(A84,'Standard Deviations'!A1:C728,3,FALSE)</f>
        <v>-0.67415441502697182</v>
      </c>
      <c r="J84" s="139">
        <f>I84-VLOOKUP(B$2,H1:J130,2,FALSE)</f>
        <v>-5.7922479726880995</v>
      </c>
    </row>
    <row r="85" spans="1:10" ht="21.25" customHeight="1" x14ac:dyDescent="0.15">
      <c r="A85" s="8" t="s">
        <v>570</v>
      </c>
      <c r="B85" s="62" t="str">
        <f>VLOOKUP(A85,'The List'!B1:D727,3,FALSE)</f>
        <v>LW</v>
      </c>
      <c r="C85" s="63">
        <f>IF(Settings!$E$15="POINTS",RANK(E85,E3:E130),H85)</f>
        <v>83</v>
      </c>
      <c r="D85" s="35" t="str">
        <f>VLOOKUP(A85,'The List'!B1:F727,5,FALSE)</f>
        <v>COL</v>
      </c>
      <c r="E85" s="39">
        <f>VLOOKUP(A85,'The List'!B1:I727,8,FALSE)</f>
        <v>156.89712808316361</v>
      </c>
      <c r="F85" s="39">
        <f>IF(Settings!$E$15="POINTS",E85-VLOOKUP(B$2,C1:E130,3,FALSE),J85)</f>
        <v>-207.14347677448686</v>
      </c>
      <c r="G85" s="39"/>
      <c r="H85" s="138">
        <f>RANK(I85,I3:I130)</f>
        <v>81</v>
      </c>
      <c r="I85" s="139">
        <f>VLOOKUP(A85,'Standard Deviations'!A1:C728,3,FALSE)</f>
        <v>-1.615388895521471</v>
      </c>
      <c r="J85" s="139">
        <f>I85-VLOOKUP(B$2,H1:J130,2,FALSE)</f>
        <v>-6.7334824531825994</v>
      </c>
    </row>
    <row r="86" spans="1:10" ht="21.25" customHeight="1" x14ac:dyDescent="0.15">
      <c r="A86" s="8" t="s">
        <v>573</v>
      </c>
      <c r="B86" s="62" t="str">
        <f>VLOOKUP(A86,'The List'!B1:D727,3,FALSE)</f>
        <v>LW</v>
      </c>
      <c r="C86" s="63">
        <f>IF(Settings!$E$15="POINTS",RANK(E86,E3:E130),H86)</f>
        <v>84</v>
      </c>
      <c r="D86" s="35" t="str">
        <f>VLOOKUP(A86,'The List'!B1:F727,5,FALSE)</f>
        <v>COL</v>
      </c>
      <c r="E86" s="39">
        <f>VLOOKUP(A86,'The List'!B1:I727,8,FALSE)</f>
        <v>155.97352016337015</v>
      </c>
      <c r="F86" s="39">
        <f>IF(Settings!$E$15="POINTS",E86-VLOOKUP(B$2,C1:E130,3,FALSE),J86)</f>
        <v>-208.06708469428031</v>
      </c>
      <c r="G86" s="39"/>
      <c r="H86" s="138">
        <f>RANK(I86,I3:I130)</f>
        <v>82</v>
      </c>
      <c r="I86" s="139">
        <f>VLOOKUP(A86,'Standard Deviations'!A1:C728,3,FALSE)</f>
        <v>-1.6983282717970676</v>
      </c>
      <c r="J86" s="139">
        <f>I86-VLOOKUP(B$2,H1:J130,2,FALSE)</f>
        <v>-6.8164218294581955</v>
      </c>
    </row>
    <row r="87" spans="1:10" ht="21.25" customHeight="1" x14ac:dyDescent="0.15">
      <c r="A87" s="8" t="s">
        <v>589</v>
      </c>
      <c r="B87" s="62" t="str">
        <f>VLOOKUP(A87,'The List'!B1:D727,3,FALSE)</f>
        <v>LW</v>
      </c>
      <c r="C87" s="63">
        <f>IF(Settings!$E$15="POINTS",RANK(E87,E3:E130),H87)</f>
        <v>85</v>
      </c>
      <c r="D87" s="35" t="str">
        <f>VLOOKUP(A87,'The List'!B1:F727,5,FALSE)</f>
        <v>DET</v>
      </c>
      <c r="E87" s="39">
        <f>VLOOKUP(A87,'The List'!B1:I727,8,FALSE)</f>
        <v>149.81195415406069</v>
      </c>
      <c r="F87" s="39">
        <f>IF(Settings!$E$15="POINTS",E87-VLOOKUP(B$2,C1:E130,3,FALSE),J87)</f>
        <v>-214.22865070358978</v>
      </c>
      <c r="G87" s="39"/>
      <c r="H87" s="138">
        <f>RANK(I87,I3:I130)</f>
        <v>88</v>
      </c>
      <c r="I87" s="139">
        <f>VLOOKUP(A87,'Standard Deviations'!A1:C728,3,FALSE)</f>
        <v>-2.8312855887641852</v>
      </c>
      <c r="J87" s="139">
        <f>I87-VLOOKUP(B$2,H1:J130,2,FALSE)</f>
        <v>-7.9493791464253132</v>
      </c>
    </row>
    <row r="88" spans="1:10" ht="21.25" customHeight="1" x14ac:dyDescent="0.15">
      <c r="A88" s="8" t="s">
        <v>595</v>
      </c>
      <c r="B88" s="62" t="str">
        <f>VLOOKUP(A88,'The List'!B1:D727,3,FALSE)</f>
        <v>LW</v>
      </c>
      <c r="C88" s="63">
        <f>IF(Settings!$E$15="POINTS",RANK(E88,E3:E130),H88)</f>
        <v>86</v>
      </c>
      <c r="D88" s="35" t="str">
        <f>VLOOKUP(A88,'The List'!B1:F727,5,FALSE)</f>
        <v>SEA</v>
      </c>
      <c r="E88" s="39">
        <f>VLOOKUP(A88,'The List'!B1:I727,8,FALSE)</f>
        <v>147.30347641061476</v>
      </c>
      <c r="F88" s="39">
        <f>IF(Settings!$E$15="POINTS",E88-VLOOKUP(B$2,C1:E130,3,FALSE),J88)</f>
        <v>-216.7371284470357</v>
      </c>
      <c r="G88" s="39"/>
      <c r="H88" s="138">
        <f>RANK(I88,I3:I130)</f>
        <v>84</v>
      </c>
      <c r="I88" s="139">
        <f>VLOOKUP(A88,'Standard Deviations'!A1:C728,3,FALSE)</f>
        <v>-1.8676240128598021</v>
      </c>
      <c r="J88" s="139">
        <f>I88-VLOOKUP(B$2,H1:J130,2,FALSE)</f>
        <v>-6.9857175705209302</v>
      </c>
    </row>
    <row r="89" spans="1:10" ht="21.25" customHeight="1" x14ac:dyDescent="0.15">
      <c r="A89" s="8" t="s">
        <v>600</v>
      </c>
      <c r="B89" s="62" t="str">
        <f>VLOOKUP(A89,'The List'!B1:D727,3,FALSE)</f>
        <v>LW</v>
      </c>
      <c r="C89" s="63">
        <f>IF(Settings!$E$15="POINTS",RANK(E89,E3:E130),H89)</f>
        <v>87</v>
      </c>
      <c r="D89" s="35" t="str">
        <f>VLOOKUP(A89,'The List'!B1:F727,5,FALSE)</f>
        <v>MIN</v>
      </c>
      <c r="E89" s="39">
        <f>VLOOKUP(A89,'The List'!B1:I727,8,FALSE)</f>
        <v>144.21917738729238</v>
      </c>
      <c r="F89" s="39">
        <f>IF(Settings!$E$15="POINTS",E89-VLOOKUP(B$2,C1:E130,3,FALSE),J89)</f>
        <v>-219.82142747035809</v>
      </c>
      <c r="G89" s="39"/>
      <c r="H89" s="138">
        <f>RANK(I89,I3:I130)</f>
        <v>83</v>
      </c>
      <c r="I89" s="139">
        <f>VLOOKUP(A89,'Standard Deviations'!A1:C728,3,FALSE)</f>
        <v>-1.7086605065402369</v>
      </c>
      <c r="J89" s="139">
        <f>I89-VLOOKUP(B$2,H1:J130,2,FALSE)</f>
        <v>-6.8267540642013653</v>
      </c>
    </row>
    <row r="90" spans="1:10" ht="21.25" customHeight="1" x14ac:dyDescent="0.15">
      <c r="A90" s="8" t="s">
        <v>610</v>
      </c>
      <c r="B90" s="62" t="str">
        <f>VLOOKUP(A90,'The List'!B1:D727,3,FALSE)</f>
        <v>LW</v>
      </c>
      <c r="C90" s="63">
        <f>IF(Settings!$E$15="POINTS",RANK(E90,E3:E130),H90)</f>
        <v>89</v>
      </c>
      <c r="D90" s="35" t="str">
        <f>VLOOKUP(A90,'The List'!B1:F727,5,FALSE)</f>
        <v>SJS</v>
      </c>
      <c r="E90" s="39">
        <f>VLOOKUP(A90,'The List'!B1:I727,8,FALSE)</f>
        <v>140.03848309812332</v>
      </c>
      <c r="F90" s="39">
        <f>IF(Settings!$E$15="POINTS",E90-VLOOKUP(B$2,C1:E130,3,FALSE),J90)</f>
        <v>-224.00212175952714</v>
      </c>
      <c r="G90" s="39"/>
      <c r="H90" s="138">
        <f>RANK(I90,I3:I130)</f>
        <v>92</v>
      </c>
      <c r="I90" s="139">
        <f>VLOOKUP(A90,'Standard Deviations'!A1:C728,3,FALSE)</f>
        <v>-2.9349108150928416</v>
      </c>
      <c r="J90" s="139">
        <f>I90-VLOOKUP(B$2,H1:J130,2,FALSE)</f>
        <v>-8.0530043727539695</v>
      </c>
    </row>
    <row r="91" spans="1:10" ht="21.25" customHeight="1" x14ac:dyDescent="0.15">
      <c r="A91" s="8" t="s">
        <v>616</v>
      </c>
      <c r="B91" s="62" t="str">
        <f>VLOOKUP(A91,'The List'!B1:D727,3,FALSE)</f>
        <v>LW</v>
      </c>
      <c r="C91" s="63">
        <f>IF(Settings!$E$15="POINTS",RANK(E91,E3:E130),H91)</f>
        <v>90</v>
      </c>
      <c r="D91" s="35" t="str">
        <f>VLOOKUP(A91,'The List'!B1:F727,5,FALSE)</f>
        <v>WSH</v>
      </c>
      <c r="E91" s="39">
        <f>VLOOKUP(A91,'The List'!B1:I727,8,FALSE)</f>
        <v>139.35492765107492</v>
      </c>
      <c r="F91" s="39">
        <f>IF(Settings!$E$15="POINTS",E91-VLOOKUP(B$2,C1:E130,3,FALSE),J91)</f>
        <v>-224.68567720657555</v>
      </c>
      <c r="G91" s="39"/>
      <c r="H91" s="138">
        <f>RANK(I91,I3:I130)</f>
        <v>100</v>
      </c>
      <c r="I91" s="139">
        <f>VLOOKUP(A91,'Standard Deviations'!A1:C728,3,FALSE)</f>
        <v>-3.6066239056803555</v>
      </c>
      <c r="J91" s="139">
        <f>I91-VLOOKUP(B$2,H1:J130,2,FALSE)</f>
        <v>-8.7247174633414843</v>
      </c>
    </row>
    <row r="92" spans="1:10" ht="21.25" customHeight="1" x14ac:dyDescent="0.15">
      <c r="A92" s="8" t="s">
        <v>617</v>
      </c>
      <c r="B92" s="62" t="str">
        <f>VLOOKUP(A92,'The List'!B1:D727,3,FALSE)</f>
        <v>LW</v>
      </c>
      <c r="C92" s="63">
        <f>IF(Settings!$E$15="POINTS",RANK(E92,E3:E130),H92)</f>
        <v>91</v>
      </c>
      <c r="D92" s="35" t="str">
        <f>VLOOKUP(A92,'The List'!B1:F727,5,FALSE)</f>
        <v>UFA</v>
      </c>
      <c r="E92" s="39">
        <f>VLOOKUP(A92,'The List'!B1:I727,8,FALSE)</f>
        <v>139.05803126872794</v>
      </c>
      <c r="F92" s="39">
        <f>IF(Settings!$E$15="POINTS",E92-VLOOKUP(B$2,C1:E130,3,FALSE),J92)</f>
        <v>-224.98257358892252</v>
      </c>
      <c r="G92" s="39"/>
      <c r="H92" s="138">
        <f>RANK(I92,I3:I130)</f>
        <v>87</v>
      </c>
      <c r="I92" s="139">
        <f>VLOOKUP(A92,'Standard Deviations'!A1:C728,3,FALSE)</f>
        <v>-2.8067195598726506</v>
      </c>
      <c r="J92" s="139">
        <f>I92-VLOOKUP(B$2,H1:J130,2,FALSE)</f>
        <v>-7.9248131175337786</v>
      </c>
    </row>
    <row r="93" spans="1:10" ht="21.25" customHeight="1" x14ac:dyDescent="0.15">
      <c r="A93" s="8" t="s">
        <v>601</v>
      </c>
      <c r="B93" s="62" t="str">
        <f>VLOOKUP(A93,'The List'!B1:D727,3,FALSE)</f>
        <v>LW</v>
      </c>
      <c r="C93" s="63">
        <f>IF(Settings!$E$15="POINTS",RANK(E93,E3:E130),H93)</f>
        <v>88</v>
      </c>
      <c r="D93" s="35" t="str">
        <f>VLOOKUP(A93,'The List'!B1:F727,5,FALSE)</f>
        <v>CBJ</v>
      </c>
      <c r="E93" s="39">
        <f>VLOOKUP(A93,'The List'!B1:I727,8,FALSE)</f>
        <v>142.26408174351019</v>
      </c>
      <c r="F93" s="39">
        <f>IF(Settings!$E$15="POINTS",E93-VLOOKUP(B$2,C1:E130,3,FALSE),J93)</f>
        <v>-221.77652311414028</v>
      </c>
      <c r="G93" s="39"/>
      <c r="H93" s="138">
        <f>RANK(I93,I3:I130)</f>
        <v>110</v>
      </c>
      <c r="I93" s="139">
        <f>VLOOKUP(A93,'Standard Deviations'!A1:C728,3,FALSE)</f>
        <v>-4.2527670936842137</v>
      </c>
      <c r="J93" s="139">
        <f>I93-VLOOKUP(B$2,H1:J130,2,FALSE)</f>
        <v>-9.3708606513453425</v>
      </c>
    </row>
    <row r="94" spans="1:10" ht="21.25" customHeight="1" x14ac:dyDescent="0.15">
      <c r="A94" s="8" t="s">
        <v>621</v>
      </c>
      <c r="B94" s="62" t="str">
        <f>VLOOKUP(A94,'The List'!B1:D727,3,FALSE)</f>
        <v>LW</v>
      </c>
      <c r="C94" s="63">
        <f>IF(Settings!$E$15="POINTS",RANK(E94,E3:E130),H94)</f>
        <v>92</v>
      </c>
      <c r="D94" s="35" t="str">
        <f>VLOOKUP(A94,'The List'!B1:F727,5,FALSE)</f>
        <v>VAN</v>
      </c>
      <c r="E94" s="39">
        <f>VLOOKUP(A94,'The List'!B1:I727,8,FALSE)</f>
        <v>137.52988872161711</v>
      </c>
      <c r="F94" s="39">
        <f>IF(Settings!$E$15="POINTS",E94-VLOOKUP(B$2,C1:E130,3,FALSE),J94)</f>
        <v>-226.51071613603335</v>
      </c>
      <c r="G94" s="39"/>
      <c r="H94" s="138">
        <f>RANK(I94,I3:I130)</f>
        <v>90</v>
      </c>
      <c r="I94" s="139">
        <f>VLOOKUP(A94,'Standard Deviations'!A1:C728,3,FALSE)</f>
        <v>-2.8629392580471</v>
      </c>
      <c r="J94" s="139">
        <f>I94-VLOOKUP(B$2,H1:J130,2,FALSE)</f>
        <v>-7.981032815708228</v>
      </c>
    </row>
    <row r="95" spans="1:10" ht="21.25" customHeight="1" x14ac:dyDescent="0.15">
      <c r="A95" s="8" t="s">
        <v>637</v>
      </c>
      <c r="B95" s="62" t="str">
        <f>VLOOKUP(A95,'The List'!B1:D727,3,FALSE)</f>
        <v>LW,RW</v>
      </c>
      <c r="C95" s="63">
        <f>IF(Settings!$E$15="POINTS",RANK(E95,E3:E130),H95)</f>
        <v>93</v>
      </c>
      <c r="D95" s="35" t="str">
        <f>VLOOKUP(A95,'The List'!B1:F727,5,FALSE)</f>
        <v>CBJ</v>
      </c>
      <c r="E95" s="39">
        <f>VLOOKUP(A95,'The List'!B1:I727,8,FALSE)</f>
        <v>132.86795269313922</v>
      </c>
      <c r="F95" s="39">
        <f>IF(Settings!$E$15="POINTS",E95-VLOOKUP(B$2,C1:E130,3,FALSE),J95)</f>
        <v>-231.17265216451125</v>
      </c>
      <c r="G95" s="39"/>
      <c r="H95" s="138">
        <f>RANK(I95,I3:I130)</f>
        <v>108</v>
      </c>
      <c r="I95" s="139">
        <f>VLOOKUP(A95,'Standard Deviations'!A1:C728,3,FALSE)</f>
        <v>-4.0892529606186692</v>
      </c>
      <c r="J95" s="139">
        <f>I95-VLOOKUP(B$2,H1:J130,2,FALSE)</f>
        <v>-9.2073465182797971</v>
      </c>
    </row>
    <row r="96" spans="1:10" ht="21.25" customHeight="1" x14ac:dyDescent="0.15">
      <c r="A96" s="8" t="s">
        <v>641</v>
      </c>
      <c r="B96" s="62" t="str">
        <f>VLOOKUP(A96,'The List'!B1:D727,3,FALSE)</f>
        <v>LW</v>
      </c>
      <c r="C96" s="63">
        <f>IF(Settings!$E$15="POINTS",RANK(E96,E3:E130),H96)</f>
        <v>94</v>
      </c>
      <c r="D96" s="35" t="str">
        <f>VLOOKUP(A96,'The List'!B1:F727,5,FALSE)</f>
        <v>MTL</v>
      </c>
      <c r="E96" s="39">
        <f>VLOOKUP(A96,'The List'!B1:I727,8,FALSE)</f>
        <v>132.16627364361415</v>
      </c>
      <c r="F96" s="39">
        <f>IF(Settings!$E$15="POINTS",E96-VLOOKUP(B$2,C1:E130,3,FALSE),J96)</f>
        <v>-231.87433121403632</v>
      </c>
      <c r="G96" s="39"/>
      <c r="H96" s="138">
        <f>RANK(I96,I3:I130)</f>
        <v>111</v>
      </c>
      <c r="I96" s="139">
        <f>VLOOKUP(A96,'Standard Deviations'!A1:C728,3,FALSE)</f>
        <v>-4.2788178632140035</v>
      </c>
      <c r="J96" s="139">
        <f>I96-VLOOKUP(B$2,H1:J130,2,FALSE)</f>
        <v>-9.3969114208751314</v>
      </c>
    </row>
    <row r="97" spans="1:10" ht="21.25" customHeight="1" x14ac:dyDescent="0.15">
      <c r="A97" s="8" t="s">
        <v>661</v>
      </c>
      <c r="B97" s="62" t="str">
        <f>VLOOKUP(A97,'The List'!B1:D727,3,FALSE)</f>
        <v>LW</v>
      </c>
      <c r="C97" s="63">
        <f>IF(Settings!$E$15="POINTS",RANK(E97,E3:E130),H97)</f>
        <v>95</v>
      </c>
      <c r="D97" s="35" t="str">
        <f>VLOOKUP(A97,'The List'!B1:F727,5,FALSE)</f>
        <v>UFA</v>
      </c>
      <c r="E97" s="39">
        <f>VLOOKUP(A97,'The List'!B1:I727,8,FALSE)</f>
        <v>126.24939732949002</v>
      </c>
      <c r="F97" s="39">
        <f>IF(Settings!$E$15="POINTS",E97-VLOOKUP(B$2,C1:E130,3,FALSE),J97)</f>
        <v>-237.79120752816044</v>
      </c>
      <c r="G97" s="39"/>
      <c r="H97" s="138">
        <f>RANK(I97,I3:I130)</f>
        <v>93</v>
      </c>
      <c r="I97" s="139">
        <f>VLOOKUP(A97,'Standard Deviations'!A1:C728,3,FALSE)</f>
        <v>-2.9807296565128429</v>
      </c>
      <c r="J97" s="139">
        <f>I97-VLOOKUP(B$2,H1:J130,2,FALSE)</f>
        <v>-8.0988232141739704</v>
      </c>
    </row>
    <row r="98" spans="1:10" ht="21.25" customHeight="1" x14ac:dyDescent="0.15">
      <c r="A98" s="8" t="s">
        <v>674</v>
      </c>
      <c r="B98" s="62" t="str">
        <f>VLOOKUP(A98,'The List'!B1:D727,3,FALSE)</f>
        <v>LW</v>
      </c>
      <c r="C98" s="63">
        <f>IF(Settings!$E$15="POINTS",RANK(E98,E3:E130),H98)</f>
        <v>96</v>
      </c>
      <c r="D98" s="35" t="str">
        <f>VLOOKUP(A98,'The List'!B1:F727,5,FALSE)</f>
        <v>STL</v>
      </c>
      <c r="E98" s="39">
        <f>VLOOKUP(A98,'The List'!B1:I727,8,FALSE)</f>
        <v>123.68301324160143</v>
      </c>
      <c r="F98" s="39">
        <f>IF(Settings!$E$15="POINTS",E98-VLOOKUP(B$2,C1:E130,3,FALSE),J98)</f>
        <v>-240.35759161604904</v>
      </c>
      <c r="G98" s="39"/>
      <c r="H98" s="138">
        <f>RANK(I98,I3:I130)</f>
        <v>104</v>
      </c>
      <c r="I98" s="139">
        <f>VLOOKUP(A98,'Standard Deviations'!A1:C728,3,FALSE)</f>
        <v>-3.8761816016082538</v>
      </c>
      <c r="J98" s="139">
        <f>I98-VLOOKUP(B$2,H1:J130,2,FALSE)</f>
        <v>-8.9942751592693817</v>
      </c>
    </row>
    <row r="99" spans="1:10" ht="21.25" customHeight="1" x14ac:dyDescent="0.15">
      <c r="A99" s="8" t="s">
        <v>678</v>
      </c>
      <c r="B99" s="62" t="str">
        <f>VLOOKUP(A99,'The List'!B1:D727,3,FALSE)</f>
        <v>LW</v>
      </c>
      <c r="C99" s="63">
        <f>IF(Settings!$E$15="POINTS",RANK(E99,E3:E130),H99)</f>
        <v>97</v>
      </c>
      <c r="D99" s="35" t="str">
        <f>VLOOKUP(A99,'The List'!B1:F727,5,FALSE)</f>
        <v>BUF</v>
      </c>
      <c r="E99" s="39">
        <f>VLOOKUP(A99,'The List'!B1:I727,8,FALSE)</f>
        <v>122.05546986107606</v>
      </c>
      <c r="F99" s="39">
        <f>IF(Settings!$E$15="POINTS",E99-VLOOKUP(B$2,C1:E130,3,FALSE),J99)</f>
        <v>-241.9851349965744</v>
      </c>
      <c r="G99" s="39"/>
      <c r="H99" s="138">
        <f>RANK(I99,I3:I130)</f>
        <v>98</v>
      </c>
      <c r="I99" s="139">
        <f>VLOOKUP(A99,'Standard Deviations'!A1:C728,3,FALSE)</f>
        <v>-3.4607516593607706</v>
      </c>
      <c r="J99" s="139">
        <f>I99-VLOOKUP(B$2,H1:J130,2,FALSE)</f>
        <v>-8.5788452170218985</v>
      </c>
    </row>
    <row r="100" spans="1:10" ht="21.25" customHeight="1" x14ac:dyDescent="0.15">
      <c r="A100" s="8" t="s">
        <v>685</v>
      </c>
      <c r="B100" s="62" t="str">
        <f>VLOOKUP(A100,'The List'!B1:D727,3,FALSE)</f>
        <v>LW</v>
      </c>
      <c r="C100" s="63">
        <f>IF(Settings!$E$15="POINTS",RANK(E100,E3:E130),H100)</f>
        <v>99</v>
      </c>
      <c r="D100" s="35" t="str">
        <f>VLOOKUP(A100,'The List'!B1:F727,5,FALSE)</f>
        <v>UFA</v>
      </c>
      <c r="E100" s="39">
        <f>VLOOKUP(A100,'The List'!B1:I727,8,FALSE)</f>
        <v>120.0268379715418</v>
      </c>
      <c r="F100" s="39">
        <f>IF(Settings!$E$15="POINTS",E100-VLOOKUP(B$2,C1:E130,3,FALSE),J100)</f>
        <v>-244.01376688610867</v>
      </c>
      <c r="G100" s="39"/>
      <c r="H100" s="138">
        <f>RANK(I100,I3:I130)</f>
        <v>89</v>
      </c>
      <c r="I100" s="139">
        <f>VLOOKUP(A100,'Standard Deviations'!A1:C728,3,FALSE)</f>
        <v>-2.8563407082757339</v>
      </c>
      <c r="J100" s="139">
        <f>I100-VLOOKUP(B$2,H1:J130,2,FALSE)</f>
        <v>-7.9744342659368623</v>
      </c>
    </row>
    <row r="101" spans="1:10" ht="21.25" customHeight="1" x14ac:dyDescent="0.15">
      <c r="A101" s="8" t="s">
        <v>684</v>
      </c>
      <c r="B101" s="62" t="str">
        <f>VLOOKUP(A101,'The List'!B1:D727,3,FALSE)</f>
        <v>LW</v>
      </c>
      <c r="C101" s="63">
        <f>IF(Settings!$E$15="POINTS",RANK(E101,E3:E130),H101)</f>
        <v>98</v>
      </c>
      <c r="D101" s="35" t="str">
        <f>VLOOKUP(A101,'The List'!B1:F727,5,FALSE)</f>
        <v>STL</v>
      </c>
      <c r="E101" s="39">
        <f>VLOOKUP(A101,'The List'!B1:I727,8,FALSE)</f>
        <v>120.03758897608662</v>
      </c>
      <c r="F101" s="39">
        <f>IF(Settings!$E$15="POINTS",E101-VLOOKUP(B$2,C1:E130,3,FALSE),J101)</f>
        <v>-244.00301588156384</v>
      </c>
      <c r="G101" s="39"/>
      <c r="H101" s="138">
        <f>RANK(I101,I3:I130)</f>
        <v>114</v>
      </c>
      <c r="I101" s="139">
        <f>VLOOKUP(A101,'Standard Deviations'!A1:C728,3,FALSE)</f>
        <v>-4.4706491107836559</v>
      </c>
      <c r="J101" s="139">
        <f>I101-VLOOKUP(B$2,H1:J130,2,FALSE)</f>
        <v>-9.5887426684447838</v>
      </c>
    </row>
    <row r="102" spans="1:10" ht="21.25" customHeight="1" x14ac:dyDescent="0.15">
      <c r="A102" s="8" t="s">
        <v>686</v>
      </c>
      <c r="B102" s="62" t="str">
        <f>VLOOKUP(A102,'The List'!B1:D727,3,FALSE)</f>
        <v>LW</v>
      </c>
      <c r="C102" s="63">
        <f>IF(Settings!$E$15="POINTS",RANK(E102,E3:E130),H102)</f>
        <v>100</v>
      </c>
      <c r="D102" s="35" t="str">
        <f>VLOOKUP(A102,'The List'!B1:F727,5,FALSE)</f>
        <v>ANA</v>
      </c>
      <c r="E102" s="39">
        <f>VLOOKUP(A102,'The List'!B1:I727,8,FALSE)</f>
        <v>119.49733274317362</v>
      </c>
      <c r="F102" s="39">
        <f>IF(Settings!$E$15="POINTS",E102-VLOOKUP(B$2,C1:E130,3,FALSE),J102)</f>
        <v>-244.54327211447685</v>
      </c>
      <c r="G102" s="39"/>
      <c r="H102" s="138">
        <f>RANK(I102,I3:I130)</f>
        <v>122</v>
      </c>
      <c r="I102" s="139">
        <f>VLOOKUP(A102,'Standard Deviations'!A1:C728,3,FALSE)</f>
        <v>-4.9508319733734716</v>
      </c>
      <c r="J102" s="139">
        <f>I102-VLOOKUP(B$2,H1:J130,2,FALSE)</f>
        <v>-10.0689255310346</v>
      </c>
    </row>
    <row r="103" spans="1:10" ht="21.25" customHeight="1" x14ac:dyDescent="0.15">
      <c r="A103" s="8" t="s">
        <v>696</v>
      </c>
      <c r="B103" s="62" t="str">
        <f>VLOOKUP(A103,'The List'!B1:D727,3,FALSE)</f>
        <v>LW</v>
      </c>
      <c r="C103" s="63">
        <f>IF(Settings!$E$15="POINTS",RANK(E103,E3:E130),H103)</f>
        <v>102</v>
      </c>
      <c r="D103" s="35" t="str">
        <f>VLOOKUP(A103,'The List'!B1:F727,5,FALSE)</f>
        <v>FLA</v>
      </c>
      <c r="E103" s="39">
        <f>VLOOKUP(A103,'The List'!B1:I727,8,FALSE)</f>
        <v>115.76546410390661</v>
      </c>
      <c r="F103" s="39">
        <f>IF(Settings!$E$15="POINTS",E103-VLOOKUP(B$2,C1:E130,3,FALSE),J103)</f>
        <v>-248.27514075374387</v>
      </c>
      <c r="G103" s="39"/>
      <c r="H103" s="138">
        <f>RANK(I103,I3:I130)</f>
        <v>91</v>
      </c>
      <c r="I103" s="139">
        <f>VLOOKUP(A103,'Standard Deviations'!A1:C728,3,FALSE)</f>
        <v>-2.9190266702151355</v>
      </c>
      <c r="J103" s="139">
        <f>I103-VLOOKUP(B$2,H1:J130,2,FALSE)</f>
        <v>-8.0371202278762635</v>
      </c>
    </row>
    <row r="104" spans="1:10" ht="21.25" customHeight="1" x14ac:dyDescent="0.15">
      <c r="A104" s="8" t="s">
        <v>695</v>
      </c>
      <c r="B104" s="62" t="str">
        <f>VLOOKUP(A104,'The List'!B1:D727,3,FALSE)</f>
        <v>LW</v>
      </c>
      <c r="C104" s="63">
        <f>IF(Settings!$E$15="POINTS",RANK(E104,E3:E130),H104)</f>
        <v>101</v>
      </c>
      <c r="D104" s="35" t="str">
        <f>VLOOKUP(A104,'The List'!B1:F727,5,FALSE)</f>
        <v>NYR</v>
      </c>
      <c r="E104" s="39">
        <f>VLOOKUP(A104,'The List'!B1:I727,8,FALSE)</f>
        <v>116.25733603690544</v>
      </c>
      <c r="F104" s="39">
        <f>IF(Settings!$E$15="POINTS",E104-VLOOKUP(B$2,C1:E130,3,FALSE),J104)</f>
        <v>-247.78326882074504</v>
      </c>
      <c r="G104" s="39"/>
      <c r="H104" s="138">
        <f>RANK(I104,I3:I130)</f>
        <v>85</v>
      </c>
      <c r="I104" s="139">
        <f>VLOOKUP(A104,'Standard Deviations'!A1:C728,3,FALSE)</f>
        <v>-2.4007001170436215</v>
      </c>
      <c r="J104" s="139">
        <f>I104-VLOOKUP(B$2,H1:J130,2,FALSE)</f>
        <v>-7.5187936747047495</v>
      </c>
    </row>
    <row r="105" spans="1:10" ht="21.25" customHeight="1" x14ac:dyDescent="0.15">
      <c r="A105" s="8" t="s">
        <v>698</v>
      </c>
      <c r="B105" s="62" t="str">
        <f>VLOOKUP(A105,'The List'!B1:D727,3,FALSE)</f>
        <v>LW</v>
      </c>
      <c r="C105" s="63">
        <f>IF(Settings!$E$15="POINTS",RANK(E105,E3:E130),H105)</f>
        <v>103</v>
      </c>
      <c r="D105" s="35" t="str">
        <f>VLOOKUP(A105,'The List'!B1:F727,5,FALSE)</f>
        <v>PIT</v>
      </c>
      <c r="E105" s="39">
        <f>VLOOKUP(A105,'The List'!B1:I727,8,FALSE)</f>
        <v>113.37463449292987</v>
      </c>
      <c r="F105" s="39">
        <f>IF(Settings!$E$15="POINTS",E105-VLOOKUP(B$2,C1:E130,3,FALSE),J105)</f>
        <v>-250.66597036472058</v>
      </c>
      <c r="G105" s="39"/>
      <c r="H105" s="138">
        <f>RANK(I105,I3:I130)</f>
        <v>96</v>
      </c>
      <c r="I105" s="139">
        <f>VLOOKUP(A105,'Standard Deviations'!A1:C728,3,FALSE)</f>
        <v>-3.1608158210472976</v>
      </c>
      <c r="J105" s="139">
        <f>I105-VLOOKUP(B$2,H1:J130,2,FALSE)</f>
        <v>-8.2789093787084251</v>
      </c>
    </row>
    <row r="106" spans="1:10" ht="21.25" customHeight="1" x14ac:dyDescent="0.15">
      <c r="A106" s="8" t="s">
        <v>703</v>
      </c>
      <c r="B106" s="62" t="str">
        <f>VLOOKUP(A106,'The List'!B1:D727,3,FALSE)</f>
        <v>LW</v>
      </c>
      <c r="C106" s="63">
        <f>IF(Settings!$E$15="POINTS",RANK(E106,E3:E130),H106)</f>
        <v>104</v>
      </c>
      <c r="D106" s="35" t="str">
        <f>VLOOKUP(A106,'The List'!B1:F727,5,FALSE)</f>
        <v>SJS</v>
      </c>
      <c r="E106" s="39">
        <f>VLOOKUP(A106,'The List'!B1:I727,8,FALSE)</f>
        <v>112.00037274603974</v>
      </c>
      <c r="F106" s="39">
        <f>IF(Settings!$E$15="POINTS",E106-VLOOKUP(B$2,C1:E130,3,FALSE),J106)</f>
        <v>-252.04023211161072</v>
      </c>
      <c r="G106" s="39"/>
      <c r="H106" s="138">
        <f>RANK(I106,I3:I130)</f>
        <v>101</v>
      </c>
      <c r="I106" s="139">
        <f>VLOOKUP(A106,'Standard Deviations'!A1:C728,3,FALSE)</f>
        <v>-3.7085094473295781</v>
      </c>
      <c r="J106" s="139">
        <f>I106-VLOOKUP(B$2,H1:J130,2,FALSE)</f>
        <v>-8.8266030049907052</v>
      </c>
    </row>
    <row r="107" spans="1:10" ht="21.25" customHeight="1" x14ac:dyDescent="0.15">
      <c r="A107" s="8" t="s">
        <v>705</v>
      </c>
      <c r="B107" s="62" t="str">
        <f>VLOOKUP(A107,'The List'!B1:D727,3,FALSE)</f>
        <v>LW</v>
      </c>
      <c r="C107" s="63">
        <f>IF(Settings!$E$15="POINTS",RANK(E107,E3:E130),H107)</f>
        <v>105</v>
      </c>
      <c r="D107" s="35" t="str">
        <f>VLOOKUP(A107,'The List'!B1:F727,5,FALSE)</f>
        <v>ARI</v>
      </c>
      <c r="E107" s="39">
        <f>VLOOKUP(A107,'The List'!B1:I727,8,FALSE)</f>
        <v>111.34299494393336</v>
      </c>
      <c r="F107" s="39">
        <f>IF(Settings!$E$15="POINTS",E107-VLOOKUP(B$2,C1:E130,3,FALSE),J107)</f>
        <v>-252.69760991371709</v>
      </c>
      <c r="G107" s="39"/>
      <c r="H107" s="138">
        <f>RANK(I107,I3:I130)</f>
        <v>95</v>
      </c>
      <c r="I107" s="139">
        <f>VLOOKUP(A107,'Standard Deviations'!A1:C728,3,FALSE)</f>
        <v>-3.1151372104672208</v>
      </c>
      <c r="J107" s="139">
        <f>I107-VLOOKUP(B$2,H1:J130,2,FALSE)</f>
        <v>-8.2332307681283492</v>
      </c>
    </row>
    <row r="108" spans="1:10" ht="21.25" customHeight="1" x14ac:dyDescent="0.15">
      <c r="A108" s="8" t="s">
        <v>713</v>
      </c>
      <c r="B108" s="62" t="str">
        <f>VLOOKUP(A108,'The List'!B1:D727,3,FALSE)</f>
        <v>LW</v>
      </c>
      <c r="C108" s="63">
        <f>IF(Settings!$E$15="POINTS",RANK(E108,E3:E130),H108)</f>
        <v>108</v>
      </c>
      <c r="D108" s="35" t="str">
        <f>VLOOKUP(A108,'The List'!B1:F727,5,FALSE)</f>
        <v>ARI</v>
      </c>
      <c r="E108" s="39">
        <f>VLOOKUP(A108,'The List'!B1:I727,8,FALSE)</f>
        <v>108.46676583441689</v>
      </c>
      <c r="F108" s="39">
        <f>IF(Settings!$E$15="POINTS",E108-VLOOKUP(B$2,C1:E130,3,FALSE),J108)</f>
        <v>-255.57383902323357</v>
      </c>
      <c r="G108" s="39"/>
      <c r="H108" s="138">
        <f>RANK(I108,I3:I130)</f>
        <v>109</v>
      </c>
      <c r="I108" s="139">
        <f>VLOOKUP(A108,'Standard Deviations'!A1:C728,3,FALSE)</f>
        <v>-4.2124463924906816</v>
      </c>
      <c r="J108" s="139">
        <f>I108-VLOOKUP(B$2,H1:J130,2,FALSE)</f>
        <v>-9.3305399501518096</v>
      </c>
    </row>
    <row r="109" spans="1:10" ht="21.25" customHeight="1" x14ac:dyDescent="0.15">
      <c r="A109" s="8" t="s">
        <v>706</v>
      </c>
      <c r="B109" s="62" t="str">
        <f>VLOOKUP(A109,'The List'!B1:D727,3,FALSE)</f>
        <v>LW</v>
      </c>
      <c r="C109" s="63">
        <f>IF(Settings!$E$15="POINTS",RANK(E109,E3:E130),H109)</f>
        <v>106</v>
      </c>
      <c r="D109" s="35" t="str">
        <f>VLOOKUP(A109,'The List'!B1:F727,5,FALSE)</f>
        <v>CHI</v>
      </c>
      <c r="E109" s="39">
        <f>VLOOKUP(A109,'The List'!B1:I727,8,FALSE)</f>
        <v>110.45577645334315</v>
      </c>
      <c r="F109" s="39">
        <f>IF(Settings!$E$15="POINTS",E109-VLOOKUP(B$2,C1:E130,3,FALSE),J109)</f>
        <v>-253.5848284043073</v>
      </c>
      <c r="G109" s="39"/>
      <c r="H109" s="138">
        <f>RANK(I109,I3:I130)</f>
        <v>119</v>
      </c>
      <c r="I109" s="139">
        <f>VLOOKUP(A109,'Standard Deviations'!A1:C728,3,FALSE)</f>
        <v>-4.7958781620452093</v>
      </c>
      <c r="J109" s="139">
        <f>I109-VLOOKUP(B$2,H1:J130,2,FALSE)</f>
        <v>-9.9139717197063373</v>
      </c>
    </row>
    <row r="110" spans="1:10" ht="21.25" customHeight="1" x14ac:dyDescent="0.15">
      <c r="A110" s="8" t="s">
        <v>711</v>
      </c>
      <c r="B110" s="62" t="str">
        <f>VLOOKUP(A110,'The List'!B1:D727,3,FALSE)</f>
        <v>LW</v>
      </c>
      <c r="C110" s="63">
        <f>IF(Settings!$E$15="POINTS",RANK(E110,E3:E130),H110)</f>
        <v>107</v>
      </c>
      <c r="D110" s="35" t="str">
        <f>VLOOKUP(A110,'The List'!B1:F727,5,FALSE)</f>
        <v>BUF</v>
      </c>
      <c r="E110" s="39">
        <f>VLOOKUP(A110,'The List'!B1:I727,8,FALSE)</f>
        <v>108.73431040157526</v>
      </c>
      <c r="F110" s="39">
        <f>IF(Settings!$E$15="POINTS",E110-VLOOKUP(B$2,C1:E130,3,FALSE),J110)</f>
        <v>-255.30629445607519</v>
      </c>
      <c r="G110" s="39"/>
      <c r="H110" s="138">
        <f>RANK(I110,I3:I130)</f>
        <v>103</v>
      </c>
      <c r="I110" s="139">
        <f>VLOOKUP(A110,'Standard Deviations'!A1:C728,3,FALSE)</f>
        <v>-3.8453806222063456</v>
      </c>
      <c r="J110" s="139">
        <f>I110-VLOOKUP(B$2,H1:J130,2,FALSE)</f>
        <v>-8.9634741798674735</v>
      </c>
    </row>
    <row r="111" spans="1:10" ht="21.25" customHeight="1" x14ac:dyDescent="0.15">
      <c r="A111" s="8" t="s">
        <v>716</v>
      </c>
      <c r="B111" s="62" t="str">
        <f>VLOOKUP(A111,'The List'!B1:D727,3,FALSE)</f>
        <v>LW</v>
      </c>
      <c r="C111" s="63">
        <f>IF(Settings!$E$15="POINTS",RANK(E111,E3:E130),H111)</f>
        <v>109</v>
      </c>
      <c r="D111" s="35" t="str">
        <f>VLOOKUP(A111,'The List'!B1:F727,5,FALSE)</f>
        <v>ANA</v>
      </c>
      <c r="E111" s="39">
        <f>VLOOKUP(A111,'The List'!B1:I727,8,FALSE)</f>
        <v>107.24605458513849</v>
      </c>
      <c r="F111" s="39">
        <f>IF(Settings!$E$15="POINTS",E111-VLOOKUP(B$2,C1:E130,3,FALSE),J111)</f>
        <v>-256.79455027251197</v>
      </c>
      <c r="G111" s="39"/>
      <c r="H111" s="138">
        <f>RANK(I111,I3:I130)</f>
        <v>126</v>
      </c>
      <c r="I111" s="139">
        <f>VLOOKUP(A111,'Standard Deviations'!A1:C728,3,FALSE)</f>
        <v>-5.8164850045080181</v>
      </c>
      <c r="J111" s="139">
        <f>I111-VLOOKUP(B$2,H1:J130,2,FALSE)</f>
        <v>-10.934578562169147</v>
      </c>
    </row>
    <row r="112" spans="1:10" ht="21.25" customHeight="1" x14ac:dyDescent="0.15">
      <c r="A112" s="8" t="s">
        <v>720</v>
      </c>
      <c r="B112" s="62" t="str">
        <f>VLOOKUP(A112,'The List'!B1:D727,3,FALSE)</f>
        <v>LW</v>
      </c>
      <c r="C112" s="63">
        <f>IF(Settings!$E$15="POINTS",RANK(E112,E3:E130),H112)</f>
        <v>110</v>
      </c>
      <c r="D112" s="35" t="str">
        <f>VLOOKUP(A112,'The List'!B1:F727,5,FALSE)</f>
        <v>TOR</v>
      </c>
      <c r="E112" s="39">
        <f>VLOOKUP(A112,'The List'!B1:I727,8,FALSE)</f>
        <v>103.88117076784565</v>
      </c>
      <c r="F112" s="39">
        <f>IF(Settings!$E$15="POINTS",E112-VLOOKUP(B$2,C1:E130,3,FALSE),J112)</f>
        <v>-260.15943408980479</v>
      </c>
      <c r="G112" s="39"/>
      <c r="H112" s="138">
        <f>RANK(I112,I3:I130)</f>
        <v>97</v>
      </c>
      <c r="I112" s="139">
        <f>VLOOKUP(A112,'Standard Deviations'!A1:C728,3,FALSE)</f>
        <v>-3.2688473114746786</v>
      </c>
      <c r="J112" s="139">
        <f>I112-VLOOKUP(B$2,H1:J130,2,FALSE)</f>
        <v>-8.3869408691358061</v>
      </c>
    </row>
    <row r="113" spans="1:10" ht="21.25" customHeight="1" x14ac:dyDescent="0.15">
      <c r="A113" s="8" t="s">
        <v>723</v>
      </c>
      <c r="B113" s="62" t="str">
        <f>VLOOKUP(A113,'The List'!B1:D727,3,FALSE)</f>
        <v>LW</v>
      </c>
      <c r="C113" s="63">
        <f>IF(Settings!$E$15="POINTS",RANK(E113,E3:E130),H113)</f>
        <v>112</v>
      </c>
      <c r="D113" s="35" t="str">
        <f>VLOOKUP(A113,'The List'!B1:F727,5,FALSE)</f>
        <v>VAN</v>
      </c>
      <c r="E113" s="39">
        <f>VLOOKUP(A113,'The List'!B1:I727,8,FALSE)</f>
        <v>102.31343808708611</v>
      </c>
      <c r="F113" s="39">
        <f>IF(Settings!$E$15="POINTS",E113-VLOOKUP(B$2,C1:E130,3,FALSE),J113)</f>
        <v>-261.72716677056434</v>
      </c>
      <c r="G113" s="39"/>
      <c r="H113" s="138">
        <f>RANK(I113,I3:I130)</f>
        <v>107</v>
      </c>
      <c r="I113" s="139">
        <f>VLOOKUP(A113,'Standard Deviations'!A1:C728,3,FALSE)</f>
        <v>-4.0762759713815839</v>
      </c>
      <c r="J113" s="139">
        <f>I113-VLOOKUP(B$2,H1:J130,2,FALSE)</f>
        <v>-9.1943695290427119</v>
      </c>
    </row>
    <row r="114" spans="1:10" ht="21.25" customHeight="1" x14ac:dyDescent="0.15">
      <c r="A114" s="8" t="s">
        <v>722</v>
      </c>
      <c r="B114" s="62" t="str">
        <f>VLOOKUP(A114,'The List'!B1:D727,3,FALSE)</f>
        <v>LW</v>
      </c>
      <c r="C114" s="63">
        <f>IF(Settings!$E$15="POINTS",RANK(E114,E3:E130),H114)</f>
        <v>111</v>
      </c>
      <c r="D114" s="35" t="str">
        <f>VLOOKUP(A114,'The List'!B1:F727,5,FALSE)</f>
        <v>CHI</v>
      </c>
      <c r="E114" s="39">
        <f>VLOOKUP(A114,'The List'!B1:I727,8,FALSE)</f>
        <v>103.44661867395064</v>
      </c>
      <c r="F114" s="39">
        <f>IF(Settings!$E$15="POINTS",E114-VLOOKUP(B$2,C1:E130,3,FALSE),J114)</f>
        <v>-260.59398618369983</v>
      </c>
      <c r="G114" s="39"/>
      <c r="H114" s="138">
        <f>RANK(I114,I3:I130)</f>
        <v>125</v>
      </c>
      <c r="I114" s="139">
        <f>VLOOKUP(A114,'Standard Deviations'!A1:C728,3,FALSE)</f>
        <v>-5.5912471136089241</v>
      </c>
      <c r="J114" s="139">
        <f>I114-VLOOKUP(B$2,H1:J130,2,FALSE)</f>
        <v>-10.709340671270052</v>
      </c>
    </row>
    <row r="115" spans="1:10" ht="21.25" customHeight="1" x14ac:dyDescent="0.15">
      <c r="A115" s="8" t="s">
        <v>734</v>
      </c>
      <c r="B115" s="62" t="str">
        <f>VLOOKUP(A115,'The List'!B1:D727,3,FALSE)</f>
        <v>LW</v>
      </c>
      <c r="C115" s="63">
        <f>IF(Settings!$E$15="POINTS",RANK(E115,E3:E130),H115)</f>
        <v>113</v>
      </c>
      <c r="D115" s="35" t="str">
        <f>VLOOKUP(A115,'The List'!B1:F727,5,FALSE)</f>
        <v>BOS</v>
      </c>
      <c r="E115" s="39">
        <f>VLOOKUP(A115,'The List'!B1:I727,8,FALSE)</f>
        <v>98.010873527663634</v>
      </c>
      <c r="F115" s="39">
        <f>IF(Settings!$E$15="POINTS",E115-VLOOKUP(B$2,C1:E130,3,FALSE),J115)</f>
        <v>-266.02973132998682</v>
      </c>
      <c r="G115" s="39"/>
      <c r="H115" s="138">
        <f>RANK(I115,I3:I130)</f>
        <v>105</v>
      </c>
      <c r="I115" s="139">
        <f>VLOOKUP(A115,'Standard Deviations'!A1:C728,3,FALSE)</f>
        <v>-4.0537904424896425</v>
      </c>
      <c r="J115" s="139">
        <f>I115-VLOOKUP(B$2,H1:J130,2,FALSE)</f>
        <v>-9.1718840001507704</v>
      </c>
    </row>
    <row r="116" spans="1:10" ht="21.25" customHeight="1" x14ac:dyDescent="0.15">
      <c r="A116" s="8" t="s">
        <v>735</v>
      </c>
      <c r="B116" s="62" t="str">
        <f>VLOOKUP(A116,'The List'!B1:D727,3,FALSE)</f>
        <v>LW</v>
      </c>
      <c r="C116" s="63">
        <f>IF(Settings!$E$15="POINTS",RANK(E116,E3:E130),H116)</f>
        <v>114</v>
      </c>
      <c r="D116" s="35" t="str">
        <f>VLOOKUP(A116,'The List'!B1:F727,5,FALSE)</f>
        <v>NJD</v>
      </c>
      <c r="E116" s="39">
        <f>VLOOKUP(A116,'The List'!B1:I727,8,FALSE)</f>
        <v>97.838981692670572</v>
      </c>
      <c r="F116" s="39">
        <f>IF(Settings!$E$15="POINTS",E116-VLOOKUP(B$2,C1:E130,3,FALSE),J116)</f>
        <v>-266.20162316497988</v>
      </c>
      <c r="G116" s="39"/>
      <c r="H116" s="138">
        <f>RANK(I116,I3:I130)</f>
        <v>106</v>
      </c>
      <c r="I116" s="139">
        <f>VLOOKUP(A116,'Standard Deviations'!A1:C728,3,FALSE)</f>
        <v>-4.0610007275177304</v>
      </c>
      <c r="J116" s="139">
        <f>I116-VLOOKUP(B$2,H1:J130,2,FALSE)</f>
        <v>-9.1790942851788593</v>
      </c>
    </row>
    <row r="117" spans="1:10" ht="21.25" customHeight="1" x14ac:dyDescent="0.15">
      <c r="A117" s="8" t="s">
        <v>749</v>
      </c>
      <c r="B117" s="62" t="str">
        <f>VLOOKUP(A117,'The List'!B1:D727,3,FALSE)</f>
        <v>LW</v>
      </c>
      <c r="C117" s="63">
        <f>IF(Settings!$E$15="POINTS",RANK(E117,E3:E130),H117)</f>
        <v>115</v>
      </c>
      <c r="D117" s="35" t="str">
        <f>VLOOKUP(A117,'The List'!B1:F727,5,FALSE)</f>
        <v>NSH</v>
      </c>
      <c r="E117" s="39">
        <f>VLOOKUP(A117,'The List'!B1:I727,8,FALSE)</f>
        <v>90.199076178565377</v>
      </c>
      <c r="F117" s="39">
        <f>IF(Settings!$E$15="POINTS",E117-VLOOKUP(B$2,C1:E130,3,FALSE),J117)</f>
        <v>-273.84152867908506</v>
      </c>
      <c r="G117" s="39"/>
      <c r="H117" s="138">
        <f>RANK(I117,I3:I130)</f>
        <v>121</v>
      </c>
      <c r="I117" s="139">
        <f>VLOOKUP(A117,'Standard Deviations'!A1:C728,3,FALSE)</f>
        <v>-4.9301912958619196</v>
      </c>
      <c r="J117" s="139">
        <f>I117-VLOOKUP(B$2,H1:J130,2,FALSE)</f>
        <v>-10.048284853523047</v>
      </c>
    </row>
    <row r="118" spans="1:10" ht="21.25" customHeight="1" x14ac:dyDescent="0.15">
      <c r="A118" s="8" t="s">
        <v>757</v>
      </c>
      <c r="B118" s="62" t="str">
        <f>VLOOKUP(A118,'The List'!B1:D727,3,FALSE)</f>
        <v>LW</v>
      </c>
      <c r="C118" s="63">
        <f>IF(Settings!$E$15="POINTS",RANK(E118,E3:E130),H118)</f>
        <v>116</v>
      </c>
      <c r="D118" s="35" t="str">
        <f>VLOOKUP(A118,'The List'!B1:F727,5,FALSE)</f>
        <v>NYI</v>
      </c>
      <c r="E118" s="39">
        <f>VLOOKUP(A118,'The List'!B1:I727,8,FALSE)</f>
        <v>84.792799291421261</v>
      </c>
      <c r="F118" s="39">
        <f>IF(Settings!$E$15="POINTS",E118-VLOOKUP(B$2,C1:E130,3,FALSE),J118)</f>
        <v>-279.2478055662292</v>
      </c>
      <c r="G118" s="39"/>
      <c r="H118" s="138">
        <f>RANK(I118,I3:I130)</f>
        <v>115</v>
      </c>
      <c r="I118" s="139">
        <f>VLOOKUP(A118,'Standard Deviations'!A1:C728,3,FALSE)</f>
        <v>-4.4863619056230997</v>
      </c>
      <c r="J118" s="139">
        <f>I118-VLOOKUP(B$2,H1:J130,2,FALSE)</f>
        <v>-9.6044554632842285</v>
      </c>
    </row>
    <row r="119" spans="1:10" ht="21.25" customHeight="1" x14ac:dyDescent="0.15">
      <c r="A119" s="8" t="s">
        <v>760</v>
      </c>
      <c r="B119" s="62" t="str">
        <f>VLOOKUP(A119,'The List'!B1:D727,3,FALSE)</f>
        <v>LW</v>
      </c>
      <c r="C119" s="63">
        <f>IF(Settings!$E$15="POINTS",RANK(E119,E3:E130),H119)</f>
        <v>117</v>
      </c>
      <c r="D119" s="35" t="str">
        <f>VLOOKUP(A119,'The List'!B1:F727,5,FALSE)</f>
        <v>BOS</v>
      </c>
      <c r="E119" s="39">
        <f>VLOOKUP(A119,'The List'!B1:I727,8,FALSE)</f>
        <v>83.87677584728722</v>
      </c>
      <c r="F119" s="39">
        <f>IF(Settings!$E$15="POINTS",E119-VLOOKUP(B$2,C1:E130,3,FALSE),J119)</f>
        <v>-280.16382901036326</v>
      </c>
      <c r="G119" s="39"/>
      <c r="H119" s="138">
        <f>RANK(I119,I3:I130)</f>
        <v>102</v>
      </c>
      <c r="I119" s="139">
        <f>VLOOKUP(A119,'Standard Deviations'!A1:C728,3,FALSE)</f>
        <v>-3.7677796615682064</v>
      </c>
      <c r="J119" s="139">
        <f>I119-VLOOKUP(B$2,H1:J130,2,FALSE)</f>
        <v>-8.8858732192293353</v>
      </c>
    </row>
    <row r="120" spans="1:10" ht="21.25" customHeight="1" x14ac:dyDescent="0.15">
      <c r="A120" s="8" t="s">
        <v>765</v>
      </c>
      <c r="B120" s="62" t="str">
        <f>VLOOKUP(A120,'The List'!B1:D727,3,FALSE)</f>
        <v>LW</v>
      </c>
      <c r="C120" s="63">
        <f>IF(Settings!$E$15="POINTS",RANK(E120,E3:E130),H120)</f>
        <v>118</v>
      </c>
      <c r="D120" s="35" t="str">
        <f>VLOOKUP(A120,'The List'!B1:F727,5,FALSE)</f>
        <v>PIT</v>
      </c>
      <c r="E120" s="39">
        <f>VLOOKUP(A120,'The List'!B1:I727,8,FALSE)</f>
        <v>83.138940534336456</v>
      </c>
      <c r="F120" s="39">
        <f>IF(Settings!$E$15="POINTS",E120-VLOOKUP(B$2,C1:E130,3,FALSE),J120)</f>
        <v>-280.90166432331398</v>
      </c>
      <c r="G120" s="39"/>
      <c r="H120" s="138">
        <f>RANK(I120,I3:I130)</f>
        <v>112</v>
      </c>
      <c r="I120" s="139">
        <f>VLOOKUP(A120,'Standard Deviations'!A1:C728,3,FALSE)</f>
        <v>-4.3625620428970278</v>
      </c>
      <c r="J120" s="139">
        <f>I120-VLOOKUP(B$2,H1:J130,2,FALSE)</f>
        <v>-9.4806556005581548</v>
      </c>
    </row>
    <row r="121" spans="1:10" ht="21.25" customHeight="1" x14ac:dyDescent="0.15">
      <c r="A121" s="8" t="s">
        <v>768</v>
      </c>
      <c r="B121" s="62" t="str">
        <f>VLOOKUP(A121,'The List'!B1:D727,3,FALSE)</f>
        <v>LW</v>
      </c>
      <c r="C121" s="63">
        <f>IF(Settings!$E$15="POINTS",RANK(E121,E3:E130),H121)</f>
        <v>119</v>
      </c>
      <c r="D121" s="35" t="str">
        <f>VLOOKUP(A121,'The List'!B1:F727,5,FALSE)</f>
        <v>EDM</v>
      </c>
      <c r="E121" s="39">
        <f>VLOOKUP(A121,'The List'!B1:I727,8,FALSE)</f>
        <v>82.393360700858906</v>
      </c>
      <c r="F121" s="39">
        <f>IF(Settings!$E$15="POINTS",E121-VLOOKUP(B$2,C1:E130,3,FALSE),J121)</f>
        <v>-281.64724415679154</v>
      </c>
      <c r="G121" s="39"/>
      <c r="H121" s="138">
        <f>RANK(I121,I3:I130)</f>
        <v>99</v>
      </c>
      <c r="I121" s="139">
        <f>VLOOKUP(A121,'Standard Deviations'!A1:C728,3,FALSE)</f>
        <v>-3.5395694599838787</v>
      </c>
      <c r="J121" s="139">
        <f>I121-VLOOKUP(B$2,H1:J130,2,FALSE)</f>
        <v>-8.6576630176450067</v>
      </c>
    </row>
    <row r="122" spans="1:10" ht="21.25" customHeight="1" x14ac:dyDescent="0.15">
      <c r="A122" s="8" t="s">
        <v>771</v>
      </c>
      <c r="B122" s="62" t="str">
        <f>VLOOKUP(A122,'The List'!B1:D727,3,FALSE)</f>
        <v>LW</v>
      </c>
      <c r="C122" s="63">
        <f>IF(Settings!$E$15="POINTS",RANK(E122,E3:E130),H122)</f>
        <v>121</v>
      </c>
      <c r="D122" s="35" t="str">
        <f>VLOOKUP(A122,'The List'!B1:F727,5,FALSE)</f>
        <v>MIN</v>
      </c>
      <c r="E122" s="39">
        <f>VLOOKUP(A122,'The List'!B1:I727,8,FALSE)</f>
        <v>81.76548572289056</v>
      </c>
      <c r="F122" s="39">
        <f>IF(Settings!$E$15="POINTS",E122-VLOOKUP(B$2,C1:E130,3,FALSE),J122)</f>
        <v>-282.2751191347599</v>
      </c>
      <c r="G122" s="39"/>
      <c r="H122" s="138">
        <f>RANK(I122,I3:I130)</f>
        <v>113</v>
      </c>
      <c r="I122" s="139">
        <f>VLOOKUP(A122,'Standard Deviations'!A1:C728,3,FALSE)</f>
        <v>-4.4210069659326967</v>
      </c>
      <c r="J122" s="139">
        <f>I122-VLOOKUP(B$2,H1:J130,2,FALSE)</f>
        <v>-9.5391005235938238</v>
      </c>
    </row>
    <row r="123" spans="1:10" ht="21.25" customHeight="1" x14ac:dyDescent="0.15">
      <c r="A123" s="8" t="s">
        <v>770</v>
      </c>
      <c r="B123" s="62" t="str">
        <f>VLOOKUP(A123,'The List'!B1:D727,3,FALSE)</f>
        <v>LW</v>
      </c>
      <c r="C123" s="63">
        <f>IF(Settings!$E$15="POINTS",RANK(E123,E3:E130),H123)</f>
        <v>120</v>
      </c>
      <c r="D123" s="35" t="str">
        <f>VLOOKUP(A123,'The List'!B1:F727,5,FALSE)</f>
        <v>OTT</v>
      </c>
      <c r="E123" s="39">
        <f>VLOOKUP(A123,'The List'!B1:I727,8,FALSE)</f>
        <v>81.976112132301907</v>
      </c>
      <c r="F123" s="39">
        <f>IF(Settings!$E$15="POINTS",E123-VLOOKUP(B$2,C1:E130,3,FALSE),J123)</f>
        <v>-282.06449272534854</v>
      </c>
      <c r="G123" s="39"/>
      <c r="H123" s="138">
        <f>RANK(I123,I3:I130)</f>
        <v>116</v>
      </c>
      <c r="I123" s="139">
        <f>VLOOKUP(A123,'Standard Deviations'!A1:C728,3,FALSE)</f>
        <v>-4.4952756909062126</v>
      </c>
      <c r="J123" s="139">
        <f>I123-VLOOKUP(B$2,H1:J130,2,FALSE)</f>
        <v>-9.6133692485673414</v>
      </c>
    </row>
    <row r="124" spans="1:10" ht="21.25" customHeight="1" x14ac:dyDescent="0.15">
      <c r="A124" s="8" t="s">
        <v>778</v>
      </c>
      <c r="B124" s="62" t="str">
        <f>VLOOKUP(A124,'The List'!B1:D727,3,FALSE)</f>
        <v>LW</v>
      </c>
      <c r="C124" s="63">
        <f>IF(Settings!$E$15="POINTS",RANK(E124,E3:E130),H124)</f>
        <v>122</v>
      </c>
      <c r="D124" s="35" t="str">
        <f>VLOOKUP(A124,'The List'!B1:F727,5,FALSE)</f>
        <v>PHI</v>
      </c>
      <c r="E124" s="39">
        <f>VLOOKUP(A124,'The List'!B1:I727,8,FALSE)</f>
        <v>76.59540055135939</v>
      </c>
      <c r="F124" s="39">
        <f>IF(Settings!$E$15="POINTS",E124-VLOOKUP(B$2,C1:E130,3,FALSE),J124)</f>
        <v>-287.44520430629109</v>
      </c>
      <c r="G124" s="39"/>
      <c r="H124" s="138">
        <f>RANK(I124,I3:I130)</f>
        <v>128</v>
      </c>
      <c r="I124" s="139">
        <f>VLOOKUP(A124,'Standard Deviations'!A1:C728,3,FALSE)</f>
        <v>-6.3201942266065778</v>
      </c>
      <c r="J124" s="139">
        <f>I124-VLOOKUP(B$2,H1:J130,2,FALSE)</f>
        <v>-11.438287784267706</v>
      </c>
    </row>
    <row r="125" spans="1:10" ht="21.25" customHeight="1" x14ac:dyDescent="0.15">
      <c r="A125" s="8" t="s">
        <v>780</v>
      </c>
      <c r="B125" s="62" t="str">
        <f>VLOOKUP(A125,'The List'!B1:D727,3,FALSE)</f>
        <v>LW</v>
      </c>
      <c r="C125" s="63">
        <f>IF(Settings!$E$15="POINTS",RANK(E125,E3:E130),H125)</f>
        <v>123</v>
      </c>
      <c r="D125" s="35" t="str">
        <f>VLOOKUP(A125,'The List'!B1:F727,5,FALSE)</f>
        <v>STL</v>
      </c>
      <c r="E125" s="39">
        <f>VLOOKUP(A125,'The List'!B1:I727,8,FALSE)</f>
        <v>75.813651501836176</v>
      </c>
      <c r="F125" s="39">
        <f>IF(Settings!$E$15="POINTS",E125-VLOOKUP(B$2,C1:E130,3,FALSE),J125)</f>
        <v>-288.22695335581432</v>
      </c>
      <c r="G125" s="39"/>
      <c r="H125" s="138">
        <f>RANK(I125,I3:I130)</f>
        <v>124</v>
      </c>
      <c r="I125" s="139">
        <f>VLOOKUP(A125,'Standard Deviations'!A1:C728,3,FALSE)</f>
        <v>-5.2838714573336372</v>
      </c>
      <c r="J125" s="139">
        <f>I125-VLOOKUP(B$2,H1:J130,2,FALSE)</f>
        <v>-10.401965014994765</v>
      </c>
    </row>
    <row r="126" spans="1:10" ht="21.25" customHeight="1" x14ac:dyDescent="0.15">
      <c r="A126" s="8" t="s">
        <v>785</v>
      </c>
      <c r="B126" s="62" t="str">
        <f>VLOOKUP(A126,'The List'!B1:D727,3,FALSE)</f>
        <v>LW</v>
      </c>
      <c r="C126" s="63">
        <f>IF(Settings!$E$15="POINTS",RANK(E126,E3:E130),H126)</f>
        <v>124</v>
      </c>
      <c r="D126" s="35" t="str">
        <f>VLOOKUP(A126,'The List'!B1:F727,5,FALSE)</f>
        <v>SEA</v>
      </c>
      <c r="E126" s="39">
        <f>VLOOKUP(A126,'The List'!B1:I727,8,FALSE)</f>
        <v>69.795916072319059</v>
      </c>
      <c r="F126" s="39">
        <f>IF(Settings!$E$15="POINTS",E126-VLOOKUP(B$2,C1:E130,3,FALSE),J126)</f>
        <v>-294.24468878533139</v>
      </c>
      <c r="G126" s="39"/>
      <c r="H126" s="138">
        <f>RANK(I126,I3:I130)</f>
        <v>118</v>
      </c>
      <c r="I126" s="139">
        <f>VLOOKUP(A126,'Standard Deviations'!A1:C728,3,FALSE)</f>
        <v>-4.7338702896114224</v>
      </c>
      <c r="J126" s="139">
        <f>I126-VLOOKUP(B$2,H1:J130,2,FALSE)</f>
        <v>-9.8519638472725504</v>
      </c>
    </row>
    <row r="127" spans="1:10" ht="21.25" customHeight="1" x14ac:dyDescent="0.15">
      <c r="A127" s="8" t="s">
        <v>795</v>
      </c>
      <c r="B127" s="62" t="str">
        <f>VLOOKUP(A127,'The List'!B1:D727,3,FALSE)</f>
        <v>LW</v>
      </c>
      <c r="C127" s="63">
        <f>IF(Settings!$E$15="POINTS",RANK(E127,E3:E130),H127)</f>
        <v>125</v>
      </c>
      <c r="D127" s="35" t="str">
        <f>VLOOKUP(A127,'The List'!B1:F727,5,FALSE)</f>
        <v>COL</v>
      </c>
      <c r="E127" s="39">
        <f>VLOOKUP(A127,'The List'!B1:I727,8,FALSE)</f>
        <v>64.081858180406456</v>
      </c>
      <c r="F127" s="39">
        <f>IF(Settings!$E$15="POINTS",E127-VLOOKUP(B$2,C1:E130,3,FALSE),J127)</f>
        <v>-299.95874667724399</v>
      </c>
      <c r="G127" s="39"/>
      <c r="H127" s="138">
        <f>RANK(I127,I3:I130)</f>
        <v>117</v>
      </c>
      <c r="I127" s="139">
        <f>VLOOKUP(A127,'Standard Deviations'!A1:C728,3,FALSE)</f>
        <v>-4.5827931395191532</v>
      </c>
      <c r="J127" s="139">
        <f>I127-VLOOKUP(B$2,H1:J130,2,FALSE)</f>
        <v>-9.7008866971802803</v>
      </c>
    </row>
    <row r="128" spans="1:10" ht="21.25" customHeight="1" x14ac:dyDescent="0.15">
      <c r="A128" s="8" t="s">
        <v>796</v>
      </c>
      <c r="B128" s="62" t="str">
        <f>VLOOKUP(A128,'The List'!B1:D727,3,FALSE)</f>
        <v>C,LW</v>
      </c>
      <c r="C128" s="63">
        <f>IF(Settings!$E$15="POINTS",RANK(E128,E3:E130),H128)</f>
        <v>126</v>
      </c>
      <c r="D128" s="35" t="str">
        <f>VLOOKUP(A128,'The List'!B1:F727,5,FALSE)</f>
        <v>CGY</v>
      </c>
      <c r="E128" s="39">
        <f>VLOOKUP(A128,'The List'!B1:I727,8,FALSE)</f>
        <v>63.505571470031263</v>
      </c>
      <c r="F128" s="39">
        <f>IF(Settings!$E$15="POINTS",E128-VLOOKUP(B$2,C1:E130,3,FALSE),J128)</f>
        <v>-300.53503338761919</v>
      </c>
      <c r="G128" s="39"/>
      <c r="H128" s="138">
        <f>RANK(I128,I3:I130)</f>
        <v>120</v>
      </c>
      <c r="I128" s="139">
        <f>VLOOKUP(A128,'Standard Deviations'!A1:C728,3,FALSE)</f>
        <v>-4.8298491824512526</v>
      </c>
      <c r="J128" s="139">
        <f>I128-VLOOKUP(B$2,H1:J130,2,FALSE)</f>
        <v>-9.9479427401123814</v>
      </c>
    </row>
    <row r="129" spans="1:10" ht="21.25" customHeight="1" x14ac:dyDescent="0.15">
      <c r="A129" s="8" t="s">
        <v>797</v>
      </c>
      <c r="B129" s="62" t="str">
        <f>VLOOKUP(A129,'The List'!B1:D727,3,FALSE)</f>
        <v>LW</v>
      </c>
      <c r="C129" s="63">
        <f>IF(Settings!$E$15="POINTS",RANK(E129,E3:E130),H129)</f>
        <v>127</v>
      </c>
      <c r="D129" s="35" t="str">
        <f>VLOOKUP(A129,'The List'!B1:F727,5,FALSE)</f>
        <v>FLA</v>
      </c>
      <c r="E129" s="39">
        <f>VLOOKUP(A129,'The List'!B1:I727,8,FALSE)</f>
        <v>63.31772953181612</v>
      </c>
      <c r="F129" s="39">
        <f>IF(Settings!$E$15="POINTS",E129-VLOOKUP(B$2,C1:E130,3,FALSE),J129)</f>
        <v>-300.72287532583437</v>
      </c>
      <c r="G129" s="39"/>
      <c r="H129" s="138">
        <f>RANK(I129,I3:I130)</f>
        <v>123</v>
      </c>
      <c r="I129" s="139">
        <f>VLOOKUP(A129,'Standard Deviations'!A1:C728,3,FALSE)</f>
        <v>-4.9603199548909602</v>
      </c>
      <c r="J129" s="139">
        <f>I129-VLOOKUP(B$2,H1:J130,2,FALSE)</f>
        <v>-10.078413512552089</v>
      </c>
    </row>
    <row r="130" spans="1:10" ht="21.25" customHeight="1" x14ac:dyDescent="0.15">
      <c r="A130" s="8" t="s">
        <v>820</v>
      </c>
      <c r="B130" s="62" t="str">
        <f>VLOOKUP(A130,'The List'!B1:D727,3,FALSE)</f>
        <v>LW</v>
      </c>
      <c r="C130" s="63">
        <f>IF(Settings!$E$15="POINTS",RANK(E130,E3:E130),H130)</f>
        <v>128</v>
      </c>
      <c r="D130" s="35" t="str">
        <f>VLOOKUP(A130,'The List'!B1:F727,5,FALSE)</f>
        <v>NYI</v>
      </c>
      <c r="E130" s="39">
        <f>VLOOKUP(A130,'The List'!B1:I727,8,FALSE)</f>
        <v>41.598750312903341</v>
      </c>
      <c r="F130" s="39">
        <f>IF(Settings!$E$15="POINTS",E130-VLOOKUP(B$2,C1:E130,3,FALSE),J130)</f>
        <v>-322.44185454474712</v>
      </c>
      <c r="G130" s="39"/>
      <c r="H130" s="138">
        <f>RANK(I130,I3:I130)</f>
        <v>127</v>
      </c>
      <c r="I130" s="139">
        <f>VLOOKUP(A130,'Standard Deviations'!A1:C728,3,FALSE)</f>
        <v>-6.0345985537270126</v>
      </c>
      <c r="J130" s="139">
        <f>I130-VLOOKUP(B$2,H1:J130,2,FALSE)</f>
        <v>-11.152692111388141</v>
      </c>
    </row>
  </sheetData>
  <conditionalFormatting sqref="C3:C130 H3:H130">
    <cfRule type="containsText" dxfId="23" priority="1" stopIfTrue="1" operator="containsText" text="/">
      <formula>NOT(ISERROR(FIND(UPPER("/"),UPPER(C3))))</formula>
      <formula>"/"</formula>
    </cfRule>
    <cfRule type="containsText" dxfId="22" priority="2" stopIfTrue="1" operator="containsText" text="C">
      <formula>NOT(ISERROR(FIND(UPPER("C"),UPPER(C3))))</formula>
      <formula>"C"</formula>
    </cfRule>
    <cfRule type="containsText" dxfId="21" priority="3" stopIfTrue="1" operator="containsText" text="D">
      <formula>NOT(ISERROR(FIND(UPPER("D"),UPPER(C3))))</formula>
      <formula>"D"</formula>
    </cfRule>
    <cfRule type="containsText" dxfId="20" priority="4" stopIfTrue="1" operator="containsText" text="LW">
      <formula>NOT(ISERROR(FIND(UPPER("LW"),UPPER(C3))))</formula>
      <formula>"LW"</formula>
    </cfRule>
    <cfRule type="containsText" dxfId="19" priority="5" stopIfTrue="1" operator="containsText" text="RW">
      <formula>NOT(ISERROR(FIND(UPPER("RW"),UPPER(C3))))</formula>
      <formula>"RW"</formula>
    </cfRule>
    <cfRule type="containsText" dxfId="18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97"/>
  <sheetViews>
    <sheetView showGridLines="0" workbookViewId="0">
      <pane ySplit="2" topLeftCell="A3" activePane="bottomLeft" state="frozen"/>
      <selection pane="bottomLeft"/>
    </sheetView>
  </sheetViews>
  <sheetFormatPr baseColWidth="10" defaultColWidth="8" defaultRowHeight="16.25" customHeight="1" x14ac:dyDescent="0.15"/>
  <cols>
    <col min="1" max="1" width="33" style="1" customWidth="1"/>
    <col min="2" max="2" width="7.1640625" style="1" customWidth="1"/>
    <col min="3" max="3" width="6" style="1" customWidth="1"/>
    <col min="4" max="6" width="8.33203125" style="1" customWidth="1"/>
    <col min="7" max="10" width="1.33203125" style="1" customWidth="1"/>
    <col min="11" max="11" width="8" style="1" customWidth="1"/>
    <col min="12" max="16384" width="8" style="1"/>
  </cols>
  <sheetData>
    <row r="1" spans="1:10" ht="28.25" customHeight="1" x14ac:dyDescent="0.15">
      <c r="A1" s="122" t="s">
        <v>852</v>
      </c>
      <c r="B1" s="123" t="s">
        <v>859</v>
      </c>
      <c r="C1" s="124"/>
      <c r="D1" s="4" t="s">
        <v>854</v>
      </c>
      <c r="E1" s="125" t="s">
        <v>855</v>
      </c>
      <c r="F1" s="123" t="s">
        <v>74</v>
      </c>
      <c r="G1" s="126"/>
      <c r="H1" s="127"/>
      <c r="I1" s="128" t="s">
        <v>856</v>
      </c>
      <c r="J1" s="129" t="s">
        <v>74</v>
      </c>
    </row>
    <row r="2" spans="1:10" ht="28.25" customHeight="1" x14ac:dyDescent="0.15">
      <c r="A2" s="130" t="s">
        <v>41</v>
      </c>
      <c r="B2" s="131">
        <f>Settings!F4</f>
        <v>18</v>
      </c>
      <c r="C2" s="132"/>
      <c r="D2" s="133"/>
      <c r="E2" s="134"/>
      <c r="F2" s="134"/>
      <c r="G2" s="134"/>
      <c r="H2" s="140"/>
      <c r="I2" s="141"/>
      <c r="J2" s="141"/>
    </row>
    <row r="3" spans="1:10" ht="21.25" customHeight="1" x14ac:dyDescent="0.15">
      <c r="A3" s="8" t="s">
        <v>109</v>
      </c>
      <c r="B3" s="65" t="str">
        <f>VLOOKUP(A3,'The List'!B1:D727,3,FALSE)</f>
        <v>RW</v>
      </c>
      <c r="C3" s="66">
        <f>IF(Settings!$E$15="POINTS",RANK(E3,E3:E97),H3)</f>
        <v>1</v>
      </c>
      <c r="D3" s="35" t="str">
        <f>VLOOKUP(A3,'The List'!B1:F727,5,FALSE)</f>
        <v>BOS</v>
      </c>
      <c r="E3" s="39">
        <f>VLOOKUP(A3,'The List'!B1:I727,8,FALSE)</f>
        <v>542.24474228245947</v>
      </c>
      <c r="F3" s="39">
        <f>IF(Settings!$E$15="POINTS",E3-VLOOKUP(B$2,C1:E97,3,FALSE),J3)</f>
        <v>191.9732017345699</v>
      </c>
      <c r="G3" s="39"/>
      <c r="H3" s="142">
        <f>RANK(I3,I3:I97)</f>
        <v>2</v>
      </c>
      <c r="I3" s="143">
        <f>VLOOKUP(A3,'Standard Deviations'!A1:C728,3,FALSE)</f>
        <v>12.483556757902379</v>
      </c>
      <c r="J3" s="143">
        <f>I3-VLOOKUP(B$2,H1:J97,2,FALSE)</f>
        <v>8.2456753518964447</v>
      </c>
    </row>
    <row r="4" spans="1:10" ht="21.25" customHeight="1" x14ac:dyDescent="0.15">
      <c r="A4" s="8" t="s">
        <v>110</v>
      </c>
      <c r="B4" s="65" t="str">
        <f>VLOOKUP(A4,'The List'!B1:D727,3,FALSE)</f>
        <v>RW</v>
      </c>
      <c r="C4" s="66">
        <f>IF(Settings!$E$15="POINTS",RANK(E4,E3:E97),H4)</f>
        <v>2</v>
      </c>
      <c r="D4" s="35" t="str">
        <f>VLOOKUP(A4,'The List'!B1:F727,5,FALSE)</f>
        <v>TBL</v>
      </c>
      <c r="E4" s="39">
        <f>VLOOKUP(A4,'The List'!B1:I727,8,FALSE)</f>
        <v>539.97056554583151</v>
      </c>
      <c r="F4" s="39">
        <f>IF(Settings!$E$15="POINTS",E4-VLOOKUP(B$2,C1:E97,3,FALSE),J4)</f>
        <v>189.69902499794193</v>
      </c>
      <c r="G4" s="39"/>
      <c r="H4" s="138">
        <f>RANK(I4,I3:I97)</f>
        <v>4</v>
      </c>
      <c r="I4" s="139">
        <f>VLOOKUP(A4,'Standard Deviations'!A1:C728,3,FALSE)</f>
        <v>10.808935165931226</v>
      </c>
      <c r="J4" s="139">
        <f>I4-VLOOKUP(B$2,H1:J97,2,FALSE)</f>
        <v>6.5710537599252925</v>
      </c>
    </row>
    <row r="5" spans="1:10" ht="21.25" customHeight="1" x14ac:dyDescent="0.15">
      <c r="A5" s="8" t="s">
        <v>112</v>
      </c>
      <c r="B5" s="65" t="str">
        <f>VLOOKUP(A5,'The List'!B1:D727,3,FALSE)</f>
        <v>RW</v>
      </c>
      <c r="C5" s="66">
        <f>IF(Settings!$E$15="POINTS",RANK(E5,E3:E97),H5)</f>
        <v>3</v>
      </c>
      <c r="D5" s="35" t="str">
        <f>VLOOKUP(A5,'The List'!B1:F727,5,FALSE)</f>
        <v>COL</v>
      </c>
      <c r="E5" s="39">
        <f>VLOOKUP(A5,'The List'!B1:I727,8,FALSE)</f>
        <v>537.89974952409375</v>
      </c>
      <c r="F5" s="39">
        <f>IF(Settings!$E$15="POINTS",E5-VLOOKUP(B$2,C1:E97,3,FALSE),J5)</f>
        <v>187.62820897620418</v>
      </c>
      <c r="G5" s="39"/>
      <c r="H5" s="138">
        <f>RANK(I5,I3:I97)</f>
        <v>1</v>
      </c>
      <c r="I5" s="139">
        <f>VLOOKUP(A5,'Standard Deviations'!A1:C728,3,FALSE)</f>
        <v>12.981050664801556</v>
      </c>
      <c r="J5" s="139">
        <f>I5-VLOOKUP(B$2,H1:J97,2,FALSE)</f>
        <v>8.7431692587956213</v>
      </c>
    </row>
    <row r="6" spans="1:10" ht="21.25" customHeight="1" x14ac:dyDescent="0.15">
      <c r="A6" s="8" t="s">
        <v>118</v>
      </c>
      <c r="B6" s="65" t="str">
        <f>VLOOKUP(A6,'The List'!B1:D727,3,FALSE)</f>
        <v>RW</v>
      </c>
      <c r="C6" s="66">
        <f>IF(Settings!$E$15="POINTS",RANK(E6,E3:E97),H6)</f>
        <v>4</v>
      </c>
      <c r="D6" s="35" t="str">
        <f>VLOOKUP(A6,'The List'!B1:F727,5,FALSE)</f>
        <v>TOR</v>
      </c>
      <c r="E6" s="39">
        <f>VLOOKUP(A6,'The List'!B1:I727,8,FALSE)</f>
        <v>492.79175115447117</v>
      </c>
      <c r="F6" s="39">
        <f>IF(Settings!$E$15="POINTS",E6-VLOOKUP(B$2,C1:E97,3,FALSE),J6)</f>
        <v>142.5202106065816</v>
      </c>
      <c r="G6" s="39"/>
      <c r="H6" s="138">
        <f>RANK(I6,I3:I97)</f>
        <v>3</v>
      </c>
      <c r="I6" s="139">
        <f>VLOOKUP(A6,'Standard Deviations'!A1:C728,3,FALSE)</f>
        <v>11.006541956699605</v>
      </c>
      <c r="J6" s="139">
        <f>I6-VLOOKUP(B$2,H1:J97,2,FALSE)</f>
        <v>6.7686605506936717</v>
      </c>
    </row>
    <row r="7" spans="1:10" ht="21.25" customHeight="1" x14ac:dyDescent="0.15">
      <c r="A7" s="8" t="s">
        <v>121</v>
      </c>
      <c r="B7" s="65" t="str">
        <f>VLOOKUP(A7,'The List'!B1:D727,3,FALSE)</f>
        <v>RW</v>
      </c>
      <c r="C7" s="66">
        <f>IF(Settings!$E$15="POINTS",RANK(E7,E3:E97),H7)</f>
        <v>5</v>
      </c>
      <c r="D7" s="35" t="str">
        <f>VLOOKUP(A7,'The List'!B1:F727,5,FALSE)</f>
        <v>TOR</v>
      </c>
      <c r="E7" s="39">
        <f>VLOOKUP(A7,'The List'!B1:I727,8,FALSE)</f>
        <v>472.65342376089717</v>
      </c>
      <c r="F7" s="39">
        <f>IF(Settings!$E$15="POINTS",E7-VLOOKUP(B$2,C1:E97,3,FALSE),J7)</f>
        <v>122.3818832130076</v>
      </c>
      <c r="G7" s="39"/>
      <c r="H7" s="138">
        <f>RANK(I7,I3:I97)</f>
        <v>5</v>
      </c>
      <c r="I7" s="139">
        <f>VLOOKUP(A7,'Standard Deviations'!A1:C728,3,FALSE)</f>
        <v>10.091877800323303</v>
      </c>
      <c r="J7" s="139">
        <f>I7-VLOOKUP(B$2,H1:J97,2,FALSE)</f>
        <v>5.8539963943173694</v>
      </c>
    </row>
    <row r="8" spans="1:10" ht="21.25" customHeight="1" x14ac:dyDescent="0.15">
      <c r="A8" s="8" t="s">
        <v>136</v>
      </c>
      <c r="B8" s="65" t="str">
        <f>VLOOKUP(A8,'The List'!B1:D727,3,FALSE)</f>
        <v>RW</v>
      </c>
      <c r="C8" s="66">
        <f>IF(Settings!$E$15="POINTS",RANK(E8,E3:E97),H8)</f>
        <v>6</v>
      </c>
      <c r="D8" s="35" t="str">
        <f>VLOOKUP(A8,'The List'!B1:F727,5,FALSE)</f>
        <v>NJD</v>
      </c>
      <c r="E8" s="39">
        <f>VLOOKUP(A8,'The List'!B1:I727,8,FALSE)</f>
        <v>431.53094114254554</v>
      </c>
      <c r="F8" s="39">
        <f>IF(Settings!$E$15="POINTS",E8-VLOOKUP(B$2,C1:E97,3,FALSE),J8)</f>
        <v>81.259400594655972</v>
      </c>
      <c r="G8" s="39"/>
      <c r="H8" s="138">
        <f>RANK(I8,I3:I97)</f>
        <v>6</v>
      </c>
      <c r="I8" s="139">
        <f>VLOOKUP(A8,'Standard Deviations'!A1:C728,3,FALSE)</f>
        <v>8.0338212126827919</v>
      </c>
      <c r="J8" s="139">
        <f>I8-VLOOKUP(B$2,H1:J97,2,FALSE)</f>
        <v>3.7959398066768584</v>
      </c>
    </row>
    <row r="9" spans="1:10" ht="21.25" customHeight="1" x14ac:dyDescent="0.15">
      <c r="A9" s="8" t="s">
        <v>143</v>
      </c>
      <c r="B9" s="65" t="str">
        <f>VLOOKUP(A9,'The List'!B1:D727,3,FALSE)</f>
        <v>C,RW</v>
      </c>
      <c r="C9" s="66">
        <f>IF(Settings!$E$15="POINTS",RANK(E9,E3:E97),H9)</f>
        <v>7</v>
      </c>
      <c r="D9" s="35" t="str">
        <f>VLOOKUP(A9,'The List'!B1:F727,5,FALSE)</f>
        <v>VAN</v>
      </c>
      <c r="E9" s="39">
        <f>VLOOKUP(A9,'The List'!B1:I727,8,FALSE)</f>
        <v>416.4138573570396</v>
      </c>
      <c r="F9" s="39">
        <f>IF(Settings!$E$15="POINTS",E9-VLOOKUP(B$2,C1:E97,3,FALSE),J9)</f>
        <v>66.142316809150032</v>
      </c>
      <c r="G9" s="39"/>
      <c r="H9" s="138">
        <f>RANK(I9,I3:I97)</f>
        <v>8</v>
      </c>
      <c r="I9" s="139">
        <f>VLOOKUP(A9,'Standard Deviations'!A1:C728,3,FALSE)</f>
        <v>6.5742648907832058</v>
      </c>
      <c r="J9" s="139">
        <f>I9-VLOOKUP(B$2,H1:J97,2,FALSE)</f>
        <v>2.3363834847772722</v>
      </c>
    </row>
    <row r="10" spans="1:10" ht="21.25" customHeight="1" x14ac:dyDescent="0.15">
      <c r="A10" s="8" t="s">
        <v>148</v>
      </c>
      <c r="B10" s="65" t="str">
        <f>VLOOKUP(A10,'The List'!B1:D727,3,FALSE)</f>
        <v>RW</v>
      </c>
      <c r="C10" s="66">
        <f>IF(Settings!$E$15="POINTS",RANK(E10,E3:E97),H10)</f>
        <v>8</v>
      </c>
      <c r="D10" s="35" t="str">
        <f>VLOOKUP(A10,'The List'!B1:F727,5,FALSE)</f>
        <v>ARI</v>
      </c>
      <c r="E10" s="39">
        <f>VLOOKUP(A10,'The List'!B1:I727,8,FALSE)</f>
        <v>407.18405519098843</v>
      </c>
      <c r="F10" s="39">
        <f>IF(Settings!$E$15="POINTS",E10-VLOOKUP(B$2,C1:E97,3,FALSE),J10)</f>
        <v>56.912514643098859</v>
      </c>
      <c r="G10" s="39"/>
      <c r="H10" s="138">
        <f>RANK(I10,I3:I97)</f>
        <v>12</v>
      </c>
      <c r="I10" s="139">
        <f>VLOOKUP(A10,'Standard Deviations'!A1:C728,3,FALSE)</f>
        <v>5.3174423197389906</v>
      </c>
      <c r="J10" s="139">
        <f>I10-VLOOKUP(B$2,H1:J97,2,FALSE)</f>
        <v>1.0795609137330571</v>
      </c>
    </row>
    <row r="11" spans="1:10" ht="21.25" customHeight="1" x14ac:dyDescent="0.15">
      <c r="A11" s="8" t="s">
        <v>154</v>
      </c>
      <c r="B11" s="65" t="str">
        <f>VLOOKUP(A11,'The List'!B1:D727,3,FALSE)</f>
        <v>RW</v>
      </c>
      <c r="C11" s="66">
        <f>IF(Settings!$E$15="POINTS",RANK(E11,E3:E97),H11)</f>
        <v>10</v>
      </c>
      <c r="D11" s="35" t="str">
        <f>VLOOKUP(A11,'The List'!B1:F727,5,FALSE)</f>
        <v>BUF</v>
      </c>
      <c r="E11" s="39">
        <f>VLOOKUP(A11,'The List'!B1:I727,8,FALSE)</f>
        <v>392.69361410971499</v>
      </c>
      <c r="F11" s="39">
        <f>IF(Settings!$E$15="POINTS",E11-VLOOKUP(B$2,C1:E97,3,FALSE),J11)</f>
        <v>42.422073561825414</v>
      </c>
      <c r="G11" s="39"/>
      <c r="H11" s="138">
        <f>RANK(I11,I3:I97)</f>
        <v>10</v>
      </c>
      <c r="I11" s="139">
        <f>VLOOKUP(A11,'Standard Deviations'!A1:C728,3,FALSE)</f>
        <v>6.3498850707234968</v>
      </c>
      <c r="J11" s="139">
        <f>I11-VLOOKUP(B$2,H1:J97,2,FALSE)</f>
        <v>2.1120036647175633</v>
      </c>
    </row>
    <row r="12" spans="1:10" ht="21.25" customHeight="1" x14ac:dyDescent="0.15">
      <c r="A12" s="8" t="s">
        <v>161</v>
      </c>
      <c r="B12" s="65" t="str">
        <f>VLOOKUP(A12,'The List'!B1:D727,3,FALSE)</f>
        <v>RW</v>
      </c>
      <c r="C12" s="66">
        <f>IF(Settings!$E$15="POINTS",RANK(E12,E3:E97),H12)</f>
        <v>11</v>
      </c>
      <c r="D12" s="35" t="str">
        <f>VLOOKUP(A12,'The List'!B1:F727,5,FALSE)</f>
        <v>DET</v>
      </c>
      <c r="E12" s="39">
        <f>VLOOKUP(A12,'The List'!B1:I727,8,FALSE)</f>
        <v>385.48351192549001</v>
      </c>
      <c r="F12" s="39">
        <f>IF(Settings!$E$15="POINTS",E12-VLOOKUP(B$2,C1:E97,3,FALSE),J12)</f>
        <v>35.211971377600435</v>
      </c>
      <c r="G12" s="39"/>
      <c r="H12" s="138">
        <f>RANK(I12,I3:I97)</f>
        <v>14</v>
      </c>
      <c r="I12" s="139">
        <f>VLOOKUP(A12,'Standard Deviations'!A1:C728,3,FALSE)</f>
        <v>5.2329393451736781</v>
      </c>
      <c r="J12" s="139">
        <f>I12-VLOOKUP(B$2,H1:J97,2,FALSE)</f>
        <v>0.99505793916774454</v>
      </c>
    </row>
    <row r="13" spans="1:10" ht="21.25" customHeight="1" x14ac:dyDescent="0.15">
      <c r="A13" s="8" t="s">
        <v>153</v>
      </c>
      <c r="B13" s="65" t="str">
        <f>VLOOKUP(A13,'The List'!B1:D727,3,FALSE)</f>
        <v>RW</v>
      </c>
      <c r="C13" s="66">
        <f>IF(Settings!$E$15="POINTS",RANK(E13,E3:E97),H13)</f>
        <v>9</v>
      </c>
      <c r="D13" s="35" t="str">
        <f>VLOOKUP(A13,'The List'!B1:F727,5,FALSE)</f>
        <v>CAR</v>
      </c>
      <c r="E13" s="39">
        <f>VLOOKUP(A13,'The List'!B1:I727,8,FALSE)</f>
        <v>397.91721760147755</v>
      </c>
      <c r="F13" s="39">
        <f>IF(Settings!$E$15="POINTS",E13-VLOOKUP(B$2,C1:E97,3,FALSE),J13)</f>
        <v>47.645677053587974</v>
      </c>
      <c r="G13" s="39"/>
      <c r="H13" s="138">
        <f>RANK(I13,I3:I97)</f>
        <v>7</v>
      </c>
      <c r="I13" s="139">
        <f>VLOOKUP(A13,'Standard Deviations'!A1:C728,3,FALSE)</f>
        <v>7.9760036369413374</v>
      </c>
      <c r="J13" s="139">
        <f>I13-VLOOKUP(B$2,H1:J97,2,FALSE)</f>
        <v>3.7381222309354039</v>
      </c>
    </row>
    <row r="14" spans="1:10" ht="21.25" customHeight="1" x14ac:dyDescent="0.15">
      <c r="A14" s="8" t="s">
        <v>165</v>
      </c>
      <c r="B14" s="65" t="str">
        <f>VLOOKUP(A14,'The List'!B1:D727,3,FALSE)</f>
        <v>RW</v>
      </c>
      <c r="C14" s="66">
        <f>IF(Settings!$E$15="POINTS",RANK(E14,E3:E97),H14)</f>
        <v>12</v>
      </c>
      <c r="D14" s="35" t="str">
        <f>VLOOKUP(A14,'The List'!B1:F727,5,FALSE)</f>
        <v>PHI</v>
      </c>
      <c r="E14" s="39">
        <f>VLOOKUP(A14,'The List'!B1:I727,8,FALSE)</f>
        <v>381.57110654800204</v>
      </c>
      <c r="F14" s="39">
        <f>IF(Settings!$E$15="POINTS",E14-VLOOKUP(B$2,C1:E97,3,FALSE),J14)</f>
        <v>31.299566000112463</v>
      </c>
      <c r="G14" s="39"/>
      <c r="H14" s="138">
        <f>RANK(I14,I3:I97)</f>
        <v>19</v>
      </c>
      <c r="I14" s="139">
        <f>VLOOKUP(A14,'Standard Deviations'!A1:C728,3,FALSE)</f>
        <v>3.665986177961746</v>
      </c>
      <c r="J14" s="139">
        <f>I14-VLOOKUP(B$2,H1:J97,2,FALSE)</f>
        <v>-0.57189522804418758</v>
      </c>
    </row>
    <row r="15" spans="1:10" ht="21.25" customHeight="1" x14ac:dyDescent="0.15">
      <c r="A15" s="8" t="s">
        <v>183</v>
      </c>
      <c r="B15" s="65" t="str">
        <f>VLOOKUP(A15,'The List'!B1:D727,3,FALSE)</f>
        <v>RW</v>
      </c>
      <c r="C15" s="66">
        <f>IF(Settings!$E$15="POINTS",RANK(E15,E3:E97),H15)</f>
        <v>16</v>
      </c>
      <c r="D15" s="35" t="str">
        <f>VLOOKUP(A15,'The List'!B1:F727,5,FALSE)</f>
        <v>MIN</v>
      </c>
      <c r="E15" s="39">
        <f>VLOOKUP(A15,'The List'!B1:I727,8,FALSE)</f>
        <v>352.82746573939971</v>
      </c>
      <c r="F15" s="39">
        <f>IF(Settings!$E$15="POINTS",E15-VLOOKUP(B$2,C1:E97,3,FALSE),J15)</f>
        <v>2.5559251915101413</v>
      </c>
      <c r="G15" s="39"/>
      <c r="H15" s="138">
        <f>RANK(I15,I3:I97)</f>
        <v>13</v>
      </c>
      <c r="I15" s="139">
        <f>VLOOKUP(A15,'Standard Deviations'!A1:C728,3,FALSE)</f>
        <v>5.2623357621499718</v>
      </c>
      <c r="J15" s="139">
        <f>I15-VLOOKUP(B$2,H1:J97,2,FALSE)</f>
        <v>1.0244543561440382</v>
      </c>
    </row>
    <row r="16" spans="1:10" ht="21.25" customHeight="1" x14ac:dyDescent="0.15">
      <c r="A16" s="8" t="s">
        <v>173</v>
      </c>
      <c r="B16" s="65" t="str">
        <f>VLOOKUP(A16,'The List'!B1:D727,3,FALSE)</f>
        <v>RW</v>
      </c>
      <c r="C16" s="66">
        <f>IF(Settings!$E$15="POINTS",RANK(E16,E3:E97),H16)</f>
        <v>13</v>
      </c>
      <c r="D16" s="35" t="str">
        <f>VLOOKUP(A16,'The List'!B1:F727,5,FALSE)</f>
        <v>ANA</v>
      </c>
      <c r="E16" s="39">
        <f>VLOOKUP(A16,'The List'!B1:I727,8,FALSE)</f>
        <v>367.41759376116539</v>
      </c>
      <c r="F16" s="39">
        <f>IF(Settings!$E$15="POINTS",E16-VLOOKUP(B$2,C1:E97,3,FALSE),J16)</f>
        <v>17.14605321327582</v>
      </c>
      <c r="G16" s="39"/>
      <c r="H16" s="138">
        <f>RANK(I16,I3:I97)</f>
        <v>20</v>
      </c>
      <c r="I16" s="139">
        <f>VLOOKUP(A16,'Standard Deviations'!A1:C728,3,FALSE)</f>
        <v>3.0156370368596876</v>
      </c>
      <c r="J16" s="139">
        <f>I16-VLOOKUP(B$2,H1:J97,2,FALSE)</f>
        <v>-1.2222443691462459</v>
      </c>
    </row>
    <row r="17" spans="1:10" ht="21.25" customHeight="1" x14ac:dyDescent="0.15">
      <c r="A17" s="8" t="s">
        <v>174</v>
      </c>
      <c r="B17" s="65" t="str">
        <f>VLOOKUP(A17,'The List'!B1:D727,3,FALSE)</f>
        <v>RW</v>
      </c>
      <c r="C17" s="66">
        <f>IF(Settings!$E$15="POINTS",RANK(E17,E3:E97),H17)</f>
        <v>14</v>
      </c>
      <c r="D17" s="35" t="str">
        <f>VLOOKUP(A17,'The List'!B1:F727,5,FALSE)</f>
        <v>VGK</v>
      </c>
      <c r="E17" s="39">
        <f>VLOOKUP(A17,'The List'!B1:I727,8,FALSE)</f>
        <v>365.62213145941126</v>
      </c>
      <c r="F17" s="39">
        <f>IF(Settings!$E$15="POINTS",E17-VLOOKUP(B$2,C1:E97,3,FALSE),J17)</f>
        <v>15.350590911521692</v>
      </c>
      <c r="G17" s="39"/>
      <c r="H17" s="138">
        <f>RANK(I17,I3:I97)</f>
        <v>11</v>
      </c>
      <c r="I17" s="139">
        <f>VLOOKUP(A17,'Standard Deviations'!A1:C728,3,FALSE)</f>
        <v>5.9594550255847762</v>
      </c>
      <c r="J17" s="139">
        <f>I17-VLOOKUP(B$2,H1:J97,2,FALSE)</f>
        <v>1.7215736195788427</v>
      </c>
    </row>
    <row r="18" spans="1:10" ht="21.25" customHeight="1" x14ac:dyDescent="0.15">
      <c r="A18" s="8" t="s">
        <v>180</v>
      </c>
      <c r="B18" s="65" t="str">
        <f>VLOOKUP(A18,'The List'!B1:D727,3,FALSE)</f>
        <v>RW</v>
      </c>
      <c r="C18" s="66">
        <f>IF(Settings!$E$15="POINTS",RANK(E18,E3:E97),H18)</f>
        <v>15</v>
      </c>
      <c r="D18" s="35" t="str">
        <f>VLOOKUP(A18,'The List'!B1:F727,5,FALSE)</f>
        <v>COL</v>
      </c>
      <c r="E18" s="39">
        <f>VLOOKUP(A18,'The List'!B1:I727,8,FALSE)</f>
        <v>361.45643405605426</v>
      </c>
      <c r="F18" s="39">
        <f>IF(Settings!$E$15="POINTS",E18-VLOOKUP(B$2,C1:E97,3,FALSE),J18)</f>
        <v>11.184893508164691</v>
      </c>
      <c r="G18" s="39"/>
      <c r="H18" s="138">
        <f>RANK(I18,I3:I97)</f>
        <v>9</v>
      </c>
      <c r="I18" s="139">
        <f>VLOOKUP(A18,'Standard Deviations'!A1:C728,3,FALSE)</f>
        <v>6.3697287868745329</v>
      </c>
      <c r="J18" s="139">
        <f>I18-VLOOKUP(B$2,H1:J97,2,FALSE)</f>
        <v>2.1318473808685994</v>
      </c>
    </row>
    <row r="19" spans="1:10" ht="21.25" customHeight="1" x14ac:dyDescent="0.15">
      <c r="A19" s="8" t="s">
        <v>191</v>
      </c>
      <c r="B19" s="65" t="str">
        <f>VLOOKUP(A19,'The List'!B1:D727,3,FALSE)</f>
        <v>RW</v>
      </c>
      <c r="C19" s="66">
        <f>IF(Settings!$E$15="POINTS",RANK(E19,E3:E97),H19)</f>
        <v>18</v>
      </c>
      <c r="D19" s="35" t="str">
        <f>VLOOKUP(A19,'The List'!B1:F727,5,FALSE)</f>
        <v>OTT</v>
      </c>
      <c r="E19" s="39">
        <f>VLOOKUP(A19,'The List'!B1:I727,8,FALSE)</f>
        <v>350.27154054788957</v>
      </c>
      <c r="F19" s="39">
        <f>IF(Settings!$E$15="POINTS",E19-VLOOKUP(B$2,C1:E97,3,FALSE),J19)</f>
        <v>0</v>
      </c>
      <c r="G19" s="39"/>
      <c r="H19" s="138">
        <f>RANK(I19,I3:I97)</f>
        <v>17</v>
      </c>
      <c r="I19" s="139">
        <f>VLOOKUP(A19,'Standard Deviations'!A1:C728,3,FALSE)</f>
        <v>4.5891402131302756</v>
      </c>
      <c r="J19" s="139">
        <f>I19-VLOOKUP(B$2,H1:J97,2,FALSE)</f>
        <v>0.3512588071243421</v>
      </c>
    </row>
    <row r="20" spans="1:10" ht="21.25" customHeight="1" x14ac:dyDescent="0.15">
      <c r="A20" s="8" t="s">
        <v>187</v>
      </c>
      <c r="B20" s="65" t="str">
        <f>VLOOKUP(A20,'The List'!B1:D727,3,FALSE)</f>
        <v>RW</v>
      </c>
      <c r="C20" s="66">
        <f>IF(Settings!$E$15="POINTS",RANK(E20,E3:E97),H20)</f>
        <v>17</v>
      </c>
      <c r="D20" s="35" t="str">
        <f>VLOOKUP(A20,'The List'!B1:F727,5,FALSE)</f>
        <v>MTL</v>
      </c>
      <c r="E20" s="39">
        <f>VLOOKUP(A20,'The List'!B1:I727,8,FALSE)</f>
        <v>351.03672528289479</v>
      </c>
      <c r="F20" s="39">
        <f>IF(Settings!$E$15="POINTS",E20-VLOOKUP(B$2,C1:E97,3,FALSE),J20)</f>
        <v>0.76518473500522077</v>
      </c>
      <c r="G20" s="39"/>
      <c r="H20" s="138">
        <f>RANK(I20,I3:I97)</f>
        <v>24</v>
      </c>
      <c r="I20" s="139">
        <f>VLOOKUP(A20,'Standard Deviations'!A1:C728,3,FALSE)</f>
        <v>2.5737649044892139</v>
      </c>
      <c r="J20" s="139">
        <f>I20-VLOOKUP(B$2,H1:J97,2,FALSE)</f>
        <v>-1.6641165015167196</v>
      </c>
    </row>
    <row r="21" spans="1:10" ht="21.25" customHeight="1" x14ac:dyDescent="0.15">
      <c r="A21" s="8" t="s">
        <v>221</v>
      </c>
      <c r="B21" s="65" t="str">
        <f>VLOOKUP(A21,'The List'!B1:D727,3,FALSE)</f>
        <v>RW</v>
      </c>
      <c r="C21" s="66">
        <f>IF(Settings!$E$15="POINTS",RANK(E21,E3:E97),H21)</f>
        <v>19</v>
      </c>
      <c r="D21" s="35" t="str">
        <f>VLOOKUP(A21,'The List'!B1:F727,5,FALSE)</f>
        <v>OTT</v>
      </c>
      <c r="E21" s="39">
        <f>VLOOKUP(A21,'The List'!B1:I727,8,FALSE)</f>
        <v>327.3201364453887</v>
      </c>
      <c r="F21" s="39">
        <f>IF(Settings!$E$15="POINTS",E21-VLOOKUP(B$2,C1:E97,3,FALSE),J21)</f>
        <v>-22.951404102500874</v>
      </c>
      <c r="G21" s="39"/>
      <c r="H21" s="138">
        <f>RANK(I21,I3:I97)</f>
        <v>18</v>
      </c>
      <c r="I21" s="139">
        <f>VLOOKUP(A21,'Standard Deviations'!A1:C728,3,FALSE)</f>
        <v>4.2378814060059335</v>
      </c>
      <c r="J21" s="139">
        <f>I21-VLOOKUP(B$2,H1:J97,2,FALSE)</f>
        <v>0</v>
      </c>
    </row>
    <row r="22" spans="1:10" ht="21.25" customHeight="1" x14ac:dyDescent="0.15">
      <c r="A22" s="8" t="s">
        <v>224</v>
      </c>
      <c r="B22" s="65" t="str">
        <f>VLOOKUP(A22,'The List'!B1:D727,3,FALSE)</f>
        <v>RW</v>
      </c>
      <c r="C22" s="66">
        <f>IF(Settings!$E$15="POINTS",RANK(E22,E3:E97),H22)</f>
        <v>20</v>
      </c>
      <c r="D22" s="35" t="str">
        <f>VLOOKUP(A22,'The List'!B1:F727,5,FALSE)</f>
        <v>UFA</v>
      </c>
      <c r="E22" s="39">
        <f>VLOOKUP(A22,'The List'!B1:I727,8,FALSE)</f>
        <v>325.02095968061536</v>
      </c>
      <c r="F22" s="39">
        <f>IF(Settings!$E$15="POINTS",E22-VLOOKUP(B$2,C1:E97,3,FALSE),J22)</f>
        <v>-25.250580867274209</v>
      </c>
      <c r="G22" s="39"/>
      <c r="H22" s="138">
        <f>RANK(I22,I3:I97)</f>
        <v>21</v>
      </c>
      <c r="I22" s="139">
        <f>VLOOKUP(A22,'Standard Deviations'!A1:C728,3,FALSE)</f>
        <v>2.991677961158242</v>
      </c>
      <c r="J22" s="139">
        <f>I22-VLOOKUP(B$2,H1:J97,2,FALSE)</f>
        <v>-1.2462034448476915</v>
      </c>
    </row>
    <row r="23" spans="1:10" ht="21.25" customHeight="1" x14ac:dyDescent="0.15">
      <c r="A23" s="8" t="s">
        <v>247</v>
      </c>
      <c r="B23" s="65" t="str">
        <f>VLOOKUP(A23,'The List'!B1:D727,3,FALSE)</f>
        <v>RW</v>
      </c>
      <c r="C23" s="66">
        <f>IF(Settings!$E$15="POINTS",RANK(E23,E3:E97),H23)</f>
        <v>24</v>
      </c>
      <c r="D23" s="35" t="str">
        <f>VLOOKUP(A23,'The List'!B1:F727,5,FALSE)</f>
        <v>NJD</v>
      </c>
      <c r="E23" s="39">
        <f>VLOOKUP(A23,'The List'!B1:I727,8,FALSE)</f>
        <v>307.0704968651408</v>
      </c>
      <c r="F23" s="39">
        <f>IF(Settings!$E$15="POINTS",E23-VLOOKUP(B$2,C1:E97,3,FALSE),J23)</f>
        <v>-43.201043682748775</v>
      </c>
      <c r="G23" s="39"/>
      <c r="H23" s="138">
        <f>RANK(I23,I3:I97)</f>
        <v>22</v>
      </c>
      <c r="I23" s="139">
        <f>VLOOKUP(A23,'Standard Deviations'!A1:C728,3,FALSE)</f>
        <v>2.9259848679696874</v>
      </c>
      <c r="J23" s="139">
        <f>I23-VLOOKUP(B$2,H1:J97,2,FALSE)</f>
        <v>-1.3118965380362462</v>
      </c>
    </row>
    <row r="24" spans="1:10" ht="21.25" customHeight="1" x14ac:dyDescent="0.15">
      <c r="A24" s="8" t="s">
        <v>235</v>
      </c>
      <c r="B24" s="65" t="str">
        <f>VLOOKUP(A24,'The List'!B1:D727,3,FALSE)</f>
        <v>RW</v>
      </c>
      <c r="C24" s="66">
        <f>IF(Settings!$E$15="POINTS",RANK(E24,E3:E97),H24)</f>
        <v>22</v>
      </c>
      <c r="D24" s="35" t="str">
        <f>VLOOKUP(A24,'The List'!B1:F727,5,FALSE)</f>
        <v>PIT</v>
      </c>
      <c r="E24" s="39">
        <f>VLOOKUP(A24,'The List'!B1:I727,8,FALSE)</f>
        <v>316.72679432362565</v>
      </c>
      <c r="F24" s="39">
        <f>IF(Settings!$E$15="POINTS",E24-VLOOKUP(B$2,C1:E97,3,FALSE),J24)</f>
        <v>-33.544746224263918</v>
      </c>
      <c r="G24" s="39"/>
      <c r="H24" s="138">
        <f>RANK(I24,I3:I97)</f>
        <v>16</v>
      </c>
      <c r="I24" s="139">
        <f>VLOOKUP(A24,'Standard Deviations'!A1:C728,3,FALSE)</f>
        <v>4.6233963730116479</v>
      </c>
      <c r="J24" s="139">
        <f>I24-VLOOKUP(B$2,H1:J97,2,FALSE)</f>
        <v>0.3855149670057143</v>
      </c>
    </row>
    <row r="25" spans="1:10" ht="21.25" customHeight="1" x14ac:dyDescent="0.15">
      <c r="A25" s="8" t="s">
        <v>232</v>
      </c>
      <c r="B25" s="65" t="str">
        <f>VLOOKUP(A25,'The List'!B1:D727,3,FALSE)</f>
        <v>RW</v>
      </c>
      <c r="C25" s="66">
        <f>IF(Settings!$E$15="POINTS",RANK(E25,E3:E97),H25)</f>
        <v>21</v>
      </c>
      <c r="D25" s="35" t="str">
        <f>VLOOKUP(A25,'The List'!B1:F727,5,FALSE)</f>
        <v>VGK</v>
      </c>
      <c r="E25" s="39">
        <f>VLOOKUP(A25,'The List'!B1:I727,8,FALSE)</f>
        <v>317.47948728912547</v>
      </c>
      <c r="F25" s="39">
        <f>IF(Settings!$E$15="POINTS",E25-VLOOKUP(B$2,C1:E97,3,FALSE),J25)</f>
        <v>-32.792053258764099</v>
      </c>
      <c r="G25" s="39"/>
      <c r="H25" s="138">
        <f>RANK(I25,I3:I97)</f>
        <v>15</v>
      </c>
      <c r="I25" s="139">
        <f>VLOOKUP(A25,'Standard Deviations'!A1:C728,3,FALSE)</f>
        <v>4.8853463570201416</v>
      </c>
      <c r="J25" s="139">
        <f>I25-VLOOKUP(B$2,H1:J97,2,FALSE)</f>
        <v>0.64746495101420809</v>
      </c>
    </row>
    <row r="26" spans="1:10" ht="21.25" customHeight="1" x14ac:dyDescent="0.15">
      <c r="A26" s="8" t="s">
        <v>246</v>
      </c>
      <c r="B26" s="65" t="str">
        <f>VLOOKUP(A26,'The List'!B1:D727,3,FALSE)</f>
        <v>RW</v>
      </c>
      <c r="C26" s="66">
        <f>IF(Settings!$E$15="POINTS",RANK(E26,E3:E97),H26)</f>
        <v>23</v>
      </c>
      <c r="D26" s="35" t="str">
        <f>VLOOKUP(A26,'The List'!B1:F727,5,FALSE)</f>
        <v>PHI</v>
      </c>
      <c r="E26" s="39">
        <f>VLOOKUP(A26,'The List'!B1:I727,8,FALSE)</f>
        <v>307.5907737800411</v>
      </c>
      <c r="F26" s="39">
        <f>IF(Settings!$E$15="POINTS",E26-VLOOKUP(B$2,C1:E97,3,FALSE),J26)</f>
        <v>-42.680766767848468</v>
      </c>
      <c r="G26" s="39"/>
      <c r="H26" s="138">
        <f>RANK(I26,I3:I97)</f>
        <v>27</v>
      </c>
      <c r="I26" s="139">
        <f>VLOOKUP(A26,'Standard Deviations'!A1:C728,3,FALSE)</f>
        <v>2.1164637482350903</v>
      </c>
      <c r="J26" s="139">
        <f>I26-VLOOKUP(B$2,H1:J97,2,FALSE)</f>
        <v>-2.1214176577708432</v>
      </c>
    </row>
    <row r="27" spans="1:10" ht="21.25" customHeight="1" x14ac:dyDescent="0.15">
      <c r="A27" s="8" t="s">
        <v>263</v>
      </c>
      <c r="B27" s="65" t="str">
        <f>VLOOKUP(A27,'The List'!B1:D727,3,FALSE)</f>
        <v>RW</v>
      </c>
      <c r="C27" s="66">
        <f>IF(Settings!$E$15="POINTS",RANK(E27,E3:E97),H27)</f>
        <v>25</v>
      </c>
      <c r="D27" s="35" t="str">
        <f>VLOOKUP(A27,'The List'!B1:F727,5,FALSE)</f>
        <v>OTT</v>
      </c>
      <c r="E27" s="39">
        <f>VLOOKUP(A27,'The List'!B1:I727,8,FALSE)</f>
        <v>288.37566436113985</v>
      </c>
      <c r="F27" s="39">
        <f>IF(Settings!$E$15="POINTS",E27-VLOOKUP(B$2,C1:E97,3,FALSE),J27)</f>
        <v>-61.895876186749717</v>
      </c>
      <c r="G27" s="39"/>
      <c r="H27" s="138">
        <f>RANK(I27,I3:I97)</f>
        <v>25</v>
      </c>
      <c r="I27" s="139">
        <f>VLOOKUP(A27,'Standard Deviations'!A1:C728,3,FALSE)</f>
        <v>2.3523701886878037</v>
      </c>
      <c r="J27" s="139">
        <f>I27-VLOOKUP(B$2,H1:J97,2,FALSE)</f>
        <v>-1.8855112173181299</v>
      </c>
    </row>
    <row r="28" spans="1:10" ht="21.25" customHeight="1" x14ac:dyDescent="0.15">
      <c r="A28" s="8" t="s">
        <v>265</v>
      </c>
      <c r="B28" s="65" t="str">
        <f>VLOOKUP(A28,'The List'!B1:D727,3,FALSE)</f>
        <v>RW</v>
      </c>
      <c r="C28" s="66">
        <f>IF(Settings!$E$15="POINTS",RANK(E28,E3:E97),H28)</f>
        <v>26</v>
      </c>
      <c r="D28" s="35" t="str">
        <f>VLOOKUP(A28,'The List'!B1:F727,5,FALSE)</f>
        <v>VAN</v>
      </c>
      <c r="E28" s="39">
        <f>VLOOKUP(A28,'The List'!B1:I727,8,FALSE)</f>
        <v>284.1781115250115</v>
      </c>
      <c r="F28" s="39">
        <f>IF(Settings!$E$15="POINTS",E28-VLOOKUP(B$2,C1:E97,3,FALSE),J28)</f>
        <v>-66.09342902287807</v>
      </c>
      <c r="G28" s="39"/>
      <c r="H28" s="138">
        <f>RANK(I28,I3:I97)</f>
        <v>29</v>
      </c>
      <c r="I28" s="139">
        <f>VLOOKUP(A28,'Standard Deviations'!A1:C728,3,FALSE)</f>
        <v>1.7372154129414561</v>
      </c>
      <c r="J28" s="139">
        <f>I28-VLOOKUP(B$2,H1:J97,2,FALSE)</f>
        <v>-2.5006659930644775</v>
      </c>
    </row>
    <row r="29" spans="1:10" ht="21.25" customHeight="1" x14ac:dyDescent="0.15">
      <c r="A29" s="8" t="s">
        <v>273</v>
      </c>
      <c r="B29" s="65" t="str">
        <f>VLOOKUP(A29,'The List'!B1:D727,3,FALSE)</f>
        <v>RW</v>
      </c>
      <c r="C29" s="66">
        <f>IF(Settings!$E$15="POINTS",RANK(E29,E3:E97),H29)</f>
        <v>28</v>
      </c>
      <c r="D29" s="35" t="str">
        <f>VLOOKUP(A29,'The List'!B1:F727,5,FALSE)</f>
        <v>SEA</v>
      </c>
      <c r="E29" s="39">
        <f>VLOOKUP(A29,'The List'!B1:I727,8,FALSE)</f>
        <v>274.27785619658812</v>
      </c>
      <c r="F29" s="39">
        <f>IF(Settings!$E$15="POINTS",E29-VLOOKUP(B$2,C1:E97,3,FALSE),J29)</f>
        <v>-75.993684351301454</v>
      </c>
      <c r="G29" s="39"/>
      <c r="H29" s="138">
        <f>RANK(I29,I3:I97)</f>
        <v>28</v>
      </c>
      <c r="I29" s="139">
        <f>VLOOKUP(A29,'Standard Deviations'!A1:C728,3,FALSE)</f>
        <v>1.9371792232004756</v>
      </c>
      <c r="J29" s="139">
        <f>I29-VLOOKUP(B$2,H1:J97,2,FALSE)</f>
        <v>-2.3007021828054581</v>
      </c>
    </row>
    <row r="30" spans="1:10" ht="21.25" customHeight="1" x14ac:dyDescent="0.15">
      <c r="A30" s="8" t="s">
        <v>271</v>
      </c>
      <c r="B30" s="65" t="str">
        <f>VLOOKUP(A30,'The List'!B1:D727,3,FALSE)</f>
        <v>RW</v>
      </c>
      <c r="C30" s="66">
        <f>IF(Settings!$E$15="POINTS",RANK(E30,E3:E97),H30)</f>
        <v>27</v>
      </c>
      <c r="D30" s="35" t="str">
        <f>VLOOKUP(A30,'The List'!B1:F727,5,FALSE)</f>
        <v>PIT</v>
      </c>
      <c r="E30" s="39">
        <f>VLOOKUP(A30,'The List'!B1:I727,8,FALSE)</f>
        <v>274.61398607847298</v>
      </c>
      <c r="F30" s="39">
        <f>IF(Settings!$E$15="POINTS",E30-VLOOKUP(B$2,C1:E97,3,FALSE),J30)</f>
        <v>-75.657554469416596</v>
      </c>
      <c r="G30" s="39"/>
      <c r="H30" s="138">
        <f>RANK(I30,I3:I97)</f>
        <v>23</v>
      </c>
      <c r="I30" s="139">
        <f>VLOOKUP(A30,'Standard Deviations'!A1:C728,3,FALSE)</f>
        <v>2.7913858733508965</v>
      </c>
      <c r="J30" s="139">
        <f>I30-VLOOKUP(B$2,H1:J97,2,FALSE)</f>
        <v>-1.4464955326550371</v>
      </c>
    </row>
    <row r="31" spans="1:10" ht="21.25" customHeight="1" x14ac:dyDescent="0.15">
      <c r="A31" s="8" t="s">
        <v>294</v>
      </c>
      <c r="B31" s="65" t="str">
        <f>VLOOKUP(A31,'The List'!B1:D727,3,FALSE)</f>
        <v>RW</v>
      </c>
      <c r="C31" s="66">
        <f>IF(Settings!$E$15="POINTS",RANK(E31,E3:E97),H31)</f>
        <v>32</v>
      </c>
      <c r="D31" s="35" t="str">
        <f>VLOOKUP(A31,'The List'!B1:F727,5,FALSE)</f>
        <v>NSH</v>
      </c>
      <c r="E31" s="39">
        <f>VLOOKUP(A31,'The List'!B1:I727,8,FALSE)</f>
        <v>256.93122822051691</v>
      </c>
      <c r="F31" s="39">
        <f>IF(Settings!$E$15="POINTS",E31-VLOOKUP(B$2,C1:E97,3,FALSE),J31)</f>
        <v>-93.340312327372658</v>
      </c>
      <c r="G31" s="39"/>
      <c r="H31" s="138">
        <f>RANK(I31,I3:I97)</f>
        <v>35</v>
      </c>
      <c r="I31" s="139">
        <f>VLOOKUP(A31,'Standard Deviations'!A1:C728,3,FALSE)</f>
        <v>1.0254164211875738</v>
      </c>
      <c r="J31" s="139">
        <f>I31-VLOOKUP(B$2,H1:J97,2,FALSE)</f>
        <v>-3.21246498481836</v>
      </c>
    </row>
    <row r="32" spans="1:10" ht="21.25" customHeight="1" x14ac:dyDescent="0.15">
      <c r="A32" s="8" t="s">
        <v>292</v>
      </c>
      <c r="B32" s="65" t="str">
        <f>VLOOKUP(A32,'The List'!B1:D727,3,FALSE)</f>
        <v>RW</v>
      </c>
      <c r="C32" s="66">
        <f>IF(Settings!$E$15="POINTS",RANK(E32,E3:E97),H32)</f>
        <v>30</v>
      </c>
      <c r="D32" s="35" t="str">
        <f>VLOOKUP(A32,'The List'!B1:F727,5,FALSE)</f>
        <v>SEA</v>
      </c>
      <c r="E32" s="39">
        <f>VLOOKUP(A32,'The List'!B1:I727,8,FALSE)</f>
        <v>257.42960669344683</v>
      </c>
      <c r="F32" s="39">
        <f>IF(Settings!$E$15="POINTS",E32-VLOOKUP(B$2,C1:E97,3,FALSE),J32)</f>
        <v>-92.841933854442743</v>
      </c>
      <c r="G32" s="39"/>
      <c r="H32" s="138">
        <f>RANK(I32,I3:I97)</f>
        <v>34</v>
      </c>
      <c r="I32" s="139">
        <f>VLOOKUP(A32,'Standard Deviations'!A1:C728,3,FALSE)</f>
        <v>1.1379841145772072</v>
      </c>
      <c r="J32" s="139">
        <f>I32-VLOOKUP(B$2,H1:J97,2,FALSE)</f>
        <v>-3.0998972914287264</v>
      </c>
    </row>
    <row r="33" spans="1:10" ht="21.25" customHeight="1" x14ac:dyDescent="0.15">
      <c r="A33" s="8" t="s">
        <v>283</v>
      </c>
      <c r="B33" s="65" t="str">
        <f>VLOOKUP(A33,'The List'!B1:D727,3,FALSE)</f>
        <v>RW</v>
      </c>
      <c r="C33" s="66">
        <f>IF(Settings!$E$15="POINTS",RANK(E33,E3:E97),H33)</f>
        <v>29</v>
      </c>
      <c r="D33" s="35" t="str">
        <f>VLOOKUP(A33,'The List'!B1:F727,5,FALSE)</f>
        <v>PIT</v>
      </c>
      <c r="E33" s="39">
        <f>VLOOKUP(A33,'The List'!B1:I727,8,FALSE)</f>
        <v>263.48794626075983</v>
      </c>
      <c r="F33" s="39">
        <f>IF(Settings!$E$15="POINTS",E33-VLOOKUP(B$2,C1:E97,3,FALSE),J33)</f>
        <v>-86.783594287129745</v>
      </c>
      <c r="G33" s="39"/>
      <c r="H33" s="138">
        <f>RANK(I33,I3:I97)</f>
        <v>31</v>
      </c>
      <c r="I33" s="139">
        <f>VLOOKUP(A33,'Standard Deviations'!A1:C728,3,FALSE)</f>
        <v>1.5949016072482189</v>
      </c>
      <c r="J33" s="139">
        <f>I33-VLOOKUP(B$2,H1:J97,2,FALSE)</f>
        <v>-2.6429797987577146</v>
      </c>
    </row>
    <row r="34" spans="1:10" ht="21.25" customHeight="1" x14ac:dyDescent="0.15">
      <c r="A34" s="8" t="s">
        <v>293</v>
      </c>
      <c r="B34" s="65" t="str">
        <f>VLOOKUP(A34,'The List'!B1:D727,3,FALSE)</f>
        <v>RW</v>
      </c>
      <c r="C34" s="66">
        <f>IF(Settings!$E$15="POINTS",RANK(E34,E3:E97),H34)</f>
        <v>31</v>
      </c>
      <c r="D34" s="35" t="str">
        <f>VLOOKUP(A34,'The List'!B1:F727,5,FALSE)</f>
        <v>MIN</v>
      </c>
      <c r="E34" s="39">
        <f>VLOOKUP(A34,'The List'!B1:I727,8,FALSE)</f>
        <v>257.42647415307243</v>
      </c>
      <c r="F34" s="39">
        <f>IF(Settings!$E$15="POINTS",E34-VLOOKUP(B$2,C1:E97,3,FALSE),J34)</f>
        <v>-92.845066394817138</v>
      </c>
      <c r="G34" s="39"/>
      <c r="H34" s="138">
        <f>RANK(I34,I3:I97)</f>
        <v>26</v>
      </c>
      <c r="I34" s="139">
        <f>VLOOKUP(A34,'Standard Deviations'!A1:C728,3,FALSE)</f>
        <v>2.1915369097381636</v>
      </c>
      <c r="J34" s="139">
        <f>I34-VLOOKUP(B$2,H1:J97,2,FALSE)</f>
        <v>-2.0463444962677699</v>
      </c>
    </row>
    <row r="35" spans="1:10" ht="21.25" customHeight="1" x14ac:dyDescent="0.15">
      <c r="A35" s="8" t="s">
        <v>301</v>
      </c>
      <c r="B35" s="65" t="str">
        <f>VLOOKUP(A35,'The List'!B1:D727,3,FALSE)</f>
        <v>RW</v>
      </c>
      <c r="C35" s="66">
        <f>IF(Settings!$E$15="POINTS",RANK(E35,E3:E97),H35)</f>
        <v>33</v>
      </c>
      <c r="D35" s="35" t="str">
        <f>VLOOKUP(A35,'The List'!B1:F727,5,FALSE)</f>
        <v>VAN</v>
      </c>
      <c r="E35" s="39">
        <f>VLOOKUP(A35,'The List'!B1:I727,8,FALSE)</f>
        <v>252.21787686588482</v>
      </c>
      <c r="F35" s="39">
        <f>IF(Settings!$E$15="POINTS",E35-VLOOKUP(B$2,C1:E97,3,FALSE),J35)</f>
        <v>-98.053663682004753</v>
      </c>
      <c r="G35" s="39"/>
      <c r="H35" s="138">
        <f>RANK(I35,I3:I97)</f>
        <v>33</v>
      </c>
      <c r="I35" s="139">
        <f>VLOOKUP(A35,'Standard Deviations'!A1:C728,3,FALSE)</f>
        <v>1.1724616072262513</v>
      </c>
      <c r="J35" s="139">
        <f>I35-VLOOKUP(B$2,H1:J97,2,FALSE)</f>
        <v>-3.0654197987796823</v>
      </c>
    </row>
    <row r="36" spans="1:10" ht="21.25" customHeight="1" x14ac:dyDescent="0.15">
      <c r="A36" s="8" t="s">
        <v>331</v>
      </c>
      <c r="B36" s="65" t="str">
        <f>VLOOKUP(A36,'The List'!B1:D727,3,FALSE)</f>
        <v>RW</v>
      </c>
      <c r="C36" s="66">
        <f>IF(Settings!$E$15="POINTS",RANK(E36,E3:E97),H36)</f>
        <v>38</v>
      </c>
      <c r="D36" s="35" t="str">
        <f>VLOOKUP(A36,'The List'!B1:F727,5,FALSE)</f>
        <v>NYR</v>
      </c>
      <c r="E36" s="39">
        <f>VLOOKUP(A36,'The List'!B1:I727,8,FALSE)</f>
        <v>233.39779012995831</v>
      </c>
      <c r="F36" s="39">
        <f>IF(Settings!$E$15="POINTS",E36-VLOOKUP(B$2,C1:E97,3,FALSE),J36)</f>
        <v>-116.87375041793126</v>
      </c>
      <c r="G36" s="39"/>
      <c r="H36" s="138">
        <f>RANK(I36,I3:I97)</f>
        <v>32</v>
      </c>
      <c r="I36" s="139">
        <f>VLOOKUP(A36,'Standard Deviations'!A1:C728,3,FALSE)</f>
        <v>1.2130505867866543</v>
      </c>
      <c r="J36" s="139">
        <f>I36-VLOOKUP(B$2,H1:J97,2,FALSE)</f>
        <v>-3.0248308192192792</v>
      </c>
    </row>
    <row r="37" spans="1:10" ht="21.25" customHeight="1" x14ac:dyDescent="0.15">
      <c r="A37" s="8" t="s">
        <v>314</v>
      </c>
      <c r="B37" s="65" t="str">
        <f>VLOOKUP(A37,'The List'!B1:D727,3,FALSE)</f>
        <v>RW</v>
      </c>
      <c r="C37" s="66">
        <f>IF(Settings!$E$15="POINTS",RANK(E37,E3:E97),H37)</f>
        <v>35</v>
      </c>
      <c r="D37" s="35" t="str">
        <f>VLOOKUP(A37,'The List'!B1:F727,5,FALSE)</f>
        <v>CBJ</v>
      </c>
      <c r="E37" s="39">
        <f>VLOOKUP(A37,'The List'!B1:I727,8,FALSE)</f>
        <v>242.18344030909975</v>
      </c>
      <c r="F37" s="39">
        <f>IF(Settings!$E$15="POINTS",E37-VLOOKUP(B$2,C1:E97,3,FALSE),J37)</f>
        <v>-108.08810023878982</v>
      </c>
      <c r="G37" s="39"/>
      <c r="H37" s="138">
        <f>RANK(I37,I3:I97)</f>
        <v>41</v>
      </c>
      <c r="I37" s="139">
        <f>VLOOKUP(A37,'Standard Deviations'!A1:C728,3,FALSE)</f>
        <v>9.1740645740331139E-2</v>
      </c>
      <c r="J37" s="139">
        <f>I37-VLOOKUP(B$2,H1:J97,2,FALSE)</f>
        <v>-4.1461407602656024</v>
      </c>
    </row>
    <row r="38" spans="1:10" ht="21.25" customHeight="1" x14ac:dyDescent="0.15">
      <c r="A38" s="8" t="s">
        <v>310</v>
      </c>
      <c r="B38" s="65" t="str">
        <f>VLOOKUP(A38,'The List'!B1:D727,3,FALSE)</f>
        <v>RW</v>
      </c>
      <c r="C38" s="66">
        <f>IF(Settings!$E$15="POINTS",RANK(E38,E3:E97),H38)</f>
        <v>34</v>
      </c>
      <c r="D38" s="35" t="str">
        <f>VLOOKUP(A38,'The List'!B1:F727,5,FALSE)</f>
        <v>WSH</v>
      </c>
      <c r="E38" s="39">
        <f>VLOOKUP(A38,'The List'!B1:I727,8,FALSE)</f>
        <v>243.51211310531798</v>
      </c>
      <c r="F38" s="39">
        <f>IF(Settings!$E$15="POINTS",E38-VLOOKUP(B$2,C1:E97,3,FALSE),J38)</f>
        <v>-106.75942744257159</v>
      </c>
      <c r="G38" s="39"/>
      <c r="H38" s="138">
        <f>RANK(I38,I3:I97)</f>
        <v>36</v>
      </c>
      <c r="I38" s="139">
        <f>VLOOKUP(A38,'Standard Deviations'!A1:C728,3,FALSE)</f>
        <v>0.39868648346332236</v>
      </c>
      <c r="J38" s="139">
        <f>I38-VLOOKUP(B$2,H1:J97,2,FALSE)</f>
        <v>-3.8391949225426112</v>
      </c>
    </row>
    <row r="39" spans="1:10" ht="21.25" customHeight="1" x14ac:dyDescent="0.15">
      <c r="A39" s="8" t="s">
        <v>317</v>
      </c>
      <c r="B39" s="65" t="str">
        <f>VLOOKUP(A39,'The List'!B1:D727,3,FALSE)</f>
        <v>RW</v>
      </c>
      <c r="C39" s="66">
        <f>IF(Settings!$E$15="POINTS",RANK(E39,E3:E97),H39)</f>
        <v>36</v>
      </c>
      <c r="D39" s="35" t="str">
        <f>VLOOKUP(A39,'The List'!B1:F727,5,FALSE)</f>
        <v>WPG</v>
      </c>
      <c r="E39" s="39">
        <f>VLOOKUP(A39,'The List'!B1:I727,8,FALSE)</f>
        <v>239.42784451887565</v>
      </c>
      <c r="F39" s="39">
        <f>IF(Settings!$E$15="POINTS",E39-VLOOKUP(B$2,C1:E97,3,FALSE),J39)</f>
        <v>-110.84369602901393</v>
      </c>
      <c r="G39" s="39"/>
      <c r="H39" s="138">
        <f>RANK(I39,I3:I97)</f>
        <v>30</v>
      </c>
      <c r="I39" s="139">
        <f>VLOOKUP(A39,'Standard Deviations'!A1:C728,3,FALSE)</f>
        <v>1.696383097472145</v>
      </c>
      <c r="J39" s="139">
        <f>I39-VLOOKUP(B$2,H1:J97,2,FALSE)</f>
        <v>-2.5414983085337886</v>
      </c>
    </row>
    <row r="40" spans="1:10" ht="21.25" customHeight="1" x14ac:dyDescent="0.15">
      <c r="A40" s="8" t="s">
        <v>318</v>
      </c>
      <c r="B40" s="65" t="str">
        <f>VLOOKUP(A40,'The List'!B1:D727,3,FALSE)</f>
        <v>RW</v>
      </c>
      <c r="C40" s="66">
        <f>IF(Settings!$E$15="POINTS",RANK(E40,E3:E97),H40)</f>
        <v>37</v>
      </c>
      <c r="D40" s="35" t="str">
        <f>VLOOKUP(A40,'The List'!B1:F727,5,FALSE)</f>
        <v>CBJ</v>
      </c>
      <c r="E40" s="39">
        <f>VLOOKUP(A40,'The List'!B1:I727,8,FALSE)</f>
        <v>239.09325561043323</v>
      </c>
      <c r="F40" s="39">
        <f>IF(Settings!$E$15="POINTS",E40-VLOOKUP(B$2,C1:E97,3,FALSE),J40)</f>
        <v>-111.17828493745634</v>
      </c>
      <c r="G40" s="39"/>
      <c r="H40" s="138">
        <f>RANK(I40,I3:I97)</f>
        <v>47</v>
      </c>
      <c r="I40" s="139">
        <f>VLOOKUP(A40,'Standard Deviations'!A1:C728,3,FALSE)</f>
        <v>-0.71772931767661508</v>
      </c>
      <c r="J40" s="139">
        <f>I40-VLOOKUP(B$2,H1:J97,2,FALSE)</f>
        <v>-4.9556107236825486</v>
      </c>
    </row>
    <row r="41" spans="1:10" ht="21.25" customHeight="1" x14ac:dyDescent="0.15">
      <c r="A41" s="8" t="s">
        <v>333</v>
      </c>
      <c r="B41" s="65" t="str">
        <f>VLOOKUP(A41,'The List'!B1:D727,3,FALSE)</f>
        <v>RW</v>
      </c>
      <c r="C41" s="66">
        <f>IF(Settings!$E$15="POINTS",RANK(E41,E3:E97),H41)</f>
        <v>39</v>
      </c>
      <c r="D41" s="35" t="str">
        <f>VLOOKUP(A41,'The List'!B1:F727,5,FALSE)</f>
        <v>WSH</v>
      </c>
      <c r="E41" s="39">
        <f>VLOOKUP(A41,'The List'!B1:I727,8,FALSE)</f>
        <v>232.4325036760134</v>
      </c>
      <c r="F41" s="39">
        <f>IF(Settings!$E$15="POINTS",E41-VLOOKUP(B$2,C1:E97,3,FALSE),J41)</f>
        <v>-117.83903687187617</v>
      </c>
      <c r="G41" s="39"/>
      <c r="H41" s="138">
        <f>RANK(I41,I3:I97)</f>
        <v>42</v>
      </c>
      <c r="I41" s="139">
        <f>VLOOKUP(A41,'Standard Deviations'!A1:C728,3,FALSE)</f>
        <v>-6.5577446428419228E-2</v>
      </c>
      <c r="J41" s="139">
        <f>I41-VLOOKUP(B$2,H1:J97,2,FALSE)</f>
        <v>-4.3034588524343524</v>
      </c>
    </row>
    <row r="42" spans="1:10" ht="21.25" customHeight="1" x14ac:dyDescent="0.15">
      <c r="A42" s="8" t="s">
        <v>344</v>
      </c>
      <c r="B42" s="65" t="str">
        <f>VLOOKUP(A42,'The List'!B1:D727,3,FALSE)</f>
        <v>RW</v>
      </c>
      <c r="C42" s="66">
        <f>IF(Settings!$E$15="POINTS",RANK(E42,E3:E97),H42)</f>
        <v>40</v>
      </c>
      <c r="D42" s="35" t="str">
        <f>VLOOKUP(A42,'The List'!B1:F727,5,FALSE)</f>
        <v>DET</v>
      </c>
      <c r="E42" s="39">
        <f>VLOOKUP(A42,'The List'!B1:I727,8,FALSE)</f>
        <v>227.41713460475484</v>
      </c>
      <c r="F42" s="39">
        <f>IF(Settings!$E$15="POINTS",E42-VLOOKUP(B$2,C1:E97,3,FALSE),J42)</f>
        <v>-122.85440594313474</v>
      </c>
      <c r="G42" s="39"/>
      <c r="H42" s="138">
        <f>RANK(I42,I3:I97)</f>
        <v>38</v>
      </c>
      <c r="I42" s="139">
        <f>VLOOKUP(A42,'Standard Deviations'!A1:C728,3,FALSE)</f>
        <v>0.33179983883495234</v>
      </c>
      <c r="J42" s="139">
        <f>I42-VLOOKUP(B$2,H1:J97,2,FALSE)</f>
        <v>-3.9060815671709812</v>
      </c>
    </row>
    <row r="43" spans="1:10" ht="21.25" customHeight="1" x14ac:dyDescent="0.15">
      <c r="A43" s="8" t="s">
        <v>355</v>
      </c>
      <c r="B43" s="65" t="str">
        <f>VLOOKUP(A43,'The List'!B1:D727,3,FALSE)</f>
        <v>RW</v>
      </c>
      <c r="C43" s="66">
        <f>IF(Settings!$E$15="POINTS",RANK(E43,E3:E97),H43)</f>
        <v>42</v>
      </c>
      <c r="D43" s="35" t="str">
        <f>VLOOKUP(A43,'The List'!B1:F727,5,FALSE)</f>
        <v>PHI</v>
      </c>
      <c r="E43" s="39">
        <f>VLOOKUP(A43,'The List'!B1:I727,8,FALSE)</f>
        <v>222.94512798654398</v>
      </c>
      <c r="F43" s="39">
        <f>IF(Settings!$E$15="POINTS",E43-VLOOKUP(B$2,C1:E97,3,FALSE),J43)</f>
        <v>-127.32641256134559</v>
      </c>
      <c r="G43" s="39"/>
      <c r="H43" s="138">
        <f>RANK(I43,I3:I97)</f>
        <v>48</v>
      </c>
      <c r="I43" s="139">
        <f>VLOOKUP(A43,'Standard Deviations'!A1:C728,3,FALSE)</f>
        <v>-0.82404892106087346</v>
      </c>
      <c r="J43" s="139">
        <f>I43-VLOOKUP(B$2,H1:J97,2,FALSE)</f>
        <v>-5.0619303270668068</v>
      </c>
    </row>
    <row r="44" spans="1:10" ht="21.25" customHeight="1" x14ac:dyDescent="0.15">
      <c r="A44" s="8" t="s">
        <v>351</v>
      </c>
      <c r="B44" s="65" t="str">
        <f>VLOOKUP(A44,'The List'!B1:D727,3,FALSE)</f>
        <v>RW</v>
      </c>
      <c r="C44" s="66">
        <f>IF(Settings!$E$15="POINTS",RANK(E44,E3:E97),H44)</f>
        <v>41</v>
      </c>
      <c r="D44" s="35" t="str">
        <f>VLOOKUP(A44,'The List'!B1:F727,5,FALSE)</f>
        <v>VAN</v>
      </c>
      <c r="E44" s="39">
        <f>VLOOKUP(A44,'The List'!B1:I727,8,FALSE)</f>
        <v>225.16575244291042</v>
      </c>
      <c r="F44" s="39">
        <f>IF(Settings!$E$15="POINTS",E44-VLOOKUP(B$2,C1:E97,3,FALSE),J44)</f>
        <v>-125.10578810497915</v>
      </c>
      <c r="G44" s="39"/>
      <c r="H44" s="138">
        <f>RANK(I44,I3:I97)</f>
        <v>40</v>
      </c>
      <c r="I44" s="139">
        <f>VLOOKUP(A44,'Standard Deviations'!A1:C728,3,FALSE)</f>
        <v>0.14706850323606704</v>
      </c>
      <c r="J44" s="139">
        <f>I44-VLOOKUP(B$2,H1:J97,2,FALSE)</f>
        <v>-4.0908129027698665</v>
      </c>
    </row>
    <row r="45" spans="1:10" ht="21.25" customHeight="1" x14ac:dyDescent="0.15">
      <c r="A45" s="8" t="s">
        <v>374</v>
      </c>
      <c r="B45" s="65" t="str">
        <f>VLOOKUP(A45,'The List'!B1:D727,3,FALSE)</f>
        <v>RW</v>
      </c>
      <c r="C45" s="66">
        <f>IF(Settings!$E$15="POINTS",RANK(E45,E3:E97),H45)</f>
        <v>44</v>
      </c>
      <c r="D45" s="35" t="str">
        <f>VLOOKUP(A45,'The List'!B1:F727,5,FALSE)</f>
        <v>CHI</v>
      </c>
      <c r="E45" s="39">
        <f>VLOOKUP(A45,'The List'!B1:I727,8,FALSE)</f>
        <v>212.60522244929504</v>
      </c>
      <c r="F45" s="39">
        <f>IF(Settings!$E$15="POINTS",E45-VLOOKUP(B$2,C1:E97,3,FALSE),J45)</f>
        <v>-137.66631809859453</v>
      </c>
      <c r="G45" s="39"/>
      <c r="H45" s="138">
        <f>RANK(I45,I3:I97)</f>
        <v>50</v>
      </c>
      <c r="I45" s="139">
        <f>VLOOKUP(A45,'Standard Deviations'!A1:C728,3,FALSE)</f>
        <v>-1.3783698249500569</v>
      </c>
      <c r="J45" s="139">
        <f>I45-VLOOKUP(B$2,H1:J97,2,FALSE)</f>
        <v>-5.6162512309559904</v>
      </c>
    </row>
    <row r="46" spans="1:10" ht="21.25" customHeight="1" x14ac:dyDescent="0.15">
      <c r="A46" s="8" t="s">
        <v>369</v>
      </c>
      <c r="B46" s="65" t="str">
        <f>VLOOKUP(A46,'The List'!B1:D727,3,FALSE)</f>
        <v>RW</v>
      </c>
      <c r="C46" s="66">
        <f>IF(Settings!$E$15="POINTS",RANK(E46,E3:E97),H46)</f>
        <v>43</v>
      </c>
      <c r="D46" s="35" t="str">
        <f>VLOOKUP(A46,'The List'!B1:F727,5,FALSE)</f>
        <v>MTL</v>
      </c>
      <c r="E46" s="39">
        <f>VLOOKUP(A46,'The List'!B1:I727,8,FALSE)</f>
        <v>214.53981343040812</v>
      </c>
      <c r="F46" s="39">
        <f>IF(Settings!$E$15="POINTS",E46-VLOOKUP(B$2,C1:E97,3,FALSE),J46)</f>
        <v>-135.73172711748146</v>
      </c>
      <c r="G46" s="39"/>
      <c r="H46" s="138">
        <f>RANK(I46,I3:I97)</f>
        <v>55</v>
      </c>
      <c r="I46" s="139">
        <f>VLOOKUP(A46,'Standard Deviations'!A1:C728,3,FALSE)</f>
        <v>-1.78029001000094</v>
      </c>
      <c r="J46" s="139">
        <f>I46-VLOOKUP(B$2,H1:J97,2,FALSE)</f>
        <v>-6.018171416006874</v>
      </c>
    </row>
    <row r="47" spans="1:10" ht="21.25" customHeight="1" x14ac:dyDescent="0.15">
      <c r="A47" s="8" t="s">
        <v>388</v>
      </c>
      <c r="B47" s="65" t="str">
        <f>VLOOKUP(A47,'The List'!B1:D727,3,FALSE)</f>
        <v>RW</v>
      </c>
      <c r="C47" s="66">
        <f>IF(Settings!$E$15="POINTS",RANK(E47,E3:E97),H47)</f>
        <v>45</v>
      </c>
      <c r="D47" s="35" t="str">
        <f>VLOOKUP(A47,'The List'!B1:F727,5,FALSE)</f>
        <v>NYI</v>
      </c>
      <c r="E47" s="39">
        <f>VLOOKUP(A47,'The List'!B1:I727,8,FALSE)</f>
        <v>203.26732339472701</v>
      </c>
      <c r="F47" s="39">
        <f>IF(Settings!$E$15="POINTS",E47-VLOOKUP(B$2,C1:E97,3,FALSE),J47)</f>
        <v>-147.00421715316256</v>
      </c>
      <c r="G47" s="39"/>
      <c r="H47" s="138">
        <f>RANK(I47,I3:I97)</f>
        <v>44</v>
      </c>
      <c r="I47" s="139">
        <f>VLOOKUP(A47,'Standard Deviations'!A1:C728,3,FALSE)</f>
        <v>-0.24818631007360359</v>
      </c>
      <c r="J47" s="139">
        <f>I47-VLOOKUP(B$2,H1:J97,2,FALSE)</f>
        <v>-4.4860677160795372</v>
      </c>
    </row>
    <row r="48" spans="1:10" ht="21.25" customHeight="1" x14ac:dyDescent="0.15">
      <c r="A48" s="8" t="s">
        <v>415</v>
      </c>
      <c r="B48" s="65" t="str">
        <f>VLOOKUP(A48,'The List'!B1:D727,3,FALSE)</f>
        <v>RW</v>
      </c>
      <c r="C48" s="66">
        <f>IF(Settings!$E$15="POINTS",RANK(E48,E3:E97),H48)</f>
        <v>47</v>
      </c>
      <c r="D48" s="35" t="str">
        <f>VLOOKUP(A48,'The List'!B1:F727,5,FALSE)</f>
        <v>SEA</v>
      </c>
      <c r="E48" s="39">
        <f>VLOOKUP(A48,'The List'!B1:I727,8,FALSE)</f>
        <v>192.8107458287582</v>
      </c>
      <c r="F48" s="39">
        <f>IF(Settings!$E$15="POINTS",E48-VLOOKUP(B$2,C1:E97,3,FALSE),J48)</f>
        <v>-157.46079471913137</v>
      </c>
      <c r="G48" s="39"/>
      <c r="H48" s="138">
        <f>RANK(I48,I3:I97)</f>
        <v>43</v>
      </c>
      <c r="I48" s="139">
        <f>VLOOKUP(A48,'Standard Deviations'!A1:C728,3,FALSE)</f>
        <v>-0.16591051026952713</v>
      </c>
      <c r="J48" s="139">
        <f>I48-VLOOKUP(B$2,H1:J97,2,FALSE)</f>
        <v>-4.4037919162754608</v>
      </c>
    </row>
    <row r="49" spans="1:10" ht="21.25" customHeight="1" x14ac:dyDescent="0.15">
      <c r="A49" s="8" t="s">
        <v>408</v>
      </c>
      <c r="B49" s="65" t="str">
        <f>VLOOKUP(A49,'The List'!B1:D727,3,FALSE)</f>
        <v>RW</v>
      </c>
      <c r="C49" s="66">
        <f>IF(Settings!$E$15="POINTS",RANK(E49,E3:E97),H49)</f>
        <v>46</v>
      </c>
      <c r="D49" s="35" t="str">
        <f>VLOOKUP(A49,'The List'!B1:F727,5,FALSE)</f>
        <v>NYR</v>
      </c>
      <c r="E49" s="39">
        <f>VLOOKUP(A49,'The List'!B1:I727,8,FALSE)</f>
        <v>195.39912329851066</v>
      </c>
      <c r="F49" s="39">
        <f>IF(Settings!$E$15="POINTS",E49-VLOOKUP(B$2,C1:E97,3,FALSE),J49)</f>
        <v>-154.87241724937891</v>
      </c>
      <c r="G49" s="39"/>
      <c r="H49" s="138">
        <f>RANK(I49,I3:I97)</f>
        <v>39</v>
      </c>
      <c r="I49" s="139">
        <f>VLOOKUP(A49,'Standard Deviations'!A1:C728,3,FALSE)</f>
        <v>0.32318463423770261</v>
      </c>
      <c r="J49" s="139">
        <f>I49-VLOOKUP(B$2,H1:J97,2,FALSE)</f>
        <v>-3.9146967717682308</v>
      </c>
    </row>
    <row r="50" spans="1:10" ht="21.25" customHeight="1" x14ac:dyDescent="0.15">
      <c r="A50" s="8" t="s">
        <v>430</v>
      </c>
      <c r="B50" s="65" t="str">
        <f>VLOOKUP(A50,'The List'!B1:D727,3,FALSE)</f>
        <v>RW</v>
      </c>
      <c r="C50" s="66">
        <f>IF(Settings!$E$15="POINTS",RANK(E50,E3:E97),H50)</f>
        <v>48</v>
      </c>
      <c r="D50" s="35" t="str">
        <f>VLOOKUP(A50,'The List'!B1:F727,5,FALSE)</f>
        <v>STL</v>
      </c>
      <c r="E50" s="39">
        <f>VLOOKUP(A50,'The List'!B1:I727,8,FALSE)</f>
        <v>187.42853374233067</v>
      </c>
      <c r="F50" s="39">
        <f>IF(Settings!$E$15="POINTS",E50-VLOOKUP(B$2,C1:E97,3,FALSE),J50)</f>
        <v>-162.8430068055589</v>
      </c>
      <c r="G50" s="39"/>
      <c r="H50" s="138">
        <f>RANK(I50,I3:I97)</f>
        <v>57</v>
      </c>
      <c r="I50" s="139">
        <f>VLOOKUP(A50,'Standard Deviations'!A1:C728,3,FALSE)</f>
        <v>-2.3311346258361869</v>
      </c>
      <c r="J50" s="139">
        <f>I50-VLOOKUP(B$2,H1:J97,2,FALSE)</f>
        <v>-6.5690160318421205</v>
      </c>
    </row>
    <row r="51" spans="1:10" ht="21.25" customHeight="1" x14ac:dyDescent="0.15">
      <c r="A51" s="8" t="s">
        <v>441</v>
      </c>
      <c r="B51" s="65" t="str">
        <f>VLOOKUP(A51,'The List'!B1:D727,3,FALSE)</f>
        <v>RW</v>
      </c>
      <c r="C51" s="66">
        <f>IF(Settings!$E$15="POINTS",RANK(E51,E3:E97),H51)</f>
        <v>49</v>
      </c>
      <c r="D51" s="35" t="str">
        <f>VLOOKUP(A51,'The List'!B1:F727,5,FALSE)</f>
        <v>UFA</v>
      </c>
      <c r="E51" s="39">
        <f>VLOOKUP(A51,'The List'!B1:I727,8,FALSE)</f>
        <v>182.39480577168843</v>
      </c>
      <c r="F51" s="39">
        <f>IF(Settings!$E$15="POINTS",E51-VLOOKUP(B$2,C1:E97,3,FALSE),J51)</f>
        <v>-167.87673477620115</v>
      </c>
      <c r="G51" s="39"/>
      <c r="H51" s="138">
        <f>RANK(I51,I3:I97)</f>
        <v>54</v>
      </c>
      <c r="I51" s="139">
        <f>VLOOKUP(A51,'Standard Deviations'!A1:C728,3,FALSE)</f>
        <v>-1.6315287513852743</v>
      </c>
      <c r="J51" s="139">
        <f>I51-VLOOKUP(B$2,H1:J97,2,FALSE)</f>
        <v>-5.8694101573912079</v>
      </c>
    </row>
    <row r="52" spans="1:10" ht="21.25" customHeight="1" x14ac:dyDescent="0.15">
      <c r="A52" s="8" t="s">
        <v>450</v>
      </c>
      <c r="B52" s="65" t="str">
        <f>VLOOKUP(A52,'The List'!B1:D727,3,FALSE)</f>
        <v>RW</v>
      </c>
      <c r="C52" s="66">
        <f>IF(Settings!$E$15="POINTS",RANK(E52,E3:E97),H52)</f>
        <v>50</v>
      </c>
      <c r="D52" s="35" t="str">
        <f>VLOOKUP(A52,'The List'!B1:F727,5,FALSE)</f>
        <v>CAR</v>
      </c>
      <c r="E52" s="39">
        <f>VLOOKUP(A52,'The List'!B1:I727,8,FALSE)</f>
        <v>179.30925331225595</v>
      </c>
      <c r="F52" s="39">
        <f>IF(Settings!$E$15="POINTS",E52-VLOOKUP(B$2,C1:E97,3,FALSE),J52)</f>
        <v>-170.96228723563362</v>
      </c>
      <c r="G52" s="39"/>
      <c r="H52" s="138">
        <f>RANK(I52,I3:I97)</f>
        <v>37</v>
      </c>
      <c r="I52" s="139">
        <f>VLOOKUP(A52,'Standard Deviations'!A1:C728,3,FALSE)</f>
        <v>0.36564363720330895</v>
      </c>
      <c r="J52" s="139">
        <f>I52-VLOOKUP(B$2,H1:J97,2,FALSE)</f>
        <v>-3.8722377688026244</v>
      </c>
    </row>
    <row r="53" spans="1:10" ht="21.25" customHeight="1" x14ac:dyDescent="0.15">
      <c r="A53" s="8" t="s">
        <v>462</v>
      </c>
      <c r="B53" s="65" t="str">
        <f>VLOOKUP(A53,'The List'!B1:D727,3,FALSE)</f>
        <v>RW</v>
      </c>
      <c r="C53" s="66">
        <f>IF(Settings!$E$15="POINTS",RANK(E53,E3:E97),H53)</f>
        <v>52</v>
      </c>
      <c r="D53" s="35" t="str">
        <f>VLOOKUP(A53,'The List'!B1:F727,5,FALSE)</f>
        <v>BUF</v>
      </c>
      <c r="E53" s="39">
        <f>VLOOKUP(A53,'The List'!B1:I727,8,FALSE)</f>
        <v>175.72702744708732</v>
      </c>
      <c r="F53" s="39">
        <f>IF(Settings!$E$15="POINTS",E53-VLOOKUP(B$2,C1:E97,3,FALSE),J53)</f>
        <v>-174.54451310080225</v>
      </c>
      <c r="G53" s="39"/>
      <c r="H53" s="138">
        <f>RANK(I53,I3:I97)</f>
        <v>60</v>
      </c>
      <c r="I53" s="139">
        <f>VLOOKUP(A53,'Standard Deviations'!A1:C728,3,FALSE)</f>
        <v>-2.4593645072760735</v>
      </c>
      <c r="J53" s="139">
        <f>I53-VLOOKUP(B$2,H1:J97,2,FALSE)</f>
        <v>-6.697245913282007</v>
      </c>
    </row>
    <row r="54" spans="1:10" ht="21.25" customHeight="1" x14ac:dyDescent="0.15">
      <c r="A54" s="8" t="s">
        <v>452</v>
      </c>
      <c r="B54" s="65" t="str">
        <f>VLOOKUP(A54,'The List'!B1:D727,3,FALSE)</f>
        <v>RW</v>
      </c>
      <c r="C54" s="66">
        <f>IF(Settings!$E$15="POINTS",RANK(E54,E3:E97),H54)</f>
        <v>51</v>
      </c>
      <c r="D54" s="35" t="str">
        <f>VLOOKUP(A54,'The List'!B1:F727,5,FALSE)</f>
        <v>EDM</v>
      </c>
      <c r="E54" s="39">
        <f>VLOOKUP(A54,'The List'!B1:I727,8,FALSE)</f>
        <v>179.1583630533502</v>
      </c>
      <c r="F54" s="39">
        <f>IF(Settings!$E$15="POINTS",E54-VLOOKUP(B$2,C1:E97,3,FALSE),J54)</f>
        <v>-171.11317749453937</v>
      </c>
      <c r="G54" s="39"/>
      <c r="H54" s="138">
        <f>RANK(I54,I3:I97)</f>
        <v>46</v>
      </c>
      <c r="I54" s="139">
        <f>VLOOKUP(A54,'Standard Deviations'!A1:C728,3,FALSE)</f>
        <v>-0.68496267548818801</v>
      </c>
      <c r="J54" s="139">
        <f>I54-VLOOKUP(B$2,H1:J97,2,FALSE)</f>
        <v>-4.9228440814941212</v>
      </c>
    </row>
    <row r="55" spans="1:10" ht="21.25" customHeight="1" x14ac:dyDescent="0.15">
      <c r="A55" s="8" t="s">
        <v>477</v>
      </c>
      <c r="B55" s="65" t="str">
        <f>VLOOKUP(A55,'The List'!B1:D727,3,FALSE)</f>
        <v>RW</v>
      </c>
      <c r="C55" s="66">
        <f>IF(Settings!$E$15="POINTS",RANK(E55,E3:E97),H55)</f>
        <v>54</v>
      </c>
      <c r="D55" s="35" t="str">
        <f>VLOOKUP(A55,'The List'!B1:F727,5,FALSE)</f>
        <v>SJS</v>
      </c>
      <c r="E55" s="39">
        <f>VLOOKUP(A55,'The List'!B1:I727,8,FALSE)</f>
        <v>171.04342929470215</v>
      </c>
      <c r="F55" s="39">
        <f>IF(Settings!$E$15="POINTS",E55-VLOOKUP(B$2,C1:E97,3,FALSE),J55)</f>
        <v>-179.22811125318742</v>
      </c>
      <c r="G55" s="39"/>
      <c r="H55" s="138">
        <f>RANK(I55,I3:I97)</f>
        <v>51</v>
      </c>
      <c r="I55" s="139">
        <f>VLOOKUP(A55,'Standard Deviations'!A1:C728,3,FALSE)</f>
        <v>-1.5609614154748062</v>
      </c>
      <c r="J55" s="139">
        <f>I55-VLOOKUP(B$2,H1:J97,2,FALSE)</f>
        <v>-5.7988428214807399</v>
      </c>
    </row>
    <row r="56" spans="1:10" ht="21.25" customHeight="1" x14ac:dyDescent="0.15">
      <c r="A56" s="8" t="s">
        <v>476</v>
      </c>
      <c r="B56" s="65" t="str">
        <f>VLOOKUP(A56,'The List'!B1:D727,3,FALSE)</f>
        <v>RW</v>
      </c>
      <c r="C56" s="66">
        <f>IF(Settings!$E$15="POINTS",RANK(E56,E3:E97),H56)</f>
        <v>53</v>
      </c>
      <c r="D56" s="35" t="str">
        <f>VLOOKUP(A56,'The List'!B1:F727,5,FALSE)</f>
        <v>DAL</v>
      </c>
      <c r="E56" s="39">
        <f>VLOOKUP(A56,'The List'!B1:I727,8,FALSE)</f>
        <v>171.26791970281431</v>
      </c>
      <c r="F56" s="39">
        <f>IF(Settings!$E$15="POINTS",E56-VLOOKUP(B$2,C1:E97,3,FALSE),J56)</f>
        <v>-179.00362084507526</v>
      </c>
      <c r="G56" s="39"/>
      <c r="H56" s="138">
        <f>RANK(I56,I3:I97)</f>
        <v>45</v>
      </c>
      <c r="I56" s="139">
        <f>VLOOKUP(A56,'Standard Deviations'!A1:C728,3,FALSE)</f>
        <v>-0.35582202922903905</v>
      </c>
      <c r="J56" s="139">
        <f>I56-VLOOKUP(B$2,H1:J97,2,FALSE)</f>
        <v>-4.593703435234973</v>
      </c>
    </row>
    <row r="57" spans="1:10" ht="21.25" customHeight="1" x14ac:dyDescent="0.15">
      <c r="A57" s="8" t="s">
        <v>492</v>
      </c>
      <c r="B57" s="65" t="str">
        <f>VLOOKUP(A57,'The List'!B1:D727,3,FALSE)</f>
        <v>RW</v>
      </c>
      <c r="C57" s="66">
        <f>IF(Settings!$E$15="POINTS",RANK(E57,E3:E97),H57)</f>
        <v>55</v>
      </c>
      <c r="D57" s="35" t="str">
        <f>VLOOKUP(A57,'The List'!B1:F727,5,FALSE)</f>
        <v>MTL</v>
      </c>
      <c r="E57" s="39">
        <f>VLOOKUP(A57,'The List'!B1:I727,8,FALSE)</f>
        <v>168.20673557663841</v>
      </c>
      <c r="F57" s="39">
        <f>IF(Settings!$E$15="POINTS",E57-VLOOKUP(B$2,C1:E97,3,FALSE),J57)</f>
        <v>-182.06480497125116</v>
      </c>
      <c r="G57" s="39"/>
      <c r="H57" s="138">
        <f>RANK(I57,I3:I97)</f>
        <v>65</v>
      </c>
      <c r="I57" s="139">
        <f>VLOOKUP(A57,'Standard Deviations'!A1:C728,3,FALSE)</f>
        <v>-2.7337320285880811</v>
      </c>
      <c r="J57" s="139">
        <f>I57-VLOOKUP(B$2,H1:J97,2,FALSE)</f>
        <v>-6.9716134345940146</v>
      </c>
    </row>
    <row r="58" spans="1:10" ht="21.25" customHeight="1" x14ac:dyDescent="0.15">
      <c r="A58" s="8" t="s">
        <v>495</v>
      </c>
      <c r="B58" s="65" t="str">
        <f>VLOOKUP(A58,'The List'!B1:D727,3,FALSE)</f>
        <v>RW</v>
      </c>
      <c r="C58" s="66">
        <f>IF(Settings!$E$15="POINTS",RANK(E58,E3:E97),H58)</f>
        <v>56</v>
      </c>
      <c r="D58" s="35" t="str">
        <f>VLOOKUP(A58,'The List'!B1:F727,5,FALSE)</f>
        <v>WSH</v>
      </c>
      <c r="E58" s="39">
        <f>VLOOKUP(A58,'The List'!B1:I727,8,FALSE)</f>
        <v>167.13321142604235</v>
      </c>
      <c r="F58" s="39">
        <f>IF(Settings!$E$15="POINTS",E58-VLOOKUP(B$2,C1:E97,3,FALSE),J58)</f>
        <v>-183.13832912184722</v>
      </c>
      <c r="G58" s="39"/>
      <c r="H58" s="138">
        <f>RANK(I58,I3:I97)</f>
        <v>58</v>
      </c>
      <c r="I58" s="139">
        <f>VLOOKUP(A58,'Standard Deviations'!A1:C728,3,FALSE)</f>
        <v>-2.390603608880042</v>
      </c>
      <c r="J58" s="139">
        <f>I58-VLOOKUP(B$2,H1:J97,2,FALSE)</f>
        <v>-6.6284850148859755</v>
      </c>
    </row>
    <row r="59" spans="1:10" ht="21.25" customHeight="1" x14ac:dyDescent="0.15">
      <c r="A59" s="8" t="s">
        <v>512</v>
      </c>
      <c r="B59" s="65" t="str">
        <f>VLOOKUP(A59,'The List'!B1:D727,3,FALSE)</f>
        <v>RW</v>
      </c>
      <c r="C59" s="66">
        <f>IF(Settings!$E$15="POINTS",RANK(E59,E3:E97),H59)</f>
        <v>57</v>
      </c>
      <c r="D59" s="35" t="str">
        <f>VLOOKUP(A59,'The List'!B1:F727,5,FALSE)</f>
        <v>NYI</v>
      </c>
      <c r="E59" s="39">
        <f>VLOOKUP(A59,'The List'!B1:I727,8,FALSE)</f>
        <v>161.68179429963678</v>
      </c>
      <c r="F59" s="39">
        <f>IF(Settings!$E$15="POINTS",E59-VLOOKUP(B$2,C1:E97,3,FALSE),J59)</f>
        <v>-188.58974624825279</v>
      </c>
      <c r="G59" s="39"/>
      <c r="H59" s="138">
        <f>RANK(I59,I3:I97)</f>
        <v>53</v>
      </c>
      <c r="I59" s="139">
        <f>VLOOKUP(A59,'Standard Deviations'!A1:C728,3,FALSE)</f>
        <v>-1.5674070520509975</v>
      </c>
      <c r="J59" s="139">
        <f>I59-VLOOKUP(B$2,H1:J97,2,FALSE)</f>
        <v>-5.8052884580569311</v>
      </c>
    </row>
    <row r="60" spans="1:10" ht="21.25" customHeight="1" x14ac:dyDescent="0.15">
      <c r="A60" s="8" t="s">
        <v>530</v>
      </c>
      <c r="B60" s="65" t="str">
        <f>VLOOKUP(A60,'The List'!B1:D727,3,FALSE)</f>
        <v>RW</v>
      </c>
      <c r="C60" s="66">
        <f>IF(Settings!$E$15="POINTS",RANK(E60,E3:E97),H60)</f>
        <v>58</v>
      </c>
      <c r="D60" s="35" t="str">
        <f>VLOOKUP(A60,'The List'!B1:F727,5,FALSE)</f>
        <v>LAK</v>
      </c>
      <c r="E60" s="39">
        <f>VLOOKUP(A60,'The List'!B1:I727,8,FALSE)</f>
        <v>154.01067976785777</v>
      </c>
      <c r="F60" s="39">
        <f>IF(Settings!$E$15="POINTS",E60-VLOOKUP(B$2,C1:E97,3,FALSE),J60)</f>
        <v>-196.26086078003181</v>
      </c>
      <c r="G60" s="39"/>
      <c r="H60" s="138">
        <f>RANK(I60,I3:I97)</f>
        <v>56</v>
      </c>
      <c r="I60" s="139">
        <f>VLOOKUP(A60,'Standard Deviations'!A1:C728,3,FALSE)</f>
        <v>-2.2078761851170863</v>
      </c>
      <c r="J60" s="139">
        <f>I60-VLOOKUP(B$2,H1:J97,2,FALSE)</f>
        <v>-6.4457575911230194</v>
      </c>
    </row>
    <row r="61" spans="1:10" ht="21.25" customHeight="1" x14ac:dyDescent="0.15">
      <c r="A61" s="8" t="s">
        <v>544</v>
      </c>
      <c r="B61" s="65" t="str">
        <f>VLOOKUP(A61,'The List'!B1:D727,3,FALSE)</f>
        <v>RW</v>
      </c>
      <c r="C61" s="66">
        <f>IF(Settings!$E$15="POINTS",RANK(E61,E3:E97),H61)</f>
        <v>59</v>
      </c>
      <c r="D61" s="35" t="str">
        <f>VLOOKUP(A61,'The List'!B1:F727,5,FALSE)</f>
        <v>ANA</v>
      </c>
      <c r="E61" s="39">
        <f>VLOOKUP(A61,'The List'!B1:I727,8,FALSE)</f>
        <v>150.41430114863792</v>
      </c>
      <c r="F61" s="39">
        <f>IF(Settings!$E$15="POINTS",E61-VLOOKUP(B$2,C1:E97,3,FALSE),J61)</f>
        <v>-199.85723939925165</v>
      </c>
      <c r="G61" s="39"/>
      <c r="H61" s="138">
        <f>RANK(I61,I3:I97)</f>
        <v>83</v>
      </c>
      <c r="I61" s="139">
        <f>VLOOKUP(A61,'Standard Deviations'!A1:C728,3,FALSE)</f>
        <v>-4.1401941393742865</v>
      </c>
      <c r="J61" s="139">
        <f>I61-VLOOKUP(B$2,H1:J97,2,FALSE)</f>
        <v>-8.37807554538022</v>
      </c>
    </row>
    <row r="62" spans="1:10" ht="21.25" customHeight="1" x14ac:dyDescent="0.15">
      <c r="A62" s="8" t="s">
        <v>549</v>
      </c>
      <c r="B62" s="65" t="str">
        <f>VLOOKUP(A62,'The List'!B1:D727,3,FALSE)</f>
        <v>RW</v>
      </c>
      <c r="C62" s="66">
        <f>IF(Settings!$E$15="POINTS",RANK(E62,E3:E97),H62)</f>
        <v>60</v>
      </c>
      <c r="D62" s="35" t="str">
        <f>VLOOKUP(A62,'The List'!B1:F727,5,FALSE)</f>
        <v>SEA</v>
      </c>
      <c r="E62" s="39">
        <f>VLOOKUP(A62,'The List'!B1:I727,8,FALSE)</f>
        <v>149.118630051233</v>
      </c>
      <c r="F62" s="39">
        <f>IF(Settings!$E$15="POINTS",E62-VLOOKUP(B$2,C1:E97,3,FALSE),J62)</f>
        <v>-201.15291049665657</v>
      </c>
      <c r="G62" s="39"/>
      <c r="H62" s="138">
        <f>RANK(I62,I3:I97)</f>
        <v>61</v>
      </c>
      <c r="I62" s="139">
        <f>VLOOKUP(A62,'Standard Deviations'!A1:C728,3,FALSE)</f>
        <v>-2.485203924351441</v>
      </c>
      <c r="J62" s="139">
        <f>I62-VLOOKUP(B$2,H1:J97,2,FALSE)</f>
        <v>-6.7230853303573745</v>
      </c>
    </row>
    <row r="63" spans="1:10" ht="21.25" customHeight="1" x14ac:dyDescent="0.15">
      <c r="A63" s="8" t="s">
        <v>564</v>
      </c>
      <c r="B63" s="65" t="str">
        <f>VLOOKUP(A63,'The List'!B1:D727,3,FALSE)</f>
        <v>RW</v>
      </c>
      <c r="C63" s="66">
        <f>IF(Settings!$E$15="POINTS",RANK(E63,E3:E97),H63)</f>
        <v>61</v>
      </c>
      <c r="D63" s="35" t="str">
        <f>VLOOKUP(A63,'The List'!B1:F727,5,FALSE)</f>
        <v>UFA</v>
      </c>
      <c r="E63" s="39">
        <f>VLOOKUP(A63,'The List'!B1:I727,8,FALSE)</f>
        <v>144.11403409872037</v>
      </c>
      <c r="F63" s="39">
        <f>IF(Settings!$E$15="POINTS",E63-VLOOKUP(B$2,C1:E97,3,FALSE),J63)</f>
        <v>-206.1575064491692</v>
      </c>
      <c r="G63" s="39"/>
      <c r="H63" s="138">
        <f>RANK(I63,I3:I97)</f>
        <v>66</v>
      </c>
      <c r="I63" s="139">
        <f>VLOOKUP(A63,'Standard Deviations'!A1:C728,3,FALSE)</f>
        <v>-2.7549923875667526</v>
      </c>
      <c r="J63" s="139">
        <f>I63-VLOOKUP(B$2,H1:J97,2,FALSE)</f>
        <v>-6.9928737935726861</v>
      </c>
    </row>
    <row r="64" spans="1:10" ht="21.25" customHeight="1" x14ac:dyDescent="0.15">
      <c r="A64" s="8" t="s">
        <v>565</v>
      </c>
      <c r="B64" s="65" t="str">
        <f>VLOOKUP(A64,'The List'!B1:D727,3,FALSE)</f>
        <v>RW</v>
      </c>
      <c r="C64" s="66">
        <f>IF(Settings!$E$15="POINTS",RANK(E64,E3:E97),H64)</f>
        <v>62</v>
      </c>
      <c r="D64" s="35" t="str">
        <f>VLOOKUP(A64,'The List'!B1:F727,5,FALSE)</f>
        <v>CBJ</v>
      </c>
      <c r="E64" s="39">
        <f>VLOOKUP(A64,'The List'!B1:I727,8,FALSE)</f>
        <v>144.07397630707715</v>
      </c>
      <c r="F64" s="39">
        <f>IF(Settings!$E$15="POINTS",E64-VLOOKUP(B$2,C1:E97,3,FALSE),J64)</f>
        <v>-206.19756424081243</v>
      </c>
      <c r="G64" s="39"/>
      <c r="H64" s="138">
        <f>RANK(I64,I3:I97)</f>
        <v>67</v>
      </c>
      <c r="I64" s="139">
        <f>VLOOKUP(A64,'Standard Deviations'!A1:C728,3,FALSE)</f>
        <v>-2.8907972414002447</v>
      </c>
      <c r="J64" s="139">
        <f>I64-VLOOKUP(B$2,H1:J97,2,FALSE)</f>
        <v>-7.1286786474061783</v>
      </c>
    </row>
    <row r="65" spans="1:10" ht="21.25" customHeight="1" x14ac:dyDescent="0.15">
      <c r="A65" s="8" t="s">
        <v>579</v>
      </c>
      <c r="B65" s="65" t="str">
        <f>VLOOKUP(A65,'The List'!B1:D727,3,FALSE)</f>
        <v>RW</v>
      </c>
      <c r="C65" s="66">
        <f>IF(Settings!$E$15="POINTS",RANK(E65,E3:E97),H65)</f>
        <v>64</v>
      </c>
      <c r="D65" s="35" t="str">
        <f>VLOOKUP(A65,'The List'!B1:F727,5,FALSE)</f>
        <v>CHI</v>
      </c>
      <c r="E65" s="39">
        <f>VLOOKUP(A65,'The List'!B1:I727,8,FALSE)</f>
        <v>140.34585074759656</v>
      </c>
      <c r="F65" s="39">
        <f>IF(Settings!$E$15="POINTS",E65-VLOOKUP(B$2,C1:E97,3,FALSE),J65)</f>
        <v>-209.92568980029301</v>
      </c>
      <c r="G65" s="39"/>
      <c r="H65" s="138">
        <f>RANK(I65,I3:I97)</f>
        <v>79</v>
      </c>
      <c r="I65" s="139">
        <f>VLOOKUP(A65,'Standard Deviations'!A1:C728,3,FALSE)</f>
        <v>-3.9185835215663434</v>
      </c>
      <c r="J65" s="139">
        <f>I65-VLOOKUP(B$2,H1:J97,2,FALSE)</f>
        <v>-8.1564649275722765</v>
      </c>
    </row>
    <row r="66" spans="1:10" ht="21.25" customHeight="1" x14ac:dyDescent="0.15">
      <c r="A66" s="8" t="s">
        <v>580</v>
      </c>
      <c r="B66" s="65" t="str">
        <f>VLOOKUP(A66,'The List'!B1:D727,3,FALSE)</f>
        <v>RW</v>
      </c>
      <c r="C66" s="66">
        <f>IF(Settings!$E$15="POINTS",RANK(E66,E3:E97),H66)</f>
        <v>65</v>
      </c>
      <c r="D66" s="35" t="str">
        <f>VLOOKUP(A66,'The List'!B1:F727,5,FALSE)</f>
        <v>UFA</v>
      </c>
      <c r="E66" s="39">
        <f>VLOOKUP(A66,'The List'!B1:I727,8,FALSE)</f>
        <v>140.31565012909809</v>
      </c>
      <c r="F66" s="39">
        <f>IF(Settings!$E$15="POINTS",E66-VLOOKUP(B$2,C1:E97,3,FALSE),J66)</f>
        <v>-209.95589041879148</v>
      </c>
      <c r="G66" s="39"/>
      <c r="H66" s="138">
        <f>RANK(I66,I3:I97)</f>
        <v>62</v>
      </c>
      <c r="I66" s="139">
        <f>VLOOKUP(A66,'Standard Deviations'!A1:C728,3,FALSE)</f>
        <v>-2.5606343174084523</v>
      </c>
      <c r="J66" s="139">
        <f>I66-VLOOKUP(B$2,H1:J97,2,FALSE)</f>
        <v>-6.7985157234143863</v>
      </c>
    </row>
    <row r="67" spans="1:10" ht="21.25" customHeight="1" x14ac:dyDescent="0.15">
      <c r="A67" s="8" t="s">
        <v>576</v>
      </c>
      <c r="B67" s="65" t="str">
        <f>VLOOKUP(A67,'The List'!B1:D727,3,FALSE)</f>
        <v>RW</v>
      </c>
      <c r="C67" s="66">
        <f>IF(Settings!$E$15="POINTS",RANK(E67,E3:E97),H67)</f>
        <v>63</v>
      </c>
      <c r="D67" s="35" t="str">
        <f>VLOOKUP(A67,'The List'!B1:F727,5,FALSE)</f>
        <v>BUF</v>
      </c>
      <c r="E67" s="39">
        <f>VLOOKUP(A67,'The List'!B1:I727,8,FALSE)</f>
        <v>141.32251679913375</v>
      </c>
      <c r="F67" s="39">
        <f>IF(Settings!$E$15="POINTS",E67-VLOOKUP(B$2,C1:E97,3,FALSE),J67)</f>
        <v>-208.94902374875582</v>
      </c>
      <c r="G67" s="39"/>
      <c r="H67" s="138">
        <f>RANK(I67,I3:I97)</f>
        <v>73</v>
      </c>
      <c r="I67" s="139">
        <f>VLOOKUP(A67,'Standard Deviations'!A1:C728,3,FALSE)</f>
        <v>-3.3596264473169137</v>
      </c>
      <c r="J67" s="139">
        <f>I67-VLOOKUP(B$2,H1:J97,2,FALSE)</f>
        <v>-7.5975078533228473</v>
      </c>
    </row>
    <row r="68" spans="1:10" ht="21.25" customHeight="1" x14ac:dyDescent="0.15">
      <c r="A68" s="8" t="s">
        <v>581</v>
      </c>
      <c r="B68" s="65" t="str">
        <f>VLOOKUP(A68,'The List'!B1:D727,3,FALSE)</f>
        <v>RW</v>
      </c>
      <c r="C68" s="66">
        <f>IF(Settings!$E$15="POINTS",RANK(E68,E3:E97),H68)</f>
        <v>66</v>
      </c>
      <c r="D68" s="35" t="str">
        <f>VLOOKUP(A68,'The List'!B1:F727,5,FALSE)</f>
        <v>COL</v>
      </c>
      <c r="E68" s="39">
        <f>VLOOKUP(A68,'The List'!B1:I727,8,FALSE)</f>
        <v>139.80963540742007</v>
      </c>
      <c r="F68" s="39">
        <f>IF(Settings!$E$15="POINTS",E68-VLOOKUP(B$2,C1:E97,3,FALSE),J68)</f>
        <v>-210.4619051404695</v>
      </c>
      <c r="G68" s="39"/>
      <c r="H68" s="138">
        <f>RANK(I68,I3:I97)</f>
        <v>52</v>
      </c>
      <c r="I68" s="139">
        <f>VLOOKUP(A68,'Standard Deviations'!A1:C728,3,FALSE)</f>
        <v>-1.561652512172897</v>
      </c>
      <c r="J68" s="139">
        <f>I68-VLOOKUP(B$2,H1:J97,2,FALSE)</f>
        <v>-5.799533918178831</v>
      </c>
    </row>
    <row r="69" spans="1:10" ht="21.25" customHeight="1" x14ac:dyDescent="0.15">
      <c r="A69" s="8" t="s">
        <v>594</v>
      </c>
      <c r="B69" s="65" t="str">
        <f>VLOOKUP(A69,'The List'!B1:D727,3,FALSE)</f>
        <v>RW</v>
      </c>
      <c r="C69" s="66">
        <f>IF(Settings!$E$15="POINTS",RANK(E69,E3:E97),H69)</f>
        <v>69</v>
      </c>
      <c r="D69" s="35" t="str">
        <f>VLOOKUP(A69,'The List'!B1:F727,5,FALSE)</f>
        <v>BUF</v>
      </c>
      <c r="E69" s="39">
        <f>VLOOKUP(A69,'The List'!B1:I727,8,FALSE)</f>
        <v>133.6315666100929</v>
      </c>
      <c r="F69" s="39">
        <f>IF(Settings!$E$15="POINTS",E69-VLOOKUP(B$2,C1:E97,3,FALSE),J69)</f>
        <v>-216.63997393779667</v>
      </c>
      <c r="G69" s="39"/>
      <c r="H69" s="138">
        <f>RANK(I69,I3:I97)</f>
        <v>71</v>
      </c>
      <c r="I69" s="139">
        <f>VLOOKUP(A69,'Standard Deviations'!A1:C728,3,FALSE)</f>
        <v>-3.228583829259708</v>
      </c>
      <c r="J69" s="139">
        <f>I69-VLOOKUP(B$2,H1:J97,2,FALSE)</f>
        <v>-7.4664652352656411</v>
      </c>
    </row>
    <row r="70" spans="1:10" ht="21.25" customHeight="1" x14ac:dyDescent="0.15">
      <c r="A70" s="8" t="s">
        <v>637</v>
      </c>
      <c r="B70" s="65" t="str">
        <f>VLOOKUP(A70,'The List'!B1:D727,3,FALSE)</f>
        <v>LW,RW</v>
      </c>
      <c r="C70" s="66">
        <f>IF(Settings!$E$15="POINTS",RANK(E70,E3:E97),H70)</f>
        <v>70</v>
      </c>
      <c r="D70" s="35" t="str">
        <f>VLOOKUP(A70,'The List'!B1:F727,5,FALSE)</f>
        <v>CBJ</v>
      </c>
      <c r="E70" s="39">
        <f>VLOOKUP(A70,'The List'!B1:I727,8,FALSE)</f>
        <v>132.86795269313922</v>
      </c>
      <c r="F70" s="39">
        <f>IF(Settings!$E$15="POINTS",E70-VLOOKUP(B$2,C1:E97,3,FALSE),J70)</f>
        <v>-217.40358785475036</v>
      </c>
      <c r="G70" s="39"/>
      <c r="H70" s="138">
        <f>RANK(I70,I3:I97)</f>
        <v>80</v>
      </c>
      <c r="I70" s="139">
        <f>VLOOKUP(A70,'Standard Deviations'!A1:C728,3,FALSE)</f>
        <v>-4.0892529606186692</v>
      </c>
      <c r="J70" s="139">
        <f>I70-VLOOKUP(B$2,H1:J97,2,FALSE)</f>
        <v>-8.3271343666246018</v>
      </c>
    </row>
    <row r="71" spans="1:10" ht="21.25" customHeight="1" x14ac:dyDescent="0.15">
      <c r="A71" s="8" t="s">
        <v>590</v>
      </c>
      <c r="B71" s="65" t="str">
        <f>VLOOKUP(A71,'The List'!B1:D727,3,FALSE)</f>
        <v>RW</v>
      </c>
      <c r="C71" s="66">
        <f>IF(Settings!$E$15="POINTS",RANK(E71,E3:E97),H71)</f>
        <v>68</v>
      </c>
      <c r="D71" s="35" t="str">
        <f>VLOOKUP(A71,'The List'!B1:F727,5,FALSE)</f>
        <v>CAR</v>
      </c>
      <c r="E71" s="39">
        <f>VLOOKUP(A71,'The List'!B1:I727,8,FALSE)</f>
        <v>135.41496544273858</v>
      </c>
      <c r="F71" s="39">
        <f>IF(Settings!$E$15="POINTS",E71-VLOOKUP(B$2,C1:E97,3,FALSE),J71)</f>
        <v>-214.85657510515099</v>
      </c>
      <c r="G71" s="39"/>
      <c r="H71" s="138">
        <f>RANK(I71,I3:I97)</f>
        <v>49</v>
      </c>
      <c r="I71" s="139">
        <f>VLOOKUP(A71,'Standard Deviations'!A1:C728,3,FALSE)</f>
        <v>-1.2292258974657806</v>
      </c>
      <c r="J71" s="139">
        <f>I71-VLOOKUP(B$2,H1:J97,2,FALSE)</f>
        <v>-5.4671073034717139</v>
      </c>
    </row>
    <row r="72" spans="1:10" ht="21.25" customHeight="1" x14ac:dyDescent="0.15">
      <c r="A72" s="8" t="s">
        <v>588</v>
      </c>
      <c r="B72" s="65" t="str">
        <f>VLOOKUP(A72,'The List'!B1:D727,3,FALSE)</f>
        <v>RW</v>
      </c>
      <c r="C72" s="66">
        <f>IF(Settings!$E$15="POINTS",RANK(E72,E3:E97),H72)</f>
        <v>67</v>
      </c>
      <c r="D72" s="35" t="str">
        <f>VLOOKUP(A72,'The List'!B1:F727,5,FALSE)</f>
        <v>OTT</v>
      </c>
      <c r="E72" s="39">
        <f>VLOOKUP(A72,'The List'!B1:I727,8,FALSE)</f>
        <v>136.41681137041439</v>
      </c>
      <c r="F72" s="39">
        <f>IF(Settings!$E$15="POINTS",E72-VLOOKUP(B$2,C1:E97,3,FALSE),J72)</f>
        <v>-213.85472917747518</v>
      </c>
      <c r="G72" s="39"/>
      <c r="H72" s="138">
        <f>RANK(I72,I3:I97)</f>
        <v>63</v>
      </c>
      <c r="I72" s="139">
        <f>VLOOKUP(A72,'Standard Deviations'!A1:C728,3,FALSE)</f>
        <v>-2.6606794385315533</v>
      </c>
      <c r="J72" s="139">
        <f>I72-VLOOKUP(B$2,H1:J97,2,FALSE)</f>
        <v>-6.8985608445374869</v>
      </c>
    </row>
    <row r="73" spans="1:10" ht="21.25" customHeight="1" x14ac:dyDescent="0.15">
      <c r="A73" s="8" t="s">
        <v>602</v>
      </c>
      <c r="B73" s="65" t="str">
        <f>VLOOKUP(A73,'The List'!B1:D727,3,FALSE)</f>
        <v>RW</v>
      </c>
      <c r="C73" s="66">
        <f>IF(Settings!$E$15="POINTS",RANK(E73,E3:E97),H73)</f>
        <v>71</v>
      </c>
      <c r="D73" s="35" t="str">
        <f>VLOOKUP(A73,'The List'!B1:F727,5,FALSE)</f>
        <v>NJD</v>
      </c>
      <c r="E73" s="39">
        <f>VLOOKUP(A73,'The List'!B1:I727,8,FALSE)</f>
        <v>128.30625794486511</v>
      </c>
      <c r="F73" s="39">
        <f>IF(Settings!$E$15="POINTS",E73-VLOOKUP(B$2,C1:E97,3,FALSE),J73)</f>
        <v>-221.96528260302446</v>
      </c>
      <c r="G73" s="39"/>
      <c r="H73" s="138">
        <f>RANK(I73,I3:I97)</f>
        <v>70</v>
      </c>
      <c r="I73" s="139">
        <f>VLOOKUP(A73,'Standard Deviations'!A1:C728,3,FALSE)</f>
        <v>-3.1908891652109674</v>
      </c>
      <c r="J73" s="139">
        <f>I73-VLOOKUP(B$2,H1:J97,2,FALSE)</f>
        <v>-7.4287705712169014</v>
      </c>
    </row>
    <row r="74" spans="1:10" ht="21.25" customHeight="1" x14ac:dyDescent="0.15">
      <c r="A74" s="8" t="s">
        <v>612</v>
      </c>
      <c r="B74" s="65" t="str">
        <f>VLOOKUP(A74,'The List'!B1:D727,3,FALSE)</f>
        <v>RW</v>
      </c>
      <c r="C74" s="66">
        <f>IF(Settings!$E$15="POINTS",RANK(E74,E3:E97),H74)</f>
        <v>72</v>
      </c>
      <c r="D74" s="35" t="str">
        <f>VLOOKUP(A74,'The List'!B1:F727,5,FALSE)</f>
        <v>PHI</v>
      </c>
      <c r="E74" s="39">
        <f>VLOOKUP(A74,'The List'!B1:I727,8,FALSE)</f>
        <v>125.93776718180779</v>
      </c>
      <c r="F74" s="39">
        <f>IF(Settings!$E$15="POINTS",E74-VLOOKUP(B$2,C1:E97,3,FALSE),J74)</f>
        <v>-224.3337733660818</v>
      </c>
      <c r="G74" s="39"/>
      <c r="H74" s="138">
        <f>RANK(I74,I3:I97)</f>
        <v>77</v>
      </c>
      <c r="I74" s="139">
        <f>VLOOKUP(A74,'Standard Deviations'!A1:C728,3,FALSE)</f>
        <v>-3.5714614997067975</v>
      </c>
      <c r="J74" s="139">
        <f>I74-VLOOKUP(B$2,H1:J97,2,FALSE)</f>
        <v>-7.8093429057127306</v>
      </c>
    </row>
    <row r="75" spans="1:10" ht="21.25" customHeight="1" x14ac:dyDescent="0.15">
      <c r="A75" s="8" t="s">
        <v>620</v>
      </c>
      <c r="B75" s="65" t="str">
        <f>VLOOKUP(A75,'The List'!B1:D727,3,FALSE)</f>
        <v>RW</v>
      </c>
      <c r="C75" s="66">
        <f>IF(Settings!$E$15="POINTS",RANK(E75,E3:E97),H75)</f>
        <v>73</v>
      </c>
      <c r="D75" s="35" t="str">
        <f>VLOOKUP(A75,'The List'!B1:F727,5,FALSE)</f>
        <v>PHI</v>
      </c>
      <c r="E75" s="39">
        <f>VLOOKUP(A75,'The List'!B1:I727,8,FALSE)</f>
        <v>124.29024494307586</v>
      </c>
      <c r="F75" s="39">
        <f>IF(Settings!$E$15="POINTS",E75-VLOOKUP(B$2,C1:E97,3,FALSE),J75)</f>
        <v>-225.98129560481371</v>
      </c>
      <c r="G75" s="39"/>
      <c r="H75" s="138">
        <f>RANK(I75,I3:I97)</f>
        <v>76</v>
      </c>
      <c r="I75" s="139">
        <f>VLOOKUP(A75,'Standard Deviations'!A1:C728,3,FALSE)</f>
        <v>-3.5611329654919439</v>
      </c>
      <c r="J75" s="139">
        <f>I75-VLOOKUP(B$2,H1:J97,2,FALSE)</f>
        <v>-7.7990143714978775</v>
      </c>
    </row>
    <row r="76" spans="1:10" ht="21.25" customHeight="1" x14ac:dyDescent="0.15">
      <c r="A76" s="8" t="s">
        <v>623</v>
      </c>
      <c r="B76" s="65" t="str">
        <f>VLOOKUP(A76,'The List'!B1:D727,3,FALSE)</f>
        <v>RW</v>
      </c>
      <c r="C76" s="66">
        <f>IF(Settings!$E$15="POINTS",RANK(E76,E3:E97),H76)</f>
        <v>74</v>
      </c>
      <c r="D76" s="35" t="str">
        <f>VLOOKUP(A76,'The List'!B1:F727,5,FALSE)</f>
        <v>NSH</v>
      </c>
      <c r="E76" s="39">
        <f>VLOOKUP(A76,'The List'!B1:I727,8,FALSE)</f>
        <v>121.91977834262656</v>
      </c>
      <c r="F76" s="39">
        <f>IF(Settings!$E$15="POINTS",E76-VLOOKUP(B$2,C1:E97,3,FALSE),J76)</f>
        <v>-228.35176220526301</v>
      </c>
      <c r="G76" s="39"/>
      <c r="H76" s="138">
        <f>RANK(I76,I3:I97)</f>
        <v>72</v>
      </c>
      <c r="I76" s="139">
        <f>VLOOKUP(A76,'Standard Deviations'!A1:C728,3,FALSE)</f>
        <v>-3.3072339351126052</v>
      </c>
      <c r="J76" s="139">
        <f>I76-VLOOKUP(B$2,H1:J97,2,FALSE)</f>
        <v>-7.5451153411185388</v>
      </c>
    </row>
    <row r="77" spans="1:10" ht="21.25" customHeight="1" x14ac:dyDescent="0.15">
      <c r="A77" s="8" t="s">
        <v>627</v>
      </c>
      <c r="B77" s="65" t="str">
        <f>VLOOKUP(A77,'The List'!B1:D727,3,FALSE)</f>
        <v>RW</v>
      </c>
      <c r="C77" s="66">
        <f>IF(Settings!$E$15="POINTS",RANK(E77,E3:E97),H77)</f>
        <v>75</v>
      </c>
      <c r="D77" s="35" t="str">
        <f>VLOOKUP(A77,'The List'!B1:F727,5,FALSE)</f>
        <v>NYI</v>
      </c>
      <c r="E77" s="39">
        <f>VLOOKUP(A77,'The List'!B1:I727,8,FALSE)</f>
        <v>121.81506296001123</v>
      </c>
      <c r="F77" s="39">
        <f>IF(Settings!$E$15="POINTS",E77-VLOOKUP(B$2,C1:E97,3,FALSE),J77)</f>
        <v>-228.45647758787834</v>
      </c>
      <c r="G77" s="39"/>
      <c r="H77" s="138">
        <f>RANK(I77,I3:I97)</f>
        <v>68</v>
      </c>
      <c r="I77" s="139">
        <f>VLOOKUP(A77,'Standard Deviations'!A1:C728,3,FALSE)</f>
        <v>-2.9236754550334698</v>
      </c>
      <c r="J77" s="139">
        <f>I77-VLOOKUP(B$2,H1:J97,2,FALSE)</f>
        <v>-7.1615568610394034</v>
      </c>
    </row>
    <row r="78" spans="1:10" ht="21.25" customHeight="1" x14ac:dyDescent="0.15">
      <c r="A78" s="8" t="s">
        <v>631</v>
      </c>
      <c r="B78" s="65" t="str">
        <f>VLOOKUP(A78,'The List'!B1:D727,3,FALSE)</f>
        <v>RW</v>
      </c>
      <c r="C78" s="66">
        <f>IF(Settings!$E$15="POINTS",RANK(E78,E3:E97),H78)</f>
        <v>76</v>
      </c>
      <c r="D78" s="35" t="str">
        <f>VLOOKUP(A78,'The List'!B1:F727,5,FALSE)</f>
        <v>CBJ</v>
      </c>
      <c r="E78" s="39">
        <f>VLOOKUP(A78,'The List'!B1:I727,8,FALSE)</f>
        <v>120.85512870656531</v>
      </c>
      <c r="F78" s="39">
        <f>IF(Settings!$E$15="POINTS",E78-VLOOKUP(B$2,C1:E97,3,FALSE),J78)</f>
        <v>-229.41641184132425</v>
      </c>
      <c r="G78" s="39"/>
      <c r="H78" s="138">
        <f>RANK(I78,I3:I97)</f>
        <v>88</v>
      </c>
      <c r="I78" s="139">
        <f>VLOOKUP(A78,'Standard Deviations'!A1:C728,3,FALSE)</f>
        <v>-4.3952191583586666</v>
      </c>
      <c r="J78" s="139">
        <f>I78-VLOOKUP(B$2,H1:J97,2,FALSE)</f>
        <v>-8.6331005643646002</v>
      </c>
    </row>
    <row r="79" spans="1:10" ht="21.25" customHeight="1" x14ac:dyDescent="0.15">
      <c r="A79" s="8" t="s">
        <v>634</v>
      </c>
      <c r="B79" s="65" t="str">
        <f>VLOOKUP(A79,'The List'!B1:D727,3,FALSE)</f>
        <v>RW</v>
      </c>
      <c r="C79" s="66">
        <f>IF(Settings!$E$15="POINTS",RANK(E79,E3:E97),H79)</f>
        <v>77</v>
      </c>
      <c r="D79" s="35" t="str">
        <f>VLOOKUP(A79,'The List'!B1:F727,5,FALSE)</f>
        <v>CGY</v>
      </c>
      <c r="E79" s="39">
        <f>VLOOKUP(A79,'The List'!B1:I727,8,FALSE)</f>
        <v>120.14758334311534</v>
      </c>
      <c r="F79" s="39">
        <f>IF(Settings!$E$15="POINTS",E79-VLOOKUP(B$2,C1:E97,3,FALSE),J79)</f>
        <v>-230.12395720477423</v>
      </c>
      <c r="G79" s="39"/>
      <c r="H79" s="138">
        <f>RANK(I79,I3:I97)</f>
        <v>69</v>
      </c>
      <c r="I79" s="139">
        <f>VLOOKUP(A79,'Standard Deviations'!A1:C728,3,FALSE)</f>
        <v>-3.1761929346102633</v>
      </c>
      <c r="J79" s="139">
        <f>I79-VLOOKUP(B$2,H1:J97,2,FALSE)</f>
        <v>-7.4140743406161969</v>
      </c>
    </row>
    <row r="80" spans="1:10" ht="21.25" customHeight="1" x14ac:dyDescent="0.15">
      <c r="A80" s="8" t="s">
        <v>639</v>
      </c>
      <c r="B80" s="65" t="str">
        <f>VLOOKUP(A80,'The List'!B1:D727,3,FALSE)</f>
        <v>RW</v>
      </c>
      <c r="C80" s="66">
        <f>IF(Settings!$E$15="POINTS",RANK(E80,E3:E97),H80)</f>
        <v>78</v>
      </c>
      <c r="D80" s="35" t="str">
        <f>VLOOKUP(A80,'The List'!B1:F727,5,FALSE)</f>
        <v>NJD</v>
      </c>
      <c r="E80" s="39">
        <f>VLOOKUP(A80,'The List'!B1:I727,8,FALSE)</f>
        <v>118.70700731937896</v>
      </c>
      <c r="F80" s="39">
        <f>IF(Settings!$E$15="POINTS",E80-VLOOKUP(B$2,C1:E97,3,FALSE),J80)</f>
        <v>-231.56453322851061</v>
      </c>
      <c r="G80" s="39"/>
      <c r="H80" s="138">
        <f>RANK(I80,I3:I97)</f>
        <v>64</v>
      </c>
      <c r="I80" s="139">
        <f>VLOOKUP(A80,'Standard Deviations'!A1:C728,3,FALSE)</f>
        <v>-2.7259629739765923</v>
      </c>
      <c r="J80" s="139">
        <f>I80-VLOOKUP(B$2,H1:J97,2,FALSE)</f>
        <v>-6.9638443799825254</v>
      </c>
    </row>
    <row r="81" spans="1:10" ht="21.25" customHeight="1" x14ac:dyDescent="0.15">
      <c r="A81" s="8" t="s">
        <v>643</v>
      </c>
      <c r="B81" s="65" t="str">
        <f>VLOOKUP(A81,'The List'!B1:D727,3,FALSE)</f>
        <v>RW</v>
      </c>
      <c r="C81" s="66">
        <f>IF(Settings!$E$15="POINTS",RANK(E81,E3:E97),H81)</f>
        <v>79</v>
      </c>
      <c r="D81" s="35" t="str">
        <f>VLOOKUP(A81,'The List'!B1:F727,5,FALSE)</f>
        <v>LAK</v>
      </c>
      <c r="E81" s="39">
        <f>VLOOKUP(A81,'The List'!B1:I727,8,FALSE)</f>
        <v>117.63192964471591</v>
      </c>
      <c r="F81" s="39">
        <f>IF(Settings!$E$15="POINTS",E81-VLOOKUP(B$2,C1:E97,3,FALSE),J81)</f>
        <v>-232.63961090317366</v>
      </c>
      <c r="G81" s="39"/>
      <c r="H81" s="138">
        <f>RANK(I81,I3:I97)</f>
        <v>74</v>
      </c>
      <c r="I81" s="139">
        <f>VLOOKUP(A81,'Standard Deviations'!A1:C728,3,FALSE)</f>
        <v>-3.3840748943558956</v>
      </c>
      <c r="J81" s="139">
        <f>I81-VLOOKUP(B$2,H1:J97,2,FALSE)</f>
        <v>-7.6219563003618287</v>
      </c>
    </row>
    <row r="82" spans="1:10" ht="21.25" customHeight="1" x14ac:dyDescent="0.15">
      <c r="A82" s="8" t="s">
        <v>644</v>
      </c>
      <c r="B82" s="65" t="str">
        <f>VLOOKUP(A82,'The List'!B1:D727,3,FALSE)</f>
        <v>RW</v>
      </c>
      <c r="C82" s="66">
        <f>IF(Settings!$E$15="POINTS",RANK(E82,E3:E97),H82)</f>
        <v>80</v>
      </c>
      <c r="D82" s="35" t="str">
        <f>VLOOKUP(A82,'The List'!B1:F727,5,FALSE)</f>
        <v>WSH</v>
      </c>
      <c r="E82" s="39">
        <f>VLOOKUP(A82,'The List'!B1:I727,8,FALSE)</f>
        <v>116.99397225589891</v>
      </c>
      <c r="F82" s="39">
        <f>IF(Settings!$E$15="POINTS",E82-VLOOKUP(B$2,C1:E97,3,FALSE),J82)</f>
        <v>-233.27756829199066</v>
      </c>
      <c r="G82" s="39"/>
      <c r="H82" s="138">
        <f>RANK(I82,I3:I97)</f>
        <v>84</v>
      </c>
      <c r="I82" s="139">
        <f>VLOOKUP(A82,'Standard Deviations'!A1:C728,3,FALSE)</f>
        <v>-4.1872475223862216</v>
      </c>
      <c r="J82" s="139">
        <f>I82-VLOOKUP(B$2,H1:J97,2,FALSE)</f>
        <v>-8.4251289283921551</v>
      </c>
    </row>
    <row r="83" spans="1:10" ht="21.25" customHeight="1" x14ac:dyDescent="0.15">
      <c r="A83" s="8" t="s">
        <v>650</v>
      </c>
      <c r="B83" s="65" t="str">
        <f>VLOOKUP(A83,'The List'!B1:D727,3,FALSE)</f>
        <v>RW</v>
      </c>
      <c r="C83" s="66">
        <f>IF(Settings!$E$15="POINTS",RANK(E83,E3:E97),H83)</f>
        <v>81</v>
      </c>
      <c r="D83" s="35" t="str">
        <f>VLOOKUP(A83,'The List'!B1:F727,5,FALSE)</f>
        <v>MTL</v>
      </c>
      <c r="E83" s="39">
        <f>VLOOKUP(A83,'The List'!B1:I727,8,FALSE)</f>
        <v>116.13167421831723</v>
      </c>
      <c r="F83" s="39">
        <f>IF(Settings!$E$15="POINTS",E83-VLOOKUP(B$2,C1:E97,3,FALSE),J83)</f>
        <v>-234.13986632957233</v>
      </c>
      <c r="G83" s="39"/>
      <c r="H83" s="138">
        <f>RANK(I83,I3:I97)</f>
        <v>92</v>
      </c>
      <c r="I83" s="139">
        <f>VLOOKUP(A83,'Standard Deviations'!A1:C728,3,FALSE)</f>
        <v>-5.0554533880954828</v>
      </c>
      <c r="J83" s="139">
        <f>I83-VLOOKUP(B$2,H1:J97,2,FALSE)</f>
        <v>-9.2933347941014155</v>
      </c>
    </row>
    <row r="84" spans="1:10" ht="21.25" customHeight="1" x14ac:dyDescent="0.15">
      <c r="A84" s="8" t="s">
        <v>660</v>
      </c>
      <c r="B84" s="65" t="str">
        <f>VLOOKUP(A84,'The List'!B1:D727,3,FALSE)</f>
        <v>RW</v>
      </c>
      <c r="C84" s="66">
        <f>IF(Settings!$E$15="POINTS",RANK(E84,E3:E97),H84)</f>
        <v>82</v>
      </c>
      <c r="D84" s="35" t="str">
        <f>VLOOKUP(A84,'The List'!B1:F727,5,FALSE)</f>
        <v>VAN</v>
      </c>
      <c r="E84" s="39">
        <f>VLOOKUP(A84,'The List'!B1:I727,8,FALSE)</f>
        <v>112.65309655729749</v>
      </c>
      <c r="F84" s="39">
        <f>IF(Settings!$E$15="POINTS",E84-VLOOKUP(B$2,C1:E97,3,FALSE),J84)</f>
        <v>-237.61844399059208</v>
      </c>
      <c r="G84" s="39"/>
      <c r="H84" s="138">
        <f>RANK(I84,I3:I97)</f>
        <v>75</v>
      </c>
      <c r="I84" s="139">
        <f>VLOOKUP(A84,'Standard Deviations'!A1:C728,3,FALSE)</f>
        <v>-3.4437654327339793</v>
      </c>
      <c r="J84" s="139">
        <f>I84-VLOOKUP(B$2,H1:J97,2,FALSE)</f>
        <v>-7.6816468387399128</v>
      </c>
    </row>
    <row r="85" spans="1:10" ht="21.25" customHeight="1" x14ac:dyDescent="0.15">
      <c r="A85" s="8" t="s">
        <v>664</v>
      </c>
      <c r="B85" s="65" t="str">
        <f>VLOOKUP(A85,'The List'!B1:D727,3,FALSE)</f>
        <v>RW</v>
      </c>
      <c r="C85" s="66">
        <f>IF(Settings!$E$15="POINTS",RANK(E85,E3:E97),H85)</f>
        <v>83</v>
      </c>
      <c r="D85" s="35" t="str">
        <f>VLOOKUP(A85,'The List'!B1:F727,5,FALSE)</f>
        <v>VGK</v>
      </c>
      <c r="E85" s="39">
        <f>VLOOKUP(A85,'The List'!B1:I727,8,FALSE)</f>
        <v>111.65063786434267</v>
      </c>
      <c r="F85" s="39">
        <f>IF(Settings!$E$15="POINTS",E85-VLOOKUP(B$2,C1:E97,3,FALSE),J85)</f>
        <v>-238.62090268354689</v>
      </c>
      <c r="G85" s="39"/>
      <c r="H85" s="138">
        <f>RANK(I85,I3:I97)</f>
        <v>59</v>
      </c>
      <c r="I85" s="139">
        <f>VLOOKUP(A85,'Standard Deviations'!A1:C728,3,FALSE)</f>
        <v>-2.4548027118172997</v>
      </c>
      <c r="J85" s="139">
        <f>I85-VLOOKUP(B$2,H1:J97,2,FALSE)</f>
        <v>-6.6926841178232337</v>
      </c>
    </row>
    <row r="86" spans="1:10" ht="21.25" customHeight="1" x14ac:dyDescent="0.15">
      <c r="A86" s="8" t="s">
        <v>669</v>
      </c>
      <c r="B86" s="65" t="str">
        <f>VLOOKUP(A86,'The List'!B1:D727,3,FALSE)</f>
        <v>RW</v>
      </c>
      <c r="C86" s="66">
        <f>IF(Settings!$E$15="POINTS",RANK(E86,E3:E97),H86)</f>
        <v>84</v>
      </c>
      <c r="D86" s="35" t="str">
        <f>VLOOKUP(A86,'The List'!B1:F727,5,FALSE)</f>
        <v>DET</v>
      </c>
      <c r="E86" s="39">
        <f>VLOOKUP(A86,'The List'!B1:I727,8,FALSE)</f>
        <v>111.0034762743269</v>
      </c>
      <c r="F86" s="39">
        <f>IF(Settings!$E$15="POINTS",E86-VLOOKUP(B$2,C1:E97,3,FALSE),J86)</f>
        <v>-239.26806427356269</v>
      </c>
      <c r="G86" s="39"/>
      <c r="H86" s="138">
        <f>RANK(I86,I3:I97)</f>
        <v>86</v>
      </c>
      <c r="I86" s="139">
        <f>VLOOKUP(A86,'Standard Deviations'!A1:C728,3,FALSE)</f>
        <v>-4.2995589108067716</v>
      </c>
      <c r="J86" s="139">
        <f>I86-VLOOKUP(B$2,H1:J97,2,FALSE)</f>
        <v>-8.537440316812706</v>
      </c>
    </row>
    <row r="87" spans="1:10" ht="21.25" customHeight="1" x14ac:dyDescent="0.15">
      <c r="A87" s="8" t="s">
        <v>683</v>
      </c>
      <c r="B87" s="65" t="str">
        <f>VLOOKUP(A87,'The List'!B1:D727,3,FALSE)</f>
        <v>RW</v>
      </c>
      <c r="C87" s="66">
        <f>IF(Settings!$E$15="POINTS",RANK(E87,E3:E97),H87)</f>
        <v>85</v>
      </c>
      <c r="D87" s="35" t="str">
        <f>VLOOKUP(A87,'The List'!B1:F727,5,FALSE)</f>
        <v>STL</v>
      </c>
      <c r="E87" s="39">
        <f>VLOOKUP(A87,'The List'!B1:I727,8,FALSE)</f>
        <v>106.50761334185913</v>
      </c>
      <c r="F87" s="39">
        <f>IF(Settings!$E$15="POINTS",E87-VLOOKUP(B$2,C1:E97,3,FALSE),J87)</f>
        <v>-243.76392720603044</v>
      </c>
      <c r="G87" s="39"/>
      <c r="H87" s="138">
        <f>RANK(I87,I3:I97)</f>
        <v>85</v>
      </c>
      <c r="I87" s="139">
        <f>VLOOKUP(A87,'Standard Deviations'!A1:C728,3,FALSE)</f>
        <v>-4.2921667313106271</v>
      </c>
      <c r="J87" s="139">
        <f>I87-VLOOKUP(B$2,H1:J97,2,FALSE)</f>
        <v>-8.5300481373165606</v>
      </c>
    </row>
    <row r="88" spans="1:10" ht="21.25" customHeight="1" x14ac:dyDescent="0.15">
      <c r="A88" s="8" t="s">
        <v>701</v>
      </c>
      <c r="B88" s="65" t="str">
        <f>VLOOKUP(A88,'The List'!B1:D727,3,FALSE)</f>
        <v>RW</v>
      </c>
      <c r="C88" s="66">
        <f>IF(Settings!$E$15="POINTS",RANK(E88,E3:E97),H88)</f>
        <v>86</v>
      </c>
      <c r="D88" s="35" t="str">
        <f>VLOOKUP(A88,'The List'!B1:F727,5,FALSE)</f>
        <v>MIN</v>
      </c>
      <c r="E88" s="39">
        <f>VLOOKUP(A88,'The List'!B1:I727,8,FALSE)</f>
        <v>98.825460450654333</v>
      </c>
      <c r="F88" s="39">
        <f>IF(Settings!$E$15="POINTS",E88-VLOOKUP(B$2,C1:E97,3,FALSE),J88)</f>
        <v>-251.44608009723524</v>
      </c>
      <c r="G88" s="39"/>
      <c r="H88" s="138">
        <f>RANK(I88,I3:I97)</f>
        <v>78</v>
      </c>
      <c r="I88" s="139">
        <f>VLOOKUP(A88,'Standard Deviations'!A1:C728,3,FALSE)</f>
        <v>-3.6703319732229245</v>
      </c>
      <c r="J88" s="139">
        <f>I88-VLOOKUP(B$2,H1:J97,2,FALSE)</f>
        <v>-7.908213379228858</v>
      </c>
    </row>
    <row r="89" spans="1:10" ht="21.25" customHeight="1" x14ac:dyDescent="0.15">
      <c r="A89" s="8" t="s">
        <v>718</v>
      </c>
      <c r="B89" s="65" t="str">
        <f>VLOOKUP(A89,'The List'!B1:D727,3,FALSE)</f>
        <v>RW</v>
      </c>
      <c r="C89" s="66">
        <f>IF(Settings!$E$15="POINTS",RANK(E89,E3:E97),H89)</f>
        <v>87</v>
      </c>
      <c r="D89" s="35" t="str">
        <f>VLOOKUP(A89,'The List'!B1:F727,5,FALSE)</f>
        <v>NYR</v>
      </c>
      <c r="E89" s="39">
        <f>VLOOKUP(A89,'The List'!B1:I727,8,FALSE)</f>
        <v>91.921006348878819</v>
      </c>
      <c r="F89" s="39">
        <f>IF(Settings!$E$15="POINTS",E89-VLOOKUP(B$2,C1:E97,3,FALSE),J89)</f>
        <v>-258.35053419901078</v>
      </c>
      <c r="G89" s="39"/>
      <c r="H89" s="138">
        <f>RANK(I89,I3:I97)</f>
        <v>81</v>
      </c>
      <c r="I89" s="139">
        <f>VLOOKUP(A89,'Standard Deviations'!A1:C728,3,FALSE)</f>
        <v>-4.1193397141108035</v>
      </c>
      <c r="J89" s="139">
        <f>I89-VLOOKUP(B$2,H1:J97,2,FALSE)</f>
        <v>-8.357221120116737</v>
      </c>
    </row>
    <row r="90" spans="1:10" ht="21.25" customHeight="1" x14ac:dyDescent="0.15">
      <c r="A90" s="8" t="s">
        <v>729</v>
      </c>
      <c r="B90" s="65" t="str">
        <f>VLOOKUP(A90,'The List'!B1:D727,3,FALSE)</f>
        <v>RW</v>
      </c>
      <c r="C90" s="66">
        <f>IF(Settings!$E$15="POINTS",RANK(E90,E3:E97),H90)</f>
        <v>88</v>
      </c>
      <c r="D90" s="35" t="str">
        <f>VLOOKUP(A90,'The List'!B1:F727,5,FALSE)</f>
        <v>NYI</v>
      </c>
      <c r="E90" s="39">
        <f>VLOOKUP(A90,'The List'!B1:I727,8,FALSE)</f>
        <v>87.480221804300442</v>
      </c>
      <c r="F90" s="39">
        <f>IF(Settings!$E$15="POINTS",E90-VLOOKUP(B$2,C1:E97,3,FALSE),J90)</f>
        <v>-262.79131874358916</v>
      </c>
      <c r="G90" s="39"/>
      <c r="H90" s="138">
        <f>RANK(I90,I3:I97)</f>
        <v>87</v>
      </c>
      <c r="I90" s="139">
        <f>VLOOKUP(A90,'Standard Deviations'!A1:C728,3,FALSE)</f>
        <v>-4.3152971866706826</v>
      </c>
      <c r="J90" s="139">
        <f>I90-VLOOKUP(B$2,H1:J97,2,FALSE)</f>
        <v>-8.5531785926766162</v>
      </c>
    </row>
    <row r="91" spans="1:10" ht="21.25" customHeight="1" x14ac:dyDescent="0.15">
      <c r="A91" s="8" t="s">
        <v>748</v>
      </c>
      <c r="B91" s="65" t="str">
        <f>VLOOKUP(A91,'The List'!B1:D727,3,FALSE)</f>
        <v>RW</v>
      </c>
      <c r="C91" s="66">
        <f>IF(Settings!$E$15="POINTS",RANK(E91,E3:E97),H91)</f>
        <v>90</v>
      </c>
      <c r="D91" s="35" t="str">
        <f>VLOOKUP(A91,'The List'!B1:F727,5,FALSE)</f>
        <v>ANA</v>
      </c>
      <c r="E91" s="39">
        <f>VLOOKUP(A91,'The List'!B1:I727,8,FALSE)</f>
        <v>76.776035292203446</v>
      </c>
      <c r="F91" s="39">
        <f>IF(Settings!$E$15="POINTS",E91-VLOOKUP(B$2,C1:E97,3,FALSE),J91)</f>
        <v>-273.49550525568611</v>
      </c>
      <c r="G91" s="39"/>
      <c r="H91" s="138">
        <f>RANK(I91,I3:I97)</f>
        <v>95</v>
      </c>
      <c r="I91" s="139">
        <f>VLOOKUP(A91,'Standard Deviations'!A1:C728,3,FALSE)</f>
        <v>-6.6419764034378836</v>
      </c>
      <c r="J91" s="139">
        <f>I91-VLOOKUP(B$2,H1:J97,2,FALSE)</f>
        <v>-10.879857809443816</v>
      </c>
    </row>
    <row r="92" spans="1:10" ht="21.25" customHeight="1" x14ac:dyDescent="0.15">
      <c r="A92" s="8" t="s">
        <v>744</v>
      </c>
      <c r="B92" s="65" t="str">
        <f>VLOOKUP(A92,'The List'!B1:D727,3,FALSE)</f>
        <v>RW</v>
      </c>
      <c r="C92" s="66">
        <f>IF(Settings!$E$15="POINTS",RANK(E92,E3:E97),H92)</f>
        <v>89</v>
      </c>
      <c r="D92" s="35" t="str">
        <f>VLOOKUP(A92,'The List'!B1:F727,5,FALSE)</f>
        <v>NSH</v>
      </c>
      <c r="E92" s="39">
        <f>VLOOKUP(A92,'The List'!B1:I727,8,FALSE)</f>
        <v>78.457324099788991</v>
      </c>
      <c r="F92" s="39">
        <f>IF(Settings!$E$15="POINTS",E92-VLOOKUP(B$2,C1:E97,3,FALSE),J92)</f>
        <v>-271.81421644810058</v>
      </c>
      <c r="G92" s="39"/>
      <c r="H92" s="138">
        <f>RANK(I92,I3:I97)</f>
        <v>91</v>
      </c>
      <c r="I92" s="139">
        <f>VLOOKUP(A92,'Standard Deviations'!A1:C728,3,FALSE)</f>
        <v>-4.6877409499632474</v>
      </c>
      <c r="J92" s="139">
        <f>I92-VLOOKUP(B$2,H1:J97,2,FALSE)</f>
        <v>-8.9256223559691819</v>
      </c>
    </row>
    <row r="93" spans="1:10" ht="21.25" customHeight="1" x14ac:dyDescent="0.15">
      <c r="A93" s="8" t="s">
        <v>751</v>
      </c>
      <c r="B93" s="65" t="str">
        <f>VLOOKUP(A93,'The List'!B1:D727,3,FALSE)</f>
        <v>RW</v>
      </c>
      <c r="C93" s="66">
        <f>IF(Settings!$E$15="POINTS",RANK(E93,E3:E97),H93)</f>
        <v>91</v>
      </c>
      <c r="D93" s="35" t="str">
        <f>VLOOKUP(A93,'The List'!B1:F727,5,FALSE)</f>
        <v>TBL</v>
      </c>
      <c r="E93" s="39">
        <f>VLOOKUP(A93,'The List'!B1:I727,8,FALSE)</f>
        <v>75.504520685029874</v>
      </c>
      <c r="F93" s="39">
        <f>IF(Settings!$E$15="POINTS",E93-VLOOKUP(B$2,C1:E97,3,FALSE),J93)</f>
        <v>-274.76701986285968</v>
      </c>
      <c r="G93" s="39"/>
      <c r="H93" s="138">
        <f>RANK(I93,I3:I97)</f>
        <v>90</v>
      </c>
      <c r="I93" s="139">
        <f>VLOOKUP(A93,'Standard Deviations'!A1:C728,3,FALSE)</f>
        <v>-4.6128875088000685</v>
      </c>
      <c r="J93" s="139">
        <f>I93-VLOOKUP(B$2,H1:J97,2,FALSE)</f>
        <v>-8.850768914806002</v>
      </c>
    </row>
    <row r="94" spans="1:10" ht="21.25" customHeight="1" x14ac:dyDescent="0.15">
      <c r="A94" s="8" t="s">
        <v>753</v>
      </c>
      <c r="B94" s="65" t="str">
        <f>VLOOKUP(A94,'The List'!B1:D727,3,FALSE)</f>
        <v>RW</v>
      </c>
      <c r="C94" s="66">
        <f>IF(Settings!$E$15="POINTS",RANK(E94,E3:E97),H94)</f>
        <v>92</v>
      </c>
      <c r="D94" s="35" t="str">
        <f>VLOOKUP(A94,'The List'!B1:F727,5,FALSE)</f>
        <v>TOR</v>
      </c>
      <c r="E94" s="39">
        <f>VLOOKUP(A94,'The List'!B1:I727,8,FALSE)</f>
        <v>75.223649017808867</v>
      </c>
      <c r="F94" s="39">
        <f>IF(Settings!$E$15="POINTS",E94-VLOOKUP(B$2,C1:E97,3,FALSE),J94)</f>
        <v>-275.04789153008073</v>
      </c>
      <c r="G94" s="39"/>
      <c r="H94" s="138">
        <f>RANK(I94,I3:I97)</f>
        <v>82</v>
      </c>
      <c r="I94" s="139">
        <f>VLOOKUP(A94,'Standard Deviations'!A1:C728,3,FALSE)</f>
        <v>-4.1259879214715447</v>
      </c>
      <c r="J94" s="139">
        <f>I94-VLOOKUP(B$2,H1:J97,2,FALSE)</f>
        <v>-8.3638693274774774</v>
      </c>
    </row>
    <row r="95" spans="1:10" ht="21.25" customHeight="1" x14ac:dyDescent="0.15">
      <c r="A95" s="8" t="s">
        <v>767</v>
      </c>
      <c r="B95" s="65" t="str">
        <f>VLOOKUP(A95,'The List'!B1:D727,3,FALSE)</f>
        <v>RW</v>
      </c>
      <c r="C95" s="66">
        <f>IF(Settings!$E$15="POINTS",RANK(E95,E3:E97),H95)</f>
        <v>93</v>
      </c>
      <c r="D95" s="35" t="str">
        <f>VLOOKUP(A95,'The List'!B1:F727,5,FALSE)</f>
        <v>CBJ</v>
      </c>
      <c r="E95" s="39">
        <f>VLOOKUP(A95,'The List'!B1:I727,8,FALSE)</f>
        <v>69.296125656414503</v>
      </c>
      <c r="F95" s="39">
        <f>IF(Settings!$E$15="POINTS",E95-VLOOKUP(B$2,C1:E97,3,FALSE),J95)</f>
        <v>-280.97541489147505</v>
      </c>
      <c r="G95" s="39"/>
      <c r="H95" s="138">
        <f>RANK(I95,I3:I97)</f>
        <v>94</v>
      </c>
      <c r="I95" s="139">
        <f>VLOOKUP(A95,'Standard Deviations'!A1:C728,3,FALSE)</f>
        <v>-5.7359764741609327</v>
      </c>
      <c r="J95" s="139">
        <f>I95-VLOOKUP(B$2,H1:J97,2,FALSE)</f>
        <v>-9.9738578801668663</v>
      </c>
    </row>
    <row r="96" spans="1:10" ht="21.25" customHeight="1" x14ac:dyDescent="0.15">
      <c r="A96" s="8" t="s">
        <v>773</v>
      </c>
      <c r="B96" s="65" t="str">
        <f>VLOOKUP(A96,'The List'!B1:D727,3,FALSE)</f>
        <v>RW</v>
      </c>
      <c r="C96" s="66">
        <f>IF(Settings!$E$15="POINTS",RANK(E96,E3:E97),H96)</f>
        <v>94</v>
      </c>
      <c r="D96" s="35" t="str">
        <f>VLOOKUP(A96,'The List'!B1:F727,5,FALSE)</f>
        <v>TOR</v>
      </c>
      <c r="E96" s="39">
        <f>VLOOKUP(A96,'The List'!B1:I727,8,FALSE)</f>
        <v>66.741079527526892</v>
      </c>
      <c r="F96" s="39">
        <f>IF(Settings!$E$15="POINTS",E96-VLOOKUP(B$2,C1:E97,3,FALSE),J96)</f>
        <v>-283.53046102036268</v>
      </c>
      <c r="G96" s="39"/>
      <c r="H96" s="138">
        <f>RANK(I96,I3:I97)</f>
        <v>89</v>
      </c>
      <c r="I96" s="139">
        <f>VLOOKUP(A96,'Standard Deviations'!A1:C728,3,FALSE)</f>
        <v>-4.4437010961056114</v>
      </c>
      <c r="J96" s="139">
        <f>I96-VLOOKUP(B$2,H1:J97,2,FALSE)</f>
        <v>-8.6815825021115458</v>
      </c>
    </row>
    <row r="97" spans="1:10" ht="21.25" customHeight="1" x14ac:dyDescent="0.15">
      <c r="A97" s="8" t="s">
        <v>786</v>
      </c>
      <c r="B97" s="65" t="str">
        <f>VLOOKUP(A97,'The List'!B1:D727,3,FALSE)</f>
        <v>RW</v>
      </c>
      <c r="C97" s="66">
        <f>IF(Settings!$E$15="POINTS",RANK(E97,E3:E97),H97)</f>
        <v>95</v>
      </c>
      <c r="D97" s="35" t="str">
        <f>VLOOKUP(A97,'The List'!B1:F727,5,FALSE)</f>
        <v>SJS</v>
      </c>
      <c r="E97" s="39">
        <f>VLOOKUP(A97,'The List'!B1:I727,8,FALSE)</f>
        <v>55.501407672484113</v>
      </c>
      <c r="F97" s="39">
        <f>IF(Settings!$E$15="POINTS",E97-VLOOKUP(B$2,C1:E97,3,FALSE),J97)</f>
        <v>-294.77013287540547</v>
      </c>
      <c r="G97" s="39"/>
      <c r="H97" s="138">
        <f>RANK(I97,I3:I97)</f>
        <v>93</v>
      </c>
      <c r="I97" s="139">
        <f>VLOOKUP(A97,'Standard Deviations'!A1:C728,3,FALSE)</f>
        <v>-5.5762940610399845</v>
      </c>
      <c r="J97" s="139">
        <f>I97-VLOOKUP(B$2,H1:J97,2,FALSE)</f>
        <v>-9.8141754670459171</v>
      </c>
    </row>
  </sheetData>
  <conditionalFormatting sqref="C3:C97 H3:H97">
    <cfRule type="containsText" dxfId="17" priority="1" stopIfTrue="1" operator="containsText" text="/">
      <formula>NOT(ISERROR(FIND(UPPER("/"),UPPER(C3))))</formula>
      <formula>"/"</formula>
    </cfRule>
    <cfRule type="containsText" dxfId="16" priority="2" stopIfTrue="1" operator="containsText" text="C">
      <formula>NOT(ISERROR(FIND(UPPER("C"),UPPER(C3))))</formula>
      <formula>"C"</formula>
    </cfRule>
    <cfRule type="containsText" dxfId="15" priority="3" stopIfTrue="1" operator="containsText" text="D">
      <formula>NOT(ISERROR(FIND(UPPER("D"),UPPER(C3))))</formula>
      <formula>"D"</formula>
    </cfRule>
    <cfRule type="containsText" dxfId="14" priority="4" stopIfTrue="1" operator="containsText" text="LW">
      <formula>NOT(ISERROR(FIND(UPPER("LW"),UPPER(C3))))</formula>
      <formula>"LW"</formula>
    </cfRule>
    <cfRule type="containsText" dxfId="13" priority="5" stopIfTrue="1" operator="containsText" text="RW">
      <formula>NOT(ISERROR(FIND(UPPER("RW"),UPPER(C3))))</formula>
      <formula>"RW"</formula>
    </cfRule>
    <cfRule type="containsText" dxfId="12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J227"/>
  <sheetViews>
    <sheetView showGridLines="0" workbookViewId="0">
      <pane ySplit="2" topLeftCell="A3" activePane="bottomLeft" state="frozen"/>
      <selection pane="bottomLeft"/>
    </sheetView>
  </sheetViews>
  <sheetFormatPr baseColWidth="10" defaultColWidth="8" defaultRowHeight="16.25" customHeight="1" x14ac:dyDescent="0.15"/>
  <cols>
    <col min="1" max="1" width="33" style="1" customWidth="1"/>
    <col min="2" max="2" width="7.1640625" style="1" customWidth="1"/>
    <col min="3" max="3" width="6" style="1" customWidth="1"/>
    <col min="4" max="6" width="8.33203125" style="1" customWidth="1"/>
    <col min="7" max="10" width="1.33203125" style="1" customWidth="1"/>
    <col min="11" max="11" width="8" style="1" customWidth="1"/>
    <col min="12" max="16384" width="8" style="1"/>
  </cols>
  <sheetData>
    <row r="1" spans="1:10" ht="28.25" customHeight="1" x14ac:dyDescent="0.15">
      <c r="A1" s="122" t="s">
        <v>852</v>
      </c>
      <c r="B1" s="123" t="s">
        <v>860</v>
      </c>
      <c r="C1" s="124"/>
      <c r="D1" s="4" t="s">
        <v>854</v>
      </c>
      <c r="E1" s="125" t="s">
        <v>855</v>
      </c>
      <c r="F1" s="123" t="s">
        <v>74</v>
      </c>
      <c r="G1" s="126"/>
      <c r="H1" s="127"/>
      <c r="I1" s="128" t="s">
        <v>856</v>
      </c>
      <c r="J1" s="129" t="s">
        <v>74</v>
      </c>
    </row>
    <row r="2" spans="1:10" ht="28.25" customHeight="1" x14ac:dyDescent="0.15">
      <c r="A2" s="130" t="s">
        <v>41</v>
      </c>
      <c r="B2" s="131">
        <f>Settings!F5</f>
        <v>18</v>
      </c>
      <c r="C2" s="132"/>
      <c r="D2" s="133"/>
      <c r="E2" s="134"/>
      <c r="F2" s="134"/>
      <c r="G2" s="134"/>
      <c r="H2" s="140"/>
      <c r="I2" s="141"/>
      <c r="J2" s="141"/>
    </row>
    <row r="3" spans="1:10" ht="21.25" customHeight="1" x14ac:dyDescent="0.15">
      <c r="A3" s="8" t="s">
        <v>119</v>
      </c>
      <c r="B3" s="144" t="str">
        <f>VLOOKUP(A3,'The List'!B1:D727,3,FALSE)</f>
        <v>D</v>
      </c>
      <c r="C3" s="145">
        <f>IF(Settings!$E$15="POINTS",RANK(E3,E3:E227),H3)</f>
        <v>2</v>
      </c>
      <c r="D3" s="35" t="str">
        <f>VLOOKUP(A3,'The List'!B1:F727,5,FALSE)</f>
        <v>NSH</v>
      </c>
      <c r="E3" s="39">
        <f>VLOOKUP(A3,'The List'!B1:I727,8,FALSE)</f>
        <v>444.25150723467397</v>
      </c>
      <c r="F3" s="39">
        <f>IF(Settings!$E$15="POINTS",E3-VLOOKUP(B$2,C1:E227,3,FALSE),J3)</f>
        <v>132.68602560674651</v>
      </c>
      <c r="G3" s="39"/>
      <c r="H3" s="142">
        <f>RANK(I3,I3:I227)</f>
        <v>2</v>
      </c>
      <c r="I3" s="143">
        <f>VLOOKUP(A3,'Standard Deviations'!A1:C728,3,FALSE)</f>
        <v>10.003512023625538</v>
      </c>
      <c r="J3" s="143">
        <f>I3-VLOOKUP(B$2,H1:J227,2,FALSE)</f>
        <v>4.4583392559413451</v>
      </c>
    </row>
    <row r="4" spans="1:10" ht="21.25" customHeight="1" x14ac:dyDescent="0.15">
      <c r="A4" s="8" t="s">
        <v>116</v>
      </c>
      <c r="B4" s="144" t="str">
        <f>VLOOKUP(A4,'The List'!B1:D727,3,FALSE)</f>
        <v>D</v>
      </c>
      <c r="C4" s="145">
        <f>IF(Settings!$E$15="POINTS",RANK(E4,E3:E227),H4)</f>
        <v>1</v>
      </c>
      <c r="D4" s="35" t="str">
        <f>VLOOKUP(A4,'The List'!B1:F727,5,FALSE)</f>
        <v>COL</v>
      </c>
      <c r="E4" s="39">
        <f>VLOOKUP(A4,'The List'!B1:I727,8,FALSE)</f>
        <v>459.88618683927103</v>
      </c>
      <c r="F4" s="39">
        <f>IF(Settings!$E$15="POINTS",E4-VLOOKUP(B$2,C1:E227,3,FALSE),J4)</f>
        <v>148.32070521134358</v>
      </c>
      <c r="G4" s="39"/>
      <c r="H4" s="138">
        <f>RANK(I4,I3:I227)</f>
        <v>1</v>
      </c>
      <c r="I4" s="139">
        <f>VLOOKUP(A4,'Standard Deviations'!A1:C728,3,FALSE)</f>
        <v>11.734989996844774</v>
      </c>
      <c r="J4" s="139">
        <f>I4-VLOOKUP(B$2,H1:J227,2,FALSE)</f>
        <v>6.1898172291605817</v>
      </c>
    </row>
    <row r="5" spans="1:10" ht="21.25" customHeight="1" x14ac:dyDescent="0.15">
      <c r="A5" s="8" t="s">
        <v>130</v>
      </c>
      <c r="B5" s="144" t="str">
        <f>VLOOKUP(A5,'The List'!B1:D727,3,FALSE)</f>
        <v>D</v>
      </c>
      <c r="C5" s="145">
        <f>IF(Settings!$E$15="POINTS",RANK(E5,E3:E227),H5)</f>
        <v>6</v>
      </c>
      <c r="D5" s="35" t="str">
        <f>VLOOKUP(A5,'The List'!B1:F727,5,FALSE)</f>
        <v>NYR</v>
      </c>
      <c r="E5" s="39">
        <f>VLOOKUP(A5,'The List'!B1:I727,8,FALSE)</f>
        <v>397.65893614571775</v>
      </c>
      <c r="F5" s="39">
        <f>IF(Settings!$E$15="POINTS",E5-VLOOKUP(B$2,C1:E227,3,FALSE),J5)</f>
        <v>86.093454517790292</v>
      </c>
      <c r="G5" s="39"/>
      <c r="H5" s="138">
        <f>RANK(I5,I3:I227)</f>
        <v>3</v>
      </c>
      <c r="I5" s="139">
        <f>VLOOKUP(A5,'Standard Deviations'!A1:C728,3,FALSE)</f>
        <v>9.3903908196116479</v>
      </c>
      <c r="J5" s="139">
        <f>I5-VLOOKUP(B$2,H1:J227,2,FALSE)</f>
        <v>3.8452180519274552</v>
      </c>
    </row>
    <row r="6" spans="1:10" ht="21.25" customHeight="1" x14ac:dyDescent="0.15">
      <c r="A6" s="8" t="s">
        <v>127</v>
      </c>
      <c r="B6" s="144" t="str">
        <f>VLOOKUP(A6,'The List'!B1:D727,3,FALSE)</f>
        <v>D</v>
      </c>
      <c r="C6" s="145">
        <f>IF(Settings!$E$15="POINTS",RANK(E6,E3:E227),H6)</f>
        <v>4</v>
      </c>
      <c r="D6" s="35" t="str">
        <f>VLOOKUP(A6,'The List'!B1:F727,5,FALSE)</f>
        <v>BUF</v>
      </c>
      <c r="E6" s="39">
        <f>VLOOKUP(A6,'The List'!B1:I727,8,FALSE)</f>
        <v>405.71016384920756</v>
      </c>
      <c r="F6" s="39">
        <f>IF(Settings!$E$15="POINTS",E6-VLOOKUP(B$2,C1:E227,3,FALSE),J6)</f>
        <v>94.144682221280107</v>
      </c>
      <c r="G6" s="39"/>
      <c r="H6" s="138">
        <f>RANK(I6,I3:I227)</f>
        <v>7</v>
      </c>
      <c r="I6" s="139">
        <f>VLOOKUP(A6,'Standard Deviations'!A1:C728,3,FALSE)</f>
        <v>7.7295917969080383</v>
      </c>
      <c r="J6" s="139">
        <f>I6-VLOOKUP(B$2,H1:J227,2,FALSE)</f>
        <v>2.1844190292238457</v>
      </c>
    </row>
    <row r="7" spans="1:10" ht="21.25" customHeight="1" x14ac:dyDescent="0.15">
      <c r="A7" s="8" t="s">
        <v>138</v>
      </c>
      <c r="B7" s="144" t="str">
        <f>VLOOKUP(A7,'The List'!B1:D727,3,FALSE)</f>
        <v>D</v>
      </c>
      <c r="C7" s="145">
        <f>IF(Settings!$E$15="POINTS",RANK(E7,E3:E227),H7)</f>
        <v>8</v>
      </c>
      <c r="D7" s="35" t="str">
        <f>VLOOKUP(A7,'The List'!B1:F727,5,FALSE)</f>
        <v>VAN</v>
      </c>
      <c r="E7" s="39">
        <f>VLOOKUP(A7,'The List'!B1:I727,8,FALSE)</f>
        <v>388.42076978686117</v>
      </c>
      <c r="F7" s="39">
        <f>IF(Settings!$E$15="POINTS",E7-VLOOKUP(B$2,C1:E227,3,FALSE),J7)</f>
        <v>76.855288158933718</v>
      </c>
      <c r="G7" s="39"/>
      <c r="H7" s="138">
        <f>RANK(I7,I3:I227)</f>
        <v>10</v>
      </c>
      <c r="I7" s="139">
        <f>VLOOKUP(A7,'Standard Deviations'!A1:C728,3,FALSE)</f>
        <v>6.6915031790665171</v>
      </c>
      <c r="J7" s="139">
        <f>I7-VLOOKUP(B$2,H1:J227,2,FALSE)</f>
        <v>1.1463304113823245</v>
      </c>
    </row>
    <row r="8" spans="1:10" ht="21.25" customHeight="1" x14ac:dyDescent="0.15">
      <c r="A8" s="8" t="s">
        <v>129</v>
      </c>
      <c r="B8" s="144" t="str">
        <f>VLOOKUP(A8,'The List'!B1:D727,3,FALSE)</f>
        <v>D</v>
      </c>
      <c r="C8" s="145">
        <f>IF(Settings!$E$15="POINTS",RANK(E8,E3:E227),H8)</f>
        <v>5</v>
      </c>
      <c r="D8" s="35" t="str">
        <f>VLOOKUP(A8,'The List'!B1:F727,5,FALSE)</f>
        <v>NJD</v>
      </c>
      <c r="E8" s="39">
        <f>VLOOKUP(A8,'The List'!B1:I727,8,FALSE)</f>
        <v>398.34830834898315</v>
      </c>
      <c r="F8" s="39">
        <f>IF(Settings!$E$15="POINTS",E8-VLOOKUP(B$2,C1:E227,3,FALSE),J8)</f>
        <v>86.782826721055699</v>
      </c>
      <c r="G8" s="39"/>
      <c r="H8" s="138">
        <f>RANK(I8,I3:I227)</f>
        <v>8</v>
      </c>
      <c r="I8" s="139">
        <f>VLOOKUP(A8,'Standard Deviations'!A1:C728,3,FALSE)</f>
        <v>7.5466528519148675</v>
      </c>
      <c r="J8" s="139">
        <f>I8-VLOOKUP(B$2,H1:J227,2,FALSE)</f>
        <v>2.0014800842306748</v>
      </c>
    </row>
    <row r="9" spans="1:10" ht="21.25" customHeight="1" x14ac:dyDescent="0.15">
      <c r="A9" s="8" t="s">
        <v>126</v>
      </c>
      <c r="B9" s="144" t="str">
        <f>VLOOKUP(A9,'The List'!B1:D727,3,FALSE)</f>
        <v>D</v>
      </c>
      <c r="C9" s="145">
        <f>IF(Settings!$E$15="POINTS",RANK(E9,E3:E227),H9)</f>
        <v>3</v>
      </c>
      <c r="D9" s="35" t="str">
        <f>VLOOKUP(A9,'The List'!B1:F727,5,FALSE)</f>
        <v>PIT</v>
      </c>
      <c r="E9" s="39">
        <f>VLOOKUP(A9,'The List'!B1:I727,8,FALSE)</f>
        <v>414.00987995593869</v>
      </c>
      <c r="F9" s="39">
        <f>IF(Settings!$E$15="POINTS",E9-VLOOKUP(B$2,C1:E227,3,FALSE),J9)</f>
        <v>102.44439832801123</v>
      </c>
      <c r="G9" s="39"/>
      <c r="H9" s="138">
        <f>RANK(I9,I3:I227)</f>
        <v>6</v>
      </c>
      <c r="I9" s="139">
        <f>VLOOKUP(A9,'Standard Deviations'!A1:C728,3,FALSE)</f>
        <v>8.0902382146876821</v>
      </c>
      <c r="J9" s="139">
        <f>I9-VLOOKUP(B$2,H1:J227,2,FALSE)</f>
        <v>2.5450654470034895</v>
      </c>
    </row>
    <row r="10" spans="1:10" ht="21.25" customHeight="1" x14ac:dyDescent="0.15">
      <c r="A10" s="8" t="s">
        <v>135</v>
      </c>
      <c r="B10" s="144" t="str">
        <f>VLOOKUP(A10,'The List'!B1:D727,3,FALSE)</f>
        <v>D</v>
      </c>
      <c r="C10" s="145">
        <f>IF(Settings!$E$15="POINTS",RANK(E10,E3:E227),H10)</f>
        <v>7</v>
      </c>
      <c r="D10" s="35" t="str">
        <f>VLOOKUP(A10,'The List'!B1:F727,5,FALSE)</f>
        <v>DAL</v>
      </c>
      <c r="E10" s="39">
        <f>VLOOKUP(A10,'The List'!B1:I727,8,FALSE)</f>
        <v>393.35811977267264</v>
      </c>
      <c r="F10" s="39">
        <f>IF(Settings!$E$15="POINTS",E10-VLOOKUP(B$2,C1:E227,3,FALSE),J10)</f>
        <v>81.792638144745183</v>
      </c>
      <c r="G10" s="39"/>
      <c r="H10" s="138">
        <f>RANK(I10,I3:I227)</f>
        <v>4</v>
      </c>
      <c r="I10" s="139">
        <f>VLOOKUP(A10,'Standard Deviations'!A1:C728,3,FALSE)</f>
        <v>8.9834615879883835</v>
      </c>
      <c r="J10" s="139">
        <f>I10-VLOOKUP(B$2,H1:J227,2,FALSE)</f>
        <v>3.4382888203041908</v>
      </c>
    </row>
    <row r="11" spans="1:10" ht="21.25" customHeight="1" x14ac:dyDescent="0.15">
      <c r="A11" s="8" t="s">
        <v>151</v>
      </c>
      <c r="B11" s="144" t="str">
        <f>VLOOKUP(A11,'The List'!B1:D727,3,FALSE)</f>
        <v>D</v>
      </c>
      <c r="C11" s="145">
        <f>IF(Settings!$E$15="POINTS",RANK(E11,E3:E227),H11)</f>
        <v>10</v>
      </c>
      <c r="D11" s="35" t="str">
        <f>VLOOKUP(A11,'The List'!B1:F727,5,FALSE)</f>
        <v>TBL</v>
      </c>
      <c r="E11" s="39">
        <f>VLOOKUP(A11,'The List'!B1:I727,8,FALSE)</f>
        <v>361.25383926034351</v>
      </c>
      <c r="F11" s="39">
        <f>IF(Settings!$E$15="POINTS",E11-VLOOKUP(B$2,C1:E227,3,FALSE),J11)</f>
        <v>49.688357632416057</v>
      </c>
      <c r="G11" s="39"/>
      <c r="H11" s="138">
        <f>RANK(I11,I3:I227)</f>
        <v>12</v>
      </c>
      <c r="I11" s="139">
        <f>VLOOKUP(A11,'Standard Deviations'!A1:C728,3,FALSE)</f>
        <v>6.4938006224785667</v>
      </c>
      <c r="J11" s="139">
        <f>I11-VLOOKUP(B$2,H1:J227,2,FALSE)</f>
        <v>0.94862785479437406</v>
      </c>
    </row>
    <row r="12" spans="1:10" ht="21.25" customHeight="1" x14ac:dyDescent="0.15">
      <c r="A12" s="8" t="s">
        <v>170</v>
      </c>
      <c r="B12" s="144" t="str">
        <f>VLOOKUP(A12,'The List'!B1:D727,3,FALSE)</f>
        <v>D</v>
      </c>
      <c r="C12" s="145">
        <f>IF(Settings!$E$15="POINTS",RANK(E12,E3:E227),H12)</f>
        <v>13</v>
      </c>
      <c r="D12" s="35" t="str">
        <f>VLOOKUP(A12,'The List'!B1:F727,5,FALSE)</f>
        <v>TBL</v>
      </c>
      <c r="E12" s="39">
        <f>VLOOKUP(A12,'The List'!B1:I727,8,FALSE)</f>
        <v>336.69074222939281</v>
      </c>
      <c r="F12" s="39">
        <f>IF(Settings!$E$15="POINTS",E12-VLOOKUP(B$2,C1:E227,3,FALSE),J12)</f>
        <v>25.125260601465357</v>
      </c>
      <c r="G12" s="39"/>
      <c r="H12" s="138">
        <f>RANK(I12,I3:I227)</f>
        <v>15</v>
      </c>
      <c r="I12" s="139">
        <f>VLOOKUP(A12,'Standard Deviations'!A1:C728,3,FALSE)</f>
        <v>6.0713462930662132</v>
      </c>
      <c r="J12" s="139">
        <f>I12-VLOOKUP(B$2,H1:J227,2,FALSE)</f>
        <v>0.52617352538202056</v>
      </c>
    </row>
    <row r="13" spans="1:10" ht="21.25" customHeight="1" x14ac:dyDescent="0.15">
      <c r="A13" s="8" t="s">
        <v>167</v>
      </c>
      <c r="B13" s="144" t="str">
        <f>VLOOKUP(A13,'The List'!B1:D727,3,FALSE)</f>
        <v>D</v>
      </c>
      <c r="C13" s="145">
        <f>IF(Settings!$E$15="POINTS",RANK(E13,E3:E227),H13)</f>
        <v>12</v>
      </c>
      <c r="D13" s="35" t="str">
        <f>VLOOKUP(A13,'The List'!B1:F727,5,FALSE)</f>
        <v>WPG</v>
      </c>
      <c r="E13" s="39">
        <f>VLOOKUP(A13,'The List'!B1:I727,8,FALSE)</f>
        <v>341.69719378807514</v>
      </c>
      <c r="F13" s="39">
        <f>IF(Settings!$E$15="POINTS",E13-VLOOKUP(B$2,C1:E227,3,FALSE),J13)</f>
        <v>30.131712160147686</v>
      </c>
      <c r="G13" s="39"/>
      <c r="H13" s="138">
        <f>RANK(I13,I3:I227)</f>
        <v>14</v>
      </c>
      <c r="I13" s="139">
        <f>VLOOKUP(A13,'Standard Deviations'!A1:C728,3,FALSE)</f>
        <v>6.3091161549248103</v>
      </c>
      <c r="J13" s="139">
        <f>I13-VLOOKUP(B$2,H1:J227,2,FALSE)</f>
        <v>0.76394338724061761</v>
      </c>
    </row>
    <row r="14" spans="1:10" ht="21.25" customHeight="1" x14ac:dyDescent="0.15">
      <c r="A14" s="8" t="s">
        <v>142</v>
      </c>
      <c r="B14" s="144" t="str">
        <f>VLOOKUP(A14,'The List'!B1:D727,3,FALSE)</f>
        <v>D</v>
      </c>
      <c r="C14" s="145">
        <f>IF(Settings!$E$15="POINTS",RANK(E14,E3:E227),H14)</f>
        <v>9</v>
      </c>
      <c r="D14" s="35" t="str">
        <f>VLOOKUP(A14,'The List'!B1:F727,5,FALSE)</f>
        <v>EDM</v>
      </c>
      <c r="E14" s="39">
        <f>VLOOKUP(A14,'The List'!B1:I727,8,FALSE)</f>
        <v>380.0559121507091</v>
      </c>
      <c r="F14" s="39">
        <f>IF(Settings!$E$15="POINTS",E14-VLOOKUP(B$2,C1:E227,3,FALSE),J14)</f>
        <v>68.490430522781651</v>
      </c>
      <c r="G14" s="39"/>
      <c r="H14" s="138">
        <f>RANK(I14,I3:I227)</f>
        <v>5</v>
      </c>
      <c r="I14" s="139">
        <f>VLOOKUP(A14,'Standard Deviations'!A1:C728,3,FALSE)</f>
        <v>8.7702779311042125</v>
      </c>
      <c r="J14" s="139">
        <f>I14-VLOOKUP(B$2,H1:J227,2,FALSE)</f>
        <v>3.2251051634200198</v>
      </c>
    </row>
    <row r="15" spans="1:10" ht="21.25" customHeight="1" x14ac:dyDescent="0.15">
      <c r="A15" s="8" t="s">
        <v>157</v>
      </c>
      <c r="B15" s="144" t="str">
        <f>VLOOKUP(A15,'The List'!B1:D727,3,FALSE)</f>
        <v>D</v>
      </c>
      <c r="C15" s="145">
        <f>IF(Settings!$E$15="POINTS",RANK(E15,E3:E227),H15)</f>
        <v>11</v>
      </c>
      <c r="D15" s="35" t="str">
        <f>VLOOKUP(A15,'The List'!B1:F727,5,FALSE)</f>
        <v>DET</v>
      </c>
      <c r="E15" s="39">
        <f>VLOOKUP(A15,'The List'!B1:I727,8,FALSE)</f>
        <v>350.86975552358314</v>
      </c>
      <c r="F15" s="39">
        <f>IF(Settings!$E$15="POINTS",E15-VLOOKUP(B$2,C1:E227,3,FALSE),J15)</f>
        <v>39.304273895655683</v>
      </c>
      <c r="G15" s="39"/>
      <c r="H15" s="138">
        <f>RANK(I15,I3:I227)</f>
        <v>16</v>
      </c>
      <c r="I15" s="139">
        <f>VLOOKUP(A15,'Standard Deviations'!A1:C728,3,FALSE)</f>
        <v>6.0682497443744712</v>
      </c>
      <c r="J15" s="139">
        <f>I15-VLOOKUP(B$2,H1:J227,2,FALSE)</f>
        <v>0.52307697669027853</v>
      </c>
    </row>
    <row r="16" spans="1:10" ht="21.25" customHeight="1" x14ac:dyDescent="0.15">
      <c r="A16" s="8" t="s">
        <v>186</v>
      </c>
      <c r="B16" s="144" t="str">
        <f>VLOOKUP(A16,'The List'!B1:D727,3,FALSE)</f>
        <v>D</v>
      </c>
      <c r="C16" s="145">
        <f>IF(Settings!$E$15="POINTS",RANK(E16,E3:E227),H16)</f>
        <v>16</v>
      </c>
      <c r="D16" s="35" t="str">
        <f>VLOOKUP(A16,'The List'!B1:F727,5,FALSE)</f>
        <v>WSH</v>
      </c>
      <c r="E16" s="39">
        <f>VLOOKUP(A16,'The List'!B1:I727,8,FALSE)</f>
        <v>312.88798831943132</v>
      </c>
      <c r="F16" s="39">
        <f>IF(Settings!$E$15="POINTS",E16-VLOOKUP(B$2,C1:E227,3,FALSE),J16)</f>
        <v>1.322506691503861</v>
      </c>
      <c r="G16" s="39"/>
      <c r="H16" s="138">
        <f>RANK(I16,I3:I227)</f>
        <v>23</v>
      </c>
      <c r="I16" s="139">
        <f>VLOOKUP(A16,'Standard Deviations'!A1:C728,3,FALSE)</f>
        <v>4.2078573157573391</v>
      </c>
      <c r="J16" s="139">
        <f>I16-VLOOKUP(B$2,H1:J227,2,FALSE)</f>
        <v>-1.3373154519268535</v>
      </c>
    </row>
    <row r="17" spans="1:10" ht="21.25" customHeight="1" x14ac:dyDescent="0.15">
      <c r="A17" s="8" t="s">
        <v>184</v>
      </c>
      <c r="B17" s="144" t="str">
        <f>VLOOKUP(A17,'The List'!B1:D727,3,FALSE)</f>
        <v>D</v>
      </c>
      <c r="C17" s="145">
        <f>IF(Settings!$E$15="POINTS",RANK(E17,E3:E227),H17)</f>
        <v>14</v>
      </c>
      <c r="D17" s="35" t="str">
        <f>VLOOKUP(A17,'The List'!B1:F727,5,FALSE)</f>
        <v>NYI</v>
      </c>
      <c r="E17" s="39">
        <f>VLOOKUP(A17,'The List'!B1:I727,8,FALSE)</f>
        <v>313.4167363542054</v>
      </c>
      <c r="F17" s="39">
        <f>IF(Settings!$E$15="POINTS",E17-VLOOKUP(B$2,C1:E227,3,FALSE),J17)</f>
        <v>1.8512547262779435</v>
      </c>
      <c r="G17" s="39"/>
      <c r="H17" s="138">
        <f>RANK(I17,I3:I227)</f>
        <v>21</v>
      </c>
      <c r="I17" s="139">
        <f>VLOOKUP(A17,'Standard Deviations'!A1:C728,3,FALSE)</f>
        <v>5.0749052237577565</v>
      </c>
      <c r="J17" s="139">
        <f>I17-VLOOKUP(B$2,H1:J227,2,FALSE)</f>
        <v>-0.4702675439264361</v>
      </c>
    </row>
    <row r="18" spans="1:10" ht="21.25" customHeight="1" x14ac:dyDescent="0.15">
      <c r="A18" s="8" t="s">
        <v>189</v>
      </c>
      <c r="B18" s="144" t="str">
        <f>VLOOKUP(A18,'The List'!B1:D727,3,FALSE)</f>
        <v>D</v>
      </c>
      <c r="C18" s="145">
        <f>IF(Settings!$E$15="POINTS",RANK(E18,E3:E227),H18)</f>
        <v>18</v>
      </c>
      <c r="D18" s="35" t="str">
        <f>VLOOKUP(A18,'The List'!B1:F727,5,FALSE)</f>
        <v>BOS</v>
      </c>
      <c r="E18" s="39">
        <f>VLOOKUP(A18,'The List'!B1:I727,8,FALSE)</f>
        <v>311.56548162792745</v>
      </c>
      <c r="F18" s="39">
        <f>IF(Settings!$E$15="POINTS",E18-VLOOKUP(B$2,C1:E227,3,FALSE),J18)</f>
        <v>0</v>
      </c>
      <c r="G18" s="39"/>
      <c r="H18" s="138">
        <f>RANK(I18,I3:I227)</f>
        <v>9</v>
      </c>
      <c r="I18" s="139">
        <f>VLOOKUP(A18,'Standard Deviations'!A1:C728,3,FALSE)</f>
        <v>6.8542757243838404</v>
      </c>
      <c r="J18" s="139">
        <f>I18-VLOOKUP(B$2,H1:J227,2,FALSE)</f>
        <v>1.3091029566996477</v>
      </c>
    </row>
    <row r="19" spans="1:10" ht="21.25" customHeight="1" x14ac:dyDescent="0.15">
      <c r="A19" s="8" t="s">
        <v>197</v>
      </c>
      <c r="B19" s="144" t="str">
        <f>VLOOKUP(A19,'The List'!B1:D727,3,FALSE)</f>
        <v>D</v>
      </c>
      <c r="C19" s="145">
        <f>IF(Settings!$E$15="POINTS",RANK(E19,E3:E227),H19)</f>
        <v>20</v>
      </c>
      <c r="D19" s="35" t="str">
        <f>VLOOKUP(A19,'The List'!B1:F727,5,FALSE)</f>
        <v>VGK</v>
      </c>
      <c r="E19" s="39">
        <f>VLOOKUP(A19,'The List'!B1:I727,8,FALSE)</f>
        <v>307.34699116689205</v>
      </c>
      <c r="F19" s="39">
        <f>IF(Settings!$E$15="POINTS",E19-VLOOKUP(B$2,C1:E227,3,FALSE),J19)</f>
        <v>-4.218490461035401</v>
      </c>
      <c r="G19" s="39"/>
      <c r="H19" s="138">
        <f>RANK(I19,I3:I227)</f>
        <v>17</v>
      </c>
      <c r="I19" s="139">
        <f>VLOOKUP(A19,'Standard Deviations'!A1:C728,3,FALSE)</f>
        <v>5.8001693551039786</v>
      </c>
      <c r="J19" s="139">
        <f>I19-VLOOKUP(B$2,H1:J227,2,FALSE)</f>
        <v>0.25499658741978593</v>
      </c>
    </row>
    <row r="20" spans="1:10" ht="21.25" customHeight="1" x14ac:dyDescent="0.15">
      <c r="A20" s="8" t="s">
        <v>199</v>
      </c>
      <c r="B20" s="144" t="str">
        <f>VLOOKUP(A20,'The List'!B1:D727,3,FALSE)</f>
        <v>D</v>
      </c>
      <c r="C20" s="145">
        <f>IF(Settings!$E$15="POINTS",RANK(E20,E3:E227),H20)</f>
        <v>22</v>
      </c>
      <c r="D20" s="35" t="str">
        <f>VLOOKUP(A20,'The List'!B1:F727,5,FALSE)</f>
        <v>CGY</v>
      </c>
      <c r="E20" s="39">
        <f>VLOOKUP(A20,'The List'!B1:I727,8,FALSE)</f>
        <v>304.65739229805763</v>
      </c>
      <c r="F20" s="39">
        <f>IF(Settings!$E$15="POINTS",E20-VLOOKUP(B$2,C1:E227,3,FALSE),J20)</f>
        <v>-6.9080893298698243</v>
      </c>
      <c r="G20" s="39"/>
      <c r="H20" s="138">
        <f>RANK(I20,I3:I227)</f>
        <v>19</v>
      </c>
      <c r="I20" s="139">
        <f>VLOOKUP(A20,'Standard Deviations'!A1:C728,3,FALSE)</f>
        <v>5.4957105994551672</v>
      </c>
      <c r="J20" s="139">
        <f>I20-VLOOKUP(B$2,H1:J227,2,FALSE)</f>
        <v>-4.9462168229025494E-2</v>
      </c>
    </row>
    <row r="21" spans="1:10" ht="21.25" customHeight="1" x14ac:dyDescent="0.15">
      <c r="A21" s="8" t="s">
        <v>185</v>
      </c>
      <c r="B21" s="144" t="str">
        <f>VLOOKUP(A21,'The List'!B1:D727,3,FALSE)</f>
        <v>D</v>
      </c>
      <c r="C21" s="145">
        <f>IF(Settings!$E$15="POINTS",RANK(E21,E3:E227),H21)</f>
        <v>15</v>
      </c>
      <c r="D21" s="35" t="str">
        <f>VLOOKUP(A21,'The List'!B1:F727,5,FALSE)</f>
        <v>CAR</v>
      </c>
      <c r="E21" s="39">
        <f>VLOOKUP(A21,'The List'!B1:I727,8,FALSE)</f>
        <v>313.11476127150513</v>
      </c>
      <c r="F21" s="39">
        <f>IF(Settings!$E$15="POINTS",E21-VLOOKUP(B$2,C1:E227,3,FALSE),J21)</f>
        <v>1.5492796435776768</v>
      </c>
      <c r="G21" s="39"/>
      <c r="H21" s="138">
        <f>RANK(I21,I3:I227)</f>
        <v>11</v>
      </c>
      <c r="I21" s="139">
        <f>VLOOKUP(A21,'Standard Deviations'!A1:C728,3,FALSE)</f>
        <v>6.5113585383056671</v>
      </c>
      <c r="J21" s="139">
        <f>I21-VLOOKUP(B$2,H1:J227,2,FALSE)</f>
        <v>0.96618577062147448</v>
      </c>
    </row>
    <row r="22" spans="1:10" ht="21.25" customHeight="1" x14ac:dyDescent="0.15">
      <c r="A22" s="8" t="s">
        <v>188</v>
      </c>
      <c r="B22" s="144" t="str">
        <f>VLOOKUP(A22,'The List'!B1:D727,3,FALSE)</f>
        <v>D</v>
      </c>
      <c r="C22" s="145">
        <f>IF(Settings!$E$15="POINTS",RANK(E22,E3:E227),H22)</f>
        <v>17</v>
      </c>
      <c r="D22" s="35" t="str">
        <f>VLOOKUP(A22,'The List'!B1:F727,5,FALSE)</f>
        <v>TOR</v>
      </c>
      <c r="E22" s="39">
        <f>VLOOKUP(A22,'The List'!B1:I727,8,FALSE)</f>
        <v>312.03734389194881</v>
      </c>
      <c r="F22" s="39">
        <f>IF(Settings!$E$15="POINTS",E22-VLOOKUP(B$2,C1:E227,3,FALSE),J22)</f>
        <v>0.47186226402135389</v>
      </c>
      <c r="G22" s="39"/>
      <c r="H22" s="138">
        <f>RANK(I22,I3:I227)</f>
        <v>20</v>
      </c>
      <c r="I22" s="139">
        <f>VLOOKUP(A22,'Standard Deviations'!A1:C728,3,FALSE)</f>
        <v>5.3830596067190744</v>
      </c>
      <c r="J22" s="139">
        <f>I22-VLOOKUP(B$2,H1:J227,2,FALSE)</f>
        <v>-0.1621131609651183</v>
      </c>
    </row>
    <row r="23" spans="1:10" ht="21.25" customHeight="1" x14ac:dyDescent="0.15">
      <c r="A23" s="8" t="s">
        <v>194</v>
      </c>
      <c r="B23" s="144" t="str">
        <f>VLOOKUP(A23,'The List'!B1:D727,3,FALSE)</f>
        <v>D</v>
      </c>
      <c r="C23" s="145">
        <f>IF(Settings!$E$15="POINTS",RANK(E23,E3:E227),H23)</f>
        <v>19</v>
      </c>
      <c r="D23" s="35" t="str">
        <f>VLOOKUP(A23,'The List'!B1:F727,5,FALSE)</f>
        <v>CHI</v>
      </c>
      <c r="E23" s="39">
        <f>VLOOKUP(A23,'The List'!B1:I727,8,FALSE)</f>
        <v>310.57565631728943</v>
      </c>
      <c r="F23" s="39">
        <f>IF(Settings!$E$15="POINTS",E23-VLOOKUP(B$2,C1:E227,3,FALSE),J23)</f>
        <v>-0.98982531063802526</v>
      </c>
      <c r="G23" s="39"/>
      <c r="H23" s="138">
        <f>RANK(I23,I3:I227)</f>
        <v>38</v>
      </c>
      <c r="I23" s="139">
        <f>VLOOKUP(A23,'Standard Deviations'!A1:C728,3,FALSE)</f>
        <v>2.7516189132431683</v>
      </c>
      <c r="J23" s="139">
        <f>I23-VLOOKUP(B$2,H1:J227,2,FALSE)</f>
        <v>-2.7935538544410243</v>
      </c>
    </row>
    <row r="24" spans="1:10" ht="21.25" customHeight="1" x14ac:dyDescent="0.15">
      <c r="A24" s="8" t="s">
        <v>202</v>
      </c>
      <c r="B24" s="144" t="str">
        <f>VLOOKUP(A24,'The List'!B1:D727,3,FALSE)</f>
        <v>D</v>
      </c>
      <c r="C24" s="145">
        <f>IF(Settings!$E$15="POINTS",RANK(E24,E3:E227),H24)</f>
        <v>23</v>
      </c>
      <c r="D24" s="35" t="str">
        <f>VLOOKUP(A24,'The List'!B1:F727,5,FALSE)</f>
        <v>VGK</v>
      </c>
      <c r="E24" s="39">
        <f>VLOOKUP(A24,'The List'!B1:I727,8,FALSE)</f>
        <v>302.21130674569895</v>
      </c>
      <c r="F24" s="39">
        <f>IF(Settings!$E$15="POINTS",E24-VLOOKUP(B$2,C1:E227,3,FALSE),J24)</f>
        <v>-9.3541748822285058</v>
      </c>
      <c r="G24" s="39"/>
      <c r="H24" s="138">
        <f>RANK(I24,I3:I227)</f>
        <v>13</v>
      </c>
      <c r="I24" s="139">
        <f>VLOOKUP(A24,'Standard Deviations'!A1:C728,3,FALSE)</f>
        <v>6.4635469329039088</v>
      </c>
      <c r="J24" s="139">
        <f>I24-VLOOKUP(B$2,H1:J227,2,FALSE)</f>
        <v>0.91837416521971615</v>
      </c>
    </row>
    <row r="25" spans="1:10" ht="21.25" customHeight="1" x14ac:dyDescent="0.15">
      <c r="A25" s="8" t="s">
        <v>223</v>
      </c>
      <c r="B25" s="144" t="str">
        <f>VLOOKUP(A25,'The List'!B1:D727,3,FALSE)</f>
        <v>D</v>
      </c>
      <c r="C25" s="145">
        <f>IF(Settings!$E$15="POINTS",RANK(E25,E3:E227),H25)</f>
        <v>26</v>
      </c>
      <c r="D25" s="35" t="str">
        <f>VLOOKUP(A25,'The List'!B1:F727,5,FALSE)</f>
        <v>PIT</v>
      </c>
      <c r="E25" s="39">
        <f>VLOOKUP(A25,'The List'!B1:I727,8,FALSE)</f>
        <v>286.47987235608099</v>
      </c>
      <c r="F25" s="39">
        <f>IF(Settings!$E$15="POINTS",E25-VLOOKUP(B$2,C1:E227,3,FALSE),J25)</f>
        <v>-25.085609271846465</v>
      </c>
      <c r="G25" s="39"/>
      <c r="H25" s="138">
        <f>RANK(I25,I3:I227)</f>
        <v>22</v>
      </c>
      <c r="I25" s="139">
        <f>VLOOKUP(A25,'Standard Deviations'!A1:C728,3,FALSE)</f>
        <v>4.2939416005871855</v>
      </c>
      <c r="J25" s="139">
        <f>I25-VLOOKUP(B$2,H1:J227,2,FALSE)</f>
        <v>-1.2512311670970071</v>
      </c>
    </row>
    <row r="26" spans="1:10" ht="21.25" customHeight="1" x14ac:dyDescent="0.15">
      <c r="A26" s="8" t="s">
        <v>198</v>
      </c>
      <c r="B26" s="144" t="str">
        <f>VLOOKUP(A26,'The List'!B1:D727,3,FALSE)</f>
        <v>D</v>
      </c>
      <c r="C26" s="145">
        <f>IF(Settings!$E$15="POINTS",RANK(E26,E3:E227),H26)</f>
        <v>21</v>
      </c>
      <c r="D26" s="35" t="str">
        <f>VLOOKUP(A26,'The List'!B1:F727,5,FALSE)</f>
        <v>CBJ</v>
      </c>
      <c r="E26" s="39">
        <f>VLOOKUP(A26,'The List'!B1:I727,8,FALSE)</f>
        <v>306.51589338994074</v>
      </c>
      <c r="F26" s="39">
        <f>IF(Settings!$E$15="POINTS",E26-VLOOKUP(B$2,C1:E227,3,FALSE),J26)</f>
        <v>-5.0495882379867112</v>
      </c>
      <c r="G26" s="39"/>
      <c r="H26" s="138">
        <f>RANK(I26,I3:I227)</f>
        <v>37</v>
      </c>
      <c r="I26" s="139">
        <f>VLOOKUP(A26,'Standard Deviations'!A1:C728,3,FALSE)</f>
        <v>2.8238012096048122</v>
      </c>
      <c r="J26" s="139">
        <f>I26-VLOOKUP(B$2,H1:J227,2,FALSE)</f>
        <v>-2.7213715580793805</v>
      </c>
    </row>
    <row r="27" spans="1:10" ht="21.25" customHeight="1" x14ac:dyDescent="0.15">
      <c r="A27" s="8" t="s">
        <v>233</v>
      </c>
      <c r="B27" s="144" t="str">
        <f>VLOOKUP(A27,'The List'!B1:D727,3,FALSE)</f>
        <v>D</v>
      </c>
      <c r="C27" s="145">
        <f>IF(Settings!$E$15="POINTS",RANK(E27,E3:E227),H27)</f>
        <v>28</v>
      </c>
      <c r="D27" s="35" t="str">
        <f>VLOOKUP(A27,'The List'!B1:F727,5,FALSE)</f>
        <v>LAK</v>
      </c>
      <c r="E27" s="39">
        <f>VLOOKUP(A27,'The List'!B1:I727,8,FALSE)</f>
        <v>278.62536207401155</v>
      </c>
      <c r="F27" s="39">
        <f>IF(Settings!$E$15="POINTS",E27-VLOOKUP(B$2,C1:E227,3,FALSE),J27)</f>
        <v>-32.940119553915906</v>
      </c>
      <c r="G27" s="39"/>
      <c r="H27" s="138">
        <f>RANK(I27,I3:I227)</f>
        <v>29</v>
      </c>
      <c r="I27" s="139">
        <f>VLOOKUP(A27,'Standard Deviations'!A1:C728,3,FALSE)</f>
        <v>3.5236178423222118</v>
      </c>
      <c r="J27" s="139">
        <f>I27-VLOOKUP(B$2,H1:J227,2,FALSE)</f>
        <v>-2.0215549253619809</v>
      </c>
    </row>
    <row r="28" spans="1:10" ht="21.25" customHeight="1" x14ac:dyDescent="0.15">
      <c r="A28" s="8" t="s">
        <v>222</v>
      </c>
      <c r="B28" s="144" t="str">
        <f>VLOOKUP(A28,'The List'!B1:D727,3,FALSE)</f>
        <v>D</v>
      </c>
      <c r="C28" s="145">
        <f>IF(Settings!$E$15="POINTS",RANK(E28,E3:E227),H28)</f>
        <v>25</v>
      </c>
      <c r="D28" s="35" t="str">
        <f>VLOOKUP(A28,'The List'!B1:F727,5,FALSE)</f>
        <v>FLA</v>
      </c>
      <c r="E28" s="39">
        <f>VLOOKUP(A28,'The List'!B1:I727,8,FALSE)</f>
        <v>287.87755817347784</v>
      </c>
      <c r="F28" s="39">
        <f>IF(Settings!$E$15="POINTS",E28-VLOOKUP(B$2,C1:E227,3,FALSE),J28)</f>
        <v>-23.687923454449617</v>
      </c>
      <c r="G28" s="39"/>
      <c r="H28" s="138">
        <f>RANK(I28,I3:I227)</f>
        <v>24</v>
      </c>
      <c r="I28" s="139">
        <f>VLOOKUP(A28,'Standard Deviations'!A1:C728,3,FALSE)</f>
        <v>4.094809983552695</v>
      </c>
      <c r="J28" s="139">
        <f>I28-VLOOKUP(B$2,H1:J227,2,FALSE)</f>
        <v>-1.4503627841314977</v>
      </c>
    </row>
    <row r="29" spans="1:10" ht="21.25" customHeight="1" x14ac:dyDescent="0.15">
      <c r="A29" s="8" t="s">
        <v>213</v>
      </c>
      <c r="B29" s="144" t="str">
        <f>VLOOKUP(A29,'The List'!B1:D727,3,FALSE)</f>
        <v>D</v>
      </c>
      <c r="C29" s="145">
        <f>IF(Settings!$E$15="POINTS",RANK(E29,E3:E227),H29)</f>
        <v>24</v>
      </c>
      <c r="D29" s="35" t="str">
        <f>VLOOKUP(A29,'The List'!B1:F727,5,FALSE)</f>
        <v>SEA</v>
      </c>
      <c r="E29" s="39">
        <f>VLOOKUP(A29,'The List'!B1:I727,8,FALSE)</f>
        <v>296.24081699177509</v>
      </c>
      <c r="F29" s="39">
        <f>IF(Settings!$E$15="POINTS",E29-VLOOKUP(B$2,C1:E227,3,FALSE),J29)</f>
        <v>-15.324664636152363</v>
      </c>
      <c r="G29" s="39"/>
      <c r="H29" s="138">
        <f>RANK(I29,I3:I227)</f>
        <v>26</v>
      </c>
      <c r="I29" s="139">
        <f>VLOOKUP(A29,'Standard Deviations'!A1:C728,3,FALSE)</f>
        <v>3.9559951350970812</v>
      </c>
      <c r="J29" s="139">
        <f>I29-VLOOKUP(B$2,H1:J227,2,FALSE)</f>
        <v>-1.5891776325871114</v>
      </c>
    </row>
    <row r="30" spans="1:10" ht="21.25" customHeight="1" x14ac:dyDescent="0.15">
      <c r="A30" s="8" t="s">
        <v>230</v>
      </c>
      <c r="B30" s="144" t="str">
        <f>VLOOKUP(A30,'The List'!B1:D727,3,FALSE)</f>
        <v>D</v>
      </c>
      <c r="C30" s="145">
        <f>IF(Settings!$E$15="POINTS",RANK(E30,E3:E227),H30)</f>
        <v>27</v>
      </c>
      <c r="D30" s="35" t="str">
        <f>VLOOKUP(A30,'The List'!B1:F727,5,FALSE)</f>
        <v>STL</v>
      </c>
      <c r="E30" s="39">
        <f>VLOOKUP(A30,'The List'!B1:I727,8,FALSE)</f>
        <v>279.8239763041654</v>
      </c>
      <c r="F30" s="39">
        <f>IF(Settings!$E$15="POINTS",E30-VLOOKUP(B$2,C1:E227,3,FALSE),J30)</f>
        <v>-31.741505323762055</v>
      </c>
      <c r="G30" s="39"/>
      <c r="H30" s="138">
        <f>RANK(I30,I3:I227)</f>
        <v>39</v>
      </c>
      <c r="I30" s="139">
        <f>VLOOKUP(A30,'Standard Deviations'!A1:C728,3,FALSE)</f>
        <v>2.6701659954308985</v>
      </c>
      <c r="J30" s="139">
        <f>I30-VLOOKUP(B$2,H1:J227,2,FALSE)</f>
        <v>-2.8750067722532942</v>
      </c>
    </row>
    <row r="31" spans="1:10" ht="21.25" customHeight="1" x14ac:dyDescent="0.15">
      <c r="A31" s="8" t="s">
        <v>234</v>
      </c>
      <c r="B31" s="144" t="str">
        <f>VLOOKUP(A31,'The List'!B1:D727,3,FALSE)</f>
        <v>D</v>
      </c>
      <c r="C31" s="145">
        <f>IF(Settings!$E$15="POINTS",RANK(E31,E3:E227),H31)</f>
        <v>29</v>
      </c>
      <c r="D31" s="35" t="str">
        <f>VLOOKUP(A31,'The List'!B1:F727,5,FALSE)</f>
        <v>OTT</v>
      </c>
      <c r="E31" s="39">
        <f>VLOOKUP(A31,'The List'!B1:I727,8,FALSE)</f>
        <v>278.07732384455085</v>
      </c>
      <c r="F31" s="39">
        <f>IF(Settings!$E$15="POINTS",E31-VLOOKUP(B$2,C1:E227,3,FALSE),J31)</f>
        <v>-33.488157783376607</v>
      </c>
      <c r="G31" s="39"/>
      <c r="H31" s="138">
        <f>RANK(I31,I3:I227)</f>
        <v>27</v>
      </c>
      <c r="I31" s="139">
        <f>VLOOKUP(A31,'Standard Deviations'!A1:C728,3,FALSE)</f>
        <v>3.8698619480634062</v>
      </c>
      <c r="J31" s="139">
        <f>I31-VLOOKUP(B$2,H1:J227,2,FALSE)</f>
        <v>-1.6753108196207864</v>
      </c>
    </row>
    <row r="32" spans="1:10" ht="21.25" customHeight="1" x14ac:dyDescent="0.15">
      <c r="A32" s="8" t="s">
        <v>242</v>
      </c>
      <c r="B32" s="144" t="str">
        <f>VLOOKUP(A32,'The List'!B1:D727,3,FALSE)</f>
        <v>D</v>
      </c>
      <c r="C32" s="145">
        <f>IF(Settings!$E$15="POINTS",RANK(E32,E3:E227),H32)</f>
        <v>32</v>
      </c>
      <c r="D32" s="35" t="str">
        <f>VLOOKUP(A32,'The List'!B1:F727,5,FALSE)</f>
        <v>MTL</v>
      </c>
      <c r="E32" s="39">
        <f>VLOOKUP(A32,'The List'!B1:I727,8,FALSE)</f>
        <v>271.36119658549336</v>
      </c>
      <c r="F32" s="39">
        <f>IF(Settings!$E$15="POINTS",E32-VLOOKUP(B$2,C1:E227,3,FALSE),J32)</f>
        <v>-40.204285042434094</v>
      </c>
      <c r="G32" s="39"/>
      <c r="H32" s="138">
        <f>RANK(I32,I3:I227)</f>
        <v>46</v>
      </c>
      <c r="I32" s="139">
        <f>VLOOKUP(A32,'Standard Deviations'!A1:C728,3,FALSE)</f>
        <v>1.8330940245074665</v>
      </c>
      <c r="J32" s="139">
        <f>I32-VLOOKUP(B$2,H1:J227,2,FALSE)</f>
        <v>-3.7120787431767264</v>
      </c>
    </row>
    <row r="33" spans="1:10" ht="21.25" customHeight="1" x14ac:dyDescent="0.15">
      <c r="A33" s="8" t="s">
        <v>236</v>
      </c>
      <c r="B33" s="144" t="str">
        <f>VLOOKUP(A33,'The List'!B1:D727,3,FALSE)</f>
        <v>D</v>
      </c>
      <c r="C33" s="145">
        <f>IF(Settings!$E$15="POINTS",RANK(E33,E3:E227),H33)</f>
        <v>30</v>
      </c>
      <c r="D33" s="35" t="str">
        <f>VLOOKUP(A33,'The List'!B1:F727,5,FALSE)</f>
        <v>COL</v>
      </c>
      <c r="E33" s="39">
        <f>VLOOKUP(A33,'The List'!B1:I727,8,FALSE)</f>
        <v>275.96360657066487</v>
      </c>
      <c r="F33" s="39">
        <f>IF(Settings!$E$15="POINTS",E33-VLOOKUP(B$2,C1:E227,3,FALSE),J33)</f>
        <v>-35.601875057262589</v>
      </c>
      <c r="G33" s="39"/>
      <c r="H33" s="138">
        <f>RANK(I33,I3:I227)</f>
        <v>18</v>
      </c>
      <c r="I33" s="139">
        <f>VLOOKUP(A33,'Standard Deviations'!A1:C728,3,FALSE)</f>
        <v>5.5451727676841926</v>
      </c>
      <c r="J33" s="139">
        <f>I33-VLOOKUP(B$2,H1:J227,2,FALSE)</f>
        <v>0</v>
      </c>
    </row>
    <row r="34" spans="1:10" ht="21.25" customHeight="1" x14ac:dyDescent="0.15">
      <c r="A34" s="8" t="s">
        <v>240</v>
      </c>
      <c r="B34" s="144" t="str">
        <f>VLOOKUP(A34,'The List'!B1:D727,3,FALSE)</f>
        <v>D</v>
      </c>
      <c r="C34" s="145">
        <f>IF(Settings!$E$15="POINTS",RANK(E34,E3:E227),H34)</f>
        <v>31</v>
      </c>
      <c r="D34" s="35" t="str">
        <f>VLOOKUP(A34,'The List'!B1:F727,5,FALSE)</f>
        <v>ANA</v>
      </c>
      <c r="E34" s="39">
        <f>VLOOKUP(A34,'The List'!B1:I727,8,FALSE)</f>
        <v>273.9087381187818</v>
      </c>
      <c r="F34" s="39">
        <f>IF(Settings!$E$15="POINTS",E34-VLOOKUP(B$2,C1:E227,3,FALSE),J34)</f>
        <v>-37.656743509145656</v>
      </c>
      <c r="G34" s="39"/>
      <c r="H34" s="138">
        <f>RANK(I34,I3:I227)</f>
        <v>60</v>
      </c>
      <c r="I34" s="139">
        <f>VLOOKUP(A34,'Standard Deviations'!A1:C728,3,FALSE)</f>
        <v>1.1872265971587401</v>
      </c>
      <c r="J34" s="139">
        <f>I34-VLOOKUP(B$2,H1:J227,2,FALSE)</f>
        <v>-4.3579461705254525</v>
      </c>
    </row>
    <row r="35" spans="1:10" ht="21.25" customHeight="1" x14ac:dyDescent="0.15">
      <c r="A35" s="8" t="s">
        <v>243</v>
      </c>
      <c r="B35" s="144" t="str">
        <f>VLOOKUP(A35,'The List'!B1:D727,3,FALSE)</f>
        <v>D</v>
      </c>
      <c r="C35" s="145">
        <f>IF(Settings!$E$15="POINTS",RANK(E35,E3:E227),H35)</f>
        <v>33</v>
      </c>
      <c r="D35" s="35" t="str">
        <f>VLOOKUP(A35,'The List'!B1:F727,5,FALSE)</f>
        <v>ARI</v>
      </c>
      <c r="E35" s="39">
        <f>VLOOKUP(A35,'The List'!B1:I727,8,FALSE)</f>
        <v>270.96662557644999</v>
      </c>
      <c r="F35" s="39">
        <f>IF(Settings!$E$15="POINTS",E35-VLOOKUP(B$2,C1:E227,3,FALSE),J35)</f>
        <v>-40.598856051477469</v>
      </c>
      <c r="G35" s="39"/>
      <c r="H35" s="138">
        <f>RANK(I35,I3:I227)</f>
        <v>33</v>
      </c>
      <c r="I35" s="139">
        <f>VLOOKUP(A35,'Standard Deviations'!A1:C728,3,FALSE)</f>
        <v>3.2168394000513119</v>
      </c>
      <c r="J35" s="139">
        <f>I35-VLOOKUP(B$2,H1:J227,2,FALSE)</f>
        <v>-2.3283333676328808</v>
      </c>
    </row>
    <row r="36" spans="1:10" ht="21.25" customHeight="1" x14ac:dyDescent="0.15">
      <c r="A36" s="8" t="s">
        <v>250</v>
      </c>
      <c r="B36" s="144" t="str">
        <f>VLOOKUP(A36,'The List'!B1:D727,3,FALSE)</f>
        <v>D</v>
      </c>
      <c r="C36" s="145">
        <f>IF(Settings!$E$15="POINTS",RANK(E36,E3:E227),H36)</f>
        <v>34</v>
      </c>
      <c r="D36" s="35" t="str">
        <f>VLOOKUP(A36,'The List'!B1:F727,5,FALSE)</f>
        <v>OTT</v>
      </c>
      <c r="E36" s="39">
        <f>VLOOKUP(A36,'The List'!B1:I727,8,FALSE)</f>
        <v>265.42360463996539</v>
      </c>
      <c r="F36" s="39">
        <f>IF(Settings!$E$15="POINTS",E36-VLOOKUP(B$2,C1:E227,3,FALSE),J36)</f>
        <v>-46.141876987962064</v>
      </c>
      <c r="G36" s="39"/>
      <c r="H36" s="138">
        <f>RANK(I36,I3:I227)</f>
        <v>32</v>
      </c>
      <c r="I36" s="139">
        <f>VLOOKUP(A36,'Standard Deviations'!A1:C728,3,FALSE)</f>
        <v>3.2642323347856008</v>
      </c>
      <c r="J36" s="139">
        <f>I36-VLOOKUP(B$2,H1:J227,2,FALSE)</f>
        <v>-2.2809404328985918</v>
      </c>
    </row>
    <row r="37" spans="1:10" ht="21.25" customHeight="1" x14ac:dyDescent="0.15">
      <c r="A37" s="8" t="s">
        <v>257</v>
      </c>
      <c r="B37" s="144" t="str">
        <f>VLOOKUP(A37,'The List'!B1:D727,3,FALSE)</f>
        <v>D</v>
      </c>
      <c r="C37" s="145">
        <f>IF(Settings!$E$15="POINTS",RANK(E37,E3:E227),H37)</f>
        <v>35</v>
      </c>
      <c r="D37" s="35" t="str">
        <f>VLOOKUP(A37,'The List'!B1:F727,5,FALSE)</f>
        <v>CGY</v>
      </c>
      <c r="E37" s="39">
        <f>VLOOKUP(A37,'The List'!B1:I727,8,FALSE)</f>
        <v>256.97034271352055</v>
      </c>
      <c r="F37" s="39">
        <f>IF(Settings!$E$15="POINTS",E37-VLOOKUP(B$2,C1:E227,3,FALSE),J37)</f>
        <v>-54.595138914406903</v>
      </c>
      <c r="G37" s="39"/>
      <c r="H37" s="138">
        <f>RANK(I37,I3:I227)</f>
        <v>28</v>
      </c>
      <c r="I37" s="139">
        <f>VLOOKUP(A37,'Standard Deviations'!A1:C728,3,FALSE)</f>
        <v>3.5403538107015988</v>
      </c>
      <c r="J37" s="139">
        <f>I37-VLOOKUP(B$2,H1:J227,2,FALSE)</f>
        <v>-2.0048189569825938</v>
      </c>
    </row>
    <row r="38" spans="1:10" ht="21.25" customHeight="1" x14ac:dyDescent="0.15">
      <c r="A38" s="8" t="s">
        <v>261</v>
      </c>
      <c r="B38" s="144" t="str">
        <f>VLOOKUP(A38,'The List'!B1:D727,3,FALSE)</f>
        <v>D</v>
      </c>
      <c r="C38" s="145">
        <f>IF(Settings!$E$15="POINTS",RANK(E38,E3:E227),H38)</f>
        <v>36</v>
      </c>
      <c r="D38" s="35" t="str">
        <f>VLOOKUP(A38,'The List'!B1:F727,5,FALSE)</f>
        <v>STL</v>
      </c>
      <c r="E38" s="39">
        <f>VLOOKUP(A38,'The List'!B1:I727,8,FALSE)</f>
        <v>253.66680196716467</v>
      </c>
      <c r="F38" s="39">
        <f>IF(Settings!$E$15="POINTS",E38-VLOOKUP(B$2,C1:E227,3,FALSE),J38)</f>
        <v>-57.898679660762781</v>
      </c>
      <c r="G38" s="39"/>
      <c r="H38" s="138">
        <f>RANK(I38,I3:I227)</f>
        <v>50</v>
      </c>
      <c r="I38" s="139">
        <f>VLOOKUP(A38,'Standard Deviations'!A1:C728,3,FALSE)</f>
        <v>1.5199782739039438</v>
      </c>
      <c r="J38" s="139">
        <f>I38-VLOOKUP(B$2,H1:J227,2,FALSE)</f>
        <v>-4.0251944937802486</v>
      </c>
    </row>
    <row r="39" spans="1:10" ht="21.25" customHeight="1" x14ac:dyDescent="0.15">
      <c r="A39" s="8" t="s">
        <v>264</v>
      </c>
      <c r="B39" s="144" t="str">
        <f>VLOOKUP(A39,'The List'!B1:D727,3,FALSE)</f>
        <v>D</v>
      </c>
      <c r="C39" s="145">
        <f>IF(Settings!$E$15="POINTS",RANK(E39,E3:E227),H39)</f>
        <v>37</v>
      </c>
      <c r="D39" s="35" t="str">
        <f>VLOOKUP(A39,'The List'!B1:F727,5,FALSE)</f>
        <v>FLA</v>
      </c>
      <c r="E39" s="39">
        <f>VLOOKUP(A39,'The List'!B1:I727,8,FALSE)</f>
        <v>247.28471317516679</v>
      </c>
      <c r="F39" s="39">
        <f>IF(Settings!$E$15="POINTS",E39-VLOOKUP(B$2,C1:E227,3,FALSE),J39)</f>
        <v>-64.280768452760668</v>
      </c>
      <c r="G39" s="39"/>
      <c r="H39" s="138">
        <f>RANK(I39,I3:I227)</f>
        <v>34</v>
      </c>
      <c r="I39" s="139">
        <f>VLOOKUP(A39,'Standard Deviations'!A1:C728,3,FALSE)</f>
        <v>3.084192797130326</v>
      </c>
      <c r="J39" s="139">
        <f>I39-VLOOKUP(B$2,H1:J227,2,FALSE)</f>
        <v>-2.4609799705538666</v>
      </c>
    </row>
    <row r="40" spans="1:10" ht="21.25" customHeight="1" x14ac:dyDescent="0.15">
      <c r="A40" s="8" t="s">
        <v>270</v>
      </c>
      <c r="B40" s="144" t="str">
        <f>VLOOKUP(A40,'The List'!B1:D727,3,FALSE)</f>
        <v>D</v>
      </c>
      <c r="C40" s="145">
        <f>IF(Settings!$E$15="POINTS",RANK(E40,E3:E227),H40)</f>
        <v>40</v>
      </c>
      <c r="D40" s="35" t="str">
        <f>VLOOKUP(A40,'The List'!B1:F727,5,FALSE)</f>
        <v>LAK</v>
      </c>
      <c r="E40" s="39">
        <f>VLOOKUP(A40,'The List'!B1:I727,8,FALSE)</f>
        <v>236.06728253226075</v>
      </c>
      <c r="F40" s="39">
        <f>IF(Settings!$E$15="POINTS",E40-VLOOKUP(B$2,C1:E227,3,FALSE),J40)</f>
        <v>-75.498199095666706</v>
      </c>
      <c r="G40" s="39"/>
      <c r="H40" s="138">
        <f>RANK(I40,I3:I227)</f>
        <v>47</v>
      </c>
      <c r="I40" s="139">
        <f>VLOOKUP(A40,'Standard Deviations'!A1:C728,3,FALSE)</f>
        <v>1.6911807662522851</v>
      </c>
      <c r="J40" s="139">
        <f>I40-VLOOKUP(B$2,H1:J227,2,FALSE)</f>
        <v>-3.8539920014319078</v>
      </c>
    </row>
    <row r="41" spans="1:10" ht="21.25" customHeight="1" x14ac:dyDescent="0.15">
      <c r="A41" s="8" t="s">
        <v>269</v>
      </c>
      <c r="B41" s="144" t="str">
        <f>VLOOKUP(A41,'The List'!B1:D727,3,FALSE)</f>
        <v>D</v>
      </c>
      <c r="C41" s="145">
        <f>IF(Settings!$E$15="POINTS",RANK(E41,E3:E227),H41)</f>
        <v>39</v>
      </c>
      <c r="D41" s="35" t="str">
        <f>VLOOKUP(A41,'The List'!B1:F727,5,FALSE)</f>
        <v>EDM</v>
      </c>
      <c r="E41" s="39">
        <f>VLOOKUP(A41,'The List'!B1:I727,8,FALSE)</f>
        <v>239.68553390989086</v>
      </c>
      <c r="F41" s="39">
        <f>IF(Settings!$E$15="POINTS",E41-VLOOKUP(B$2,C1:E227,3,FALSE),J41)</f>
        <v>-71.87994771803659</v>
      </c>
      <c r="G41" s="39"/>
      <c r="H41" s="138">
        <f>RANK(I41,I3:I227)</f>
        <v>25</v>
      </c>
      <c r="I41" s="139">
        <f>VLOOKUP(A41,'Standard Deviations'!A1:C728,3,FALSE)</f>
        <v>4.0320627179417423</v>
      </c>
      <c r="J41" s="139">
        <f>I41-VLOOKUP(B$2,H1:J227,2,FALSE)</f>
        <v>-1.5131100497424503</v>
      </c>
    </row>
    <row r="42" spans="1:10" ht="21.25" customHeight="1" x14ac:dyDescent="0.15">
      <c r="A42" s="8" t="s">
        <v>282</v>
      </c>
      <c r="B42" s="144" t="str">
        <f>VLOOKUP(A42,'The List'!B1:D727,3,FALSE)</f>
        <v>D</v>
      </c>
      <c r="C42" s="145">
        <f>IF(Settings!$E$15="POINTS",RANK(E42,E3:E227),H42)</f>
        <v>43</v>
      </c>
      <c r="D42" s="35" t="str">
        <f>VLOOKUP(A42,'The List'!B1:F727,5,FALSE)</f>
        <v>NSH</v>
      </c>
      <c r="E42" s="39">
        <f>VLOOKUP(A42,'The List'!B1:I727,8,FALSE)</f>
        <v>225.3446563560357</v>
      </c>
      <c r="F42" s="39">
        <f>IF(Settings!$E$15="POINTS",E42-VLOOKUP(B$2,C1:E227,3,FALSE),J42)</f>
        <v>-86.220825271891755</v>
      </c>
      <c r="G42" s="39"/>
      <c r="H42" s="138">
        <f>RANK(I42,I3:I227)</f>
        <v>68</v>
      </c>
      <c r="I42" s="139">
        <f>VLOOKUP(A42,'Standard Deviations'!A1:C728,3,FALSE)</f>
        <v>0.8615406280561253</v>
      </c>
      <c r="J42" s="139">
        <f>I42-VLOOKUP(B$2,H1:J227,2,FALSE)</f>
        <v>-4.6836321396280676</v>
      </c>
    </row>
    <row r="43" spans="1:10" ht="21.25" customHeight="1" x14ac:dyDescent="0.15">
      <c r="A43" s="8" t="s">
        <v>267</v>
      </c>
      <c r="B43" s="144" t="str">
        <f>VLOOKUP(A43,'The List'!B1:D727,3,FALSE)</f>
        <v>D</v>
      </c>
      <c r="C43" s="145">
        <f>IF(Settings!$E$15="POINTS",RANK(E43,E3:E227),H43)</f>
        <v>38</v>
      </c>
      <c r="D43" s="35" t="str">
        <f>VLOOKUP(A43,'The List'!B1:F727,5,FALSE)</f>
        <v>BOS</v>
      </c>
      <c r="E43" s="39">
        <f>VLOOKUP(A43,'The List'!B1:I727,8,FALSE)</f>
        <v>242.16099759532489</v>
      </c>
      <c r="F43" s="39">
        <f>IF(Settings!$E$15="POINTS",E43-VLOOKUP(B$2,C1:E227,3,FALSE),J43)</f>
        <v>-69.404484032602568</v>
      </c>
      <c r="G43" s="39"/>
      <c r="H43" s="138">
        <f>RANK(I43,I3:I227)</f>
        <v>30</v>
      </c>
      <c r="I43" s="139">
        <f>VLOOKUP(A43,'Standard Deviations'!A1:C728,3,FALSE)</f>
        <v>3.5182754937752243</v>
      </c>
      <c r="J43" s="139">
        <f>I43-VLOOKUP(B$2,H1:J227,2,FALSE)</f>
        <v>-2.0268972739089683</v>
      </c>
    </row>
    <row r="44" spans="1:10" ht="21.25" customHeight="1" x14ac:dyDescent="0.15">
      <c r="A44" s="8" t="s">
        <v>278</v>
      </c>
      <c r="B44" s="144" t="str">
        <f>VLOOKUP(A44,'The List'!B1:D727,3,FALSE)</f>
        <v>D</v>
      </c>
      <c r="C44" s="145">
        <f>IF(Settings!$E$15="POINTS",RANK(E44,E3:E227),H44)</f>
        <v>42</v>
      </c>
      <c r="D44" s="35" t="str">
        <f>VLOOKUP(A44,'The List'!B1:F727,5,FALSE)</f>
        <v>VAN</v>
      </c>
      <c r="E44" s="39">
        <f>VLOOKUP(A44,'The List'!B1:I727,8,FALSE)</f>
        <v>227.60408074103867</v>
      </c>
      <c r="F44" s="39">
        <f>IF(Settings!$E$15="POINTS",E44-VLOOKUP(B$2,C1:E227,3,FALSE),J44)</f>
        <v>-83.961400886888782</v>
      </c>
      <c r="G44" s="39"/>
      <c r="H44" s="138">
        <f>RANK(I44,I3:I227)</f>
        <v>55</v>
      </c>
      <c r="I44" s="139">
        <f>VLOOKUP(A44,'Standard Deviations'!A1:C728,3,FALSE)</f>
        <v>1.2961482264195741</v>
      </c>
      <c r="J44" s="139">
        <f>I44-VLOOKUP(B$2,H1:J227,2,FALSE)</f>
        <v>-4.2490245412646184</v>
      </c>
    </row>
    <row r="45" spans="1:10" ht="21.25" customHeight="1" x14ac:dyDescent="0.15">
      <c r="A45" s="8" t="s">
        <v>275</v>
      </c>
      <c r="B45" s="144" t="str">
        <f>VLOOKUP(A45,'The List'!B1:D727,3,FALSE)</f>
        <v>D</v>
      </c>
      <c r="C45" s="145">
        <f>IF(Settings!$E$15="POINTS",RANK(E45,E3:E227),H45)</f>
        <v>41</v>
      </c>
      <c r="D45" s="35" t="str">
        <f>VLOOKUP(A45,'The List'!B1:F727,5,FALSE)</f>
        <v>BUF</v>
      </c>
      <c r="E45" s="39">
        <f>VLOOKUP(A45,'The List'!B1:I727,8,FALSE)</f>
        <v>232.74340733360472</v>
      </c>
      <c r="F45" s="39">
        <f>IF(Settings!$E$15="POINTS",E45-VLOOKUP(B$2,C1:E227,3,FALSE),J45)</f>
        <v>-78.822074294322732</v>
      </c>
      <c r="G45" s="39"/>
      <c r="H45" s="138">
        <f>RANK(I45,I3:I227)</f>
        <v>52</v>
      </c>
      <c r="I45" s="139">
        <f>VLOOKUP(A45,'Standard Deviations'!A1:C728,3,FALSE)</f>
        <v>1.431426517637167</v>
      </c>
      <c r="J45" s="139">
        <f>I45-VLOOKUP(B$2,H1:J227,2,FALSE)</f>
        <v>-4.1137462500470257</v>
      </c>
    </row>
    <row r="46" spans="1:10" ht="21.25" customHeight="1" x14ac:dyDescent="0.15">
      <c r="A46" s="8" t="s">
        <v>288</v>
      </c>
      <c r="B46" s="144" t="str">
        <f>VLOOKUP(A46,'The List'!B1:D727,3,FALSE)</f>
        <v>D</v>
      </c>
      <c r="C46" s="145">
        <f>IF(Settings!$E$15="POINTS",RANK(E46,E3:E227),H46)</f>
        <v>44</v>
      </c>
      <c r="D46" s="35" t="str">
        <f>VLOOKUP(A46,'The List'!B1:F727,5,FALSE)</f>
        <v>OTT</v>
      </c>
      <c r="E46" s="39">
        <f>VLOOKUP(A46,'The List'!B1:I727,8,FALSE)</f>
        <v>221.73084193041635</v>
      </c>
      <c r="F46" s="39">
        <f>IF(Settings!$E$15="POINTS",E46-VLOOKUP(B$2,C1:E227,3,FALSE),J46)</f>
        <v>-89.834639697511108</v>
      </c>
      <c r="G46" s="39"/>
      <c r="H46" s="138">
        <f>RANK(I46,I3:I227)</f>
        <v>42</v>
      </c>
      <c r="I46" s="139">
        <f>VLOOKUP(A46,'Standard Deviations'!A1:C728,3,FALSE)</f>
        <v>2.4653494082631831</v>
      </c>
      <c r="J46" s="139">
        <f>I46-VLOOKUP(B$2,H1:J227,2,FALSE)</f>
        <v>-3.0798233594210096</v>
      </c>
    </row>
    <row r="47" spans="1:10" ht="21.25" customHeight="1" x14ac:dyDescent="0.15">
      <c r="A47" s="8" t="s">
        <v>290</v>
      </c>
      <c r="B47" s="144" t="str">
        <f>VLOOKUP(A47,'The List'!B1:D727,3,FALSE)</f>
        <v>D</v>
      </c>
      <c r="C47" s="145">
        <f>IF(Settings!$E$15="POINTS",RANK(E47,E3:E227),H47)</f>
        <v>46</v>
      </c>
      <c r="D47" s="35" t="str">
        <f>VLOOKUP(A47,'The List'!B1:F727,5,FALSE)</f>
        <v>CGY</v>
      </c>
      <c r="E47" s="39">
        <f>VLOOKUP(A47,'The List'!B1:I727,8,FALSE)</f>
        <v>219.7630498192417</v>
      </c>
      <c r="F47" s="39">
        <f>IF(Settings!$E$15="POINTS",E47-VLOOKUP(B$2,C1:E227,3,FALSE),J47)</f>
        <v>-91.802431808685753</v>
      </c>
      <c r="G47" s="39"/>
      <c r="H47" s="138">
        <f>RANK(I47,I3:I227)</f>
        <v>40</v>
      </c>
      <c r="I47" s="139">
        <f>VLOOKUP(A47,'Standard Deviations'!A1:C728,3,FALSE)</f>
        <v>2.5966565247644118</v>
      </c>
      <c r="J47" s="139">
        <f>I47-VLOOKUP(B$2,H1:J227,2,FALSE)</f>
        <v>-2.9485162429197809</v>
      </c>
    </row>
    <row r="48" spans="1:10" ht="21.25" customHeight="1" x14ac:dyDescent="0.15">
      <c r="A48" s="8" t="s">
        <v>295</v>
      </c>
      <c r="B48" s="144" t="str">
        <f>VLOOKUP(A48,'The List'!B1:D727,3,FALSE)</f>
        <v>D</v>
      </c>
      <c r="C48" s="145">
        <f>IF(Settings!$E$15="POINTS",RANK(E48,E3:E227),H48)</f>
        <v>47</v>
      </c>
      <c r="D48" s="35" t="str">
        <f>VLOOKUP(A48,'The List'!B1:F727,5,FALSE)</f>
        <v>NJD</v>
      </c>
      <c r="E48" s="39">
        <f>VLOOKUP(A48,'The List'!B1:I727,8,FALSE)</f>
        <v>217.43163003973473</v>
      </c>
      <c r="F48" s="39">
        <f>IF(Settings!$E$15="POINTS",E48-VLOOKUP(B$2,C1:E227,3,FALSE),J48)</f>
        <v>-94.133851588192726</v>
      </c>
      <c r="G48" s="39"/>
      <c r="H48" s="138">
        <f>RANK(I48,I3:I227)</f>
        <v>57</v>
      </c>
      <c r="I48" s="139">
        <f>VLOOKUP(A48,'Standard Deviations'!A1:C728,3,FALSE)</f>
        <v>1.2821838403058805</v>
      </c>
      <c r="J48" s="139">
        <f>I48-VLOOKUP(B$2,H1:J227,2,FALSE)</f>
        <v>-4.2629889273783119</v>
      </c>
    </row>
    <row r="49" spans="1:10" ht="21.25" customHeight="1" x14ac:dyDescent="0.15">
      <c r="A49" s="8" t="s">
        <v>307</v>
      </c>
      <c r="B49" s="144" t="str">
        <f>VLOOKUP(A49,'The List'!B1:D727,3,FALSE)</f>
        <v>D</v>
      </c>
      <c r="C49" s="145">
        <f>IF(Settings!$E$15="POINTS",RANK(E49,E3:E227),H49)</f>
        <v>53</v>
      </c>
      <c r="D49" s="35" t="str">
        <f>VLOOKUP(A49,'The List'!B1:F727,5,FALSE)</f>
        <v>CHI</v>
      </c>
      <c r="E49" s="39">
        <f>VLOOKUP(A49,'The List'!B1:I727,8,FALSE)</f>
        <v>207.47057791415841</v>
      </c>
      <c r="F49" s="39">
        <f>IF(Settings!$E$15="POINTS",E49-VLOOKUP(B$2,C1:E227,3,FALSE),J49)</f>
        <v>-104.09490371376904</v>
      </c>
      <c r="G49" s="39"/>
      <c r="H49" s="138">
        <f>RANK(I49,I3:I227)</f>
        <v>66</v>
      </c>
      <c r="I49" s="139">
        <f>VLOOKUP(A49,'Standard Deviations'!A1:C728,3,FALSE)</f>
        <v>0.94313421953042675</v>
      </c>
      <c r="J49" s="139">
        <f>I49-VLOOKUP(B$2,H1:J227,2,FALSE)</f>
        <v>-4.6020385481537662</v>
      </c>
    </row>
    <row r="50" spans="1:10" ht="21.25" customHeight="1" x14ac:dyDescent="0.15">
      <c r="A50" s="8" t="s">
        <v>300</v>
      </c>
      <c r="B50" s="144" t="str">
        <f>VLOOKUP(A50,'The List'!B1:D727,3,FALSE)</f>
        <v>D</v>
      </c>
      <c r="C50" s="145">
        <f>IF(Settings!$E$15="POINTS",RANK(E50,E3:E227),H50)</f>
        <v>49</v>
      </c>
      <c r="D50" s="35" t="str">
        <f>VLOOKUP(A50,'The List'!B1:F727,5,FALSE)</f>
        <v>CAR</v>
      </c>
      <c r="E50" s="39">
        <f>VLOOKUP(A50,'The List'!B1:I727,8,FALSE)</f>
        <v>214.60170548065855</v>
      </c>
      <c r="F50" s="39">
        <f>IF(Settings!$E$15="POINTS",E50-VLOOKUP(B$2,C1:E227,3,FALSE),J50)</f>
        <v>-96.963776147268902</v>
      </c>
      <c r="G50" s="39"/>
      <c r="H50" s="138">
        <f>RANK(I50,I3:I227)</f>
        <v>41</v>
      </c>
      <c r="I50" s="139">
        <f>VLOOKUP(A50,'Standard Deviations'!A1:C728,3,FALSE)</f>
        <v>2.5421873556295118</v>
      </c>
      <c r="J50" s="139">
        <f>I50-VLOOKUP(B$2,H1:J227,2,FALSE)</f>
        <v>-3.0029854120546808</v>
      </c>
    </row>
    <row r="51" spans="1:10" ht="21.25" customHeight="1" x14ac:dyDescent="0.15">
      <c r="A51" s="8" t="s">
        <v>298</v>
      </c>
      <c r="B51" s="144" t="str">
        <f>VLOOKUP(A51,'The List'!B1:D727,3,FALSE)</f>
        <v>D</v>
      </c>
      <c r="C51" s="145">
        <f>IF(Settings!$E$15="POINTS",RANK(E51,E3:E227),H51)</f>
        <v>48</v>
      </c>
      <c r="D51" s="35" t="str">
        <f>VLOOKUP(A51,'The List'!B1:F727,5,FALSE)</f>
        <v>WPG</v>
      </c>
      <c r="E51" s="39">
        <f>VLOOKUP(A51,'The List'!B1:I727,8,FALSE)</f>
        <v>215.41602418714703</v>
      </c>
      <c r="F51" s="39">
        <f>IF(Settings!$E$15="POINTS",E51-VLOOKUP(B$2,C1:E227,3,FALSE),J51)</f>
        <v>-96.149457440780424</v>
      </c>
      <c r="G51" s="39"/>
      <c r="H51" s="138">
        <f>RANK(I51,I3:I227)</f>
        <v>56</v>
      </c>
      <c r="I51" s="139">
        <f>VLOOKUP(A51,'Standard Deviations'!A1:C728,3,FALSE)</f>
        <v>1.2853945222856555</v>
      </c>
      <c r="J51" s="139">
        <f>I51-VLOOKUP(B$2,H1:J227,2,FALSE)</f>
        <v>-4.2597782453985369</v>
      </c>
    </row>
    <row r="52" spans="1:10" ht="21.25" customHeight="1" x14ac:dyDescent="0.15">
      <c r="A52" s="8" t="s">
        <v>289</v>
      </c>
      <c r="B52" s="144" t="str">
        <f>VLOOKUP(A52,'The List'!B1:D727,3,FALSE)</f>
        <v>D</v>
      </c>
      <c r="C52" s="145">
        <f>IF(Settings!$E$15="POINTS",RANK(E52,E3:E227),H52)</f>
        <v>45</v>
      </c>
      <c r="D52" s="35" t="str">
        <f>VLOOKUP(A52,'The List'!B1:F727,5,FALSE)</f>
        <v>TOR</v>
      </c>
      <c r="E52" s="39">
        <f>VLOOKUP(A52,'The List'!B1:I727,8,FALSE)</f>
        <v>221.32129265778264</v>
      </c>
      <c r="F52" s="39">
        <f>IF(Settings!$E$15="POINTS",E52-VLOOKUP(B$2,C1:E227,3,FALSE),J52)</f>
        <v>-90.244188970144819</v>
      </c>
      <c r="G52" s="39"/>
      <c r="H52" s="138">
        <f>RANK(I52,I3:I227)</f>
        <v>51</v>
      </c>
      <c r="I52" s="139">
        <f>VLOOKUP(A52,'Standard Deviations'!A1:C728,3,FALSE)</f>
        <v>1.5029023388058471</v>
      </c>
      <c r="J52" s="139">
        <f>I52-VLOOKUP(B$2,H1:J227,2,FALSE)</f>
        <v>-4.0422704288783455</v>
      </c>
    </row>
    <row r="53" spans="1:10" ht="21.25" customHeight="1" x14ac:dyDescent="0.15">
      <c r="A53" s="8" t="s">
        <v>303</v>
      </c>
      <c r="B53" s="144" t="str">
        <f>VLOOKUP(A53,'The List'!B1:D727,3,FALSE)</f>
        <v>D</v>
      </c>
      <c r="C53" s="145">
        <f>IF(Settings!$E$15="POINTS",RANK(E53,E3:E227),H53)</f>
        <v>50</v>
      </c>
      <c r="D53" s="35" t="str">
        <f>VLOOKUP(A53,'The List'!B1:F727,5,FALSE)</f>
        <v>FLA</v>
      </c>
      <c r="E53" s="39">
        <f>VLOOKUP(A53,'The List'!B1:I727,8,FALSE)</f>
        <v>212.12195023374844</v>
      </c>
      <c r="F53" s="39">
        <f>IF(Settings!$E$15="POINTS",E53-VLOOKUP(B$2,C1:E227,3,FALSE),J53)</f>
        <v>-99.443531394179018</v>
      </c>
      <c r="G53" s="39"/>
      <c r="H53" s="138">
        <f>RANK(I53,I3:I227)</f>
        <v>64</v>
      </c>
      <c r="I53" s="139">
        <f>VLOOKUP(A53,'Standard Deviations'!A1:C728,3,FALSE)</f>
        <v>1.0730746625503107</v>
      </c>
      <c r="J53" s="139">
        <f>I53-VLOOKUP(B$2,H1:J227,2,FALSE)</f>
        <v>-4.472098105133882</v>
      </c>
    </row>
    <row r="54" spans="1:10" ht="21.25" customHeight="1" x14ac:dyDescent="0.15">
      <c r="A54" s="8" t="s">
        <v>306</v>
      </c>
      <c r="B54" s="144" t="str">
        <f>VLOOKUP(A54,'The List'!B1:D727,3,FALSE)</f>
        <v>D</v>
      </c>
      <c r="C54" s="145">
        <f>IF(Settings!$E$15="POINTS",RANK(E54,E3:E227),H54)</f>
        <v>52</v>
      </c>
      <c r="D54" s="35" t="str">
        <f>VLOOKUP(A54,'The List'!B1:F727,5,FALSE)</f>
        <v>MIN</v>
      </c>
      <c r="E54" s="39">
        <f>VLOOKUP(A54,'The List'!B1:I727,8,FALSE)</f>
        <v>209.07910724993118</v>
      </c>
      <c r="F54" s="39">
        <f>IF(Settings!$E$15="POINTS",E54-VLOOKUP(B$2,C1:E227,3,FALSE),J54)</f>
        <v>-102.48637437799627</v>
      </c>
      <c r="G54" s="39"/>
      <c r="H54" s="138">
        <f>RANK(I54,I3:I227)</f>
        <v>31</v>
      </c>
      <c r="I54" s="139">
        <f>VLOOKUP(A54,'Standard Deviations'!A1:C728,3,FALSE)</f>
        <v>3.2967717291822218</v>
      </c>
      <c r="J54" s="139">
        <f>I54-VLOOKUP(B$2,H1:J227,2,FALSE)</f>
        <v>-2.2484010385019708</v>
      </c>
    </row>
    <row r="55" spans="1:10" ht="21.25" customHeight="1" x14ac:dyDescent="0.15">
      <c r="A55" s="8" t="s">
        <v>305</v>
      </c>
      <c r="B55" s="144" t="str">
        <f>VLOOKUP(A55,'The List'!B1:D727,3,FALSE)</f>
        <v>D</v>
      </c>
      <c r="C55" s="145">
        <f>IF(Settings!$E$15="POINTS",RANK(E55,E3:E227),H55)</f>
        <v>51</v>
      </c>
      <c r="D55" s="35" t="str">
        <f>VLOOKUP(A55,'The List'!B1:F727,5,FALSE)</f>
        <v>NYR</v>
      </c>
      <c r="E55" s="39">
        <f>VLOOKUP(A55,'The List'!B1:I727,8,FALSE)</f>
        <v>209.38131075835065</v>
      </c>
      <c r="F55" s="39">
        <f>IF(Settings!$E$15="POINTS",E55-VLOOKUP(B$2,C1:E227,3,FALSE),J55)</f>
        <v>-102.1841708695768</v>
      </c>
      <c r="G55" s="39"/>
      <c r="H55" s="138">
        <f>RANK(I55,I3:I227)</f>
        <v>36</v>
      </c>
      <c r="I55" s="139">
        <f>VLOOKUP(A55,'Standard Deviations'!A1:C728,3,FALSE)</f>
        <v>2.9361209017404404</v>
      </c>
      <c r="J55" s="139">
        <f>I55-VLOOKUP(B$2,H1:J227,2,FALSE)</f>
        <v>-2.6090518659437523</v>
      </c>
    </row>
    <row r="56" spans="1:10" ht="21.25" customHeight="1" x14ac:dyDescent="0.15">
      <c r="A56" s="8" t="s">
        <v>309</v>
      </c>
      <c r="B56" s="144" t="str">
        <f>VLOOKUP(A56,'The List'!B1:D727,3,FALSE)</f>
        <v>D</v>
      </c>
      <c r="C56" s="145">
        <f>IF(Settings!$E$15="POINTS",RANK(E56,E3:E227),H56)</f>
        <v>55</v>
      </c>
      <c r="D56" s="35" t="str">
        <f>VLOOKUP(A56,'The List'!B1:F727,5,FALSE)</f>
        <v>CBJ</v>
      </c>
      <c r="E56" s="39">
        <f>VLOOKUP(A56,'The List'!B1:I727,8,FALSE)</f>
        <v>205.75643252823423</v>
      </c>
      <c r="F56" s="39">
        <f>IF(Settings!$E$15="POINTS",E56-VLOOKUP(B$2,C1:E227,3,FALSE),J56)</f>
        <v>-105.80904909969323</v>
      </c>
      <c r="G56" s="39"/>
      <c r="H56" s="138">
        <f>RANK(I56,I3:I227)</f>
        <v>78</v>
      </c>
      <c r="I56" s="139">
        <f>VLOOKUP(A56,'Standard Deviations'!A1:C728,3,FALSE)</f>
        <v>0.1639085364938313</v>
      </c>
      <c r="J56" s="139">
        <f>I56-VLOOKUP(B$2,H1:J227,2,FALSE)</f>
        <v>-5.3812642311903609</v>
      </c>
    </row>
    <row r="57" spans="1:10" ht="21.25" customHeight="1" x14ac:dyDescent="0.15">
      <c r="A57" s="8" t="s">
        <v>308</v>
      </c>
      <c r="B57" s="144" t="str">
        <f>VLOOKUP(A57,'The List'!B1:D727,3,FALSE)</f>
        <v>D</v>
      </c>
      <c r="C57" s="145">
        <f>IF(Settings!$E$15="POINTS",RANK(E57,E3:E227),H57)</f>
        <v>54</v>
      </c>
      <c r="D57" s="35" t="str">
        <f>VLOOKUP(A57,'The List'!B1:F727,5,FALSE)</f>
        <v>EDM</v>
      </c>
      <c r="E57" s="39">
        <f>VLOOKUP(A57,'The List'!B1:I727,8,FALSE)</f>
        <v>206.65544071488128</v>
      </c>
      <c r="F57" s="39">
        <f>IF(Settings!$E$15="POINTS",E57-VLOOKUP(B$2,C1:E227,3,FALSE),J57)</f>
        <v>-104.91004091304617</v>
      </c>
      <c r="G57" s="39"/>
      <c r="H57" s="138">
        <f>RANK(I57,I3:I227)</f>
        <v>35</v>
      </c>
      <c r="I57" s="139">
        <f>VLOOKUP(A57,'Standard Deviations'!A1:C728,3,FALSE)</f>
        <v>3.0186094897754141</v>
      </c>
      <c r="J57" s="139">
        <f>I57-VLOOKUP(B$2,H1:J227,2,FALSE)</f>
        <v>-2.5265632779087785</v>
      </c>
    </row>
    <row r="58" spans="1:10" ht="21.25" customHeight="1" x14ac:dyDescent="0.15">
      <c r="A58" s="8" t="s">
        <v>325</v>
      </c>
      <c r="B58" s="144" t="str">
        <f>VLOOKUP(A58,'The List'!B1:D727,3,FALSE)</f>
        <v>D</v>
      </c>
      <c r="C58" s="145">
        <f>IF(Settings!$E$15="POINTS",RANK(E58,E3:E227),H58)</f>
        <v>56</v>
      </c>
      <c r="D58" s="35" t="str">
        <f>VLOOKUP(A58,'The List'!B1:F727,5,FALSE)</f>
        <v>DAL</v>
      </c>
      <c r="E58" s="39">
        <f>VLOOKUP(A58,'The List'!B1:I727,8,FALSE)</f>
        <v>196.93846614765454</v>
      </c>
      <c r="F58" s="39">
        <f>IF(Settings!$E$15="POINTS",E58-VLOOKUP(B$2,C1:E227,3,FALSE),J58)</f>
        <v>-114.62701548027292</v>
      </c>
      <c r="G58" s="39"/>
      <c r="H58" s="138">
        <f>RANK(I58,I3:I227)</f>
        <v>48</v>
      </c>
      <c r="I58" s="139">
        <f>VLOOKUP(A58,'Standard Deviations'!A1:C728,3,FALSE)</f>
        <v>1.6662876515956793</v>
      </c>
      <c r="J58" s="139">
        <f>I58-VLOOKUP(B$2,H1:J227,2,FALSE)</f>
        <v>-3.8788851160885134</v>
      </c>
    </row>
    <row r="59" spans="1:10" ht="21.25" customHeight="1" x14ac:dyDescent="0.15">
      <c r="A59" s="8" t="s">
        <v>327</v>
      </c>
      <c r="B59" s="144" t="str">
        <f>VLOOKUP(A59,'The List'!B1:D727,3,FALSE)</f>
        <v>D</v>
      </c>
      <c r="C59" s="145">
        <f>IF(Settings!$E$15="POINTS",RANK(E59,E3:E227),H59)</f>
        <v>57</v>
      </c>
      <c r="D59" s="35" t="str">
        <f>VLOOKUP(A59,'The List'!B1:F727,5,FALSE)</f>
        <v>ARI</v>
      </c>
      <c r="E59" s="39">
        <f>VLOOKUP(A59,'The List'!B1:I727,8,FALSE)</f>
        <v>196.3476960002024</v>
      </c>
      <c r="F59" s="39">
        <f>IF(Settings!$E$15="POINTS",E59-VLOOKUP(B$2,C1:E227,3,FALSE),J59)</f>
        <v>-115.21778562772505</v>
      </c>
      <c r="G59" s="39"/>
      <c r="H59" s="138">
        <f>RANK(I59,I3:I227)</f>
        <v>82</v>
      </c>
      <c r="I59" s="139">
        <f>VLOOKUP(A59,'Standard Deviations'!A1:C728,3,FALSE)</f>
        <v>-2.6289247236427116E-2</v>
      </c>
      <c r="J59" s="139">
        <f>I59-VLOOKUP(B$2,H1:J227,2,FALSE)</f>
        <v>-5.5714620149206198</v>
      </c>
    </row>
    <row r="60" spans="1:10" ht="21.25" customHeight="1" x14ac:dyDescent="0.15">
      <c r="A60" s="8" t="s">
        <v>329</v>
      </c>
      <c r="B60" s="144" t="str">
        <f>VLOOKUP(A60,'The List'!B1:D727,3,FALSE)</f>
        <v>D</v>
      </c>
      <c r="C60" s="145">
        <f>IF(Settings!$E$15="POINTS",RANK(E60,E3:E227),H60)</f>
        <v>58</v>
      </c>
      <c r="D60" s="35" t="str">
        <f>VLOOKUP(A60,'The List'!B1:F727,5,FALSE)</f>
        <v>DET</v>
      </c>
      <c r="E60" s="39">
        <f>VLOOKUP(A60,'The List'!B1:I727,8,FALSE)</f>
        <v>195.41886816739995</v>
      </c>
      <c r="F60" s="39">
        <f>IF(Settings!$E$15="POINTS",E60-VLOOKUP(B$2,C1:E227,3,FALSE),J60)</f>
        <v>-116.1466134605275</v>
      </c>
      <c r="G60" s="39"/>
      <c r="H60" s="138">
        <f>RANK(I60,I3:I227)</f>
        <v>89</v>
      </c>
      <c r="I60" s="139">
        <f>VLOOKUP(A60,'Standard Deviations'!A1:C728,3,FALSE)</f>
        <v>-0.26691751821003351</v>
      </c>
      <c r="J60" s="139">
        <f>I60-VLOOKUP(B$2,H1:J227,2,FALSE)</f>
        <v>-5.812090285894226</v>
      </c>
    </row>
    <row r="61" spans="1:10" ht="21.25" customHeight="1" x14ac:dyDescent="0.15">
      <c r="A61" s="8" t="s">
        <v>330</v>
      </c>
      <c r="B61" s="144" t="str">
        <f>VLOOKUP(A61,'The List'!B1:D727,3,FALSE)</f>
        <v>D</v>
      </c>
      <c r="C61" s="145">
        <f>IF(Settings!$E$15="POINTS",RANK(E61,E3:E227),H61)</f>
        <v>59</v>
      </c>
      <c r="D61" s="35" t="str">
        <f>VLOOKUP(A61,'The List'!B1:F727,5,FALSE)</f>
        <v>DET</v>
      </c>
      <c r="E61" s="39">
        <f>VLOOKUP(A61,'The List'!B1:I727,8,FALSE)</f>
        <v>195.14579387297238</v>
      </c>
      <c r="F61" s="39">
        <f>IF(Settings!$E$15="POINTS",E61-VLOOKUP(B$2,C1:E227,3,FALSE),J61)</f>
        <v>-116.41968775495508</v>
      </c>
      <c r="G61" s="39"/>
      <c r="H61" s="138">
        <f>RANK(I61,I3:I227)</f>
        <v>73</v>
      </c>
      <c r="I61" s="139">
        <f>VLOOKUP(A61,'Standard Deviations'!A1:C728,3,FALSE)</f>
        <v>0.57066007081963832</v>
      </c>
      <c r="J61" s="139">
        <f>I61-VLOOKUP(B$2,H1:J227,2,FALSE)</f>
        <v>-4.9745126968645543</v>
      </c>
    </row>
    <row r="62" spans="1:10" ht="21.25" customHeight="1" x14ac:dyDescent="0.15">
      <c r="A62" s="8" t="s">
        <v>337</v>
      </c>
      <c r="B62" s="144" t="str">
        <f>VLOOKUP(A62,'The List'!B1:D727,3,FALSE)</f>
        <v>D</v>
      </c>
      <c r="C62" s="145">
        <f>IF(Settings!$E$15="POINTS",RANK(E62,E3:E227),H62)</f>
        <v>61</v>
      </c>
      <c r="D62" s="35" t="str">
        <f>VLOOKUP(A62,'The List'!B1:F727,5,FALSE)</f>
        <v>STL</v>
      </c>
      <c r="E62" s="39">
        <f>VLOOKUP(A62,'The List'!B1:I727,8,FALSE)</f>
        <v>193.01527165128539</v>
      </c>
      <c r="F62" s="39">
        <f>IF(Settings!$E$15="POINTS",E62-VLOOKUP(B$2,C1:E227,3,FALSE),J62)</f>
        <v>-118.55020997664207</v>
      </c>
      <c r="G62" s="39"/>
      <c r="H62" s="138">
        <f>RANK(I62,I3:I227)</f>
        <v>94</v>
      </c>
      <c r="I62" s="139">
        <f>VLOOKUP(A62,'Standard Deviations'!A1:C728,3,FALSE)</f>
        <v>-0.53099237388903009</v>
      </c>
      <c r="J62" s="139">
        <f>I62-VLOOKUP(B$2,H1:J227,2,FALSE)</f>
        <v>-6.076165141573223</v>
      </c>
    </row>
    <row r="63" spans="1:10" ht="21.25" customHeight="1" x14ac:dyDescent="0.15">
      <c r="A63" s="8" t="s">
        <v>339</v>
      </c>
      <c r="B63" s="144" t="str">
        <f>VLOOKUP(A63,'The List'!B1:D727,3,FALSE)</f>
        <v>D</v>
      </c>
      <c r="C63" s="145">
        <f>IF(Settings!$E$15="POINTS",RANK(E63,E3:E227),H63)</f>
        <v>62</v>
      </c>
      <c r="D63" s="35" t="str">
        <f>VLOOKUP(A63,'The List'!B1:F727,5,FALSE)</f>
        <v>CAR</v>
      </c>
      <c r="E63" s="39">
        <f>VLOOKUP(A63,'The List'!B1:I727,8,FALSE)</f>
        <v>191.52133357102193</v>
      </c>
      <c r="F63" s="39">
        <f>IF(Settings!$E$15="POINTS",E63-VLOOKUP(B$2,C1:E227,3,FALSE),J63)</f>
        <v>-120.04414805690553</v>
      </c>
      <c r="G63" s="39"/>
      <c r="H63" s="138">
        <f>RANK(I63,I3:I227)</f>
        <v>44</v>
      </c>
      <c r="I63" s="139">
        <f>VLOOKUP(A63,'Standard Deviations'!A1:C728,3,FALSE)</f>
        <v>2.0864526127506249</v>
      </c>
      <c r="J63" s="139">
        <f>I63-VLOOKUP(B$2,H1:J227,2,FALSE)</f>
        <v>-3.4587201549335678</v>
      </c>
    </row>
    <row r="64" spans="1:10" ht="21.25" customHeight="1" x14ac:dyDescent="0.15">
      <c r="A64" s="8" t="s">
        <v>342</v>
      </c>
      <c r="B64" s="144" t="str">
        <f>VLOOKUP(A64,'The List'!B1:D727,3,FALSE)</f>
        <v>D</v>
      </c>
      <c r="C64" s="145">
        <f>IF(Settings!$E$15="POINTS",RANK(E64,E3:E227),H64)</f>
        <v>63</v>
      </c>
      <c r="D64" s="35" t="str">
        <f>VLOOKUP(A64,'The List'!B1:F727,5,FALSE)</f>
        <v>COL</v>
      </c>
      <c r="E64" s="39">
        <f>VLOOKUP(A64,'The List'!B1:I727,8,FALSE)</f>
        <v>190.24237846493179</v>
      </c>
      <c r="F64" s="39">
        <f>IF(Settings!$E$15="POINTS",E64-VLOOKUP(B$2,C1:E227,3,FALSE),J64)</f>
        <v>-121.32310316299566</v>
      </c>
      <c r="G64" s="39"/>
      <c r="H64" s="138">
        <f>RANK(I64,I3:I227)</f>
        <v>65</v>
      </c>
      <c r="I64" s="139">
        <f>VLOOKUP(A64,'Standard Deviations'!A1:C728,3,FALSE)</f>
        <v>1.0660984658142749</v>
      </c>
      <c r="J64" s="139">
        <f>I64-VLOOKUP(B$2,H1:J227,2,FALSE)</f>
        <v>-4.4790743018699182</v>
      </c>
    </row>
    <row r="65" spans="1:10" ht="21.25" customHeight="1" x14ac:dyDescent="0.15">
      <c r="A65" s="8" t="s">
        <v>343</v>
      </c>
      <c r="B65" s="144" t="str">
        <f>VLOOKUP(A65,'The List'!B1:D727,3,FALSE)</f>
        <v>D</v>
      </c>
      <c r="C65" s="145">
        <f>IF(Settings!$E$15="POINTS",RANK(E65,E3:E227),H65)</f>
        <v>64</v>
      </c>
      <c r="D65" s="35" t="str">
        <f>VLOOKUP(A65,'The List'!B1:F727,5,FALSE)</f>
        <v>CAR</v>
      </c>
      <c r="E65" s="39">
        <f>VLOOKUP(A65,'The List'!B1:I727,8,FALSE)</f>
        <v>189.4113067536631</v>
      </c>
      <c r="F65" s="39">
        <f>IF(Settings!$E$15="POINTS",E65-VLOOKUP(B$2,C1:E227,3,FALSE),J65)</f>
        <v>-122.15417487426436</v>
      </c>
      <c r="G65" s="39"/>
      <c r="H65" s="138">
        <f>RANK(I65,I3:I227)</f>
        <v>43</v>
      </c>
      <c r="I65" s="139">
        <f>VLOOKUP(A65,'Standard Deviations'!A1:C728,3,FALSE)</f>
        <v>2.4545698423674187</v>
      </c>
      <c r="J65" s="139">
        <f>I65-VLOOKUP(B$2,H1:J227,2,FALSE)</f>
        <v>-3.0906029253167739</v>
      </c>
    </row>
    <row r="66" spans="1:10" ht="21.25" customHeight="1" x14ac:dyDescent="0.15">
      <c r="A66" s="8" t="s">
        <v>332</v>
      </c>
      <c r="B66" s="144" t="str">
        <f>VLOOKUP(A66,'The List'!B1:D727,3,FALSE)</f>
        <v>D</v>
      </c>
      <c r="C66" s="145">
        <f>IF(Settings!$E$15="POINTS",RANK(E66,E3:E227),H66)</f>
        <v>60</v>
      </c>
      <c r="D66" s="35" t="str">
        <f>VLOOKUP(A66,'The List'!B1:F727,5,FALSE)</f>
        <v>ANA</v>
      </c>
      <c r="E66" s="39">
        <f>VLOOKUP(A66,'The List'!B1:I727,8,FALSE)</f>
        <v>194.61904467027369</v>
      </c>
      <c r="F66" s="39">
        <f>IF(Settings!$E$15="POINTS",E66-VLOOKUP(B$2,C1:E227,3,FALSE),J66)</f>
        <v>-116.94643695765376</v>
      </c>
      <c r="G66" s="39"/>
      <c r="H66" s="138">
        <f>RANK(I66,I3:I227)</f>
        <v>138</v>
      </c>
      <c r="I66" s="139">
        <f>VLOOKUP(A66,'Standard Deviations'!A1:C728,3,FALSE)</f>
        <v>-1.8013847936003951</v>
      </c>
      <c r="J66" s="139">
        <f>I66-VLOOKUP(B$2,H1:J227,2,FALSE)</f>
        <v>-7.3465575612845875</v>
      </c>
    </row>
    <row r="67" spans="1:10" ht="21.25" customHeight="1" x14ac:dyDescent="0.15">
      <c r="A67" s="8" t="s">
        <v>348</v>
      </c>
      <c r="B67" s="144" t="str">
        <f>VLOOKUP(A67,'The List'!B1:D727,3,FALSE)</f>
        <v>D</v>
      </c>
      <c r="C67" s="145">
        <f>IF(Settings!$E$15="POINTS",RANK(E67,E3:E227),H67)</f>
        <v>66</v>
      </c>
      <c r="D67" s="35" t="str">
        <f>VLOOKUP(A67,'The List'!B1:F727,5,FALSE)</f>
        <v>SEA</v>
      </c>
      <c r="E67" s="39">
        <f>VLOOKUP(A67,'The List'!B1:I727,8,FALSE)</f>
        <v>187.05287733155211</v>
      </c>
      <c r="F67" s="39">
        <f>IF(Settings!$E$15="POINTS",E67-VLOOKUP(B$2,C1:E227,3,FALSE),J67)</f>
        <v>-124.51260429637534</v>
      </c>
      <c r="G67" s="39"/>
      <c r="H67" s="138">
        <f>RANK(I67,I3:I227)</f>
        <v>54</v>
      </c>
      <c r="I67" s="139">
        <f>VLOOKUP(A67,'Standard Deviations'!A1:C728,3,FALSE)</f>
        <v>1.3415273305505113</v>
      </c>
      <c r="J67" s="139">
        <f>I67-VLOOKUP(B$2,H1:J227,2,FALSE)</f>
        <v>-4.2036454371336811</v>
      </c>
    </row>
    <row r="68" spans="1:10" ht="21.25" customHeight="1" x14ac:dyDescent="0.15">
      <c r="A68" s="8" t="s">
        <v>347</v>
      </c>
      <c r="B68" s="144" t="str">
        <f>VLOOKUP(A68,'The List'!B1:D727,3,FALSE)</f>
        <v>D</v>
      </c>
      <c r="C68" s="145">
        <f>IF(Settings!$E$15="POINTS",RANK(E68,E3:E227),H68)</f>
        <v>65</v>
      </c>
      <c r="D68" s="35" t="str">
        <f>VLOOKUP(A68,'The List'!B1:F727,5,FALSE)</f>
        <v>CAR</v>
      </c>
      <c r="E68" s="39">
        <f>VLOOKUP(A68,'The List'!B1:I727,8,FALSE)</f>
        <v>187.77804299424054</v>
      </c>
      <c r="F68" s="39">
        <f>IF(Settings!$E$15="POINTS",E68-VLOOKUP(B$2,C1:E227,3,FALSE),J68)</f>
        <v>-123.78743863368692</v>
      </c>
      <c r="G68" s="39"/>
      <c r="H68" s="138">
        <f>RANK(I68,I3:I227)</f>
        <v>62</v>
      </c>
      <c r="I68" s="139">
        <f>VLOOKUP(A68,'Standard Deviations'!A1:C728,3,FALSE)</f>
        <v>1.1565369032344504</v>
      </c>
      <c r="J68" s="139">
        <f>I68-VLOOKUP(B$2,H1:J227,2,FALSE)</f>
        <v>-4.3886358644497427</v>
      </c>
    </row>
    <row r="69" spans="1:10" ht="21.25" customHeight="1" x14ac:dyDescent="0.15">
      <c r="A69" s="8" t="s">
        <v>353</v>
      </c>
      <c r="B69" s="144" t="str">
        <f>VLOOKUP(A69,'The List'!B1:D727,3,FALSE)</f>
        <v>D</v>
      </c>
      <c r="C69" s="145">
        <f>IF(Settings!$E$15="POINTS",RANK(E69,E3:E227),H69)</f>
        <v>69</v>
      </c>
      <c r="D69" s="35" t="str">
        <f>VLOOKUP(A69,'The List'!B1:F727,5,FALSE)</f>
        <v>BOS</v>
      </c>
      <c r="E69" s="39">
        <f>VLOOKUP(A69,'The List'!B1:I727,8,FALSE)</f>
        <v>185.19555770301218</v>
      </c>
      <c r="F69" s="39">
        <f>IF(Settings!$E$15="POINTS",E69-VLOOKUP(B$2,C1:E227,3,FALSE),J69)</f>
        <v>-126.36992392491527</v>
      </c>
      <c r="G69" s="39"/>
      <c r="H69" s="138">
        <f>RANK(I69,I3:I227)</f>
        <v>67</v>
      </c>
      <c r="I69" s="139">
        <f>VLOOKUP(A69,'Standard Deviations'!A1:C728,3,FALSE)</f>
        <v>0.93653769774709295</v>
      </c>
      <c r="J69" s="139">
        <f>I69-VLOOKUP(B$2,H1:J227,2,FALSE)</f>
        <v>-4.6086350699370993</v>
      </c>
    </row>
    <row r="70" spans="1:10" ht="21.25" customHeight="1" x14ac:dyDescent="0.15">
      <c r="A70" s="8" t="s">
        <v>350</v>
      </c>
      <c r="B70" s="144" t="str">
        <f>VLOOKUP(A70,'The List'!B1:D727,3,FALSE)</f>
        <v>D</v>
      </c>
      <c r="C70" s="145">
        <f>IF(Settings!$E$15="POINTS",RANK(E70,E3:E227),H70)</f>
        <v>68</v>
      </c>
      <c r="D70" s="35" t="str">
        <f>VLOOKUP(A70,'The List'!B1:F727,5,FALSE)</f>
        <v>NYR</v>
      </c>
      <c r="E70" s="39">
        <f>VLOOKUP(A70,'The List'!B1:I727,8,FALSE)</f>
        <v>186.68443459707504</v>
      </c>
      <c r="F70" s="39">
        <f>IF(Settings!$E$15="POINTS",E70-VLOOKUP(B$2,C1:E227,3,FALSE),J70)</f>
        <v>-124.88104703085241</v>
      </c>
      <c r="G70" s="39"/>
      <c r="H70" s="138">
        <f>RANK(I70,I3:I227)</f>
        <v>61</v>
      </c>
      <c r="I70" s="139">
        <f>VLOOKUP(A70,'Standard Deviations'!A1:C728,3,FALSE)</f>
        <v>1.1627659636104379</v>
      </c>
      <c r="J70" s="139">
        <f>I70-VLOOKUP(B$2,H1:J227,2,FALSE)</f>
        <v>-4.3824068040737547</v>
      </c>
    </row>
    <row r="71" spans="1:10" ht="21.25" customHeight="1" x14ac:dyDescent="0.15">
      <c r="A71" s="8" t="s">
        <v>354</v>
      </c>
      <c r="B71" s="144" t="str">
        <f>VLOOKUP(A71,'The List'!B1:D727,3,FALSE)</f>
        <v>D</v>
      </c>
      <c r="C71" s="145">
        <f>IF(Settings!$E$15="POINTS",RANK(E71,E3:E227),H71)</f>
        <v>70</v>
      </c>
      <c r="D71" s="35" t="str">
        <f>VLOOKUP(A71,'The List'!B1:F727,5,FALSE)</f>
        <v>SJS</v>
      </c>
      <c r="E71" s="39">
        <f>VLOOKUP(A71,'The List'!B1:I727,8,FALSE)</f>
        <v>184.58884463424846</v>
      </c>
      <c r="F71" s="39">
        <f>IF(Settings!$E$15="POINTS",E71-VLOOKUP(B$2,C1:E227,3,FALSE),J71)</f>
        <v>-126.97663699367899</v>
      </c>
      <c r="G71" s="39"/>
      <c r="H71" s="138">
        <f>RANK(I71,I3:I227)</f>
        <v>63</v>
      </c>
      <c r="I71" s="139">
        <f>VLOOKUP(A71,'Standard Deviations'!A1:C728,3,FALSE)</f>
        <v>1.0851073248933982</v>
      </c>
      <c r="J71" s="139">
        <f>I71-VLOOKUP(B$2,H1:J227,2,FALSE)</f>
        <v>-4.4600654427907944</v>
      </c>
    </row>
    <row r="72" spans="1:10" ht="21.25" customHeight="1" x14ac:dyDescent="0.15">
      <c r="A72" s="8" t="s">
        <v>357</v>
      </c>
      <c r="B72" s="144" t="str">
        <f>VLOOKUP(A72,'The List'!B1:D727,3,FALSE)</f>
        <v>D</v>
      </c>
      <c r="C72" s="145">
        <f>IF(Settings!$E$15="POINTS",RANK(E72,E3:E227),H72)</f>
        <v>71</v>
      </c>
      <c r="D72" s="35" t="str">
        <f>VLOOKUP(A72,'The List'!B1:F727,5,FALSE)</f>
        <v>ARI</v>
      </c>
      <c r="E72" s="39">
        <f>VLOOKUP(A72,'The List'!B1:I727,8,FALSE)</f>
        <v>183.65424305644117</v>
      </c>
      <c r="F72" s="39">
        <f>IF(Settings!$E$15="POINTS",E72-VLOOKUP(B$2,C1:E227,3,FALSE),J72)</f>
        <v>-127.91123857148628</v>
      </c>
      <c r="G72" s="39"/>
      <c r="H72" s="138">
        <f>RANK(I72,I3:I227)</f>
        <v>95</v>
      </c>
      <c r="I72" s="139">
        <f>VLOOKUP(A72,'Standard Deviations'!A1:C728,3,FALSE)</f>
        <v>-0.53346251722719484</v>
      </c>
      <c r="J72" s="139">
        <f>I72-VLOOKUP(B$2,H1:J227,2,FALSE)</f>
        <v>-6.0786352849113872</v>
      </c>
    </row>
    <row r="73" spans="1:10" ht="21.25" customHeight="1" x14ac:dyDescent="0.15">
      <c r="A73" s="8" t="s">
        <v>358</v>
      </c>
      <c r="B73" s="144" t="str">
        <f>VLOOKUP(A73,'The List'!B1:D727,3,FALSE)</f>
        <v>D</v>
      </c>
      <c r="C73" s="145">
        <f>IF(Settings!$E$15="POINTS",RANK(E73,E3:E227),H73)</f>
        <v>72</v>
      </c>
      <c r="D73" s="35" t="str">
        <f>VLOOKUP(A73,'The List'!B1:F727,5,FALSE)</f>
        <v>SEA</v>
      </c>
      <c r="E73" s="39">
        <f>VLOOKUP(A73,'The List'!B1:I727,8,FALSE)</f>
        <v>182.34182870964611</v>
      </c>
      <c r="F73" s="39">
        <f>IF(Settings!$E$15="POINTS",E73-VLOOKUP(B$2,C1:E227,3,FALSE),J73)</f>
        <v>-129.22365291828135</v>
      </c>
      <c r="G73" s="39"/>
      <c r="H73" s="138">
        <f>RANK(I73,I3:I227)</f>
        <v>90</v>
      </c>
      <c r="I73" s="139">
        <f>VLOOKUP(A73,'Standard Deviations'!A1:C728,3,FALSE)</f>
        <v>-0.26873950974798155</v>
      </c>
      <c r="J73" s="139">
        <f>I73-VLOOKUP(B$2,H1:J227,2,FALSE)</f>
        <v>-5.8139122774321743</v>
      </c>
    </row>
    <row r="74" spans="1:10" ht="21.25" customHeight="1" x14ac:dyDescent="0.15">
      <c r="A74" s="8" t="s">
        <v>359</v>
      </c>
      <c r="B74" s="144" t="str">
        <f>VLOOKUP(A74,'The List'!B1:D727,3,FALSE)</f>
        <v>D</v>
      </c>
      <c r="C74" s="145">
        <f>IF(Settings!$E$15="POINTS",RANK(E74,E3:E227),H74)</f>
        <v>73</v>
      </c>
      <c r="D74" s="35" t="str">
        <f>VLOOKUP(A74,'The List'!B1:F727,5,FALSE)</f>
        <v>PIT</v>
      </c>
      <c r="E74" s="39">
        <f>VLOOKUP(A74,'The List'!B1:I727,8,FALSE)</f>
        <v>181.99716054789923</v>
      </c>
      <c r="F74" s="39">
        <f>IF(Settings!$E$15="POINTS",E74-VLOOKUP(B$2,C1:E227,3,FALSE),J74)</f>
        <v>-129.56832108002823</v>
      </c>
      <c r="G74" s="39"/>
      <c r="H74" s="138">
        <f>RANK(I74,I3:I227)</f>
        <v>58</v>
      </c>
      <c r="I74" s="139">
        <f>VLOOKUP(A74,'Standard Deviations'!A1:C728,3,FALSE)</f>
        <v>1.2352671658073289</v>
      </c>
      <c r="J74" s="139">
        <f>I74-VLOOKUP(B$2,H1:J227,2,FALSE)</f>
        <v>-4.3099056018768636</v>
      </c>
    </row>
    <row r="75" spans="1:10" ht="21.25" customHeight="1" x14ac:dyDescent="0.15">
      <c r="A75" s="8" t="s">
        <v>349</v>
      </c>
      <c r="B75" s="144" t="str">
        <f>VLOOKUP(A75,'The List'!B1:D727,3,FALSE)</f>
        <v>D</v>
      </c>
      <c r="C75" s="145">
        <f>IF(Settings!$E$15="POINTS",RANK(E75,E3:E227),H75)</f>
        <v>67</v>
      </c>
      <c r="D75" s="35" t="str">
        <f>VLOOKUP(A75,'The List'!B1:F727,5,FALSE)</f>
        <v>PHI</v>
      </c>
      <c r="E75" s="39">
        <f>VLOOKUP(A75,'The List'!B1:I727,8,FALSE)</f>
        <v>186.80392872043177</v>
      </c>
      <c r="F75" s="39">
        <f>IF(Settings!$E$15="POINTS",E75-VLOOKUP(B$2,C1:E227,3,FALSE),J75)</f>
        <v>-124.76155290749568</v>
      </c>
      <c r="G75" s="39"/>
      <c r="H75" s="138">
        <f>RANK(I75,I3:I227)</f>
        <v>111</v>
      </c>
      <c r="I75" s="139">
        <f>VLOOKUP(A75,'Standard Deviations'!A1:C728,3,FALSE)</f>
        <v>-0.90822995349812929</v>
      </c>
      <c r="J75" s="139">
        <f>I75-VLOOKUP(B$2,H1:J227,2,FALSE)</f>
        <v>-6.4534027211823215</v>
      </c>
    </row>
    <row r="76" spans="1:10" ht="21.25" customHeight="1" x14ac:dyDescent="0.15">
      <c r="A76" s="8" t="s">
        <v>360</v>
      </c>
      <c r="B76" s="144" t="str">
        <f>VLOOKUP(A76,'The List'!B1:D727,3,FALSE)</f>
        <v>D</v>
      </c>
      <c r="C76" s="145">
        <f>IF(Settings!$E$15="POINTS",RANK(E76,E3:E227),H76)</f>
        <v>74</v>
      </c>
      <c r="D76" s="35" t="str">
        <f>VLOOKUP(A76,'The List'!B1:F727,5,FALSE)</f>
        <v>CBJ</v>
      </c>
      <c r="E76" s="39">
        <f>VLOOKUP(A76,'The List'!B1:I727,8,FALSE)</f>
        <v>181.6669786734017</v>
      </c>
      <c r="F76" s="39">
        <f>IF(Settings!$E$15="POINTS",E76-VLOOKUP(B$2,C1:E227,3,FALSE),J76)</f>
        <v>-129.89850295452575</v>
      </c>
      <c r="G76" s="39"/>
      <c r="H76" s="138">
        <f>RANK(I76,I3:I227)</f>
        <v>102</v>
      </c>
      <c r="I76" s="139">
        <f>VLOOKUP(A76,'Standard Deviations'!A1:C728,3,FALSE)</f>
        <v>-0.77554802203825313</v>
      </c>
      <c r="J76" s="139">
        <f>I76-VLOOKUP(B$2,H1:J227,2,FALSE)</f>
        <v>-6.3207207897224453</v>
      </c>
    </row>
    <row r="77" spans="1:10" ht="21.25" customHeight="1" x14ac:dyDescent="0.15">
      <c r="A77" s="8" t="s">
        <v>368</v>
      </c>
      <c r="B77" s="144" t="str">
        <f>VLOOKUP(A77,'The List'!B1:D727,3,FALSE)</f>
        <v>D</v>
      </c>
      <c r="C77" s="145">
        <f>IF(Settings!$E$15="POINTS",RANK(E77,E3:E227),H77)</f>
        <v>77</v>
      </c>
      <c r="D77" s="35" t="str">
        <f>VLOOKUP(A77,'The List'!B1:F727,5,FALSE)</f>
        <v>MIN</v>
      </c>
      <c r="E77" s="39">
        <f>VLOOKUP(A77,'The List'!B1:I727,8,FALSE)</f>
        <v>176.01447209291587</v>
      </c>
      <c r="F77" s="39">
        <f>IF(Settings!$E$15="POINTS",E77-VLOOKUP(B$2,C1:E227,3,FALSE),J77)</f>
        <v>-135.55100953501159</v>
      </c>
      <c r="G77" s="39"/>
      <c r="H77" s="138">
        <f>RANK(I77,I3:I227)</f>
        <v>101</v>
      </c>
      <c r="I77" s="139">
        <f>VLOOKUP(A77,'Standard Deviations'!A1:C728,3,FALSE)</f>
        <v>-0.74709529866287661</v>
      </c>
      <c r="J77" s="139">
        <f>I77-VLOOKUP(B$2,H1:J227,2,FALSE)</f>
        <v>-6.2922680663470691</v>
      </c>
    </row>
    <row r="78" spans="1:10" ht="21.25" customHeight="1" x14ac:dyDescent="0.15">
      <c r="A78" s="8" t="s">
        <v>366</v>
      </c>
      <c r="B78" s="144" t="str">
        <f>VLOOKUP(A78,'The List'!B1:D727,3,FALSE)</f>
        <v>D</v>
      </c>
      <c r="C78" s="145">
        <f>IF(Settings!$E$15="POINTS",RANK(E78,E3:E227),H78)</f>
        <v>75</v>
      </c>
      <c r="D78" s="35" t="str">
        <f>VLOOKUP(A78,'The List'!B1:F727,5,FALSE)</f>
        <v>PHI</v>
      </c>
      <c r="E78" s="39">
        <f>VLOOKUP(A78,'The List'!B1:I727,8,FALSE)</f>
        <v>176.82156181873248</v>
      </c>
      <c r="F78" s="39">
        <f>IF(Settings!$E$15="POINTS",E78-VLOOKUP(B$2,C1:E227,3,FALSE),J78)</f>
        <v>-134.74391980919498</v>
      </c>
      <c r="G78" s="39"/>
      <c r="H78" s="138">
        <f>RANK(I78,I3:I227)</f>
        <v>113</v>
      </c>
      <c r="I78" s="139">
        <f>VLOOKUP(A78,'Standard Deviations'!A1:C728,3,FALSE)</f>
        <v>-1.0321781067795046</v>
      </c>
      <c r="J78" s="139">
        <f>I78-VLOOKUP(B$2,H1:J227,2,FALSE)</f>
        <v>-6.577350874463697</v>
      </c>
    </row>
    <row r="79" spans="1:10" ht="21.25" customHeight="1" x14ac:dyDescent="0.15">
      <c r="A79" s="8" t="s">
        <v>371</v>
      </c>
      <c r="B79" s="144" t="str">
        <f>VLOOKUP(A79,'The List'!B1:D727,3,FALSE)</f>
        <v>D</v>
      </c>
      <c r="C79" s="145">
        <f>IF(Settings!$E$15="POINTS",RANK(E79,E3:E227),H79)</f>
        <v>78</v>
      </c>
      <c r="D79" s="35" t="str">
        <f>VLOOKUP(A79,'The List'!B1:F727,5,FALSE)</f>
        <v>MIN</v>
      </c>
      <c r="E79" s="39">
        <f>VLOOKUP(A79,'The List'!B1:I727,8,FALSE)</f>
        <v>175.59300286342969</v>
      </c>
      <c r="F79" s="39">
        <f>IF(Settings!$E$15="POINTS",E79-VLOOKUP(B$2,C1:E227,3,FALSE),J79)</f>
        <v>-135.97247876449777</v>
      </c>
      <c r="G79" s="39"/>
      <c r="H79" s="138">
        <f>RANK(I79,I3:I227)</f>
        <v>84</v>
      </c>
      <c r="I79" s="139">
        <f>VLOOKUP(A79,'Standard Deviations'!A1:C728,3,FALSE)</f>
        <v>-0.13028971846423509</v>
      </c>
      <c r="J79" s="139">
        <f>I79-VLOOKUP(B$2,H1:J227,2,FALSE)</f>
        <v>-5.6754624861484277</v>
      </c>
    </row>
    <row r="80" spans="1:10" ht="21.25" customHeight="1" x14ac:dyDescent="0.15">
      <c r="A80" s="8" t="s">
        <v>367</v>
      </c>
      <c r="B80" s="144" t="str">
        <f>VLOOKUP(A80,'The List'!B1:D727,3,FALSE)</f>
        <v>D</v>
      </c>
      <c r="C80" s="145">
        <f>IF(Settings!$E$15="POINTS",RANK(E80,E3:E227),H80)</f>
        <v>76</v>
      </c>
      <c r="D80" s="35" t="str">
        <f>VLOOKUP(A80,'The List'!B1:F727,5,FALSE)</f>
        <v>COL</v>
      </c>
      <c r="E80" s="39">
        <f>VLOOKUP(A80,'The List'!B1:I727,8,FALSE)</f>
        <v>176.32508144132476</v>
      </c>
      <c r="F80" s="39">
        <f>IF(Settings!$E$15="POINTS",E80-VLOOKUP(B$2,C1:E227,3,FALSE),J80)</f>
        <v>-135.2404001866027</v>
      </c>
      <c r="G80" s="39"/>
      <c r="H80" s="138">
        <f>RANK(I80,I3:I227)</f>
        <v>79</v>
      </c>
      <c r="I80" s="139">
        <f>VLOOKUP(A80,'Standard Deviations'!A1:C728,3,FALSE)</f>
        <v>0.11713995992589843</v>
      </c>
      <c r="J80" s="139">
        <f>I80-VLOOKUP(B$2,H1:J227,2,FALSE)</f>
        <v>-5.428032807758294</v>
      </c>
    </row>
    <row r="81" spans="1:10" ht="21.25" customHeight="1" x14ac:dyDescent="0.15">
      <c r="A81" s="8" t="s">
        <v>377</v>
      </c>
      <c r="B81" s="144" t="str">
        <f>VLOOKUP(A81,'The List'!B1:D727,3,FALSE)</f>
        <v>D</v>
      </c>
      <c r="C81" s="145">
        <f>IF(Settings!$E$15="POINTS",RANK(E81,E3:E227),H81)</f>
        <v>79</v>
      </c>
      <c r="D81" s="35" t="str">
        <f>VLOOKUP(A81,'The List'!B1:F727,5,FALSE)</f>
        <v>NYI</v>
      </c>
      <c r="E81" s="39">
        <f>VLOOKUP(A81,'The List'!B1:I727,8,FALSE)</f>
        <v>173.31986172934421</v>
      </c>
      <c r="F81" s="39">
        <f>IF(Settings!$E$15="POINTS",E81-VLOOKUP(B$2,C1:E227,3,FALSE),J81)</f>
        <v>-138.24561989858324</v>
      </c>
      <c r="G81" s="39"/>
      <c r="H81" s="138">
        <f>RANK(I81,I3:I227)</f>
        <v>70</v>
      </c>
      <c r="I81" s="139">
        <f>VLOOKUP(A81,'Standard Deviations'!A1:C728,3,FALSE)</f>
        <v>0.61646115541987412</v>
      </c>
      <c r="J81" s="139">
        <f>I81-VLOOKUP(B$2,H1:J227,2,FALSE)</f>
        <v>-4.9287116122643182</v>
      </c>
    </row>
    <row r="82" spans="1:10" ht="21.25" customHeight="1" x14ac:dyDescent="0.15">
      <c r="A82" s="8" t="s">
        <v>380</v>
      </c>
      <c r="B82" s="144" t="str">
        <f>VLOOKUP(A82,'The List'!B1:D727,3,FALSE)</f>
        <v>D</v>
      </c>
      <c r="C82" s="145">
        <f>IF(Settings!$E$15="POINTS",RANK(E82,E3:E227),H82)</f>
        <v>80</v>
      </c>
      <c r="D82" s="35" t="str">
        <f>VLOOKUP(A82,'The List'!B1:F727,5,FALSE)</f>
        <v>MIN</v>
      </c>
      <c r="E82" s="39">
        <f>VLOOKUP(A82,'The List'!B1:I727,8,FALSE)</f>
        <v>171.84125767868238</v>
      </c>
      <c r="F82" s="39">
        <f>IF(Settings!$E$15="POINTS",E82-VLOOKUP(B$2,C1:E227,3,FALSE),J82)</f>
        <v>-139.72422394924507</v>
      </c>
      <c r="G82" s="39"/>
      <c r="H82" s="138">
        <f>RANK(I82,I3:I227)</f>
        <v>59</v>
      </c>
      <c r="I82" s="139">
        <f>VLOOKUP(A82,'Standard Deviations'!A1:C728,3,FALSE)</f>
        <v>1.2333486968388621</v>
      </c>
      <c r="J82" s="139">
        <f>I82-VLOOKUP(B$2,H1:J227,2,FALSE)</f>
        <v>-4.311824070845331</v>
      </c>
    </row>
    <row r="83" spans="1:10" ht="21.25" customHeight="1" x14ac:dyDescent="0.15">
      <c r="A83" s="8" t="s">
        <v>382</v>
      </c>
      <c r="B83" s="144" t="str">
        <f>VLOOKUP(A83,'The List'!B1:D727,3,FALSE)</f>
        <v>D</v>
      </c>
      <c r="C83" s="145">
        <f>IF(Settings!$E$15="POINTS",RANK(E83,E3:E227),H83)</f>
        <v>81</v>
      </c>
      <c r="D83" s="35" t="str">
        <f>VLOOKUP(A83,'The List'!B1:F727,5,FALSE)</f>
        <v>NYI</v>
      </c>
      <c r="E83" s="39">
        <f>VLOOKUP(A83,'The List'!B1:I727,8,FALSE)</f>
        <v>171.04031889721404</v>
      </c>
      <c r="F83" s="39">
        <f>IF(Settings!$E$15="POINTS",E83-VLOOKUP(B$2,C1:E227,3,FALSE),J83)</f>
        <v>-140.52516273071342</v>
      </c>
      <c r="G83" s="39"/>
      <c r="H83" s="138">
        <f>RANK(I83,I3:I227)</f>
        <v>69</v>
      </c>
      <c r="I83" s="139">
        <f>VLOOKUP(A83,'Standard Deviations'!A1:C728,3,FALSE)</f>
        <v>0.64242041083446066</v>
      </c>
      <c r="J83" s="139">
        <f>I83-VLOOKUP(B$2,H1:J227,2,FALSE)</f>
        <v>-4.9027523568497315</v>
      </c>
    </row>
    <row r="84" spans="1:10" ht="21.25" customHeight="1" x14ac:dyDescent="0.15">
      <c r="A84" s="8" t="s">
        <v>394</v>
      </c>
      <c r="B84" s="144" t="str">
        <f>VLOOKUP(A84,'The List'!B1:D727,3,FALSE)</f>
        <v>D</v>
      </c>
      <c r="C84" s="145">
        <f>IF(Settings!$E$15="POINTS",RANK(E84,E3:E227),H84)</f>
        <v>84</v>
      </c>
      <c r="D84" s="35" t="str">
        <f>VLOOKUP(A84,'The List'!B1:F727,5,FALSE)</f>
        <v>DET</v>
      </c>
      <c r="E84" s="39">
        <f>VLOOKUP(A84,'The List'!B1:I727,8,FALSE)</f>
        <v>162.61266489043254</v>
      </c>
      <c r="F84" s="39">
        <f>IF(Settings!$E$15="POINTS",E84-VLOOKUP(B$2,C1:E227,3,FALSE),J84)</f>
        <v>-148.95281673749491</v>
      </c>
      <c r="G84" s="39"/>
      <c r="H84" s="138">
        <f>RANK(I84,I3:I227)</f>
        <v>86</v>
      </c>
      <c r="I84" s="139">
        <f>VLOOKUP(A84,'Standard Deviations'!A1:C728,3,FALSE)</f>
        <v>-0.18749410271694233</v>
      </c>
      <c r="J84" s="139">
        <f>I84-VLOOKUP(B$2,H1:J227,2,FALSE)</f>
        <v>-5.7326668704011352</v>
      </c>
    </row>
    <row r="85" spans="1:10" ht="21.25" customHeight="1" x14ac:dyDescent="0.15">
      <c r="A85" s="8" t="s">
        <v>396</v>
      </c>
      <c r="B85" s="144" t="str">
        <f>VLOOKUP(A85,'The List'!B1:D727,3,FALSE)</f>
        <v>D</v>
      </c>
      <c r="C85" s="145">
        <f>IF(Settings!$E$15="POINTS",RANK(E85,E3:E227),H85)</f>
        <v>85</v>
      </c>
      <c r="D85" s="35" t="str">
        <f>VLOOKUP(A85,'The List'!B1:F727,5,FALSE)</f>
        <v>WSH</v>
      </c>
      <c r="E85" s="39">
        <f>VLOOKUP(A85,'The List'!B1:I727,8,FALSE)</f>
        <v>161.30302849867556</v>
      </c>
      <c r="F85" s="39">
        <f>IF(Settings!$E$15="POINTS",E85-VLOOKUP(B$2,C1:E227,3,FALSE),J85)</f>
        <v>-150.2624531292519</v>
      </c>
      <c r="G85" s="39"/>
      <c r="H85" s="138">
        <f>RANK(I85,I3:I227)</f>
        <v>120</v>
      </c>
      <c r="I85" s="139">
        <f>VLOOKUP(A85,'Standard Deviations'!A1:C728,3,FALSE)</f>
        <v>-1.2740977096491153</v>
      </c>
      <c r="J85" s="139">
        <f>I85-VLOOKUP(B$2,H1:J227,2,FALSE)</f>
        <v>-6.8192704773333084</v>
      </c>
    </row>
    <row r="86" spans="1:10" ht="21.25" customHeight="1" x14ac:dyDescent="0.15">
      <c r="A86" s="8" t="s">
        <v>397</v>
      </c>
      <c r="B86" s="144" t="str">
        <f>VLOOKUP(A86,'The List'!B1:D727,3,FALSE)</f>
        <v>D</v>
      </c>
      <c r="C86" s="145">
        <f>IF(Settings!$E$15="POINTS",RANK(E86,E3:E227),H86)</f>
        <v>86</v>
      </c>
      <c r="D86" s="35" t="str">
        <f>VLOOKUP(A86,'The List'!B1:F727,5,FALSE)</f>
        <v>TBL</v>
      </c>
      <c r="E86" s="39">
        <f>VLOOKUP(A86,'The List'!B1:I727,8,FALSE)</f>
        <v>161.20417068895219</v>
      </c>
      <c r="F86" s="39">
        <f>IF(Settings!$E$15="POINTS",E86-VLOOKUP(B$2,C1:E227,3,FALSE),J86)</f>
        <v>-150.36131093897527</v>
      </c>
      <c r="G86" s="39"/>
      <c r="H86" s="138">
        <f>RANK(I86,I3:I227)</f>
        <v>108</v>
      </c>
      <c r="I86" s="139">
        <f>VLOOKUP(A86,'Standard Deviations'!A1:C728,3,FALSE)</f>
        <v>-0.88776797618664172</v>
      </c>
      <c r="J86" s="139">
        <f>I86-VLOOKUP(B$2,H1:J227,2,FALSE)</f>
        <v>-6.4329407438708346</v>
      </c>
    </row>
    <row r="87" spans="1:10" ht="21.25" customHeight="1" x14ac:dyDescent="0.15">
      <c r="A87" s="8" t="s">
        <v>389</v>
      </c>
      <c r="B87" s="144" t="str">
        <f>VLOOKUP(A87,'The List'!B1:D727,3,FALSE)</f>
        <v>D</v>
      </c>
      <c r="C87" s="145">
        <f>IF(Settings!$E$15="POINTS",RANK(E87,E3:E227),H87)</f>
        <v>83</v>
      </c>
      <c r="D87" s="35" t="str">
        <f>VLOOKUP(A87,'The List'!B1:F727,5,FALSE)</f>
        <v>LAK</v>
      </c>
      <c r="E87" s="39">
        <f>VLOOKUP(A87,'The List'!B1:I727,8,FALSE)</f>
        <v>164.24728799504925</v>
      </c>
      <c r="F87" s="39">
        <f>IF(Settings!$E$15="POINTS",E87-VLOOKUP(B$2,C1:E227,3,FALSE),J87)</f>
        <v>-147.31819363287821</v>
      </c>
      <c r="G87" s="39"/>
      <c r="H87" s="138">
        <f>RANK(I87,I3:I227)</f>
        <v>87</v>
      </c>
      <c r="I87" s="139">
        <f>VLOOKUP(A87,'Standard Deviations'!A1:C728,3,FALSE)</f>
        <v>-0.23594224521015678</v>
      </c>
      <c r="J87" s="139">
        <f>I87-VLOOKUP(B$2,H1:J227,2,FALSE)</f>
        <v>-5.7811150128943494</v>
      </c>
    </row>
    <row r="88" spans="1:10" ht="21.25" customHeight="1" x14ac:dyDescent="0.15">
      <c r="A88" s="8" t="s">
        <v>385</v>
      </c>
      <c r="B88" s="144" t="str">
        <f>VLOOKUP(A88,'The List'!B1:D727,3,FALSE)</f>
        <v>D</v>
      </c>
      <c r="C88" s="145">
        <f>IF(Settings!$E$15="POINTS",RANK(E88,E3:E227),H88)</f>
        <v>82</v>
      </c>
      <c r="D88" s="35" t="str">
        <f>VLOOKUP(A88,'The List'!B1:F727,5,FALSE)</f>
        <v>DAL</v>
      </c>
      <c r="E88" s="39">
        <f>VLOOKUP(A88,'The List'!B1:I727,8,FALSE)</f>
        <v>165.41463961080629</v>
      </c>
      <c r="F88" s="39">
        <f>IF(Settings!$E$15="POINTS",E88-VLOOKUP(B$2,C1:E227,3,FALSE),J88)</f>
        <v>-146.15084201712116</v>
      </c>
      <c r="G88" s="39"/>
      <c r="H88" s="138">
        <f>RANK(I88,I3:I227)</f>
        <v>49</v>
      </c>
      <c r="I88" s="139">
        <f>VLOOKUP(A88,'Standard Deviations'!A1:C728,3,FALSE)</f>
        <v>1.5213378807718234</v>
      </c>
      <c r="J88" s="139">
        <f>I88-VLOOKUP(B$2,H1:J227,2,FALSE)</f>
        <v>-4.0238348869123692</v>
      </c>
    </row>
    <row r="89" spans="1:10" ht="21.25" customHeight="1" x14ac:dyDescent="0.15">
      <c r="A89" s="8" t="s">
        <v>398</v>
      </c>
      <c r="B89" s="144" t="str">
        <f>VLOOKUP(A89,'The List'!B1:D727,3,FALSE)</f>
        <v>D</v>
      </c>
      <c r="C89" s="145">
        <f>IF(Settings!$E$15="POINTS",RANK(E89,E3:E227),H89)</f>
        <v>87</v>
      </c>
      <c r="D89" s="35" t="str">
        <f>VLOOKUP(A89,'The List'!B1:F727,5,FALSE)</f>
        <v>PHI</v>
      </c>
      <c r="E89" s="39">
        <f>VLOOKUP(A89,'The List'!B1:I727,8,FALSE)</f>
        <v>161.20385883989394</v>
      </c>
      <c r="F89" s="39">
        <f>IF(Settings!$E$15="POINTS",E89-VLOOKUP(B$2,C1:E227,3,FALSE),J89)</f>
        <v>-150.36162278803351</v>
      </c>
      <c r="G89" s="39"/>
      <c r="H89" s="138">
        <f>RANK(I89,I3:I227)</f>
        <v>121</v>
      </c>
      <c r="I89" s="139">
        <f>VLOOKUP(A89,'Standard Deviations'!A1:C728,3,FALSE)</f>
        <v>-1.2832683589060274</v>
      </c>
      <c r="J89" s="139">
        <f>I89-VLOOKUP(B$2,H1:J227,2,FALSE)</f>
        <v>-6.8284411265902198</v>
      </c>
    </row>
    <row r="90" spans="1:10" ht="21.25" customHeight="1" x14ac:dyDescent="0.15">
      <c r="A90" s="8" t="s">
        <v>401</v>
      </c>
      <c r="B90" s="144" t="str">
        <f>VLOOKUP(A90,'The List'!B1:D727,3,FALSE)</f>
        <v>D</v>
      </c>
      <c r="C90" s="145">
        <f>IF(Settings!$E$15="POINTS",RANK(E90,E3:E227),H90)</f>
        <v>89</v>
      </c>
      <c r="D90" s="35" t="str">
        <f>VLOOKUP(A90,'The List'!B1:F727,5,FALSE)</f>
        <v>WSH</v>
      </c>
      <c r="E90" s="39">
        <f>VLOOKUP(A90,'The List'!B1:I727,8,FALSE)</f>
        <v>158.80583084949359</v>
      </c>
      <c r="F90" s="39">
        <f>IF(Settings!$E$15="POINTS",E90-VLOOKUP(B$2,C1:E227,3,FALSE),J90)</f>
        <v>-152.75965077843387</v>
      </c>
      <c r="G90" s="39"/>
      <c r="H90" s="138">
        <f>RANK(I90,I3:I227)</f>
        <v>110</v>
      </c>
      <c r="I90" s="139">
        <f>VLOOKUP(A90,'Standard Deviations'!A1:C728,3,FALSE)</f>
        <v>-0.89804054212105844</v>
      </c>
      <c r="J90" s="139">
        <f>I90-VLOOKUP(B$2,H1:J227,2,FALSE)</f>
        <v>-6.4432133098052509</v>
      </c>
    </row>
    <row r="91" spans="1:10" ht="21.25" customHeight="1" x14ac:dyDescent="0.15">
      <c r="A91" s="8" t="s">
        <v>404</v>
      </c>
      <c r="B91" s="144" t="str">
        <f>VLOOKUP(A91,'The List'!B1:D727,3,FALSE)</f>
        <v>D</v>
      </c>
      <c r="C91" s="145">
        <f>IF(Settings!$E$15="POINTS",RANK(E91,E3:E227),H91)</f>
        <v>90</v>
      </c>
      <c r="D91" s="35" t="str">
        <f>VLOOKUP(A91,'The List'!B1:F727,5,FALSE)</f>
        <v>ARI</v>
      </c>
      <c r="E91" s="39">
        <f>VLOOKUP(A91,'The List'!B1:I727,8,FALSE)</f>
        <v>157.56579772175147</v>
      </c>
      <c r="F91" s="39">
        <f>IF(Settings!$E$15="POINTS",E91-VLOOKUP(B$2,C1:E227,3,FALSE),J91)</f>
        <v>-153.99968390617599</v>
      </c>
      <c r="G91" s="39"/>
      <c r="H91" s="138">
        <f>RANK(I91,I3:I227)</f>
        <v>123</v>
      </c>
      <c r="I91" s="139">
        <f>VLOOKUP(A91,'Standard Deviations'!A1:C728,3,FALSE)</f>
        <v>-1.3254623001145123</v>
      </c>
      <c r="J91" s="139">
        <f>I91-VLOOKUP(B$2,H1:J227,2,FALSE)</f>
        <v>-6.8706350677987054</v>
      </c>
    </row>
    <row r="92" spans="1:10" ht="21.25" customHeight="1" x14ac:dyDescent="0.15">
      <c r="A92" s="8" t="s">
        <v>399</v>
      </c>
      <c r="B92" s="144" t="str">
        <f>VLOOKUP(A92,'The List'!B1:D727,3,FALSE)</f>
        <v>D</v>
      </c>
      <c r="C92" s="145">
        <f>IF(Settings!$E$15="POINTS",RANK(E92,E3:E227),H92)</f>
        <v>88</v>
      </c>
      <c r="D92" s="35" t="str">
        <f>VLOOKUP(A92,'The List'!B1:F727,5,FALSE)</f>
        <v>LAK</v>
      </c>
      <c r="E92" s="39">
        <f>VLOOKUP(A92,'The List'!B1:I727,8,FALSE)</f>
        <v>159.28737845612349</v>
      </c>
      <c r="F92" s="39">
        <f>IF(Settings!$E$15="POINTS",E92-VLOOKUP(B$2,C1:E227,3,FALSE),J92)</f>
        <v>-152.27810317180396</v>
      </c>
      <c r="G92" s="39"/>
      <c r="H92" s="138">
        <f>RANK(I92,I3:I227)</f>
        <v>85</v>
      </c>
      <c r="I92" s="139">
        <f>VLOOKUP(A92,'Standard Deviations'!A1:C728,3,FALSE)</f>
        <v>-0.16996769023977962</v>
      </c>
      <c r="J92" s="139">
        <f>I92-VLOOKUP(B$2,H1:J227,2,FALSE)</f>
        <v>-5.7151404579239724</v>
      </c>
    </row>
    <row r="93" spans="1:10" ht="21.25" customHeight="1" x14ac:dyDescent="0.15">
      <c r="A93" s="8" t="s">
        <v>413</v>
      </c>
      <c r="B93" s="144" t="str">
        <f>VLOOKUP(A93,'The List'!B1:D727,3,FALSE)</f>
        <v>D</v>
      </c>
      <c r="C93" s="145">
        <f>IF(Settings!$E$15="POINTS",RANK(E93,E3:E227),H93)</f>
        <v>91</v>
      </c>
      <c r="D93" s="35" t="str">
        <f>VLOOKUP(A93,'The List'!B1:F727,5,FALSE)</f>
        <v>ANA</v>
      </c>
      <c r="E93" s="39">
        <f>VLOOKUP(A93,'The List'!B1:I727,8,FALSE)</f>
        <v>154.73815201560046</v>
      </c>
      <c r="F93" s="39">
        <f>IF(Settings!$E$15="POINTS",E93-VLOOKUP(B$2,C1:E227,3,FALSE),J93)</f>
        <v>-156.82732961232699</v>
      </c>
      <c r="G93" s="39"/>
      <c r="H93" s="138">
        <f>RANK(I93,I3:I227)</f>
        <v>118</v>
      </c>
      <c r="I93" s="139">
        <f>VLOOKUP(A93,'Standard Deviations'!A1:C728,3,FALSE)</f>
        <v>-1.1357673032868829</v>
      </c>
      <c r="J93" s="139">
        <f>I93-VLOOKUP(B$2,H1:J227,2,FALSE)</f>
        <v>-6.6809400709710758</v>
      </c>
    </row>
    <row r="94" spans="1:10" ht="21.25" customHeight="1" x14ac:dyDescent="0.15">
      <c r="A94" s="8" t="s">
        <v>416</v>
      </c>
      <c r="B94" s="144" t="str">
        <f>VLOOKUP(A94,'The List'!B1:D727,3,FALSE)</f>
        <v>D</v>
      </c>
      <c r="C94" s="145">
        <f>IF(Settings!$E$15="POINTS",RANK(E94,E3:E227),H94)</f>
        <v>92</v>
      </c>
      <c r="D94" s="35" t="str">
        <f>VLOOKUP(A94,'The List'!B1:F727,5,FALSE)</f>
        <v>CAR</v>
      </c>
      <c r="E94" s="39">
        <f>VLOOKUP(A94,'The List'!B1:I727,8,FALSE)</f>
        <v>153.82610547922943</v>
      </c>
      <c r="F94" s="39">
        <f>IF(Settings!$E$15="POINTS",E94-VLOOKUP(B$2,C1:E227,3,FALSE),J94)</f>
        <v>-157.73937614869803</v>
      </c>
      <c r="G94" s="39"/>
      <c r="H94" s="138">
        <f>RANK(I94,I3:I227)</f>
        <v>99</v>
      </c>
      <c r="I94" s="139">
        <f>VLOOKUP(A94,'Standard Deviations'!A1:C728,3,FALSE)</f>
        <v>-0.6876514218910238</v>
      </c>
      <c r="J94" s="139">
        <f>I94-VLOOKUP(B$2,H1:J227,2,FALSE)</f>
        <v>-6.2328241895752168</v>
      </c>
    </row>
    <row r="95" spans="1:10" ht="21.25" customHeight="1" x14ac:dyDescent="0.15">
      <c r="A95" s="8" t="s">
        <v>419</v>
      </c>
      <c r="B95" s="144" t="str">
        <f>VLOOKUP(A95,'The List'!B1:D727,3,FALSE)</f>
        <v>D</v>
      </c>
      <c r="C95" s="145">
        <f>IF(Settings!$E$15="POINTS",RANK(E95,E3:E227),H95)</f>
        <v>93</v>
      </c>
      <c r="D95" s="35" t="str">
        <f>VLOOKUP(A95,'The List'!B1:F727,5,FALSE)</f>
        <v>PIT</v>
      </c>
      <c r="E95" s="39">
        <f>VLOOKUP(A95,'The List'!B1:I727,8,FALSE)</f>
        <v>152.64994446691412</v>
      </c>
      <c r="F95" s="39">
        <f>IF(Settings!$E$15="POINTS",E95-VLOOKUP(B$2,C1:E227,3,FALSE),J95)</f>
        <v>-158.91553716101333</v>
      </c>
      <c r="G95" s="39"/>
      <c r="H95" s="138">
        <f>RANK(I95,I3:I227)</f>
        <v>77</v>
      </c>
      <c r="I95" s="139">
        <f>VLOOKUP(A95,'Standard Deviations'!A1:C728,3,FALSE)</f>
        <v>0.1999445175287119</v>
      </c>
      <c r="J95" s="139">
        <f>I95-VLOOKUP(B$2,H1:J227,2,FALSE)</f>
        <v>-5.3452282501554809</v>
      </c>
    </row>
    <row r="96" spans="1:10" ht="21.25" customHeight="1" x14ac:dyDescent="0.15">
      <c r="A96" s="8" t="s">
        <v>421</v>
      </c>
      <c r="B96" s="144" t="str">
        <f>VLOOKUP(A96,'The List'!B1:D727,3,FALSE)</f>
        <v>D</v>
      </c>
      <c r="C96" s="145">
        <f>IF(Settings!$E$15="POINTS",RANK(E96,E3:E227),H96)</f>
        <v>95</v>
      </c>
      <c r="D96" s="35" t="str">
        <f>VLOOKUP(A96,'The List'!B1:F727,5,FALSE)</f>
        <v>MTL</v>
      </c>
      <c r="E96" s="39">
        <f>VLOOKUP(A96,'The List'!B1:I727,8,FALSE)</f>
        <v>152.09103621944632</v>
      </c>
      <c r="F96" s="39">
        <f>IF(Settings!$E$15="POINTS",E96-VLOOKUP(B$2,C1:E227,3,FALSE),J96)</f>
        <v>-159.47444540848113</v>
      </c>
      <c r="G96" s="39"/>
      <c r="H96" s="138">
        <f>RANK(I96,I3:I227)</f>
        <v>165</v>
      </c>
      <c r="I96" s="139">
        <f>VLOOKUP(A96,'Standard Deviations'!A1:C728,3,FALSE)</f>
        <v>-2.8078731124145722</v>
      </c>
      <c r="J96" s="139">
        <f>I96-VLOOKUP(B$2,H1:J227,2,FALSE)</f>
        <v>-8.3530458800987653</v>
      </c>
    </row>
    <row r="97" spans="1:10" ht="21.25" customHeight="1" x14ac:dyDescent="0.15">
      <c r="A97" s="8" t="s">
        <v>420</v>
      </c>
      <c r="B97" s="144" t="str">
        <f>VLOOKUP(A97,'The List'!B1:D727,3,FALSE)</f>
        <v>D</v>
      </c>
      <c r="C97" s="145">
        <f>IF(Settings!$E$15="POINTS",RANK(E97,E3:E227),H97)</f>
        <v>94</v>
      </c>
      <c r="D97" s="35" t="str">
        <f>VLOOKUP(A97,'The List'!B1:F727,5,FALSE)</f>
        <v>NYI</v>
      </c>
      <c r="E97" s="39">
        <f>VLOOKUP(A97,'The List'!B1:I727,8,FALSE)</f>
        <v>152.41357013442607</v>
      </c>
      <c r="F97" s="39">
        <f>IF(Settings!$E$15="POINTS",E97-VLOOKUP(B$2,C1:E227,3,FALSE),J97)</f>
        <v>-159.15191149350139</v>
      </c>
      <c r="G97" s="39"/>
      <c r="H97" s="138">
        <f>RANK(I97,I3:I227)</f>
        <v>81</v>
      </c>
      <c r="I97" s="139">
        <f>VLOOKUP(A97,'Standard Deviations'!A1:C728,3,FALSE)</f>
        <v>9.5119829812901693E-3</v>
      </c>
      <c r="J97" s="139">
        <f>I97-VLOOKUP(B$2,H1:J227,2,FALSE)</f>
        <v>-5.5356607847029027</v>
      </c>
    </row>
    <row r="98" spans="1:10" ht="21.25" customHeight="1" x14ac:dyDescent="0.15">
      <c r="A98" s="8" t="s">
        <v>427</v>
      </c>
      <c r="B98" s="144" t="str">
        <f>VLOOKUP(A98,'The List'!B1:D727,3,FALSE)</f>
        <v>D</v>
      </c>
      <c r="C98" s="145">
        <f>IF(Settings!$E$15="POINTS",RANK(E98,E3:E227),H98)</f>
        <v>97</v>
      </c>
      <c r="D98" s="35" t="str">
        <f>VLOOKUP(A98,'The List'!B1:F727,5,FALSE)</f>
        <v>WPG</v>
      </c>
      <c r="E98" s="39">
        <f>VLOOKUP(A98,'The List'!B1:I727,8,FALSE)</f>
        <v>150.16710158224225</v>
      </c>
      <c r="F98" s="39">
        <f>IF(Settings!$E$15="POINTS",E98-VLOOKUP(B$2,C1:E227,3,FALSE),J98)</f>
        <v>-161.3983800456852</v>
      </c>
      <c r="G98" s="39"/>
      <c r="H98" s="138">
        <f>RANK(I98,I3:I227)</f>
        <v>96</v>
      </c>
      <c r="I98" s="139">
        <f>VLOOKUP(A98,'Standard Deviations'!A1:C728,3,FALSE)</f>
        <v>-0.56606287021222623</v>
      </c>
      <c r="J98" s="139">
        <f>I98-VLOOKUP(B$2,H1:J227,2,FALSE)</f>
        <v>-6.111235637896419</v>
      </c>
    </row>
    <row r="99" spans="1:10" ht="21.25" customHeight="1" x14ac:dyDescent="0.15">
      <c r="A99" s="8" t="s">
        <v>424</v>
      </c>
      <c r="B99" s="144" t="str">
        <f>VLOOKUP(A99,'The List'!B1:D727,3,FALSE)</f>
        <v>D</v>
      </c>
      <c r="C99" s="145">
        <f>IF(Settings!$E$15="POINTS",RANK(E99,E3:E227),H99)</f>
        <v>96</v>
      </c>
      <c r="D99" s="35" t="str">
        <f>VLOOKUP(A99,'The List'!B1:F727,5,FALSE)</f>
        <v>SJS</v>
      </c>
      <c r="E99" s="39">
        <f>VLOOKUP(A99,'The List'!B1:I727,8,FALSE)</f>
        <v>150.95949698066937</v>
      </c>
      <c r="F99" s="39">
        <f>IF(Settings!$E$15="POINTS",E99-VLOOKUP(B$2,C1:E227,3,FALSE),J99)</f>
        <v>-160.60598464725808</v>
      </c>
      <c r="G99" s="39"/>
      <c r="H99" s="138">
        <f>RANK(I99,I3:I227)</f>
        <v>109</v>
      </c>
      <c r="I99" s="139">
        <f>VLOOKUP(A99,'Standard Deviations'!A1:C728,3,FALSE)</f>
        <v>-0.89152345584411097</v>
      </c>
      <c r="J99" s="139">
        <f>I99-VLOOKUP(B$2,H1:J227,2,FALSE)</f>
        <v>-6.4366962235283038</v>
      </c>
    </row>
    <row r="100" spans="1:10" ht="21.25" customHeight="1" x14ac:dyDescent="0.15">
      <c r="A100" s="8" t="s">
        <v>429</v>
      </c>
      <c r="B100" s="144" t="str">
        <f>VLOOKUP(A100,'The List'!B1:D727,3,FALSE)</f>
        <v>D</v>
      </c>
      <c r="C100" s="145">
        <f>IF(Settings!$E$15="POINTS",RANK(E100,E3:E227),H100)</f>
        <v>99</v>
      </c>
      <c r="D100" s="35" t="str">
        <f>VLOOKUP(A100,'The List'!B1:F727,5,FALSE)</f>
        <v>CBJ</v>
      </c>
      <c r="E100" s="39">
        <f>VLOOKUP(A100,'The List'!B1:I727,8,FALSE)</f>
        <v>149.12886191845334</v>
      </c>
      <c r="F100" s="39">
        <f>IF(Settings!$E$15="POINTS",E100-VLOOKUP(B$2,C1:E227,3,FALSE),J100)</f>
        <v>-162.43661970947412</v>
      </c>
      <c r="G100" s="39"/>
      <c r="H100" s="138">
        <f>RANK(I100,I3:I227)</f>
        <v>163</v>
      </c>
      <c r="I100" s="139">
        <f>VLOOKUP(A100,'Standard Deviations'!A1:C728,3,FALSE)</f>
        <v>-2.7188996620652652</v>
      </c>
      <c r="J100" s="139">
        <f>I100-VLOOKUP(B$2,H1:J227,2,FALSE)</f>
        <v>-8.2640724297494579</v>
      </c>
    </row>
    <row r="101" spans="1:10" ht="21.25" customHeight="1" x14ac:dyDescent="0.15">
      <c r="A101" s="8" t="s">
        <v>432</v>
      </c>
      <c r="B101" s="144" t="str">
        <f>VLOOKUP(A101,'The List'!B1:D727,3,FALSE)</f>
        <v>D</v>
      </c>
      <c r="C101" s="145">
        <f>IF(Settings!$E$15="POINTS",RANK(E101,E3:E227),H101)</f>
        <v>100</v>
      </c>
      <c r="D101" s="35" t="str">
        <f>VLOOKUP(A101,'The List'!B1:F727,5,FALSE)</f>
        <v>BOS</v>
      </c>
      <c r="E101" s="39">
        <f>VLOOKUP(A101,'The List'!B1:I727,8,FALSE)</f>
        <v>147.5987347363704</v>
      </c>
      <c r="F101" s="39">
        <f>IF(Settings!$E$15="POINTS",E101-VLOOKUP(B$2,C1:E227,3,FALSE),J101)</f>
        <v>-163.96674689155705</v>
      </c>
      <c r="G101" s="39"/>
      <c r="H101" s="138">
        <f>RANK(I101,I3:I227)</f>
        <v>75</v>
      </c>
      <c r="I101" s="139">
        <f>VLOOKUP(A101,'Standard Deviations'!A1:C728,3,FALSE)</f>
        <v>0.23089874848523229</v>
      </c>
      <c r="J101" s="139">
        <f>I101-VLOOKUP(B$2,H1:J227,2,FALSE)</f>
        <v>-5.3142740191989599</v>
      </c>
    </row>
    <row r="102" spans="1:10" ht="21.25" customHeight="1" x14ac:dyDescent="0.15">
      <c r="A102" s="8" t="s">
        <v>428</v>
      </c>
      <c r="B102" s="144" t="str">
        <f>VLOOKUP(A102,'The List'!B1:D727,3,FALSE)</f>
        <v>D</v>
      </c>
      <c r="C102" s="145">
        <f>IF(Settings!$E$15="POINTS",RANK(E102,E3:E227),H102)</f>
        <v>98</v>
      </c>
      <c r="D102" s="35" t="str">
        <f>VLOOKUP(A102,'The List'!B1:F727,5,FALSE)</f>
        <v>TOR</v>
      </c>
      <c r="E102" s="39">
        <f>VLOOKUP(A102,'The List'!B1:I727,8,FALSE)</f>
        <v>149.14144371363494</v>
      </c>
      <c r="F102" s="39">
        <f>IF(Settings!$E$15="POINTS",E102-VLOOKUP(B$2,C1:E227,3,FALSE),J102)</f>
        <v>-162.42403791429251</v>
      </c>
      <c r="G102" s="39"/>
      <c r="H102" s="138">
        <f>RANK(I102,I3:I227)</f>
        <v>71</v>
      </c>
      <c r="I102" s="139">
        <f>VLOOKUP(A102,'Standard Deviations'!A1:C728,3,FALSE)</f>
        <v>0.60243333892615158</v>
      </c>
      <c r="J102" s="139">
        <f>I102-VLOOKUP(B$2,H1:J227,2,FALSE)</f>
        <v>-4.9427394287580411</v>
      </c>
    </row>
    <row r="103" spans="1:10" ht="21.25" customHeight="1" x14ac:dyDescent="0.15">
      <c r="A103" s="8" t="s">
        <v>439</v>
      </c>
      <c r="B103" s="144" t="str">
        <f>VLOOKUP(A103,'The List'!B1:D727,3,FALSE)</f>
        <v>D</v>
      </c>
      <c r="C103" s="145">
        <f>IF(Settings!$E$15="POINTS",RANK(E103,E3:E227),H103)</f>
        <v>102</v>
      </c>
      <c r="D103" s="35" t="str">
        <f>VLOOKUP(A103,'The List'!B1:F727,5,FALSE)</f>
        <v>NSH</v>
      </c>
      <c r="E103" s="39">
        <f>VLOOKUP(A103,'The List'!B1:I727,8,FALSE)</f>
        <v>144.42416802666773</v>
      </c>
      <c r="F103" s="39">
        <f>IF(Settings!$E$15="POINTS",E103-VLOOKUP(B$2,C1:E227,3,FALSE),J103)</f>
        <v>-167.14131360125972</v>
      </c>
      <c r="G103" s="39"/>
      <c r="H103" s="138">
        <f>RANK(I103,I3:I227)</f>
        <v>88</v>
      </c>
      <c r="I103" s="139">
        <f>VLOOKUP(A103,'Standard Deviations'!A1:C728,3,FALSE)</f>
        <v>-0.26199553509793927</v>
      </c>
      <c r="J103" s="139">
        <f>I103-VLOOKUP(B$2,H1:J227,2,FALSE)</f>
        <v>-5.8071683027821317</v>
      </c>
    </row>
    <row r="104" spans="1:10" ht="21.25" customHeight="1" x14ac:dyDescent="0.15">
      <c r="A104" s="8" t="s">
        <v>438</v>
      </c>
      <c r="B104" s="144" t="str">
        <f>VLOOKUP(A104,'The List'!B1:D727,3,FALSE)</f>
        <v>D</v>
      </c>
      <c r="C104" s="145">
        <f>IF(Settings!$E$15="POINTS",RANK(E104,E3:E227),H104)</f>
        <v>101</v>
      </c>
      <c r="D104" s="35" t="str">
        <f>VLOOKUP(A104,'The List'!B1:F727,5,FALSE)</f>
        <v>TBL</v>
      </c>
      <c r="E104" s="39">
        <f>VLOOKUP(A104,'The List'!B1:I727,8,FALSE)</f>
        <v>145.32489795329761</v>
      </c>
      <c r="F104" s="39">
        <f>IF(Settings!$E$15="POINTS",E104-VLOOKUP(B$2,C1:E227,3,FALSE),J104)</f>
        <v>-166.24058367462985</v>
      </c>
      <c r="G104" s="39"/>
      <c r="H104" s="138">
        <f>RANK(I104,I3:I227)</f>
        <v>114</v>
      </c>
      <c r="I104" s="139">
        <f>VLOOKUP(A104,'Standard Deviations'!A1:C728,3,FALSE)</f>
        <v>-1.0530787227701903</v>
      </c>
      <c r="J104" s="139">
        <f>I104-VLOOKUP(B$2,H1:J227,2,FALSE)</f>
        <v>-6.5982514904543832</v>
      </c>
    </row>
    <row r="105" spans="1:10" ht="21.25" customHeight="1" x14ac:dyDescent="0.15">
      <c r="A105" s="8" t="s">
        <v>442</v>
      </c>
      <c r="B105" s="144" t="str">
        <f>VLOOKUP(A105,'The List'!B1:D727,3,FALSE)</f>
        <v>D</v>
      </c>
      <c r="C105" s="145">
        <f>IF(Settings!$E$15="POINTS",RANK(E105,E3:E227),H105)</f>
        <v>103</v>
      </c>
      <c r="D105" s="35" t="str">
        <f>VLOOKUP(A105,'The List'!B1:F727,5,FALSE)</f>
        <v>WSH</v>
      </c>
      <c r="E105" s="39">
        <f>VLOOKUP(A105,'The List'!B1:I727,8,FALSE)</f>
        <v>143.68651467965137</v>
      </c>
      <c r="F105" s="39">
        <f>IF(Settings!$E$15="POINTS",E105-VLOOKUP(B$2,C1:E227,3,FALSE),J105)</f>
        <v>-167.87896694827609</v>
      </c>
      <c r="G105" s="39"/>
      <c r="H105" s="138">
        <f>RANK(I105,I3:I227)</f>
        <v>134</v>
      </c>
      <c r="I105" s="139">
        <f>VLOOKUP(A105,'Standard Deviations'!A1:C728,3,FALSE)</f>
        <v>-1.6373771482128763</v>
      </c>
      <c r="J105" s="139">
        <f>I105-VLOOKUP(B$2,H1:J227,2,FALSE)</f>
        <v>-7.1825499158970691</v>
      </c>
    </row>
    <row r="106" spans="1:10" ht="21.25" customHeight="1" x14ac:dyDescent="0.15">
      <c r="A106" s="8" t="s">
        <v>449</v>
      </c>
      <c r="B106" s="144" t="str">
        <f>VLOOKUP(A106,'The List'!B1:D727,3,FALSE)</f>
        <v>D</v>
      </c>
      <c r="C106" s="145">
        <f>IF(Settings!$E$15="POINTS",RANK(E106,E3:E227),H106)</f>
        <v>105</v>
      </c>
      <c r="D106" s="35" t="str">
        <f>VLOOKUP(A106,'The List'!B1:F727,5,FALSE)</f>
        <v>NYR</v>
      </c>
      <c r="E106" s="39">
        <f>VLOOKUP(A106,'The List'!B1:I727,8,FALSE)</f>
        <v>140.76566402921011</v>
      </c>
      <c r="F106" s="39">
        <f>IF(Settings!$E$15="POINTS",E106-VLOOKUP(B$2,C1:E227,3,FALSE),J106)</f>
        <v>-170.79981759871734</v>
      </c>
      <c r="G106" s="39"/>
      <c r="H106" s="138">
        <f>RANK(I106,I3:I227)</f>
        <v>106</v>
      </c>
      <c r="I106" s="139">
        <f>VLOOKUP(A106,'Standard Deviations'!A1:C728,3,FALSE)</f>
        <v>-0.82334914127163361</v>
      </c>
      <c r="J106" s="139">
        <f>I106-VLOOKUP(B$2,H1:J227,2,FALSE)</f>
        <v>-6.3685219089558265</v>
      </c>
    </row>
    <row r="107" spans="1:10" ht="21.25" customHeight="1" x14ac:dyDescent="0.15">
      <c r="A107" s="8" t="s">
        <v>448</v>
      </c>
      <c r="B107" s="144" t="str">
        <f>VLOOKUP(A107,'The List'!B1:D727,3,FALSE)</f>
        <v>D</v>
      </c>
      <c r="C107" s="145">
        <f>IF(Settings!$E$15="POINTS",RANK(E107,E3:E227),H107)</f>
        <v>104</v>
      </c>
      <c r="D107" s="35" t="str">
        <f>VLOOKUP(A107,'The List'!B1:F727,5,FALSE)</f>
        <v>VAN</v>
      </c>
      <c r="E107" s="39">
        <f>VLOOKUP(A107,'The List'!B1:I727,8,FALSE)</f>
        <v>141.20159749861526</v>
      </c>
      <c r="F107" s="39">
        <f>IF(Settings!$E$15="POINTS",E107-VLOOKUP(B$2,C1:E227,3,FALSE),J107)</f>
        <v>-170.3638841293122</v>
      </c>
      <c r="G107" s="39"/>
      <c r="H107" s="138">
        <f>RANK(I107,I3:I227)</f>
        <v>105</v>
      </c>
      <c r="I107" s="139">
        <f>VLOOKUP(A107,'Standard Deviations'!A1:C728,3,FALSE)</f>
        <v>-0.82019224784026901</v>
      </c>
      <c r="J107" s="139">
        <f>I107-VLOOKUP(B$2,H1:J227,2,FALSE)</f>
        <v>-6.3653650155244614</v>
      </c>
    </row>
    <row r="108" spans="1:10" ht="21.25" customHeight="1" x14ac:dyDescent="0.15">
      <c r="A108" s="8" t="s">
        <v>457</v>
      </c>
      <c r="B108" s="144" t="str">
        <f>VLOOKUP(A108,'The List'!B1:D727,3,FALSE)</f>
        <v>D</v>
      </c>
      <c r="C108" s="145">
        <f>IF(Settings!$E$15="POINTS",RANK(E108,E3:E227),H108)</f>
        <v>107</v>
      </c>
      <c r="D108" s="35" t="str">
        <f>VLOOKUP(A108,'The List'!B1:F727,5,FALSE)</f>
        <v>CBJ</v>
      </c>
      <c r="E108" s="39">
        <f>VLOOKUP(A108,'The List'!B1:I727,8,FALSE)</f>
        <v>138.83121011357775</v>
      </c>
      <c r="F108" s="39">
        <f>IF(Settings!$E$15="POINTS",E108-VLOOKUP(B$2,C1:E227,3,FALSE),J108)</f>
        <v>-172.7342715143497</v>
      </c>
      <c r="G108" s="39"/>
      <c r="H108" s="138">
        <f>RANK(I108,I3:I227)</f>
        <v>136</v>
      </c>
      <c r="I108" s="139">
        <f>VLOOKUP(A108,'Standard Deviations'!A1:C728,3,FALSE)</f>
        <v>-1.7532983368594501</v>
      </c>
      <c r="J108" s="139">
        <f>I108-VLOOKUP(B$2,H1:J227,2,FALSE)</f>
        <v>-7.2984711045436423</v>
      </c>
    </row>
    <row r="109" spans="1:10" ht="21.25" customHeight="1" x14ac:dyDescent="0.15">
      <c r="A109" s="8" t="s">
        <v>453</v>
      </c>
      <c r="B109" s="144" t="str">
        <f>VLOOKUP(A109,'The List'!B1:D727,3,FALSE)</f>
        <v>D</v>
      </c>
      <c r="C109" s="145">
        <f>IF(Settings!$E$15="POINTS",RANK(E109,E3:E227),H109)</f>
        <v>106</v>
      </c>
      <c r="D109" s="35" t="str">
        <f>VLOOKUP(A109,'The List'!B1:F727,5,FALSE)</f>
        <v>VGK</v>
      </c>
      <c r="E109" s="39">
        <f>VLOOKUP(A109,'The List'!B1:I727,8,FALSE)</f>
        <v>139.76353604815787</v>
      </c>
      <c r="F109" s="39">
        <f>IF(Settings!$E$15="POINTS",E109-VLOOKUP(B$2,C1:E227,3,FALSE),J109)</f>
        <v>-171.80194557976958</v>
      </c>
      <c r="G109" s="39"/>
      <c r="H109" s="138">
        <f>RANK(I109,I3:I227)</f>
        <v>53</v>
      </c>
      <c r="I109" s="139">
        <f>VLOOKUP(A109,'Standard Deviations'!A1:C728,3,FALSE)</f>
        <v>1.3772211162135588</v>
      </c>
      <c r="J109" s="139">
        <f>I109-VLOOKUP(B$2,H1:J227,2,FALSE)</f>
        <v>-4.1679516514706343</v>
      </c>
    </row>
    <row r="110" spans="1:10" ht="21.25" customHeight="1" x14ac:dyDescent="0.15">
      <c r="A110" s="8" t="s">
        <v>460</v>
      </c>
      <c r="B110" s="144" t="str">
        <f>VLOOKUP(A110,'The List'!B1:D727,3,FALSE)</f>
        <v>D</v>
      </c>
      <c r="C110" s="145">
        <f>IF(Settings!$E$15="POINTS",RANK(E110,E3:E227),H110)</f>
        <v>109</v>
      </c>
      <c r="D110" s="35" t="str">
        <f>VLOOKUP(A110,'The List'!B1:F727,5,FALSE)</f>
        <v>DET</v>
      </c>
      <c r="E110" s="39">
        <f>VLOOKUP(A110,'The List'!B1:I727,8,FALSE)</f>
        <v>137.32976872475567</v>
      </c>
      <c r="F110" s="39">
        <f>IF(Settings!$E$15="POINTS",E110-VLOOKUP(B$2,C1:E227,3,FALSE),J110)</f>
        <v>-174.23571290317179</v>
      </c>
      <c r="G110" s="39"/>
      <c r="H110" s="138">
        <f>RANK(I110,I3:I227)</f>
        <v>146</v>
      </c>
      <c r="I110" s="139">
        <f>VLOOKUP(A110,'Standard Deviations'!A1:C728,3,FALSE)</f>
        <v>-2.0169276778810308</v>
      </c>
      <c r="J110" s="139">
        <f>I110-VLOOKUP(B$2,H1:J227,2,FALSE)</f>
        <v>-7.562100445565223</v>
      </c>
    </row>
    <row r="111" spans="1:10" ht="21.25" customHeight="1" x14ac:dyDescent="0.15">
      <c r="A111" s="8" t="s">
        <v>464</v>
      </c>
      <c r="B111" s="144" t="str">
        <f>VLOOKUP(A111,'The List'!B1:D727,3,FALSE)</f>
        <v>D</v>
      </c>
      <c r="C111" s="145">
        <f>IF(Settings!$E$15="POINTS",RANK(E111,E3:E227),H111)</f>
        <v>111</v>
      </c>
      <c r="D111" s="35" t="str">
        <f>VLOOKUP(A111,'The List'!B1:F727,5,FALSE)</f>
        <v>VGK</v>
      </c>
      <c r="E111" s="39">
        <f>VLOOKUP(A111,'The List'!B1:I727,8,FALSE)</f>
        <v>136.39356856080929</v>
      </c>
      <c r="F111" s="39">
        <f>IF(Settings!$E$15="POINTS",E111-VLOOKUP(B$2,C1:E227,3,FALSE),J111)</f>
        <v>-175.17191306711817</v>
      </c>
      <c r="G111" s="39"/>
      <c r="H111" s="138">
        <f>RANK(I111,I3:I227)</f>
        <v>45</v>
      </c>
      <c r="I111" s="139">
        <f>VLOOKUP(A111,'Standard Deviations'!A1:C728,3,FALSE)</f>
        <v>1.9408565269461051</v>
      </c>
      <c r="J111" s="139">
        <f>I111-VLOOKUP(B$2,H1:J227,2,FALSE)</f>
        <v>-3.6043162407380875</v>
      </c>
    </row>
    <row r="112" spans="1:10" ht="21.25" customHeight="1" x14ac:dyDescent="0.15">
      <c r="A112" s="8" t="s">
        <v>465</v>
      </c>
      <c r="B112" s="144" t="str">
        <f>VLOOKUP(A112,'The List'!B1:D727,3,FALSE)</f>
        <v>D</v>
      </c>
      <c r="C112" s="145">
        <f>IF(Settings!$E$15="POINTS",RANK(E112,E3:E227),H112)</f>
        <v>112</v>
      </c>
      <c r="D112" s="35" t="str">
        <f>VLOOKUP(A112,'The List'!B1:F727,5,FALSE)</f>
        <v>CGY</v>
      </c>
      <c r="E112" s="39">
        <f>VLOOKUP(A112,'The List'!B1:I727,8,FALSE)</f>
        <v>136.26218739472907</v>
      </c>
      <c r="F112" s="39">
        <f>IF(Settings!$E$15="POINTS",E112-VLOOKUP(B$2,C1:E227,3,FALSE),J112)</f>
        <v>-175.30329423319839</v>
      </c>
      <c r="G112" s="39"/>
      <c r="H112" s="138">
        <f>RANK(I112,I3:I227)</f>
        <v>116</v>
      </c>
      <c r="I112" s="139">
        <f>VLOOKUP(A112,'Standard Deviations'!A1:C728,3,FALSE)</f>
        <v>-1.0864343299168588</v>
      </c>
      <c r="J112" s="139">
        <f>I112-VLOOKUP(B$2,H1:J227,2,FALSE)</f>
        <v>-6.6316070976010515</v>
      </c>
    </row>
    <row r="113" spans="1:10" ht="21.25" customHeight="1" x14ac:dyDescent="0.15">
      <c r="A113" s="8" t="s">
        <v>463</v>
      </c>
      <c r="B113" s="144" t="str">
        <f>VLOOKUP(A113,'The List'!B1:D727,3,FALSE)</f>
        <v>D</v>
      </c>
      <c r="C113" s="145">
        <f>IF(Settings!$E$15="POINTS",RANK(E113,E3:E227),H113)</f>
        <v>110</v>
      </c>
      <c r="D113" s="35" t="str">
        <f>VLOOKUP(A113,'The List'!B1:F727,5,FALSE)</f>
        <v>BUF</v>
      </c>
      <c r="E113" s="39">
        <f>VLOOKUP(A113,'The List'!B1:I727,8,FALSE)</f>
        <v>136.59002096748554</v>
      </c>
      <c r="F113" s="39">
        <f>IF(Settings!$E$15="POINTS",E113-VLOOKUP(B$2,C1:E227,3,FALSE),J113)</f>
        <v>-174.97546066044191</v>
      </c>
      <c r="G113" s="39"/>
      <c r="H113" s="138">
        <f>RANK(I113,I3:I227)</f>
        <v>130</v>
      </c>
      <c r="I113" s="139">
        <f>VLOOKUP(A113,'Standard Deviations'!A1:C728,3,FALSE)</f>
        <v>-1.5879367984441108</v>
      </c>
      <c r="J113" s="139">
        <f>I113-VLOOKUP(B$2,H1:J227,2,FALSE)</f>
        <v>-7.1331095661283035</v>
      </c>
    </row>
    <row r="114" spans="1:10" ht="21.25" customHeight="1" x14ac:dyDescent="0.15">
      <c r="A114" s="8" t="s">
        <v>467</v>
      </c>
      <c r="B114" s="144" t="str">
        <f>VLOOKUP(A114,'The List'!B1:D727,3,FALSE)</f>
        <v>D</v>
      </c>
      <c r="C114" s="145">
        <f>IF(Settings!$E$15="POINTS",RANK(E114,E3:E227),H114)</f>
        <v>113</v>
      </c>
      <c r="D114" s="35" t="str">
        <f>VLOOKUP(A114,'The List'!B1:F727,5,FALSE)</f>
        <v>TOR</v>
      </c>
      <c r="E114" s="39">
        <f>VLOOKUP(A114,'The List'!B1:I727,8,FALSE)</f>
        <v>135.27251950294377</v>
      </c>
      <c r="F114" s="39">
        <f>IF(Settings!$E$15="POINTS",E114-VLOOKUP(B$2,C1:E227,3,FALSE),J114)</f>
        <v>-176.29296212498369</v>
      </c>
      <c r="G114" s="39"/>
      <c r="H114" s="138">
        <f>RANK(I114,I3:I227)</f>
        <v>72</v>
      </c>
      <c r="I114" s="139">
        <f>VLOOKUP(A114,'Standard Deviations'!A1:C728,3,FALSE)</f>
        <v>0.59371066456006805</v>
      </c>
      <c r="J114" s="139">
        <f>I114-VLOOKUP(B$2,H1:J227,2,FALSE)</f>
        <v>-4.9514621031241246</v>
      </c>
    </row>
    <row r="115" spans="1:10" ht="21.25" customHeight="1" x14ac:dyDescent="0.15">
      <c r="A115" s="8" t="s">
        <v>459</v>
      </c>
      <c r="B115" s="144" t="str">
        <f>VLOOKUP(A115,'The List'!B1:D727,3,FALSE)</f>
        <v>D</v>
      </c>
      <c r="C115" s="145">
        <f>IF(Settings!$E$15="POINTS",RANK(E115,E3:E227),H115)</f>
        <v>108</v>
      </c>
      <c r="D115" s="35" t="str">
        <f>VLOOKUP(A115,'The List'!B1:F727,5,FALSE)</f>
        <v>NJD</v>
      </c>
      <c r="E115" s="39">
        <f>VLOOKUP(A115,'The List'!B1:I727,8,FALSE)</f>
        <v>137.93862567550397</v>
      </c>
      <c r="F115" s="39">
        <f>IF(Settings!$E$15="POINTS",E115-VLOOKUP(B$2,C1:E227,3,FALSE),J115)</f>
        <v>-173.62685595242348</v>
      </c>
      <c r="G115" s="39"/>
      <c r="H115" s="138">
        <f>RANK(I115,I3:I227)</f>
        <v>131</v>
      </c>
      <c r="I115" s="139">
        <f>VLOOKUP(A115,'Standard Deviations'!A1:C728,3,FALSE)</f>
        <v>-1.6015183873324252</v>
      </c>
      <c r="J115" s="139">
        <f>I115-VLOOKUP(B$2,H1:J227,2,FALSE)</f>
        <v>-7.1466911550166179</v>
      </c>
    </row>
    <row r="116" spans="1:10" ht="21.25" customHeight="1" x14ac:dyDescent="0.15">
      <c r="A116" s="8" t="s">
        <v>470</v>
      </c>
      <c r="B116" s="144" t="str">
        <f>VLOOKUP(A116,'The List'!B1:D727,3,FALSE)</f>
        <v>D</v>
      </c>
      <c r="C116" s="145">
        <f>IF(Settings!$E$15="POINTS",RANK(E116,E3:E227),H116)</f>
        <v>116</v>
      </c>
      <c r="D116" s="35" t="str">
        <f>VLOOKUP(A116,'The List'!B1:F727,5,FALSE)</f>
        <v>VGK</v>
      </c>
      <c r="E116" s="39">
        <f>VLOOKUP(A116,'The List'!B1:I727,8,FALSE)</f>
        <v>134.29875521731151</v>
      </c>
      <c r="F116" s="39">
        <f>IF(Settings!$E$15="POINTS",E116-VLOOKUP(B$2,C1:E227,3,FALSE),J116)</f>
        <v>-177.26672641061595</v>
      </c>
      <c r="G116" s="39"/>
      <c r="H116" s="138">
        <f>RANK(I116,I3:I227)</f>
        <v>92</v>
      </c>
      <c r="I116" s="139">
        <f>VLOOKUP(A116,'Standard Deviations'!A1:C728,3,FALSE)</f>
        <v>-0.31187983064586056</v>
      </c>
      <c r="J116" s="139">
        <f>I116-VLOOKUP(B$2,H1:J227,2,FALSE)</f>
        <v>-5.8570525983300534</v>
      </c>
    </row>
    <row r="117" spans="1:10" ht="21.25" customHeight="1" x14ac:dyDescent="0.15">
      <c r="A117" s="8" t="s">
        <v>469</v>
      </c>
      <c r="B117" s="144" t="str">
        <f>VLOOKUP(A117,'The List'!B1:D727,3,FALSE)</f>
        <v>D</v>
      </c>
      <c r="C117" s="145">
        <f>IF(Settings!$E$15="POINTS",RANK(E117,E3:E227),H117)</f>
        <v>115</v>
      </c>
      <c r="D117" s="35" t="str">
        <f>VLOOKUP(A117,'The List'!B1:F727,5,FALSE)</f>
        <v>NJD</v>
      </c>
      <c r="E117" s="39">
        <f>VLOOKUP(A117,'The List'!B1:I727,8,FALSE)</f>
        <v>134.5159235713995</v>
      </c>
      <c r="F117" s="39">
        <f>IF(Settings!$E$15="POINTS",E117-VLOOKUP(B$2,C1:E227,3,FALSE),J117)</f>
        <v>-177.04955805652796</v>
      </c>
      <c r="G117" s="39"/>
      <c r="H117" s="138">
        <f>RANK(I117,I3:I227)</f>
        <v>98</v>
      </c>
      <c r="I117" s="139">
        <f>VLOOKUP(A117,'Standard Deviations'!A1:C728,3,FALSE)</f>
        <v>-0.62501004897133383</v>
      </c>
      <c r="J117" s="139">
        <f>I117-VLOOKUP(B$2,H1:J227,2,FALSE)</f>
        <v>-6.1701828166555268</v>
      </c>
    </row>
    <row r="118" spans="1:10" ht="21.25" customHeight="1" x14ac:dyDescent="0.15">
      <c r="A118" s="8" t="s">
        <v>472</v>
      </c>
      <c r="B118" s="144" t="str">
        <f>VLOOKUP(A118,'The List'!B1:D727,3,FALSE)</f>
        <v>D</v>
      </c>
      <c r="C118" s="145">
        <f>IF(Settings!$E$15="POINTS",RANK(E118,E3:E227),H118)</f>
        <v>117</v>
      </c>
      <c r="D118" s="35" t="str">
        <f>VLOOKUP(A118,'The List'!B1:F727,5,FALSE)</f>
        <v>LAK</v>
      </c>
      <c r="E118" s="39">
        <f>VLOOKUP(A118,'The List'!B1:I727,8,FALSE)</f>
        <v>133.86066740273873</v>
      </c>
      <c r="F118" s="39">
        <f>IF(Settings!$E$15="POINTS",E118-VLOOKUP(B$2,C1:E227,3,FALSE),J118)</f>
        <v>-177.70481422518873</v>
      </c>
      <c r="G118" s="39"/>
      <c r="H118" s="138">
        <f>RANK(I118,I3:I227)</f>
        <v>117</v>
      </c>
      <c r="I118" s="139">
        <f>VLOOKUP(A118,'Standard Deviations'!A1:C728,3,FALSE)</f>
        <v>-1.0880712404816362</v>
      </c>
      <c r="J118" s="139">
        <f>I118-VLOOKUP(B$2,H1:J227,2,FALSE)</f>
        <v>-6.6332440081658284</v>
      </c>
    </row>
    <row r="119" spans="1:10" ht="21.25" customHeight="1" x14ac:dyDescent="0.15">
      <c r="A119" s="8" t="s">
        <v>480</v>
      </c>
      <c r="B119" s="144" t="str">
        <f>VLOOKUP(A119,'The List'!B1:D727,3,FALSE)</f>
        <v>D</v>
      </c>
      <c r="C119" s="145">
        <f>IF(Settings!$E$15="POINTS",RANK(E119,E3:E227),H119)</f>
        <v>119</v>
      </c>
      <c r="D119" s="35" t="str">
        <f>VLOOKUP(A119,'The List'!B1:F727,5,FALSE)</f>
        <v>CBJ</v>
      </c>
      <c r="E119" s="39">
        <f>VLOOKUP(A119,'The List'!B1:I727,8,FALSE)</f>
        <v>132.03735293474594</v>
      </c>
      <c r="F119" s="39">
        <f>IF(Settings!$E$15="POINTS",E119-VLOOKUP(B$2,C1:E227,3,FALSE),J119)</f>
        <v>-179.52812869318151</v>
      </c>
      <c r="G119" s="39"/>
      <c r="H119" s="138">
        <f>RANK(I119,I3:I227)</f>
        <v>173</v>
      </c>
      <c r="I119" s="139">
        <f>VLOOKUP(A119,'Standard Deviations'!A1:C728,3,FALSE)</f>
        <v>-3.1566838834610125</v>
      </c>
      <c r="J119" s="139">
        <f>I119-VLOOKUP(B$2,H1:J227,2,FALSE)</f>
        <v>-8.7018566511452047</v>
      </c>
    </row>
    <row r="120" spans="1:10" ht="21.25" customHeight="1" x14ac:dyDescent="0.15">
      <c r="A120" s="8" t="s">
        <v>484</v>
      </c>
      <c r="B120" s="144" t="str">
        <f>VLOOKUP(A120,'The List'!B1:D727,3,FALSE)</f>
        <v>D</v>
      </c>
      <c r="C120" s="145">
        <f>IF(Settings!$E$15="POINTS",RANK(E120,E3:E227),H120)</f>
        <v>121</v>
      </c>
      <c r="D120" s="35" t="str">
        <f>VLOOKUP(A120,'The List'!B1:F727,5,FALSE)</f>
        <v>NYI</v>
      </c>
      <c r="E120" s="39">
        <f>VLOOKUP(A120,'The List'!B1:I727,8,FALSE)</f>
        <v>130.9438103662859</v>
      </c>
      <c r="F120" s="39">
        <f>IF(Settings!$E$15="POINTS",E120-VLOOKUP(B$2,C1:E227,3,FALSE),J120)</f>
        <v>-180.62167126164155</v>
      </c>
      <c r="G120" s="39"/>
      <c r="H120" s="138">
        <f>RANK(I120,I3:I227)</f>
        <v>122</v>
      </c>
      <c r="I120" s="139">
        <f>VLOOKUP(A120,'Standard Deviations'!A1:C728,3,FALSE)</f>
        <v>-1.3212750466987717</v>
      </c>
      <c r="J120" s="139">
        <f>I120-VLOOKUP(B$2,H1:J227,2,FALSE)</f>
        <v>-6.8664478143829646</v>
      </c>
    </row>
    <row r="121" spans="1:10" ht="21.25" customHeight="1" x14ac:dyDescent="0.15">
      <c r="A121" s="8" t="s">
        <v>468</v>
      </c>
      <c r="B121" s="144" t="str">
        <f>VLOOKUP(A121,'The List'!B1:D727,3,FALSE)</f>
        <v>D</v>
      </c>
      <c r="C121" s="145">
        <f>IF(Settings!$E$15="POINTS",RANK(E121,E3:E227),H121)</f>
        <v>114</v>
      </c>
      <c r="D121" s="35" t="str">
        <f>VLOOKUP(A121,'The List'!B1:F727,5,FALSE)</f>
        <v>WPG</v>
      </c>
      <c r="E121" s="39">
        <f>VLOOKUP(A121,'The List'!B1:I727,8,FALSE)</f>
        <v>134.82032394217077</v>
      </c>
      <c r="F121" s="39">
        <f>IF(Settings!$E$15="POINTS",E121-VLOOKUP(B$2,C1:E227,3,FALSE),J121)</f>
        <v>-176.74515768575668</v>
      </c>
      <c r="G121" s="39"/>
      <c r="H121" s="138">
        <f>RANK(I121,I3:I227)</f>
        <v>107</v>
      </c>
      <c r="I121" s="139">
        <f>VLOOKUP(A121,'Standard Deviations'!A1:C728,3,FALSE)</f>
        <v>-0.87595723958384075</v>
      </c>
      <c r="J121" s="139">
        <f>I121-VLOOKUP(B$2,H1:J227,2,FALSE)</f>
        <v>-6.4211300072680331</v>
      </c>
    </row>
    <row r="122" spans="1:10" ht="21.25" customHeight="1" x14ac:dyDescent="0.15">
      <c r="A122" s="8" t="s">
        <v>478</v>
      </c>
      <c r="B122" s="144" t="str">
        <f>VLOOKUP(A122,'The List'!B1:D727,3,FALSE)</f>
        <v>D</v>
      </c>
      <c r="C122" s="145">
        <f>IF(Settings!$E$15="POINTS",RANK(E122,E3:E227),H122)</f>
        <v>118</v>
      </c>
      <c r="D122" s="35" t="str">
        <f>VLOOKUP(A122,'The List'!B1:F727,5,FALSE)</f>
        <v>TOR</v>
      </c>
      <c r="E122" s="39">
        <f>VLOOKUP(A122,'The List'!B1:I727,8,FALSE)</f>
        <v>132.15245896230388</v>
      </c>
      <c r="F122" s="39">
        <f>IF(Settings!$E$15="POINTS",E122-VLOOKUP(B$2,C1:E227,3,FALSE),J122)</f>
        <v>-179.41302266562357</v>
      </c>
      <c r="G122" s="39"/>
      <c r="H122" s="138">
        <f>RANK(I122,I3:I227)</f>
        <v>76</v>
      </c>
      <c r="I122" s="139">
        <f>VLOOKUP(A122,'Standard Deviations'!A1:C728,3,FALSE)</f>
        <v>0.22550029684523043</v>
      </c>
      <c r="J122" s="139">
        <f>I122-VLOOKUP(B$2,H1:J227,2,FALSE)</f>
        <v>-5.3196724708389622</v>
      </c>
    </row>
    <row r="123" spans="1:10" ht="21.25" customHeight="1" x14ac:dyDescent="0.15">
      <c r="A123" s="8" t="s">
        <v>485</v>
      </c>
      <c r="B123" s="144" t="str">
        <f>VLOOKUP(A123,'The List'!B1:D727,3,FALSE)</f>
        <v>D</v>
      </c>
      <c r="C123" s="145">
        <f>IF(Settings!$E$15="POINTS",RANK(E123,E3:E227),H123)</f>
        <v>122</v>
      </c>
      <c r="D123" s="35" t="str">
        <f>VLOOKUP(A123,'The List'!B1:F727,5,FALSE)</f>
        <v>SEA</v>
      </c>
      <c r="E123" s="39">
        <f>VLOOKUP(A123,'The List'!B1:I727,8,FALSE)</f>
        <v>130.89362349669332</v>
      </c>
      <c r="F123" s="39">
        <f>IF(Settings!$E$15="POINTS",E123-VLOOKUP(B$2,C1:E227,3,FALSE),J123)</f>
        <v>-180.67185813123413</v>
      </c>
      <c r="G123" s="39"/>
      <c r="H123" s="138">
        <f>RANK(I123,I3:I227)</f>
        <v>124</v>
      </c>
      <c r="I123" s="139">
        <f>VLOOKUP(A123,'Standard Deviations'!A1:C728,3,FALSE)</f>
        <v>-1.3494366641223672</v>
      </c>
      <c r="J123" s="139">
        <f>I123-VLOOKUP(B$2,H1:J227,2,FALSE)</f>
        <v>-6.8946094318065594</v>
      </c>
    </row>
    <row r="124" spans="1:10" ht="21.25" customHeight="1" x14ac:dyDescent="0.15">
      <c r="A124" s="8" t="s">
        <v>488</v>
      </c>
      <c r="B124" s="144" t="str">
        <f>VLOOKUP(A124,'The List'!B1:D727,3,FALSE)</f>
        <v>D</v>
      </c>
      <c r="C124" s="145">
        <f>IF(Settings!$E$15="POINTS",RANK(E124,E3:E227),H124)</f>
        <v>124</v>
      </c>
      <c r="D124" s="35" t="str">
        <f>VLOOKUP(A124,'The List'!B1:F727,5,FALSE)</f>
        <v>FLA</v>
      </c>
      <c r="E124" s="39">
        <f>VLOOKUP(A124,'The List'!B1:I727,8,FALSE)</f>
        <v>130.33177435016171</v>
      </c>
      <c r="F124" s="39">
        <f>IF(Settings!$E$15="POINTS",E124-VLOOKUP(B$2,C1:E227,3,FALSE),J124)</f>
        <v>-181.23370727776575</v>
      </c>
      <c r="G124" s="39"/>
      <c r="H124" s="138">
        <f>RANK(I124,I3:I227)</f>
        <v>156</v>
      </c>
      <c r="I124" s="139">
        <f>VLOOKUP(A124,'Standard Deviations'!A1:C728,3,FALSE)</f>
        <v>-2.3847894598010559</v>
      </c>
      <c r="J124" s="139">
        <f>I124-VLOOKUP(B$2,H1:J227,2,FALSE)</f>
        <v>-7.9299622274852481</v>
      </c>
    </row>
    <row r="125" spans="1:10" ht="21.25" customHeight="1" x14ac:dyDescent="0.15">
      <c r="A125" s="8" t="s">
        <v>489</v>
      </c>
      <c r="B125" s="144" t="str">
        <f>VLOOKUP(A125,'The List'!B1:D727,3,FALSE)</f>
        <v>D</v>
      </c>
      <c r="C125" s="145">
        <f>IF(Settings!$E$15="POINTS",RANK(E125,E3:E227),H125)</f>
        <v>125</v>
      </c>
      <c r="D125" s="35" t="str">
        <f>VLOOKUP(A125,'The List'!B1:F727,5,FALSE)</f>
        <v>NSH</v>
      </c>
      <c r="E125" s="39">
        <f>VLOOKUP(A125,'The List'!B1:I727,8,FALSE)</f>
        <v>129.82947256221462</v>
      </c>
      <c r="F125" s="39">
        <f>IF(Settings!$E$15="POINTS",E125-VLOOKUP(B$2,C1:E227,3,FALSE),J125)</f>
        <v>-181.73600906571284</v>
      </c>
      <c r="G125" s="39"/>
      <c r="H125" s="138">
        <f>RANK(I125,I3:I227)</f>
        <v>132</v>
      </c>
      <c r="I125" s="139">
        <f>VLOOKUP(A125,'Standard Deviations'!A1:C728,3,FALSE)</f>
        <v>-1.6325746229817992</v>
      </c>
      <c r="J125" s="139">
        <f>I125-VLOOKUP(B$2,H1:J227,2,FALSE)</f>
        <v>-7.1777473906659921</v>
      </c>
    </row>
    <row r="126" spans="1:10" ht="21.25" customHeight="1" x14ac:dyDescent="0.15">
      <c r="A126" s="8" t="s">
        <v>493</v>
      </c>
      <c r="B126" s="144" t="str">
        <f>VLOOKUP(A126,'The List'!B1:D727,3,FALSE)</f>
        <v>D</v>
      </c>
      <c r="C126" s="145">
        <f>IF(Settings!$E$15="POINTS",RANK(E126,E3:E227),H126)</f>
        <v>127</v>
      </c>
      <c r="D126" s="35" t="str">
        <f>VLOOKUP(A126,'The List'!B1:F727,5,FALSE)</f>
        <v>CGY</v>
      </c>
      <c r="E126" s="39">
        <f>VLOOKUP(A126,'The List'!B1:I727,8,FALSE)</f>
        <v>129.35714618359563</v>
      </c>
      <c r="F126" s="39">
        <f>IF(Settings!$E$15="POINTS",E126-VLOOKUP(B$2,C1:E227,3,FALSE),J126)</f>
        <v>-182.20833544433182</v>
      </c>
      <c r="G126" s="39"/>
      <c r="H126" s="138">
        <f>RANK(I126,I3:I227)</f>
        <v>80</v>
      </c>
      <c r="I126" s="139">
        <f>VLOOKUP(A126,'Standard Deviations'!A1:C728,3,FALSE)</f>
        <v>5.8053195465710972E-2</v>
      </c>
      <c r="J126" s="139">
        <f>I126-VLOOKUP(B$2,H1:J227,2,FALSE)</f>
        <v>-5.4871195722184813</v>
      </c>
    </row>
    <row r="127" spans="1:10" ht="21.25" customHeight="1" x14ac:dyDescent="0.15">
      <c r="A127" s="8" t="s">
        <v>482</v>
      </c>
      <c r="B127" s="144" t="str">
        <f>VLOOKUP(A127,'The List'!B1:D727,3,FALSE)</f>
        <v>D</v>
      </c>
      <c r="C127" s="145">
        <f>IF(Settings!$E$15="POINTS",RANK(E127,E3:E227),H127)</f>
        <v>120</v>
      </c>
      <c r="D127" s="35" t="str">
        <f>VLOOKUP(A127,'The List'!B1:F727,5,FALSE)</f>
        <v>OTT</v>
      </c>
      <c r="E127" s="39">
        <f>VLOOKUP(A127,'The List'!B1:I727,8,FALSE)</f>
        <v>131.459375120803</v>
      </c>
      <c r="F127" s="39">
        <f>IF(Settings!$E$15="POINTS",E127-VLOOKUP(B$2,C1:E227,3,FALSE),J127)</f>
        <v>-180.10610650712445</v>
      </c>
      <c r="G127" s="39"/>
      <c r="H127" s="138">
        <f>RANK(I127,I3:I227)</f>
        <v>119</v>
      </c>
      <c r="I127" s="139">
        <f>VLOOKUP(A127,'Standard Deviations'!A1:C728,3,FALSE)</f>
        <v>-1.2227966168016013</v>
      </c>
      <c r="J127" s="139">
        <f>I127-VLOOKUP(B$2,H1:J227,2,FALSE)</f>
        <v>-6.7679693844857942</v>
      </c>
    </row>
    <row r="128" spans="1:10" ht="21.25" customHeight="1" x14ac:dyDescent="0.15">
      <c r="A128" s="8" t="s">
        <v>487</v>
      </c>
      <c r="B128" s="144" t="str">
        <f>VLOOKUP(A128,'The List'!B1:D727,3,FALSE)</f>
        <v>D</v>
      </c>
      <c r="C128" s="145">
        <f>IF(Settings!$E$15="POINTS",RANK(E128,E3:E227),H128)</f>
        <v>123</v>
      </c>
      <c r="D128" s="35" t="str">
        <f>VLOOKUP(A128,'The List'!B1:F727,5,FALSE)</f>
        <v>EDM</v>
      </c>
      <c r="E128" s="39">
        <f>VLOOKUP(A128,'The List'!B1:I727,8,FALSE)</f>
        <v>130.6464080372281</v>
      </c>
      <c r="F128" s="39">
        <f>IF(Settings!$E$15="POINTS",E128-VLOOKUP(B$2,C1:E227,3,FALSE),J128)</f>
        <v>-180.91907359069936</v>
      </c>
      <c r="G128" s="39"/>
      <c r="H128" s="138">
        <f>RANK(I128,I3:I227)</f>
        <v>93</v>
      </c>
      <c r="I128" s="139">
        <f>VLOOKUP(A128,'Standard Deviations'!A1:C728,3,FALSE)</f>
        <v>-0.49055737224589469</v>
      </c>
      <c r="J128" s="139">
        <f>I128-VLOOKUP(B$2,H1:J227,2,FALSE)</f>
        <v>-6.0357301399300871</v>
      </c>
    </row>
    <row r="129" spans="1:10" ht="21.25" customHeight="1" x14ac:dyDescent="0.15">
      <c r="A129" s="8" t="s">
        <v>496</v>
      </c>
      <c r="B129" s="144" t="str">
        <f>VLOOKUP(A129,'The List'!B1:D727,3,FALSE)</f>
        <v>D</v>
      </c>
      <c r="C129" s="145">
        <f>IF(Settings!$E$15="POINTS",RANK(E129,E3:E227),H129)</f>
        <v>129</v>
      </c>
      <c r="D129" s="35" t="str">
        <f>VLOOKUP(A129,'The List'!B1:F727,5,FALSE)</f>
        <v>VAN</v>
      </c>
      <c r="E129" s="39">
        <f>VLOOKUP(A129,'The List'!B1:I727,8,FALSE)</f>
        <v>127.91137675182908</v>
      </c>
      <c r="F129" s="39">
        <f>IF(Settings!$E$15="POINTS",E129-VLOOKUP(B$2,C1:E227,3,FALSE),J129)</f>
        <v>-183.65410487609836</v>
      </c>
      <c r="G129" s="39"/>
      <c r="H129" s="138">
        <f>RANK(I129,I3:I227)</f>
        <v>115</v>
      </c>
      <c r="I129" s="139">
        <f>VLOOKUP(A129,'Standard Deviations'!A1:C728,3,FALSE)</f>
        <v>-1.0835348334033459</v>
      </c>
      <c r="J129" s="139">
        <f>I129-VLOOKUP(B$2,H1:J227,2,FALSE)</f>
        <v>-6.6287076010875383</v>
      </c>
    </row>
    <row r="130" spans="1:10" ht="21.25" customHeight="1" x14ac:dyDescent="0.15">
      <c r="A130" s="8" t="s">
        <v>490</v>
      </c>
      <c r="B130" s="144" t="str">
        <f>VLOOKUP(A130,'The List'!B1:D727,3,FALSE)</f>
        <v>D</v>
      </c>
      <c r="C130" s="145">
        <f>IF(Settings!$E$15="POINTS",RANK(E130,E3:E227),H130)</f>
        <v>126</v>
      </c>
      <c r="D130" s="35" t="str">
        <f>VLOOKUP(A130,'The List'!B1:F727,5,FALSE)</f>
        <v>TOR</v>
      </c>
      <c r="E130" s="39">
        <f>VLOOKUP(A130,'The List'!B1:I727,8,FALSE)</f>
        <v>129.74310872756016</v>
      </c>
      <c r="F130" s="39">
        <f>IF(Settings!$E$15="POINTS",E130-VLOOKUP(B$2,C1:E227,3,FALSE),J130)</f>
        <v>-181.8223729003673</v>
      </c>
      <c r="G130" s="39"/>
      <c r="H130" s="138">
        <f>RANK(I130,I3:I227)</f>
        <v>74</v>
      </c>
      <c r="I130" s="139">
        <f>VLOOKUP(A130,'Standard Deviations'!A1:C728,3,FALSE)</f>
        <v>0.32985546749372108</v>
      </c>
      <c r="J130" s="139">
        <f>I130-VLOOKUP(B$2,H1:J227,2,FALSE)</f>
        <v>-5.2153173001904714</v>
      </c>
    </row>
    <row r="131" spans="1:10" ht="21.25" customHeight="1" x14ac:dyDescent="0.15">
      <c r="A131" s="8" t="s">
        <v>494</v>
      </c>
      <c r="B131" s="144" t="str">
        <f>VLOOKUP(A131,'The List'!B1:D727,3,FALSE)</f>
        <v>D</v>
      </c>
      <c r="C131" s="145">
        <f>IF(Settings!$E$15="POINTS",RANK(E131,E3:E227),H131)</f>
        <v>128</v>
      </c>
      <c r="D131" s="35" t="str">
        <f>VLOOKUP(A131,'The List'!B1:F727,5,FALSE)</f>
        <v>BUF</v>
      </c>
      <c r="E131" s="39">
        <f>VLOOKUP(A131,'The List'!B1:I727,8,FALSE)</f>
        <v>128.58638551664527</v>
      </c>
      <c r="F131" s="39">
        <f>IF(Settings!$E$15="POINTS",E131-VLOOKUP(B$2,C1:E227,3,FALSE),J131)</f>
        <v>-182.97909611128219</v>
      </c>
      <c r="G131" s="39"/>
      <c r="H131" s="138">
        <f>RANK(I131,I3:I227)</f>
        <v>142</v>
      </c>
      <c r="I131" s="139">
        <f>VLOOKUP(A131,'Standard Deviations'!A1:C728,3,FALSE)</f>
        <v>-1.9394881924668739</v>
      </c>
      <c r="J131" s="139">
        <f>I131-VLOOKUP(B$2,H1:J227,2,FALSE)</f>
        <v>-7.4846609601510661</v>
      </c>
    </row>
    <row r="132" spans="1:10" ht="21.25" customHeight="1" x14ac:dyDescent="0.15">
      <c r="A132" s="8" t="s">
        <v>499</v>
      </c>
      <c r="B132" s="144" t="str">
        <f>VLOOKUP(A132,'The List'!B1:D727,3,FALSE)</f>
        <v>D</v>
      </c>
      <c r="C132" s="145">
        <f>IF(Settings!$E$15="POINTS",RANK(E132,E3:E227),H132)</f>
        <v>131</v>
      </c>
      <c r="D132" s="35" t="str">
        <f>VLOOKUP(A132,'The List'!B1:F727,5,FALSE)</f>
        <v>WSH</v>
      </c>
      <c r="E132" s="39">
        <f>VLOOKUP(A132,'The List'!B1:I727,8,FALSE)</f>
        <v>126.64627316496949</v>
      </c>
      <c r="F132" s="39">
        <f>IF(Settings!$E$15="POINTS",E132-VLOOKUP(B$2,C1:E227,3,FALSE),J132)</f>
        <v>-184.91920846295795</v>
      </c>
      <c r="G132" s="39"/>
      <c r="H132" s="138">
        <f>RANK(I132,I3:I227)</f>
        <v>125</v>
      </c>
      <c r="I132" s="139">
        <f>VLOOKUP(A132,'Standard Deviations'!A1:C728,3,FALSE)</f>
        <v>-1.5064083543668039</v>
      </c>
      <c r="J132" s="139">
        <f>I132-VLOOKUP(B$2,H1:J227,2,FALSE)</f>
        <v>-7.0515811220509965</v>
      </c>
    </row>
    <row r="133" spans="1:10" ht="21.25" customHeight="1" x14ac:dyDescent="0.15">
      <c r="A133" s="8" t="s">
        <v>498</v>
      </c>
      <c r="B133" s="144" t="str">
        <f>VLOOKUP(A133,'The List'!B1:D727,3,FALSE)</f>
        <v>D</v>
      </c>
      <c r="C133" s="145">
        <f>IF(Settings!$E$15="POINTS",RANK(E133,E3:E227),H133)</f>
        <v>130</v>
      </c>
      <c r="D133" s="35" t="str">
        <f>VLOOKUP(A133,'The List'!B1:F727,5,FALSE)</f>
        <v>EDM</v>
      </c>
      <c r="E133" s="39">
        <f>VLOOKUP(A133,'The List'!B1:I727,8,FALSE)</f>
        <v>127.50708051949498</v>
      </c>
      <c r="F133" s="39">
        <f>IF(Settings!$E$15="POINTS",E133-VLOOKUP(B$2,C1:E227,3,FALSE),J133)</f>
        <v>-184.05840110843246</v>
      </c>
      <c r="G133" s="39"/>
      <c r="H133" s="138">
        <f>RANK(I133,I3:I227)</f>
        <v>103</v>
      </c>
      <c r="I133" s="139">
        <f>VLOOKUP(A133,'Standard Deviations'!A1:C728,3,FALSE)</f>
        <v>-0.79174382856361869</v>
      </c>
      <c r="J133" s="139">
        <f>I133-VLOOKUP(B$2,H1:J227,2,FALSE)</f>
        <v>-6.3369165962478116</v>
      </c>
    </row>
    <row r="134" spans="1:10" ht="21.25" customHeight="1" x14ac:dyDescent="0.15">
      <c r="A134" s="8" t="s">
        <v>502</v>
      </c>
      <c r="B134" s="144" t="str">
        <f>VLOOKUP(A134,'The List'!B1:D727,3,FALSE)</f>
        <v>D</v>
      </c>
      <c r="C134" s="145">
        <f>IF(Settings!$E$15="POINTS",RANK(E134,E3:E227),H134)</f>
        <v>133</v>
      </c>
      <c r="D134" s="35" t="str">
        <f>VLOOKUP(A134,'The List'!B1:F727,5,FALSE)</f>
        <v>PIT</v>
      </c>
      <c r="E134" s="39">
        <f>VLOOKUP(A134,'The List'!B1:I727,8,FALSE)</f>
        <v>125.45742296239312</v>
      </c>
      <c r="F134" s="39">
        <f>IF(Settings!$E$15="POINTS",E134-VLOOKUP(B$2,C1:E227,3,FALSE),J134)</f>
        <v>-186.10805866553432</v>
      </c>
      <c r="G134" s="39"/>
      <c r="H134" s="138">
        <f>RANK(I134,I3:I227)</f>
        <v>144</v>
      </c>
      <c r="I134" s="139">
        <f>VLOOKUP(A134,'Standard Deviations'!A1:C728,3,FALSE)</f>
        <v>-1.994852996301673</v>
      </c>
      <c r="J134" s="139">
        <f>I134-VLOOKUP(B$2,H1:J227,2,FALSE)</f>
        <v>-7.5400257639858657</v>
      </c>
    </row>
    <row r="135" spans="1:10" ht="21.25" customHeight="1" x14ac:dyDescent="0.15">
      <c r="A135" s="8" t="s">
        <v>507</v>
      </c>
      <c r="B135" s="144" t="str">
        <f>VLOOKUP(A135,'The List'!B1:D727,3,FALSE)</f>
        <v>D</v>
      </c>
      <c r="C135" s="145">
        <f>IF(Settings!$E$15="POINTS",RANK(E135,E3:E227),H135)</f>
        <v>137</v>
      </c>
      <c r="D135" s="35" t="str">
        <f>VLOOKUP(A135,'The List'!B1:F727,5,FALSE)</f>
        <v>OTT</v>
      </c>
      <c r="E135" s="39">
        <f>VLOOKUP(A135,'The List'!B1:I727,8,FALSE)</f>
        <v>124.70067615945669</v>
      </c>
      <c r="F135" s="39">
        <f>IF(Settings!$E$15="POINTS",E135-VLOOKUP(B$2,C1:E227,3,FALSE),J135)</f>
        <v>-186.86480546847076</v>
      </c>
      <c r="G135" s="39"/>
      <c r="H135" s="138">
        <f>RANK(I135,I3:I227)</f>
        <v>129</v>
      </c>
      <c r="I135" s="139">
        <f>VLOOKUP(A135,'Standard Deviations'!A1:C728,3,FALSE)</f>
        <v>-1.5600152265430398</v>
      </c>
      <c r="J135" s="139">
        <f>I135-VLOOKUP(B$2,H1:J227,2,FALSE)</f>
        <v>-7.1051879942272329</v>
      </c>
    </row>
    <row r="136" spans="1:10" ht="21.25" customHeight="1" x14ac:dyDescent="0.15">
      <c r="A136" s="8" t="s">
        <v>503</v>
      </c>
      <c r="B136" s="144" t="str">
        <f>VLOOKUP(A136,'The List'!B1:D727,3,FALSE)</f>
        <v>D</v>
      </c>
      <c r="C136" s="145">
        <f>IF(Settings!$E$15="POINTS",RANK(E136,E3:E227),H136)</f>
        <v>134</v>
      </c>
      <c r="D136" s="35" t="str">
        <f>VLOOKUP(A136,'The List'!B1:F727,5,FALSE)</f>
        <v>NYR</v>
      </c>
      <c r="E136" s="39">
        <f>VLOOKUP(A136,'The List'!B1:I727,8,FALSE)</f>
        <v>125.25920843967342</v>
      </c>
      <c r="F136" s="39">
        <f>IF(Settings!$E$15="POINTS",E136-VLOOKUP(B$2,C1:E227,3,FALSE),J136)</f>
        <v>-186.30627318825404</v>
      </c>
      <c r="G136" s="39"/>
      <c r="H136" s="138">
        <f>RANK(I136,I3:I227)</f>
        <v>83</v>
      </c>
      <c r="I136" s="139">
        <f>VLOOKUP(A136,'Standard Deviations'!A1:C728,3,FALSE)</f>
        <v>-2.8715748060410995E-2</v>
      </c>
      <c r="J136" s="139">
        <f>I136-VLOOKUP(B$2,H1:J227,2,FALSE)</f>
        <v>-5.5738885157446036</v>
      </c>
    </row>
    <row r="137" spans="1:10" ht="21.25" customHeight="1" x14ac:dyDescent="0.15">
      <c r="A137" s="8" t="s">
        <v>504</v>
      </c>
      <c r="B137" s="144" t="str">
        <f>VLOOKUP(A137,'The List'!B1:D727,3,FALSE)</f>
        <v>D</v>
      </c>
      <c r="C137" s="145">
        <f>IF(Settings!$E$15="POINTS",RANK(E137,E3:E227),H137)</f>
        <v>135</v>
      </c>
      <c r="D137" s="35" t="str">
        <f>VLOOKUP(A137,'The List'!B1:F727,5,FALSE)</f>
        <v>VGK</v>
      </c>
      <c r="E137" s="39">
        <f>VLOOKUP(A137,'The List'!B1:I727,8,FALSE)</f>
        <v>124.79449296723556</v>
      </c>
      <c r="F137" s="39">
        <f>IF(Settings!$E$15="POINTS",E137-VLOOKUP(B$2,C1:E227,3,FALSE),J137)</f>
        <v>-186.7709886606919</v>
      </c>
      <c r="G137" s="39"/>
      <c r="H137" s="138">
        <f>RANK(I137,I3:I227)</f>
        <v>91</v>
      </c>
      <c r="I137" s="139">
        <f>VLOOKUP(A137,'Standard Deviations'!A1:C728,3,FALSE)</f>
        <v>-0.30655609675951512</v>
      </c>
      <c r="J137" s="139">
        <f>I137-VLOOKUP(B$2,H1:J227,2,FALSE)</f>
        <v>-5.8517288644437073</v>
      </c>
    </row>
    <row r="138" spans="1:10" ht="21.25" customHeight="1" x14ac:dyDescent="0.15">
      <c r="A138" s="8" t="s">
        <v>501</v>
      </c>
      <c r="B138" s="144" t="str">
        <f>VLOOKUP(A138,'The List'!B1:D727,3,FALSE)</f>
        <v>D</v>
      </c>
      <c r="C138" s="145">
        <f>IF(Settings!$E$15="POINTS",RANK(E138,E3:E227),H138)</f>
        <v>132</v>
      </c>
      <c r="D138" s="35" t="str">
        <f>VLOOKUP(A138,'The List'!B1:F727,5,FALSE)</f>
        <v>CHI</v>
      </c>
      <c r="E138" s="39">
        <f>VLOOKUP(A138,'The List'!B1:I727,8,FALSE)</f>
        <v>125.79633395596967</v>
      </c>
      <c r="F138" s="39">
        <f>IF(Settings!$E$15="POINTS",E138-VLOOKUP(B$2,C1:E227,3,FALSE),J138)</f>
        <v>-185.7691476719578</v>
      </c>
      <c r="G138" s="39"/>
      <c r="H138" s="138">
        <f>RANK(I138,I3:I227)</f>
        <v>160</v>
      </c>
      <c r="I138" s="139">
        <f>VLOOKUP(A138,'Standard Deviations'!A1:C728,3,FALSE)</f>
        <v>-2.5504049449991788</v>
      </c>
      <c r="J138" s="139">
        <f>I138-VLOOKUP(B$2,H1:J227,2,FALSE)</f>
        <v>-8.0955777126833723</v>
      </c>
    </row>
    <row r="139" spans="1:10" ht="21.25" customHeight="1" x14ac:dyDescent="0.15">
      <c r="A139" s="8" t="s">
        <v>506</v>
      </c>
      <c r="B139" s="144" t="str">
        <f>VLOOKUP(A139,'The List'!B1:D727,3,FALSE)</f>
        <v>D</v>
      </c>
      <c r="C139" s="145">
        <f>IF(Settings!$E$15="POINTS",RANK(E139,E3:E227),H139)</f>
        <v>136</v>
      </c>
      <c r="D139" s="35" t="str">
        <f>VLOOKUP(A139,'The List'!B1:F727,5,FALSE)</f>
        <v>WPG</v>
      </c>
      <c r="E139" s="39">
        <f>VLOOKUP(A139,'The List'!B1:I727,8,FALSE)</f>
        <v>124.71383568435557</v>
      </c>
      <c r="F139" s="39">
        <f>IF(Settings!$E$15="POINTS",E139-VLOOKUP(B$2,C1:E227,3,FALSE),J139)</f>
        <v>-186.8516459435719</v>
      </c>
      <c r="G139" s="39"/>
      <c r="H139" s="138">
        <f>RANK(I139,I3:I227)</f>
        <v>127</v>
      </c>
      <c r="I139" s="139">
        <f>VLOOKUP(A139,'Standard Deviations'!A1:C728,3,FALSE)</f>
        <v>-1.524433807575247</v>
      </c>
      <c r="J139" s="139">
        <f>I139-VLOOKUP(B$2,H1:J227,2,FALSE)</f>
        <v>-7.0696065752594395</v>
      </c>
    </row>
    <row r="140" spans="1:10" ht="21.25" customHeight="1" x14ac:dyDescent="0.15">
      <c r="A140" s="8" t="s">
        <v>511</v>
      </c>
      <c r="B140" s="144" t="str">
        <f>VLOOKUP(A140,'The List'!B1:D727,3,FALSE)</f>
        <v>D</v>
      </c>
      <c r="C140" s="145">
        <f>IF(Settings!$E$15="POINTS",RANK(E140,E3:E227),H140)</f>
        <v>138</v>
      </c>
      <c r="D140" s="35" t="str">
        <f>VLOOKUP(A140,'The List'!B1:F727,5,FALSE)</f>
        <v>NSH</v>
      </c>
      <c r="E140" s="39">
        <f>VLOOKUP(A140,'The List'!B1:I727,8,FALSE)</f>
        <v>123.64792502323618</v>
      </c>
      <c r="F140" s="39">
        <f>IF(Settings!$E$15="POINTS",E140-VLOOKUP(B$2,C1:E227,3,FALSE),J140)</f>
        <v>-187.91755660469127</v>
      </c>
      <c r="G140" s="39"/>
      <c r="H140" s="138">
        <f>RANK(I140,I3:I227)</f>
        <v>149</v>
      </c>
      <c r="I140" s="139">
        <f>VLOOKUP(A140,'Standard Deviations'!A1:C728,3,FALSE)</f>
        <v>-2.127488257073725</v>
      </c>
      <c r="J140" s="139">
        <f>I140-VLOOKUP(B$2,H1:J227,2,FALSE)</f>
        <v>-7.6726610247579181</v>
      </c>
    </row>
    <row r="141" spans="1:10" ht="21.25" customHeight="1" x14ac:dyDescent="0.15">
      <c r="A141" s="8" t="s">
        <v>514</v>
      </c>
      <c r="B141" s="144" t="str">
        <f>VLOOKUP(A141,'The List'!B1:D727,3,FALSE)</f>
        <v>D</v>
      </c>
      <c r="C141" s="145">
        <f>IF(Settings!$E$15="POINTS",RANK(E141,E3:E227),H141)</f>
        <v>140</v>
      </c>
      <c r="D141" s="35" t="str">
        <f>VLOOKUP(A141,'The List'!B1:F727,5,FALSE)</f>
        <v>PHI</v>
      </c>
      <c r="E141" s="39">
        <f>VLOOKUP(A141,'The List'!B1:I727,8,FALSE)</f>
        <v>122.33142390493185</v>
      </c>
      <c r="F141" s="39">
        <f>IF(Settings!$E$15="POINTS",E141-VLOOKUP(B$2,C1:E227,3,FALSE),J141)</f>
        <v>-189.2340577229956</v>
      </c>
      <c r="G141" s="39"/>
      <c r="H141" s="138">
        <f>RANK(I141,I3:I227)</f>
        <v>170</v>
      </c>
      <c r="I141" s="139">
        <f>VLOOKUP(A141,'Standard Deviations'!A1:C728,3,FALSE)</f>
        <v>-3.1292656960550573</v>
      </c>
      <c r="J141" s="139">
        <f>I141-VLOOKUP(B$2,H1:J227,2,FALSE)</f>
        <v>-8.67443846373925</v>
      </c>
    </row>
    <row r="142" spans="1:10" ht="21.25" customHeight="1" x14ac:dyDescent="0.15">
      <c r="A142" s="8" t="s">
        <v>515</v>
      </c>
      <c r="B142" s="144" t="str">
        <f>VLOOKUP(A142,'The List'!B1:D727,3,FALSE)</f>
        <v>D</v>
      </c>
      <c r="C142" s="145">
        <f>IF(Settings!$E$15="POINTS",RANK(E142,E3:E227),H142)</f>
        <v>141</v>
      </c>
      <c r="D142" s="35" t="str">
        <f>VLOOKUP(A142,'The List'!B1:F727,5,FALSE)</f>
        <v>NJD</v>
      </c>
      <c r="E142" s="39">
        <f>VLOOKUP(A142,'The List'!B1:I727,8,FALSE)</f>
        <v>121.89519022660059</v>
      </c>
      <c r="F142" s="39">
        <f>IF(Settings!$E$15="POINTS",E142-VLOOKUP(B$2,C1:E227,3,FALSE),J142)</f>
        <v>-189.67029140132686</v>
      </c>
      <c r="G142" s="39"/>
      <c r="H142" s="138">
        <f>RANK(I142,I3:I227)</f>
        <v>151</v>
      </c>
      <c r="I142" s="139">
        <f>VLOOKUP(A142,'Standard Deviations'!A1:C728,3,FALSE)</f>
        <v>-2.2033319668559193</v>
      </c>
      <c r="J142" s="139">
        <f>I142-VLOOKUP(B$2,H1:J227,2,FALSE)</f>
        <v>-7.7485047345401119</v>
      </c>
    </row>
    <row r="143" spans="1:10" ht="21.25" customHeight="1" x14ac:dyDescent="0.15">
      <c r="A143" s="8" t="s">
        <v>516</v>
      </c>
      <c r="B143" s="144" t="str">
        <f>VLOOKUP(A143,'The List'!B1:D727,3,FALSE)</f>
        <v>D</v>
      </c>
      <c r="C143" s="145">
        <f>IF(Settings!$E$15="POINTS",RANK(E143,E3:E227),H143)</f>
        <v>142</v>
      </c>
      <c r="D143" s="35" t="str">
        <f>VLOOKUP(A143,'The List'!B1:F727,5,FALSE)</f>
        <v>DAL</v>
      </c>
      <c r="E143" s="39">
        <f>VLOOKUP(A143,'The List'!B1:I727,8,FALSE)</f>
        <v>121.82591191268654</v>
      </c>
      <c r="F143" s="39">
        <f>IF(Settings!$E$15="POINTS",E143-VLOOKUP(B$2,C1:E227,3,FALSE),J143)</f>
        <v>-189.73956971524092</v>
      </c>
      <c r="G143" s="39"/>
      <c r="H143" s="138">
        <f>RANK(I143,I3:I227)</f>
        <v>100</v>
      </c>
      <c r="I143" s="139">
        <f>VLOOKUP(A143,'Standard Deviations'!A1:C728,3,FALSE)</f>
        <v>-0.73370342212185746</v>
      </c>
      <c r="J143" s="139">
        <f>I143-VLOOKUP(B$2,H1:J227,2,FALSE)</f>
        <v>-6.2788761898060503</v>
      </c>
    </row>
    <row r="144" spans="1:10" ht="21.25" customHeight="1" x14ac:dyDescent="0.15">
      <c r="A144" s="8" t="s">
        <v>513</v>
      </c>
      <c r="B144" s="144" t="str">
        <f>VLOOKUP(A144,'The List'!B1:D727,3,FALSE)</f>
        <v>D</v>
      </c>
      <c r="C144" s="145">
        <f>IF(Settings!$E$15="POINTS",RANK(E144,E3:E227),H144)</f>
        <v>139</v>
      </c>
      <c r="D144" s="35" t="str">
        <f>VLOOKUP(A144,'The List'!B1:F727,5,FALSE)</f>
        <v>BUF</v>
      </c>
      <c r="E144" s="39">
        <f>VLOOKUP(A144,'The List'!B1:I727,8,FALSE)</f>
        <v>122.61843685712937</v>
      </c>
      <c r="F144" s="39">
        <f>IF(Settings!$E$15="POINTS",E144-VLOOKUP(B$2,C1:E227,3,FALSE),J144)</f>
        <v>-188.94704477079807</v>
      </c>
      <c r="G144" s="39"/>
      <c r="H144" s="138">
        <f>RANK(I144,I3:I227)</f>
        <v>143</v>
      </c>
      <c r="I144" s="139">
        <f>VLOOKUP(A144,'Standard Deviations'!A1:C728,3,FALSE)</f>
        <v>-1.9458450750218201</v>
      </c>
      <c r="J144" s="139">
        <f>I144-VLOOKUP(B$2,H1:J227,2,FALSE)</f>
        <v>-7.4910178427060128</v>
      </c>
    </row>
    <row r="145" spans="1:10" ht="21.25" customHeight="1" x14ac:dyDescent="0.15">
      <c r="A145" s="8" t="s">
        <v>517</v>
      </c>
      <c r="B145" s="144" t="str">
        <f>VLOOKUP(A145,'The List'!B1:D727,3,FALSE)</f>
        <v>D</v>
      </c>
      <c r="C145" s="145">
        <f>IF(Settings!$E$15="POINTS",RANK(E145,E3:E227),H145)</f>
        <v>143</v>
      </c>
      <c r="D145" s="35" t="str">
        <f>VLOOKUP(A145,'The List'!B1:F727,5,FALSE)</f>
        <v>VAN</v>
      </c>
      <c r="E145" s="39">
        <f>VLOOKUP(A145,'The List'!B1:I727,8,FALSE)</f>
        <v>120.8623036682129</v>
      </c>
      <c r="F145" s="39">
        <f>IF(Settings!$E$15="POINTS",E145-VLOOKUP(B$2,C1:E227,3,FALSE),J145)</f>
        <v>-190.70317795971454</v>
      </c>
      <c r="G145" s="39"/>
      <c r="H145" s="138">
        <f>RANK(I145,I3:I227)</f>
        <v>150</v>
      </c>
      <c r="I145" s="139">
        <f>VLOOKUP(A145,'Standard Deviations'!A1:C728,3,FALSE)</f>
        <v>-2.145139471490193</v>
      </c>
      <c r="J145" s="139">
        <f>I145-VLOOKUP(B$2,H1:J227,2,FALSE)</f>
        <v>-7.6903122391743857</v>
      </c>
    </row>
    <row r="146" spans="1:10" ht="21.25" customHeight="1" x14ac:dyDescent="0.15">
      <c r="A146" s="8" t="s">
        <v>518</v>
      </c>
      <c r="B146" s="144" t="str">
        <f>VLOOKUP(A146,'The List'!B1:D727,3,FALSE)</f>
        <v>D</v>
      </c>
      <c r="C146" s="145">
        <f>IF(Settings!$E$15="POINTS",RANK(E146,E3:E227),H146)</f>
        <v>144</v>
      </c>
      <c r="D146" s="35" t="str">
        <f>VLOOKUP(A146,'The List'!B1:F727,5,FALSE)</f>
        <v>NSH</v>
      </c>
      <c r="E146" s="39">
        <f>VLOOKUP(A146,'The List'!B1:I727,8,FALSE)</f>
        <v>120.15737778377026</v>
      </c>
      <c r="F146" s="39">
        <f>IF(Settings!$E$15="POINTS",E146-VLOOKUP(B$2,C1:E227,3,FALSE),J146)</f>
        <v>-191.40810384415721</v>
      </c>
      <c r="G146" s="39"/>
      <c r="H146" s="138">
        <f>RANK(I146,I3:I227)</f>
        <v>148</v>
      </c>
      <c r="I146" s="139">
        <f>VLOOKUP(A146,'Standard Deviations'!A1:C728,3,FALSE)</f>
        <v>-2.1193505245169653</v>
      </c>
      <c r="J146" s="139">
        <f>I146-VLOOKUP(B$2,H1:J227,2,FALSE)</f>
        <v>-7.6645232922011584</v>
      </c>
    </row>
    <row r="147" spans="1:10" ht="21.25" customHeight="1" x14ac:dyDescent="0.15">
      <c r="A147" s="8" t="s">
        <v>522</v>
      </c>
      <c r="B147" s="144" t="str">
        <f>VLOOKUP(A147,'The List'!B1:D727,3,FALSE)</f>
        <v>D</v>
      </c>
      <c r="C147" s="145">
        <f>IF(Settings!$E$15="POINTS",RANK(E147,E3:E227),H147)</f>
        <v>147</v>
      </c>
      <c r="D147" s="35" t="str">
        <f>VLOOKUP(A147,'The List'!B1:F727,5,FALSE)</f>
        <v>BOS</v>
      </c>
      <c r="E147" s="39">
        <f>VLOOKUP(A147,'The List'!B1:I727,8,FALSE)</f>
        <v>118.94550902224732</v>
      </c>
      <c r="F147" s="39">
        <f>IF(Settings!$E$15="POINTS",E147-VLOOKUP(B$2,C1:E227,3,FALSE),J147)</f>
        <v>-192.61997260568012</v>
      </c>
      <c r="G147" s="39"/>
      <c r="H147" s="138">
        <f>RANK(I147,I3:I227)</f>
        <v>97</v>
      </c>
      <c r="I147" s="139">
        <f>VLOOKUP(A147,'Standard Deviations'!A1:C728,3,FALSE)</f>
        <v>-0.6151376938753399</v>
      </c>
      <c r="J147" s="139">
        <f>I147-VLOOKUP(B$2,H1:J227,2,FALSE)</f>
        <v>-6.1603104615595328</v>
      </c>
    </row>
    <row r="148" spans="1:10" ht="21.25" customHeight="1" x14ac:dyDescent="0.15">
      <c r="A148" s="8" t="s">
        <v>519</v>
      </c>
      <c r="B148" s="144" t="str">
        <f>VLOOKUP(A148,'The List'!B1:D727,3,FALSE)</f>
        <v>D</v>
      </c>
      <c r="C148" s="145">
        <f>IF(Settings!$E$15="POINTS",RANK(E148,E3:E227),H148)</f>
        <v>145</v>
      </c>
      <c r="D148" s="35" t="str">
        <f>VLOOKUP(A148,'The List'!B1:F727,5,FALSE)</f>
        <v>DET</v>
      </c>
      <c r="E148" s="39">
        <f>VLOOKUP(A148,'The List'!B1:I727,8,FALSE)</f>
        <v>119.39416699704914</v>
      </c>
      <c r="F148" s="39">
        <f>IF(Settings!$E$15="POINTS",E148-VLOOKUP(B$2,C1:E227,3,FALSE),J148)</f>
        <v>-192.17131463087833</v>
      </c>
      <c r="G148" s="39"/>
      <c r="H148" s="138">
        <f>RANK(I148,I3:I227)</f>
        <v>152</v>
      </c>
      <c r="I148" s="139">
        <f>VLOOKUP(A148,'Standard Deviations'!A1:C728,3,FALSE)</f>
        <v>-2.2133536303695864</v>
      </c>
      <c r="J148" s="139">
        <f>I148-VLOOKUP(B$2,H1:J227,2,FALSE)</f>
        <v>-7.7585263980537791</v>
      </c>
    </row>
    <row r="149" spans="1:10" ht="21.25" customHeight="1" x14ac:dyDescent="0.15">
      <c r="A149" s="8" t="s">
        <v>524</v>
      </c>
      <c r="B149" s="144" t="str">
        <f>VLOOKUP(A149,'The List'!B1:D727,3,FALSE)</f>
        <v>D</v>
      </c>
      <c r="C149" s="145">
        <f>IF(Settings!$E$15="POINTS",RANK(E149,E3:E227),H149)</f>
        <v>149</v>
      </c>
      <c r="D149" s="35" t="str">
        <f>VLOOKUP(A149,'The List'!B1:F727,5,FALSE)</f>
        <v>NYI</v>
      </c>
      <c r="E149" s="39">
        <f>VLOOKUP(A149,'The List'!B1:I727,8,FALSE)</f>
        <v>117.64242393626191</v>
      </c>
      <c r="F149" s="39">
        <f>IF(Settings!$E$15="POINTS",E149-VLOOKUP(B$2,C1:E227,3,FALSE),J149)</f>
        <v>-193.92305769166555</v>
      </c>
      <c r="G149" s="39"/>
      <c r="H149" s="138">
        <f>RANK(I149,I3:I227)</f>
        <v>157</v>
      </c>
      <c r="I149" s="139">
        <f>VLOOKUP(A149,'Standard Deviations'!A1:C728,3,FALSE)</f>
        <v>-2.420585351289954</v>
      </c>
      <c r="J149" s="139">
        <f>I149-VLOOKUP(B$2,H1:J227,2,FALSE)</f>
        <v>-7.9657581189741471</v>
      </c>
    </row>
    <row r="150" spans="1:10" ht="21.25" customHeight="1" x14ac:dyDescent="0.15">
      <c r="A150" s="8" t="s">
        <v>521</v>
      </c>
      <c r="B150" s="144" t="str">
        <f>VLOOKUP(A150,'The List'!B1:D727,3,FALSE)</f>
        <v>D</v>
      </c>
      <c r="C150" s="145">
        <f>IF(Settings!$E$15="POINTS",RANK(E150,E3:E227),H150)</f>
        <v>146</v>
      </c>
      <c r="D150" s="35" t="str">
        <f>VLOOKUP(A150,'The List'!B1:F727,5,FALSE)</f>
        <v>MTL</v>
      </c>
      <c r="E150" s="39">
        <f>VLOOKUP(A150,'The List'!B1:I727,8,FALSE)</f>
        <v>118.98853414744403</v>
      </c>
      <c r="F150" s="39">
        <f>IF(Settings!$E$15="POINTS",E150-VLOOKUP(B$2,C1:E227,3,FALSE),J150)</f>
        <v>-192.57694748048343</v>
      </c>
      <c r="G150" s="39"/>
      <c r="H150" s="138">
        <f>RANK(I150,I3:I227)</f>
        <v>179</v>
      </c>
      <c r="I150" s="139">
        <f>VLOOKUP(A150,'Standard Deviations'!A1:C728,3,FALSE)</f>
        <v>-3.3912297146353922</v>
      </c>
      <c r="J150" s="139">
        <f>I150-VLOOKUP(B$2,H1:J227,2,FALSE)</f>
        <v>-8.9364024823195845</v>
      </c>
    </row>
    <row r="151" spans="1:10" ht="21.25" customHeight="1" x14ac:dyDescent="0.15">
      <c r="A151" s="8" t="s">
        <v>523</v>
      </c>
      <c r="B151" s="144" t="str">
        <f>VLOOKUP(A151,'The List'!B1:D727,3,FALSE)</f>
        <v>D</v>
      </c>
      <c r="C151" s="145">
        <f>IF(Settings!$E$15="POINTS",RANK(E151,E3:E227),H151)</f>
        <v>148</v>
      </c>
      <c r="D151" s="35" t="str">
        <f>VLOOKUP(A151,'The List'!B1:F727,5,FALSE)</f>
        <v>MIN</v>
      </c>
      <c r="E151" s="39">
        <f>VLOOKUP(A151,'The List'!B1:I727,8,FALSE)</f>
        <v>118.40450006851506</v>
      </c>
      <c r="F151" s="39">
        <f>IF(Settings!$E$15="POINTS",E151-VLOOKUP(B$2,C1:E227,3,FALSE),J151)</f>
        <v>-193.16098155941239</v>
      </c>
      <c r="G151" s="39"/>
      <c r="H151" s="138">
        <f>RANK(I151,I3:I227)</f>
        <v>104</v>
      </c>
      <c r="I151" s="139">
        <f>VLOOKUP(A151,'Standard Deviations'!A1:C728,3,FALSE)</f>
        <v>-0.81444004844898532</v>
      </c>
      <c r="J151" s="139">
        <f>I151-VLOOKUP(B$2,H1:J227,2,FALSE)</f>
        <v>-6.3596128161331782</v>
      </c>
    </row>
    <row r="152" spans="1:10" ht="21.25" customHeight="1" x14ac:dyDescent="0.15">
      <c r="A152" s="8" t="s">
        <v>528</v>
      </c>
      <c r="B152" s="144" t="str">
        <f>VLOOKUP(A152,'The List'!B1:D727,3,FALSE)</f>
        <v>D</v>
      </c>
      <c r="C152" s="145">
        <f>IF(Settings!$E$15="POINTS",RANK(E152,E3:E227),H152)</f>
        <v>152</v>
      </c>
      <c r="D152" s="35" t="str">
        <f>VLOOKUP(A152,'The List'!B1:F727,5,FALSE)</f>
        <v>FLA</v>
      </c>
      <c r="E152" s="39">
        <f>VLOOKUP(A152,'The List'!B1:I727,8,FALSE)</f>
        <v>116.50534922291926</v>
      </c>
      <c r="F152" s="39">
        <f>IF(Settings!$E$15="POINTS",E152-VLOOKUP(B$2,C1:E227,3,FALSE),J152)</f>
        <v>-195.06013240500818</v>
      </c>
      <c r="G152" s="39"/>
      <c r="H152" s="138">
        <f>RANK(I152,I3:I227)</f>
        <v>128</v>
      </c>
      <c r="I152" s="139">
        <f>VLOOKUP(A152,'Standard Deviations'!A1:C728,3,FALSE)</f>
        <v>-1.5403335350826364</v>
      </c>
      <c r="J152" s="139">
        <f>I152-VLOOKUP(B$2,H1:J227,2,FALSE)</f>
        <v>-7.085506302766829</v>
      </c>
    </row>
    <row r="153" spans="1:10" ht="21.25" customHeight="1" x14ac:dyDescent="0.15">
      <c r="A153" s="8" t="s">
        <v>526</v>
      </c>
      <c r="B153" s="144" t="str">
        <f>VLOOKUP(A153,'The List'!B1:D727,3,FALSE)</f>
        <v>D</v>
      </c>
      <c r="C153" s="145">
        <f>IF(Settings!$E$15="POINTS",RANK(E153,E3:E227),H153)</f>
        <v>151</v>
      </c>
      <c r="D153" s="35" t="str">
        <f>VLOOKUP(A153,'The List'!B1:F727,5,FALSE)</f>
        <v>CHI</v>
      </c>
      <c r="E153" s="39">
        <f>VLOOKUP(A153,'The List'!B1:I727,8,FALSE)</f>
        <v>116.65661654961052</v>
      </c>
      <c r="F153" s="39">
        <f>IF(Settings!$E$15="POINTS",E153-VLOOKUP(B$2,C1:E227,3,FALSE),J153)</f>
        <v>-194.90886507831692</v>
      </c>
      <c r="G153" s="39"/>
      <c r="H153" s="138">
        <f>RANK(I153,I3:I227)</f>
        <v>171</v>
      </c>
      <c r="I153" s="139">
        <f>VLOOKUP(A153,'Standard Deviations'!A1:C728,3,FALSE)</f>
        <v>-3.1295753177254131</v>
      </c>
      <c r="J153" s="139">
        <f>I153-VLOOKUP(B$2,H1:J227,2,FALSE)</f>
        <v>-8.6747480854096057</v>
      </c>
    </row>
    <row r="154" spans="1:10" ht="21.25" customHeight="1" x14ac:dyDescent="0.15">
      <c r="A154" s="8" t="s">
        <v>525</v>
      </c>
      <c r="B154" s="144" t="str">
        <f>VLOOKUP(A154,'The List'!B1:D727,3,FALSE)</f>
        <v>D</v>
      </c>
      <c r="C154" s="145">
        <f>IF(Settings!$E$15="POINTS",RANK(E154,E3:E227),H154)</f>
        <v>150</v>
      </c>
      <c r="D154" s="35" t="str">
        <f>VLOOKUP(A154,'The List'!B1:F727,5,FALSE)</f>
        <v>SEA</v>
      </c>
      <c r="E154" s="39">
        <f>VLOOKUP(A154,'The List'!B1:I727,8,FALSE)</f>
        <v>117.22193340716217</v>
      </c>
      <c r="F154" s="39">
        <f>IF(Settings!$E$15="POINTS",E154-VLOOKUP(B$2,C1:E227,3,FALSE),J154)</f>
        <v>-194.34354822076529</v>
      </c>
      <c r="G154" s="39"/>
      <c r="H154" s="138">
        <f>RANK(I154,I3:I227)</f>
        <v>154</v>
      </c>
      <c r="I154" s="139">
        <f>VLOOKUP(A154,'Standard Deviations'!A1:C728,3,FALSE)</f>
        <v>-2.3408371346086096</v>
      </c>
      <c r="J154" s="139">
        <f>I154-VLOOKUP(B$2,H1:J227,2,FALSE)</f>
        <v>-7.8860099022928019</v>
      </c>
    </row>
    <row r="155" spans="1:10" ht="21.25" customHeight="1" x14ac:dyDescent="0.15">
      <c r="A155" s="8" t="s">
        <v>533</v>
      </c>
      <c r="B155" s="144" t="str">
        <f>VLOOKUP(A155,'The List'!B1:D727,3,FALSE)</f>
        <v>D</v>
      </c>
      <c r="C155" s="145">
        <f>IF(Settings!$E$15="POINTS",RANK(E155,E3:E227),H155)</f>
        <v>153</v>
      </c>
      <c r="D155" s="35" t="str">
        <f>VLOOKUP(A155,'The List'!B1:F727,5,FALSE)</f>
        <v>OTT</v>
      </c>
      <c r="E155" s="39">
        <f>VLOOKUP(A155,'The List'!B1:I727,8,FALSE)</f>
        <v>114.73942916987865</v>
      </c>
      <c r="F155" s="39">
        <f>IF(Settings!$E$15="POINTS",E155-VLOOKUP(B$2,C1:E227,3,FALSE),J155)</f>
        <v>-196.82605245804882</v>
      </c>
      <c r="G155" s="39"/>
      <c r="H155" s="138">
        <f>RANK(I155,I3:I227)</f>
        <v>137</v>
      </c>
      <c r="I155" s="139">
        <f>VLOOKUP(A155,'Standard Deviations'!A1:C728,3,FALSE)</f>
        <v>-1.7706550195897264</v>
      </c>
      <c r="J155" s="139">
        <f>I155-VLOOKUP(B$2,H1:J227,2,FALSE)</f>
        <v>-7.3158277872739195</v>
      </c>
    </row>
    <row r="156" spans="1:10" ht="21.25" customHeight="1" x14ac:dyDescent="0.15">
      <c r="A156" s="8" t="s">
        <v>534</v>
      </c>
      <c r="B156" s="144" t="str">
        <f>VLOOKUP(A156,'The List'!B1:D727,3,FALSE)</f>
        <v>D</v>
      </c>
      <c r="C156" s="145">
        <f>IF(Settings!$E$15="POINTS",RANK(E156,E3:E227),H156)</f>
        <v>154</v>
      </c>
      <c r="D156" s="35" t="str">
        <f>VLOOKUP(A156,'The List'!B1:F727,5,FALSE)</f>
        <v>MTL</v>
      </c>
      <c r="E156" s="39">
        <f>VLOOKUP(A156,'The List'!B1:I727,8,FALSE)</f>
        <v>114.61106305560224</v>
      </c>
      <c r="F156" s="39">
        <f>IF(Settings!$E$15="POINTS",E156-VLOOKUP(B$2,C1:E227,3,FALSE),J156)</f>
        <v>-196.95441857232521</v>
      </c>
      <c r="G156" s="39"/>
      <c r="H156" s="138">
        <f>RANK(I156,I3:I227)</f>
        <v>191</v>
      </c>
      <c r="I156" s="139">
        <f>VLOOKUP(A156,'Standard Deviations'!A1:C728,3,FALSE)</f>
        <v>-3.7265877609953098</v>
      </c>
      <c r="J156" s="139">
        <f>I156-VLOOKUP(B$2,H1:J227,2,FALSE)</f>
        <v>-9.2717605286795024</v>
      </c>
    </row>
    <row r="157" spans="1:10" ht="21.25" customHeight="1" x14ac:dyDescent="0.15">
      <c r="A157" s="8" t="s">
        <v>537</v>
      </c>
      <c r="B157" s="144" t="str">
        <f>VLOOKUP(A157,'The List'!B1:D727,3,FALSE)</f>
        <v>D</v>
      </c>
      <c r="C157" s="145">
        <f>IF(Settings!$E$15="POINTS",RANK(E157,E3:E227),H157)</f>
        <v>155</v>
      </c>
      <c r="D157" s="35" t="str">
        <f>VLOOKUP(A157,'The List'!B1:F727,5,FALSE)</f>
        <v>FLA</v>
      </c>
      <c r="E157" s="39">
        <f>VLOOKUP(A157,'The List'!B1:I727,8,FALSE)</f>
        <v>113.29010119794154</v>
      </c>
      <c r="F157" s="39">
        <f>IF(Settings!$E$15="POINTS",E157-VLOOKUP(B$2,C1:E227,3,FALSE),J157)</f>
        <v>-198.27538042998592</v>
      </c>
      <c r="G157" s="39"/>
      <c r="H157" s="138">
        <f>RANK(I157,I3:I227)</f>
        <v>153</v>
      </c>
      <c r="I157" s="139">
        <f>VLOOKUP(A157,'Standard Deviations'!A1:C728,3,FALSE)</f>
        <v>-2.3344105764763259</v>
      </c>
      <c r="J157" s="139">
        <f>I157-VLOOKUP(B$2,H1:J227,2,FALSE)</f>
        <v>-7.879583344160519</v>
      </c>
    </row>
    <row r="158" spans="1:10" ht="21.25" customHeight="1" x14ac:dyDescent="0.15">
      <c r="A158" s="8" t="s">
        <v>541</v>
      </c>
      <c r="B158" s="144" t="str">
        <f>VLOOKUP(A158,'The List'!B1:D727,3,FALSE)</f>
        <v>D</v>
      </c>
      <c r="C158" s="145">
        <f>IF(Settings!$E$15="POINTS",RANK(E158,E3:E227),H158)</f>
        <v>156</v>
      </c>
      <c r="D158" s="35" t="str">
        <f>VLOOKUP(A158,'The List'!B1:F727,5,FALSE)</f>
        <v>COL</v>
      </c>
      <c r="E158" s="39">
        <f>VLOOKUP(A158,'The List'!B1:I727,8,FALSE)</f>
        <v>112.50015599075675</v>
      </c>
      <c r="F158" s="39">
        <f>IF(Settings!$E$15="POINTS",E158-VLOOKUP(B$2,C1:E227,3,FALSE),J158)</f>
        <v>-199.0653256371707</v>
      </c>
      <c r="G158" s="39"/>
      <c r="H158" s="138">
        <f>RANK(I158,I3:I227)</f>
        <v>133</v>
      </c>
      <c r="I158" s="139">
        <f>VLOOKUP(A158,'Standard Deviations'!A1:C728,3,FALSE)</f>
        <v>-1.6365213789159898</v>
      </c>
      <c r="J158" s="139">
        <f>I158-VLOOKUP(B$2,H1:J227,2,FALSE)</f>
        <v>-7.1816941466001829</v>
      </c>
    </row>
    <row r="159" spans="1:10" ht="21.25" customHeight="1" x14ac:dyDescent="0.15">
      <c r="A159" s="8" t="s">
        <v>545</v>
      </c>
      <c r="B159" s="144" t="str">
        <f>VLOOKUP(A159,'The List'!B1:D727,3,FALSE)</f>
        <v>D</v>
      </c>
      <c r="C159" s="145">
        <f>IF(Settings!$E$15="POINTS",RANK(E159,E3:E227),H159)</f>
        <v>157</v>
      </c>
      <c r="D159" s="35" t="str">
        <f>VLOOKUP(A159,'The List'!B1:F727,5,FALSE)</f>
        <v>SJS</v>
      </c>
      <c r="E159" s="39">
        <f>VLOOKUP(A159,'The List'!B1:I727,8,FALSE)</f>
        <v>110.98913045484264</v>
      </c>
      <c r="F159" s="39">
        <f>IF(Settings!$E$15="POINTS",E159-VLOOKUP(B$2,C1:E227,3,FALSE),J159)</f>
        <v>-200.57635117308482</v>
      </c>
      <c r="G159" s="39"/>
      <c r="H159" s="138">
        <f>RANK(I159,I3:I227)</f>
        <v>145</v>
      </c>
      <c r="I159" s="139">
        <f>VLOOKUP(A159,'Standard Deviations'!A1:C728,3,FALSE)</f>
        <v>-1.9950380840399717</v>
      </c>
      <c r="J159" s="139">
        <f>I159-VLOOKUP(B$2,H1:J227,2,FALSE)</f>
        <v>-7.5402108517241642</v>
      </c>
    </row>
    <row r="160" spans="1:10" ht="21.25" customHeight="1" x14ac:dyDescent="0.15">
      <c r="A160" s="8" t="s">
        <v>547</v>
      </c>
      <c r="B160" s="144" t="str">
        <f>VLOOKUP(A160,'The List'!B1:D727,3,FALSE)</f>
        <v>D</v>
      </c>
      <c r="C160" s="145">
        <f>IF(Settings!$E$15="POINTS",RANK(E160,E3:E227),H160)</f>
        <v>159</v>
      </c>
      <c r="D160" s="35" t="str">
        <f>VLOOKUP(A160,'The List'!B1:F727,5,FALSE)</f>
        <v>STL</v>
      </c>
      <c r="E160" s="39">
        <f>VLOOKUP(A160,'The List'!B1:I727,8,FALSE)</f>
        <v>110.9125140798246</v>
      </c>
      <c r="F160" s="39">
        <f>IF(Settings!$E$15="POINTS",E160-VLOOKUP(B$2,C1:E227,3,FALSE),J160)</f>
        <v>-200.65296754810285</v>
      </c>
      <c r="G160" s="39"/>
      <c r="H160" s="138">
        <f>RANK(I160,I3:I227)</f>
        <v>197</v>
      </c>
      <c r="I160" s="139">
        <f>VLOOKUP(A160,'Standard Deviations'!A1:C728,3,FALSE)</f>
        <v>-3.9090353736113097</v>
      </c>
      <c r="J160" s="139">
        <f>I160-VLOOKUP(B$2,H1:J227,2,FALSE)</f>
        <v>-9.4542081412955028</v>
      </c>
    </row>
    <row r="161" spans="1:10" ht="21.25" customHeight="1" x14ac:dyDescent="0.15">
      <c r="A161" s="8" t="s">
        <v>548</v>
      </c>
      <c r="B161" s="144" t="str">
        <f>VLOOKUP(A161,'The List'!B1:D727,3,FALSE)</f>
        <v>D</v>
      </c>
      <c r="C161" s="145">
        <f>IF(Settings!$E$15="POINTS",RANK(E161,E3:E227),H161)</f>
        <v>160</v>
      </c>
      <c r="D161" s="35" t="str">
        <f>VLOOKUP(A161,'The List'!B1:F727,5,FALSE)</f>
        <v>MIN</v>
      </c>
      <c r="E161" s="39">
        <f>VLOOKUP(A161,'The List'!B1:I727,8,FALSE)</f>
        <v>110.65096779793963</v>
      </c>
      <c r="F161" s="39">
        <f>IF(Settings!$E$15="POINTS",E161-VLOOKUP(B$2,C1:E227,3,FALSE),J161)</f>
        <v>-200.91451382998781</v>
      </c>
      <c r="G161" s="39"/>
      <c r="H161" s="138">
        <f>RANK(I161,I3:I227)</f>
        <v>139</v>
      </c>
      <c r="I161" s="139">
        <f>VLOOKUP(A161,'Standard Deviations'!A1:C728,3,FALSE)</f>
        <v>-1.8249925351597114</v>
      </c>
      <c r="J161" s="139">
        <f>I161-VLOOKUP(B$2,H1:J227,2,FALSE)</f>
        <v>-7.3701653028439038</v>
      </c>
    </row>
    <row r="162" spans="1:10" ht="21.25" customHeight="1" x14ac:dyDescent="0.15">
      <c r="A162" s="8" t="s">
        <v>550</v>
      </c>
      <c r="B162" s="144" t="str">
        <f>VLOOKUP(A162,'The List'!B1:D727,3,FALSE)</f>
        <v>D</v>
      </c>
      <c r="C162" s="145">
        <f>IF(Settings!$E$15="POINTS",RANK(E162,E3:E227),H162)</f>
        <v>161</v>
      </c>
      <c r="D162" s="35" t="str">
        <f>VLOOKUP(A162,'The List'!B1:F727,5,FALSE)</f>
        <v>ARI</v>
      </c>
      <c r="E162" s="39">
        <f>VLOOKUP(A162,'The List'!B1:I727,8,FALSE)</f>
        <v>110.26336589007438</v>
      </c>
      <c r="F162" s="39">
        <f>IF(Settings!$E$15="POINTS",E162-VLOOKUP(B$2,C1:E227,3,FALSE),J162)</f>
        <v>-201.30211573785306</v>
      </c>
      <c r="G162" s="39"/>
      <c r="H162" s="138">
        <f>RANK(I162,I3:I227)</f>
        <v>180</v>
      </c>
      <c r="I162" s="139">
        <f>VLOOKUP(A162,'Standard Deviations'!A1:C728,3,FALSE)</f>
        <v>-3.423095443431114</v>
      </c>
      <c r="J162" s="139">
        <f>I162-VLOOKUP(B$2,H1:J227,2,FALSE)</f>
        <v>-8.9682682111153067</v>
      </c>
    </row>
    <row r="163" spans="1:10" ht="21.25" customHeight="1" x14ac:dyDescent="0.15">
      <c r="A163" s="8" t="s">
        <v>546</v>
      </c>
      <c r="B163" s="144" t="str">
        <f>VLOOKUP(A163,'The List'!B1:D727,3,FALSE)</f>
        <v>D</v>
      </c>
      <c r="C163" s="145">
        <f>IF(Settings!$E$15="POINTS",RANK(E163,E3:E227),H163)</f>
        <v>158</v>
      </c>
      <c r="D163" s="35" t="str">
        <f>VLOOKUP(A163,'The List'!B1:F727,5,FALSE)</f>
        <v>PHI</v>
      </c>
      <c r="E163" s="39">
        <f>VLOOKUP(A163,'The List'!B1:I727,8,FALSE)</f>
        <v>110.96466429361823</v>
      </c>
      <c r="F163" s="39">
        <f>IF(Settings!$E$15="POINTS",E163-VLOOKUP(B$2,C1:E227,3,FALSE),J163)</f>
        <v>-200.60081733430923</v>
      </c>
      <c r="G163" s="39"/>
      <c r="H163" s="138">
        <f>RANK(I163,I3:I227)</f>
        <v>161</v>
      </c>
      <c r="I163" s="139">
        <f>VLOOKUP(A163,'Standard Deviations'!A1:C728,3,FALSE)</f>
        <v>-2.6141441103873295</v>
      </c>
      <c r="J163" s="139">
        <f>I163-VLOOKUP(B$2,H1:J227,2,FALSE)</f>
        <v>-8.1593168780715217</v>
      </c>
    </row>
    <row r="164" spans="1:10" ht="21.25" customHeight="1" x14ac:dyDescent="0.15">
      <c r="A164" s="8" t="s">
        <v>552</v>
      </c>
      <c r="B164" s="144" t="str">
        <f>VLOOKUP(A164,'The List'!B1:D727,3,FALSE)</f>
        <v>D</v>
      </c>
      <c r="C164" s="145">
        <f>IF(Settings!$E$15="POINTS",RANK(E164,E3:E227),H164)</f>
        <v>162</v>
      </c>
      <c r="D164" s="35" t="str">
        <f>VLOOKUP(A164,'The List'!B1:F727,5,FALSE)</f>
        <v>CBJ</v>
      </c>
      <c r="E164" s="39">
        <f>VLOOKUP(A164,'The List'!B1:I727,8,FALSE)</f>
        <v>109.69228680422174</v>
      </c>
      <c r="F164" s="39">
        <f>IF(Settings!$E$15="POINTS",E164-VLOOKUP(B$2,C1:E227,3,FALSE),J164)</f>
        <v>-201.87319482370572</v>
      </c>
      <c r="G164" s="39"/>
      <c r="H164" s="138">
        <f>RANK(I164,I3:I227)</f>
        <v>189</v>
      </c>
      <c r="I164" s="139">
        <f>VLOOKUP(A164,'Standard Deviations'!A1:C728,3,FALSE)</f>
        <v>-3.620579549968423</v>
      </c>
      <c r="J164" s="139">
        <f>I164-VLOOKUP(B$2,H1:J227,2,FALSE)</f>
        <v>-9.1657523176526148</v>
      </c>
    </row>
    <row r="165" spans="1:10" ht="21.25" customHeight="1" x14ac:dyDescent="0.15">
      <c r="A165" s="8" t="s">
        <v>554</v>
      </c>
      <c r="B165" s="144" t="str">
        <f>VLOOKUP(A165,'The List'!B1:D727,3,FALSE)</f>
        <v>D</v>
      </c>
      <c r="C165" s="145">
        <f>IF(Settings!$E$15="POINTS",RANK(E165,E3:E227),H165)</f>
        <v>164</v>
      </c>
      <c r="D165" s="35" t="str">
        <f>VLOOKUP(A165,'The List'!B1:F727,5,FALSE)</f>
        <v>DAL</v>
      </c>
      <c r="E165" s="39">
        <f>VLOOKUP(A165,'The List'!B1:I727,8,FALSE)</f>
        <v>109.20069152143604</v>
      </c>
      <c r="F165" s="39">
        <f>IF(Settings!$E$15="POINTS",E165-VLOOKUP(B$2,C1:E227,3,FALSE),J165)</f>
        <v>-202.3647901064914</v>
      </c>
      <c r="G165" s="39"/>
      <c r="H165" s="138">
        <f>RANK(I165,I3:I227)</f>
        <v>141</v>
      </c>
      <c r="I165" s="139">
        <f>VLOOKUP(A165,'Standard Deviations'!A1:C728,3,FALSE)</f>
        <v>-1.9258228233985695</v>
      </c>
      <c r="J165" s="139">
        <f>I165-VLOOKUP(B$2,H1:J227,2,FALSE)</f>
        <v>-7.4709955910827617</v>
      </c>
    </row>
    <row r="166" spans="1:10" ht="21.25" customHeight="1" x14ac:dyDescent="0.15">
      <c r="A166" s="8" t="s">
        <v>553</v>
      </c>
      <c r="B166" s="144" t="str">
        <f>VLOOKUP(A166,'The List'!B1:D727,3,FALSE)</f>
        <v>D</v>
      </c>
      <c r="C166" s="145">
        <f>IF(Settings!$E$15="POINTS",RANK(E166,E3:E227),H166)</f>
        <v>163</v>
      </c>
      <c r="D166" s="35" t="str">
        <f>VLOOKUP(A166,'The List'!B1:F727,5,FALSE)</f>
        <v>STL</v>
      </c>
      <c r="E166" s="39">
        <f>VLOOKUP(A166,'The List'!B1:I727,8,FALSE)</f>
        <v>109.24688724293968</v>
      </c>
      <c r="F166" s="39">
        <f>IF(Settings!$E$15="POINTS",E166-VLOOKUP(B$2,C1:E227,3,FALSE),J166)</f>
        <v>-202.31859438498776</v>
      </c>
      <c r="G166" s="39"/>
      <c r="H166" s="138">
        <f>RANK(I166,I3:I227)</f>
        <v>176</v>
      </c>
      <c r="I166" s="139">
        <f>VLOOKUP(A166,'Standard Deviations'!A1:C728,3,FALSE)</f>
        <v>-3.3428802591533602</v>
      </c>
      <c r="J166" s="139">
        <f>I166-VLOOKUP(B$2,H1:J227,2,FALSE)</f>
        <v>-8.8880530268375537</v>
      </c>
    </row>
    <row r="167" spans="1:10" ht="21.25" customHeight="1" x14ac:dyDescent="0.15">
      <c r="A167" s="8" t="s">
        <v>558</v>
      </c>
      <c r="B167" s="144" t="str">
        <f>VLOOKUP(A167,'The List'!B1:D727,3,FALSE)</f>
        <v>D</v>
      </c>
      <c r="C167" s="145">
        <f>IF(Settings!$E$15="POINTS",RANK(E167,E3:E227),H167)</f>
        <v>166</v>
      </c>
      <c r="D167" s="35" t="str">
        <f>VLOOKUP(A167,'The List'!B1:F727,5,FALSE)</f>
        <v>NYR</v>
      </c>
      <c r="E167" s="39">
        <f>VLOOKUP(A167,'The List'!B1:I727,8,FALSE)</f>
        <v>107.72624033783221</v>
      </c>
      <c r="F167" s="39">
        <f>IF(Settings!$E$15="POINTS",E167-VLOOKUP(B$2,C1:E227,3,FALSE),J167)</f>
        <v>-203.83924129009523</v>
      </c>
      <c r="G167" s="39"/>
      <c r="H167" s="138">
        <f>RANK(I167,I3:I227)</f>
        <v>126</v>
      </c>
      <c r="I167" s="139">
        <f>VLOOKUP(A167,'Standard Deviations'!A1:C728,3,FALSE)</f>
        <v>-1.5203209964740125</v>
      </c>
      <c r="J167" s="139">
        <f>I167-VLOOKUP(B$2,H1:J227,2,FALSE)</f>
        <v>-7.0654937641582052</v>
      </c>
    </row>
    <row r="168" spans="1:10" ht="21.25" customHeight="1" x14ac:dyDescent="0.15">
      <c r="A168" s="8" t="s">
        <v>555</v>
      </c>
      <c r="B168" s="144" t="str">
        <f>VLOOKUP(A168,'The List'!B1:D727,3,FALSE)</f>
        <v>D</v>
      </c>
      <c r="C168" s="145">
        <f>IF(Settings!$E$15="POINTS",RANK(E168,E3:E227),H168)</f>
        <v>165</v>
      </c>
      <c r="D168" s="35" t="str">
        <f>VLOOKUP(A168,'The List'!B1:F727,5,FALSE)</f>
        <v>PIT</v>
      </c>
      <c r="E168" s="39">
        <f>VLOOKUP(A168,'The List'!B1:I727,8,FALSE)</f>
        <v>108.26489022723895</v>
      </c>
      <c r="F168" s="39">
        <f>IF(Settings!$E$15="POINTS",E168-VLOOKUP(B$2,C1:E227,3,FALSE),J168)</f>
        <v>-203.30059140068852</v>
      </c>
      <c r="G168" s="39"/>
      <c r="H168" s="138">
        <f>RANK(I168,I3:I227)</f>
        <v>159</v>
      </c>
      <c r="I168" s="139">
        <f>VLOOKUP(A168,'Standard Deviations'!A1:C728,3,FALSE)</f>
        <v>-2.4870665883182781</v>
      </c>
      <c r="J168" s="139">
        <f>I168-VLOOKUP(B$2,H1:J227,2,FALSE)</f>
        <v>-8.0322393560024707</v>
      </c>
    </row>
    <row r="169" spans="1:10" ht="21.25" customHeight="1" x14ac:dyDescent="0.15">
      <c r="A169" s="8" t="s">
        <v>563</v>
      </c>
      <c r="B169" s="144" t="str">
        <f>VLOOKUP(A169,'The List'!B1:D727,3,FALSE)</f>
        <v>D</v>
      </c>
      <c r="C169" s="145">
        <f>IF(Settings!$E$15="POINTS",RANK(E169,E3:E227),H169)</f>
        <v>167</v>
      </c>
      <c r="D169" s="35" t="str">
        <f>VLOOKUP(A169,'The List'!B1:F727,5,FALSE)</f>
        <v>DAL</v>
      </c>
      <c r="E169" s="39">
        <f>VLOOKUP(A169,'The List'!B1:I727,8,FALSE)</f>
        <v>105.70941021727675</v>
      </c>
      <c r="F169" s="39">
        <f>IF(Settings!$E$15="POINTS",E169-VLOOKUP(B$2,C1:E227,3,FALSE),J169)</f>
        <v>-205.85607141065071</v>
      </c>
      <c r="G169" s="39"/>
      <c r="H169" s="138">
        <f>RANK(I169,I3:I227)</f>
        <v>112</v>
      </c>
      <c r="I169" s="139">
        <f>VLOOKUP(A169,'Standard Deviations'!A1:C728,3,FALSE)</f>
        <v>-1.0179443143085374</v>
      </c>
      <c r="J169" s="139">
        <f>I169-VLOOKUP(B$2,H1:J227,2,FALSE)</f>
        <v>-6.56311708199273</v>
      </c>
    </row>
    <row r="170" spans="1:10" ht="21.25" customHeight="1" x14ac:dyDescent="0.15">
      <c r="A170" s="8" t="s">
        <v>569</v>
      </c>
      <c r="B170" s="144" t="str">
        <f>VLOOKUP(A170,'The List'!B1:D727,3,FALSE)</f>
        <v>D</v>
      </c>
      <c r="C170" s="145">
        <f>IF(Settings!$E$15="POINTS",RANK(E170,E3:E227),H170)</f>
        <v>170</v>
      </c>
      <c r="D170" s="35" t="str">
        <f>VLOOKUP(A170,'The List'!B1:F727,5,FALSE)</f>
        <v>MTL</v>
      </c>
      <c r="E170" s="39">
        <f>VLOOKUP(A170,'The List'!B1:I727,8,FALSE)</f>
        <v>104.51515341991423</v>
      </c>
      <c r="F170" s="39">
        <f>IF(Settings!$E$15="POINTS",E170-VLOOKUP(B$2,C1:E227,3,FALSE),J170)</f>
        <v>-207.05032820801324</v>
      </c>
      <c r="G170" s="39"/>
      <c r="H170" s="138">
        <f>RANK(I170,I3:I227)</f>
        <v>211</v>
      </c>
      <c r="I170" s="139">
        <f>VLOOKUP(A170,'Standard Deviations'!A1:C728,3,FALSE)</f>
        <v>-4.2685441938768331</v>
      </c>
      <c r="J170" s="139">
        <f>I170-VLOOKUP(B$2,H1:J227,2,FALSE)</f>
        <v>-9.8137169615610258</v>
      </c>
    </row>
    <row r="171" spans="1:10" ht="21.25" customHeight="1" x14ac:dyDescent="0.15">
      <c r="A171" s="8" t="s">
        <v>571</v>
      </c>
      <c r="B171" s="144" t="str">
        <f>VLOOKUP(A171,'The List'!B1:D727,3,FALSE)</f>
        <v>D</v>
      </c>
      <c r="C171" s="145">
        <f>IF(Settings!$E$15="POINTS",RANK(E171,E3:E227),H171)</f>
        <v>171</v>
      </c>
      <c r="D171" s="35" t="str">
        <f>VLOOKUP(A171,'The List'!B1:F727,5,FALSE)</f>
        <v>CGY</v>
      </c>
      <c r="E171" s="39">
        <f>VLOOKUP(A171,'The List'!B1:I727,8,FALSE)</f>
        <v>104.1696181058001</v>
      </c>
      <c r="F171" s="39">
        <f>IF(Settings!$E$15="POINTS",E171-VLOOKUP(B$2,C1:E227,3,FALSE),J171)</f>
        <v>-207.39586352212734</v>
      </c>
      <c r="G171" s="39"/>
      <c r="H171" s="138">
        <f>RANK(I171,I3:I227)</f>
        <v>164</v>
      </c>
      <c r="I171" s="139">
        <f>VLOOKUP(A171,'Standard Deviations'!A1:C728,3,FALSE)</f>
        <v>-2.7597864899575155</v>
      </c>
      <c r="J171" s="139">
        <f>I171-VLOOKUP(B$2,H1:J227,2,FALSE)</f>
        <v>-8.3049592576417091</v>
      </c>
    </row>
    <row r="172" spans="1:10" ht="21.25" customHeight="1" x14ac:dyDescent="0.15">
      <c r="A172" s="8" t="s">
        <v>567</v>
      </c>
      <c r="B172" s="144" t="str">
        <f>VLOOKUP(A172,'The List'!B1:D727,3,FALSE)</f>
        <v>D</v>
      </c>
      <c r="C172" s="145">
        <f>IF(Settings!$E$15="POINTS",RANK(E172,E3:E227),H172)</f>
        <v>168</v>
      </c>
      <c r="D172" s="35" t="str">
        <f>VLOOKUP(A172,'The List'!B1:F727,5,FALSE)</f>
        <v>WSH</v>
      </c>
      <c r="E172" s="39">
        <f>VLOOKUP(A172,'The List'!B1:I727,8,FALSE)</f>
        <v>105.07090260922206</v>
      </c>
      <c r="F172" s="39">
        <f>IF(Settings!$E$15="POINTS",E172-VLOOKUP(B$2,C1:E227,3,FALSE),J172)</f>
        <v>-206.49457901870539</v>
      </c>
      <c r="G172" s="39"/>
      <c r="H172" s="138">
        <f>RANK(I172,I3:I227)</f>
        <v>169</v>
      </c>
      <c r="I172" s="139">
        <f>VLOOKUP(A172,'Standard Deviations'!A1:C728,3,FALSE)</f>
        <v>-3.1126635325572369</v>
      </c>
      <c r="J172" s="139">
        <f>I172-VLOOKUP(B$2,H1:J227,2,FALSE)</f>
        <v>-8.6578363002414296</v>
      </c>
    </row>
    <row r="173" spans="1:10" ht="21.25" customHeight="1" x14ac:dyDescent="0.15">
      <c r="A173" s="8" t="s">
        <v>568</v>
      </c>
      <c r="B173" s="144" t="str">
        <f>VLOOKUP(A173,'The List'!B1:D727,3,FALSE)</f>
        <v>D</v>
      </c>
      <c r="C173" s="145">
        <f>IF(Settings!$E$15="POINTS",RANK(E173,E3:E227),H173)</f>
        <v>169</v>
      </c>
      <c r="D173" s="35" t="str">
        <f>VLOOKUP(A173,'The List'!B1:F727,5,FALSE)</f>
        <v>WPG</v>
      </c>
      <c r="E173" s="39">
        <f>VLOOKUP(A173,'The List'!B1:I727,8,FALSE)</f>
        <v>104.73600431870783</v>
      </c>
      <c r="F173" s="39">
        <f>IF(Settings!$E$15="POINTS",E173-VLOOKUP(B$2,C1:E227,3,FALSE),J173)</f>
        <v>-206.82947730921961</v>
      </c>
      <c r="G173" s="39"/>
      <c r="H173" s="138">
        <f>RANK(I173,I3:I227)</f>
        <v>135</v>
      </c>
      <c r="I173" s="139">
        <f>VLOOKUP(A173,'Standard Deviations'!A1:C728,3,FALSE)</f>
        <v>-1.7253169958303687</v>
      </c>
      <c r="J173" s="139">
        <f>I173-VLOOKUP(B$2,H1:J227,2,FALSE)</f>
        <v>-7.2704897635145613</v>
      </c>
    </row>
    <row r="174" spans="1:10" ht="21.25" customHeight="1" x14ac:dyDescent="0.15">
      <c r="A174" s="8" t="s">
        <v>574</v>
      </c>
      <c r="B174" s="144" t="str">
        <f>VLOOKUP(A174,'The List'!B1:D727,3,FALSE)</f>
        <v>D</v>
      </c>
      <c r="C174" s="145">
        <f>IF(Settings!$E$15="POINTS",RANK(E174,E3:E227),H174)</f>
        <v>172</v>
      </c>
      <c r="D174" s="35" t="str">
        <f>VLOOKUP(A174,'The List'!B1:F727,5,FALSE)</f>
        <v>FLA</v>
      </c>
      <c r="E174" s="39">
        <f>VLOOKUP(A174,'The List'!B1:I727,8,FALSE)</f>
        <v>103.01550054873837</v>
      </c>
      <c r="F174" s="39">
        <f>IF(Settings!$E$15="POINTS",E174-VLOOKUP(B$2,C1:E227,3,FALSE),J174)</f>
        <v>-208.54998107918908</v>
      </c>
      <c r="G174" s="39"/>
      <c r="H174" s="138">
        <f>RANK(I174,I3:I227)</f>
        <v>147</v>
      </c>
      <c r="I174" s="139">
        <f>VLOOKUP(A174,'Standard Deviations'!A1:C728,3,FALSE)</f>
        <v>-2.075130888832696</v>
      </c>
      <c r="J174" s="139">
        <f>I174-VLOOKUP(B$2,H1:J227,2,FALSE)</f>
        <v>-7.6203036565168887</v>
      </c>
    </row>
    <row r="175" spans="1:10" ht="21.25" customHeight="1" x14ac:dyDescent="0.15">
      <c r="A175" s="8" t="s">
        <v>578</v>
      </c>
      <c r="B175" s="144" t="str">
        <f>VLOOKUP(A175,'The List'!B1:D727,3,FALSE)</f>
        <v>D</v>
      </c>
      <c r="C175" s="145">
        <f>IF(Settings!$E$15="POINTS",RANK(E175,E3:E227),H175)</f>
        <v>174</v>
      </c>
      <c r="D175" s="35" t="str">
        <f>VLOOKUP(A175,'The List'!B1:F727,5,FALSE)</f>
        <v>SJS</v>
      </c>
      <c r="E175" s="39">
        <f>VLOOKUP(A175,'The List'!B1:I727,8,FALSE)</f>
        <v>102.18820549893111</v>
      </c>
      <c r="F175" s="39">
        <f>IF(Settings!$E$15="POINTS",E175-VLOOKUP(B$2,C1:E227,3,FALSE),J175)</f>
        <v>-209.37727612899636</v>
      </c>
      <c r="G175" s="39"/>
      <c r="H175" s="138">
        <f>RANK(I175,I3:I227)</f>
        <v>155</v>
      </c>
      <c r="I175" s="139">
        <f>VLOOKUP(A175,'Standard Deviations'!A1:C728,3,FALSE)</f>
        <v>-2.3595295474717268</v>
      </c>
      <c r="J175" s="139">
        <f>I175-VLOOKUP(B$2,H1:J227,2,FALSE)</f>
        <v>-7.9047023151559195</v>
      </c>
    </row>
    <row r="176" spans="1:10" ht="21.25" customHeight="1" x14ac:dyDescent="0.15">
      <c r="A176" s="8" t="s">
        <v>577</v>
      </c>
      <c r="B176" s="144" t="str">
        <f>VLOOKUP(A176,'The List'!B1:D727,3,FALSE)</f>
        <v>D</v>
      </c>
      <c r="C176" s="145">
        <f>IF(Settings!$E$15="POINTS",RANK(E176,E3:E227),H176)</f>
        <v>173</v>
      </c>
      <c r="D176" s="35" t="str">
        <f>VLOOKUP(A176,'The List'!B1:F727,5,FALSE)</f>
        <v>BOS</v>
      </c>
      <c r="E176" s="39">
        <f>VLOOKUP(A176,'The List'!B1:I727,8,FALSE)</f>
        <v>102.34477059419767</v>
      </c>
      <c r="F176" s="39">
        <f>IF(Settings!$E$15="POINTS",E176-VLOOKUP(B$2,C1:E227,3,FALSE),J176)</f>
        <v>-209.2207110337298</v>
      </c>
      <c r="G176" s="39"/>
      <c r="H176" s="138">
        <f>RANK(I176,I3:I227)</f>
        <v>140</v>
      </c>
      <c r="I176" s="139">
        <f>VLOOKUP(A176,'Standard Deviations'!A1:C728,3,FALSE)</f>
        <v>-1.8726720882690295</v>
      </c>
      <c r="J176" s="139">
        <f>I176-VLOOKUP(B$2,H1:J227,2,FALSE)</f>
        <v>-7.4178448559532217</v>
      </c>
    </row>
    <row r="177" spans="1:10" ht="21.25" customHeight="1" x14ac:dyDescent="0.15">
      <c r="A177" s="8" t="s">
        <v>583</v>
      </c>
      <c r="B177" s="144" t="str">
        <f>VLOOKUP(A177,'The List'!B1:D727,3,FALSE)</f>
        <v>D</v>
      </c>
      <c r="C177" s="145">
        <f>IF(Settings!$E$15="POINTS",RANK(E177,E3:E227),H177)</f>
        <v>175</v>
      </c>
      <c r="D177" s="35" t="str">
        <f>VLOOKUP(A177,'The List'!B1:F727,5,FALSE)</f>
        <v>ANA</v>
      </c>
      <c r="E177" s="39">
        <f>VLOOKUP(A177,'The List'!B1:I727,8,FALSE)</f>
        <v>99.199878896946004</v>
      </c>
      <c r="F177" s="39">
        <f>IF(Settings!$E$15="POINTS",E177-VLOOKUP(B$2,C1:E227,3,FALSE),J177)</f>
        <v>-212.36560273098144</v>
      </c>
      <c r="G177" s="39"/>
      <c r="H177" s="138">
        <f>RANK(I177,I3:I227)</f>
        <v>208</v>
      </c>
      <c r="I177" s="139">
        <f>VLOOKUP(A177,'Standard Deviations'!A1:C728,3,FALSE)</f>
        <v>-4.1846635547028832</v>
      </c>
      <c r="J177" s="139">
        <f>I177-VLOOKUP(B$2,H1:J227,2,FALSE)</f>
        <v>-9.7298363223870759</v>
      </c>
    </row>
    <row r="178" spans="1:10" ht="21.25" customHeight="1" x14ac:dyDescent="0.15">
      <c r="A178" s="8" t="s">
        <v>585</v>
      </c>
      <c r="B178" s="144" t="str">
        <f>VLOOKUP(A178,'The List'!B1:D727,3,FALSE)</f>
        <v>D</v>
      </c>
      <c r="C178" s="145">
        <f>IF(Settings!$E$15="POINTS",RANK(E178,E3:E227),H178)</f>
        <v>176</v>
      </c>
      <c r="D178" s="35" t="str">
        <f>VLOOKUP(A178,'The List'!B1:F727,5,FALSE)</f>
        <v>SEA</v>
      </c>
      <c r="E178" s="39">
        <f>VLOOKUP(A178,'The List'!B1:I727,8,FALSE)</f>
        <v>98.961480659164053</v>
      </c>
      <c r="F178" s="39">
        <f>IF(Settings!$E$15="POINTS",E178-VLOOKUP(B$2,C1:E227,3,FALSE),J178)</f>
        <v>-212.60400096876339</v>
      </c>
      <c r="G178" s="39"/>
      <c r="H178" s="138">
        <f>RANK(I178,I3:I227)</f>
        <v>172</v>
      </c>
      <c r="I178" s="139">
        <f>VLOOKUP(A178,'Standard Deviations'!A1:C728,3,FALSE)</f>
        <v>-3.1565134711332048</v>
      </c>
      <c r="J178" s="139">
        <f>I178-VLOOKUP(B$2,H1:J227,2,FALSE)</f>
        <v>-8.7016862388173983</v>
      </c>
    </row>
    <row r="179" spans="1:10" ht="21.25" customHeight="1" x14ac:dyDescent="0.15">
      <c r="A179" s="8" t="s">
        <v>587</v>
      </c>
      <c r="B179" s="144" t="str">
        <f>VLOOKUP(A179,'The List'!B1:D727,3,FALSE)</f>
        <v>D</v>
      </c>
      <c r="C179" s="145">
        <f>IF(Settings!$E$15="POINTS",RANK(E179,E3:E227),H179)</f>
        <v>177</v>
      </c>
      <c r="D179" s="35" t="str">
        <f>VLOOKUP(A179,'The List'!B1:F727,5,FALSE)</f>
        <v>CAR</v>
      </c>
      <c r="E179" s="39">
        <f>VLOOKUP(A179,'The List'!B1:I727,8,FALSE)</f>
        <v>98.646333248000204</v>
      </c>
      <c r="F179" s="39">
        <f>IF(Settings!$E$15="POINTS",E179-VLOOKUP(B$2,C1:E227,3,FALSE),J179)</f>
        <v>-212.91914837992726</v>
      </c>
      <c r="G179" s="39"/>
      <c r="H179" s="138">
        <f>RANK(I179,I3:I227)</f>
        <v>181</v>
      </c>
      <c r="I179" s="139">
        <f>VLOOKUP(A179,'Standard Deviations'!A1:C728,3,FALSE)</f>
        <v>-3.4420627574231037</v>
      </c>
      <c r="J179" s="139">
        <f>I179-VLOOKUP(B$2,H1:J227,2,FALSE)</f>
        <v>-8.9872355251072964</v>
      </c>
    </row>
    <row r="180" spans="1:10" ht="21.25" customHeight="1" x14ac:dyDescent="0.15">
      <c r="A180" s="8" t="s">
        <v>592</v>
      </c>
      <c r="B180" s="144" t="str">
        <f>VLOOKUP(A180,'The List'!B1:D727,3,FALSE)</f>
        <v>D</v>
      </c>
      <c r="C180" s="145">
        <f>IF(Settings!$E$15="POINTS",RANK(E180,E3:E227),H180)</f>
        <v>179</v>
      </c>
      <c r="D180" s="35" t="str">
        <f>VLOOKUP(A180,'The List'!B1:F727,5,FALSE)</f>
        <v>MTL</v>
      </c>
      <c r="E180" s="39">
        <f>VLOOKUP(A180,'The List'!B1:I727,8,FALSE)</f>
        <v>96.085583696635467</v>
      </c>
      <c r="F180" s="39">
        <f>IF(Settings!$E$15="POINTS",E180-VLOOKUP(B$2,C1:E227,3,FALSE),J180)</f>
        <v>-215.47989793129199</v>
      </c>
      <c r="G180" s="39"/>
      <c r="H180" s="138">
        <f>RANK(I180,I3:I227)</f>
        <v>219</v>
      </c>
      <c r="I180" s="139">
        <f>VLOOKUP(A180,'Standard Deviations'!A1:C728,3,FALSE)</f>
        <v>-5.121377537104765</v>
      </c>
      <c r="J180" s="139">
        <f>I180-VLOOKUP(B$2,H1:J227,2,FALSE)</f>
        <v>-10.666550304788958</v>
      </c>
    </row>
    <row r="181" spans="1:10" ht="21.25" customHeight="1" x14ac:dyDescent="0.15">
      <c r="A181" s="8" t="s">
        <v>591</v>
      </c>
      <c r="B181" s="144" t="str">
        <f>VLOOKUP(A181,'The List'!B1:D727,3,FALSE)</f>
        <v>D</v>
      </c>
      <c r="C181" s="145">
        <f>IF(Settings!$E$15="POINTS",RANK(E181,E3:E227),H181)</f>
        <v>178</v>
      </c>
      <c r="D181" s="35" t="str">
        <f>VLOOKUP(A181,'The List'!B1:F727,5,FALSE)</f>
        <v>NSH</v>
      </c>
      <c r="E181" s="39">
        <f>VLOOKUP(A181,'The List'!B1:I727,8,FALSE)</f>
        <v>96.596283680660832</v>
      </c>
      <c r="F181" s="39">
        <f>IF(Settings!$E$15="POINTS",E181-VLOOKUP(B$2,C1:E227,3,FALSE),J181)</f>
        <v>-214.96919794726662</v>
      </c>
      <c r="G181" s="39"/>
      <c r="H181" s="138">
        <f>RANK(I181,I3:I227)</f>
        <v>192</v>
      </c>
      <c r="I181" s="139">
        <f>VLOOKUP(A181,'Standard Deviations'!A1:C728,3,FALSE)</f>
        <v>-3.789186032793745</v>
      </c>
      <c r="J181" s="139">
        <f>I181-VLOOKUP(B$2,H1:J227,2,FALSE)</f>
        <v>-9.3343588004779381</v>
      </c>
    </row>
    <row r="182" spans="1:10" ht="21.25" customHeight="1" x14ac:dyDescent="0.15">
      <c r="A182" s="8" t="s">
        <v>596</v>
      </c>
      <c r="B182" s="144" t="str">
        <f>VLOOKUP(A182,'The List'!B1:D727,3,FALSE)</f>
        <v>D</v>
      </c>
      <c r="C182" s="145">
        <f>IF(Settings!$E$15="POINTS",RANK(E182,E3:E227),H182)</f>
        <v>180</v>
      </c>
      <c r="D182" s="35" t="str">
        <f>VLOOKUP(A182,'The List'!B1:F727,5,FALSE)</f>
        <v>DET</v>
      </c>
      <c r="E182" s="39">
        <f>VLOOKUP(A182,'The List'!B1:I727,8,FALSE)</f>
        <v>94.692688610248425</v>
      </c>
      <c r="F182" s="39">
        <f>IF(Settings!$E$15="POINTS",E182-VLOOKUP(B$2,C1:E227,3,FALSE),J182)</f>
        <v>-216.87279301767904</v>
      </c>
      <c r="G182" s="39"/>
      <c r="H182" s="138">
        <f>RANK(I182,I3:I227)</f>
        <v>190</v>
      </c>
      <c r="I182" s="139">
        <f>VLOOKUP(A182,'Standard Deviations'!A1:C728,3,FALSE)</f>
        <v>-3.7155722764208643</v>
      </c>
      <c r="J182" s="139">
        <f>I182-VLOOKUP(B$2,H1:J227,2,FALSE)</f>
        <v>-9.2607450441050574</v>
      </c>
    </row>
    <row r="183" spans="1:10" ht="21.25" customHeight="1" x14ac:dyDescent="0.15">
      <c r="A183" s="8" t="s">
        <v>598</v>
      </c>
      <c r="B183" s="144" t="str">
        <f>VLOOKUP(A183,'The List'!B1:D727,3,FALSE)</f>
        <v>D</v>
      </c>
      <c r="C183" s="145">
        <f>IF(Settings!$E$15="POINTS",RANK(E183,E3:E227),H183)</f>
        <v>182</v>
      </c>
      <c r="D183" s="35" t="str">
        <f>VLOOKUP(A183,'The List'!B1:F727,5,FALSE)</f>
        <v>UFA</v>
      </c>
      <c r="E183" s="39">
        <f>VLOOKUP(A183,'The List'!B1:I727,8,FALSE)</f>
        <v>92.562363932770495</v>
      </c>
      <c r="F183" s="39">
        <f>IF(Settings!$E$15="POINTS",E183-VLOOKUP(B$2,C1:E227,3,FALSE),J183)</f>
        <v>-219.00311769515696</v>
      </c>
      <c r="G183" s="39"/>
      <c r="H183" s="138">
        <f>RANK(I183,I3:I227)</f>
        <v>184</v>
      </c>
      <c r="I183" s="139">
        <f>VLOOKUP(A183,'Standard Deviations'!A1:C728,3,FALSE)</f>
        <v>-3.5189953679760353</v>
      </c>
      <c r="J183" s="139">
        <f>I183-VLOOKUP(B$2,H1:J227,2,FALSE)</f>
        <v>-9.0641681356602284</v>
      </c>
    </row>
    <row r="184" spans="1:10" ht="21.25" customHeight="1" x14ac:dyDescent="0.15">
      <c r="A184" s="8" t="s">
        <v>597</v>
      </c>
      <c r="B184" s="144" t="str">
        <f>VLOOKUP(A184,'The List'!B1:D727,3,FALSE)</f>
        <v>D</v>
      </c>
      <c r="C184" s="145">
        <f>IF(Settings!$E$15="POINTS",RANK(E184,E3:E227),H184)</f>
        <v>181</v>
      </c>
      <c r="D184" s="35" t="str">
        <f>VLOOKUP(A184,'The List'!B1:F727,5,FALSE)</f>
        <v>BUF</v>
      </c>
      <c r="E184" s="39">
        <f>VLOOKUP(A184,'The List'!B1:I727,8,FALSE)</f>
        <v>92.782017803586598</v>
      </c>
      <c r="F184" s="39">
        <f>IF(Settings!$E$15="POINTS",E184-VLOOKUP(B$2,C1:E227,3,FALSE),J184)</f>
        <v>-218.78346382434086</v>
      </c>
      <c r="G184" s="39"/>
      <c r="H184" s="138">
        <f>RANK(I184,I3:I227)</f>
        <v>209</v>
      </c>
      <c r="I184" s="139">
        <f>VLOOKUP(A184,'Standard Deviations'!A1:C728,3,FALSE)</f>
        <v>-4.2126483134629682</v>
      </c>
      <c r="J184" s="139">
        <f>I184-VLOOKUP(B$2,H1:J227,2,FALSE)</f>
        <v>-9.75782108114716</v>
      </c>
    </row>
    <row r="185" spans="1:10" ht="21.25" customHeight="1" x14ac:dyDescent="0.15">
      <c r="A185" s="8" t="s">
        <v>605</v>
      </c>
      <c r="B185" s="144" t="str">
        <f>VLOOKUP(A185,'The List'!B1:D727,3,FALSE)</f>
        <v>D</v>
      </c>
      <c r="C185" s="145">
        <f>IF(Settings!$E$15="POINTS",RANK(E185,E3:E227),H185)</f>
        <v>184</v>
      </c>
      <c r="D185" s="35" t="str">
        <f>VLOOKUP(A185,'The List'!B1:F727,5,FALSE)</f>
        <v>NYI</v>
      </c>
      <c r="E185" s="39">
        <f>VLOOKUP(A185,'The List'!B1:I727,8,FALSE)</f>
        <v>88.760391687593966</v>
      </c>
      <c r="F185" s="39">
        <f>IF(Settings!$E$15="POINTS",E185-VLOOKUP(B$2,C1:E227,3,FALSE),J185)</f>
        <v>-222.80508994033349</v>
      </c>
      <c r="G185" s="39"/>
      <c r="H185" s="138">
        <f>RANK(I185,I3:I227)</f>
        <v>185</v>
      </c>
      <c r="I185" s="139">
        <f>VLOOKUP(A185,'Standard Deviations'!A1:C728,3,FALSE)</f>
        <v>-3.5271534810786997</v>
      </c>
      <c r="J185" s="139">
        <f>I185-VLOOKUP(B$2,H1:J227,2,FALSE)</f>
        <v>-9.0723262487628915</v>
      </c>
    </row>
    <row r="186" spans="1:10" ht="21.25" customHeight="1" x14ac:dyDescent="0.15">
      <c r="A186" s="8" t="s">
        <v>606</v>
      </c>
      <c r="B186" s="144" t="str">
        <f>VLOOKUP(A186,'The List'!B1:D727,3,FALSE)</f>
        <v>D</v>
      </c>
      <c r="C186" s="145">
        <f>IF(Settings!$E$15="POINTS",RANK(E186,E3:E227),H186)</f>
        <v>185</v>
      </c>
      <c r="D186" s="35" t="str">
        <f>VLOOKUP(A186,'The List'!B1:F727,5,FALSE)</f>
        <v>TOR</v>
      </c>
      <c r="E186" s="39">
        <f>VLOOKUP(A186,'The List'!B1:I727,8,FALSE)</f>
        <v>88.601396241788336</v>
      </c>
      <c r="F186" s="39">
        <f>IF(Settings!$E$15="POINTS",E186-VLOOKUP(B$2,C1:E227,3,FALSE),J186)</f>
        <v>-222.96408538613912</v>
      </c>
      <c r="G186" s="39"/>
      <c r="H186" s="138">
        <f>RANK(I186,I3:I227)</f>
        <v>174</v>
      </c>
      <c r="I186" s="139">
        <f>VLOOKUP(A186,'Standard Deviations'!A1:C728,3,FALSE)</f>
        <v>-3.2862174307638305</v>
      </c>
      <c r="J186" s="139">
        <f>I186-VLOOKUP(B$2,H1:J227,2,FALSE)</f>
        <v>-8.8313901984480232</v>
      </c>
    </row>
    <row r="187" spans="1:10" ht="21.25" customHeight="1" x14ac:dyDescent="0.15">
      <c r="A187" s="8" t="s">
        <v>607</v>
      </c>
      <c r="B187" s="144" t="str">
        <f>VLOOKUP(A187,'The List'!B1:D727,3,FALSE)</f>
        <v>D</v>
      </c>
      <c r="C187" s="145">
        <f>IF(Settings!$E$15="POINTS",RANK(E187,E3:E227),H187)</f>
        <v>186</v>
      </c>
      <c r="D187" s="35" t="str">
        <f>VLOOKUP(A187,'The List'!B1:F727,5,FALSE)</f>
        <v>PHI</v>
      </c>
      <c r="E187" s="39">
        <f>VLOOKUP(A187,'The List'!B1:I727,8,FALSE)</f>
        <v>88.201140703155914</v>
      </c>
      <c r="F187" s="39">
        <f>IF(Settings!$E$15="POINTS",E187-VLOOKUP(B$2,C1:E227,3,FALSE),J187)</f>
        <v>-223.36434092477154</v>
      </c>
      <c r="G187" s="39"/>
      <c r="H187" s="138">
        <f>RANK(I187,I3:I227)</f>
        <v>212</v>
      </c>
      <c r="I187" s="139">
        <f>VLOOKUP(A187,'Standard Deviations'!A1:C728,3,FALSE)</f>
        <v>-4.3210209240192281</v>
      </c>
      <c r="J187" s="139">
        <f>I187-VLOOKUP(B$2,H1:J227,2,FALSE)</f>
        <v>-9.8661936917034208</v>
      </c>
    </row>
    <row r="188" spans="1:10" ht="21.25" customHeight="1" x14ac:dyDescent="0.15">
      <c r="A188" s="8" t="s">
        <v>609</v>
      </c>
      <c r="B188" s="144" t="str">
        <f>VLOOKUP(A188,'The List'!B1:D727,3,FALSE)</f>
        <v>D</v>
      </c>
      <c r="C188" s="145">
        <f>IF(Settings!$E$15="POINTS",RANK(E188,E3:E227),H188)</f>
        <v>187</v>
      </c>
      <c r="D188" s="35" t="str">
        <f>VLOOKUP(A188,'The List'!B1:F727,5,FALSE)</f>
        <v>MIN</v>
      </c>
      <c r="E188" s="39">
        <f>VLOOKUP(A188,'The List'!B1:I727,8,FALSE)</f>
        <v>87.644356579731081</v>
      </c>
      <c r="F188" s="39">
        <f>IF(Settings!$E$15="POINTS",E188-VLOOKUP(B$2,C1:E227,3,FALSE),J188)</f>
        <v>-223.92112504819636</v>
      </c>
      <c r="G188" s="39"/>
      <c r="H188" s="138">
        <f>RANK(I188,I3:I227)</f>
        <v>162</v>
      </c>
      <c r="I188" s="139">
        <f>VLOOKUP(A188,'Standard Deviations'!A1:C728,3,FALSE)</f>
        <v>-2.6666591535141446</v>
      </c>
      <c r="J188" s="139">
        <f>I188-VLOOKUP(B$2,H1:J227,2,FALSE)</f>
        <v>-8.2118319211983373</v>
      </c>
    </row>
    <row r="189" spans="1:10" ht="21.25" customHeight="1" x14ac:dyDescent="0.15">
      <c r="A189" s="8" t="s">
        <v>613</v>
      </c>
      <c r="B189" s="144" t="str">
        <f>VLOOKUP(A189,'The List'!B1:D727,3,FALSE)</f>
        <v>D</v>
      </c>
      <c r="C189" s="145">
        <f>IF(Settings!$E$15="POINTS",RANK(E189,E3:E227),H189)</f>
        <v>188</v>
      </c>
      <c r="D189" s="35" t="str">
        <f>VLOOKUP(A189,'The List'!B1:F727,5,FALSE)</f>
        <v>ARI</v>
      </c>
      <c r="E189" s="39">
        <f>VLOOKUP(A189,'The List'!B1:I727,8,FALSE)</f>
        <v>87.154666770216778</v>
      </c>
      <c r="F189" s="39">
        <f>IF(Settings!$E$15="POINTS",E189-VLOOKUP(B$2,C1:E227,3,FALSE),J189)</f>
        <v>-224.41081485771068</v>
      </c>
      <c r="G189" s="39"/>
      <c r="H189" s="138">
        <f>RANK(I189,I3:I227)</f>
        <v>207</v>
      </c>
      <c r="I189" s="139">
        <f>VLOOKUP(A189,'Standard Deviations'!A1:C728,3,FALSE)</f>
        <v>-4.1454547662772683</v>
      </c>
      <c r="J189" s="139">
        <f>I189-VLOOKUP(B$2,H1:J227,2,FALSE)</f>
        <v>-9.6906275339614609</v>
      </c>
    </row>
    <row r="190" spans="1:10" ht="21.25" customHeight="1" x14ac:dyDescent="0.15">
      <c r="A190" s="8" t="s">
        <v>604</v>
      </c>
      <c r="B190" s="144" t="str">
        <f>VLOOKUP(A190,'The List'!B1:D727,3,FALSE)</f>
        <v>D</v>
      </c>
      <c r="C190" s="145">
        <f>IF(Settings!$E$15="POINTS",RANK(E190,E3:E227),H190)</f>
        <v>183</v>
      </c>
      <c r="D190" s="35" t="str">
        <f>VLOOKUP(A190,'The List'!B1:F727,5,FALSE)</f>
        <v>STL</v>
      </c>
      <c r="E190" s="39">
        <f>VLOOKUP(A190,'The List'!B1:I727,8,FALSE)</f>
        <v>88.951219202419423</v>
      </c>
      <c r="F190" s="39">
        <f>IF(Settings!$E$15="POINTS",E190-VLOOKUP(B$2,C1:E227,3,FALSE),J190)</f>
        <v>-222.61426242550803</v>
      </c>
      <c r="G190" s="39"/>
      <c r="H190" s="138">
        <f>RANK(I190,I3:I227)</f>
        <v>204</v>
      </c>
      <c r="I190" s="139">
        <f>VLOOKUP(A190,'Standard Deviations'!A1:C728,3,FALSE)</f>
        <v>-4.0334514110785831</v>
      </c>
      <c r="J190" s="139">
        <f>I190-VLOOKUP(B$2,H1:J227,2,FALSE)</f>
        <v>-9.5786241787627766</v>
      </c>
    </row>
    <row r="191" spans="1:10" ht="21.25" customHeight="1" x14ac:dyDescent="0.15">
      <c r="A191" s="8" t="s">
        <v>615</v>
      </c>
      <c r="B191" s="144" t="str">
        <f>VLOOKUP(A191,'The List'!B1:D727,3,FALSE)</f>
        <v>D</v>
      </c>
      <c r="C191" s="145">
        <f>IF(Settings!$E$15="POINTS",RANK(E191,E3:E227),H191)</f>
        <v>189</v>
      </c>
      <c r="D191" s="35" t="str">
        <f>VLOOKUP(A191,'The List'!B1:F727,5,FALSE)</f>
        <v>CHI</v>
      </c>
      <c r="E191" s="39">
        <f>VLOOKUP(A191,'The List'!B1:I727,8,FALSE)</f>
        <v>86.944058401058044</v>
      </c>
      <c r="F191" s="39">
        <f>IF(Settings!$E$15="POINTS",E191-VLOOKUP(B$2,C1:E227,3,FALSE),J191)</f>
        <v>-224.62142322686941</v>
      </c>
      <c r="G191" s="39"/>
      <c r="H191" s="138">
        <f>RANK(I191,I3:I227)</f>
        <v>215</v>
      </c>
      <c r="I191" s="139">
        <f>VLOOKUP(A191,'Standard Deviations'!A1:C728,3,FALSE)</f>
        <v>-4.6465618511212465</v>
      </c>
      <c r="J191" s="139">
        <f>I191-VLOOKUP(B$2,H1:J227,2,FALSE)</f>
        <v>-10.191734618805439</v>
      </c>
    </row>
    <row r="192" spans="1:10" ht="21.25" customHeight="1" x14ac:dyDescent="0.15">
      <c r="A192" s="8" t="s">
        <v>618</v>
      </c>
      <c r="B192" s="144" t="str">
        <f>VLOOKUP(A192,'The List'!B1:D727,3,FALSE)</f>
        <v>D</v>
      </c>
      <c r="C192" s="145">
        <f>IF(Settings!$E$15="POINTS",RANK(E192,E3:E227),H192)</f>
        <v>190</v>
      </c>
      <c r="D192" s="35" t="str">
        <f>VLOOKUP(A192,'The List'!B1:F727,5,FALSE)</f>
        <v>CGY</v>
      </c>
      <c r="E192" s="39">
        <f>VLOOKUP(A192,'The List'!B1:I727,8,FALSE)</f>
        <v>85.774181089790957</v>
      </c>
      <c r="F192" s="39">
        <f>IF(Settings!$E$15="POINTS",E192-VLOOKUP(B$2,C1:E227,3,FALSE),J192)</f>
        <v>-225.79130053813651</v>
      </c>
      <c r="G192" s="39"/>
      <c r="H192" s="138">
        <f>RANK(I192,I3:I227)</f>
        <v>178</v>
      </c>
      <c r="I192" s="139">
        <f>VLOOKUP(A192,'Standard Deviations'!A1:C728,3,FALSE)</f>
        <v>-3.3775451896162605</v>
      </c>
      <c r="J192" s="139">
        <f>I192-VLOOKUP(B$2,H1:J227,2,FALSE)</f>
        <v>-8.9227179573004527</v>
      </c>
    </row>
    <row r="193" spans="1:10" ht="21.25" customHeight="1" x14ac:dyDescent="0.15">
      <c r="A193" s="8" t="s">
        <v>619</v>
      </c>
      <c r="B193" s="144" t="str">
        <f>VLOOKUP(A193,'The List'!B1:D727,3,FALSE)</f>
        <v>D</v>
      </c>
      <c r="C193" s="145">
        <f>IF(Settings!$E$15="POINTS",RANK(E193,E3:E227),H193)</f>
        <v>191</v>
      </c>
      <c r="D193" s="35" t="str">
        <f>VLOOKUP(A193,'The List'!B1:F727,5,FALSE)</f>
        <v>NJD</v>
      </c>
      <c r="E193" s="39">
        <f>VLOOKUP(A193,'The List'!B1:I727,8,FALSE)</f>
        <v>85.596223848039145</v>
      </c>
      <c r="F193" s="39">
        <f>IF(Settings!$E$15="POINTS",E193-VLOOKUP(B$2,C1:E227,3,FALSE),J193)</f>
        <v>-225.96925777988832</v>
      </c>
      <c r="G193" s="39"/>
      <c r="H193" s="138">
        <f>RANK(I193,I3:I227)</f>
        <v>187</v>
      </c>
      <c r="I193" s="139">
        <f>VLOOKUP(A193,'Standard Deviations'!A1:C728,3,FALSE)</f>
        <v>-3.5504234732169988</v>
      </c>
      <c r="J193" s="139">
        <f>I193-VLOOKUP(B$2,H1:J227,2,FALSE)</f>
        <v>-9.095596240901191</v>
      </c>
    </row>
    <row r="194" spans="1:10" ht="21.25" customHeight="1" x14ac:dyDescent="0.15">
      <c r="A194" s="8" t="s">
        <v>622</v>
      </c>
      <c r="B194" s="144" t="str">
        <f>VLOOKUP(A194,'The List'!B1:D727,3,FALSE)</f>
        <v>D</v>
      </c>
      <c r="C194" s="145">
        <f>IF(Settings!$E$15="POINTS",RANK(E194,E3:E227),H194)</f>
        <v>192</v>
      </c>
      <c r="D194" s="35" t="str">
        <f>VLOOKUP(A194,'The List'!B1:F727,5,FALSE)</f>
        <v>SJS</v>
      </c>
      <c r="E194" s="39">
        <f>VLOOKUP(A194,'The List'!B1:I727,8,FALSE)</f>
        <v>84.894042588396687</v>
      </c>
      <c r="F194" s="39">
        <f>IF(Settings!$E$15="POINTS",E194-VLOOKUP(B$2,C1:E227,3,FALSE),J194)</f>
        <v>-226.67143903953075</v>
      </c>
      <c r="G194" s="39"/>
      <c r="H194" s="138">
        <f>RANK(I194,I3:I227)</f>
        <v>167</v>
      </c>
      <c r="I194" s="139">
        <f>VLOOKUP(A194,'Standard Deviations'!A1:C728,3,FALSE)</f>
        <v>-3.0577709957018886</v>
      </c>
      <c r="J194" s="139">
        <f>I194-VLOOKUP(B$2,H1:J227,2,FALSE)</f>
        <v>-8.6029437633860812</v>
      </c>
    </row>
    <row r="195" spans="1:10" ht="21.25" customHeight="1" x14ac:dyDescent="0.15">
      <c r="A195" s="8" t="s">
        <v>624</v>
      </c>
      <c r="B195" s="144" t="str">
        <f>VLOOKUP(A195,'The List'!B1:D727,3,FALSE)</f>
        <v>D</v>
      </c>
      <c r="C195" s="145">
        <f>IF(Settings!$E$15="POINTS",RANK(E195,E3:E227),H195)</f>
        <v>193</v>
      </c>
      <c r="D195" s="35" t="str">
        <f>VLOOKUP(A195,'The List'!B1:F727,5,FALSE)</f>
        <v>VAN</v>
      </c>
      <c r="E195" s="39">
        <f>VLOOKUP(A195,'The List'!B1:I727,8,FALSE)</f>
        <v>83.213625480281962</v>
      </c>
      <c r="F195" s="39">
        <f>IF(Settings!$E$15="POINTS",E195-VLOOKUP(B$2,C1:E227,3,FALSE),J195)</f>
        <v>-228.35185614764549</v>
      </c>
      <c r="G195" s="39"/>
      <c r="H195" s="138">
        <f>RANK(I195,I3:I227)</f>
        <v>194</v>
      </c>
      <c r="I195" s="139">
        <f>VLOOKUP(A195,'Standard Deviations'!A1:C728,3,FALSE)</f>
        <v>-3.8308362462534427</v>
      </c>
      <c r="J195" s="139">
        <f>I195-VLOOKUP(B$2,H1:J227,2,FALSE)</f>
        <v>-9.3760090139376349</v>
      </c>
    </row>
    <row r="196" spans="1:10" ht="21.25" customHeight="1" x14ac:dyDescent="0.15">
      <c r="A196" s="8" t="s">
        <v>625</v>
      </c>
      <c r="B196" s="144" t="str">
        <f>VLOOKUP(A196,'The List'!B1:D727,3,FALSE)</f>
        <v>D</v>
      </c>
      <c r="C196" s="145">
        <f>IF(Settings!$E$15="POINTS",RANK(E196,E3:E227),H196)</f>
        <v>194</v>
      </c>
      <c r="D196" s="35" t="str">
        <f>VLOOKUP(A196,'The List'!B1:F727,5,FALSE)</f>
        <v>VGK</v>
      </c>
      <c r="E196" s="39">
        <f>VLOOKUP(A196,'The List'!B1:I727,8,FALSE)</f>
        <v>83.208101038568714</v>
      </c>
      <c r="F196" s="39">
        <f>IF(Settings!$E$15="POINTS",E196-VLOOKUP(B$2,C1:E227,3,FALSE),J196)</f>
        <v>-228.35738058935874</v>
      </c>
      <c r="G196" s="39"/>
      <c r="H196" s="138">
        <f>RANK(I196,I3:I227)</f>
        <v>166</v>
      </c>
      <c r="I196" s="139">
        <f>VLOOKUP(A196,'Standard Deviations'!A1:C728,3,FALSE)</f>
        <v>-2.9542764618230466</v>
      </c>
      <c r="J196" s="139">
        <f>I196-VLOOKUP(B$2,H1:J227,2,FALSE)</f>
        <v>-8.4994492295072384</v>
      </c>
    </row>
    <row r="197" spans="1:10" ht="21.25" customHeight="1" x14ac:dyDescent="0.15">
      <c r="A197" s="8" t="s">
        <v>626</v>
      </c>
      <c r="B197" s="144" t="str">
        <f>VLOOKUP(A197,'The List'!B1:D727,3,FALSE)</f>
        <v>D</v>
      </c>
      <c r="C197" s="145">
        <f>IF(Settings!$E$15="POINTS",RANK(E197,E3:E227),H197)</f>
        <v>195</v>
      </c>
      <c r="D197" s="35" t="str">
        <f>VLOOKUP(A197,'The List'!B1:F727,5,FALSE)</f>
        <v>SJS</v>
      </c>
      <c r="E197" s="39">
        <f>VLOOKUP(A197,'The List'!B1:I727,8,FALSE)</f>
        <v>83.166795683996597</v>
      </c>
      <c r="F197" s="39">
        <f>IF(Settings!$E$15="POINTS",E197-VLOOKUP(B$2,C1:E227,3,FALSE),J197)</f>
        <v>-228.39868594393084</v>
      </c>
      <c r="G197" s="39"/>
      <c r="H197" s="138">
        <f>RANK(I197,I3:I227)</f>
        <v>203</v>
      </c>
      <c r="I197" s="139">
        <f>VLOOKUP(A197,'Standard Deviations'!A1:C728,3,FALSE)</f>
        <v>-3.9944000519012772</v>
      </c>
      <c r="J197" s="139">
        <f>I197-VLOOKUP(B$2,H1:J227,2,FALSE)</f>
        <v>-9.5395728195854694</v>
      </c>
    </row>
    <row r="198" spans="1:10" ht="21.25" customHeight="1" x14ac:dyDescent="0.15">
      <c r="A198" s="8" t="s">
        <v>628</v>
      </c>
      <c r="B198" s="144" t="str">
        <f>VLOOKUP(A198,'The List'!B1:D727,3,FALSE)</f>
        <v>D</v>
      </c>
      <c r="C198" s="145">
        <f>IF(Settings!$E$15="POINTS",RANK(E198,E3:E227),H198)</f>
        <v>196</v>
      </c>
      <c r="D198" s="35" t="str">
        <f>VLOOKUP(A198,'The List'!B1:F727,5,FALSE)</f>
        <v>CAR</v>
      </c>
      <c r="E198" s="39">
        <f>VLOOKUP(A198,'The List'!B1:I727,8,FALSE)</f>
        <v>82.623491056423916</v>
      </c>
      <c r="F198" s="39">
        <f>IF(Settings!$E$15="POINTS",E198-VLOOKUP(B$2,C1:E227,3,FALSE),J198)</f>
        <v>-228.94199057150354</v>
      </c>
      <c r="G198" s="39"/>
      <c r="H198" s="138">
        <f>RANK(I198,I3:I227)</f>
        <v>158</v>
      </c>
      <c r="I198" s="139">
        <f>VLOOKUP(A198,'Standard Deviations'!A1:C728,3,FALSE)</f>
        <v>-2.4382040318625275</v>
      </c>
      <c r="J198" s="139">
        <f>I198-VLOOKUP(B$2,H1:J227,2,FALSE)</f>
        <v>-7.9833767995467202</v>
      </c>
    </row>
    <row r="199" spans="1:10" ht="21.25" customHeight="1" x14ac:dyDescent="0.15">
      <c r="A199" s="8" t="s">
        <v>630</v>
      </c>
      <c r="B199" s="144" t="str">
        <f>VLOOKUP(A199,'The List'!B1:D727,3,FALSE)</f>
        <v>D</v>
      </c>
      <c r="C199" s="145">
        <f>IF(Settings!$E$15="POINTS",RANK(E199,E3:E227),H199)</f>
        <v>198</v>
      </c>
      <c r="D199" s="35" t="str">
        <f>VLOOKUP(A199,'The List'!B1:F727,5,FALSE)</f>
        <v>SEA</v>
      </c>
      <c r="E199" s="39">
        <f>VLOOKUP(A199,'The List'!B1:I727,8,FALSE)</f>
        <v>82.26769336169238</v>
      </c>
      <c r="F199" s="39">
        <f>IF(Settings!$E$15="POINTS",E199-VLOOKUP(B$2,C1:E227,3,FALSE),J199)</f>
        <v>-229.29778826623507</v>
      </c>
      <c r="G199" s="39"/>
      <c r="H199" s="138">
        <f>RANK(I199,I3:I227)</f>
        <v>186</v>
      </c>
      <c r="I199" s="139">
        <f>VLOOKUP(A199,'Standard Deviations'!A1:C728,3,FALSE)</f>
        <v>-3.5331751150683974</v>
      </c>
      <c r="J199" s="139">
        <f>I199-VLOOKUP(B$2,H1:J227,2,FALSE)</f>
        <v>-9.0783478827525901</v>
      </c>
    </row>
    <row r="200" spans="1:10" ht="21.25" customHeight="1" x14ac:dyDescent="0.15">
      <c r="A200" s="8" t="s">
        <v>632</v>
      </c>
      <c r="B200" s="144" t="str">
        <f>VLOOKUP(A200,'The List'!B1:D727,3,FALSE)</f>
        <v>D</v>
      </c>
      <c r="C200" s="145">
        <f>IF(Settings!$E$15="POINTS",RANK(E200,E3:E227),H200)</f>
        <v>199</v>
      </c>
      <c r="D200" s="35" t="str">
        <f>VLOOKUP(A200,'The List'!B1:F727,5,FALSE)</f>
        <v>FLA</v>
      </c>
      <c r="E200" s="39">
        <f>VLOOKUP(A200,'The List'!B1:I727,8,FALSE)</f>
        <v>81.976921072567592</v>
      </c>
      <c r="F200" s="39">
        <f>IF(Settings!$E$15="POINTS",E200-VLOOKUP(B$2,C1:E227,3,FALSE),J200)</f>
        <v>-229.58856055535986</v>
      </c>
      <c r="G200" s="39"/>
      <c r="H200" s="138">
        <f>RANK(I200,I3:I227)</f>
        <v>182</v>
      </c>
      <c r="I200" s="139">
        <f>VLOOKUP(A200,'Standard Deviations'!A1:C728,3,FALSE)</f>
        <v>-3.459970794944208</v>
      </c>
      <c r="J200" s="139">
        <f>I200-VLOOKUP(B$2,H1:J227,2,FALSE)</f>
        <v>-9.0051435626284011</v>
      </c>
    </row>
    <row r="201" spans="1:10" ht="21.25" customHeight="1" x14ac:dyDescent="0.15">
      <c r="A201" s="8" t="s">
        <v>629</v>
      </c>
      <c r="B201" s="144" t="str">
        <f>VLOOKUP(A201,'The List'!B1:D727,3,FALSE)</f>
        <v>D</v>
      </c>
      <c r="C201" s="145">
        <f>IF(Settings!$E$15="POINTS",RANK(E201,E3:E227),H201)</f>
        <v>197</v>
      </c>
      <c r="D201" s="35" t="str">
        <f>VLOOKUP(A201,'The List'!B1:F727,5,FALSE)</f>
        <v>ANA</v>
      </c>
      <c r="E201" s="39">
        <f>VLOOKUP(A201,'The List'!B1:I727,8,FALSE)</f>
        <v>82.460204340795087</v>
      </c>
      <c r="F201" s="39">
        <f>IF(Settings!$E$15="POINTS",E201-VLOOKUP(B$2,C1:E227,3,FALSE),J201)</f>
        <v>-229.10527728713237</v>
      </c>
      <c r="G201" s="39"/>
      <c r="H201" s="138">
        <f>RANK(I201,I3:I227)</f>
        <v>201</v>
      </c>
      <c r="I201" s="139">
        <f>VLOOKUP(A201,'Standard Deviations'!A1:C728,3,FALSE)</f>
        <v>-3.9435436639808015</v>
      </c>
      <c r="J201" s="139">
        <f>I201-VLOOKUP(B$2,H1:J227,2,FALSE)</f>
        <v>-9.4887164316649937</v>
      </c>
    </row>
    <row r="202" spans="1:10" ht="21.25" customHeight="1" x14ac:dyDescent="0.15">
      <c r="A202" s="8" t="s">
        <v>636</v>
      </c>
      <c r="B202" s="144" t="str">
        <f>VLOOKUP(A202,'The List'!B1:D727,3,FALSE)</f>
        <v>D</v>
      </c>
      <c r="C202" s="145">
        <f>IF(Settings!$E$15="POINTS",RANK(E202,E3:E227),H202)</f>
        <v>201</v>
      </c>
      <c r="D202" s="35" t="str">
        <f>VLOOKUP(A202,'The List'!B1:F727,5,FALSE)</f>
        <v>CHI</v>
      </c>
      <c r="E202" s="39">
        <f>VLOOKUP(A202,'The List'!B1:I727,8,FALSE)</f>
        <v>81.138939919712698</v>
      </c>
      <c r="F202" s="39">
        <f>IF(Settings!$E$15="POINTS",E202-VLOOKUP(B$2,C1:E227,3,FALSE),J202)</f>
        <v>-230.42654170821476</v>
      </c>
      <c r="G202" s="39"/>
      <c r="H202" s="138">
        <f>RANK(I202,I3:I227)</f>
        <v>216</v>
      </c>
      <c r="I202" s="139">
        <f>VLOOKUP(A202,'Standard Deviations'!A1:C728,3,FALSE)</f>
        <v>-4.8229828739273781</v>
      </c>
      <c r="J202" s="139">
        <f>I202-VLOOKUP(B$2,H1:J227,2,FALSE)</f>
        <v>-10.368155641611571</v>
      </c>
    </row>
    <row r="203" spans="1:10" ht="21.25" customHeight="1" x14ac:dyDescent="0.15">
      <c r="A203" s="8" t="s">
        <v>633</v>
      </c>
      <c r="B203" s="144" t="str">
        <f>VLOOKUP(A203,'The List'!B1:D727,3,FALSE)</f>
        <v>D</v>
      </c>
      <c r="C203" s="145">
        <f>IF(Settings!$E$15="POINTS",RANK(E203,E3:E227),H203)</f>
        <v>200</v>
      </c>
      <c r="D203" s="35" t="str">
        <f>VLOOKUP(A203,'The List'!B1:F727,5,FALSE)</f>
        <v>WPG</v>
      </c>
      <c r="E203" s="39">
        <f>VLOOKUP(A203,'The List'!B1:I727,8,FALSE)</f>
        <v>81.693173743776399</v>
      </c>
      <c r="F203" s="39">
        <f>IF(Settings!$E$15="POINTS",E203-VLOOKUP(B$2,C1:E227,3,FALSE),J203)</f>
        <v>-229.87230788415104</v>
      </c>
      <c r="G203" s="39"/>
      <c r="H203" s="138">
        <f>RANK(I203,I3:I227)</f>
        <v>183</v>
      </c>
      <c r="I203" s="139">
        <f>VLOOKUP(A203,'Standard Deviations'!A1:C728,3,FALSE)</f>
        <v>-3.5082309453076652</v>
      </c>
      <c r="J203" s="139">
        <f>I203-VLOOKUP(B$2,H1:J227,2,FALSE)</f>
        <v>-9.0534037129918588</v>
      </c>
    </row>
    <row r="204" spans="1:10" ht="21.25" customHeight="1" x14ac:dyDescent="0.15">
      <c r="A204" s="8" t="s">
        <v>638</v>
      </c>
      <c r="B204" s="144" t="str">
        <f>VLOOKUP(A204,'The List'!B1:D727,3,FALSE)</f>
        <v>D</v>
      </c>
      <c r="C204" s="145">
        <f>IF(Settings!$E$15="POINTS",RANK(E204,E3:E227),H204)</f>
        <v>202</v>
      </c>
      <c r="D204" s="35" t="str">
        <f>VLOOKUP(A204,'The List'!B1:F727,5,FALSE)</f>
        <v>ARI</v>
      </c>
      <c r="E204" s="39">
        <f>VLOOKUP(A204,'The List'!B1:I727,8,FALSE)</f>
        <v>80.057212015708302</v>
      </c>
      <c r="F204" s="39">
        <f>IF(Settings!$E$15="POINTS",E204-VLOOKUP(B$2,C1:E227,3,FALSE),J204)</f>
        <v>-231.50826961221915</v>
      </c>
      <c r="G204" s="39"/>
      <c r="H204" s="138">
        <f>RANK(I204,I3:I227)</f>
        <v>206</v>
      </c>
      <c r="I204" s="139">
        <f>VLOOKUP(A204,'Standard Deviations'!A1:C728,3,FALSE)</f>
        <v>-4.1315258307816007</v>
      </c>
      <c r="J204" s="139">
        <f>I204-VLOOKUP(B$2,H1:J227,2,FALSE)</f>
        <v>-9.6766985984657943</v>
      </c>
    </row>
    <row r="205" spans="1:10" ht="21.25" customHeight="1" x14ac:dyDescent="0.15">
      <c r="A205" s="8" t="s">
        <v>645</v>
      </c>
      <c r="B205" s="144" t="str">
        <f>VLOOKUP(A205,'The List'!B1:D727,3,FALSE)</f>
        <v>D</v>
      </c>
      <c r="C205" s="145">
        <f>IF(Settings!$E$15="POINTS",RANK(E205,E3:E227),H205)</f>
        <v>203</v>
      </c>
      <c r="D205" s="35" t="str">
        <f>VLOOKUP(A205,'The List'!B1:F727,5,FALSE)</f>
        <v>TBL</v>
      </c>
      <c r="E205" s="39">
        <f>VLOOKUP(A205,'The List'!B1:I727,8,FALSE)</f>
        <v>78.089453164812042</v>
      </c>
      <c r="F205" s="39">
        <f>IF(Settings!$E$15="POINTS",E205-VLOOKUP(B$2,C1:E227,3,FALSE),J205)</f>
        <v>-233.47602846311543</v>
      </c>
      <c r="G205" s="39"/>
      <c r="H205" s="138">
        <f>RANK(I205,I3:I227)</f>
        <v>200</v>
      </c>
      <c r="I205" s="139">
        <f>VLOOKUP(A205,'Standard Deviations'!A1:C728,3,FALSE)</f>
        <v>-3.9358801283231331</v>
      </c>
      <c r="J205" s="139">
        <f>I205-VLOOKUP(B$2,H1:J227,2,FALSE)</f>
        <v>-9.4810528960073253</v>
      </c>
    </row>
    <row r="206" spans="1:10" ht="21.25" customHeight="1" x14ac:dyDescent="0.15">
      <c r="A206" s="8" t="s">
        <v>653</v>
      </c>
      <c r="B206" s="144" t="str">
        <f>VLOOKUP(A206,'The List'!B1:D727,3,FALSE)</f>
        <v>D</v>
      </c>
      <c r="C206" s="145">
        <f>IF(Settings!$E$15="POINTS",RANK(E206,E3:E227),H206)</f>
        <v>204</v>
      </c>
      <c r="D206" s="35" t="str">
        <f>VLOOKUP(A206,'The List'!B1:F727,5,FALSE)</f>
        <v>ANA</v>
      </c>
      <c r="E206" s="39">
        <f>VLOOKUP(A206,'The List'!B1:I727,8,FALSE)</f>
        <v>76.573299314535646</v>
      </c>
      <c r="F206" s="39">
        <f>IF(Settings!$E$15="POINTS",E206-VLOOKUP(B$2,C1:E227,3,FALSE),J206)</f>
        <v>-234.99218231339182</v>
      </c>
      <c r="G206" s="39"/>
      <c r="H206" s="138">
        <f>RANK(I206,I3:I227)</f>
        <v>225</v>
      </c>
      <c r="I206" s="139">
        <f>VLOOKUP(A206,'Standard Deviations'!A1:C728,3,FALSE)</f>
        <v>-5.8752019842204453</v>
      </c>
      <c r="J206" s="139">
        <f>I206-VLOOKUP(B$2,H1:J227,2,FALSE)</f>
        <v>-11.420374751904639</v>
      </c>
    </row>
    <row r="207" spans="1:10" ht="21.25" customHeight="1" x14ac:dyDescent="0.15">
      <c r="A207" s="8" t="s">
        <v>655</v>
      </c>
      <c r="B207" s="144" t="str">
        <f>VLOOKUP(A207,'The List'!B1:D727,3,FALSE)</f>
        <v>D</v>
      </c>
      <c r="C207" s="145">
        <f>IF(Settings!$E$15="POINTS",RANK(E207,E3:E227),H207)</f>
        <v>206</v>
      </c>
      <c r="D207" s="35" t="str">
        <f>VLOOKUP(A207,'The List'!B1:F727,5,FALSE)</f>
        <v>MTL</v>
      </c>
      <c r="E207" s="39">
        <f>VLOOKUP(A207,'The List'!B1:I727,8,FALSE)</f>
        <v>76.129499780232919</v>
      </c>
      <c r="F207" s="39">
        <f>IF(Settings!$E$15="POINTS",E207-VLOOKUP(B$2,C1:E227,3,FALSE),J207)</f>
        <v>-235.43598184769453</v>
      </c>
      <c r="G207" s="39"/>
      <c r="H207" s="138">
        <f>RANK(I207,I3:I227)</f>
        <v>223</v>
      </c>
      <c r="I207" s="139">
        <f>VLOOKUP(A207,'Standard Deviations'!A1:C728,3,FALSE)</f>
        <v>-5.6710997227482283</v>
      </c>
      <c r="J207" s="139">
        <f>I207-VLOOKUP(B$2,H1:J227,2,FALSE)</f>
        <v>-11.21627249043242</v>
      </c>
    </row>
    <row r="208" spans="1:10" ht="21.25" customHeight="1" x14ac:dyDescent="0.15">
      <c r="A208" s="8" t="s">
        <v>654</v>
      </c>
      <c r="B208" s="144" t="str">
        <f>VLOOKUP(A208,'The List'!B1:D727,3,FALSE)</f>
        <v>D</v>
      </c>
      <c r="C208" s="145">
        <f>IF(Settings!$E$15="POINTS",RANK(E208,E3:E227),H208)</f>
        <v>205</v>
      </c>
      <c r="D208" s="35" t="str">
        <f>VLOOKUP(A208,'The List'!B1:F727,5,FALSE)</f>
        <v>TBL</v>
      </c>
      <c r="E208" s="39">
        <f>VLOOKUP(A208,'The List'!B1:I727,8,FALSE)</f>
        <v>76.195971919664316</v>
      </c>
      <c r="F208" s="39">
        <f>IF(Settings!$E$15="POINTS",E208-VLOOKUP(B$2,C1:E227,3,FALSE),J208)</f>
        <v>-235.36950970826314</v>
      </c>
      <c r="G208" s="39"/>
      <c r="H208" s="138">
        <f>RANK(I208,I3:I227)</f>
        <v>193</v>
      </c>
      <c r="I208" s="139">
        <f>VLOOKUP(A208,'Standard Deviations'!A1:C728,3,FALSE)</f>
        <v>-3.8285946187481357</v>
      </c>
      <c r="J208" s="139">
        <f>I208-VLOOKUP(B$2,H1:J227,2,FALSE)</f>
        <v>-9.3737673864323288</v>
      </c>
    </row>
    <row r="209" spans="1:10" ht="21.25" customHeight="1" x14ac:dyDescent="0.15">
      <c r="A209" s="8" t="s">
        <v>656</v>
      </c>
      <c r="B209" s="144" t="str">
        <f>VLOOKUP(A209,'The List'!B1:D727,3,FALSE)</f>
        <v>D</v>
      </c>
      <c r="C209" s="145">
        <f>IF(Settings!$E$15="POINTS",RANK(E209,E3:E227),H209)</f>
        <v>207</v>
      </c>
      <c r="D209" s="35" t="str">
        <f>VLOOKUP(A209,'The List'!B1:F727,5,FALSE)</f>
        <v>CHI</v>
      </c>
      <c r="E209" s="39">
        <f>VLOOKUP(A209,'The List'!B1:I727,8,FALSE)</f>
        <v>76.073801388320732</v>
      </c>
      <c r="F209" s="39">
        <f>IF(Settings!$E$15="POINTS",E209-VLOOKUP(B$2,C1:E227,3,FALSE),J209)</f>
        <v>-235.49168023960672</v>
      </c>
      <c r="G209" s="39"/>
      <c r="H209" s="138">
        <f>RANK(I209,I3:I227)</f>
        <v>218</v>
      </c>
      <c r="I209" s="139">
        <f>VLOOKUP(A209,'Standard Deviations'!A1:C728,3,FALSE)</f>
        <v>-5.0331839984105375</v>
      </c>
      <c r="J209" s="139">
        <f>I209-VLOOKUP(B$2,H1:J227,2,FALSE)</f>
        <v>-10.57835676609473</v>
      </c>
    </row>
    <row r="210" spans="1:10" ht="21.25" customHeight="1" x14ac:dyDescent="0.15">
      <c r="A210" s="8" t="s">
        <v>658</v>
      </c>
      <c r="B210" s="144" t="str">
        <f>VLOOKUP(A210,'The List'!B1:D727,3,FALSE)</f>
        <v>D</v>
      </c>
      <c r="C210" s="145">
        <f>IF(Settings!$E$15="POINTS",RANK(E210,E3:E227),H210)</f>
        <v>208</v>
      </c>
      <c r="D210" s="35" t="str">
        <f>VLOOKUP(A210,'The List'!B1:F727,5,FALSE)</f>
        <v>WSH</v>
      </c>
      <c r="E210" s="39">
        <f>VLOOKUP(A210,'The List'!B1:I727,8,FALSE)</f>
        <v>74.529023427539315</v>
      </c>
      <c r="F210" s="39">
        <f>IF(Settings!$E$15="POINTS",E210-VLOOKUP(B$2,C1:E227,3,FALSE),J210)</f>
        <v>-237.03645820038815</v>
      </c>
      <c r="G210" s="39"/>
      <c r="H210" s="138">
        <f>RANK(I210,I3:I227)</f>
        <v>213</v>
      </c>
      <c r="I210" s="139">
        <f>VLOOKUP(A210,'Standard Deviations'!A1:C728,3,FALSE)</f>
        <v>-4.5008283166535126</v>
      </c>
      <c r="J210" s="139">
        <f>I210-VLOOKUP(B$2,H1:J227,2,FALSE)</f>
        <v>-10.046001084337705</v>
      </c>
    </row>
    <row r="211" spans="1:10" ht="21.25" customHeight="1" x14ac:dyDescent="0.15">
      <c r="A211" s="8" t="s">
        <v>659</v>
      </c>
      <c r="B211" s="144" t="str">
        <f>VLOOKUP(A211,'The List'!B1:D727,3,FALSE)</f>
        <v>D</v>
      </c>
      <c r="C211" s="145">
        <f>IF(Settings!$E$15="POINTS",RANK(E211,E3:E227),H211)</f>
        <v>209</v>
      </c>
      <c r="D211" s="35" t="str">
        <f>VLOOKUP(A211,'The List'!B1:F727,5,FALSE)</f>
        <v>ANA</v>
      </c>
      <c r="E211" s="39">
        <f>VLOOKUP(A211,'The List'!B1:I727,8,FALSE)</f>
        <v>73.982776741268651</v>
      </c>
      <c r="F211" s="39">
        <f>IF(Settings!$E$15="POINTS",E211-VLOOKUP(B$2,C1:E227,3,FALSE),J211)</f>
        <v>-237.5827048866588</v>
      </c>
      <c r="G211" s="39"/>
      <c r="H211" s="138">
        <f>RANK(I211,I3:I227)</f>
        <v>224</v>
      </c>
      <c r="I211" s="139">
        <f>VLOOKUP(A211,'Standard Deviations'!A1:C728,3,FALSE)</f>
        <v>-5.8461246864423568</v>
      </c>
      <c r="J211" s="139">
        <f>I211-VLOOKUP(B$2,H1:J227,2,FALSE)</f>
        <v>-11.391297454126549</v>
      </c>
    </row>
    <row r="212" spans="1:10" ht="21.25" customHeight="1" x14ac:dyDescent="0.15">
      <c r="A212" s="8" t="s">
        <v>662</v>
      </c>
      <c r="B212" s="144" t="str">
        <f>VLOOKUP(A212,'The List'!B1:D727,3,FALSE)</f>
        <v>D</v>
      </c>
      <c r="C212" s="145">
        <f>IF(Settings!$E$15="POINTS",RANK(E212,E3:E227),H212)</f>
        <v>210</v>
      </c>
      <c r="D212" s="35" t="str">
        <f>VLOOKUP(A212,'The List'!B1:F727,5,FALSE)</f>
        <v>PIT</v>
      </c>
      <c r="E212" s="39">
        <f>VLOOKUP(A212,'The List'!B1:I727,8,FALSE)</f>
        <v>73.669432607701822</v>
      </c>
      <c r="F212" s="39">
        <f>IF(Settings!$E$15="POINTS",E212-VLOOKUP(B$2,C1:E227,3,FALSE),J212)</f>
        <v>-237.89604902022563</v>
      </c>
      <c r="G212" s="39"/>
      <c r="H212" s="138">
        <f>RANK(I212,I3:I227)</f>
        <v>177</v>
      </c>
      <c r="I212" s="139">
        <f>VLOOKUP(A212,'Standard Deviations'!A1:C728,3,FALSE)</f>
        <v>-3.3439350398940699</v>
      </c>
      <c r="J212" s="139">
        <f>I212-VLOOKUP(B$2,H1:J227,2,FALSE)</f>
        <v>-8.889107807578263</v>
      </c>
    </row>
    <row r="213" spans="1:10" ht="21.25" customHeight="1" x14ac:dyDescent="0.15">
      <c r="A213" s="8" t="s">
        <v>670</v>
      </c>
      <c r="B213" s="144" t="str">
        <f>VLOOKUP(A213,'The List'!B1:D727,3,FALSE)</f>
        <v>D</v>
      </c>
      <c r="C213" s="145">
        <f>IF(Settings!$E$15="POINTS",RANK(E213,E3:E227),H213)</f>
        <v>212</v>
      </c>
      <c r="D213" s="35" t="str">
        <f>VLOOKUP(A213,'The List'!B1:F727,5,FALSE)</f>
        <v>VAN</v>
      </c>
      <c r="E213" s="39">
        <f>VLOOKUP(A213,'The List'!B1:I727,8,FALSE)</f>
        <v>72.096856554371342</v>
      </c>
      <c r="F213" s="39">
        <f>IF(Settings!$E$15="POINTS",E213-VLOOKUP(B$2,C1:E227,3,FALSE),J213)</f>
        <v>-239.4686250735561</v>
      </c>
      <c r="G213" s="39"/>
      <c r="H213" s="138">
        <f>RANK(I213,I3:I227)</f>
        <v>205</v>
      </c>
      <c r="I213" s="139">
        <f>VLOOKUP(A213,'Standard Deviations'!A1:C728,3,FALSE)</f>
        <v>-4.1100947400523191</v>
      </c>
      <c r="J213" s="139">
        <f>I213-VLOOKUP(B$2,H1:J227,2,FALSE)</f>
        <v>-9.6552675077365109</v>
      </c>
    </row>
    <row r="214" spans="1:10" ht="21.25" customHeight="1" x14ac:dyDescent="0.15">
      <c r="A214" s="8" t="s">
        <v>672</v>
      </c>
      <c r="B214" s="144" t="str">
        <f>VLOOKUP(A214,'The List'!B1:D727,3,FALSE)</f>
        <v>D</v>
      </c>
      <c r="C214" s="145">
        <f>IF(Settings!$E$15="POINTS",RANK(E214,E3:E227),H214)</f>
        <v>213</v>
      </c>
      <c r="D214" s="35" t="str">
        <f>VLOOKUP(A214,'The List'!B1:F727,5,FALSE)</f>
        <v>COL</v>
      </c>
      <c r="E214" s="39">
        <f>VLOOKUP(A214,'The List'!B1:I727,8,FALSE)</f>
        <v>71.682498335818082</v>
      </c>
      <c r="F214" s="39">
        <f>IF(Settings!$E$15="POINTS",E214-VLOOKUP(B$2,C1:E227,3,FALSE),J214)</f>
        <v>-239.88298329210937</v>
      </c>
      <c r="G214" s="39"/>
      <c r="H214" s="138">
        <f>RANK(I214,I3:I227)</f>
        <v>196</v>
      </c>
      <c r="I214" s="139">
        <f>VLOOKUP(A214,'Standard Deviations'!A1:C728,3,FALSE)</f>
        <v>-3.8972313245942498</v>
      </c>
      <c r="J214" s="139">
        <f>I214-VLOOKUP(B$2,H1:J227,2,FALSE)</f>
        <v>-9.4424040922784425</v>
      </c>
    </row>
    <row r="215" spans="1:10" ht="21.25" customHeight="1" x14ac:dyDescent="0.15">
      <c r="A215" s="8" t="s">
        <v>666</v>
      </c>
      <c r="B215" s="144" t="str">
        <f>VLOOKUP(A215,'The List'!B1:D727,3,FALSE)</f>
        <v>D</v>
      </c>
      <c r="C215" s="145">
        <f>IF(Settings!$E$15="POINTS",RANK(E215,E3:E227),H215)</f>
        <v>211</v>
      </c>
      <c r="D215" s="35" t="str">
        <f>VLOOKUP(A215,'The List'!B1:F727,5,FALSE)</f>
        <v>NJD</v>
      </c>
      <c r="E215" s="39">
        <f>VLOOKUP(A215,'The List'!B1:I727,8,FALSE)</f>
        <v>72.52709133451485</v>
      </c>
      <c r="F215" s="39">
        <f>IF(Settings!$E$15="POINTS",E215-VLOOKUP(B$2,C1:E227,3,FALSE),J215)</f>
        <v>-239.03839029341259</v>
      </c>
      <c r="G215" s="39"/>
      <c r="H215" s="138">
        <f>RANK(I215,I3:I227)</f>
        <v>202</v>
      </c>
      <c r="I215" s="139">
        <f>VLOOKUP(A215,'Standard Deviations'!A1:C728,3,FALSE)</f>
        <v>-3.9441447739864408</v>
      </c>
      <c r="J215" s="139">
        <f>I215-VLOOKUP(B$2,H1:J227,2,FALSE)</f>
        <v>-9.4893175416706335</v>
      </c>
    </row>
    <row r="216" spans="1:10" ht="21.25" customHeight="1" x14ac:dyDescent="0.15">
      <c r="A216" s="8" t="s">
        <v>676</v>
      </c>
      <c r="B216" s="144" t="str">
        <f>VLOOKUP(A216,'The List'!B1:D727,3,FALSE)</f>
        <v>D</v>
      </c>
      <c r="C216" s="145">
        <f>IF(Settings!$E$15="POINTS",RANK(E216,E3:E227),H216)</f>
        <v>215</v>
      </c>
      <c r="D216" s="35" t="str">
        <f>VLOOKUP(A216,'The List'!B1:F727,5,FALSE)</f>
        <v>NYR</v>
      </c>
      <c r="E216" s="39">
        <f>VLOOKUP(A216,'The List'!B1:I727,8,FALSE)</f>
        <v>70.004013308730265</v>
      </c>
      <c r="F216" s="39">
        <f>IF(Settings!$E$15="POINTS",E216-VLOOKUP(B$2,C1:E227,3,FALSE),J216)</f>
        <v>-241.56146831919719</v>
      </c>
      <c r="G216" s="39"/>
      <c r="H216" s="138">
        <f>RANK(I216,I3:I227)</f>
        <v>198</v>
      </c>
      <c r="I216" s="139">
        <f>VLOOKUP(A216,'Standard Deviations'!A1:C728,3,FALSE)</f>
        <v>-3.9208313594817334</v>
      </c>
      <c r="J216" s="139">
        <f>I216-VLOOKUP(B$2,H1:J227,2,FALSE)</f>
        <v>-9.4660041271659257</v>
      </c>
    </row>
    <row r="217" spans="1:10" ht="21.25" customHeight="1" x14ac:dyDescent="0.15">
      <c r="A217" s="8" t="s">
        <v>677</v>
      </c>
      <c r="B217" s="144" t="str">
        <f>VLOOKUP(A217,'The List'!B1:D727,3,FALSE)</f>
        <v>D</v>
      </c>
      <c r="C217" s="145">
        <f>IF(Settings!$E$15="POINTS",RANK(E217,E3:E227),H217)</f>
        <v>216</v>
      </c>
      <c r="D217" s="35" t="str">
        <f>VLOOKUP(A217,'The List'!B1:F727,5,FALSE)</f>
        <v>OTT</v>
      </c>
      <c r="E217" s="39">
        <f>VLOOKUP(A217,'The List'!B1:I727,8,FALSE)</f>
        <v>69.891909907948531</v>
      </c>
      <c r="F217" s="39">
        <f>IF(Settings!$E$15="POINTS",E217-VLOOKUP(B$2,C1:E227,3,FALSE),J217)</f>
        <v>-241.67357171997892</v>
      </c>
      <c r="G217" s="39"/>
      <c r="H217" s="138">
        <f>RANK(I217,I3:I227)</f>
        <v>210</v>
      </c>
      <c r="I217" s="139">
        <f>VLOOKUP(A217,'Standard Deviations'!A1:C728,3,FALSE)</f>
        <v>-4.2503380003407392</v>
      </c>
      <c r="J217" s="139">
        <f>I217-VLOOKUP(B$2,H1:J227,2,FALSE)</f>
        <v>-9.7955107680249327</v>
      </c>
    </row>
    <row r="218" spans="1:10" ht="21.25" customHeight="1" x14ac:dyDescent="0.15">
      <c r="A218" s="8" t="s">
        <v>673</v>
      </c>
      <c r="B218" s="144" t="str">
        <f>VLOOKUP(A218,'The List'!B1:D727,3,FALSE)</f>
        <v>D</v>
      </c>
      <c r="C218" s="145">
        <f>IF(Settings!$E$15="POINTS",RANK(E218,E3:E227),H218)</f>
        <v>214</v>
      </c>
      <c r="D218" s="35" t="str">
        <f>VLOOKUP(A218,'The List'!B1:F727,5,FALSE)</f>
        <v>COL</v>
      </c>
      <c r="E218" s="39">
        <f>VLOOKUP(A218,'The List'!B1:I727,8,FALSE)</f>
        <v>71.587304213398369</v>
      </c>
      <c r="F218" s="39">
        <f>IF(Settings!$E$15="POINTS",E218-VLOOKUP(B$2,C1:E227,3,FALSE),J218)</f>
        <v>-239.97817741452909</v>
      </c>
      <c r="G218" s="39"/>
      <c r="H218" s="138">
        <f>RANK(I218,I3:I227)</f>
        <v>175</v>
      </c>
      <c r="I218" s="139">
        <f>VLOOKUP(A218,'Standard Deviations'!A1:C728,3,FALSE)</f>
        <v>-3.2971355852310533</v>
      </c>
      <c r="J218" s="139">
        <f>I218-VLOOKUP(B$2,H1:J227,2,FALSE)</f>
        <v>-8.8423083529152464</v>
      </c>
    </row>
    <row r="219" spans="1:10" ht="21.25" customHeight="1" x14ac:dyDescent="0.15">
      <c r="A219" s="8" t="s">
        <v>680</v>
      </c>
      <c r="B219" s="144" t="str">
        <f>VLOOKUP(A219,'The List'!B1:D727,3,FALSE)</f>
        <v>D</v>
      </c>
      <c r="C219" s="145">
        <f>IF(Settings!$E$15="POINTS",RANK(E219,E3:E227),H219)</f>
        <v>217</v>
      </c>
      <c r="D219" s="35" t="str">
        <f>VLOOKUP(A219,'The List'!B1:F727,5,FALSE)</f>
        <v>BOS</v>
      </c>
      <c r="E219" s="39">
        <f>VLOOKUP(A219,'The List'!B1:I727,8,FALSE)</f>
        <v>69.443463982440363</v>
      </c>
      <c r="F219" s="39">
        <f>IF(Settings!$E$15="POINTS",E219-VLOOKUP(B$2,C1:E227,3,FALSE),J219)</f>
        <v>-242.12201764548709</v>
      </c>
      <c r="G219" s="39"/>
      <c r="H219" s="138">
        <f>RANK(I219,I3:I227)</f>
        <v>199</v>
      </c>
      <c r="I219" s="139">
        <f>VLOOKUP(A219,'Standard Deviations'!A1:C728,3,FALSE)</f>
        <v>-3.9257066902435107</v>
      </c>
      <c r="J219" s="139">
        <f>I219-VLOOKUP(B$2,H1:J227,2,FALSE)</f>
        <v>-9.4708794579277029</v>
      </c>
    </row>
    <row r="220" spans="1:10" ht="21.25" customHeight="1" x14ac:dyDescent="0.15">
      <c r="A220" s="8" t="s">
        <v>689</v>
      </c>
      <c r="B220" s="144" t="str">
        <f>VLOOKUP(A220,'The List'!B1:D727,3,FALSE)</f>
        <v>D</v>
      </c>
      <c r="C220" s="145">
        <f>IF(Settings!$E$15="POINTS",RANK(E220,E3:E227),H220)</f>
        <v>218</v>
      </c>
      <c r="D220" s="35" t="str">
        <f>VLOOKUP(A220,'The List'!B1:F727,5,FALSE)</f>
        <v>EDM</v>
      </c>
      <c r="E220" s="39">
        <f>VLOOKUP(A220,'The List'!B1:I727,8,FALSE)</f>
        <v>66.201610436084977</v>
      </c>
      <c r="F220" s="39">
        <f>IF(Settings!$E$15="POINTS",E220-VLOOKUP(B$2,C1:E227,3,FALSE),J220)</f>
        <v>-245.36387119184246</v>
      </c>
      <c r="G220" s="39"/>
      <c r="H220" s="138">
        <f>RANK(I220,I3:I227)</f>
        <v>188</v>
      </c>
      <c r="I220" s="139">
        <f>VLOOKUP(A220,'Standard Deviations'!A1:C728,3,FALSE)</f>
        <v>-3.5652114455098758</v>
      </c>
      <c r="J220" s="139">
        <f>I220-VLOOKUP(B$2,H1:J227,2,FALSE)</f>
        <v>-9.1103842131940684</v>
      </c>
    </row>
    <row r="221" spans="1:10" ht="21.25" customHeight="1" x14ac:dyDescent="0.15">
      <c r="A221" s="8" t="s">
        <v>693</v>
      </c>
      <c r="B221" s="144" t="str">
        <f>VLOOKUP(A221,'The List'!B1:D727,3,FALSE)</f>
        <v>D</v>
      </c>
      <c r="C221" s="145">
        <f>IF(Settings!$E$15="POINTS",RANK(E221,E3:E227),H221)</f>
        <v>220</v>
      </c>
      <c r="D221" s="35" t="str">
        <f>VLOOKUP(A221,'The List'!B1:F727,5,FALSE)</f>
        <v>LAK</v>
      </c>
      <c r="E221" s="39">
        <f>VLOOKUP(A221,'The List'!B1:I727,8,FALSE)</f>
        <v>64.334809705881398</v>
      </c>
      <c r="F221" s="39">
        <f>IF(Settings!$E$15="POINTS",E221-VLOOKUP(B$2,C1:E227,3,FALSE),J221)</f>
        <v>-247.23067192204604</v>
      </c>
      <c r="G221" s="39"/>
      <c r="H221" s="138">
        <f>RANK(I221,I3:I227)</f>
        <v>214</v>
      </c>
      <c r="I221" s="139">
        <f>VLOOKUP(A221,'Standard Deviations'!A1:C728,3,FALSE)</f>
        <v>-4.6247927499147199</v>
      </c>
      <c r="J221" s="139">
        <f>I221-VLOOKUP(B$2,H1:J227,2,FALSE)</f>
        <v>-10.169965517598913</v>
      </c>
    </row>
    <row r="222" spans="1:10" ht="21.25" customHeight="1" x14ac:dyDescent="0.15">
      <c r="A222" s="8" t="s">
        <v>690</v>
      </c>
      <c r="B222" s="144" t="str">
        <f>VLOOKUP(A222,'The List'!B1:D727,3,FALSE)</f>
        <v>D</v>
      </c>
      <c r="C222" s="145">
        <f>IF(Settings!$E$15="POINTS",RANK(E222,E3:E227),H222)</f>
        <v>219</v>
      </c>
      <c r="D222" s="35" t="str">
        <f>VLOOKUP(A222,'The List'!B1:F727,5,FALSE)</f>
        <v>EDM</v>
      </c>
      <c r="E222" s="39">
        <f>VLOOKUP(A222,'The List'!B1:I727,8,FALSE)</f>
        <v>64.808898993324817</v>
      </c>
      <c r="F222" s="39">
        <f>IF(Settings!$E$15="POINTS",E222-VLOOKUP(B$2,C1:E227,3,FALSE),J222)</f>
        <v>-246.75658263460264</v>
      </c>
      <c r="G222" s="39"/>
      <c r="H222" s="138">
        <f>RANK(I222,I3:I227)</f>
        <v>168</v>
      </c>
      <c r="I222" s="139">
        <f>VLOOKUP(A222,'Standard Deviations'!A1:C728,3,FALSE)</f>
        <v>-3.0768956316424285</v>
      </c>
      <c r="J222" s="139">
        <f>I222-VLOOKUP(B$2,H1:J227,2,FALSE)</f>
        <v>-8.6220683993266221</v>
      </c>
    </row>
    <row r="223" spans="1:10" ht="21.25" customHeight="1" x14ac:dyDescent="0.15">
      <c r="A223" s="8" t="s">
        <v>697</v>
      </c>
      <c r="B223" s="144" t="str">
        <f>VLOOKUP(A223,'The List'!B1:D727,3,FALSE)</f>
        <v>D</v>
      </c>
      <c r="C223" s="145">
        <f>IF(Settings!$E$15="POINTS",RANK(E223,E3:E227),H223)</f>
        <v>221</v>
      </c>
      <c r="D223" s="35" t="str">
        <f>VLOOKUP(A223,'The List'!B1:F727,5,FALSE)</f>
        <v>NJD</v>
      </c>
      <c r="E223" s="39">
        <f>VLOOKUP(A223,'The List'!B1:I727,8,FALSE)</f>
        <v>61.078631841134268</v>
      </c>
      <c r="F223" s="39">
        <f>IF(Settings!$E$15="POINTS",E223-VLOOKUP(B$2,C1:E227,3,FALSE),J223)</f>
        <v>-250.48684978679319</v>
      </c>
      <c r="G223" s="39"/>
      <c r="H223" s="138">
        <f>RANK(I223,I3:I227)</f>
        <v>221</v>
      </c>
      <c r="I223" s="139">
        <f>VLOOKUP(A223,'Standard Deviations'!A1:C728,3,FALSE)</f>
        <v>-5.2352433739829181</v>
      </c>
      <c r="J223" s="139">
        <f>I223-VLOOKUP(B$2,H1:J227,2,FALSE)</f>
        <v>-10.780416141667111</v>
      </c>
    </row>
    <row r="224" spans="1:10" ht="21.25" customHeight="1" x14ac:dyDescent="0.15">
      <c r="A224" s="8" t="s">
        <v>700</v>
      </c>
      <c r="B224" s="144" t="str">
        <f>VLOOKUP(A224,'The List'!B1:D727,3,FALSE)</f>
        <v>D</v>
      </c>
      <c r="C224" s="145">
        <f>IF(Settings!$E$15="POINTS",RANK(E224,E3:E227),H224)</f>
        <v>223</v>
      </c>
      <c r="D224" s="35" t="str">
        <f>VLOOKUP(A224,'The List'!B1:F727,5,FALSE)</f>
        <v>PHI</v>
      </c>
      <c r="E224" s="39">
        <f>VLOOKUP(A224,'The List'!B1:I727,8,FALSE)</f>
        <v>60.673434437184909</v>
      </c>
      <c r="F224" s="39">
        <f>IF(Settings!$E$15="POINTS",E224-VLOOKUP(B$2,C1:E227,3,FALSE),J224)</f>
        <v>-250.89204719074255</v>
      </c>
      <c r="G224" s="39"/>
      <c r="H224" s="138">
        <f>RANK(I224,I3:I227)</f>
        <v>222</v>
      </c>
      <c r="I224" s="139">
        <f>VLOOKUP(A224,'Standard Deviations'!A1:C728,3,FALSE)</f>
        <v>-5.5241139399337511</v>
      </c>
      <c r="J224" s="139">
        <f>I224-VLOOKUP(B$2,H1:J227,2,FALSE)</f>
        <v>-11.069286707617945</v>
      </c>
    </row>
    <row r="225" spans="1:10" ht="21.25" customHeight="1" x14ac:dyDescent="0.15">
      <c r="A225" s="8" t="s">
        <v>699</v>
      </c>
      <c r="B225" s="144" t="str">
        <f>VLOOKUP(A225,'The List'!B1:D727,3,FALSE)</f>
        <v>D</v>
      </c>
      <c r="C225" s="145">
        <f>IF(Settings!$E$15="POINTS",RANK(E225,E3:E227),H225)</f>
        <v>222</v>
      </c>
      <c r="D225" s="35" t="str">
        <f>VLOOKUP(A225,'The List'!B1:F727,5,FALSE)</f>
        <v>STL</v>
      </c>
      <c r="E225" s="39">
        <f>VLOOKUP(A225,'The List'!B1:I727,8,FALSE)</f>
        <v>60.815204063296655</v>
      </c>
      <c r="F225" s="39">
        <f>IF(Settings!$E$15="POINTS",E225-VLOOKUP(B$2,C1:E227,3,FALSE),J225)</f>
        <v>-250.75027756463081</v>
      </c>
      <c r="G225" s="39"/>
      <c r="H225" s="138">
        <f>RANK(I225,I3:I227)</f>
        <v>217</v>
      </c>
      <c r="I225" s="139">
        <f>VLOOKUP(A225,'Standard Deviations'!A1:C728,3,FALSE)</f>
        <v>-4.8476938837548413</v>
      </c>
      <c r="J225" s="139">
        <f>I225-VLOOKUP(B$2,H1:J227,2,FALSE)</f>
        <v>-10.392866651439034</v>
      </c>
    </row>
    <row r="226" spans="1:10" ht="21.25" customHeight="1" x14ac:dyDescent="0.15">
      <c r="A226" s="8" t="s">
        <v>712</v>
      </c>
      <c r="B226" s="144" t="str">
        <f>VLOOKUP(A226,'The List'!B1:D727,3,FALSE)</f>
        <v>D</v>
      </c>
      <c r="C226" s="145">
        <f>IF(Settings!$E$15="POINTS",RANK(E226,E3:E227),H226)</f>
        <v>224</v>
      </c>
      <c r="D226" s="35" t="str">
        <f>VLOOKUP(A226,'The List'!B1:F727,5,FALSE)</f>
        <v>DAL</v>
      </c>
      <c r="E226" s="39">
        <f>VLOOKUP(A226,'The List'!B1:I727,8,FALSE)</f>
        <v>56.185781226466716</v>
      </c>
      <c r="F226" s="39">
        <f>IF(Settings!$E$15="POINTS",E226-VLOOKUP(B$2,C1:E227,3,FALSE),J226)</f>
        <v>-255.37970040146075</v>
      </c>
      <c r="G226" s="39"/>
      <c r="H226" s="138">
        <f>RANK(I226,I3:I227)</f>
        <v>195</v>
      </c>
      <c r="I226" s="139">
        <f>VLOOKUP(A226,'Standard Deviations'!A1:C728,3,FALSE)</f>
        <v>-3.8685539599956069</v>
      </c>
      <c r="J226" s="139">
        <f>I226-VLOOKUP(B$2,H1:J227,2,FALSE)</f>
        <v>-9.4137267276797996</v>
      </c>
    </row>
    <row r="227" spans="1:10" ht="21.25" customHeight="1" x14ac:dyDescent="0.15">
      <c r="A227" s="8" t="s">
        <v>728</v>
      </c>
      <c r="B227" s="144" t="str">
        <f>VLOOKUP(A227,'The List'!B1:D727,3,FALSE)</f>
        <v>D</v>
      </c>
      <c r="C227" s="145">
        <f>IF(Settings!$E$15="POINTS",RANK(E227,E3:E227),H227)</f>
        <v>225</v>
      </c>
      <c r="D227" s="35" t="str">
        <f>VLOOKUP(A227,'The List'!B1:F727,5,FALSE)</f>
        <v>LAK</v>
      </c>
      <c r="E227" s="39">
        <f>VLOOKUP(A227,'The List'!B1:I727,8,FALSE)</f>
        <v>48.978247394849909</v>
      </c>
      <c r="F227" s="39">
        <f>IF(Settings!$E$15="POINTS",E227-VLOOKUP(B$2,C1:E227,3,FALSE),J227)</f>
        <v>-262.58723423307754</v>
      </c>
      <c r="G227" s="39"/>
      <c r="H227" s="138">
        <f>RANK(I227,I3:I227)</f>
        <v>220</v>
      </c>
      <c r="I227" s="139">
        <f>VLOOKUP(A227,'Standard Deviations'!A1:C728,3,FALSE)</f>
        <v>-5.1751213187401257</v>
      </c>
      <c r="J227" s="139">
        <f>I227-VLOOKUP(B$2,H1:J227,2,FALSE)</f>
        <v>-10.720294086424317</v>
      </c>
    </row>
  </sheetData>
  <conditionalFormatting sqref="C3:C227 H3:H227">
    <cfRule type="containsText" dxfId="11" priority="1" stopIfTrue="1" operator="containsText" text="/">
      <formula>NOT(ISERROR(FIND(UPPER("/"),UPPER(C3))))</formula>
      <formula>"/"</formula>
    </cfRule>
    <cfRule type="containsText" dxfId="10" priority="2" stopIfTrue="1" operator="containsText" text="C">
      <formula>NOT(ISERROR(FIND(UPPER("C"),UPPER(C3))))</formula>
      <formula>"C"</formula>
    </cfRule>
    <cfRule type="containsText" dxfId="9" priority="3" stopIfTrue="1" operator="containsText" text="D">
      <formula>NOT(ISERROR(FIND(UPPER("D"),UPPER(C3))))</formula>
      <formula>"D"</formula>
    </cfRule>
    <cfRule type="containsText" dxfId="8" priority="4" stopIfTrue="1" operator="containsText" text="LW">
      <formula>NOT(ISERROR(FIND(UPPER("LW"),UPPER(C3))))</formula>
      <formula>"LW"</formula>
    </cfRule>
    <cfRule type="containsText" dxfId="7" priority="5" stopIfTrue="1" operator="containsText" text="RW">
      <formula>NOT(ISERROR(FIND(UPPER("RW"),UPPER(C3))))</formula>
      <formula>"RW"</formula>
    </cfRule>
    <cfRule type="containsText" dxfId="6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J75"/>
  <sheetViews>
    <sheetView showGridLines="0" workbookViewId="0">
      <pane ySplit="2" topLeftCell="A3" activePane="bottomLeft" state="frozen"/>
      <selection pane="bottomLeft"/>
    </sheetView>
  </sheetViews>
  <sheetFormatPr baseColWidth="10" defaultColWidth="8" defaultRowHeight="16.25" customHeight="1" x14ac:dyDescent="0.15"/>
  <cols>
    <col min="1" max="1" width="33" style="1" customWidth="1"/>
    <col min="2" max="2" width="7.1640625" style="1" customWidth="1"/>
    <col min="3" max="3" width="6" style="1" customWidth="1"/>
    <col min="4" max="6" width="8.33203125" style="1" customWidth="1"/>
    <col min="7" max="10" width="1.33203125" style="1" customWidth="1"/>
    <col min="11" max="11" width="8" style="1" customWidth="1"/>
    <col min="12" max="16384" width="8" style="1"/>
  </cols>
  <sheetData>
    <row r="1" spans="1:10" ht="28.25" customHeight="1" x14ac:dyDescent="0.15">
      <c r="A1" s="122" t="s">
        <v>852</v>
      </c>
      <c r="B1" s="123" t="s">
        <v>81</v>
      </c>
      <c r="C1" s="124"/>
      <c r="D1" s="4" t="s">
        <v>854</v>
      </c>
      <c r="E1" s="125" t="s">
        <v>855</v>
      </c>
      <c r="F1" s="123" t="s">
        <v>74</v>
      </c>
      <c r="G1" s="126"/>
      <c r="H1" s="127"/>
      <c r="I1" s="128" t="s">
        <v>856</v>
      </c>
      <c r="J1" s="129" t="s">
        <v>74</v>
      </c>
    </row>
    <row r="2" spans="1:10" ht="28.25" customHeight="1" x14ac:dyDescent="0.15">
      <c r="A2" s="130" t="s">
        <v>41</v>
      </c>
      <c r="B2" s="131">
        <f>Settings!F6</f>
        <v>11</v>
      </c>
      <c r="C2" s="132"/>
      <c r="D2" s="133"/>
      <c r="E2" s="134"/>
      <c r="F2" s="134"/>
      <c r="G2" s="134"/>
      <c r="H2" s="140"/>
      <c r="I2" s="141"/>
      <c r="J2" s="141"/>
    </row>
    <row r="3" spans="1:10" ht="21.25" customHeight="1" x14ac:dyDescent="0.15">
      <c r="A3" s="8" t="s">
        <v>120</v>
      </c>
      <c r="B3" s="111" t="str">
        <f>VLOOKUP(A3,'The List'!B1:D727,3,FALSE)</f>
        <v>G</v>
      </c>
      <c r="C3" s="146">
        <f>RANK(E3,E3:E75)</f>
        <v>1</v>
      </c>
      <c r="D3" s="35" t="str">
        <f>VLOOKUP(A3,'The List'!B1:F727,5,FALSE)</f>
        <v>TBL</v>
      </c>
      <c r="E3" s="39">
        <f>VLOOKUP(A3,'The List'!B1:I727,8,FALSE)</f>
        <v>521.34627115554633</v>
      </c>
      <c r="F3" s="39">
        <f>IF(Settings!$E$15="POINTS",E3-VLOOKUP(B$2,C1:E75,3,FALSE),J3)</f>
        <v>122.57060906623013</v>
      </c>
      <c r="G3" s="39"/>
      <c r="H3" s="142">
        <f>RANK(I3,I3:I75)</f>
        <v>5</v>
      </c>
      <c r="I3" s="143">
        <f>VLOOKUP(A3,'Standard Deviations'!A1:C728,3,FALSE)</f>
        <v>7.17227547212683</v>
      </c>
      <c r="J3" s="143">
        <f>I3-VLOOKUP(B$2,H1:J75,2,FALSE)</f>
        <v>2.4881286993973708</v>
      </c>
    </row>
    <row r="4" spans="1:10" ht="21.25" customHeight="1" x14ac:dyDescent="0.15">
      <c r="A4" s="8" t="s">
        <v>122</v>
      </c>
      <c r="B4" s="111" t="str">
        <f>VLOOKUP(A4,'The List'!B1:D727,3,FALSE)</f>
        <v>G</v>
      </c>
      <c r="C4" s="146">
        <f>RANK(E4,E3:E75)</f>
        <v>2</v>
      </c>
      <c r="D4" s="35" t="str">
        <f>VLOOKUP(A4,'The List'!B1:F727,5,FALSE)</f>
        <v>NYI</v>
      </c>
      <c r="E4" s="39">
        <f>VLOOKUP(A4,'The List'!B1:I727,8,FALSE)</f>
        <v>512.83387167443379</v>
      </c>
      <c r="F4" s="39">
        <f>IF(Settings!$E$15="POINTS",E4-VLOOKUP(B$2,C1:E75,3,FALSE),J4)</f>
        <v>114.05820958511759</v>
      </c>
      <c r="G4" s="39"/>
      <c r="H4" s="138">
        <f>RANK(I4,I3:I75)</f>
        <v>3</v>
      </c>
      <c r="I4" s="139">
        <f>VLOOKUP(A4,'Standard Deviations'!A1:C728,3,FALSE)</f>
        <v>8.7432076943011481</v>
      </c>
      <c r="J4" s="139">
        <f>I4-VLOOKUP(B$2,H1:J75,2,FALSE)</f>
        <v>4.0590609215716889</v>
      </c>
    </row>
    <row r="5" spans="1:10" ht="21.25" customHeight="1" x14ac:dyDescent="0.15">
      <c r="A5" s="8" t="s">
        <v>124</v>
      </c>
      <c r="B5" s="111" t="str">
        <f>VLOOKUP(A5,'The List'!B1:D727,3,FALSE)</f>
        <v>G</v>
      </c>
      <c r="C5" s="146">
        <f>RANK(E5,E3:E75)</f>
        <v>4</v>
      </c>
      <c r="D5" s="35" t="str">
        <f>VLOOKUP(A5,'The List'!B1:F727,5,FALSE)</f>
        <v>DAL</v>
      </c>
      <c r="E5" s="39">
        <f>VLOOKUP(A5,'The List'!B1:I727,8,FALSE)</f>
        <v>506.55162125343043</v>
      </c>
      <c r="F5" s="39">
        <f>IF(Settings!$E$15="POINTS",E5-VLOOKUP(B$2,C1:E75,3,FALSE),J5)</f>
        <v>107.77595916411423</v>
      </c>
      <c r="G5" s="39"/>
      <c r="H5" s="138">
        <f>RANK(I5,I3:I75)</f>
        <v>2</v>
      </c>
      <c r="I5" s="139">
        <f>VLOOKUP(A5,'Standard Deviations'!A1:C728,3,FALSE)</f>
        <v>9.0268979731067436</v>
      </c>
      <c r="J5" s="139">
        <f>I5-VLOOKUP(B$2,H1:J75,2,FALSE)</f>
        <v>4.3427512003772843</v>
      </c>
    </row>
    <row r="6" spans="1:10" ht="21.25" customHeight="1" x14ac:dyDescent="0.15">
      <c r="A6" s="8" t="s">
        <v>134</v>
      </c>
      <c r="B6" s="111" t="str">
        <f>VLOOKUP(A6,'The List'!B1:D727,3,FALSE)</f>
        <v>G</v>
      </c>
      <c r="C6" s="146">
        <f>RANK(E6,E3:E75)</f>
        <v>6</v>
      </c>
      <c r="D6" s="35" t="str">
        <f>VLOOKUP(A6,'The List'!B1:F727,5,FALSE)</f>
        <v>NSH</v>
      </c>
      <c r="E6" s="39">
        <f>VLOOKUP(A6,'The List'!B1:I727,8,FALSE)</f>
        <v>482.42546599173193</v>
      </c>
      <c r="F6" s="39">
        <f>IF(Settings!$E$15="POINTS",E6-VLOOKUP(B$2,C1:E75,3,FALSE),J6)</f>
        <v>83.649803902415726</v>
      </c>
      <c r="G6" s="39"/>
      <c r="H6" s="138">
        <f>RANK(I6,I3:I75)</f>
        <v>6</v>
      </c>
      <c r="I6" s="139">
        <f>VLOOKUP(A6,'Standard Deviations'!A1:C728,3,FALSE)</f>
        <v>6.2804928572812972</v>
      </c>
      <c r="J6" s="139">
        <f>I6-VLOOKUP(B$2,H1:J75,2,FALSE)</f>
        <v>1.596346084551838</v>
      </c>
    </row>
    <row r="7" spans="1:10" ht="21.25" customHeight="1" x14ac:dyDescent="0.15">
      <c r="A7" s="8" t="s">
        <v>128</v>
      </c>
      <c r="B7" s="111" t="str">
        <f>VLOOKUP(A7,'The List'!B1:D727,3,FALSE)</f>
        <v>G</v>
      </c>
      <c r="C7" s="146">
        <f>RANK(E7,E3:E75)</f>
        <v>5</v>
      </c>
      <c r="D7" s="35" t="str">
        <f>VLOOKUP(A7,'The List'!B1:F727,5,FALSE)</f>
        <v>WPG</v>
      </c>
      <c r="E7" s="39">
        <f>VLOOKUP(A7,'The List'!B1:I727,8,FALSE)</f>
        <v>490.92440240067219</v>
      </c>
      <c r="F7" s="39">
        <f>IF(Settings!$E$15="POINTS",E7-VLOOKUP(B$2,C1:E75,3,FALSE),J7)</f>
        <v>92.148740311355994</v>
      </c>
      <c r="G7" s="39"/>
      <c r="H7" s="138">
        <f>RANK(I7,I3:I75)</f>
        <v>4</v>
      </c>
      <c r="I7" s="139">
        <f>VLOOKUP(A7,'Standard Deviations'!A1:C728,3,FALSE)</f>
        <v>7.8396572508143949</v>
      </c>
      <c r="J7" s="139">
        <f>I7-VLOOKUP(B$2,H1:J75,2,FALSE)</f>
        <v>3.1555104780849357</v>
      </c>
    </row>
    <row r="8" spans="1:10" ht="21.25" customHeight="1" x14ac:dyDescent="0.15">
      <c r="A8" s="8" t="s">
        <v>123</v>
      </c>
      <c r="B8" s="111" t="str">
        <f>VLOOKUP(A8,'The List'!B1:D727,3,FALSE)</f>
        <v>G</v>
      </c>
      <c r="C8" s="146">
        <f>RANK(E8,E3:E75)</f>
        <v>3</v>
      </c>
      <c r="D8" s="35" t="str">
        <f>VLOOKUP(A8,'The List'!B1:F727,5,FALSE)</f>
        <v>NYR</v>
      </c>
      <c r="E8" s="39">
        <f>VLOOKUP(A8,'The List'!B1:I727,8,FALSE)</f>
        <v>510.01013511524326</v>
      </c>
      <c r="F8" s="39">
        <f>IF(Settings!$E$15="POINTS",E8-VLOOKUP(B$2,C1:E75,3,FALSE),J8)</f>
        <v>111.23447302592706</v>
      </c>
      <c r="G8" s="39"/>
      <c r="H8" s="138">
        <f>RANK(I8,I3:I75)</f>
        <v>1</v>
      </c>
      <c r="I8" s="139">
        <f>VLOOKUP(A8,'Standard Deviations'!A1:C728,3,FALSE)</f>
        <v>9.2980335023863709</v>
      </c>
      <c r="J8" s="139">
        <f>I8-VLOOKUP(B$2,H1:J75,2,FALSE)</f>
        <v>4.6138867296569117</v>
      </c>
    </row>
    <row r="9" spans="1:10" ht="21.25" customHeight="1" x14ac:dyDescent="0.15">
      <c r="A9" s="8" t="s">
        <v>152</v>
      </c>
      <c r="B9" s="111" t="str">
        <f>VLOOKUP(A9,'The List'!B1:D727,3,FALSE)</f>
        <v>G</v>
      </c>
      <c r="C9" s="146">
        <f>RANK(E9,E3:E75)</f>
        <v>7</v>
      </c>
      <c r="D9" s="35" t="str">
        <f>VLOOKUP(A9,'The List'!B1:F727,5,FALSE)</f>
        <v>COL</v>
      </c>
      <c r="E9" s="39">
        <f>VLOOKUP(A9,'The List'!B1:I727,8,FALSE)</f>
        <v>446.50597842215399</v>
      </c>
      <c r="F9" s="39">
        <f>IF(Settings!$E$15="POINTS",E9-VLOOKUP(B$2,C1:E75,3,FALSE),J9)</f>
        <v>47.730316332837788</v>
      </c>
      <c r="G9" s="39"/>
      <c r="H9" s="138">
        <f>RANK(I9,I3:I75)</f>
        <v>7</v>
      </c>
      <c r="I9" s="139">
        <f>VLOOKUP(A9,'Standard Deviations'!A1:C728,3,FALSE)</f>
        <v>6.1453115298394483</v>
      </c>
      <c r="J9" s="139">
        <f>I9-VLOOKUP(B$2,H1:J75,2,FALSE)</f>
        <v>1.4611647571099891</v>
      </c>
    </row>
    <row r="10" spans="1:10" ht="21.25" customHeight="1" x14ac:dyDescent="0.15">
      <c r="A10" s="8" t="s">
        <v>166</v>
      </c>
      <c r="B10" s="111" t="str">
        <f>VLOOKUP(A10,'The List'!B1:D727,3,FALSE)</f>
        <v>G</v>
      </c>
      <c r="C10" s="146">
        <f>RANK(E10,E3:E75)</f>
        <v>9</v>
      </c>
      <c r="D10" s="35" t="str">
        <f>VLOOKUP(A10,'The List'!B1:F727,5,FALSE)</f>
        <v>MIN</v>
      </c>
      <c r="E10" s="39">
        <f>VLOOKUP(A10,'The List'!B1:I727,8,FALSE)</f>
        <v>428.97171225334819</v>
      </c>
      <c r="F10" s="39">
        <f>IF(Settings!$E$15="POINTS",E10-VLOOKUP(B$2,C1:E75,3,FALSE),J10)</f>
        <v>30.196050164031988</v>
      </c>
      <c r="G10" s="39"/>
      <c r="H10" s="138">
        <f>RANK(I10,I3:I75)</f>
        <v>11</v>
      </c>
      <c r="I10" s="139">
        <f>VLOOKUP(A10,'Standard Deviations'!A1:C728,3,FALSE)</f>
        <v>4.6841467727294592</v>
      </c>
      <c r="J10" s="139">
        <f>I10-VLOOKUP(B$2,H1:J75,2,FALSE)</f>
        <v>0</v>
      </c>
    </row>
    <row r="11" spans="1:10" ht="21.25" customHeight="1" x14ac:dyDescent="0.15">
      <c r="A11" s="8" t="s">
        <v>168</v>
      </c>
      <c r="B11" s="111" t="str">
        <f>VLOOKUP(A11,'The List'!B1:D727,3,FALSE)</f>
        <v>G</v>
      </c>
      <c r="C11" s="146">
        <f>RANK(E11,E3:E75)</f>
        <v>10</v>
      </c>
      <c r="D11" s="35" t="str">
        <f>VLOOKUP(A11,'The List'!B1:F727,5,FALSE)</f>
        <v>PIT</v>
      </c>
      <c r="E11" s="39">
        <f>VLOOKUP(A11,'The List'!B1:I727,8,FALSE)</f>
        <v>428.62086968135486</v>
      </c>
      <c r="F11" s="39">
        <f>IF(Settings!$E$15="POINTS",E11-VLOOKUP(B$2,C1:E75,3,FALSE),J11)</f>
        <v>29.845207592038662</v>
      </c>
      <c r="G11" s="39"/>
      <c r="H11" s="138">
        <f>RANK(I11,I3:I75)</f>
        <v>8</v>
      </c>
      <c r="I11" s="139">
        <f>VLOOKUP(A11,'Standard Deviations'!A1:C728,3,FALSE)</f>
        <v>5.6434758006669608</v>
      </c>
      <c r="J11" s="139">
        <f>I11-VLOOKUP(B$2,H1:J75,2,FALSE)</f>
        <v>0.95932902793750152</v>
      </c>
    </row>
    <row r="12" spans="1:10" ht="21.25" customHeight="1" x14ac:dyDescent="0.15">
      <c r="A12" s="8" t="s">
        <v>155</v>
      </c>
      <c r="B12" s="111" t="str">
        <f>VLOOKUP(A12,'The List'!B1:D727,3,FALSE)</f>
        <v>G</v>
      </c>
      <c r="C12" s="146">
        <f>RANK(E12,E3:E75)</f>
        <v>8</v>
      </c>
      <c r="D12" s="35" t="str">
        <f>VLOOKUP(A12,'The List'!B1:F727,5,FALSE)</f>
        <v>VAN</v>
      </c>
      <c r="E12" s="39">
        <f>VLOOKUP(A12,'The List'!B1:I727,8,FALSE)</f>
        <v>440.93521406808941</v>
      </c>
      <c r="F12" s="39">
        <f>IF(Settings!$E$15="POINTS",E12-VLOOKUP(B$2,C1:E75,3,FALSE),J12)</f>
        <v>42.159551978773209</v>
      </c>
      <c r="G12" s="39"/>
      <c r="H12" s="138">
        <f>RANK(I12,I3:I75)</f>
        <v>9</v>
      </c>
      <c r="I12" s="139">
        <f>VLOOKUP(A12,'Standard Deviations'!A1:C728,3,FALSE)</f>
        <v>5.5594732822185495</v>
      </c>
      <c r="J12" s="139">
        <f>I12-VLOOKUP(B$2,H1:J75,2,FALSE)</f>
        <v>0.8753265094890903</v>
      </c>
    </row>
    <row r="13" spans="1:10" ht="21.25" customHeight="1" x14ac:dyDescent="0.15">
      <c r="A13" s="8" t="s">
        <v>193</v>
      </c>
      <c r="B13" s="111" t="str">
        <f>VLOOKUP(A13,'The List'!B1:D727,3,FALSE)</f>
        <v>G</v>
      </c>
      <c r="C13" s="146">
        <f>RANK(E13,E3:E75)</f>
        <v>11</v>
      </c>
      <c r="D13" s="35" t="str">
        <f>VLOOKUP(A13,'The List'!B1:F727,5,FALSE)</f>
        <v>WSH</v>
      </c>
      <c r="E13" s="39">
        <f>VLOOKUP(A13,'The List'!B1:I727,8,FALSE)</f>
        <v>398.7756620893162</v>
      </c>
      <c r="F13" s="39">
        <f>IF(Settings!$E$15="POINTS",E13-VLOOKUP(B$2,C1:E75,3,FALSE),J13)</f>
        <v>0</v>
      </c>
      <c r="G13" s="39"/>
      <c r="H13" s="138">
        <f>RANK(I13,I3:I75)</f>
        <v>18</v>
      </c>
      <c r="I13" s="139">
        <f>VLOOKUP(A13,'Standard Deviations'!A1:C728,3,FALSE)</f>
        <v>2.5806058151477922</v>
      </c>
      <c r="J13" s="139">
        <f>I13-VLOOKUP(B$2,H1:J75,2,FALSE)</f>
        <v>-2.103540957581667</v>
      </c>
    </row>
    <row r="14" spans="1:10" ht="21.25" customHeight="1" x14ac:dyDescent="0.15">
      <c r="A14" s="8" t="s">
        <v>203</v>
      </c>
      <c r="B14" s="111" t="str">
        <f>VLOOKUP(A14,'The List'!B1:D727,3,FALSE)</f>
        <v>G</v>
      </c>
      <c r="C14" s="146">
        <f>RANK(E14,E3:E75)</f>
        <v>13</v>
      </c>
      <c r="D14" s="35" t="str">
        <f>VLOOKUP(A14,'The List'!B1:F727,5,FALSE)</f>
        <v>STL</v>
      </c>
      <c r="E14" s="39">
        <f>VLOOKUP(A14,'The List'!B1:I727,8,FALSE)</f>
        <v>388.79042858736409</v>
      </c>
      <c r="F14" s="39">
        <f>IF(Settings!$E$15="POINTS",E14-VLOOKUP(B$2,C1:E75,3,FALSE),J14)</f>
        <v>-9.9852335019521092</v>
      </c>
      <c r="G14" s="39"/>
      <c r="H14" s="138">
        <f>RANK(I14,I3:I75)</f>
        <v>27</v>
      </c>
      <c r="I14" s="139">
        <f>VLOOKUP(A14,'Standard Deviations'!A1:C728,3,FALSE)</f>
        <v>0.90366819721695313</v>
      </c>
      <c r="J14" s="139">
        <f>I14-VLOOKUP(B$2,H1:J75,2,FALSE)</f>
        <v>-3.7804785755125061</v>
      </c>
    </row>
    <row r="15" spans="1:10" ht="21.25" customHeight="1" x14ac:dyDescent="0.15">
      <c r="A15" s="8" t="s">
        <v>196</v>
      </c>
      <c r="B15" s="111" t="str">
        <f>VLOOKUP(A15,'The List'!B1:D727,3,FALSE)</f>
        <v>G</v>
      </c>
      <c r="C15" s="146">
        <f>RANK(E15,E3:E75)</f>
        <v>12</v>
      </c>
      <c r="D15" s="35" t="str">
        <f>VLOOKUP(A15,'The List'!B1:F727,5,FALSE)</f>
        <v>ANA</v>
      </c>
      <c r="E15" s="39">
        <f>VLOOKUP(A15,'The List'!B1:I727,8,FALSE)</f>
        <v>395.87576573777699</v>
      </c>
      <c r="F15" s="39">
        <f>IF(Settings!$E$15="POINTS",E15-VLOOKUP(B$2,C1:E75,3,FALSE),J15)</f>
        <v>-2.899896351539212</v>
      </c>
      <c r="G15" s="39"/>
      <c r="H15" s="138">
        <f>RANK(I15,I3:I75)</f>
        <v>35</v>
      </c>
      <c r="I15" s="139">
        <f>VLOOKUP(A15,'Standard Deviations'!A1:C728,3,FALSE)</f>
        <v>-0.70715467319472758</v>
      </c>
      <c r="J15" s="139">
        <f>I15-VLOOKUP(B$2,H1:J75,2,FALSE)</f>
        <v>-5.3913014459241868</v>
      </c>
    </row>
    <row r="16" spans="1:10" ht="21.25" customHeight="1" x14ac:dyDescent="0.15">
      <c r="A16" s="8" t="s">
        <v>211</v>
      </c>
      <c r="B16" s="111" t="str">
        <f>VLOOKUP(A16,'The List'!B1:D727,3,FALSE)</f>
        <v>G</v>
      </c>
      <c r="C16" s="146">
        <f>RANK(E16,E3:E75)</f>
        <v>15</v>
      </c>
      <c r="D16" s="35" t="str">
        <f>VLOOKUP(A16,'The List'!B1:F727,5,FALSE)</f>
        <v>FLA</v>
      </c>
      <c r="E16" s="39">
        <f>VLOOKUP(A16,'The List'!B1:I727,8,FALSE)</f>
        <v>383.9131315670013</v>
      </c>
      <c r="F16" s="39">
        <f>IF(Settings!$E$15="POINTS",E16-VLOOKUP(B$2,C1:E75,3,FALSE),J16)</f>
        <v>-14.862530522314898</v>
      </c>
      <c r="G16" s="39"/>
      <c r="H16" s="138">
        <f>RANK(I16,I3:I75)</f>
        <v>20</v>
      </c>
      <c r="I16" s="139">
        <f>VLOOKUP(A16,'Standard Deviations'!A1:C728,3,FALSE)</f>
        <v>1.9339113702477124</v>
      </c>
      <c r="J16" s="139">
        <f>I16-VLOOKUP(B$2,H1:J75,2,FALSE)</f>
        <v>-2.7502354024817466</v>
      </c>
    </row>
    <row r="17" spans="1:10" ht="21.25" customHeight="1" x14ac:dyDescent="0.15">
      <c r="A17" s="8" t="s">
        <v>212</v>
      </c>
      <c r="B17" s="111" t="str">
        <f>VLOOKUP(A17,'The List'!B1:D727,3,FALSE)</f>
        <v>G</v>
      </c>
      <c r="C17" s="146">
        <f>RANK(E17,E3:E75)</f>
        <v>16</v>
      </c>
      <c r="D17" s="35" t="str">
        <f>VLOOKUP(A17,'The List'!B1:F727,5,FALSE)</f>
        <v>CGY</v>
      </c>
      <c r="E17" s="39">
        <f>VLOOKUP(A17,'The List'!B1:I727,8,FALSE)</f>
        <v>383.88019465813812</v>
      </c>
      <c r="F17" s="39">
        <f>IF(Settings!$E$15="POINTS",E17-VLOOKUP(B$2,C1:E75,3,FALSE),J17)</f>
        <v>-14.895467431178076</v>
      </c>
      <c r="G17" s="39"/>
      <c r="H17" s="138">
        <f>RANK(I17,I3:I75)</f>
        <v>14</v>
      </c>
      <c r="I17" s="139">
        <f>VLOOKUP(A17,'Standard Deviations'!A1:C728,3,FALSE)</f>
        <v>3.8095844276199644</v>
      </c>
      <c r="J17" s="139">
        <f>I17-VLOOKUP(B$2,H1:J75,2,FALSE)</f>
        <v>-0.87456234510949482</v>
      </c>
    </row>
    <row r="18" spans="1:10" ht="21.25" customHeight="1" x14ac:dyDescent="0.15">
      <c r="A18" s="8" t="s">
        <v>217</v>
      </c>
      <c r="B18" s="111" t="str">
        <f>VLOOKUP(A18,'The List'!B1:D727,3,FALSE)</f>
        <v>G</v>
      </c>
      <c r="C18" s="146">
        <f>RANK(E18,E3:E75)</f>
        <v>17</v>
      </c>
      <c r="D18" s="35" t="str">
        <f>VLOOKUP(A18,'The List'!B1:F727,5,FALSE)</f>
        <v>EDM</v>
      </c>
      <c r="E18" s="39">
        <f>VLOOKUP(A18,'The List'!B1:I727,8,FALSE)</f>
        <v>379.67509277031741</v>
      </c>
      <c r="F18" s="39">
        <f>IF(Settings!$E$15="POINTS",E18-VLOOKUP(B$2,C1:E75,3,FALSE),J18)</f>
        <v>-19.100569318998794</v>
      </c>
      <c r="G18" s="39"/>
      <c r="H18" s="138">
        <f>RANK(I18,I3:I75)</f>
        <v>12</v>
      </c>
      <c r="I18" s="139">
        <f>VLOOKUP(A18,'Standard Deviations'!A1:C728,3,FALSE)</f>
        <v>4.4221652649285614</v>
      </c>
      <c r="J18" s="139">
        <f>I18-VLOOKUP(B$2,H1:J75,2,FALSE)</f>
        <v>-0.26198150780089779</v>
      </c>
    </row>
    <row r="19" spans="1:10" ht="21.25" customHeight="1" x14ac:dyDescent="0.15">
      <c r="A19" s="8" t="s">
        <v>220</v>
      </c>
      <c r="B19" s="111" t="str">
        <f>VLOOKUP(A19,'The List'!B1:D727,3,FALSE)</f>
        <v>G</v>
      </c>
      <c r="C19" s="146">
        <f>RANK(E19,E3:E75)</f>
        <v>18</v>
      </c>
      <c r="D19" s="35" t="str">
        <f>VLOOKUP(A19,'The List'!B1:F727,5,FALSE)</f>
        <v>TOR</v>
      </c>
      <c r="E19" s="39">
        <f>VLOOKUP(A19,'The List'!B1:I727,8,FALSE)</f>
        <v>376.60514786762195</v>
      </c>
      <c r="F19" s="39">
        <f>IF(Settings!$E$15="POINTS",E19-VLOOKUP(B$2,C1:E75,3,FALSE),J19)</f>
        <v>-22.170514221694248</v>
      </c>
      <c r="G19" s="39"/>
      <c r="H19" s="138">
        <f>RANK(I19,I3:I75)</f>
        <v>15</v>
      </c>
      <c r="I19" s="139">
        <f>VLOOKUP(A19,'Standard Deviations'!A1:C728,3,FALSE)</f>
        <v>3.4440364551940741</v>
      </c>
      <c r="J19" s="139">
        <f>I19-VLOOKUP(B$2,H1:J75,2,FALSE)</f>
        <v>-1.2401103175353851</v>
      </c>
    </row>
    <row r="20" spans="1:10" ht="21.25" customHeight="1" x14ac:dyDescent="0.15">
      <c r="A20" s="8" t="s">
        <v>227</v>
      </c>
      <c r="B20" s="111" t="str">
        <f>VLOOKUP(A20,'The List'!B1:D727,3,FALSE)</f>
        <v>G</v>
      </c>
      <c r="C20" s="146">
        <f>RANK(E20,E3:E75)</f>
        <v>19</v>
      </c>
      <c r="D20" s="35" t="str">
        <f>VLOOKUP(A20,'The List'!B1:F727,5,FALSE)</f>
        <v>BOS</v>
      </c>
      <c r="E20" s="39">
        <f>VLOOKUP(A20,'The List'!B1:I727,8,FALSE)</f>
        <v>371.023746476437</v>
      </c>
      <c r="F20" s="39">
        <f>IF(Settings!$E$15="POINTS",E20-VLOOKUP(B$2,C1:E75,3,FALSE),J20)</f>
        <v>-27.751915612879202</v>
      </c>
      <c r="G20" s="39"/>
      <c r="H20" s="138">
        <f>RANK(I20,I3:I75)</f>
        <v>10</v>
      </c>
      <c r="I20" s="139">
        <f>VLOOKUP(A20,'Standard Deviations'!A1:C728,3,FALSE)</f>
        <v>5.4468197254549562</v>
      </c>
      <c r="J20" s="139">
        <f>I20-VLOOKUP(B$2,H1:J75,2,FALSE)</f>
        <v>0.76267295272549696</v>
      </c>
    </row>
    <row r="21" spans="1:10" ht="21.25" customHeight="1" x14ac:dyDescent="0.15">
      <c r="A21" s="8" t="s">
        <v>207</v>
      </c>
      <c r="B21" s="111" t="str">
        <f>VLOOKUP(A21,'The List'!B1:D727,3,FALSE)</f>
        <v>G</v>
      </c>
      <c r="C21" s="146">
        <f>RANK(E21,E3:E75)</f>
        <v>14</v>
      </c>
      <c r="D21" s="35" t="str">
        <f>VLOOKUP(A21,'The List'!B1:F727,5,FALSE)</f>
        <v>VGK</v>
      </c>
      <c r="E21" s="39">
        <f>VLOOKUP(A21,'The List'!B1:I727,8,FALSE)</f>
        <v>387.005148518319</v>
      </c>
      <c r="F21" s="39">
        <f>IF(Settings!$E$15="POINTS",E21-VLOOKUP(B$2,C1:E75,3,FALSE),J21)</f>
        <v>-11.770513570997196</v>
      </c>
      <c r="G21" s="39"/>
      <c r="H21" s="138">
        <f>RANK(I21,I3:I75)</f>
        <v>13</v>
      </c>
      <c r="I21" s="139">
        <f>VLOOKUP(A21,'Standard Deviations'!A1:C728,3,FALSE)</f>
        <v>4.1969943315328537</v>
      </c>
      <c r="J21" s="139">
        <f>I21-VLOOKUP(B$2,H1:J75,2,FALSE)</f>
        <v>-0.4871524411966055</v>
      </c>
    </row>
    <row r="22" spans="1:10" ht="21.25" customHeight="1" x14ac:dyDescent="0.15">
      <c r="A22" s="8" t="s">
        <v>266</v>
      </c>
      <c r="B22" s="111" t="str">
        <f>VLOOKUP(A22,'The List'!B1:D727,3,FALSE)</f>
        <v>G</v>
      </c>
      <c r="C22" s="146">
        <f>RANK(E22,E3:E75)</f>
        <v>21</v>
      </c>
      <c r="D22" s="35" t="str">
        <f>VLOOKUP(A22,'The List'!B1:F727,5,FALSE)</f>
        <v>PHI</v>
      </c>
      <c r="E22" s="39">
        <f>VLOOKUP(A22,'The List'!B1:I727,8,FALSE)</f>
        <v>329.62483253012203</v>
      </c>
      <c r="F22" s="39">
        <f>IF(Settings!$E$15="POINTS",E22-VLOOKUP(B$2,C1:E75,3,FALSE),J22)</f>
        <v>-69.150829559194165</v>
      </c>
      <c r="G22" s="39"/>
      <c r="H22" s="138">
        <f>RANK(I22,I3:I75)</f>
        <v>26</v>
      </c>
      <c r="I22" s="139">
        <f>VLOOKUP(A22,'Standard Deviations'!A1:C728,3,FALSE)</f>
        <v>1.2479157528191003</v>
      </c>
      <c r="J22" s="139">
        <f>I22-VLOOKUP(B$2,H1:J75,2,FALSE)</f>
        <v>-3.436231019910359</v>
      </c>
    </row>
    <row r="23" spans="1:10" ht="21.25" customHeight="1" x14ac:dyDescent="0.15">
      <c r="A23" s="8" t="s">
        <v>253</v>
      </c>
      <c r="B23" s="111" t="str">
        <f>VLOOKUP(A23,'The List'!B1:D727,3,FALSE)</f>
        <v>G</v>
      </c>
      <c r="C23" s="146">
        <f>RANK(E23,E3:E75)</f>
        <v>20</v>
      </c>
      <c r="D23" s="35" t="str">
        <f>VLOOKUP(A23,'The List'!B1:F727,5,FALSE)</f>
        <v>CBJ</v>
      </c>
      <c r="E23" s="39">
        <f>VLOOKUP(A23,'The List'!B1:I727,8,FALSE)</f>
        <v>350.63811446463785</v>
      </c>
      <c r="F23" s="39">
        <f>IF(Settings!$E$15="POINTS",E23-VLOOKUP(B$2,C1:E75,3,FALSE),J23)</f>
        <v>-48.137547624678348</v>
      </c>
      <c r="G23" s="39"/>
      <c r="H23" s="138">
        <f>RANK(I23,I3:I75)</f>
        <v>33</v>
      </c>
      <c r="I23" s="139">
        <f>VLOOKUP(A23,'Standard Deviations'!A1:C728,3,FALSE)</f>
        <v>-0.65119821050543081</v>
      </c>
      <c r="J23" s="139">
        <f>I23-VLOOKUP(B$2,H1:J75,2,FALSE)</f>
        <v>-5.33534498323489</v>
      </c>
    </row>
    <row r="24" spans="1:10" ht="21.25" customHeight="1" x14ac:dyDescent="0.15">
      <c r="A24" s="8" t="s">
        <v>277</v>
      </c>
      <c r="B24" s="111" t="str">
        <f>VLOOKUP(A24,'The List'!B1:D727,3,FALSE)</f>
        <v>G</v>
      </c>
      <c r="C24" s="146">
        <f>RANK(E24,E3:E75)</f>
        <v>22</v>
      </c>
      <c r="D24" s="35" t="str">
        <f>VLOOKUP(A24,'The List'!B1:F727,5,FALSE)</f>
        <v>BUF</v>
      </c>
      <c r="E24" s="39">
        <f>VLOOKUP(A24,'The List'!B1:I727,8,FALSE)</f>
        <v>316.87620557451311</v>
      </c>
      <c r="F24" s="39">
        <f>IF(Settings!$E$15="POINTS",E24-VLOOKUP(B$2,C1:E75,3,FALSE),J24)</f>
        <v>-81.899456514803092</v>
      </c>
      <c r="G24" s="39"/>
      <c r="H24" s="138">
        <f>RANK(I24,I3:I75)</f>
        <v>30</v>
      </c>
      <c r="I24" s="139">
        <f>VLOOKUP(A24,'Standard Deviations'!A1:C728,3,FALSE)</f>
        <v>0.56052984219011248</v>
      </c>
      <c r="J24" s="139">
        <f>I24-VLOOKUP(B$2,H1:J75,2,FALSE)</f>
        <v>-4.1236169305393471</v>
      </c>
    </row>
    <row r="25" spans="1:10" ht="21.25" customHeight="1" x14ac:dyDescent="0.15">
      <c r="A25" s="8" t="s">
        <v>280</v>
      </c>
      <c r="B25" s="111" t="str">
        <f>VLOOKUP(A25,'The List'!B1:D727,3,FALSE)</f>
        <v>G</v>
      </c>
      <c r="C25" s="146">
        <f>RANK(E25,E3:E75)</f>
        <v>23</v>
      </c>
      <c r="D25" s="35" t="str">
        <f>VLOOKUP(A25,'The List'!B1:F727,5,FALSE)</f>
        <v>NJD</v>
      </c>
      <c r="E25" s="39">
        <f>VLOOKUP(A25,'The List'!B1:I727,8,FALSE)</f>
        <v>313.71483854854841</v>
      </c>
      <c r="F25" s="39">
        <f>IF(Settings!$E$15="POINTS",E25-VLOOKUP(B$2,C1:E75,3,FALSE),J25)</f>
        <v>-85.060823540767785</v>
      </c>
      <c r="G25" s="39"/>
      <c r="H25" s="138">
        <f>RANK(I25,I3:I75)</f>
        <v>16</v>
      </c>
      <c r="I25" s="139">
        <f>VLOOKUP(A25,'Standard Deviations'!A1:C728,3,FALSE)</f>
        <v>3.3303111373682279</v>
      </c>
      <c r="J25" s="139">
        <f>I25-VLOOKUP(B$2,H1:J75,2,FALSE)</f>
        <v>-1.3538356353612313</v>
      </c>
    </row>
    <row r="26" spans="1:10" ht="21.25" customHeight="1" x14ac:dyDescent="0.15">
      <c r="A26" s="8" t="s">
        <v>287</v>
      </c>
      <c r="B26" s="111" t="str">
        <f>VLOOKUP(A26,'The List'!B1:D727,3,FALSE)</f>
        <v>G</v>
      </c>
      <c r="C26" s="146">
        <f>RANK(E26,E3:E75)</f>
        <v>25</v>
      </c>
      <c r="D26" s="35" t="str">
        <f>VLOOKUP(A26,'The List'!B1:F727,5,FALSE)</f>
        <v>OTT</v>
      </c>
      <c r="E26" s="39">
        <f>VLOOKUP(A26,'The List'!B1:I727,8,FALSE)</f>
        <v>310.16399274736591</v>
      </c>
      <c r="F26" s="39">
        <f>IF(Settings!$E$15="POINTS",E26-VLOOKUP(B$2,C1:E75,3,FALSE),J26)</f>
        <v>-88.611669341950289</v>
      </c>
      <c r="G26" s="39"/>
      <c r="H26" s="138">
        <f>RANK(I26,I3:I75)</f>
        <v>23</v>
      </c>
      <c r="I26" s="139">
        <f>VLOOKUP(A26,'Standard Deviations'!A1:C728,3,FALSE)</f>
        <v>1.4107229697070567</v>
      </c>
      <c r="J26" s="139">
        <f>I26-VLOOKUP(B$2,H1:J75,2,FALSE)</f>
        <v>-3.2734238030224025</v>
      </c>
    </row>
    <row r="27" spans="1:10" ht="21.25" customHeight="1" x14ac:dyDescent="0.15">
      <c r="A27" s="8" t="s">
        <v>296</v>
      </c>
      <c r="B27" s="111" t="str">
        <f>VLOOKUP(A27,'The List'!B1:D727,3,FALSE)</f>
        <v>G</v>
      </c>
      <c r="C27" s="146">
        <f>RANK(E27,E3:E75)</f>
        <v>26</v>
      </c>
      <c r="D27" s="35" t="str">
        <f>VLOOKUP(A27,'The List'!B1:F727,5,FALSE)</f>
        <v>DET</v>
      </c>
      <c r="E27" s="39">
        <f>VLOOKUP(A27,'The List'!B1:I727,8,FALSE)</f>
        <v>303.82893075680562</v>
      </c>
      <c r="F27" s="39">
        <f>IF(Settings!$E$15="POINTS",E27-VLOOKUP(B$2,C1:E75,3,FALSE),J27)</f>
        <v>-94.946731332510581</v>
      </c>
      <c r="G27" s="39"/>
      <c r="H27" s="138">
        <f>RANK(I27,I3:I75)</f>
        <v>21</v>
      </c>
      <c r="I27" s="139">
        <f>VLOOKUP(A27,'Standard Deviations'!A1:C728,3,FALSE)</f>
        <v>1.8629764906713109</v>
      </c>
      <c r="J27" s="139">
        <f>I27-VLOOKUP(B$2,H1:J75,2,FALSE)</f>
        <v>-2.8211702820581483</v>
      </c>
    </row>
    <row r="28" spans="1:10" ht="21.25" customHeight="1" x14ac:dyDescent="0.15">
      <c r="A28" s="8" t="s">
        <v>297</v>
      </c>
      <c r="B28" s="111" t="str">
        <f>VLOOKUP(A28,'The List'!B1:D727,3,FALSE)</f>
        <v>G</v>
      </c>
      <c r="C28" s="146">
        <f>RANK(E28,E3:E75)</f>
        <v>27</v>
      </c>
      <c r="D28" s="35" t="str">
        <f>VLOOKUP(A28,'The List'!B1:F727,5,FALSE)</f>
        <v>CAR</v>
      </c>
      <c r="E28" s="39">
        <f>VLOOKUP(A28,'The List'!B1:I727,8,FALSE)</f>
        <v>303.22838247628351</v>
      </c>
      <c r="F28" s="39">
        <f>IF(Settings!$E$15="POINTS",E28-VLOOKUP(B$2,C1:E75,3,FALSE),J28)</f>
        <v>-95.547279613032686</v>
      </c>
      <c r="G28" s="39"/>
      <c r="H28" s="138">
        <f>RANK(I28,I3:I75)</f>
        <v>17</v>
      </c>
      <c r="I28" s="139">
        <f>VLOOKUP(A28,'Standard Deviations'!A1:C728,3,FALSE)</f>
        <v>2.8414399991309596</v>
      </c>
      <c r="J28" s="139">
        <f>I28-VLOOKUP(B$2,H1:J75,2,FALSE)</f>
        <v>-1.8427067735984997</v>
      </c>
    </row>
    <row r="29" spans="1:10" ht="21.25" customHeight="1" x14ac:dyDescent="0.15">
      <c r="A29" s="8" t="s">
        <v>281</v>
      </c>
      <c r="B29" s="111" t="str">
        <f>VLOOKUP(A29,'The List'!B1:D727,3,FALSE)</f>
        <v>G</v>
      </c>
      <c r="C29" s="146">
        <f>RANK(E29,E3:E75)</f>
        <v>24</v>
      </c>
      <c r="D29" s="35" t="str">
        <f>VLOOKUP(A29,'The List'!B1:F727,5,FALSE)</f>
        <v>SEA</v>
      </c>
      <c r="E29" s="39">
        <f>VLOOKUP(A29,'The List'!B1:I727,8,FALSE)</f>
        <v>313.10851241207484</v>
      </c>
      <c r="F29" s="39">
        <f>IF(Settings!$E$15="POINTS",E29-VLOOKUP(B$2,C1:E75,3,FALSE),J29)</f>
        <v>-85.667149677241355</v>
      </c>
      <c r="G29" s="39"/>
      <c r="H29" s="138">
        <f>RANK(I29,I3:I75)</f>
        <v>22</v>
      </c>
      <c r="I29" s="139">
        <f>VLOOKUP(A29,'Standard Deviations'!A1:C728,3,FALSE)</f>
        <v>1.5987869207147414</v>
      </c>
      <c r="J29" s="139">
        <f>I29-VLOOKUP(B$2,H1:J75,2,FALSE)</f>
        <v>-3.0853598520147179</v>
      </c>
    </row>
    <row r="30" spans="1:10" ht="21.25" customHeight="1" x14ac:dyDescent="0.15">
      <c r="A30" s="8" t="s">
        <v>341</v>
      </c>
      <c r="B30" s="111" t="str">
        <f>VLOOKUP(A30,'The List'!B1:D727,3,FALSE)</f>
        <v>G</v>
      </c>
      <c r="C30" s="146">
        <f>RANK(E30,E3:E75)</f>
        <v>31</v>
      </c>
      <c r="D30" s="35" t="str">
        <f>VLOOKUP(A30,'The List'!B1:F727,5,FALSE)</f>
        <v>SJS</v>
      </c>
      <c r="E30" s="39">
        <f>VLOOKUP(A30,'The List'!B1:I727,8,FALSE)</f>
        <v>277.89353008852214</v>
      </c>
      <c r="F30" s="39">
        <f>IF(Settings!$E$15="POINTS",E30-VLOOKUP(B$2,C1:E75,3,FALSE),J30)</f>
        <v>-120.88213200079406</v>
      </c>
      <c r="G30" s="39"/>
      <c r="H30" s="138">
        <f>RANK(I30,I3:I75)</f>
        <v>47</v>
      </c>
      <c r="I30" s="139">
        <f>VLOOKUP(A30,'Standard Deviations'!A1:C728,3,FALSE)</f>
        <v>-2.1430385030063417</v>
      </c>
      <c r="J30" s="139">
        <f>I30-VLOOKUP(B$2,H1:J75,2,FALSE)</f>
        <v>-6.8271852757358005</v>
      </c>
    </row>
    <row r="31" spans="1:10" ht="21.25" customHeight="1" x14ac:dyDescent="0.15">
      <c r="A31" s="8" t="s">
        <v>323</v>
      </c>
      <c r="B31" s="111" t="str">
        <f>VLOOKUP(A31,'The List'!B1:D727,3,FALSE)</f>
        <v>G</v>
      </c>
      <c r="C31" s="146">
        <f>RANK(E31,E3:E75)</f>
        <v>28</v>
      </c>
      <c r="D31" s="35" t="str">
        <f>VLOOKUP(A31,'The List'!B1:F727,5,FALSE)</f>
        <v>ARI</v>
      </c>
      <c r="E31" s="39">
        <f>VLOOKUP(A31,'The List'!B1:I727,8,FALSE)</f>
        <v>284.33795972967289</v>
      </c>
      <c r="F31" s="39">
        <f>IF(Settings!$E$15="POINTS",E31-VLOOKUP(B$2,C1:E75,3,FALSE),J31)</f>
        <v>-114.43770235964331</v>
      </c>
      <c r="G31" s="39"/>
      <c r="H31" s="138">
        <f>RANK(I31,I3:I75)</f>
        <v>31</v>
      </c>
      <c r="I31" s="139">
        <f>VLOOKUP(A31,'Standard Deviations'!A1:C728,3,FALSE)</f>
        <v>0.42659680657698673</v>
      </c>
      <c r="J31" s="139">
        <f>I31-VLOOKUP(B$2,H1:J75,2,FALSE)</f>
        <v>-4.2575499661524727</v>
      </c>
    </row>
    <row r="32" spans="1:10" ht="21.25" customHeight="1" x14ac:dyDescent="0.15">
      <c r="A32" s="8" t="s">
        <v>334</v>
      </c>
      <c r="B32" s="111" t="str">
        <f>VLOOKUP(A32,'The List'!B1:D727,3,FALSE)</f>
        <v>G</v>
      </c>
      <c r="C32" s="146">
        <f>RANK(E32,E3:E75)</f>
        <v>29</v>
      </c>
      <c r="D32" s="35" t="str">
        <f>VLOOKUP(A32,'The List'!B1:F727,5,FALSE)</f>
        <v>LAK</v>
      </c>
      <c r="E32" s="39">
        <f>VLOOKUP(A32,'The List'!B1:I727,8,FALSE)</f>
        <v>280.87462845308607</v>
      </c>
      <c r="F32" s="39">
        <f>IF(Settings!$E$15="POINTS",E32-VLOOKUP(B$2,C1:E75,3,FALSE),J32)</f>
        <v>-117.90103363623012</v>
      </c>
      <c r="G32" s="39"/>
      <c r="H32" s="138">
        <f>RANK(I32,I3:I75)</f>
        <v>29</v>
      </c>
      <c r="I32" s="139">
        <f>VLOOKUP(A32,'Standard Deviations'!A1:C728,3,FALSE)</f>
        <v>0.66370307918587335</v>
      </c>
      <c r="J32" s="139">
        <f>I32-VLOOKUP(B$2,H1:J75,2,FALSE)</f>
        <v>-4.0204436935435854</v>
      </c>
    </row>
    <row r="33" spans="1:10" ht="21.25" customHeight="1" x14ac:dyDescent="0.15">
      <c r="A33" s="8" t="s">
        <v>338</v>
      </c>
      <c r="B33" s="111" t="str">
        <f>VLOOKUP(A33,'The List'!B1:D727,3,FALSE)</f>
        <v>G</v>
      </c>
      <c r="C33" s="146">
        <f>RANK(E33,E3:E75)</f>
        <v>30</v>
      </c>
      <c r="D33" s="35" t="str">
        <f>VLOOKUP(A33,'The List'!B1:F727,5,FALSE)</f>
        <v>BOS</v>
      </c>
      <c r="E33" s="39">
        <f>VLOOKUP(A33,'The List'!B1:I727,8,FALSE)</f>
        <v>279.03530476955382</v>
      </c>
      <c r="F33" s="39">
        <f>IF(Settings!$E$15="POINTS",E33-VLOOKUP(B$2,C1:E75,3,FALSE),J33)</f>
        <v>-119.74035731976238</v>
      </c>
      <c r="G33" s="39"/>
      <c r="H33" s="138">
        <f>RANK(I33,I3:I75)</f>
        <v>19</v>
      </c>
      <c r="I33" s="139">
        <f>VLOOKUP(A33,'Standard Deviations'!A1:C728,3,FALSE)</f>
        <v>2.2720869392039127</v>
      </c>
      <c r="J33" s="139">
        <f>I33-VLOOKUP(B$2,H1:J75,2,FALSE)</f>
        <v>-2.4120598335255465</v>
      </c>
    </row>
    <row r="34" spans="1:10" ht="21.25" customHeight="1" x14ac:dyDescent="0.15">
      <c r="A34" s="8" t="s">
        <v>373</v>
      </c>
      <c r="B34" s="111" t="str">
        <f>VLOOKUP(A34,'The List'!B1:D727,3,FALSE)</f>
        <v>G</v>
      </c>
      <c r="C34" s="146">
        <f>RANK(E34,E3:E75)</f>
        <v>32</v>
      </c>
      <c r="D34" s="35" t="str">
        <f>VLOOKUP(A34,'The List'!B1:F727,5,FALSE)</f>
        <v>NJD</v>
      </c>
      <c r="E34" s="39">
        <f>VLOOKUP(A34,'The List'!B1:I727,8,FALSE)</f>
        <v>261.13243287100988</v>
      </c>
      <c r="F34" s="39">
        <f>IF(Settings!$E$15="POINTS",E34-VLOOKUP(B$2,C1:E75,3,FALSE),J34)</f>
        <v>-137.64322921830632</v>
      </c>
      <c r="G34" s="39"/>
      <c r="H34" s="138">
        <f>RANK(I34,I3:I75)</f>
        <v>24</v>
      </c>
      <c r="I34" s="139">
        <f>VLOOKUP(A34,'Standard Deviations'!A1:C728,3,FALSE)</f>
        <v>1.4000014800331824</v>
      </c>
      <c r="J34" s="139">
        <f>I34-VLOOKUP(B$2,H1:J75,2,FALSE)</f>
        <v>-3.2841452926962766</v>
      </c>
    </row>
    <row r="35" spans="1:10" ht="21.25" customHeight="1" x14ac:dyDescent="0.15">
      <c r="A35" s="8" t="s">
        <v>436</v>
      </c>
      <c r="B35" s="111" t="str">
        <f>VLOOKUP(A35,'The List'!B1:D727,3,FALSE)</f>
        <v>G</v>
      </c>
      <c r="C35" s="146">
        <f>RANK(E35,E3:E75)</f>
        <v>36</v>
      </c>
      <c r="D35" s="35" t="str">
        <f>VLOOKUP(A35,'The List'!B1:F727,5,FALSE)</f>
        <v>CHI</v>
      </c>
      <c r="E35" s="39">
        <f>VLOOKUP(A35,'The List'!B1:I727,8,FALSE)</f>
        <v>233.44022715162805</v>
      </c>
      <c r="F35" s="39">
        <f>IF(Settings!$E$15="POINTS",E35-VLOOKUP(B$2,C1:E75,3,FALSE),J35)</f>
        <v>-165.33543493768815</v>
      </c>
      <c r="G35" s="39"/>
      <c r="H35" s="138">
        <f>RANK(I35,I3:I75)</f>
        <v>50</v>
      </c>
      <c r="I35" s="139">
        <f>VLOOKUP(A35,'Standard Deviations'!A1:C728,3,FALSE)</f>
        <v>-2.4499873517748494</v>
      </c>
      <c r="J35" s="139">
        <f>I35-VLOOKUP(B$2,H1:J75,2,FALSE)</f>
        <v>-7.1341341245043086</v>
      </c>
    </row>
    <row r="36" spans="1:10" ht="21.25" customHeight="1" x14ac:dyDescent="0.15">
      <c r="A36" s="8" t="s">
        <v>410</v>
      </c>
      <c r="B36" s="111" t="str">
        <f>VLOOKUP(A36,'The List'!B1:D727,3,FALSE)</f>
        <v>G</v>
      </c>
      <c r="C36" s="146">
        <f>RANK(E36,E3:E75)</f>
        <v>33</v>
      </c>
      <c r="D36" s="35" t="str">
        <f>VLOOKUP(A36,'The List'!B1:F727,5,FALSE)</f>
        <v>OTT</v>
      </c>
      <c r="E36" s="39">
        <f>VLOOKUP(A36,'The List'!B1:I727,8,FALSE)</f>
        <v>243.14902065736396</v>
      </c>
      <c r="F36" s="39">
        <f>IF(Settings!$E$15="POINTS",E36-VLOOKUP(B$2,C1:E75,3,FALSE),J36)</f>
        <v>-155.62664143195224</v>
      </c>
      <c r="G36" s="39"/>
      <c r="H36" s="138">
        <f>RANK(I36,I3:I75)</f>
        <v>28</v>
      </c>
      <c r="I36" s="139">
        <f>VLOOKUP(A36,'Standard Deviations'!A1:C728,3,FALSE)</f>
        <v>0.75823595501961316</v>
      </c>
      <c r="J36" s="139">
        <f>I36-VLOOKUP(B$2,H1:J75,2,FALSE)</f>
        <v>-3.9259108177098461</v>
      </c>
    </row>
    <row r="37" spans="1:10" ht="21.25" customHeight="1" x14ac:dyDescent="0.15">
      <c r="A37" s="8" t="s">
        <v>417</v>
      </c>
      <c r="B37" s="111" t="str">
        <f>VLOOKUP(A37,'The List'!B1:D727,3,FALSE)</f>
        <v>G</v>
      </c>
      <c r="C37" s="146">
        <f>RANK(E37,E3:E75)</f>
        <v>34</v>
      </c>
      <c r="D37" s="35" t="str">
        <f>VLOOKUP(A37,'The List'!B1:F727,5,FALSE)</f>
        <v>VGK</v>
      </c>
      <c r="E37" s="39">
        <f>VLOOKUP(A37,'The List'!B1:I727,8,FALSE)</f>
        <v>240.99151353119362</v>
      </c>
      <c r="F37" s="39">
        <f>IF(Settings!$E$15="POINTS",E37-VLOOKUP(B$2,C1:E75,3,FALSE),J37)</f>
        <v>-157.78414855812258</v>
      </c>
      <c r="G37" s="39"/>
      <c r="H37" s="138">
        <f>RANK(I37,I3:I75)</f>
        <v>25</v>
      </c>
      <c r="I37" s="139">
        <f>VLOOKUP(A37,'Standard Deviations'!A1:C728,3,FALSE)</f>
        <v>1.2912045464523811</v>
      </c>
      <c r="J37" s="139">
        <f>I37-VLOOKUP(B$2,H1:J75,2,FALSE)</f>
        <v>-3.3929422262770781</v>
      </c>
    </row>
    <row r="38" spans="1:10" ht="21.25" customHeight="1" x14ac:dyDescent="0.15">
      <c r="A38" s="8" t="s">
        <v>422</v>
      </c>
      <c r="B38" s="111" t="str">
        <f>VLOOKUP(A38,'The List'!B1:D727,3,FALSE)</f>
        <v>G</v>
      </c>
      <c r="C38" s="146">
        <f>RANK(E38,E3:E75)</f>
        <v>35</v>
      </c>
      <c r="D38" s="35" t="str">
        <f>VLOOKUP(A38,'The List'!B1:F727,5,FALSE)</f>
        <v>ARI</v>
      </c>
      <c r="E38" s="39">
        <f>VLOOKUP(A38,'The List'!B1:I727,8,FALSE)</f>
        <v>238.41774472443512</v>
      </c>
      <c r="F38" s="39">
        <f>IF(Settings!$E$15="POINTS",E38-VLOOKUP(B$2,C1:E75,3,FALSE),J38)</f>
        <v>-160.35791736488108</v>
      </c>
      <c r="G38" s="39"/>
      <c r="H38" s="138">
        <f>RANK(I38,I3:I75)</f>
        <v>32</v>
      </c>
      <c r="I38" s="139">
        <f>VLOOKUP(A38,'Standard Deviations'!A1:C728,3,FALSE)</f>
        <v>-2.5425440641755837E-2</v>
      </c>
      <c r="J38" s="139">
        <f>I38-VLOOKUP(B$2,H1:J75,2,FALSE)</f>
        <v>-4.7095722133712155</v>
      </c>
    </row>
    <row r="39" spans="1:10" ht="21.25" customHeight="1" x14ac:dyDescent="0.15">
      <c r="A39" s="8" t="s">
        <v>473</v>
      </c>
      <c r="B39" s="111" t="str">
        <f>VLOOKUP(A39,'The List'!B1:D727,3,FALSE)</f>
        <v>G</v>
      </c>
      <c r="C39" s="146">
        <f>RANK(E39,E3:E75)</f>
        <v>37</v>
      </c>
      <c r="D39" s="35" t="str">
        <f>VLOOKUP(A39,'The List'!B1:F727,5,FALSE)</f>
        <v>EDM</v>
      </c>
      <c r="E39" s="39">
        <f>VLOOKUP(A39,'The List'!B1:I727,8,FALSE)</f>
        <v>220.70727587013556</v>
      </c>
      <c r="F39" s="39">
        <f>IF(Settings!$E$15="POINTS",E39-VLOOKUP(B$2,C1:E75,3,FALSE),J39)</f>
        <v>-178.06838621918064</v>
      </c>
      <c r="G39" s="39"/>
      <c r="H39" s="138">
        <f>RANK(I39,I3:I75)</f>
        <v>34</v>
      </c>
      <c r="I39" s="139">
        <f>VLOOKUP(A39,'Standard Deviations'!A1:C728,3,FALSE)</f>
        <v>-0.66291479705938061</v>
      </c>
      <c r="J39" s="139">
        <f>I39-VLOOKUP(B$2,H1:J75,2,FALSE)</f>
        <v>-5.3470615697888402</v>
      </c>
    </row>
    <row r="40" spans="1:10" ht="21.25" customHeight="1" x14ac:dyDescent="0.15">
      <c r="A40" s="8" t="s">
        <v>475</v>
      </c>
      <c r="B40" s="111" t="str">
        <f>VLOOKUP(A40,'The List'!B1:D727,3,FALSE)</f>
        <v>G</v>
      </c>
      <c r="C40" s="146">
        <f>RANK(E40,E3:E75)</f>
        <v>38</v>
      </c>
      <c r="D40" s="35" t="str">
        <f>VLOOKUP(A40,'The List'!B1:F727,5,FALSE)</f>
        <v>CHI</v>
      </c>
      <c r="E40" s="39">
        <f>VLOOKUP(A40,'The List'!B1:I727,8,FALSE)</f>
        <v>219.84007016902069</v>
      </c>
      <c r="F40" s="39">
        <f>IF(Settings!$E$15="POINTS",E40-VLOOKUP(B$2,C1:E75,3,FALSE),J40)</f>
        <v>-178.93559192029551</v>
      </c>
      <c r="G40" s="39"/>
      <c r="H40" s="138">
        <f>RANK(I40,I3:I75)</f>
        <v>40</v>
      </c>
      <c r="I40" s="139">
        <f>VLOOKUP(A40,'Standard Deviations'!A1:C728,3,FALSE)</f>
        <v>-1.7456944361748596</v>
      </c>
      <c r="J40" s="139">
        <f>I40-VLOOKUP(B$2,H1:J75,2,FALSE)</f>
        <v>-6.4298412089043193</v>
      </c>
    </row>
    <row r="41" spans="1:10" ht="21.25" customHeight="1" x14ac:dyDescent="0.15">
      <c r="A41" s="8" t="s">
        <v>481</v>
      </c>
      <c r="B41" s="111" t="str">
        <f>VLOOKUP(A41,'The List'!B1:D727,3,FALSE)</f>
        <v>G</v>
      </c>
      <c r="C41" s="146">
        <f>RANK(E41,E3:E75)</f>
        <v>39</v>
      </c>
      <c r="D41" s="35" t="str">
        <f>VLOOKUP(A41,'The List'!B1:F727,5,FALSE)</f>
        <v>MTL</v>
      </c>
      <c r="E41" s="39">
        <f>VLOOKUP(A41,'The List'!B1:I727,8,FALSE)</f>
        <v>218.97519338746577</v>
      </c>
      <c r="F41" s="39">
        <f>IF(Settings!$E$15="POINTS",E41-VLOOKUP(B$2,C1:E75,3,FALSE),J41)</f>
        <v>-179.80046870185043</v>
      </c>
      <c r="G41" s="39"/>
      <c r="H41" s="138">
        <f>RANK(I41,I3:I75)</f>
        <v>51</v>
      </c>
      <c r="I41" s="139">
        <f>VLOOKUP(A41,'Standard Deviations'!A1:C728,3,FALSE)</f>
        <v>-2.6212419460798149</v>
      </c>
      <c r="J41" s="139">
        <f>I41-VLOOKUP(B$2,H1:J75,2,FALSE)</f>
        <v>-7.3053887188092741</v>
      </c>
    </row>
    <row r="42" spans="1:10" ht="21.25" customHeight="1" x14ac:dyDescent="0.15">
      <c r="A42" s="8" t="s">
        <v>527</v>
      </c>
      <c r="B42" s="111" t="str">
        <f>VLOOKUP(A42,'The List'!B1:D727,3,FALSE)</f>
        <v>G</v>
      </c>
      <c r="C42" s="146">
        <f>RANK(E42,E3:E75)</f>
        <v>40</v>
      </c>
      <c r="D42" s="35" t="str">
        <f>VLOOKUP(A42,'The List'!B1:F727,5,FALSE)</f>
        <v>MTL</v>
      </c>
      <c r="E42" s="39">
        <f>VLOOKUP(A42,'The List'!B1:I727,8,FALSE)</f>
        <v>203.76562017489471</v>
      </c>
      <c r="F42" s="39">
        <f>IF(Settings!$E$15="POINTS",E42-VLOOKUP(B$2,C1:E75,3,FALSE),J42)</f>
        <v>-195.01004191442149</v>
      </c>
      <c r="G42" s="39"/>
      <c r="H42" s="138">
        <f>RANK(I42,I3:I75)</f>
        <v>42</v>
      </c>
      <c r="I42" s="139">
        <f>VLOOKUP(A42,'Standard Deviations'!A1:C728,3,FALSE)</f>
        <v>-1.9160614966889491</v>
      </c>
      <c r="J42" s="139">
        <f>I42-VLOOKUP(B$2,H1:J75,2,FALSE)</f>
        <v>-6.6002082694184079</v>
      </c>
    </row>
    <row r="43" spans="1:10" ht="21.25" customHeight="1" x14ac:dyDescent="0.15">
      <c r="A43" s="8" t="s">
        <v>551</v>
      </c>
      <c r="B43" s="111" t="str">
        <f>VLOOKUP(A43,'The List'!B1:D727,3,FALSE)</f>
        <v>G</v>
      </c>
      <c r="C43" s="146">
        <f>RANK(E43,E3:E75)</f>
        <v>41</v>
      </c>
      <c r="D43" s="35" t="str">
        <f>VLOOKUP(A43,'The List'!B1:F727,5,FALSE)</f>
        <v>LAK</v>
      </c>
      <c r="E43" s="39">
        <f>VLOOKUP(A43,'The List'!B1:I727,8,FALSE)</f>
        <v>197.24485277587178</v>
      </c>
      <c r="F43" s="39">
        <f>IF(Settings!$E$15="POINTS",E43-VLOOKUP(B$2,C1:E75,3,FALSE),J43)</f>
        <v>-201.53080931344442</v>
      </c>
      <c r="G43" s="39"/>
      <c r="H43" s="138">
        <f>RANK(I43,I3:I75)</f>
        <v>46</v>
      </c>
      <c r="I43" s="139">
        <f>VLOOKUP(A43,'Standard Deviations'!A1:C728,3,FALSE)</f>
        <v>-2.0234350966084378</v>
      </c>
      <c r="J43" s="139">
        <f>I43-VLOOKUP(B$2,H1:J75,2,FALSE)</f>
        <v>-6.707581869337897</v>
      </c>
    </row>
    <row r="44" spans="1:10" ht="21.25" customHeight="1" x14ac:dyDescent="0.15">
      <c r="A44" s="8" t="s">
        <v>557</v>
      </c>
      <c r="B44" s="111" t="str">
        <f>VLOOKUP(A44,'The List'!B1:D727,3,FALSE)</f>
        <v>G</v>
      </c>
      <c r="C44" s="146">
        <f>RANK(E44,E3:E75)</f>
        <v>42</v>
      </c>
      <c r="D44" s="35" t="str">
        <f>VLOOKUP(A44,'The List'!B1:F727,5,FALSE)</f>
        <v>SJS</v>
      </c>
      <c r="E44" s="39">
        <f>VLOOKUP(A44,'The List'!B1:I727,8,FALSE)</f>
        <v>194.96758435536321</v>
      </c>
      <c r="F44" s="39">
        <f>IF(Settings!$E$15="POINTS",E44-VLOOKUP(B$2,C1:E75,3,FALSE),J44)</f>
        <v>-203.80807773395298</v>
      </c>
      <c r="G44" s="39"/>
      <c r="H44" s="138">
        <f>RANK(I44,I3:I75)</f>
        <v>55</v>
      </c>
      <c r="I44" s="139">
        <f>VLOOKUP(A44,'Standard Deviations'!A1:C728,3,FALSE)</f>
        <v>-2.9725196248425498</v>
      </c>
      <c r="J44" s="139">
        <f>I44-VLOOKUP(B$2,H1:J75,2,FALSE)</f>
        <v>-7.6566663975720086</v>
      </c>
    </row>
    <row r="45" spans="1:10" ht="21.25" customHeight="1" x14ac:dyDescent="0.15">
      <c r="A45" s="8" t="s">
        <v>559</v>
      </c>
      <c r="B45" s="111" t="str">
        <f>VLOOKUP(A45,'The List'!B1:D727,3,FALSE)</f>
        <v>G</v>
      </c>
      <c r="C45" s="146">
        <f>RANK(E45,E3:E75)</f>
        <v>43</v>
      </c>
      <c r="D45" s="35" t="str">
        <f>VLOOKUP(A45,'The List'!B1:F727,5,FALSE)</f>
        <v>MIN</v>
      </c>
      <c r="E45" s="39">
        <f>VLOOKUP(A45,'The List'!B1:I727,8,FALSE)</f>
        <v>194.30631333780309</v>
      </c>
      <c r="F45" s="39">
        <f>IF(Settings!$E$15="POINTS",E45-VLOOKUP(B$2,C1:E75,3,FALSE),J45)</f>
        <v>-204.46934875151311</v>
      </c>
      <c r="G45" s="39"/>
      <c r="H45" s="138">
        <f>RANK(I45,I3:I75)</f>
        <v>45</v>
      </c>
      <c r="I45" s="139">
        <f>VLOOKUP(A45,'Standard Deviations'!A1:C728,3,FALSE)</f>
        <v>-1.9595140076765065</v>
      </c>
      <c r="J45" s="139">
        <f>I45-VLOOKUP(B$2,H1:J75,2,FALSE)</f>
        <v>-6.6436607804059662</v>
      </c>
    </row>
    <row r="46" spans="1:10" ht="21.25" customHeight="1" x14ac:dyDescent="0.15">
      <c r="A46" s="8" t="s">
        <v>635</v>
      </c>
      <c r="B46" s="111" t="str">
        <f>VLOOKUP(A46,'The List'!B1:D727,3,FALSE)</f>
        <v>G</v>
      </c>
      <c r="C46" s="146">
        <f>RANK(E46,E3:E75)</f>
        <v>44</v>
      </c>
      <c r="D46" s="35" t="str">
        <f>VLOOKUP(A46,'The List'!B1:F727,5,FALSE)</f>
        <v>TOR</v>
      </c>
      <c r="E46" s="39">
        <f>VLOOKUP(A46,'The List'!B1:I727,8,FALSE)</f>
        <v>168.47675928105539</v>
      </c>
      <c r="F46" s="39">
        <f>IF(Settings!$E$15="POINTS",E46-VLOOKUP(B$2,C1:E75,3,FALSE),J46)</f>
        <v>-230.29890280826081</v>
      </c>
      <c r="G46" s="39"/>
      <c r="H46" s="138">
        <f>RANK(I46,I3:I75)</f>
        <v>39</v>
      </c>
      <c r="I46" s="139">
        <f>VLOOKUP(A46,'Standard Deviations'!A1:C728,3,FALSE)</f>
        <v>-1.6686796130744663</v>
      </c>
      <c r="J46" s="139">
        <f>I46-VLOOKUP(B$2,H1:J75,2,FALSE)</f>
        <v>-6.352826385803926</v>
      </c>
    </row>
    <row r="47" spans="1:10" ht="21.25" customHeight="1" x14ac:dyDescent="0.15">
      <c r="A47" s="8" t="s">
        <v>647</v>
      </c>
      <c r="B47" s="111" t="str">
        <f>VLOOKUP(A47,'The List'!B1:D727,3,FALSE)</f>
        <v>G</v>
      </c>
      <c r="C47" s="146">
        <f>RANK(E47,E3:E75)</f>
        <v>45</v>
      </c>
      <c r="D47" s="35" t="str">
        <f>VLOOKUP(A47,'The List'!B1:F727,5,FALSE)</f>
        <v>CBJ</v>
      </c>
      <c r="E47" s="39">
        <f>VLOOKUP(A47,'The List'!B1:I727,8,FALSE)</f>
        <v>164.93542267746744</v>
      </c>
      <c r="F47" s="39">
        <f>IF(Settings!$E$15="POINTS",E47-VLOOKUP(B$2,C1:E75,3,FALSE),J47)</f>
        <v>-233.84023941184876</v>
      </c>
      <c r="G47" s="39"/>
      <c r="H47" s="138">
        <f>RANK(I47,I3:I75)</f>
        <v>64</v>
      </c>
      <c r="I47" s="139">
        <f>VLOOKUP(A47,'Standard Deviations'!A1:C728,3,FALSE)</f>
        <v>-3.888843831646315</v>
      </c>
      <c r="J47" s="139">
        <f>I47-VLOOKUP(B$2,H1:J75,2,FALSE)</f>
        <v>-8.5729906043757751</v>
      </c>
    </row>
    <row r="48" spans="1:10" ht="21.25" customHeight="1" x14ac:dyDescent="0.15">
      <c r="A48" s="8" t="s">
        <v>663</v>
      </c>
      <c r="B48" s="111" t="str">
        <f>VLOOKUP(A48,'The List'!B1:D727,3,FALSE)</f>
        <v>G</v>
      </c>
      <c r="C48" s="146">
        <f>RANK(E48,E3:E75)</f>
        <v>46</v>
      </c>
      <c r="D48" s="35" t="str">
        <f>VLOOKUP(A48,'The List'!B1:F727,5,FALSE)</f>
        <v>PIT</v>
      </c>
      <c r="E48" s="39">
        <f>VLOOKUP(A48,'The List'!B1:I727,8,FALSE)</f>
        <v>160.35934274266376</v>
      </c>
      <c r="F48" s="39">
        <f>IF(Settings!$E$15="POINTS",E48-VLOOKUP(B$2,C1:E75,3,FALSE),J48)</f>
        <v>-238.41631934665244</v>
      </c>
      <c r="G48" s="39"/>
      <c r="H48" s="138">
        <f>RANK(I48,I3:I75)</f>
        <v>38</v>
      </c>
      <c r="I48" s="139">
        <f>VLOOKUP(A48,'Standard Deviations'!A1:C728,3,FALSE)</f>
        <v>-1.6426034766008486</v>
      </c>
      <c r="J48" s="139">
        <f>I48-VLOOKUP(B$2,H1:J75,2,FALSE)</f>
        <v>-6.3267502493303081</v>
      </c>
    </row>
    <row r="49" spans="1:10" ht="21.25" customHeight="1" x14ac:dyDescent="0.15">
      <c r="A49" s="8" t="s">
        <v>667</v>
      </c>
      <c r="B49" s="111" t="str">
        <f>VLOOKUP(A49,'The List'!B1:D727,3,FALSE)</f>
        <v>G</v>
      </c>
      <c r="C49" s="146">
        <f>RANK(E49,E3:E75)</f>
        <v>47</v>
      </c>
      <c r="D49" s="35" t="str">
        <f>VLOOKUP(A49,'The List'!B1:F727,5,FALSE)</f>
        <v>COL</v>
      </c>
      <c r="E49" s="39">
        <f>VLOOKUP(A49,'The List'!B1:I727,8,FALSE)</f>
        <v>159.56795372796344</v>
      </c>
      <c r="F49" s="39">
        <f>IF(Settings!$E$15="POINTS",E49-VLOOKUP(B$2,C1:E75,3,FALSE),J49)</f>
        <v>-239.20770836135276</v>
      </c>
      <c r="G49" s="39"/>
      <c r="H49" s="138">
        <f>RANK(I49,I3:I75)</f>
        <v>41</v>
      </c>
      <c r="I49" s="139">
        <f>VLOOKUP(A49,'Standard Deviations'!A1:C728,3,FALSE)</f>
        <v>-1.7684267908626452</v>
      </c>
      <c r="J49" s="139">
        <f>I49-VLOOKUP(B$2,H1:J75,2,FALSE)</f>
        <v>-6.4525735635921047</v>
      </c>
    </row>
    <row r="50" spans="1:10" ht="21.25" customHeight="1" x14ac:dyDescent="0.15">
      <c r="A50" s="8" t="s">
        <v>682</v>
      </c>
      <c r="B50" s="111" t="str">
        <f>VLOOKUP(A50,'The List'!B1:D727,3,FALSE)</f>
        <v>G</v>
      </c>
      <c r="C50" s="146">
        <f>RANK(E50,E3:E75)</f>
        <v>48</v>
      </c>
      <c r="D50" s="35" t="str">
        <f>VLOOKUP(A50,'The List'!B1:F727,5,FALSE)</f>
        <v>WSH</v>
      </c>
      <c r="E50" s="39">
        <f>VLOOKUP(A50,'The List'!B1:I727,8,FALSE)</f>
        <v>155.64979977938839</v>
      </c>
      <c r="F50" s="39">
        <f>IF(Settings!$E$15="POINTS",E50-VLOOKUP(B$2,C1:E75,3,FALSE),J50)</f>
        <v>-243.12586230992781</v>
      </c>
      <c r="G50" s="39"/>
      <c r="H50" s="138">
        <f>RANK(I50,I3:I75)</f>
        <v>57</v>
      </c>
      <c r="I50" s="139">
        <f>VLOOKUP(A50,'Standard Deviations'!A1:C728,3,FALSE)</f>
        <v>-3.2320402224249047</v>
      </c>
      <c r="J50" s="139">
        <f>I50-VLOOKUP(B$2,H1:J75,2,FALSE)</f>
        <v>-7.916186995154364</v>
      </c>
    </row>
    <row r="51" spans="1:10" ht="21.25" customHeight="1" x14ac:dyDescent="0.15">
      <c r="A51" s="8" t="s">
        <v>707</v>
      </c>
      <c r="B51" s="111" t="str">
        <f>VLOOKUP(A51,'The List'!B1:D727,3,FALSE)</f>
        <v>G</v>
      </c>
      <c r="C51" s="146">
        <f>RANK(E51,E3:E75)</f>
        <v>49</v>
      </c>
      <c r="D51" s="35" t="str">
        <f>VLOOKUP(A51,'The List'!B1:F727,5,FALSE)</f>
        <v>NYR</v>
      </c>
      <c r="E51" s="39">
        <f>VLOOKUP(A51,'The List'!B1:I727,8,FALSE)</f>
        <v>145.06839391805235</v>
      </c>
      <c r="F51" s="39">
        <f>IF(Settings!$E$15="POINTS",E51-VLOOKUP(B$2,C1:E75,3,FALSE),J51)</f>
        <v>-253.70726817126385</v>
      </c>
      <c r="G51" s="39"/>
      <c r="H51" s="138">
        <f>RANK(I51,I3:I75)</f>
        <v>65</v>
      </c>
      <c r="I51" s="139">
        <f>VLOOKUP(A51,'Standard Deviations'!A1:C728,3,FALSE)</f>
        <v>-3.9377402341050201</v>
      </c>
      <c r="J51" s="139">
        <f>I51-VLOOKUP(B$2,H1:J75,2,FALSE)</f>
        <v>-8.6218870068344788</v>
      </c>
    </row>
    <row r="52" spans="1:10" ht="21.25" customHeight="1" x14ac:dyDescent="0.15">
      <c r="A52" s="8" t="s">
        <v>710</v>
      </c>
      <c r="B52" s="111" t="str">
        <f>VLOOKUP(A52,'The List'!B1:D727,3,FALSE)</f>
        <v>G</v>
      </c>
      <c r="C52" s="146">
        <f>RANK(E52,E3:E75)</f>
        <v>50</v>
      </c>
      <c r="D52" s="35" t="str">
        <f>VLOOKUP(A52,'The List'!B1:F727,5,FALSE)</f>
        <v>PHI</v>
      </c>
      <c r="E52" s="39">
        <f>VLOOKUP(A52,'The List'!B1:I727,8,FALSE)</f>
        <v>143.50024104225082</v>
      </c>
      <c r="F52" s="39">
        <f>IF(Settings!$E$15="POINTS",E52-VLOOKUP(B$2,C1:E75,3,FALSE),J52)</f>
        <v>-255.27542104706538</v>
      </c>
      <c r="G52" s="39"/>
      <c r="H52" s="138">
        <f>RANK(I52,I3:I75)</f>
        <v>63</v>
      </c>
      <c r="I52" s="139">
        <f>VLOOKUP(A52,'Standard Deviations'!A1:C728,3,FALSE)</f>
        <v>-3.8834022427421355</v>
      </c>
      <c r="J52" s="139">
        <f>I52-VLOOKUP(B$2,H1:J75,2,FALSE)</f>
        <v>-8.5675490154715952</v>
      </c>
    </row>
    <row r="53" spans="1:10" ht="21.25" customHeight="1" x14ac:dyDescent="0.15">
      <c r="A53" s="8" t="s">
        <v>715</v>
      </c>
      <c r="B53" s="111" t="str">
        <f>VLOOKUP(A53,'The List'!B1:D727,3,FALSE)</f>
        <v>G</v>
      </c>
      <c r="C53" s="146">
        <f>RANK(E53,E3:E75)</f>
        <v>51</v>
      </c>
      <c r="D53" s="35" t="str">
        <f>VLOOKUP(A53,'The List'!B1:F727,5,FALSE)</f>
        <v>ANA</v>
      </c>
      <c r="E53" s="39">
        <f>VLOOKUP(A53,'The List'!B1:I727,8,FALSE)</f>
        <v>142.02525244219015</v>
      </c>
      <c r="F53" s="39">
        <f>IF(Settings!$E$15="POINTS",E53-VLOOKUP(B$2,C1:E75,3,FALSE),J53)</f>
        <v>-256.75040964712605</v>
      </c>
      <c r="G53" s="39"/>
      <c r="H53" s="138">
        <f>RANK(I53,I3:I75)</f>
        <v>72</v>
      </c>
      <c r="I53" s="139">
        <f>VLOOKUP(A53,'Standard Deviations'!A1:C728,3,FALSE)</f>
        <v>-4.8448545498067555</v>
      </c>
      <c r="J53" s="139">
        <f>I53-VLOOKUP(B$2,H1:J75,2,FALSE)</f>
        <v>-9.5290013225362138</v>
      </c>
    </row>
    <row r="54" spans="1:10" ht="21.25" customHeight="1" x14ac:dyDescent="0.15">
      <c r="A54" s="8" t="s">
        <v>721</v>
      </c>
      <c r="B54" s="111" t="str">
        <f>VLOOKUP(A54,'The List'!B1:D727,3,FALSE)</f>
        <v>G</v>
      </c>
      <c r="C54" s="146">
        <f>RANK(E54,E3:E75)</f>
        <v>53</v>
      </c>
      <c r="D54" s="35" t="str">
        <f>VLOOKUP(A54,'The List'!B1:F727,5,FALSE)</f>
        <v>CAR</v>
      </c>
      <c r="E54" s="39">
        <f>VLOOKUP(A54,'The List'!B1:I727,8,FALSE)</f>
        <v>138.51958340829134</v>
      </c>
      <c r="F54" s="39">
        <f>IF(Settings!$E$15="POINTS",E54-VLOOKUP(B$2,C1:E75,3,FALSE),J54)</f>
        <v>-260.25607868102486</v>
      </c>
      <c r="G54" s="39"/>
      <c r="H54" s="138">
        <f>RANK(I54,I3:I75)</f>
        <v>44</v>
      </c>
      <c r="I54" s="139">
        <f>VLOOKUP(A54,'Standard Deviations'!A1:C728,3,FALSE)</f>
        <v>-1.9465696650724023</v>
      </c>
      <c r="J54" s="139">
        <f>I54-VLOOKUP(B$2,H1:J75,2,FALSE)</f>
        <v>-6.6307164378018619</v>
      </c>
    </row>
    <row r="55" spans="1:10" ht="21.25" customHeight="1" x14ac:dyDescent="0.15">
      <c r="A55" s="8" t="s">
        <v>717</v>
      </c>
      <c r="B55" s="111" t="str">
        <f>VLOOKUP(A55,'The List'!B1:D727,3,FALSE)</f>
        <v>G</v>
      </c>
      <c r="C55" s="146">
        <f>RANK(E55,E3:E75)</f>
        <v>52</v>
      </c>
      <c r="D55" s="35" t="str">
        <f>VLOOKUP(A55,'The List'!B1:F727,5,FALSE)</f>
        <v>CAR</v>
      </c>
      <c r="E55" s="39">
        <f>VLOOKUP(A55,'The List'!B1:I727,8,FALSE)</f>
        <v>141.96339632516219</v>
      </c>
      <c r="F55" s="39">
        <f>IF(Settings!$E$15="POINTS",E55-VLOOKUP(B$2,C1:E75,3,FALSE),J55)</f>
        <v>-256.81226576415401</v>
      </c>
      <c r="G55" s="39"/>
      <c r="H55" s="138">
        <f>RANK(I55,I3:I75)</f>
        <v>36</v>
      </c>
      <c r="I55" s="139">
        <f>VLOOKUP(A55,'Standard Deviations'!A1:C728,3,FALSE)</f>
        <v>-0.91501177524225619</v>
      </c>
      <c r="J55" s="139">
        <f>I55-VLOOKUP(B$2,H1:J75,2,FALSE)</f>
        <v>-5.5991585479717152</v>
      </c>
    </row>
    <row r="56" spans="1:10" ht="21.25" customHeight="1" x14ac:dyDescent="0.15">
      <c r="A56" s="8" t="s">
        <v>741</v>
      </c>
      <c r="B56" s="111" t="str">
        <f>VLOOKUP(A56,'The List'!B1:D727,3,FALSE)</f>
        <v>G</v>
      </c>
      <c r="C56" s="146">
        <f>RANK(E56,E3:E75)</f>
        <v>54</v>
      </c>
      <c r="D56" s="35" t="str">
        <f>VLOOKUP(A56,'The List'!B1:F727,5,FALSE)</f>
        <v>NYI</v>
      </c>
      <c r="E56" s="39">
        <f>VLOOKUP(A56,'The List'!B1:I727,8,FALSE)</f>
        <v>128.8705773403023</v>
      </c>
      <c r="F56" s="39">
        <f>IF(Settings!$E$15="POINTS",E56-VLOOKUP(B$2,C1:E75,3,FALSE),J56)</f>
        <v>-269.90508474901389</v>
      </c>
      <c r="G56" s="39"/>
      <c r="H56" s="138">
        <f>RANK(I56,I3:I75)</f>
        <v>48</v>
      </c>
      <c r="I56" s="139">
        <f>VLOOKUP(A56,'Standard Deviations'!A1:C728,3,FALSE)</f>
        <v>-2.4018099171432996</v>
      </c>
      <c r="J56" s="139">
        <f>I56-VLOOKUP(B$2,H1:J75,2,FALSE)</f>
        <v>-7.0859566898727593</v>
      </c>
    </row>
    <row r="57" spans="1:10" ht="21.25" customHeight="1" x14ac:dyDescent="0.15">
      <c r="A57" s="8" t="s">
        <v>746</v>
      </c>
      <c r="B57" s="111" t="str">
        <f>VLOOKUP(A57,'The List'!B1:D727,3,FALSE)</f>
        <v>G</v>
      </c>
      <c r="C57" s="146">
        <f>RANK(E57,E3:E75)</f>
        <v>55</v>
      </c>
      <c r="D57" s="35" t="str">
        <f>VLOOKUP(A57,'The List'!B1:F727,5,FALSE)</f>
        <v>BUF</v>
      </c>
      <c r="E57" s="39">
        <f>VLOOKUP(A57,'The List'!B1:I727,8,FALSE)</f>
        <v>126.40150464709745</v>
      </c>
      <c r="F57" s="39">
        <f>IF(Settings!$E$15="POINTS",E57-VLOOKUP(B$2,C1:E75,3,FALSE),J57)</f>
        <v>-272.37415744221875</v>
      </c>
      <c r="G57" s="39"/>
      <c r="H57" s="138">
        <f>RANK(I57,I3:I75)</f>
        <v>59</v>
      </c>
      <c r="I57" s="139">
        <f>VLOOKUP(A57,'Standard Deviations'!A1:C728,3,FALSE)</f>
        <v>-3.3858168464424274</v>
      </c>
      <c r="J57" s="139">
        <f>I57-VLOOKUP(B$2,H1:J75,2,FALSE)</f>
        <v>-8.0699636191718866</v>
      </c>
    </row>
    <row r="58" spans="1:10" ht="21.25" customHeight="1" x14ac:dyDescent="0.15">
      <c r="A58" s="8" t="s">
        <v>756</v>
      </c>
      <c r="B58" s="111" t="str">
        <f>VLOOKUP(A58,'The List'!B1:D727,3,FALSE)</f>
        <v>G</v>
      </c>
      <c r="C58" s="146">
        <f>RANK(E58,E3:E75)</f>
        <v>56</v>
      </c>
      <c r="D58" s="35" t="str">
        <f>VLOOKUP(A58,'The List'!B1:F727,5,FALSE)</f>
        <v>STL</v>
      </c>
      <c r="E58" s="39">
        <f>VLOOKUP(A58,'The List'!B1:I727,8,FALSE)</f>
        <v>121.33202102864334</v>
      </c>
      <c r="F58" s="39">
        <f>IF(Settings!$E$15="POINTS",E58-VLOOKUP(B$2,C1:E75,3,FALSE),J58)</f>
        <v>-277.44364106067286</v>
      </c>
      <c r="G58" s="39"/>
      <c r="H58" s="138">
        <f>RANK(I58,I3:I75)</f>
        <v>62</v>
      </c>
      <c r="I58" s="139">
        <f>VLOOKUP(A58,'Standard Deviations'!A1:C728,3,FALSE)</f>
        <v>-3.8762846066502092</v>
      </c>
      <c r="J58" s="139">
        <f>I58-VLOOKUP(B$2,H1:J75,2,FALSE)</f>
        <v>-8.5604313793796685</v>
      </c>
    </row>
    <row r="59" spans="1:10" ht="21.25" customHeight="1" x14ac:dyDescent="0.15">
      <c r="A59" s="8" t="s">
        <v>758</v>
      </c>
      <c r="B59" s="111" t="str">
        <f>VLOOKUP(A59,'The List'!B1:D727,3,FALSE)</f>
        <v>G</v>
      </c>
      <c r="C59" s="146">
        <f>RANK(E59,E3:E75)</f>
        <v>57</v>
      </c>
      <c r="D59" s="35" t="str">
        <f>VLOOKUP(A59,'The List'!B1:F727,5,FALSE)</f>
        <v>DAL</v>
      </c>
      <c r="E59" s="39">
        <f>VLOOKUP(A59,'The List'!B1:I727,8,FALSE)</f>
        <v>119.11663415711274</v>
      </c>
      <c r="F59" s="39">
        <f>IF(Settings!$E$15="POINTS",E59-VLOOKUP(B$2,C1:E75,3,FALSE),J59)</f>
        <v>-279.65902793220346</v>
      </c>
      <c r="G59" s="39"/>
      <c r="H59" s="138">
        <f>RANK(I59,I3:I75)</f>
        <v>37</v>
      </c>
      <c r="I59" s="139">
        <f>VLOOKUP(A59,'Standard Deviations'!A1:C728,3,FALSE)</f>
        <v>-1.453476357388545</v>
      </c>
      <c r="J59" s="139">
        <f>I59-VLOOKUP(B$2,H1:J75,2,FALSE)</f>
        <v>-6.137623130118004</v>
      </c>
    </row>
    <row r="60" spans="1:10" ht="21.25" customHeight="1" x14ac:dyDescent="0.15">
      <c r="A60" s="8" t="s">
        <v>761</v>
      </c>
      <c r="B60" s="111" t="str">
        <f>VLOOKUP(A60,'The List'!B1:D727,3,FALSE)</f>
        <v>G</v>
      </c>
      <c r="C60" s="146">
        <f>RANK(E60,E3:E75)</f>
        <v>58</v>
      </c>
      <c r="D60" s="35" t="str">
        <f>VLOOKUP(A60,'The List'!B1:F727,5,FALSE)</f>
        <v>DET</v>
      </c>
      <c r="E60" s="39">
        <f>VLOOKUP(A60,'The List'!B1:I727,8,FALSE)</f>
        <v>118.36619240477825</v>
      </c>
      <c r="F60" s="39">
        <f>IF(Settings!$E$15="POINTS",E60-VLOOKUP(B$2,C1:E75,3,FALSE),J60)</f>
        <v>-280.40946968453795</v>
      </c>
      <c r="G60" s="39"/>
      <c r="H60" s="138">
        <f>RANK(I60,I3:I75)</f>
        <v>60</v>
      </c>
      <c r="I60" s="139">
        <f>VLOOKUP(A60,'Standard Deviations'!A1:C728,3,FALSE)</f>
        <v>-3.5422546133699693</v>
      </c>
      <c r="J60" s="139">
        <f>I60-VLOOKUP(B$2,H1:J75,2,FALSE)</f>
        <v>-8.2264013860994289</v>
      </c>
    </row>
    <row r="61" spans="1:10" ht="21.25" customHeight="1" x14ac:dyDescent="0.15">
      <c r="A61" s="8" t="s">
        <v>763</v>
      </c>
      <c r="B61" s="111" t="str">
        <f>VLOOKUP(A61,'The List'!B1:D727,3,FALSE)</f>
        <v>G</v>
      </c>
      <c r="C61" s="146">
        <f>RANK(E61,E3:E75)</f>
        <v>59</v>
      </c>
      <c r="D61" s="35" t="str">
        <f>VLOOKUP(A61,'The List'!B1:F727,5,FALSE)</f>
        <v>SEA</v>
      </c>
      <c r="E61" s="39">
        <f>VLOOKUP(A61,'The List'!B1:I727,8,FALSE)</f>
        <v>118.32968116562191</v>
      </c>
      <c r="F61" s="39">
        <f>IF(Settings!$E$15="POINTS",E61-VLOOKUP(B$2,C1:E75,3,FALSE),J61)</f>
        <v>-280.44598092369426</v>
      </c>
      <c r="G61" s="39"/>
      <c r="H61" s="138">
        <f>RANK(I61,I3:I75)</f>
        <v>53</v>
      </c>
      <c r="I61" s="139">
        <f>VLOOKUP(A61,'Standard Deviations'!A1:C728,3,FALSE)</f>
        <v>-2.7935830045668264</v>
      </c>
      <c r="J61" s="139">
        <f>I61-VLOOKUP(B$2,H1:J75,2,FALSE)</f>
        <v>-7.4777297772962861</v>
      </c>
    </row>
    <row r="62" spans="1:10" ht="21.25" customHeight="1" x14ac:dyDescent="0.15">
      <c r="A62" s="8" t="s">
        <v>764</v>
      </c>
      <c r="B62" s="111" t="str">
        <f>VLOOKUP(A62,'The List'!B1:D727,3,FALSE)</f>
        <v>G</v>
      </c>
      <c r="C62" s="146">
        <f>RANK(E62,E3:E75)</f>
        <v>60</v>
      </c>
      <c r="D62" s="35" t="str">
        <f>VLOOKUP(A62,'The List'!B1:F727,5,FALSE)</f>
        <v>VAN</v>
      </c>
      <c r="E62" s="39">
        <f>VLOOKUP(A62,'The List'!B1:I727,8,FALSE)</f>
        <v>118.26365232441827</v>
      </c>
      <c r="F62" s="39">
        <f>IF(Settings!$E$15="POINTS",E62-VLOOKUP(B$2,C1:E75,3,FALSE),J62)</f>
        <v>-280.51200976489793</v>
      </c>
      <c r="G62" s="39"/>
      <c r="H62" s="138">
        <f>RANK(I62,I3:I75)</f>
        <v>67</v>
      </c>
      <c r="I62" s="139">
        <f>VLOOKUP(A62,'Standard Deviations'!A1:C728,3,FALSE)</f>
        <v>-4.1203919967916383</v>
      </c>
      <c r="J62" s="139">
        <f>I62-VLOOKUP(B$2,H1:J75,2,FALSE)</f>
        <v>-8.8045387695210984</v>
      </c>
    </row>
    <row r="63" spans="1:10" ht="21.25" customHeight="1" x14ac:dyDescent="0.15">
      <c r="A63" s="8" t="s">
        <v>777</v>
      </c>
      <c r="B63" s="111" t="str">
        <f>VLOOKUP(A63,'The List'!B1:D727,3,FALSE)</f>
        <v>G</v>
      </c>
      <c r="C63" s="146">
        <f>RANK(E63,E3:E75)</f>
        <v>61</v>
      </c>
      <c r="D63" s="35" t="str">
        <f>VLOOKUP(A63,'The List'!B1:F727,5,FALSE)</f>
        <v>WPG</v>
      </c>
      <c r="E63" s="39">
        <f>VLOOKUP(A63,'The List'!B1:I727,8,FALSE)</f>
        <v>112.20631821217751</v>
      </c>
      <c r="F63" s="39">
        <f>IF(Settings!$E$15="POINTS",E63-VLOOKUP(B$2,C1:E75,3,FALSE),J63)</f>
        <v>-286.56934387713869</v>
      </c>
      <c r="G63" s="39"/>
      <c r="H63" s="138">
        <f>RANK(I63,I3:I75)</f>
        <v>49</v>
      </c>
      <c r="I63" s="139">
        <f>VLOOKUP(A63,'Standard Deviations'!A1:C728,3,FALSE)</f>
        <v>-2.4423347385540639</v>
      </c>
      <c r="J63" s="139">
        <f>I63-VLOOKUP(B$2,H1:J75,2,FALSE)</f>
        <v>-7.1264815112835231</v>
      </c>
    </row>
    <row r="64" spans="1:10" ht="21.25" customHeight="1" x14ac:dyDescent="0.15">
      <c r="A64" s="8" t="s">
        <v>781</v>
      </c>
      <c r="B64" s="111" t="str">
        <f>VLOOKUP(A64,'The List'!B1:D727,3,FALSE)</f>
        <v>G</v>
      </c>
      <c r="C64" s="146">
        <f>RANK(E64,E3:E75)</f>
        <v>62</v>
      </c>
      <c r="D64" s="35" t="str">
        <f>VLOOKUP(A64,'The List'!B1:F727,5,FALSE)</f>
        <v>DET</v>
      </c>
      <c r="E64" s="39">
        <f>VLOOKUP(A64,'The List'!B1:I727,8,FALSE)</f>
        <v>110.02413271331292</v>
      </c>
      <c r="F64" s="39">
        <f>IF(Settings!$E$15="POINTS",E64-VLOOKUP(B$2,C1:E75,3,FALSE),J64)</f>
        <v>-288.7515293760033</v>
      </c>
      <c r="G64" s="39"/>
      <c r="H64" s="138">
        <f>RANK(I64,I3:I75)</f>
        <v>56</v>
      </c>
      <c r="I64" s="139">
        <f>VLOOKUP(A64,'Standard Deviations'!A1:C728,3,FALSE)</f>
        <v>-3.0529959195584508</v>
      </c>
      <c r="J64" s="139">
        <f>I64-VLOOKUP(B$2,H1:J75,2,FALSE)</f>
        <v>-7.7371426922879101</v>
      </c>
    </row>
    <row r="65" spans="1:10" ht="21.25" customHeight="1" x14ac:dyDescent="0.15">
      <c r="A65" s="8" t="s">
        <v>782</v>
      </c>
      <c r="B65" s="111" t="str">
        <f>VLOOKUP(A65,'The List'!B1:D727,3,FALSE)</f>
        <v>G</v>
      </c>
      <c r="C65" s="146">
        <f>RANK(E65,E3:E75)</f>
        <v>63</v>
      </c>
      <c r="D65" s="35" t="str">
        <f>VLOOKUP(A65,'The List'!B1:F727,5,FALSE)</f>
        <v>TBL</v>
      </c>
      <c r="E65" s="39">
        <f>VLOOKUP(A65,'The List'!B1:I727,8,FALSE)</f>
        <v>109.54989850482715</v>
      </c>
      <c r="F65" s="39">
        <f>IF(Settings!$E$15="POINTS",E65-VLOOKUP(B$2,C1:E75,3,FALSE),J65)</f>
        <v>-289.22576358448907</v>
      </c>
      <c r="G65" s="39"/>
      <c r="H65" s="138">
        <f>RANK(I65,I3:I75)</f>
        <v>70</v>
      </c>
      <c r="I65" s="139">
        <f>VLOOKUP(A65,'Standard Deviations'!A1:C728,3,FALSE)</f>
        <v>-4.6299696648477839</v>
      </c>
      <c r="J65" s="139">
        <f>I65-VLOOKUP(B$2,H1:J75,2,FALSE)</f>
        <v>-9.3141164375772441</v>
      </c>
    </row>
    <row r="66" spans="1:10" ht="21.25" customHeight="1" x14ac:dyDescent="0.15">
      <c r="A66" s="8" t="s">
        <v>788</v>
      </c>
      <c r="B66" s="111" t="str">
        <f>VLOOKUP(A66,'The List'!B1:D727,3,FALSE)</f>
        <v>G</v>
      </c>
      <c r="C66" s="146">
        <f>RANK(E66,E3:E75)</f>
        <v>64</v>
      </c>
      <c r="D66" s="35" t="str">
        <f>VLOOKUP(A66,'The List'!B1:F727,5,FALSE)</f>
        <v>FLA</v>
      </c>
      <c r="E66" s="39">
        <f>VLOOKUP(A66,'The List'!B1:I727,8,FALSE)</f>
        <v>102.15025195158697</v>
      </c>
      <c r="F66" s="39">
        <f>IF(Settings!$E$15="POINTS",E66-VLOOKUP(B$2,C1:E75,3,FALSE),J66)</f>
        <v>-296.6254101377292</v>
      </c>
      <c r="G66" s="39"/>
      <c r="H66" s="138">
        <f>RANK(I66,I3:I75)</f>
        <v>58</v>
      </c>
      <c r="I66" s="139">
        <f>VLOOKUP(A66,'Standard Deviations'!A1:C728,3,FALSE)</f>
        <v>-3.253874635818665</v>
      </c>
      <c r="J66" s="139">
        <f>I66-VLOOKUP(B$2,H1:J75,2,FALSE)</f>
        <v>-7.9380214085481242</v>
      </c>
    </row>
    <row r="67" spans="1:10" ht="21.25" customHeight="1" x14ac:dyDescent="0.15">
      <c r="A67" s="8" t="s">
        <v>790</v>
      </c>
      <c r="B67" s="111" t="str">
        <f>VLOOKUP(A67,'The List'!B1:D727,3,FALSE)</f>
        <v>G</v>
      </c>
      <c r="C67" s="146">
        <f>RANK(E67,E3:E75)</f>
        <v>65</v>
      </c>
      <c r="D67" s="35" t="str">
        <f>VLOOKUP(A67,'The List'!B1:F727,5,FALSE)</f>
        <v>FLA</v>
      </c>
      <c r="E67" s="39">
        <f>VLOOKUP(A67,'The List'!B1:I727,8,FALSE)</f>
        <v>100.06409435146068</v>
      </c>
      <c r="F67" s="39">
        <f>IF(Settings!$E$15="POINTS",E67-VLOOKUP(B$2,C1:E75,3,FALSE),J67)</f>
        <v>-298.71156773785549</v>
      </c>
      <c r="G67" s="39"/>
      <c r="H67" s="138">
        <f>RANK(I67,I3:I75)</f>
        <v>61</v>
      </c>
      <c r="I67" s="139">
        <f>VLOOKUP(A67,'Standard Deviations'!A1:C728,3,FALSE)</f>
        <v>-3.6204257738571934</v>
      </c>
      <c r="J67" s="139">
        <f>I67-VLOOKUP(B$2,H1:J75,2,FALSE)</f>
        <v>-8.3045725465866518</v>
      </c>
    </row>
    <row r="68" spans="1:10" ht="21.25" customHeight="1" x14ac:dyDescent="0.15">
      <c r="A68" s="8" t="s">
        <v>793</v>
      </c>
      <c r="B68" s="111" t="str">
        <f>VLOOKUP(A68,'The List'!B1:D727,3,FALSE)</f>
        <v>G</v>
      </c>
      <c r="C68" s="146">
        <f>RANK(E68,E3:E75)</f>
        <v>66</v>
      </c>
      <c r="D68" s="35" t="str">
        <f>VLOOKUP(A68,'The List'!B1:F727,5,FALSE)</f>
        <v>CGY</v>
      </c>
      <c r="E68" s="39">
        <f>VLOOKUP(A68,'The List'!B1:I727,8,FALSE)</f>
        <v>99.643522809495806</v>
      </c>
      <c r="F68" s="39">
        <f>IF(Settings!$E$15="POINTS",E68-VLOOKUP(B$2,C1:E75,3,FALSE),J68)</f>
        <v>-299.13213927982042</v>
      </c>
      <c r="G68" s="39"/>
      <c r="H68" s="138">
        <f>RANK(I68,I3:I75)</f>
        <v>52</v>
      </c>
      <c r="I68" s="139">
        <f>VLOOKUP(A68,'Standard Deviations'!A1:C728,3,FALSE)</f>
        <v>-2.7568642110507016</v>
      </c>
      <c r="J68" s="139">
        <f>I68-VLOOKUP(B$2,H1:J75,2,FALSE)</f>
        <v>-7.4410109837801608</v>
      </c>
    </row>
    <row r="69" spans="1:10" ht="21.25" customHeight="1" x14ac:dyDescent="0.15">
      <c r="A69" s="8" t="s">
        <v>803</v>
      </c>
      <c r="B69" s="111" t="str">
        <f>VLOOKUP(A69,'The List'!B1:D727,3,FALSE)</f>
        <v>G</v>
      </c>
      <c r="C69" s="146">
        <f>RANK(E69,E3:E75)</f>
        <v>67</v>
      </c>
      <c r="D69" s="35" t="str">
        <f>VLOOKUP(A69,'The List'!B1:F727,5,FALSE)</f>
        <v>BUF</v>
      </c>
      <c r="E69" s="39">
        <f>VLOOKUP(A69,'The List'!B1:I727,8,FALSE)</f>
        <v>91.908531849019624</v>
      </c>
      <c r="F69" s="39">
        <f>IF(Settings!$E$15="POINTS",E69-VLOOKUP(B$2,C1:E75,3,FALSE),J69)</f>
        <v>-306.86713024029655</v>
      </c>
      <c r="G69" s="39"/>
      <c r="H69" s="138">
        <f>RANK(I69,I3:I75)</f>
        <v>69</v>
      </c>
      <c r="I69" s="139">
        <f>VLOOKUP(A69,'Standard Deviations'!A1:C728,3,FALSE)</f>
        <v>-4.2789079918420327</v>
      </c>
      <c r="J69" s="139">
        <f>I69-VLOOKUP(B$2,H1:J75,2,FALSE)</f>
        <v>-8.963054764571492</v>
      </c>
    </row>
    <row r="70" spans="1:10" ht="21.25" customHeight="1" x14ac:dyDescent="0.15">
      <c r="A70" s="8" t="s">
        <v>805</v>
      </c>
      <c r="B70" s="111" t="str">
        <f>VLOOKUP(A70,'The List'!B1:D727,3,FALSE)</f>
        <v>G</v>
      </c>
      <c r="C70" s="146">
        <f>RANK(E70,E3:E75)</f>
        <v>68</v>
      </c>
      <c r="D70" s="35" t="str">
        <f>VLOOKUP(A70,'The List'!B1:F727,5,FALSE)</f>
        <v>SEA</v>
      </c>
      <c r="E70" s="39">
        <f>VLOOKUP(A70,'The List'!B1:I727,8,FALSE)</f>
        <v>90.483972280414577</v>
      </c>
      <c r="F70" s="39">
        <f>IF(Settings!$E$15="POINTS",E70-VLOOKUP(B$2,C1:E75,3,FALSE),J70)</f>
        <v>-308.29168980890165</v>
      </c>
      <c r="G70" s="39"/>
      <c r="H70" s="138">
        <f>RANK(I70,I3:I75)</f>
        <v>54</v>
      </c>
      <c r="I70" s="139">
        <f>VLOOKUP(A70,'Standard Deviations'!A1:C728,3,FALSE)</f>
        <v>-2.9088664527188324</v>
      </c>
      <c r="J70" s="139">
        <f>I70-VLOOKUP(B$2,H1:J75,2,FALSE)</f>
        <v>-7.593013225448292</v>
      </c>
    </row>
    <row r="71" spans="1:10" ht="21.25" customHeight="1" x14ac:dyDescent="0.15">
      <c r="A71" s="8" t="s">
        <v>810</v>
      </c>
      <c r="B71" s="111" t="str">
        <f>VLOOKUP(A71,'The List'!B1:D727,3,FALSE)</f>
        <v>G</v>
      </c>
      <c r="C71" s="146">
        <f>RANK(E71,E3:E75)</f>
        <v>69</v>
      </c>
      <c r="D71" s="35" t="str">
        <f>VLOOKUP(A71,'The List'!B1:F727,5,FALSE)</f>
        <v>NSH</v>
      </c>
      <c r="E71" s="39">
        <f>VLOOKUP(A71,'The List'!B1:I727,8,FALSE)</f>
        <v>87.558740183334265</v>
      </c>
      <c r="F71" s="39">
        <f>IF(Settings!$E$15="POINTS",E71-VLOOKUP(B$2,C1:E75,3,FALSE),J71)</f>
        <v>-311.21692190598196</v>
      </c>
      <c r="G71" s="39"/>
      <c r="H71" s="138">
        <f>RANK(I71,I3:I75)</f>
        <v>66</v>
      </c>
      <c r="I71" s="139">
        <f>VLOOKUP(A71,'Standard Deviations'!A1:C728,3,FALSE)</f>
        <v>-4.0677367072681676</v>
      </c>
      <c r="J71" s="139">
        <f>I71-VLOOKUP(B$2,H1:J75,2,FALSE)</f>
        <v>-8.7518834799976268</v>
      </c>
    </row>
    <row r="72" spans="1:10" ht="21.25" customHeight="1" x14ac:dyDescent="0.15">
      <c r="A72" s="8" t="s">
        <v>816</v>
      </c>
      <c r="B72" s="111" t="str">
        <f>VLOOKUP(A72,'The List'!B1:D727,3,FALSE)</f>
        <v>G</v>
      </c>
      <c r="C72" s="146">
        <f>RANK(E72,E3:E75)</f>
        <v>70</v>
      </c>
      <c r="D72" s="35" t="str">
        <f>VLOOKUP(A72,'The List'!B1:F727,5,FALSE)</f>
        <v>MTL</v>
      </c>
      <c r="E72" s="39">
        <f>VLOOKUP(A72,'The List'!B1:I727,8,FALSE)</f>
        <v>81.915688384978125</v>
      </c>
      <c r="F72" s="39">
        <f>IF(Settings!$E$15="POINTS",E72-VLOOKUP(B$2,C1:E75,3,FALSE),J72)</f>
        <v>-316.85997370433807</v>
      </c>
      <c r="G72" s="39"/>
      <c r="H72" s="138">
        <f>RANK(I72,I3:I75)</f>
        <v>71</v>
      </c>
      <c r="I72" s="139">
        <f>VLOOKUP(A72,'Standard Deviations'!A1:C728,3,FALSE)</f>
        <v>-4.6956112630488187</v>
      </c>
      <c r="J72" s="139">
        <f>I72-VLOOKUP(B$2,H1:J75,2,FALSE)</f>
        <v>-9.379758035778277</v>
      </c>
    </row>
    <row r="73" spans="1:10" ht="21.25" customHeight="1" x14ac:dyDescent="0.15">
      <c r="A73" s="8" t="s">
        <v>818</v>
      </c>
      <c r="B73" s="111" t="str">
        <f>VLOOKUP(A73,'The List'!B1:D727,3,FALSE)</f>
        <v>G</v>
      </c>
      <c r="C73" s="146">
        <f>IF(Settings!$E$15="POINTS",RANK(E73,E3:E75),H73)</f>
        <v>71</v>
      </c>
      <c r="D73" s="35" t="str">
        <f>VLOOKUP(A73,'The List'!B1:F727,5,FALSE)</f>
        <v>CGY</v>
      </c>
      <c r="E73" s="39">
        <f>VLOOKUP(A73,'The List'!B1:I727,8,FALSE)</f>
        <v>80.085747691552427</v>
      </c>
      <c r="F73" s="39">
        <f>IF(Settings!$E$15="POINTS",E73-VLOOKUP(B$2,C1:E75,3,FALSE),J73)</f>
        <v>-318.6899143977638</v>
      </c>
      <c r="G73" s="39"/>
      <c r="H73" s="138">
        <f>RANK(I73,I3:I75)</f>
        <v>43</v>
      </c>
      <c r="I73" s="139">
        <f>VLOOKUP(A73,'Standard Deviations'!A1:C728,3,FALSE)</f>
        <v>-1.9337235276694118</v>
      </c>
      <c r="J73" s="139">
        <f>I73-VLOOKUP(B$2,H1:J75,2,FALSE)</f>
        <v>-6.617870300398871</v>
      </c>
    </row>
    <row r="74" spans="1:10" ht="21.25" customHeight="1" x14ac:dyDescent="0.15">
      <c r="A74" s="8" t="s">
        <v>827</v>
      </c>
      <c r="B74" s="111" t="str">
        <f>VLOOKUP(A74,'The List'!B1:D727,3,FALSE)</f>
        <v>G</v>
      </c>
      <c r="C74" s="146">
        <f>RANK(E74,E3:E75)</f>
        <v>72</v>
      </c>
      <c r="D74" s="35" t="str">
        <f>VLOOKUP(A74,'The List'!B1:F727,5,FALSE)</f>
        <v>TOR</v>
      </c>
      <c r="E74" s="39">
        <f>VLOOKUP(A74,'The List'!B1:I727,8,FALSE)</f>
        <v>66.177233619182914</v>
      </c>
      <c r="F74" s="39">
        <f>IF(Settings!$E$15="POINTS",E74-VLOOKUP(B$2,C1:E75,3,FALSE),J74)</f>
        <v>-332.59842847013329</v>
      </c>
      <c r="G74" s="39"/>
      <c r="H74" s="138">
        <f>RANK(I74,I3:I75)</f>
        <v>68</v>
      </c>
      <c r="I74" s="139">
        <f>VLOOKUP(A74,'Standard Deviations'!A1:C728,3,FALSE)</f>
        <v>-4.1648337251628664</v>
      </c>
      <c r="J74" s="139">
        <f>I74-VLOOKUP(B$2,H1:J75,2,FALSE)</f>
        <v>-8.8489804978923257</v>
      </c>
    </row>
    <row r="75" spans="1:10" ht="21.25" customHeight="1" x14ac:dyDescent="0.15">
      <c r="A75" s="8" t="s">
        <v>831</v>
      </c>
      <c r="B75" s="111" t="str">
        <f>VLOOKUP(A75,'The List'!B1:D727,3,FALSE)</f>
        <v>G</v>
      </c>
      <c r="C75" s="146">
        <f>RANK(E75,E3:E75)</f>
        <v>73</v>
      </c>
      <c r="D75" s="35" t="str">
        <f>VLOOKUP(A75,'The List'!B1:F727,5,FALSE)</f>
        <v>PHI</v>
      </c>
      <c r="E75" s="39">
        <f>VLOOKUP(A75,'The List'!B1:I727,8,FALSE)</f>
        <v>55.964847273731223</v>
      </c>
      <c r="F75" s="39">
        <f>IF(Settings!$E$15="POINTS",E75-VLOOKUP(B$2,C1:E75,3,FALSE),J75)</f>
        <v>-342.81081481558499</v>
      </c>
      <c r="G75" s="39"/>
      <c r="H75" s="138">
        <f>RANK(I75,I3:I75)</f>
        <v>73</v>
      </c>
      <c r="I75" s="139">
        <f>VLOOKUP(A75,'Standard Deviations'!A1:C728,3,FALSE)</f>
        <v>-5.8091497023076375</v>
      </c>
      <c r="J75" s="139">
        <f>I75-VLOOKUP(B$2,H1:J75,2,FALSE)</f>
        <v>-10.493296475037097</v>
      </c>
    </row>
  </sheetData>
  <conditionalFormatting sqref="C3:C75 H3:H75">
    <cfRule type="containsText" dxfId="5" priority="1" stopIfTrue="1" operator="containsText" text="/">
      <formula>NOT(ISERROR(FIND(UPPER("/"),UPPER(C3))))</formula>
      <formula>"/"</formula>
    </cfRule>
    <cfRule type="containsText" dxfId="4" priority="2" stopIfTrue="1" operator="containsText" text="C">
      <formula>NOT(ISERROR(FIND(UPPER("C"),UPPER(C3))))</formula>
      <formula>"C"</formula>
    </cfRule>
    <cfRule type="containsText" dxfId="3" priority="3" stopIfTrue="1" operator="containsText" text="D">
      <formula>NOT(ISERROR(FIND(UPPER("D"),UPPER(C3))))</formula>
      <formula>"D"</formula>
    </cfRule>
    <cfRule type="containsText" dxfId="2" priority="4" stopIfTrue="1" operator="containsText" text="LW">
      <formula>NOT(ISERROR(FIND(UPPER("LW"),UPPER(C3))))</formula>
      <formula>"LW"</formula>
    </cfRule>
    <cfRule type="containsText" dxfId="1" priority="5" stopIfTrue="1" operator="containsText" text="RW">
      <formula>NOT(ISERROR(FIND(UPPER("RW"),UPPER(C3))))</formula>
      <formula>"RW"</formula>
    </cfRule>
    <cfRule type="containsText" dxfId="0" priority="6" stopIfTrue="1" operator="containsText" text="G">
      <formula>NOT(ISERROR(FIND(UPPER("G"),UPPER(C3))))</formula>
      <formula>"G"</formula>
    </cfRule>
  </conditionalFormatting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H728"/>
  <sheetViews>
    <sheetView showGridLines="0" workbookViewId="0">
      <pane ySplit="1" topLeftCell="A2" activePane="bottomLeft" state="frozen"/>
      <selection pane="bottomLeft"/>
    </sheetView>
  </sheetViews>
  <sheetFormatPr baseColWidth="10" defaultColWidth="8" defaultRowHeight="16.25" customHeight="1" x14ac:dyDescent="0.15"/>
  <cols>
    <col min="1" max="1" width="28.33203125" style="1" customWidth="1"/>
    <col min="2" max="6" width="9.5" style="1" customWidth="1"/>
    <col min="7" max="8" width="11.83203125" style="1" customWidth="1"/>
    <col min="9" max="9" width="8" style="1" customWidth="1"/>
    <col min="10" max="16384" width="8" style="1"/>
  </cols>
  <sheetData>
    <row r="1" spans="1:8" ht="42.5" customHeight="1" x14ac:dyDescent="0.15">
      <c r="A1" s="2" t="s">
        <v>66</v>
      </c>
      <c r="B1" s="147" t="s">
        <v>861</v>
      </c>
      <c r="C1" s="147" t="s">
        <v>862</v>
      </c>
      <c r="D1" s="125" t="s">
        <v>863</v>
      </c>
      <c r="E1" s="147" t="s">
        <v>864</v>
      </c>
      <c r="F1" s="148"/>
      <c r="G1" s="147" t="s">
        <v>71</v>
      </c>
      <c r="H1" s="147" t="s">
        <v>865</v>
      </c>
    </row>
    <row r="2" spans="1:8" ht="21.25" customHeight="1" x14ac:dyDescent="0.15">
      <c r="A2" s="8" t="s">
        <v>105</v>
      </c>
      <c r="B2" s="149">
        <v>1.1000000000000001</v>
      </c>
      <c r="C2" s="149"/>
      <c r="D2" s="150">
        <v>1.03</v>
      </c>
      <c r="E2" s="149">
        <f t="shared" ref="E2:E65" si="0">IFERROR(AVERAGE(B2:D2),"—")</f>
        <v>1.0649999999999999</v>
      </c>
      <c r="F2" s="149"/>
      <c r="G2" s="151">
        <v>12500000</v>
      </c>
      <c r="H2" s="53" t="s">
        <v>834</v>
      </c>
    </row>
    <row r="3" spans="1:8" ht="21.25" customHeight="1" x14ac:dyDescent="0.15">
      <c r="A3" s="8" t="s">
        <v>107</v>
      </c>
      <c r="B3" s="149">
        <v>2.4</v>
      </c>
      <c r="C3" s="149"/>
      <c r="D3" s="149">
        <v>2.4900000000000002</v>
      </c>
      <c r="E3" s="149">
        <f t="shared" si="0"/>
        <v>2.4450000000000003</v>
      </c>
      <c r="F3" s="149"/>
      <c r="G3" s="151">
        <v>8500000</v>
      </c>
      <c r="H3" s="53" t="s">
        <v>834</v>
      </c>
    </row>
    <row r="4" spans="1:8" ht="21.25" customHeight="1" x14ac:dyDescent="0.15">
      <c r="A4" s="8" t="s">
        <v>108</v>
      </c>
      <c r="B4" s="149">
        <v>3.9</v>
      </c>
      <c r="C4" s="149"/>
      <c r="D4" s="149">
        <v>2.8</v>
      </c>
      <c r="E4" s="149">
        <f t="shared" si="0"/>
        <v>3.3499999999999996</v>
      </c>
      <c r="F4" s="149"/>
      <c r="G4" s="151">
        <v>12600000</v>
      </c>
      <c r="H4" s="53" t="s">
        <v>834</v>
      </c>
    </row>
    <row r="5" spans="1:8" ht="21.25" customHeight="1" x14ac:dyDescent="0.15">
      <c r="A5" s="8" t="s">
        <v>110</v>
      </c>
      <c r="B5" s="149">
        <v>8.6999999999999993</v>
      </c>
      <c r="C5" s="149"/>
      <c r="D5" s="149">
        <v>9.49</v>
      </c>
      <c r="E5" s="149">
        <f t="shared" si="0"/>
        <v>9.0949999999999989</v>
      </c>
      <c r="F5" s="149"/>
      <c r="G5" s="151">
        <v>9500000</v>
      </c>
      <c r="H5" s="53" t="s">
        <v>834</v>
      </c>
    </row>
    <row r="6" spans="1:8" ht="21.25" customHeight="1" x14ac:dyDescent="0.15">
      <c r="A6" s="8" t="s">
        <v>111</v>
      </c>
      <c r="B6" s="149">
        <v>6.3</v>
      </c>
      <c r="C6" s="149"/>
      <c r="D6" s="149">
        <v>7.55</v>
      </c>
      <c r="E6" s="149">
        <f t="shared" si="0"/>
        <v>6.9249999999999998</v>
      </c>
      <c r="F6" s="149"/>
      <c r="G6" s="151">
        <v>9500000</v>
      </c>
      <c r="H6" s="53" t="s">
        <v>834</v>
      </c>
    </row>
    <row r="7" spans="1:8" ht="21.25" customHeight="1" x14ac:dyDescent="0.15">
      <c r="A7" s="8" t="s">
        <v>112</v>
      </c>
      <c r="B7" s="149">
        <v>9</v>
      </c>
      <c r="C7" s="149"/>
      <c r="D7" s="149">
        <v>6.09</v>
      </c>
      <c r="E7" s="149">
        <f t="shared" si="0"/>
        <v>7.5449999999999999</v>
      </c>
      <c r="F7" s="149"/>
      <c r="G7" s="151">
        <v>9250000</v>
      </c>
      <c r="H7" s="53" t="s">
        <v>834</v>
      </c>
    </row>
    <row r="8" spans="1:8" ht="21.25" customHeight="1" x14ac:dyDescent="0.15">
      <c r="A8" s="8" t="s">
        <v>113</v>
      </c>
      <c r="B8" s="149">
        <v>7.8</v>
      </c>
      <c r="C8" s="149"/>
      <c r="D8" s="149">
        <v>4.68</v>
      </c>
      <c r="E8" s="149">
        <f t="shared" si="0"/>
        <v>6.24</v>
      </c>
      <c r="F8" s="149"/>
      <c r="G8" s="151">
        <v>11640250</v>
      </c>
      <c r="H8" s="53" t="s">
        <v>60</v>
      </c>
    </row>
    <row r="9" spans="1:8" ht="21.25" customHeight="1" x14ac:dyDescent="0.15">
      <c r="A9" s="8" t="s">
        <v>118</v>
      </c>
      <c r="B9" s="149">
        <v>18.100000000000001</v>
      </c>
      <c r="C9" s="149"/>
      <c r="D9" s="149">
        <v>18.21</v>
      </c>
      <c r="E9" s="149">
        <f t="shared" si="0"/>
        <v>18.155000000000001</v>
      </c>
      <c r="F9" s="149"/>
      <c r="G9" s="151">
        <v>10903000</v>
      </c>
      <c r="H9" s="53" t="s">
        <v>834</v>
      </c>
    </row>
    <row r="10" spans="1:8" ht="21.25" customHeight="1" x14ac:dyDescent="0.15">
      <c r="A10" s="8" t="s">
        <v>115</v>
      </c>
      <c r="B10" s="149">
        <v>15.2</v>
      </c>
      <c r="C10" s="149"/>
      <c r="D10" s="149">
        <v>14.27</v>
      </c>
      <c r="E10" s="149">
        <f t="shared" si="0"/>
        <v>14.734999999999999</v>
      </c>
      <c r="F10" s="149"/>
      <c r="G10" s="151">
        <v>9000000</v>
      </c>
      <c r="H10" s="53" t="s">
        <v>834</v>
      </c>
    </row>
    <row r="11" spans="1:8" ht="21.25" customHeight="1" x14ac:dyDescent="0.15">
      <c r="A11" s="8" t="s">
        <v>114</v>
      </c>
      <c r="B11" s="149">
        <v>13.6</v>
      </c>
      <c r="C11" s="149"/>
      <c r="D11" s="149">
        <v>9.01</v>
      </c>
      <c r="E11" s="149">
        <f t="shared" si="0"/>
        <v>11.305</v>
      </c>
      <c r="F11" s="149"/>
      <c r="G11" s="151">
        <v>8000000</v>
      </c>
      <c r="H11" s="53" t="s">
        <v>60</v>
      </c>
    </row>
    <row r="12" spans="1:8" ht="21.25" customHeight="1" x14ac:dyDescent="0.15">
      <c r="A12" s="8" t="s">
        <v>117</v>
      </c>
      <c r="B12" s="149">
        <v>8</v>
      </c>
      <c r="C12" s="149"/>
      <c r="D12" s="149">
        <v>9.81</v>
      </c>
      <c r="E12" s="149">
        <f t="shared" si="0"/>
        <v>8.9050000000000011</v>
      </c>
      <c r="F12" s="149"/>
      <c r="G12" s="151">
        <v>7750000</v>
      </c>
      <c r="H12" s="53" t="s">
        <v>834</v>
      </c>
    </row>
    <row r="13" spans="1:8" ht="21.25" customHeight="1" x14ac:dyDescent="0.15">
      <c r="A13" s="8" t="s">
        <v>109</v>
      </c>
      <c r="B13" s="149">
        <v>3.7</v>
      </c>
      <c r="C13" s="149"/>
      <c r="D13" s="149">
        <v>5.05</v>
      </c>
      <c r="E13" s="149">
        <f t="shared" si="0"/>
        <v>4.375</v>
      </c>
      <c r="F13" s="149"/>
      <c r="G13" s="151">
        <v>11250000</v>
      </c>
      <c r="H13" s="53" t="s">
        <v>834</v>
      </c>
    </row>
    <row r="14" spans="1:8" ht="21.25" customHeight="1" x14ac:dyDescent="0.15">
      <c r="A14" s="8" t="s">
        <v>137</v>
      </c>
      <c r="B14" s="149">
        <v>36.1</v>
      </c>
      <c r="C14" s="149"/>
      <c r="D14" s="149">
        <v>39.72</v>
      </c>
      <c r="E14" s="149">
        <f t="shared" si="0"/>
        <v>37.909999999999997</v>
      </c>
      <c r="F14" s="149"/>
      <c r="G14" s="151">
        <v>11642857</v>
      </c>
      <c r="H14" s="53" t="s">
        <v>834</v>
      </c>
    </row>
    <row r="15" spans="1:8" ht="21.25" customHeight="1" x14ac:dyDescent="0.15">
      <c r="A15" s="8" t="s">
        <v>141</v>
      </c>
      <c r="B15" s="149">
        <v>60.2</v>
      </c>
      <c r="C15" s="149"/>
      <c r="D15" s="149">
        <v>28.81</v>
      </c>
      <c r="E15" s="149">
        <f t="shared" si="0"/>
        <v>44.505000000000003</v>
      </c>
      <c r="F15" s="149"/>
      <c r="G15" s="151">
        <v>10000000</v>
      </c>
      <c r="H15" s="53" t="s">
        <v>834</v>
      </c>
    </row>
    <row r="16" spans="1:8" ht="21.25" customHeight="1" x14ac:dyDescent="0.15">
      <c r="A16" s="8" t="s">
        <v>125</v>
      </c>
      <c r="B16" s="149">
        <v>12.9</v>
      </c>
      <c r="C16" s="149"/>
      <c r="D16" s="149">
        <v>14.66</v>
      </c>
      <c r="E16" s="149">
        <f t="shared" si="0"/>
        <v>13.780000000000001</v>
      </c>
      <c r="F16" s="149"/>
      <c r="G16" s="151">
        <v>7140000</v>
      </c>
      <c r="H16" s="53" t="s">
        <v>834</v>
      </c>
    </row>
    <row r="17" spans="1:8" ht="21.25" customHeight="1" x14ac:dyDescent="0.15">
      <c r="A17" s="8" t="s">
        <v>140</v>
      </c>
      <c r="B17" s="149">
        <v>31.4</v>
      </c>
      <c r="C17" s="149"/>
      <c r="D17" s="149">
        <v>12.39</v>
      </c>
      <c r="E17" s="149">
        <f t="shared" si="0"/>
        <v>21.895</v>
      </c>
      <c r="F17" s="149"/>
      <c r="G17" s="151">
        <v>7350000</v>
      </c>
      <c r="H17" s="53" t="s">
        <v>60</v>
      </c>
    </row>
    <row r="18" spans="1:8" ht="21.25" customHeight="1" x14ac:dyDescent="0.15">
      <c r="A18" s="8" t="s">
        <v>147</v>
      </c>
      <c r="B18" s="149">
        <v>19</v>
      </c>
      <c r="C18" s="149"/>
      <c r="D18" s="149">
        <v>22.75</v>
      </c>
      <c r="E18" s="149">
        <f t="shared" si="0"/>
        <v>20.875</v>
      </c>
      <c r="F18" s="149"/>
      <c r="G18" s="151">
        <v>8700000</v>
      </c>
      <c r="H18" s="53" t="s">
        <v>834</v>
      </c>
    </row>
    <row r="19" spans="1:8" ht="21.25" customHeight="1" x14ac:dyDescent="0.15">
      <c r="A19" s="8" t="s">
        <v>150</v>
      </c>
      <c r="B19" s="149">
        <v>74.5</v>
      </c>
      <c r="C19" s="149"/>
      <c r="D19" s="149">
        <v>59.74</v>
      </c>
      <c r="E19" s="149">
        <f t="shared" si="0"/>
        <v>67.12</v>
      </c>
      <c r="F19" s="149"/>
      <c r="G19" s="151">
        <v>9750000</v>
      </c>
      <c r="H19" s="53" t="s">
        <v>62</v>
      </c>
    </row>
    <row r="20" spans="1:8" ht="21.25" customHeight="1" x14ac:dyDescent="0.15">
      <c r="A20" s="8" t="s">
        <v>159</v>
      </c>
      <c r="B20" s="149">
        <v>35.200000000000003</v>
      </c>
      <c r="C20" s="149"/>
      <c r="D20" s="149">
        <v>29.4</v>
      </c>
      <c r="E20" s="149">
        <f t="shared" si="0"/>
        <v>32.299999999999997</v>
      </c>
      <c r="F20" s="149"/>
      <c r="G20" s="151">
        <v>8500000</v>
      </c>
      <c r="H20" s="53" t="s">
        <v>62</v>
      </c>
    </row>
    <row r="21" spans="1:8" ht="21.25" customHeight="1" x14ac:dyDescent="0.15">
      <c r="A21" s="8" t="s">
        <v>169</v>
      </c>
      <c r="B21" s="149">
        <v>139</v>
      </c>
      <c r="C21" s="149"/>
      <c r="D21" s="149">
        <v>86.4</v>
      </c>
      <c r="E21" s="149">
        <f t="shared" si="0"/>
        <v>112.7</v>
      </c>
      <c r="F21" s="149"/>
      <c r="G21" s="151">
        <v>5800000</v>
      </c>
      <c r="H21" s="53" t="s">
        <v>62</v>
      </c>
    </row>
    <row r="22" spans="1:8" ht="21.25" customHeight="1" x14ac:dyDescent="0.15">
      <c r="A22" s="8" t="s">
        <v>116</v>
      </c>
      <c r="B22" s="149">
        <v>13.9</v>
      </c>
      <c r="C22" s="149"/>
      <c r="D22" s="149">
        <v>14.96</v>
      </c>
      <c r="E22" s="149">
        <f t="shared" si="0"/>
        <v>14.43</v>
      </c>
      <c r="F22" s="149"/>
      <c r="G22" s="151">
        <v>9000000</v>
      </c>
      <c r="H22" s="53" t="s">
        <v>60</v>
      </c>
    </row>
    <row r="23" spans="1:8" ht="21.25" customHeight="1" x14ac:dyDescent="0.15">
      <c r="A23" s="8" t="s">
        <v>139</v>
      </c>
      <c r="B23" s="149">
        <v>26</v>
      </c>
      <c r="C23" s="149"/>
      <c r="D23" s="149">
        <v>26.47</v>
      </c>
      <c r="E23" s="149">
        <f t="shared" si="0"/>
        <v>26.234999999999999</v>
      </c>
      <c r="F23" s="149"/>
      <c r="G23" s="151">
        <v>8500000</v>
      </c>
      <c r="H23" s="53" t="s">
        <v>834</v>
      </c>
    </row>
    <row r="24" spans="1:8" ht="21.25" customHeight="1" x14ac:dyDescent="0.15">
      <c r="A24" s="8" t="s">
        <v>149</v>
      </c>
      <c r="B24" s="149">
        <v>30.2</v>
      </c>
      <c r="C24" s="149"/>
      <c r="D24" s="149">
        <v>27.76</v>
      </c>
      <c r="E24" s="149">
        <f t="shared" si="0"/>
        <v>28.98</v>
      </c>
      <c r="F24" s="149"/>
      <c r="G24" s="151">
        <v>9500000</v>
      </c>
      <c r="H24" s="53" t="s">
        <v>60</v>
      </c>
    </row>
    <row r="25" spans="1:8" ht="21.25" customHeight="1" x14ac:dyDescent="0.15">
      <c r="A25" s="8" t="s">
        <v>131</v>
      </c>
      <c r="B25" s="149">
        <v>44.7</v>
      </c>
      <c r="C25" s="149"/>
      <c r="D25" s="149">
        <v>28.95</v>
      </c>
      <c r="E25" s="149">
        <f t="shared" si="0"/>
        <v>36.825000000000003</v>
      </c>
      <c r="F25" s="149"/>
      <c r="G25" s="151">
        <v>7142857</v>
      </c>
      <c r="H25" s="53" t="s">
        <v>834</v>
      </c>
    </row>
    <row r="26" spans="1:8" ht="21.25" customHeight="1" x14ac:dyDescent="0.15">
      <c r="A26" s="8" t="s">
        <v>148</v>
      </c>
      <c r="B26" s="149">
        <v>64.3</v>
      </c>
      <c r="C26" s="149"/>
      <c r="D26" s="149">
        <v>38.32</v>
      </c>
      <c r="E26" s="149">
        <f t="shared" si="0"/>
        <v>51.31</v>
      </c>
      <c r="F26" s="149"/>
      <c r="G26" s="151">
        <v>7150000</v>
      </c>
      <c r="H26" s="53" t="s">
        <v>834</v>
      </c>
    </row>
    <row r="27" spans="1:8" ht="21.25" customHeight="1" x14ac:dyDescent="0.15">
      <c r="A27" s="8" t="s">
        <v>133</v>
      </c>
      <c r="B27" s="149">
        <v>32.200000000000003</v>
      </c>
      <c r="C27" s="149"/>
      <c r="D27" s="149">
        <v>18.13</v>
      </c>
      <c r="E27" s="149">
        <f t="shared" si="0"/>
        <v>25.164999999999999</v>
      </c>
      <c r="F27" s="149"/>
      <c r="G27" s="151">
        <v>8350000</v>
      </c>
      <c r="H27" s="53" t="s">
        <v>60</v>
      </c>
    </row>
    <row r="28" spans="1:8" ht="21.25" customHeight="1" x14ac:dyDescent="0.15">
      <c r="A28" s="8" t="s">
        <v>121</v>
      </c>
      <c r="B28" s="149">
        <v>26.5</v>
      </c>
      <c r="C28" s="149"/>
      <c r="D28" s="149">
        <v>25.58</v>
      </c>
      <c r="E28" s="149">
        <f t="shared" si="0"/>
        <v>26.04</v>
      </c>
      <c r="F28" s="149"/>
      <c r="G28" s="151">
        <v>6962000</v>
      </c>
      <c r="H28" s="53" t="s">
        <v>60</v>
      </c>
    </row>
    <row r="29" spans="1:8" ht="21.25" customHeight="1" x14ac:dyDescent="0.15">
      <c r="A29" s="8" t="s">
        <v>143</v>
      </c>
      <c r="B29" s="149">
        <v>38.700000000000003</v>
      </c>
      <c r="C29" s="149"/>
      <c r="D29" s="149">
        <v>24.28</v>
      </c>
      <c r="E29" s="149">
        <f t="shared" si="0"/>
        <v>31.490000000000002</v>
      </c>
      <c r="F29" s="149"/>
      <c r="G29" s="151">
        <v>8000000</v>
      </c>
      <c r="H29" s="53" t="s">
        <v>62</v>
      </c>
    </row>
    <row r="30" spans="1:8" ht="21.25" customHeight="1" x14ac:dyDescent="0.15">
      <c r="A30" s="8" t="s">
        <v>163</v>
      </c>
      <c r="B30" s="149">
        <v>33</v>
      </c>
      <c r="C30" s="149"/>
      <c r="D30" s="149">
        <v>43.43</v>
      </c>
      <c r="E30" s="149">
        <f t="shared" si="0"/>
        <v>38.215000000000003</v>
      </c>
      <c r="F30" s="149"/>
      <c r="G30" s="151">
        <v>5125000</v>
      </c>
      <c r="H30" s="53" t="s">
        <v>834</v>
      </c>
    </row>
    <row r="31" spans="1:8" ht="21.25" customHeight="1" x14ac:dyDescent="0.15">
      <c r="A31" s="8" t="s">
        <v>252</v>
      </c>
      <c r="B31" s="149">
        <v>163.6</v>
      </c>
      <c r="C31" s="149"/>
      <c r="D31" s="149">
        <v>161.27000000000001</v>
      </c>
      <c r="E31" s="149">
        <f t="shared" si="0"/>
        <v>162.435</v>
      </c>
      <c r="F31" s="149"/>
      <c r="G31" s="151">
        <v>8125000</v>
      </c>
      <c r="H31" s="53" t="s">
        <v>834</v>
      </c>
    </row>
    <row r="32" spans="1:8" ht="21.25" customHeight="1" x14ac:dyDescent="0.15">
      <c r="A32" s="8" t="s">
        <v>181</v>
      </c>
      <c r="B32" s="149">
        <v>25.8</v>
      </c>
      <c r="C32" s="149"/>
      <c r="D32" s="149">
        <v>39.11</v>
      </c>
      <c r="E32" s="149">
        <f t="shared" si="0"/>
        <v>32.454999999999998</v>
      </c>
      <c r="F32" s="149"/>
      <c r="G32" s="151">
        <v>8000000</v>
      </c>
      <c r="H32" s="53" t="s">
        <v>834</v>
      </c>
    </row>
    <row r="33" spans="1:8" ht="21.25" customHeight="1" x14ac:dyDescent="0.15">
      <c r="A33" s="8" t="s">
        <v>209</v>
      </c>
      <c r="B33" s="149">
        <v>42</v>
      </c>
      <c r="C33" s="149"/>
      <c r="D33" s="149">
        <v>50.17</v>
      </c>
      <c r="E33" s="149">
        <f t="shared" si="0"/>
        <v>46.085000000000001</v>
      </c>
      <c r="F33" s="149"/>
      <c r="G33" s="151"/>
      <c r="H33" s="53" t="s">
        <v>62</v>
      </c>
    </row>
    <row r="34" spans="1:8" ht="21.25" customHeight="1" x14ac:dyDescent="0.15">
      <c r="A34" s="8" t="s">
        <v>145</v>
      </c>
      <c r="B34" s="149">
        <v>54</v>
      </c>
      <c r="C34" s="149"/>
      <c r="D34" s="149">
        <v>38.200000000000003</v>
      </c>
      <c r="E34" s="149">
        <f t="shared" si="0"/>
        <v>46.1</v>
      </c>
      <c r="F34" s="149"/>
      <c r="G34" s="151">
        <v>6000000</v>
      </c>
      <c r="H34" s="53" t="s">
        <v>834</v>
      </c>
    </row>
    <row r="35" spans="1:8" ht="21.25" customHeight="1" x14ac:dyDescent="0.15">
      <c r="A35" s="8" t="s">
        <v>179</v>
      </c>
      <c r="B35" s="149">
        <v>129.5</v>
      </c>
      <c r="C35" s="149"/>
      <c r="D35" s="149">
        <v>62.27</v>
      </c>
      <c r="E35" s="149">
        <f t="shared" si="0"/>
        <v>95.885000000000005</v>
      </c>
      <c r="F35" s="149"/>
      <c r="G35" s="151">
        <v>8125000</v>
      </c>
      <c r="H35" s="53" t="s">
        <v>62</v>
      </c>
    </row>
    <row r="36" spans="1:8" ht="21.25" customHeight="1" x14ac:dyDescent="0.15">
      <c r="A36" s="8" t="s">
        <v>132</v>
      </c>
      <c r="B36" s="149">
        <v>18.399999999999999</v>
      </c>
      <c r="C36" s="149"/>
      <c r="D36" s="149">
        <v>17.68</v>
      </c>
      <c r="E36" s="149">
        <f t="shared" si="0"/>
        <v>18.04</v>
      </c>
      <c r="F36" s="149"/>
      <c r="G36" s="151">
        <v>9500000</v>
      </c>
      <c r="H36" s="53" t="s">
        <v>834</v>
      </c>
    </row>
    <row r="37" spans="1:8" ht="21.25" customHeight="1" x14ac:dyDescent="0.15">
      <c r="A37" s="8" t="s">
        <v>156</v>
      </c>
      <c r="B37" s="149">
        <v>76.400000000000006</v>
      </c>
      <c r="C37" s="149"/>
      <c r="D37" s="149">
        <v>47.7</v>
      </c>
      <c r="E37" s="149">
        <f t="shared" si="0"/>
        <v>62.050000000000004</v>
      </c>
      <c r="F37" s="149"/>
      <c r="G37" s="151">
        <v>7875000</v>
      </c>
      <c r="H37" s="53" t="s">
        <v>834</v>
      </c>
    </row>
    <row r="38" spans="1:8" ht="21.25" customHeight="1" x14ac:dyDescent="0.15">
      <c r="A38" s="8" t="s">
        <v>172</v>
      </c>
      <c r="B38" s="149">
        <v>43.8</v>
      </c>
      <c r="C38" s="149"/>
      <c r="D38" s="149">
        <v>49.32</v>
      </c>
      <c r="E38" s="149">
        <f t="shared" si="0"/>
        <v>46.56</v>
      </c>
      <c r="F38" s="149"/>
      <c r="G38" s="151">
        <v>9606600</v>
      </c>
      <c r="H38" s="53" t="s">
        <v>834</v>
      </c>
    </row>
    <row r="39" spans="1:8" ht="21.25" customHeight="1" x14ac:dyDescent="0.15">
      <c r="A39" s="8" t="s">
        <v>162</v>
      </c>
      <c r="B39" s="149">
        <v>69.099999999999994</v>
      </c>
      <c r="C39" s="149"/>
      <c r="D39" s="149">
        <v>45.3</v>
      </c>
      <c r="E39" s="149">
        <f t="shared" si="0"/>
        <v>57.199999999999996</v>
      </c>
      <c r="F39" s="149"/>
      <c r="G39" s="151">
        <v>7250000</v>
      </c>
      <c r="H39" s="53" t="s">
        <v>60</v>
      </c>
    </row>
    <row r="40" spans="1:8" ht="21.25" customHeight="1" x14ac:dyDescent="0.15">
      <c r="A40" s="8" t="s">
        <v>154</v>
      </c>
      <c r="B40" s="149">
        <v>50.8</v>
      </c>
      <c r="C40" s="149"/>
      <c r="D40" s="149">
        <v>47.37</v>
      </c>
      <c r="E40" s="149">
        <f t="shared" si="0"/>
        <v>49.084999999999994</v>
      </c>
      <c r="F40" s="149"/>
      <c r="G40" s="151">
        <v>4750000</v>
      </c>
      <c r="H40" s="53" t="s">
        <v>834</v>
      </c>
    </row>
    <row r="41" spans="1:8" ht="21.25" customHeight="1" x14ac:dyDescent="0.15">
      <c r="A41" s="8" t="s">
        <v>178</v>
      </c>
      <c r="B41" s="149">
        <v>161.4</v>
      </c>
      <c r="C41" s="149"/>
      <c r="D41" s="149">
        <v>69.319999999999993</v>
      </c>
      <c r="E41" s="149">
        <f t="shared" si="0"/>
        <v>115.36</v>
      </c>
      <c r="F41" s="149"/>
      <c r="G41" s="151">
        <v>8700000</v>
      </c>
      <c r="H41" s="53" t="s">
        <v>834</v>
      </c>
    </row>
    <row r="42" spans="1:8" ht="21.25" customHeight="1" x14ac:dyDescent="0.15">
      <c r="A42" s="8" t="s">
        <v>190</v>
      </c>
      <c r="B42" s="149">
        <v>123.7</v>
      </c>
      <c r="C42" s="149"/>
      <c r="D42" s="149">
        <v>79.75</v>
      </c>
      <c r="E42" s="149">
        <f t="shared" si="0"/>
        <v>101.72499999999999</v>
      </c>
      <c r="F42" s="149"/>
      <c r="G42" s="151">
        <v>10500000</v>
      </c>
      <c r="H42" s="53" t="s">
        <v>834</v>
      </c>
    </row>
    <row r="43" spans="1:8" ht="21.25" customHeight="1" x14ac:dyDescent="0.15">
      <c r="A43" s="8" t="s">
        <v>126</v>
      </c>
      <c r="B43" s="149">
        <v>41.1</v>
      </c>
      <c r="C43" s="149"/>
      <c r="D43" s="149">
        <v>34.07</v>
      </c>
      <c r="E43" s="149">
        <f t="shared" si="0"/>
        <v>37.585000000000001</v>
      </c>
      <c r="F43" s="149"/>
      <c r="G43" s="151">
        <v>10000000</v>
      </c>
      <c r="H43" s="53" t="s">
        <v>59</v>
      </c>
    </row>
    <row r="44" spans="1:8" ht="21.25" customHeight="1" x14ac:dyDescent="0.15">
      <c r="A44" s="8" t="s">
        <v>259</v>
      </c>
      <c r="B44" s="149">
        <v>154.30000000000001</v>
      </c>
      <c r="C44" s="149"/>
      <c r="D44" s="149">
        <v>133.25</v>
      </c>
      <c r="E44" s="149">
        <f t="shared" si="0"/>
        <v>143.77500000000001</v>
      </c>
      <c r="F44" s="149"/>
      <c r="G44" s="151">
        <v>5850000</v>
      </c>
      <c r="H44" s="53" t="s">
        <v>834</v>
      </c>
    </row>
    <row r="45" spans="1:8" ht="21.25" customHeight="1" x14ac:dyDescent="0.15">
      <c r="A45" s="8" t="s">
        <v>171</v>
      </c>
      <c r="B45" s="149">
        <v>35.799999999999997</v>
      </c>
      <c r="C45" s="149"/>
      <c r="D45" s="149">
        <v>58.89</v>
      </c>
      <c r="E45" s="149">
        <f t="shared" si="0"/>
        <v>47.344999999999999</v>
      </c>
      <c r="F45" s="149"/>
      <c r="G45" s="151">
        <v>6125000</v>
      </c>
      <c r="H45" s="53" t="s">
        <v>834</v>
      </c>
    </row>
    <row r="46" spans="1:8" ht="21.25" customHeight="1" x14ac:dyDescent="0.15">
      <c r="A46" s="8" t="s">
        <v>195</v>
      </c>
      <c r="B46" s="149">
        <v>61.5</v>
      </c>
      <c r="C46" s="149"/>
      <c r="D46" s="149">
        <v>29.21</v>
      </c>
      <c r="E46" s="149">
        <f t="shared" si="0"/>
        <v>45.355000000000004</v>
      </c>
      <c r="F46" s="149"/>
      <c r="G46" s="151">
        <v>10000000</v>
      </c>
      <c r="H46" s="53" t="s">
        <v>60</v>
      </c>
    </row>
    <row r="47" spans="1:8" ht="21.25" customHeight="1" x14ac:dyDescent="0.15">
      <c r="A47" s="8" t="s">
        <v>173</v>
      </c>
      <c r="B47" s="149">
        <v>131.5</v>
      </c>
      <c r="C47" s="149"/>
      <c r="D47" s="149">
        <v>117.35</v>
      </c>
      <c r="E47" s="149">
        <f t="shared" si="0"/>
        <v>124.425</v>
      </c>
      <c r="F47" s="149"/>
      <c r="G47" s="151">
        <v>7000000</v>
      </c>
      <c r="H47" s="53" t="s">
        <v>834</v>
      </c>
    </row>
    <row r="48" spans="1:8" ht="21.25" customHeight="1" x14ac:dyDescent="0.15">
      <c r="A48" s="8" t="s">
        <v>158</v>
      </c>
      <c r="B48" s="149">
        <v>41.4</v>
      </c>
      <c r="C48" s="149"/>
      <c r="D48" s="149">
        <v>45.18</v>
      </c>
      <c r="E48" s="149">
        <f t="shared" si="0"/>
        <v>43.29</v>
      </c>
      <c r="F48" s="149"/>
      <c r="G48" s="151">
        <v>5500000</v>
      </c>
      <c r="H48" s="53" t="s">
        <v>834</v>
      </c>
    </row>
    <row r="49" spans="1:8" ht="21.25" customHeight="1" x14ac:dyDescent="0.15">
      <c r="A49" s="8" t="s">
        <v>119</v>
      </c>
      <c r="B49" s="149">
        <v>46.7</v>
      </c>
      <c r="C49" s="149"/>
      <c r="D49" s="149">
        <v>20.84</v>
      </c>
      <c r="E49" s="149">
        <f t="shared" si="0"/>
        <v>33.770000000000003</v>
      </c>
      <c r="F49" s="149"/>
      <c r="G49" s="151">
        <v>9059000</v>
      </c>
      <c r="H49" s="53" t="s">
        <v>834</v>
      </c>
    </row>
    <row r="50" spans="1:8" ht="21.25" customHeight="1" x14ac:dyDescent="0.15">
      <c r="A50" s="8" t="s">
        <v>138</v>
      </c>
      <c r="B50" s="149">
        <v>60.6</v>
      </c>
      <c r="C50" s="149"/>
      <c r="D50" s="149">
        <v>68.05</v>
      </c>
      <c r="E50" s="149">
        <f t="shared" si="0"/>
        <v>64.325000000000003</v>
      </c>
      <c r="F50" s="149"/>
      <c r="G50" s="151">
        <v>7850000</v>
      </c>
      <c r="H50" s="53" t="s">
        <v>834</v>
      </c>
    </row>
    <row r="51" spans="1:8" ht="21.25" customHeight="1" x14ac:dyDescent="0.15">
      <c r="A51" s="8" t="s">
        <v>176</v>
      </c>
      <c r="B51" s="149">
        <v>88.6</v>
      </c>
      <c r="C51" s="149"/>
      <c r="D51" s="149">
        <v>76.760000000000005</v>
      </c>
      <c r="E51" s="149">
        <f t="shared" si="0"/>
        <v>82.68</v>
      </c>
      <c r="F51" s="149"/>
      <c r="G51" s="151">
        <v>7850000</v>
      </c>
      <c r="H51" s="53" t="s">
        <v>834</v>
      </c>
    </row>
    <row r="52" spans="1:8" ht="21.25" customHeight="1" x14ac:dyDescent="0.15">
      <c r="A52" s="8" t="s">
        <v>160</v>
      </c>
      <c r="B52" s="149">
        <v>38.200000000000003</v>
      </c>
      <c r="C52" s="149"/>
      <c r="D52" s="149">
        <v>37.36</v>
      </c>
      <c r="E52" s="149">
        <f t="shared" si="0"/>
        <v>37.78</v>
      </c>
      <c r="F52" s="149"/>
      <c r="G52" s="151">
        <v>11000000</v>
      </c>
      <c r="H52" s="53" t="s">
        <v>834</v>
      </c>
    </row>
    <row r="53" spans="1:8" ht="21.25" customHeight="1" x14ac:dyDescent="0.15">
      <c r="A53" s="8" t="s">
        <v>146</v>
      </c>
      <c r="B53" s="149">
        <v>59.4</v>
      </c>
      <c r="C53" s="149"/>
      <c r="D53" s="149">
        <v>82.92</v>
      </c>
      <c r="E53" s="149">
        <f t="shared" si="0"/>
        <v>71.16</v>
      </c>
      <c r="F53" s="149"/>
      <c r="G53" s="151">
        <v>7000000</v>
      </c>
      <c r="H53" s="53" t="s">
        <v>60</v>
      </c>
    </row>
    <row r="54" spans="1:8" ht="21.25" customHeight="1" x14ac:dyDescent="0.15">
      <c r="A54" s="8" t="s">
        <v>164</v>
      </c>
      <c r="B54" s="149">
        <v>70.599999999999994</v>
      </c>
      <c r="C54" s="149"/>
      <c r="D54" s="149">
        <v>59.12</v>
      </c>
      <c r="E54" s="149">
        <f t="shared" si="0"/>
        <v>64.86</v>
      </c>
      <c r="F54" s="149"/>
      <c r="G54" s="151">
        <v>8700000</v>
      </c>
      <c r="H54" s="53" t="s">
        <v>59</v>
      </c>
    </row>
    <row r="55" spans="1:8" ht="21.25" customHeight="1" x14ac:dyDescent="0.15">
      <c r="A55" s="8" t="s">
        <v>200</v>
      </c>
      <c r="B55" s="149">
        <v>145.69999999999999</v>
      </c>
      <c r="C55" s="149"/>
      <c r="D55" s="149">
        <v>95.68</v>
      </c>
      <c r="E55" s="149">
        <f t="shared" si="0"/>
        <v>120.69</v>
      </c>
      <c r="F55" s="149"/>
      <c r="G55" s="151">
        <v>6125000</v>
      </c>
      <c r="H55" s="53" t="s">
        <v>60</v>
      </c>
    </row>
    <row r="56" spans="1:8" ht="21.25" customHeight="1" x14ac:dyDescent="0.15">
      <c r="A56" s="8" t="s">
        <v>165</v>
      </c>
      <c r="B56" s="149">
        <v>93.6</v>
      </c>
      <c r="C56" s="149"/>
      <c r="D56" s="149">
        <v>61.81</v>
      </c>
      <c r="E56" s="149">
        <f t="shared" si="0"/>
        <v>77.704999999999998</v>
      </c>
      <c r="F56" s="149"/>
      <c r="G56" s="151">
        <v>5500000</v>
      </c>
      <c r="H56" s="53" t="s">
        <v>834</v>
      </c>
    </row>
    <row r="57" spans="1:8" ht="21.25" customHeight="1" x14ac:dyDescent="0.15">
      <c r="A57" s="8" t="s">
        <v>144</v>
      </c>
      <c r="B57" s="149">
        <v>12.4</v>
      </c>
      <c r="C57" s="149"/>
      <c r="D57" s="149">
        <v>12.41</v>
      </c>
      <c r="E57" s="149">
        <f t="shared" si="0"/>
        <v>12.405000000000001</v>
      </c>
      <c r="F57" s="149"/>
      <c r="G57" s="151">
        <v>8205714</v>
      </c>
      <c r="H57" s="53" t="s">
        <v>834</v>
      </c>
    </row>
    <row r="58" spans="1:8" ht="21.25" customHeight="1" x14ac:dyDescent="0.15">
      <c r="A58" s="8" t="s">
        <v>232</v>
      </c>
      <c r="B58" s="149">
        <v>64.7</v>
      </c>
      <c r="C58" s="149"/>
      <c r="D58" s="149">
        <v>111</v>
      </c>
      <c r="E58" s="149">
        <f t="shared" si="0"/>
        <v>87.85</v>
      </c>
      <c r="F58" s="149"/>
      <c r="G58" s="151">
        <v>9500000</v>
      </c>
      <c r="H58" s="53" t="s">
        <v>834</v>
      </c>
    </row>
    <row r="59" spans="1:8" ht="21.25" customHeight="1" x14ac:dyDescent="0.15">
      <c r="A59" s="8" t="s">
        <v>182</v>
      </c>
      <c r="B59" s="149">
        <v>135.6</v>
      </c>
      <c r="C59" s="149"/>
      <c r="D59" s="149">
        <v>64.88</v>
      </c>
      <c r="E59" s="149">
        <f t="shared" si="0"/>
        <v>100.24</v>
      </c>
      <c r="F59" s="149"/>
      <c r="G59" s="151">
        <v>8500000</v>
      </c>
      <c r="H59" s="53" t="s">
        <v>60</v>
      </c>
    </row>
    <row r="60" spans="1:8" ht="21.25" customHeight="1" x14ac:dyDescent="0.15">
      <c r="A60" s="8" t="s">
        <v>153</v>
      </c>
      <c r="B60" s="149">
        <v>68</v>
      </c>
      <c r="C60" s="149"/>
      <c r="D60" s="149">
        <v>51.24</v>
      </c>
      <c r="E60" s="149">
        <f t="shared" si="0"/>
        <v>59.620000000000005</v>
      </c>
      <c r="F60" s="149"/>
      <c r="G60" s="151">
        <v>7750000</v>
      </c>
      <c r="H60" s="53" t="s">
        <v>60</v>
      </c>
    </row>
    <row r="61" spans="1:8" ht="21.25" customHeight="1" x14ac:dyDescent="0.15">
      <c r="A61" s="8" t="s">
        <v>130</v>
      </c>
      <c r="B61" s="149">
        <v>34.299999999999997</v>
      </c>
      <c r="C61" s="149"/>
      <c r="D61" s="149">
        <v>41.61</v>
      </c>
      <c r="E61" s="149">
        <f t="shared" si="0"/>
        <v>37.954999999999998</v>
      </c>
      <c r="F61" s="149"/>
      <c r="G61" s="151">
        <v>9500000</v>
      </c>
      <c r="H61" s="53" t="s">
        <v>834</v>
      </c>
    </row>
    <row r="62" spans="1:8" ht="21.25" customHeight="1" x14ac:dyDescent="0.15">
      <c r="A62" s="8" t="s">
        <v>210</v>
      </c>
      <c r="B62" s="149">
        <v>107.4</v>
      </c>
      <c r="C62" s="149"/>
      <c r="D62" s="149">
        <v>70.81</v>
      </c>
      <c r="E62" s="149">
        <f t="shared" si="0"/>
        <v>89.105000000000004</v>
      </c>
      <c r="F62" s="149"/>
      <c r="G62" s="151">
        <v>6100000</v>
      </c>
      <c r="H62" s="53" t="s">
        <v>60</v>
      </c>
    </row>
    <row r="63" spans="1:8" ht="21.25" customHeight="1" x14ac:dyDescent="0.15">
      <c r="A63" s="8" t="s">
        <v>206</v>
      </c>
      <c r="B63" s="149">
        <v>75.400000000000006</v>
      </c>
      <c r="C63" s="149"/>
      <c r="D63" s="149">
        <v>60.18</v>
      </c>
      <c r="E63" s="149">
        <f t="shared" si="0"/>
        <v>67.790000000000006</v>
      </c>
      <c r="F63" s="149"/>
      <c r="G63" s="151">
        <v>4166700</v>
      </c>
      <c r="H63" s="53" t="s">
        <v>834</v>
      </c>
    </row>
    <row r="64" spans="1:8" ht="21.25" customHeight="1" x14ac:dyDescent="0.15">
      <c r="A64" s="8" t="s">
        <v>205</v>
      </c>
      <c r="B64" s="149">
        <v>152.9</v>
      </c>
      <c r="C64" s="149"/>
      <c r="D64" s="149">
        <v>111.33</v>
      </c>
      <c r="E64" s="149">
        <f t="shared" si="0"/>
        <v>132.11500000000001</v>
      </c>
      <c r="F64" s="149"/>
      <c r="G64" s="151"/>
      <c r="H64" s="53" t="s">
        <v>60</v>
      </c>
    </row>
    <row r="65" spans="1:8" ht="21.25" customHeight="1" x14ac:dyDescent="0.15">
      <c r="A65" s="8" t="s">
        <v>225</v>
      </c>
      <c r="B65" s="149">
        <v>165.9</v>
      </c>
      <c r="C65" s="149"/>
      <c r="D65" s="149">
        <v>141.65</v>
      </c>
      <c r="E65" s="149">
        <f t="shared" si="0"/>
        <v>153.77500000000001</v>
      </c>
      <c r="F65" s="149"/>
      <c r="G65" s="151">
        <v>9150000</v>
      </c>
      <c r="H65" s="53" t="s">
        <v>60</v>
      </c>
    </row>
    <row r="66" spans="1:8" ht="21.25" customHeight="1" x14ac:dyDescent="0.15">
      <c r="A66" s="8" t="s">
        <v>183</v>
      </c>
      <c r="B66" s="149">
        <v>93.8</v>
      </c>
      <c r="C66" s="149"/>
      <c r="D66" s="149">
        <v>119.24</v>
      </c>
      <c r="E66" s="149">
        <f t="shared" ref="E66:E129" si="1">IFERROR(AVERAGE(B66:D66),"—")</f>
        <v>106.52</v>
      </c>
      <c r="F66" s="149"/>
      <c r="G66" s="151">
        <v>6000000</v>
      </c>
      <c r="H66" s="53" t="s">
        <v>62</v>
      </c>
    </row>
    <row r="67" spans="1:8" ht="21.25" customHeight="1" x14ac:dyDescent="0.15">
      <c r="A67" s="8" t="s">
        <v>136</v>
      </c>
      <c r="B67" s="149">
        <v>36.799999999999997</v>
      </c>
      <c r="C67" s="149"/>
      <c r="D67" s="149">
        <v>21.78</v>
      </c>
      <c r="E67" s="149">
        <f t="shared" si="1"/>
        <v>29.29</v>
      </c>
      <c r="F67" s="149"/>
      <c r="G67" s="151">
        <v>8800000</v>
      </c>
      <c r="H67" s="53" t="s">
        <v>834</v>
      </c>
    </row>
    <row r="68" spans="1:8" ht="21.25" customHeight="1" x14ac:dyDescent="0.15">
      <c r="A68" s="8" t="s">
        <v>214</v>
      </c>
      <c r="B68" s="149">
        <v>150.30000000000001</v>
      </c>
      <c r="C68" s="149"/>
      <c r="D68" s="149">
        <v>88.6</v>
      </c>
      <c r="E68" s="149">
        <f t="shared" si="1"/>
        <v>119.45</v>
      </c>
      <c r="F68" s="149"/>
      <c r="G68" s="151">
        <v>6500000</v>
      </c>
      <c r="H68" s="53" t="s">
        <v>62</v>
      </c>
    </row>
    <row r="69" spans="1:8" ht="21.25" customHeight="1" x14ac:dyDescent="0.15">
      <c r="A69" s="8" t="s">
        <v>215</v>
      </c>
      <c r="B69" s="149">
        <v>159.4</v>
      </c>
      <c r="C69" s="149"/>
      <c r="D69" s="149">
        <v>85.81</v>
      </c>
      <c r="E69" s="149">
        <f t="shared" si="1"/>
        <v>122.605</v>
      </c>
      <c r="F69" s="149"/>
      <c r="G69" s="151">
        <v>6000000</v>
      </c>
      <c r="H69" s="53" t="s">
        <v>834</v>
      </c>
    </row>
    <row r="70" spans="1:8" ht="21.25" customHeight="1" x14ac:dyDescent="0.15">
      <c r="A70" s="8" t="s">
        <v>249</v>
      </c>
      <c r="B70" s="149">
        <v>109.4</v>
      </c>
      <c r="C70" s="149"/>
      <c r="D70" s="149">
        <v>111</v>
      </c>
      <c r="E70" s="149">
        <f t="shared" si="1"/>
        <v>110.2</v>
      </c>
      <c r="F70" s="149"/>
      <c r="G70" s="151">
        <v>5500000</v>
      </c>
      <c r="H70" s="53" t="s">
        <v>62</v>
      </c>
    </row>
    <row r="71" spans="1:8" ht="21.25" customHeight="1" x14ac:dyDescent="0.15">
      <c r="A71" s="8" t="s">
        <v>180</v>
      </c>
      <c r="B71" s="149">
        <v>135.80000000000001</v>
      </c>
      <c r="C71" s="149"/>
      <c r="D71" s="149">
        <v>90.47</v>
      </c>
      <c r="E71" s="149">
        <f t="shared" si="1"/>
        <v>113.13500000000001</v>
      </c>
      <c r="F71" s="149"/>
      <c r="G71" s="151">
        <v>6125000</v>
      </c>
      <c r="H71" s="53" t="s">
        <v>834</v>
      </c>
    </row>
    <row r="72" spans="1:8" ht="21.25" customHeight="1" x14ac:dyDescent="0.15">
      <c r="A72" s="8" t="s">
        <v>175</v>
      </c>
      <c r="B72" s="149">
        <v>56.1</v>
      </c>
      <c r="C72" s="149"/>
      <c r="D72" s="149">
        <v>79.48</v>
      </c>
      <c r="E72" s="149">
        <f t="shared" si="1"/>
        <v>67.790000000000006</v>
      </c>
      <c r="F72" s="149"/>
      <c r="G72" s="151">
        <v>9000000</v>
      </c>
      <c r="H72" s="53" t="s">
        <v>834</v>
      </c>
    </row>
    <row r="73" spans="1:8" ht="21.25" customHeight="1" x14ac:dyDescent="0.15">
      <c r="A73" s="8" t="s">
        <v>218</v>
      </c>
      <c r="B73" s="149">
        <v>143</v>
      </c>
      <c r="C73" s="149"/>
      <c r="D73" s="149">
        <v>108.84</v>
      </c>
      <c r="E73" s="149">
        <f t="shared" si="1"/>
        <v>125.92</v>
      </c>
      <c r="F73" s="149"/>
      <c r="G73" s="151">
        <v>4850000</v>
      </c>
      <c r="H73" s="53" t="s">
        <v>834</v>
      </c>
    </row>
    <row r="74" spans="1:8" ht="21.25" customHeight="1" x14ac:dyDescent="0.15">
      <c r="A74" s="8" t="s">
        <v>239</v>
      </c>
      <c r="B74" s="149">
        <v>148.9</v>
      </c>
      <c r="C74" s="149"/>
      <c r="D74" s="149">
        <v>152.4</v>
      </c>
      <c r="E74" s="149">
        <f t="shared" si="1"/>
        <v>150.65</v>
      </c>
      <c r="F74" s="149"/>
      <c r="G74" s="151">
        <v>897500</v>
      </c>
      <c r="H74" s="53" t="s">
        <v>60</v>
      </c>
    </row>
    <row r="75" spans="1:8" ht="21.25" customHeight="1" x14ac:dyDescent="0.15">
      <c r="A75" s="8" t="s">
        <v>229</v>
      </c>
      <c r="B75" s="149">
        <v>147.9</v>
      </c>
      <c r="C75" s="149"/>
      <c r="D75" s="149">
        <v>131.49</v>
      </c>
      <c r="E75" s="149">
        <f t="shared" si="1"/>
        <v>139.69499999999999</v>
      </c>
      <c r="F75" s="149"/>
      <c r="G75" s="151">
        <v>6000000</v>
      </c>
      <c r="H75" s="53" t="s">
        <v>834</v>
      </c>
    </row>
    <row r="76" spans="1:8" ht="21.25" customHeight="1" x14ac:dyDescent="0.15">
      <c r="A76" s="8" t="s">
        <v>256</v>
      </c>
      <c r="B76" s="149">
        <v>156.6</v>
      </c>
      <c r="C76" s="149"/>
      <c r="D76" s="149">
        <v>160.38999999999999</v>
      </c>
      <c r="E76" s="149">
        <f t="shared" si="1"/>
        <v>158.495</v>
      </c>
      <c r="F76" s="149"/>
      <c r="G76" s="151">
        <v>8137500</v>
      </c>
      <c r="H76" s="53" t="s">
        <v>62</v>
      </c>
    </row>
    <row r="77" spans="1:8" ht="21.25" customHeight="1" x14ac:dyDescent="0.15">
      <c r="A77" s="8" t="s">
        <v>241</v>
      </c>
      <c r="B77" s="149">
        <v>154</v>
      </c>
      <c r="C77" s="149"/>
      <c r="D77" s="149">
        <v>136.04</v>
      </c>
      <c r="E77" s="149">
        <f t="shared" si="1"/>
        <v>145.01999999999998</v>
      </c>
      <c r="F77" s="149"/>
      <c r="G77" s="151">
        <v>7875000</v>
      </c>
      <c r="H77" s="53" t="s">
        <v>834</v>
      </c>
    </row>
    <row r="78" spans="1:8" ht="21.25" customHeight="1" x14ac:dyDescent="0.15">
      <c r="A78" s="8" t="s">
        <v>192</v>
      </c>
      <c r="B78" s="149">
        <v>140.80000000000001</v>
      </c>
      <c r="C78" s="149"/>
      <c r="D78" s="149">
        <v>108.2</v>
      </c>
      <c r="E78" s="149">
        <f t="shared" si="1"/>
        <v>124.5</v>
      </c>
      <c r="F78" s="149"/>
      <c r="G78" s="151">
        <v>8500000</v>
      </c>
      <c r="H78" s="53" t="s">
        <v>60</v>
      </c>
    </row>
    <row r="79" spans="1:8" ht="21.25" customHeight="1" x14ac:dyDescent="0.15">
      <c r="A79" s="8" t="s">
        <v>226</v>
      </c>
      <c r="B79" s="149">
        <v>102</v>
      </c>
      <c r="C79" s="149"/>
      <c r="D79" s="149">
        <v>84.37</v>
      </c>
      <c r="E79" s="149">
        <f t="shared" si="1"/>
        <v>93.185000000000002</v>
      </c>
      <c r="F79" s="149"/>
      <c r="G79" s="151">
        <v>3500000</v>
      </c>
      <c r="H79" s="53" t="s">
        <v>834</v>
      </c>
    </row>
    <row r="80" spans="1:8" ht="21.25" customHeight="1" x14ac:dyDescent="0.15">
      <c r="A80" s="8" t="s">
        <v>177</v>
      </c>
      <c r="B80" s="149">
        <v>141</v>
      </c>
      <c r="C80" s="149"/>
      <c r="D80" s="149">
        <v>118.7</v>
      </c>
      <c r="E80" s="149">
        <f t="shared" si="1"/>
        <v>129.85</v>
      </c>
      <c r="F80" s="149"/>
      <c r="G80" s="151">
        <v>7100000</v>
      </c>
      <c r="H80" s="53" t="s">
        <v>59</v>
      </c>
    </row>
    <row r="81" spans="1:8" ht="21.25" customHeight="1" x14ac:dyDescent="0.15">
      <c r="A81" s="8" t="s">
        <v>161</v>
      </c>
      <c r="B81" s="149">
        <v>57.5</v>
      </c>
      <c r="C81" s="149"/>
      <c r="D81" s="149">
        <v>44.14</v>
      </c>
      <c r="E81" s="149">
        <f t="shared" si="1"/>
        <v>50.82</v>
      </c>
      <c r="F81" s="149"/>
      <c r="G81" s="151">
        <v>7875000</v>
      </c>
      <c r="H81" s="53" t="s">
        <v>834</v>
      </c>
    </row>
    <row r="82" spans="1:8" ht="21.25" customHeight="1" x14ac:dyDescent="0.15">
      <c r="A82" s="8" t="s">
        <v>228</v>
      </c>
      <c r="B82" s="149">
        <v>146.19999999999999</v>
      </c>
      <c r="C82" s="149"/>
      <c r="D82" s="149">
        <v>91.31</v>
      </c>
      <c r="E82" s="149">
        <f t="shared" si="1"/>
        <v>118.755</v>
      </c>
      <c r="F82" s="149"/>
      <c r="G82" s="151">
        <v>3000000</v>
      </c>
      <c r="H82" s="53" t="s">
        <v>834</v>
      </c>
    </row>
    <row r="83" spans="1:8" ht="21.25" customHeight="1" x14ac:dyDescent="0.15">
      <c r="A83" s="8" t="s">
        <v>216</v>
      </c>
      <c r="B83" s="149">
        <v>87.4</v>
      </c>
      <c r="C83" s="149"/>
      <c r="D83" s="149">
        <v>107.61</v>
      </c>
      <c r="E83" s="149">
        <f t="shared" si="1"/>
        <v>97.504999999999995</v>
      </c>
      <c r="F83" s="149"/>
      <c r="G83" s="151">
        <v>5000000</v>
      </c>
      <c r="H83" s="53" t="s">
        <v>834</v>
      </c>
    </row>
    <row r="84" spans="1:8" ht="21.25" customHeight="1" x14ac:dyDescent="0.15">
      <c r="A84" s="8" t="s">
        <v>127</v>
      </c>
      <c r="B84" s="149">
        <v>42.3</v>
      </c>
      <c r="C84" s="149"/>
      <c r="D84" s="149">
        <v>29.68</v>
      </c>
      <c r="E84" s="149">
        <f t="shared" si="1"/>
        <v>35.989999999999995</v>
      </c>
      <c r="F84" s="149"/>
      <c r="G84" s="151">
        <v>6000000</v>
      </c>
      <c r="H84" s="53" t="s">
        <v>60</v>
      </c>
    </row>
    <row r="85" spans="1:8" ht="21.25" customHeight="1" x14ac:dyDescent="0.15">
      <c r="A85" s="8" t="s">
        <v>208</v>
      </c>
      <c r="B85" s="149">
        <v>100.2</v>
      </c>
      <c r="C85" s="149"/>
      <c r="D85" s="149">
        <v>102.1</v>
      </c>
      <c r="E85" s="149">
        <f t="shared" si="1"/>
        <v>101.15</v>
      </c>
      <c r="F85" s="149"/>
      <c r="G85" s="151">
        <v>8500000</v>
      </c>
      <c r="H85" s="53" t="s">
        <v>834</v>
      </c>
    </row>
    <row r="86" spans="1:8" ht="21.25" customHeight="1" x14ac:dyDescent="0.15">
      <c r="A86" s="8" t="s">
        <v>219</v>
      </c>
      <c r="B86" s="149">
        <v>140.9</v>
      </c>
      <c r="C86" s="149"/>
      <c r="D86" s="149">
        <v>147.96</v>
      </c>
      <c r="E86" s="149">
        <f t="shared" si="1"/>
        <v>144.43</v>
      </c>
      <c r="F86" s="149"/>
      <c r="G86" s="151">
        <v>1500000</v>
      </c>
      <c r="H86" s="53" t="s">
        <v>834</v>
      </c>
    </row>
    <row r="87" spans="1:8" ht="21.25" customHeight="1" x14ac:dyDescent="0.15">
      <c r="A87" s="8" t="s">
        <v>268</v>
      </c>
      <c r="B87" s="149">
        <v>155.5</v>
      </c>
      <c r="C87" s="149"/>
      <c r="D87" s="149">
        <v>174.92</v>
      </c>
      <c r="E87" s="149">
        <f t="shared" si="1"/>
        <v>165.20999999999998</v>
      </c>
      <c r="F87" s="149"/>
      <c r="G87" s="151">
        <v>4750000</v>
      </c>
      <c r="H87" s="53" t="s">
        <v>834</v>
      </c>
    </row>
    <row r="88" spans="1:8" ht="21.25" customHeight="1" x14ac:dyDescent="0.15">
      <c r="A88" s="8" t="s">
        <v>187</v>
      </c>
      <c r="B88" s="149">
        <v>142</v>
      </c>
      <c r="C88" s="149"/>
      <c r="D88" s="149">
        <v>72.33</v>
      </c>
      <c r="E88" s="149">
        <f t="shared" si="1"/>
        <v>107.16499999999999</v>
      </c>
      <c r="F88" s="149"/>
      <c r="G88" s="151">
        <v>7850000</v>
      </c>
      <c r="H88" s="53" t="s">
        <v>60</v>
      </c>
    </row>
    <row r="89" spans="1:8" ht="21.25" customHeight="1" x14ac:dyDescent="0.15">
      <c r="A89" s="8" t="s">
        <v>191</v>
      </c>
      <c r="B89" s="149">
        <v>84.1</v>
      </c>
      <c r="C89" s="149"/>
      <c r="D89" s="149">
        <v>99.59</v>
      </c>
      <c r="E89" s="149">
        <f t="shared" si="1"/>
        <v>91.844999999999999</v>
      </c>
      <c r="F89" s="149"/>
      <c r="G89" s="151">
        <v>4975000</v>
      </c>
      <c r="H89" s="53" t="s">
        <v>834</v>
      </c>
    </row>
    <row r="90" spans="1:8" ht="21.25" customHeight="1" x14ac:dyDescent="0.15">
      <c r="A90" s="8" t="s">
        <v>260</v>
      </c>
      <c r="B90" s="149">
        <v>163.1</v>
      </c>
      <c r="C90" s="149"/>
      <c r="D90" s="149">
        <v>218.58</v>
      </c>
      <c r="E90" s="149">
        <f t="shared" si="1"/>
        <v>190.84</v>
      </c>
      <c r="F90" s="149"/>
      <c r="G90" s="151">
        <v>5500000</v>
      </c>
      <c r="H90" s="53" t="s">
        <v>834</v>
      </c>
    </row>
    <row r="91" spans="1:8" ht="21.25" customHeight="1" x14ac:dyDescent="0.15">
      <c r="A91" s="8" t="s">
        <v>254</v>
      </c>
      <c r="B91" s="149">
        <v>147.80000000000001</v>
      </c>
      <c r="C91" s="149"/>
      <c r="D91" s="149">
        <v>108.98</v>
      </c>
      <c r="E91" s="149">
        <f t="shared" si="1"/>
        <v>128.39000000000001</v>
      </c>
      <c r="F91" s="149"/>
      <c r="G91" s="151">
        <v>8000000</v>
      </c>
      <c r="H91" s="53" t="s">
        <v>834</v>
      </c>
    </row>
    <row r="92" spans="1:8" ht="21.25" customHeight="1" x14ac:dyDescent="0.15">
      <c r="A92" s="8" t="s">
        <v>285</v>
      </c>
      <c r="B92" s="149">
        <v>158.80000000000001</v>
      </c>
      <c r="C92" s="149"/>
      <c r="D92" s="149">
        <v>184.94</v>
      </c>
      <c r="E92" s="149">
        <f t="shared" si="1"/>
        <v>171.87</v>
      </c>
      <c r="F92" s="149"/>
      <c r="G92" s="151">
        <v>2750000</v>
      </c>
      <c r="H92" s="53" t="s">
        <v>834</v>
      </c>
    </row>
    <row r="93" spans="1:8" ht="21.25" customHeight="1" x14ac:dyDescent="0.15">
      <c r="A93" s="8" t="s">
        <v>174</v>
      </c>
      <c r="B93" s="149">
        <v>93.7</v>
      </c>
      <c r="C93" s="149"/>
      <c r="D93" s="149">
        <v>100.74</v>
      </c>
      <c r="E93" s="149">
        <f t="shared" si="1"/>
        <v>97.22</v>
      </c>
      <c r="F93" s="149"/>
      <c r="G93" s="151">
        <v>5000000</v>
      </c>
      <c r="H93" s="53" t="s">
        <v>834</v>
      </c>
    </row>
    <row r="94" spans="1:8" ht="21.25" customHeight="1" x14ac:dyDescent="0.15">
      <c r="A94" s="8" t="s">
        <v>379</v>
      </c>
      <c r="B94" s="53" t="s">
        <v>62</v>
      </c>
      <c r="C94" s="149"/>
      <c r="D94" s="149">
        <v>211.44</v>
      </c>
      <c r="E94" s="149">
        <f t="shared" si="1"/>
        <v>211.44</v>
      </c>
      <c r="F94" s="149"/>
      <c r="G94" s="151">
        <v>7750000</v>
      </c>
      <c r="H94" s="53" t="s">
        <v>834</v>
      </c>
    </row>
    <row r="95" spans="1:8" ht="21.25" customHeight="1" x14ac:dyDescent="0.15">
      <c r="A95" s="8" t="s">
        <v>221</v>
      </c>
      <c r="B95" s="149">
        <v>63.9</v>
      </c>
      <c r="C95" s="149"/>
      <c r="D95" s="149">
        <v>80.63</v>
      </c>
      <c r="E95" s="149">
        <f t="shared" si="1"/>
        <v>72.265000000000001</v>
      </c>
      <c r="F95" s="51"/>
      <c r="G95" s="151">
        <v>6500000</v>
      </c>
      <c r="H95" s="53" t="s">
        <v>834</v>
      </c>
    </row>
    <row r="96" spans="1:8" ht="21.25" customHeight="1" x14ac:dyDescent="0.15">
      <c r="A96" s="8" t="s">
        <v>135</v>
      </c>
      <c r="B96" s="149">
        <v>72.5</v>
      </c>
      <c r="C96" s="149"/>
      <c r="D96" s="149">
        <v>37.32</v>
      </c>
      <c r="E96" s="149">
        <f t="shared" si="1"/>
        <v>54.91</v>
      </c>
      <c r="F96" s="149"/>
      <c r="G96" s="151">
        <v>8450000</v>
      </c>
      <c r="H96" s="53" t="s">
        <v>59</v>
      </c>
    </row>
    <row r="97" spans="1:8" ht="21.25" customHeight="1" x14ac:dyDescent="0.15">
      <c r="A97" s="8" t="s">
        <v>222</v>
      </c>
      <c r="B97" s="149">
        <v>75.099999999999994</v>
      </c>
      <c r="C97" s="149"/>
      <c r="D97" s="149">
        <v>64.88</v>
      </c>
      <c r="E97" s="149">
        <f t="shared" si="1"/>
        <v>69.989999999999995</v>
      </c>
      <c r="F97" s="149"/>
      <c r="G97" s="151">
        <v>3500000</v>
      </c>
      <c r="H97" s="53" t="s">
        <v>834</v>
      </c>
    </row>
    <row r="98" spans="1:8" ht="21.25" customHeight="1" x14ac:dyDescent="0.15">
      <c r="A98" s="8" t="s">
        <v>238</v>
      </c>
      <c r="B98" s="149">
        <v>170.2</v>
      </c>
      <c r="C98" s="149"/>
      <c r="D98" s="149">
        <v>145.66999999999999</v>
      </c>
      <c r="E98" s="149">
        <f t="shared" si="1"/>
        <v>157.935</v>
      </c>
      <c r="F98" s="149"/>
      <c r="G98" s="151">
        <v>4500000</v>
      </c>
      <c r="H98" s="53" t="s">
        <v>834</v>
      </c>
    </row>
    <row r="99" spans="1:8" ht="21.25" customHeight="1" x14ac:dyDescent="0.15">
      <c r="A99" s="8" t="s">
        <v>129</v>
      </c>
      <c r="B99" s="149">
        <v>52.7</v>
      </c>
      <c r="C99" s="149"/>
      <c r="D99" s="149">
        <v>29.9</v>
      </c>
      <c r="E99" s="149">
        <f t="shared" si="1"/>
        <v>41.3</v>
      </c>
      <c r="F99" s="149"/>
      <c r="G99" s="151">
        <v>9000000</v>
      </c>
      <c r="H99" s="53" t="s">
        <v>60</v>
      </c>
    </row>
    <row r="100" spans="1:8" ht="21.25" customHeight="1" x14ac:dyDescent="0.15">
      <c r="A100" s="8" t="s">
        <v>204</v>
      </c>
      <c r="B100" s="149">
        <v>155</v>
      </c>
      <c r="C100" s="149"/>
      <c r="D100" s="149">
        <v>115.45</v>
      </c>
      <c r="E100" s="149">
        <f t="shared" si="1"/>
        <v>135.22499999999999</v>
      </c>
      <c r="F100" s="51"/>
      <c r="G100" s="151">
        <v>5250000</v>
      </c>
      <c r="H100" s="53" t="s">
        <v>60</v>
      </c>
    </row>
    <row r="101" spans="1:8" ht="21.25" customHeight="1" x14ac:dyDescent="0.15">
      <c r="A101" s="8" t="s">
        <v>151</v>
      </c>
      <c r="B101" s="149">
        <v>68.8</v>
      </c>
      <c r="C101" s="149"/>
      <c r="D101" s="149">
        <v>80.180000000000007</v>
      </c>
      <c r="E101" s="149">
        <f t="shared" si="1"/>
        <v>74.490000000000009</v>
      </c>
      <c r="F101" s="149"/>
      <c r="G101" s="151">
        <v>7875000</v>
      </c>
      <c r="H101" s="53" t="s">
        <v>834</v>
      </c>
    </row>
    <row r="102" spans="1:8" ht="21.25" customHeight="1" x14ac:dyDescent="0.15">
      <c r="A102" s="8" t="s">
        <v>237</v>
      </c>
      <c r="B102" s="149">
        <v>96.7</v>
      </c>
      <c r="C102" s="149"/>
      <c r="D102" s="149">
        <v>62.93</v>
      </c>
      <c r="E102" s="149">
        <f t="shared" si="1"/>
        <v>79.814999999999998</v>
      </c>
      <c r="F102" s="149"/>
      <c r="G102" s="151">
        <v>5500000</v>
      </c>
      <c r="H102" s="53" t="s">
        <v>834</v>
      </c>
    </row>
    <row r="103" spans="1:8" ht="21.25" customHeight="1" x14ac:dyDescent="0.15">
      <c r="A103" s="8" t="s">
        <v>244</v>
      </c>
      <c r="B103" s="149">
        <v>161.6</v>
      </c>
      <c r="C103" s="149"/>
      <c r="D103" s="149">
        <v>144.61000000000001</v>
      </c>
      <c r="E103" s="149">
        <f t="shared" si="1"/>
        <v>153.10500000000002</v>
      </c>
      <c r="F103" s="51"/>
      <c r="G103" s="151">
        <v>7000000</v>
      </c>
      <c r="H103" s="53" t="s">
        <v>834</v>
      </c>
    </row>
    <row r="104" spans="1:8" ht="21.25" customHeight="1" x14ac:dyDescent="0.15">
      <c r="A104" s="8" t="s">
        <v>304</v>
      </c>
      <c r="B104" s="149">
        <v>175.4</v>
      </c>
      <c r="C104" s="149"/>
      <c r="D104" s="149">
        <v>186.83</v>
      </c>
      <c r="E104" s="149">
        <f t="shared" si="1"/>
        <v>181.11500000000001</v>
      </c>
      <c r="F104" s="149"/>
      <c r="G104" s="151">
        <v>6500000</v>
      </c>
      <c r="H104" s="53" t="s">
        <v>834</v>
      </c>
    </row>
    <row r="105" spans="1:8" ht="21.25" customHeight="1" x14ac:dyDescent="0.15">
      <c r="A105" s="8" t="s">
        <v>319</v>
      </c>
      <c r="B105" s="53" t="s">
        <v>62</v>
      </c>
      <c r="C105" s="149"/>
      <c r="D105" s="149">
        <v>294.7</v>
      </c>
      <c r="E105" s="149">
        <f t="shared" si="1"/>
        <v>294.7</v>
      </c>
      <c r="F105" s="149"/>
      <c r="G105" s="151">
        <v>3425000</v>
      </c>
      <c r="H105" s="53" t="s">
        <v>834</v>
      </c>
    </row>
    <row r="106" spans="1:8" ht="21.25" customHeight="1" x14ac:dyDescent="0.15">
      <c r="A106" s="8" t="s">
        <v>316</v>
      </c>
      <c r="B106" s="53" t="s">
        <v>62</v>
      </c>
      <c r="C106" s="149"/>
      <c r="D106" s="149">
        <v>222.87</v>
      </c>
      <c r="E106" s="149">
        <f t="shared" si="1"/>
        <v>222.87</v>
      </c>
      <c r="F106" s="149"/>
      <c r="G106" s="151">
        <v>800000</v>
      </c>
      <c r="H106" s="53" t="s">
        <v>834</v>
      </c>
    </row>
    <row r="107" spans="1:8" ht="21.25" customHeight="1" x14ac:dyDescent="0.15">
      <c r="A107" s="8" t="s">
        <v>186</v>
      </c>
      <c r="B107" s="149">
        <v>93.6</v>
      </c>
      <c r="C107" s="149"/>
      <c r="D107" s="149">
        <v>46.84</v>
      </c>
      <c r="E107" s="149">
        <f t="shared" si="1"/>
        <v>70.22</v>
      </c>
      <c r="F107" s="149"/>
      <c r="G107" s="151">
        <v>8000000</v>
      </c>
      <c r="H107" s="53" t="s">
        <v>62</v>
      </c>
    </row>
    <row r="108" spans="1:8" ht="21.25" customHeight="1" x14ac:dyDescent="0.15">
      <c r="A108" s="8" t="s">
        <v>302</v>
      </c>
      <c r="B108" s="149">
        <v>180.1</v>
      </c>
      <c r="C108" s="149"/>
      <c r="D108" s="149">
        <v>132.81</v>
      </c>
      <c r="E108" s="149">
        <f t="shared" si="1"/>
        <v>156.45499999999998</v>
      </c>
      <c r="F108" s="149"/>
      <c r="G108" s="151">
        <v>7950000</v>
      </c>
      <c r="H108" s="53" t="s">
        <v>834</v>
      </c>
    </row>
    <row r="109" spans="1:8" ht="21.25" customHeight="1" x14ac:dyDescent="0.15">
      <c r="A109" s="8" t="s">
        <v>335</v>
      </c>
      <c r="B109" s="53" t="s">
        <v>62</v>
      </c>
      <c r="C109" s="149"/>
      <c r="D109" s="149">
        <v>235.44</v>
      </c>
      <c r="E109" s="149">
        <f t="shared" si="1"/>
        <v>235.44</v>
      </c>
      <c r="F109" s="149"/>
      <c r="G109" s="151">
        <v>894167</v>
      </c>
      <c r="H109" s="53" t="s">
        <v>62</v>
      </c>
    </row>
    <row r="110" spans="1:8" ht="21.25" customHeight="1" x14ac:dyDescent="0.15">
      <c r="A110" s="8" t="s">
        <v>263</v>
      </c>
      <c r="B110" s="149">
        <v>129.69999999999999</v>
      </c>
      <c r="C110" s="149"/>
      <c r="D110" s="149">
        <v>122.35</v>
      </c>
      <c r="E110" s="149">
        <f t="shared" si="1"/>
        <v>126.02499999999999</v>
      </c>
      <c r="F110" s="149"/>
      <c r="G110" s="151">
        <v>5000000</v>
      </c>
      <c r="H110" s="53" t="s">
        <v>834</v>
      </c>
    </row>
    <row r="111" spans="1:8" ht="21.25" customHeight="1" x14ac:dyDescent="0.15">
      <c r="A111" s="8" t="s">
        <v>201</v>
      </c>
      <c r="B111" s="149">
        <v>73.3</v>
      </c>
      <c r="C111" s="149"/>
      <c r="D111" s="149">
        <v>108.4</v>
      </c>
      <c r="E111" s="149">
        <f t="shared" si="1"/>
        <v>90.85</v>
      </c>
      <c r="F111" s="51"/>
      <c r="G111" s="151">
        <v>6500000</v>
      </c>
      <c r="H111" s="53" t="s">
        <v>834</v>
      </c>
    </row>
    <row r="112" spans="1:8" ht="21.25" customHeight="1" x14ac:dyDescent="0.15">
      <c r="A112" s="8" t="s">
        <v>245</v>
      </c>
      <c r="B112" s="149">
        <v>170</v>
      </c>
      <c r="C112" s="149"/>
      <c r="D112" s="149">
        <v>179.46</v>
      </c>
      <c r="E112" s="149">
        <f t="shared" si="1"/>
        <v>174.73000000000002</v>
      </c>
      <c r="F112" s="149"/>
      <c r="G112" s="151">
        <v>925000</v>
      </c>
      <c r="H112" s="53" t="s">
        <v>60</v>
      </c>
    </row>
    <row r="113" spans="1:8" ht="21.25" customHeight="1" x14ac:dyDescent="0.15">
      <c r="A113" s="8" t="s">
        <v>248</v>
      </c>
      <c r="B113" s="149">
        <v>156</v>
      </c>
      <c r="C113" s="149"/>
      <c r="D113" s="149">
        <v>131.30000000000001</v>
      </c>
      <c r="E113" s="149">
        <f t="shared" si="1"/>
        <v>143.65</v>
      </c>
      <c r="F113" s="149"/>
      <c r="G113" s="151">
        <v>4000000</v>
      </c>
      <c r="H113" s="53" t="s">
        <v>834</v>
      </c>
    </row>
    <row r="114" spans="1:8" ht="21.25" customHeight="1" x14ac:dyDescent="0.15">
      <c r="A114" s="8" t="s">
        <v>231</v>
      </c>
      <c r="B114" s="149">
        <v>167.5</v>
      </c>
      <c r="C114" s="149"/>
      <c r="D114" s="149">
        <v>155.44</v>
      </c>
      <c r="E114" s="149">
        <f t="shared" si="1"/>
        <v>161.47</v>
      </c>
      <c r="F114" s="149"/>
      <c r="G114" s="151">
        <v>6000000</v>
      </c>
      <c r="H114" s="53" t="s">
        <v>60</v>
      </c>
    </row>
    <row r="115" spans="1:8" ht="21.25" customHeight="1" x14ac:dyDescent="0.15">
      <c r="A115" s="8" t="s">
        <v>262</v>
      </c>
      <c r="B115" s="149">
        <v>166.9</v>
      </c>
      <c r="C115" s="149"/>
      <c r="D115" s="149">
        <v>163.29</v>
      </c>
      <c r="E115" s="149">
        <f t="shared" si="1"/>
        <v>165.095</v>
      </c>
      <c r="F115" s="149"/>
      <c r="G115" s="151">
        <v>8000000</v>
      </c>
      <c r="H115" s="53" t="s">
        <v>834</v>
      </c>
    </row>
    <row r="116" spans="1:8" ht="21.25" customHeight="1" x14ac:dyDescent="0.15">
      <c r="A116" s="8" t="s">
        <v>224</v>
      </c>
      <c r="B116" s="149">
        <v>172.1</v>
      </c>
      <c r="C116" s="149"/>
      <c r="D116" s="149">
        <v>150.21</v>
      </c>
      <c r="E116" s="149">
        <f t="shared" si="1"/>
        <v>161.155</v>
      </c>
      <c r="F116" s="149"/>
      <c r="G116" s="151">
        <v>6654000</v>
      </c>
      <c r="H116" s="53" t="s">
        <v>834</v>
      </c>
    </row>
    <row r="117" spans="1:8" ht="21.25" customHeight="1" x14ac:dyDescent="0.15">
      <c r="A117" s="8" t="s">
        <v>189</v>
      </c>
      <c r="B117" s="149">
        <v>61.5</v>
      </c>
      <c r="C117" s="149"/>
      <c r="D117" s="149">
        <v>94.55</v>
      </c>
      <c r="E117" s="149">
        <f t="shared" si="1"/>
        <v>78.025000000000006</v>
      </c>
      <c r="F117" s="149"/>
      <c r="G117" s="151">
        <v>9500000</v>
      </c>
      <c r="H117" s="53" t="s">
        <v>834</v>
      </c>
    </row>
    <row r="118" spans="1:8" ht="21.25" customHeight="1" x14ac:dyDescent="0.15">
      <c r="A118" s="8" t="s">
        <v>170</v>
      </c>
      <c r="B118" s="149">
        <v>86.9</v>
      </c>
      <c r="C118" s="149"/>
      <c r="D118" s="149">
        <v>67.55</v>
      </c>
      <c r="E118" s="149">
        <f t="shared" si="1"/>
        <v>77.224999999999994</v>
      </c>
      <c r="F118" s="149"/>
      <c r="G118" s="151">
        <v>8088900</v>
      </c>
      <c r="H118" s="53" t="s">
        <v>834</v>
      </c>
    </row>
    <row r="119" spans="1:8" ht="21.25" customHeight="1" x14ac:dyDescent="0.15">
      <c r="A119" s="8" t="s">
        <v>291</v>
      </c>
      <c r="B119" s="149">
        <v>158.19999999999999</v>
      </c>
      <c r="C119" s="149"/>
      <c r="D119" s="149">
        <v>215.16</v>
      </c>
      <c r="E119" s="149">
        <f t="shared" si="1"/>
        <v>186.68</v>
      </c>
      <c r="F119" s="149"/>
      <c r="G119" s="151">
        <v>7800000</v>
      </c>
      <c r="H119" s="53" t="s">
        <v>834</v>
      </c>
    </row>
    <row r="120" spans="1:8" ht="21.25" customHeight="1" x14ac:dyDescent="0.15">
      <c r="A120" s="8" t="s">
        <v>294</v>
      </c>
      <c r="B120" s="53" t="s">
        <v>62</v>
      </c>
      <c r="C120" s="149"/>
      <c r="D120" s="149">
        <v>346.8</v>
      </c>
      <c r="E120" s="149">
        <f t="shared" si="1"/>
        <v>346.8</v>
      </c>
      <c r="F120" s="149"/>
      <c r="G120" s="151">
        <v>797500</v>
      </c>
      <c r="H120" s="53" t="s">
        <v>62</v>
      </c>
    </row>
    <row r="121" spans="1:8" ht="21.25" customHeight="1" x14ac:dyDescent="0.15">
      <c r="A121" s="8" t="s">
        <v>311</v>
      </c>
      <c r="B121" s="149">
        <v>166.4</v>
      </c>
      <c r="C121" s="149"/>
      <c r="D121" s="149">
        <v>226.82</v>
      </c>
      <c r="E121" s="149">
        <f t="shared" si="1"/>
        <v>196.61</v>
      </c>
      <c r="F121" s="149"/>
      <c r="G121" s="151"/>
      <c r="H121" s="53" t="s">
        <v>834</v>
      </c>
    </row>
    <row r="122" spans="1:8" ht="21.25" customHeight="1" x14ac:dyDescent="0.15">
      <c r="A122" s="8" t="s">
        <v>272</v>
      </c>
      <c r="B122" s="149">
        <v>171.7</v>
      </c>
      <c r="C122" s="149"/>
      <c r="D122" s="149">
        <v>206.22</v>
      </c>
      <c r="E122" s="149">
        <f t="shared" si="1"/>
        <v>188.95999999999998</v>
      </c>
      <c r="F122" s="149"/>
      <c r="G122" s="151">
        <v>6250000</v>
      </c>
      <c r="H122" s="53" t="s">
        <v>834</v>
      </c>
    </row>
    <row r="123" spans="1:8" ht="21.25" customHeight="1" x14ac:dyDescent="0.15">
      <c r="A123" s="8" t="s">
        <v>251</v>
      </c>
      <c r="B123" s="149">
        <v>71.599999999999994</v>
      </c>
      <c r="C123" s="149"/>
      <c r="D123" s="149">
        <v>139.41</v>
      </c>
      <c r="E123" s="149">
        <f t="shared" si="1"/>
        <v>105.505</v>
      </c>
      <c r="F123" s="149"/>
      <c r="G123" s="151">
        <v>9500000</v>
      </c>
      <c r="H123" s="53" t="s">
        <v>834</v>
      </c>
    </row>
    <row r="124" spans="1:8" ht="21.25" customHeight="1" x14ac:dyDescent="0.15">
      <c r="A124" s="8" t="s">
        <v>247</v>
      </c>
      <c r="B124" s="149">
        <v>73.099999999999994</v>
      </c>
      <c r="C124" s="149"/>
      <c r="D124" s="149">
        <v>85.15</v>
      </c>
      <c r="E124" s="149">
        <f t="shared" si="1"/>
        <v>79.125</v>
      </c>
      <c r="F124" s="149"/>
      <c r="G124" s="151">
        <v>4250000</v>
      </c>
      <c r="H124" s="53" t="s">
        <v>62</v>
      </c>
    </row>
    <row r="125" spans="1:8" ht="21.25" customHeight="1" x14ac:dyDescent="0.15">
      <c r="A125" s="8" t="s">
        <v>286</v>
      </c>
      <c r="B125" s="149">
        <v>147.5</v>
      </c>
      <c r="C125" s="149"/>
      <c r="D125" s="149">
        <v>124.58</v>
      </c>
      <c r="E125" s="149">
        <f t="shared" si="1"/>
        <v>136.04</v>
      </c>
      <c r="F125" s="149"/>
      <c r="G125" s="151">
        <v>5625000</v>
      </c>
      <c r="H125" s="53" t="s">
        <v>834</v>
      </c>
    </row>
    <row r="126" spans="1:8" ht="21.25" customHeight="1" x14ac:dyDescent="0.15">
      <c r="A126" s="8" t="s">
        <v>255</v>
      </c>
      <c r="B126" s="149">
        <v>155.9</v>
      </c>
      <c r="C126" s="149"/>
      <c r="D126" s="149">
        <v>177.75</v>
      </c>
      <c r="E126" s="149">
        <f t="shared" si="1"/>
        <v>166.82499999999999</v>
      </c>
      <c r="F126" s="149"/>
      <c r="G126" s="151">
        <v>4750000</v>
      </c>
      <c r="H126" s="53" t="s">
        <v>834</v>
      </c>
    </row>
    <row r="127" spans="1:8" ht="21.25" customHeight="1" x14ac:dyDescent="0.15">
      <c r="A127" s="8" t="s">
        <v>167</v>
      </c>
      <c r="B127" s="149">
        <v>71.900000000000006</v>
      </c>
      <c r="C127" s="149"/>
      <c r="D127" s="149">
        <v>69.86</v>
      </c>
      <c r="E127" s="149">
        <f t="shared" si="1"/>
        <v>70.88</v>
      </c>
      <c r="F127" s="149"/>
      <c r="G127" s="151">
        <v>6250000</v>
      </c>
      <c r="H127" s="53" t="s">
        <v>60</v>
      </c>
    </row>
    <row r="128" spans="1:8" ht="21.25" customHeight="1" x14ac:dyDescent="0.15">
      <c r="A128" s="8" t="s">
        <v>299</v>
      </c>
      <c r="B128" s="53" t="s">
        <v>62</v>
      </c>
      <c r="C128" s="149"/>
      <c r="D128" s="149">
        <v>212.66</v>
      </c>
      <c r="E128" s="149">
        <f t="shared" si="1"/>
        <v>212.66</v>
      </c>
      <c r="F128" s="149"/>
      <c r="G128" s="151"/>
      <c r="H128" s="53" t="s">
        <v>834</v>
      </c>
    </row>
    <row r="129" spans="1:8" ht="21.25" customHeight="1" x14ac:dyDescent="0.15">
      <c r="A129" s="8" t="s">
        <v>276</v>
      </c>
      <c r="B129" s="53" t="s">
        <v>62</v>
      </c>
      <c r="C129" s="149"/>
      <c r="D129" s="149">
        <v>223.35</v>
      </c>
      <c r="E129" s="149">
        <f t="shared" si="1"/>
        <v>223.35</v>
      </c>
      <c r="F129" s="149"/>
      <c r="G129" s="151">
        <v>894167</v>
      </c>
      <c r="H129" s="53" t="s">
        <v>834</v>
      </c>
    </row>
    <row r="130" spans="1:8" ht="21.25" customHeight="1" x14ac:dyDescent="0.15">
      <c r="A130" s="8" t="s">
        <v>197</v>
      </c>
      <c r="B130" s="149">
        <v>143.80000000000001</v>
      </c>
      <c r="C130" s="149"/>
      <c r="D130" s="149">
        <v>106.95</v>
      </c>
      <c r="E130" s="149">
        <f t="shared" ref="E130:E193" si="2">IFERROR(AVERAGE(B130:D130),"—")</f>
        <v>125.375</v>
      </c>
      <c r="F130" s="149"/>
      <c r="G130" s="151">
        <v>5200000</v>
      </c>
      <c r="H130" s="53" t="s">
        <v>834</v>
      </c>
    </row>
    <row r="131" spans="1:8" ht="21.25" customHeight="1" x14ac:dyDescent="0.15">
      <c r="A131" s="8" t="s">
        <v>328</v>
      </c>
      <c r="B131" s="53" t="s">
        <v>62</v>
      </c>
      <c r="C131" s="149"/>
      <c r="D131" s="149">
        <v>222.41</v>
      </c>
      <c r="E131" s="149">
        <f t="shared" si="2"/>
        <v>222.41</v>
      </c>
      <c r="F131" s="149"/>
      <c r="G131" s="151">
        <v>2500000</v>
      </c>
      <c r="H131" s="53" t="s">
        <v>60</v>
      </c>
    </row>
    <row r="132" spans="1:8" ht="21.25" customHeight="1" x14ac:dyDescent="0.15">
      <c r="A132" s="8" t="s">
        <v>352</v>
      </c>
      <c r="B132" s="149">
        <v>166</v>
      </c>
      <c r="C132" s="149"/>
      <c r="D132" s="149">
        <v>174.04</v>
      </c>
      <c r="E132" s="149">
        <f t="shared" si="2"/>
        <v>170.01999999999998</v>
      </c>
      <c r="F132" s="149"/>
      <c r="G132" s="151">
        <v>3000000</v>
      </c>
      <c r="H132" s="53" t="s">
        <v>834</v>
      </c>
    </row>
    <row r="133" spans="1:8" ht="21.25" customHeight="1" x14ac:dyDescent="0.15">
      <c r="A133" s="8" t="s">
        <v>279</v>
      </c>
      <c r="B133" s="149">
        <v>156.9</v>
      </c>
      <c r="C133" s="149"/>
      <c r="D133" s="149">
        <v>159.97</v>
      </c>
      <c r="E133" s="149">
        <f t="shared" si="2"/>
        <v>158.435</v>
      </c>
      <c r="F133" s="51"/>
      <c r="G133" s="151">
        <v>894167</v>
      </c>
      <c r="H133" s="53" t="s">
        <v>59</v>
      </c>
    </row>
    <row r="134" spans="1:8" ht="21.25" customHeight="1" x14ac:dyDescent="0.15">
      <c r="A134" s="8" t="s">
        <v>213</v>
      </c>
      <c r="B134" s="149">
        <v>98.9</v>
      </c>
      <c r="C134" s="149"/>
      <c r="D134" s="149">
        <v>101.25</v>
      </c>
      <c r="E134" s="149">
        <f t="shared" si="2"/>
        <v>100.075</v>
      </c>
      <c r="F134" s="149"/>
      <c r="G134" s="151">
        <v>7350000</v>
      </c>
      <c r="H134" s="53" t="s">
        <v>60</v>
      </c>
    </row>
    <row r="135" spans="1:8" ht="21.25" customHeight="1" x14ac:dyDescent="0.15">
      <c r="A135" s="8" t="s">
        <v>265</v>
      </c>
      <c r="B135" s="149">
        <v>162.19999999999999</v>
      </c>
      <c r="C135" s="149"/>
      <c r="D135" s="149">
        <v>186.59</v>
      </c>
      <c r="E135" s="149">
        <f t="shared" si="2"/>
        <v>174.39499999999998</v>
      </c>
      <c r="F135" s="149"/>
      <c r="G135" s="151">
        <v>6500000</v>
      </c>
      <c r="H135" s="53" t="s">
        <v>834</v>
      </c>
    </row>
    <row r="136" spans="1:8" ht="21.25" customHeight="1" x14ac:dyDescent="0.15">
      <c r="A136" s="8" t="s">
        <v>235</v>
      </c>
      <c r="B136" s="149">
        <v>101.7</v>
      </c>
      <c r="C136" s="149"/>
      <c r="D136" s="149">
        <v>110.19</v>
      </c>
      <c r="E136" s="149">
        <f t="shared" si="2"/>
        <v>105.94499999999999</v>
      </c>
      <c r="F136" s="149"/>
      <c r="G136" s="151">
        <v>5000000</v>
      </c>
      <c r="H136" s="53" t="s">
        <v>834</v>
      </c>
    </row>
    <row r="137" spans="1:8" ht="21.25" customHeight="1" x14ac:dyDescent="0.15">
      <c r="A137" s="8" t="s">
        <v>320</v>
      </c>
      <c r="B137" s="53" t="s">
        <v>62</v>
      </c>
      <c r="C137" s="149"/>
      <c r="D137" s="149">
        <v>186.98</v>
      </c>
      <c r="E137" s="149">
        <f t="shared" si="2"/>
        <v>186.98</v>
      </c>
      <c r="F137" s="149"/>
      <c r="G137" s="151">
        <v>2625000</v>
      </c>
      <c r="H137" s="53" t="s">
        <v>834</v>
      </c>
    </row>
    <row r="138" spans="1:8" ht="21.25" customHeight="1" x14ac:dyDescent="0.15">
      <c r="A138" s="8" t="s">
        <v>188</v>
      </c>
      <c r="B138" s="149">
        <v>130.4</v>
      </c>
      <c r="C138" s="149"/>
      <c r="D138" s="149">
        <v>114.63</v>
      </c>
      <c r="E138" s="149">
        <f t="shared" si="2"/>
        <v>122.515</v>
      </c>
      <c r="F138" s="149"/>
      <c r="G138" s="151">
        <v>7500000</v>
      </c>
      <c r="H138" s="53" t="s">
        <v>60</v>
      </c>
    </row>
    <row r="139" spans="1:8" ht="21.25" customHeight="1" x14ac:dyDescent="0.15">
      <c r="A139" s="8" t="s">
        <v>370</v>
      </c>
      <c r="B139" s="53" t="s">
        <v>62</v>
      </c>
      <c r="C139" s="149"/>
      <c r="D139" s="149">
        <v>220.75</v>
      </c>
      <c r="E139" s="149">
        <f t="shared" si="2"/>
        <v>220.75</v>
      </c>
      <c r="F139" s="149"/>
      <c r="G139" s="151">
        <v>3000000</v>
      </c>
      <c r="H139" s="53" t="s">
        <v>834</v>
      </c>
    </row>
    <row r="140" spans="1:8" ht="21.25" customHeight="1" x14ac:dyDescent="0.15">
      <c r="A140" s="8" t="s">
        <v>258</v>
      </c>
      <c r="B140" s="149">
        <v>147.5</v>
      </c>
      <c r="C140" s="149"/>
      <c r="D140" s="149">
        <v>131.38999999999999</v>
      </c>
      <c r="E140" s="149">
        <f t="shared" si="2"/>
        <v>139.44499999999999</v>
      </c>
      <c r="F140" s="149"/>
      <c r="G140" s="151">
        <v>4250000</v>
      </c>
      <c r="H140" s="53" t="s">
        <v>834</v>
      </c>
    </row>
    <row r="141" spans="1:8" ht="21.25" customHeight="1" x14ac:dyDescent="0.15">
      <c r="A141" s="8" t="s">
        <v>198</v>
      </c>
      <c r="B141" s="149">
        <v>155.19999999999999</v>
      </c>
      <c r="C141" s="149"/>
      <c r="D141" s="149">
        <v>70.84</v>
      </c>
      <c r="E141" s="149">
        <f t="shared" si="2"/>
        <v>113.02</v>
      </c>
      <c r="F141" s="149"/>
      <c r="G141" s="151">
        <v>9583330</v>
      </c>
      <c r="H141" s="53" t="s">
        <v>60</v>
      </c>
    </row>
    <row r="142" spans="1:8" ht="21.25" customHeight="1" x14ac:dyDescent="0.15">
      <c r="A142" s="8" t="s">
        <v>142</v>
      </c>
      <c r="B142" s="149">
        <v>84.7</v>
      </c>
      <c r="C142" s="149"/>
      <c r="D142" s="149">
        <v>45.9</v>
      </c>
      <c r="E142" s="149">
        <f t="shared" si="2"/>
        <v>65.3</v>
      </c>
      <c r="F142" s="149"/>
      <c r="G142" s="151"/>
      <c r="H142" s="53" t="s">
        <v>56</v>
      </c>
    </row>
    <row r="143" spans="1:8" ht="21.25" customHeight="1" x14ac:dyDescent="0.15">
      <c r="A143" s="8" t="s">
        <v>246</v>
      </c>
      <c r="B143" s="149">
        <v>158.4</v>
      </c>
      <c r="C143" s="149"/>
      <c r="D143" s="149">
        <v>132.78</v>
      </c>
      <c r="E143" s="149">
        <f t="shared" si="2"/>
        <v>145.59</v>
      </c>
      <c r="F143" s="149"/>
      <c r="G143" s="151">
        <v>1500000</v>
      </c>
      <c r="H143" s="53" t="s">
        <v>834</v>
      </c>
    </row>
    <row r="144" spans="1:8" ht="21.25" customHeight="1" x14ac:dyDescent="0.15">
      <c r="A144" s="8" t="s">
        <v>321</v>
      </c>
      <c r="B144" s="149">
        <v>166.6</v>
      </c>
      <c r="C144" s="149"/>
      <c r="D144" s="149">
        <v>229.51</v>
      </c>
      <c r="E144" s="149">
        <f t="shared" si="2"/>
        <v>198.05500000000001</v>
      </c>
      <c r="F144" s="149"/>
      <c r="G144" s="151">
        <v>4500000</v>
      </c>
      <c r="H144" s="53" t="s">
        <v>834</v>
      </c>
    </row>
    <row r="145" spans="1:8" ht="21.25" customHeight="1" x14ac:dyDescent="0.15">
      <c r="A145" s="8" t="s">
        <v>437</v>
      </c>
      <c r="B145" s="149">
        <v>166.3</v>
      </c>
      <c r="C145" s="149"/>
      <c r="D145" s="149">
        <v>152.51</v>
      </c>
      <c r="E145" s="149">
        <f t="shared" si="2"/>
        <v>159.405</v>
      </c>
      <c r="F145" s="51"/>
      <c r="G145" s="151">
        <v>2000000</v>
      </c>
      <c r="H145" s="53" t="s">
        <v>834</v>
      </c>
    </row>
    <row r="146" spans="1:8" ht="21.25" customHeight="1" x14ac:dyDescent="0.15">
      <c r="A146" s="8" t="s">
        <v>233</v>
      </c>
      <c r="B146" s="149">
        <v>116.8</v>
      </c>
      <c r="C146" s="149"/>
      <c r="D146" s="149">
        <v>120.39</v>
      </c>
      <c r="E146" s="149">
        <f t="shared" si="2"/>
        <v>118.595</v>
      </c>
      <c r="F146" s="51"/>
      <c r="G146" s="151">
        <v>11000000</v>
      </c>
      <c r="H146" s="53" t="s">
        <v>62</v>
      </c>
    </row>
    <row r="147" spans="1:8" ht="21.25" customHeight="1" x14ac:dyDescent="0.15">
      <c r="A147" s="8" t="s">
        <v>356</v>
      </c>
      <c r="B147" s="149">
        <v>159.19999999999999</v>
      </c>
      <c r="C147" s="149"/>
      <c r="D147" s="149">
        <v>222.26</v>
      </c>
      <c r="E147" s="149">
        <f t="shared" si="2"/>
        <v>190.73</v>
      </c>
      <c r="F147" s="149"/>
      <c r="G147" s="151"/>
      <c r="H147" s="53" t="s">
        <v>834</v>
      </c>
    </row>
    <row r="148" spans="1:8" ht="21.25" customHeight="1" x14ac:dyDescent="0.15">
      <c r="A148" s="8" t="s">
        <v>310</v>
      </c>
      <c r="B148" s="149">
        <v>153.9</v>
      </c>
      <c r="C148" s="149"/>
      <c r="D148" s="149">
        <v>141.65</v>
      </c>
      <c r="E148" s="149">
        <f t="shared" si="2"/>
        <v>147.77500000000001</v>
      </c>
      <c r="F148" s="149"/>
      <c r="G148" s="151">
        <v>6343750</v>
      </c>
      <c r="H148" s="53" t="s">
        <v>834</v>
      </c>
    </row>
    <row r="149" spans="1:8" ht="21.25" customHeight="1" x14ac:dyDescent="0.15">
      <c r="A149" s="8" t="s">
        <v>345</v>
      </c>
      <c r="B149" s="53" t="s">
        <v>62</v>
      </c>
      <c r="C149" s="149"/>
      <c r="D149" s="149">
        <v>424.9</v>
      </c>
      <c r="E149" s="149">
        <f t="shared" si="2"/>
        <v>424.9</v>
      </c>
      <c r="F149" s="51"/>
      <c r="G149" s="151">
        <v>2500000</v>
      </c>
      <c r="H149" s="53" t="s">
        <v>834</v>
      </c>
    </row>
    <row r="150" spans="1:8" ht="21.25" customHeight="1" x14ac:dyDescent="0.15">
      <c r="A150" s="8" t="s">
        <v>274</v>
      </c>
      <c r="B150" s="53" t="s">
        <v>62</v>
      </c>
      <c r="C150" s="149"/>
      <c r="D150" s="149">
        <v>229.84</v>
      </c>
      <c r="E150" s="149">
        <f t="shared" si="2"/>
        <v>229.84</v>
      </c>
      <c r="F150" s="149"/>
      <c r="G150" s="151">
        <v>5800000</v>
      </c>
      <c r="H150" s="53" t="s">
        <v>834</v>
      </c>
    </row>
    <row r="151" spans="1:8" ht="21.25" customHeight="1" x14ac:dyDescent="0.15">
      <c r="A151" s="8" t="s">
        <v>412</v>
      </c>
      <c r="B151" s="53" t="s">
        <v>62</v>
      </c>
      <c r="C151" s="149"/>
      <c r="D151" s="149">
        <v>203.3</v>
      </c>
      <c r="E151" s="149">
        <f t="shared" si="2"/>
        <v>203.3</v>
      </c>
      <c r="F151" s="149"/>
      <c r="G151" s="151">
        <v>3437500</v>
      </c>
      <c r="H151" s="53" t="s">
        <v>834</v>
      </c>
    </row>
    <row r="152" spans="1:8" ht="21.25" customHeight="1" x14ac:dyDescent="0.15">
      <c r="A152" s="8" t="s">
        <v>315</v>
      </c>
      <c r="B152" s="149">
        <v>150.9</v>
      </c>
      <c r="C152" s="149"/>
      <c r="D152" s="149">
        <v>169.93</v>
      </c>
      <c r="E152" s="149">
        <f t="shared" si="2"/>
        <v>160.41500000000002</v>
      </c>
      <c r="F152" s="149"/>
      <c r="G152" s="151">
        <v>4425000</v>
      </c>
      <c r="H152" s="53" t="s">
        <v>834</v>
      </c>
    </row>
    <row r="153" spans="1:8" ht="21.25" customHeight="1" x14ac:dyDescent="0.15">
      <c r="A153" s="8" t="s">
        <v>331</v>
      </c>
      <c r="B153" s="149">
        <v>162.69999999999999</v>
      </c>
      <c r="C153" s="149"/>
      <c r="D153" s="149">
        <v>180.76</v>
      </c>
      <c r="E153" s="149">
        <f t="shared" si="2"/>
        <v>171.73</v>
      </c>
      <c r="F153" s="149"/>
      <c r="G153" s="151">
        <v>880000</v>
      </c>
      <c r="H153" s="53" t="s">
        <v>62</v>
      </c>
    </row>
    <row r="154" spans="1:8" ht="21.25" customHeight="1" x14ac:dyDescent="0.15">
      <c r="A154" s="8" t="s">
        <v>157</v>
      </c>
      <c r="B154" s="149">
        <v>86</v>
      </c>
      <c r="C154" s="149"/>
      <c r="D154" s="149">
        <v>77.17</v>
      </c>
      <c r="E154" s="149">
        <f t="shared" si="2"/>
        <v>81.585000000000008</v>
      </c>
      <c r="F154" s="149"/>
      <c r="G154" s="151">
        <v>863000</v>
      </c>
      <c r="H154" s="53" t="s">
        <v>59</v>
      </c>
    </row>
    <row r="155" spans="1:8" ht="21.25" customHeight="1" x14ac:dyDescent="0.15">
      <c r="A155" s="8" t="s">
        <v>236</v>
      </c>
      <c r="B155" s="149">
        <v>100.9</v>
      </c>
      <c r="C155" s="149"/>
      <c r="D155" s="149">
        <v>130.36000000000001</v>
      </c>
      <c r="E155" s="149">
        <f t="shared" si="2"/>
        <v>115.63000000000001</v>
      </c>
      <c r="F155" s="149"/>
      <c r="G155" s="151">
        <v>4100000</v>
      </c>
      <c r="H155" s="53" t="s">
        <v>834</v>
      </c>
    </row>
    <row r="156" spans="1:8" ht="21.25" customHeight="1" x14ac:dyDescent="0.15">
      <c r="A156" s="8" t="s">
        <v>375</v>
      </c>
      <c r="B156" s="53" t="s">
        <v>62</v>
      </c>
      <c r="C156" s="149"/>
      <c r="D156" s="149">
        <v>223.46</v>
      </c>
      <c r="E156" s="149">
        <f t="shared" si="2"/>
        <v>223.46</v>
      </c>
      <c r="F156" s="149"/>
      <c r="G156" s="151">
        <v>3362500</v>
      </c>
      <c r="H156" s="53" t="s">
        <v>60</v>
      </c>
    </row>
    <row r="157" spans="1:8" ht="21.25" customHeight="1" x14ac:dyDescent="0.15">
      <c r="A157" s="8" t="s">
        <v>223</v>
      </c>
      <c r="B157" s="149">
        <v>112.5</v>
      </c>
      <c r="C157" s="149"/>
      <c r="D157" s="149">
        <v>92.49</v>
      </c>
      <c r="E157" s="149">
        <f t="shared" si="2"/>
        <v>102.495</v>
      </c>
      <c r="F157" s="51"/>
      <c r="G157" s="151">
        <v>6100000</v>
      </c>
      <c r="H157" s="53" t="s">
        <v>62</v>
      </c>
    </row>
    <row r="158" spans="1:8" ht="21.25" customHeight="1" x14ac:dyDescent="0.15">
      <c r="A158" s="8" t="s">
        <v>273</v>
      </c>
      <c r="B158" s="149">
        <v>125.2</v>
      </c>
      <c r="C158" s="149"/>
      <c r="D158" s="149">
        <v>216.09</v>
      </c>
      <c r="E158" s="149">
        <f t="shared" si="2"/>
        <v>170.64500000000001</v>
      </c>
      <c r="F158" s="51"/>
      <c r="G158" s="151">
        <v>5500000</v>
      </c>
      <c r="H158" s="53" t="s">
        <v>834</v>
      </c>
    </row>
    <row r="159" spans="1:8" ht="21.25" customHeight="1" x14ac:dyDescent="0.15">
      <c r="A159" s="8" t="s">
        <v>384</v>
      </c>
      <c r="B159" s="149">
        <v>164.2</v>
      </c>
      <c r="C159" s="149"/>
      <c r="D159" s="149">
        <v>161.62</v>
      </c>
      <c r="E159" s="149">
        <f t="shared" si="2"/>
        <v>162.91</v>
      </c>
      <c r="F159" s="149"/>
      <c r="G159" s="151">
        <v>5000000</v>
      </c>
      <c r="H159" s="53" t="s">
        <v>60</v>
      </c>
    </row>
    <row r="160" spans="1:8" ht="21.25" customHeight="1" x14ac:dyDescent="0.15">
      <c r="A160" s="8" t="s">
        <v>393</v>
      </c>
      <c r="B160" s="149">
        <v>158.69999999999999</v>
      </c>
      <c r="C160" s="149"/>
      <c r="D160" s="149">
        <v>188.91</v>
      </c>
      <c r="E160" s="149">
        <f t="shared" si="2"/>
        <v>173.80500000000001</v>
      </c>
      <c r="F160" s="51"/>
      <c r="G160" s="151">
        <v>5000000</v>
      </c>
      <c r="H160" s="53" t="s">
        <v>834</v>
      </c>
    </row>
    <row r="161" spans="1:8" ht="21.25" customHeight="1" x14ac:dyDescent="0.15">
      <c r="A161" s="8" t="s">
        <v>486</v>
      </c>
      <c r="B161" s="53" t="s">
        <v>62</v>
      </c>
      <c r="C161" s="149"/>
      <c r="D161" s="149">
        <v>239.55</v>
      </c>
      <c r="E161" s="149">
        <f t="shared" si="2"/>
        <v>239.55</v>
      </c>
      <c r="F161" s="149"/>
      <c r="G161" s="151">
        <v>849167</v>
      </c>
      <c r="H161" s="53" t="s">
        <v>834</v>
      </c>
    </row>
    <row r="162" spans="1:8" ht="21.25" customHeight="1" x14ac:dyDescent="0.15">
      <c r="A162" s="8" t="s">
        <v>283</v>
      </c>
      <c r="B162" s="149">
        <v>152</v>
      </c>
      <c r="C162" s="149"/>
      <c r="D162" s="149">
        <v>164.82</v>
      </c>
      <c r="E162" s="149">
        <f t="shared" si="2"/>
        <v>158.41</v>
      </c>
      <c r="F162" s="149"/>
      <c r="G162" s="151">
        <v>5000000</v>
      </c>
      <c r="H162" s="53" t="s">
        <v>834</v>
      </c>
    </row>
    <row r="163" spans="1:8" ht="21.25" customHeight="1" x14ac:dyDescent="0.15">
      <c r="A163" s="8" t="s">
        <v>572</v>
      </c>
      <c r="B163" s="53" t="s">
        <v>62</v>
      </c>
      <c r="C163" s="149"/>
      <c r="D163" s="53" t="s">
        <v>62</v>
      </c>
      <c r="E163" s="53" t="str">
        <f t="shared" si="2"/>
        <v>—</v>
      </c>
      <c r="F163" s="149"/>
      <c r="G163" s="151">
        <v>775000</v>
      </c>
      <c r="H163" s="53" t="s">
        <v>834</v>
      </c>
    </row>
    <row r="164" spans="1:8" ht="21.25" customHeight="1" x14ac:dyDescent="0.15">
      <c r="A164" s="8" t="s">
        <v>199</v>
      </c>
      <c r="B164" s="149">
        <v>127.9</v>
      </c>
      <c r="C164" s="149"/>
      <c r="D164" s="149">
        <v>131.84</v>
      </c>
      <c r="E164" s="149">
        <f t="shared" si="2"/>
        <v>129.87</v>
      </c>
      <c r="F164" s="149"/>
      <c r="G164" s="151">
        <v>4550000</v>
      </c>
      <c r="H164" s="53" t="s">
        <v>834</v>
      </c>
    </row>
    <row r="165" spans="1:8" ht="21.25" customHeight="1" x14ac:dyDescent="0.15">
      <c r="A165" s="8" t="s">
        <v>184</v>
      </c>
      <c r="B165" s="149">
        <v>112.4</v>
      </c>
      <c r="C165" s="149"/>
      <c r="D165" s="149">
        <v>93.98</v>
      </c>
      <c r="E165" s="149">
        <f t="shared" si="2"/>
        <v>103.19</v>
      </c>
      <c r="F165" s="149"/>
      <c r="G165" s="151">
        <v>4000000</v>
      </c>
      <c r="H165" s="53" t="s">
        <v>834</v>
      </c>
    </row>
    <row r="166" spans="1:8" ht="21.25" customHeight="1" x14ac:dyDescent="0.15">
      <c r="A166" s="8" t="s">
        <v>293</v>
      </c>
      <c r="B166" s="149">
        <v>179.1</v>
      </c>
      <c r="C166" s="149"/>
      <c r="D166" s="149">
        <v>175.12</v>
      </c>
      <c r="E166" s="149">
        <f t="shared" si="2"/>
        <v>177.11</v>
      </c>
      <c r="F166" s="149"/>
      <c r="G166" s="151">
        <v>1700000</v>
      </c>
      <c r="H166" s="53" t="s">
        <v>834</v>
      </c>
    </row>
    <row r="167" spans="1:8" ht="21.25" customHeight="1" x14ac:dyDescent="0.15">
      <c r="A167" s="8" t="s">
        <v>383</v>
      </c>
      <c r="B167" s="53" t="s">
        <v>62</v>
      </c>
      <c r="C167" s="149"/>
      <c r="D167" s="149">
        <v>211.37</v>
      </c>
      <c r="E167" s="149">
        <f t="shared" si="2"/>
        <v>211.37</v>
      </c>
      <c r="F167" s="51"/>
      <c r="G167" s="151">
        <v>4500000</v>
      </c>
      <c r="H167" s="53" t="s">
        <v>834</v>
      </c>
    </row>
    <row r="168" spans="1:8" ht="21.25" customHeight="1" x14ac:dyDescent="0.15">
      <c r="A168" s="8" t="s">
        <v>336</v>
      </c>
      <c r="B168" s="53" t="s">
        <v>62</v>
      </c>
      <c r="C168" s="149"/>
      <c r="D168" s="149">
        <v>201.38</v>
      </c>
      <c r="E168" s="149">
        <f t="shared" si="2"/>
        <v>201.38</v>
      </c>
      <c r="F168" s="149"/>
      <c r="G168" s="151">
        <v>894167</v>
      </c>
      <c r="H168" s="53" t="s">
        <v>60</v>
      </c>
    </row>
    <row r="169" spans="1:8" ht="21.25" customHeight="1" x14ac:dyDescent="0.15">
      <c r="A169" s="8" t="s">
        <v>242</v>
      </c>
      <c r="B169" s="149">
        <v>166.3</v>
      </c>
      <c r="C169" s="149"/>
      <c r="D169" s="149">
        <v>118.67</v>
      </c>
      <c r="E169" s="149">
        <f t="shared" si="2"/>
        <v>142.48500000000001</v>
      </c>
      <c r="F169" s="51"/>
      <c r="G169" s="151">
        <v>4875000</v>
      </c>
      <c r="H169" s="53" t="s">
        <v>62</v>
      </c>
    </row>
    <row r="170" spans="1:8" ht="21.25" customHeight="1" x14ac:dyDescent="0.15">
      <c r="A170" s="8" t="s">
        <v>340</v>
      </c>
      <c r="B170" s="149">
        <v>92.6</v>
      </c>
      <c r="C170" s="149"/>
      <c r="D170" s="149">
        <v>50.86</v>
      </c>
      <c r="E170" s="149">
        <f t="shared" si="2"/>
        <v>71.72999999999999</v>
      </c>
      <c r="F170" s="51"/>
      <c r="G170" s="151">
        <v>5125000</v>
      </c>
      <c r="H170" s="53" t="s">
        <v>834</v>
      </c>
    </row>
    <row r="171" spans="1:8" ht="21.25" customHeight="1" x14ac:dyDescent="0.15">
      <c r="A171" s="8" t="s">
        <v>372</v>
      </c>
      <c r="B171" s="53" t="s">
        <v>62</v>
      </c>
      <c r="C171" s="149"/>
      <c r="D171" s="149">
        <v>350.23</v>
      </c>
      <c r="E171" s="149">
        <f t="shared" si="2"/>
        <v>350.23</v>
      </c>
      <c r="F171" s="51"/>
      <c r="G171" s="151">
        <v>5825000</v>
      </c>
      <c r="H171" s="53" t="s">
        <v>834</v>
      </c>
    </row>
    <row r="172" spans="1:8" ht="21.25" customHeight="1" x14ac:dyDescent="0.15">
      <c r="A172" s="8" t="s">
        <v>346</v>
      </c>
      <c r="B172" s="53" t="s">
        <v>62</v>
      </c>
      <c r="C172" s="149"/>
      <c r="D172" s="149">
        <v>226.95</v>
      </c>
      <c r="E172" s="149">
        <f t="shared" si="2"/>
        <v>226.95</v>
      </c>
      <c r="F172" s="149"/>
      <c r="G172" s="151">
        <v>5500000</v>
      </c>
      <c r="H172" s="53" t="s">
        <v>834</v>
      </c>
    </row>
    <row r="173" spans="1:8" ht="21.25" customHeight="1" x14ac:dyDescent="0.15">
      <c r="A173" s="8" t="s">
        <v>284</v>
      </c>
      <c r="B173" s="149">
        <v>163.5</v>
      </c>
      <c r="C173" s="149"/>
      <c r="D173" s="149">
        <v>190.51</v>
      </c>
      <c r="E173" s="149">
        <f t="shared" si="2"/>
        <v>177.005</v>
      </c>
      <c r="F173" s="149"/>
      <c r="G173" s="151">
        <v>7000000</v>
      </c>
      <c r="H173" s="53" t="s">
        <v>834</v>
      </c>
    </row>
    <row r="174" spans="1:8" ht="21.25" customHeight="1" x14ac:dyDescent="0.15">
      <c r="A174" s="8" t="s">
        <v>322</v>
      </c>
      <c r="B174" s="149">
        <v>137.1</v>
      </c>
      <c r="C174" s="149"/>
      <c r="D174" s="149">
        <v>135.4</v>
      </c>
      <c r="E174" s="149">
        <f t="shared" si="2"/>
        <v>136.25</v>
      </c>
      <c r="F174" s="51"/>
      <c r="G174" s="151">
        <v>5500000</v>
      </c>
      <c r="H174" s="53" t="s">
        <v>56</v>
      </c>
    </row>
    <row r="175" spans="1:8" ht="21.25" customHeight="1" x14ac:dyDescent="0.15">
      <c r="A175" s="8" t="s">
        <v>479</v>
      </c>
      <c r="B175" s="53" t="s">
        <v>62</v>
      </c>
      <c r="C175" s="149"/>
      <c r="D175" s="149">
        <v>330.03</v>
      </c>
      <c r="E175" s="149">
        <f t="shared" si="2"/>
        <v>330.03</v>
      </c>
      <c r="F175" s="149"/>
      <c r="G175" s="151">
        <v>9200000</v>
      </c>
      <c r="H175" s="53" t="s">
        <v>834</v>
      </c>
    </row>
    <row r="176" spans="1:8" ht="21.25" customHeight="1" x14ac:dyDescent="0.15">
      <c r="A176" s="8" t="s">
        <v>271</v>
      </c>
      <c r="B176" s="149">
        <v>169.6</v>
      </c>
      <c r="C176" s="149"/>
      <c r="D176" s="149">
        <v>189.4</v>
      </c>
      <c r="E176" s="149">
        <f t="shared" si="2"/>
        <v>179.5</v>
      </c>
      <c r="F176" s="51"/>
      <c r="G176" s="151">
        <v>5125000</v>
      </c>
      <c r="H176" s="53" t="s">
        <v>834</v>
      </c>
    </row>
    <row r="177" spans="1:8" ht="21.25" customHeight="1" x14ac:dyDescent="0.15">
      <c r="A177" s="8" t="s">
        <v>202</v>
      </c>
      <c r="B177" s="149">
        <v>111.6</v>
      </c>
      <c r="C177" s="149"/>
      <c r="D177" s="149">
        <v>78.569999999999993</v>
      </c>
      <c r="E177" s="149">
        <f t="shared" si="2"/>
        <v>95.084999999999994</v>
      </c>
      <c r="F177" s="51"/>
      <c r="G177" s="151">
        <v>8800000</v>
      </c>
      <c r="H177" s="53" t="s">
        <v>834</v>
      </c>
    </row>
    <row r="178" spans="1:8" ht="21.25" customHeight="1" x14ac:dyDescent="0.15">
      <c r="A178" s="8" t="s">
        <v>378</v>
      </c>
      <c r="B178" s="53" t="s">
        <v>62</v>
      </c>
      <c r="C178" s="149"/>
      <c r="D178" s="149">
        <v>329.49</v>
      </c>
      <c r="E178" s="149">
        <f t="shared" si="2"/>
        <v>329.49</v>
      </c>
      <c r="F178" s="149"/>
      <c r="G178" s="151">
        <v>5900000</v>
      </c>
      <c r="H178" s="53" t="s">
        <v>834</v>
      </c>
    </row>
    <row r="179" spans="1:8" ht="21.25" customHeight="1" x14ac:dyDescent="0.15">
      <c r="A179" s="8" t="s">
        <v>361</v>
      </c>
      <c r="B179" s="53" t="s">
        <v>62</v>
      </c>
      <c r="C179" s="149"/>
      <c r="D179" s="149">
        <v>144.63</v>
      </c>
      <c r="E179" s="149">
        <f t="shared" si="2"/>
        <v>144.63</v>
      </c>
      <c r="F179" s="51"/>
      <c r="G179" s="151">
        <v>3750000</v>
      </c>
      <c r="H179" s="53" t="s">
        <v>834</v>
      </c>
    </row>
    <row r="180" spans="1:8" ht="21.25" customHeight="1" x14ac:dyDescent="0.15">
      <c r="A180" s="8" t="s">
        <v>324</v>
      </c>
      <c r="B180" s="149">
        <v>168.8</v>
      </c>
      <c r="C180" s="149"/>
      <c r="D180" s="149">
        <v>217.68</v>
      </c>
      <c r="E180" s="149">
        <f t="shared" si="2"/>
        <v>193.24</v>
      </c>
      <c r="F180" s="149"/>
      <c r="G180" s="151">
        <v>5400000</v>
      </c>
      <c r="H180" s="53" t="s">
        <v>834</v>
      </c>
    </row>
    <row r="181" spans="1:8" ht="21.25" customHeight="1" x14ac:dyDescent="0.15">
      <c r="A181" s="8" t="s">
        <v>301</v>
      </c>
      <c r="B181" s="149">
        <v>182.3</v>
      </c>
      <c r="C181" s="149"/>
      <c r="D181" s="149">
        <v>1210.5999999999999</v>
      </c>
      <c r="E181" s="149">
        <f t="shared" si="2"/>
        <v>696.44999999999993</v>
      </c>
      <c r="F181" s="51"/>
      <c r="G181" s="151">
        <v>4950000</v>
      </c>
      <c r="H181" s="53" t="s">
        <v>834</v>
      </c>
    </row>
    <row r="182" spans="1:8" ht="21.25" customHeight="1" x14ac:dyDescent="0.15">
      <c r="A182" s="8" t="s">
        <v>250</v>
      </c>
      <c r="B182" s="149">
        <v>144.9</v>
      </c>
      <c r="C182" s="149"/>
      <c r="D182" s="149">
        <v>103.76</v>
      </c>
      <c r="E182" s="149">
        <f t="shared" si="2"/>
        <v>124.33000000000001</v>
      </c>
      <c r="F182" s="51"/>
      <c r="G182" s="151">
        <v>4600000</v>
      </c>
      <c r="H182" s="53" t="s">
        <v>834</v>
      </c>
    </row>
    <row r="183" spans="1:8" ht="21.25" customHeight="1" x14ac:dyDescent="0.15">
      <c r="A183" s="8" t="s">
        <v>390</v>
      </c>
      <c r="B183" s="53" t="s">
        <v>62</v>
      </c>
      <c r="C183" s="149"/>
      <c r="D183" s="149">
        <v>237.09</v>
      </c>
      <c r="E183" s="149">
        <f t="shared" si="2"/>
        <v>237.09</v>
      </c>
      <c r="F183" s="51"/>
      <c r="G183" s="151">
        <v>925000</v>
      </c>
      <c r="H183" s="53" t="s">
        <v>834</v>
      </c>
    </row>
    <row r="184" spans="1:8" ht="21.25" customHeight="1" x14ac:dyDescent="0.15">
      <c r="A184" s="8" t="s">
        <v>234</v>
      </c>
      <c r="B184" s="149">
        <v>132.30000000000001</v>
      </c>
      <c r="C184" s="149"/>
      <c r="D184" s="149">
        <v>120.32</v>
      </c>
      <c r="E184" s="149">
        <f t="shared" si="2"/>
        <v>126.31</v>
      </c>
      <c r="F184" s="149"/>
      <c r="G184" s="151">
        <v>8000000</v>
      </c>
      <c r="H184" s="53" t="s">
        <v>834</v>
      </c>
    </row>
    <row r="185" spans="1:8" ht="21.25" customHeight="1" x14ac:dyDescent="0.15">
      <c r="A185" s="8" t="s">
        <v>364</v>
      </c>
      <c r="B185" s="53" t="s">
        <v>62</v>
      </c>
      <c r="C185" s="149"/>
      <c r="D185" s="149">
        <v>225.65</v>
      </c>
      <c r="E185" s="149">
        <f t="shared" si="2"/>
        <v>225.65</v>
      </c>
      <c r="F185" s="51"/>
      <c r="G185" s="151">
        <v>925000</v>
      </c>
      <c r="H185" s="53" t="s">
        <v>60</v>
      </c>
    </row>
    <row r="186" spans="1:8" ht="21.25" customHeight="1" x14ac:dyDescent="0.15">
      <c r="A186" s="8" t="s">
        <v>240</v>
      </c>
      <c r="B186" s="149">
        <v>144.4</v>
      </c>
      <c r="C186" s="149"/>
      <c r="D186" s="149">
        <v>208.79</v>
      </c>
      <c r="E186" s="149">
        <f t="shared" si="2"/>
        <v>176.595</v>
      </c>
      <c r="F186" s="149"/>
      <c r="G186" s="151">
        <v>6500000</v>
      </c>
      <c r="H186" s="53" t="s">
        <v>834</v>
      </c>
    </row>
    <row r="187" spans="1:8" ht="21.25" customHeight="1" x14ac:dyDescent="0.15">
      <c r="A187" s="8" t="s">
        <v>363</v>
      </c>
      <c r="B187" s="53" t="s">
        <v>62</v>
      </c>
      <c r="C187" s="149"/>
      <c r="D187" s="149">
        <v>221.28</v>
      </c>
      <c r="E187" s="149">
        <f t="shared" si="2"/>
        <v>221.28</v>
      </c>
      <c r="F187" s="51"/>
      <c r="G187" s="151">
        <v>894167</v>
      </c>
      <c r="H187" s="53" t="s">
        <v>60</v>
      </c>
    </row>
    <row r="188" spans="1:8" ht="21.25" customHeight="1" x14ac:dyDescent="0.15">
      <c r="A188" s="8" t="s">
        <v>418</v>
      </c>
      <c r="B188" s="53" t="s">
        <v>62</v>
      </c>
      <c r="C188" s="149"/>
      <c r="D188" s="53" t="s">
        <v>62</v>
      </c>
      <c r="E188" s="53" t="str">
        <f t="shared" si="2"/>
        <v>—</v>
      </c>
      <c r="F188" s="51"/>
      <c r="G188" s="151">
        <v>2500000</v>
      </c>
      <c r="H188" s="53" t="s">
        <v>60</v>
      </c>
    </row>
    <row r="189" spans="1:8" ht="21.25" customHeight="1" x14ac:dyDescent="0.15">
      <c r="A189" s="8" t="s">
        <v>391</v>
      </c>
      <c r="B189" s="53" t="s">
        <v>62</v>
      </c>
      <c r="C189" s="149"/>
      <c r="D189" s="149">
        <v>220.86</v>
      </c>
      <c r="E189" s="149">
        <f t="shared" si="2"/>
        <v>220.86</v>
      </c>
      <c r="F189" s="149"/>
      <c r="G189" s="151">
        <v>9850000</v>
      </c>
      <c r="H189" s="53" t="s">
        <v>834</v>
      </c>
    </row>
    <row r="190" spans="1:8" ht="21.25" customHeight="1" x14ac:dyDescent="0.15">
      <c r="A190" s="8" t="s">
        <v>355</v>
      </c>
      <c r="B190" s="53" t="s">
        <v>62</v>
      </c>
      <c r="C190" s="149"/>
      <c r="D190" s="149">
        <v>232.43</v>
      </c>
      <c r="E190" s="149">
        <f t="shared" si="2"/>
        <v>232.43</v>
      </c>
      <c r="F190" s="51"/>
      <c r="G190" s="151">
        <v>5875000</v>
      </c>
      <c r="H190" s="53" t="s">
        <v>834</v>
      </c>
    </row>
    <row r="191" spans="1:8" ht="21.25" customHeight="1" x14ac:dyDescent="0.15">
      <c r="A191" s="8" t="s">
        <v>351</v>
      </c>
      <c r="B191" s="149">
        <v>161.5</v>
      </c>
      <c r="C191" s="149"/>
      <c r="D191" s="149">
        <v>446.55</v>
      </c>
      <c r="E191" s="149">
        <f t="shared" si="2"/>
        <v>304.02499999999998</v>
      </c>
      <c r="F191" s="51"/>
      <c r="G191" s="151">
        <v>4750000</v>
      </c>
      <c r="H191" s="53" t="s">
        <v>834</v>
      </c>
    </row>
    <row r="192" spans="1:8" ht="21.25" customHeight="1" x14ac:dyDescent="0.15">
      <c r="A192" s="8" t="s">
        <v>318</v>
      </c>
      <c r="B192" s="53" t="s">
        <v>62</v>
      </c>
      <c r="C192" s="149"/>
      <c r="D192" s="53" t="s">
        <v>62</v>
      </c>
      <c r="E192" s="53" t="str">
        <f t="shared" si="2"/>
        <v>—</v>
      </c>
      <c r="F192" s="51"/>
      <c r="G192" s="151">
        <v>4000000</v>
      </c>
      <c r="H192" s="53" t="s">
        <v>834</v>
      </c>
    </row>
    <row r="193" spans="1:8" ht="21.25" customHeight="1" x14ac:dyDescent="0.15">
      <c r="A193" s="8" t="s">
        <v>362</v>
      </c>
      <c r="B193" s="53" t="s">
        <v>62</v>
      </c>
      <c r="C193" s="149"/>
      <c r="D193" s="149">
        <v>417.5</v>
      </c>
      <c r="E193" s="149">
        <f t="shared" si="2"/>
        <v>417.5</v>
      </c>
      <c r="F193" s="149"/>
      <c r="G193" s="151">
        <v>5000000</v>
      </c>
      <c r="H193" s="53" t="s">
        <v>834</v>
      </c>
    </row>
    <row r="194" spans="1:8" ht="21.25" customHeight="1" x14ac:dyDescent="0.15">
      <c r="A194" s="8" t="s">
        <v>194</v>
      </c>
      <c r="B194" s="149">
        <v>112.1</v>
      </c>
      <c r="C194" s="149"/>
      <c r="D194" s="149">
        <v>116.71</v>
      </c>
      <c r="E194" s="149">
        <f t="shared" ref="E194:E257" si="3">IFERROR(AVERAGE(B194:D194),"—")</f>
        <v>114.405</v>
      </c>
      <c r="F194" s="149"/>
      <c r="G194" s="151">
        <v>9500000</v>
      </c>
      <c r="H194" s="53" t="s">
        <v>60</v>
      </c>
    </row>
    <row r="195" spans="1:8" ht="21.25" customHeight="1" x14ac:dyDescent="0.15">
      <c r="A195" s="8" t="s">
        <v>185</v>
      </c>
      <c r="B195" s="149">
        <v>83.4</v>
      </c>
      <c r="C195" s="149"/>
      <c r="D195" s="149">
        <v>73.680000000000007</v>
      </c>
      <c r="E195" s="149">
        <f t="shared" si="3"/>
        <v>78.540000000000006</v>
      </c>
      <c r="F195" s="149"/>
      <c r="G195" s="151">
        <v>5280000</v>
      </c>
      <c r="H195" s="53" t="s">
        <v>60</v>
      </c>
    </row>
    <row r="196" spans="1:8" ht="21.25" customHeight="1" x14ac:dyDescent="0.15">
      <c r="A196" s="8" t="s">
        <v>230</v>
      </c>
      <c r="B196" s="149">
        <v>118.2</v>
      </c>
      <c r="C196" s="149"/>
      <c r="D196" s="149">
        <v>134.16999999999999</v>
      </c>
      <c r="E196" s="149">
        <f t="shared" si="3"/>
        <v>126.185</v>
      </c>
      <c r="F196" s="149"/>
      <c r="G196" s="151">
        <v>6500000</v>
      </c>
      <c r="H196" s="53" t="s">
        <v>834</v>
      </c>
    </row>
    <row r="197" spans="1:8" ht="21.25" customHeight="1" x14ac:dyDescent="0.15">
      <c r="A197" s="8" t="s">
        <v>395</v>
      </c>
      <c r="B197" s="53" t="s">
        <v>62</v>
      </c>
      <c r="C197" s="149"/>
      <c r="D197" s="149">
        <v>202.81</v>
      </c>
      <c r="E197" s="149">
        <f t="shared" si="3"/>
        <v>202.81</v>
      </c>
      <c r="F197" s="51"/>
      <c r="G197" s="151">
        <v>1775000</v>
      </c>
      <c r="H197" s="53" t="s">
        <v>834</v>
      </c>
    </row>
    <row r="198" spans="1:8" ht="21.25" customHeight="1" x14ac:dyDescent="0.15">
      <c r="A198" s="8" t="s">
        <v>333</v>
      </c>
      <c r="B198" s="149">
        <v>162.5</v>
      </c>
      <c r="C198" s="149"/>
      <c r="D198" s="149">
        <v>241.34</v>
      </c>
      <c r="E198" s="149">
        <f t="shared" si="3"/>
        <v>201.92000000000002</v>
      </c>
      <c r="F198" s="149"/>
      <c r="G198" s="151">
        <v>5750000</v>
      </c>
      <c r="H198" s="53" t="s">
        <v>834</v>
      </c>
    </row>
    <row r="199" spans="1:8" ht="21.25" customHeight="1" x14ac:dyDescent="0.15">
      <c r="A199" s="8" t="s">
        <v>243</v>
      </c>
      <c r="B199" s="149">
        <v>157.80000000000001</v>
      </c>
      <c r="C199" s="149"/>
      <c r="D199" s="149">
        <v>164.8</v>
      </c>
      <c r="E199" s="149">
        <f t="shared" si="3"/>
        <v>161.30000000000001</v>
      </c>
      <c r="F199" s="51"/>
      <c r="G199" s="151">
        <v>1700000</v>
      </c>
      <c r="H199" s="53" t="s">
        <v>834</v>
      </c>
    </row>
    <row r="200" spans="1:8" ht="21.25" customHeight="1" x14ac:dyDescent="0.15">
      <c r="A200" s="8" t="s">
        <v>313</v>
      </c>
      <c r="B200" s="53" t="s">
        <v>62</v>
      </c>
      <c r="C200" s="149"/>
      <c r="D200" s="149">
        <v>226.35</v>
      </c>
      <c r="E200" s="149">
        <f t="shared" si="3"/>
        <v>226.35</v>
      </c>
      <c r="F200" s="51"/>
      <c r="G200" s="151">
        <v>4150000</v>
      </c>
      <c r="H200" s="53" t="s">
        <v>834</v>
      </c>
    </row>
    <row r="201" spans="1:8" ht="21.25" customHeight="1" x14ac:dyDescent="0.15">
      <c r="A201" s="8" t="s">
        <v>440</v>
      </c>
      <c r="B201" s="53" t="s">
        <v>62</v>
      </c>
      <c r="C201" s="149"/>
      <c r="D201" s="149">
        <v>395.01</v>
      </c>
      <c r="E201" s="149">
        <f t="shared" si="3"/>
        <v>395.01</v>
      </c>
      <c r="F201" s="149"/>
      <c r="G201" s="151">
        <v>4820000</v>
      </c>
      <c r="H201" s="53" t="s">
        <v>834</v>
      </c>
    </row>
    <row r="202" spans="1:8" ht="21.25" customHeight="1" x14ac:dyDescent="0.15">
      <c r="A202" s="8" t="s">
        <v>292</v>
      </c>
      <c r="B202" s="149">
        <v>174.5</v>
      </c>
      <c r="C202" s="149"/>
      <c r="D202" s="149">
        <v>218.25</v>
      </c>
      <c r="E202" s="149">
        <f t="shared" si="3"/>
        <v>196.375</v>
      </c>
      <c r="F202" s="51"/>
      <c r="G202" s="151">
        <v>5400000</v>
      </c>
      <c r="H202" s="53" t="s">
        <v>834</v>
      </c>
    </row>
    <row r="203" spans="1:8" ht="21.25" customHeight="1" x14ac:dyDescent="0.15">
      <c r="A203" s="8" t="s">
        <v>510</v>
      </c>
      <c r="B203" s="53" t="s">
        <v>62</v>
      </c>
      <c r="C203" s="149"/>
      <c r="D203" s="149">
        <v>502.5</v>
      </c>
      <c r="E203" s="149">
        <f t="shared" si="3"/>
        <v>502.5</v>
      </c>
      <c r="F203" s="149"/>
      <c r="G203" s="151">
        <v>863333</v>
      </c>
      <c r="H203" s="53" t="s">
        <v>834</v>
      </c>
    </row>
    <row r="204" spans="1:8" ht="21.25" customHeight="1" x14ac:dyDescent="0.15">
      <c r="A204" s="8" t="s">
        <v>312</v>
      </c>
      <c r="B204" s="149">
        <v>162</v>
      </c>
      <c r="C204" s="149"/>
      <c r="D204" s="149">
        <v>209.31</v>
      </c>
      <c r="E204" s="149">
        <f t="shared" si="3"/>
        <v>185.655</v>
      </c>
      <c r="F204" s="51"/>
      <c r="G204" s="151">
        <v>5350000</v>
      </c>
      <c r="H204" s="53" t="s">
        <v>834</v>
      </c>
    </row>
    <row r="205" spans="1:8" ht="21.25" customHeight="1" x14ac:dyDescent="0.15">
      <c r="A205" s="8" t="s">
        <v>406</v>
      </c>
      <c r="B205" s="53" t="s">
        <v>62</v>
      </c>
      <c r="C205" s="149"/>
      <c r="D205" s="53" t="s">
        <v>62</v>
      </c>
      <c r="E205" s="53" t="str">
        <f t="shared" si="3"/>
        <v>—</v>
      </c>
      <c r="F205" s="149"/>
      <c r="G205" s="151">
        <v>2625000</v>
      </c>
      <c r="H205" s="53" t="s">
        <v>834</v>
      </c>
    </row>
    <row r="206" spans="1:8" ht="21.25" customHeight="1" x14ac:dyDescent="0.15">
      <c r="A206" s="8" t="s">
        <v>317</v>
      </c>
      <c r="B206" s="149">
        <v>180</v>
      </c>
      <c r="C206" s="149"/>
      <c r="D206" s="149">
        <v>231.82</v>
      </c>
      <c r="E206" s="149">
        <f t="shared" si="3"/>
        <v>205.91</v>
      </c>
      <c r="F206" s="51"/>
      <c r="G206" s="151">
        <v>4000000</v>
      </c>
      <c r="H206" s="53" t="s">
        <v>834</v>
      </c>
    </row>
    <row r="207" spans="1:8" ht="21.25" customHeight="1" x14ac:dyDescent="0.15">
      <c r="A207" s="8" t="s">
        <v>426</v>
      </c>
      <c r="B207" s="53" t="s">
        <v>62</v>
      </c>
      <c r="C207" s="149"/>
      <c r="D207" s="149">
        <v>325.68</v>
      </c>
      <c r="E207" s="149">
        <f t="shared" si="3"/>
        <v>325.68</v>
      </c>
      <c r="F207" s="149"/>
      <c r="G207" s="151">
        <v>894167</v>
      </c>
      <c r="H207" s="53" t="s">
        <v>56</v>
      </c>
    </row>
    <row r="208" spans="1:8" ht="21.25" customHeight="1" x14ac:dyDescent="0.15">
      <c r="A208" s="8" t="s">
        <v>431</v>
      </c>
      <c r="B208" s="53" t="s">
        <v>62</v>
      </c>
      <c r="C208" s="149"/>
      <c r="D208" s="149">
        <v>243.41</v>
      </c>
      <c r="E208" s="149">
        <f t="shared" si="3"/>
        <v>243.41</v>
      </c>
      <c r="F208" s="149"/>
      <c r="G208" s="151">
        <v>4437500</v>
      </c>
      <c r="H208" s="53" t="s">
        <v>834</v>
      </c>
    </row>
    <row r="209" spans="1:8" ht="21.25" customHeight="1" x14ac:dyDescent="0.15">
      <c r="A209" s="8" t="s">
        <v>407</v>
      </c>
      <c r="B209" s="149">
        <v>154.19999999999999</v>
      </c>
      <c r="C209" s="149"/>
      <c r="D209" s="149">
        <v>409.4</v>
      </c>
      <c r="E209" s="149">
        <f t="shared" si="3"/>
        <v>281.79999999999995</v>
      </c>
      <c r="F209" s="51"/>
      <c r="G209" s="151">
        <v>5250000</v>
      </c>
      <c r="H209" s="53" t="s">
        <v>834</v>
      </c>
    </row>
    <row r="210" spans="1:8" ht="21.25" customHeight="1" x14ac:dyDescent="0.15">
      <c r="A210" s="8" t="s">
        <v>376</v>
      </c>
      <c r="B210" s="53" t="s">
        <v>62</v>
      </c>
      <c r="C210" s="149"/>
      <c r="D210" s="53" t="s">
        <v>62</v>
      </c>
      <c r="E210" s="53" t="str">
        <f t="shared" si="3"/>
        <v>—</v>
      </c>
      <c r="F210" s="51"/>
      <c r="G210" s="151">
        <v>4500000</v>
      </c>
      <c r="H210" s="53" t="s">
        <v>834</v>
      </c>
    </row>
    <row r="211" spans="1:8" ht="21.25" customHeight="1" x14ac:dyDescent="0.15">
      <c r="A211" s="8" t="s">
        <v>455</v>
      </c>
      <c r="B211" s="149">
        <v>165.8</v>
      </c>
      <c r="C211" s="149"/>
      <c r="D211" s="149">
        <v>465.5</v>
      </c>
      <c r="E211" s="149">
        <f t="shared" si="3"/>
        <v>315.64999999999998</v>
      </c>
      <c r="F211" s="149"/>
      <c r="G211" s="151">
        <v>5166600</v>
      </c>
      <c r="H211" s="53" t="s">
        <v>834</v>
      </c>
    </row>
    <row r="212" spans="1:8" ht="21.25" customHeight="1" x14ac:dyDescent="0.15">
      <c r="A212" s="8" t="s">
        <v>261</v>
      </c>
      <c r="B212" s="149">
        <v>160.80000000000001</v>
      </c>
      <c r="C212" s="149"/>
      <c r="D212" s="149">
        <v>214.3</v>
      </c>
      <c r="E212" s="149">
        <f t="shared" si="3"/>
        <v>187.55</v>
      </c>
      <c r="F212" s="51"/>
      <c r="G212" s="151">
        <v>6500000</v>
      </c>
      <c r="H212" s="53" t="s">
        <v>834</v>
      </c>
    </row>
    <row r="213" spans="1:8" ht="21.25" customHeight="1" x14ac:dyDescent="0.15">
      <c r="A213" s="8" t="s">
        <v>409</v>
      </c>
      <c r="B213" s="149">
        <v>147.80000000000001</v>
      </c>
      <c r="C213" s="149"/>
      <c r="D213" s="149">
        <v>220.12</v>
      </c>
      <c r="E213" s="149">
        <f t="shared" si="3"/>
        <v>183.96</v>
      </c>
      <c r="F213" s="51"/>
      <c r="G213" s="151">
        <v>3571429</v>
      </c>
      <c r="H213" s="53" t="s">
        <v>834</v>
      </c>
    </row>
    <row r="214" spans="1:8" ht="21.25" customHeight="1" x14ac:dyDescent="0.15">
      <c r="A214" s="8" t="s">
        <v>435</v>
      </c>
      <c r="B214" s="53" t="s">
        <v>62</v>
      </c>
      <c r="C214" s="149"/>
      <c r="D214" s="149">
        <v>454.4</v>
      </c>
      <c r="E214" s="149">
        <f t="shared" si="3"/>
        <v>454.4</v>
      </c>
      <c r="F214" s="51"/>
      <c r="G214" s="151">
        <v>2300000</v>
      </c>
      <c r="H214" s="53" t="s">
        <v>834</v>
      </c>
    </row>
    <row r="215" spans="1:8" ht="21.25" customHeight="1" x14ac:dyDescent="0.15">
      <c r="A215" s="8" t="s">
        <v>344</v>
      </c>
      <c r="B215" s="149">
        <v>185.6</v>
      </c>
      <c r="C215" s="149"/>
      <c r="D215" s="53" t="s">
        <v>62</v>
      </c>
      <c r="E215" s="149">
        <f t="shared" si="3"/>
        <v>185.6</v>
      </c>
      <c r="F215" s="149"/>
      <c r="G215" s="151">
        <v>2000000</v>
      </c>
      <c r="H215" s="53" t="s">
        <v>834</v>
      </c>
    </row>
    <row r="216" spans="1:8" ht="21.25" customHeight="1" x14ac:dyDescent="0.15">
      <c r="A216" s="8" t="s">
        <v>456</v>
      </c>
      <c r="B216" s="149">
        <v>151</v>
      </c>
      <c r="C216" s="149"/>
      <c r="D216" s="149">
        <v>219.87</v>
      </c>
      <c r="E216" s="149">
        <f t="shared" si="3"/>
        <v>185.435</v>
      </c>
      <c r="F216" s="149"/>
      <c r="G216" s="151">
        <v>2500000</v>
      </c>
      <c r="H216" s="53" t="s">
        <v>834</v>
      </c>
    </row>
    <row r="217" spans="1:8" ht="21.25" customHeight="1" x14ac:dyDescent="0.15">
      <c r="A217" s="8" t="s">
        <v>381</v>
      </c>
      <c r="B217" s="149">
        <v>164.7</v>
      </c>
      <c r="C217" s="149"/>
      <c r="D217" s="149">
        <v>319.89999999999998</v>
      </c>
      <c r="E217" s="149">
        <f t="shared" si="3"/>
        <v>242.29999999999998</v>
      </c>
      <c r="F217" s="149"/>
      <c r="G217" s="151">
        <v>5100000</v>
      </c>
      <c r="H217" s="53" t="s">
        <v>834</v>
      </c>
    </row>
    <row r="218" spans="1:8" ht="21.25" customHeight="1" x14ac:dyDescent="0.15">
      <c r="A218" s="8" t="s">
        <v>566</v>
      </c>
      <c r="B218" s="53" t="s">
        <v>62</v>
      </c>
      <c r="C218" s="149"/>
      <c r="D218" s="53" t="s">
        <v>62</v>
      </c>
      <c r="E218" s="53" t="str">
        <f t="shared" si="3"/>
        <v>—</v>
      </c>
      <c r="F218" s="149"/>
      <c r="G218" s="151">
        <v>850833</v>
      </c>
      <c r="H218" s="53" t="s">
        <v>834</v>
      </c>
    </row>
    <row r="219" spans="1:8" ht="21.25" customHeight="1" x14ac:dyDescent="0.15">
      <c r="A219" s="8" t="s">
        <v>445</v>
      </c>
      <c r="B219" s="53" t="s">
        <v>62</v>
      </c>
      <c r="C219" s="149"/>
      <c r="D219" s="149">
        <v>417.28</v>
      </c>
      <c r="E219" s="149">
        <f t="shared" si="3"/>
        <v>417.28</v>
      </c>
      <c r="F219" s="51"/>
      <c r="G219" s="151">
        <v>6088890</v>
      </c>
      <c r="H219" s="53" t="s">
        <v>834</v>
      </c>
    </row>
    <row r="220" spans="1:8" ht="21.25" customHeight="1" x14ac:dyDescent="0.15">
      <c r="A220" s="8" t="s">
        <v>474</v>
      </c>
      <c r="B220" s="53" t="s">
        <v>62</v>
      </c>
      <c r="C220" s="149"/>
      <c r="D220" s="149">
        <v>223.52</v>
      </c>
      <c r="E220" s="149">
        <f t="shared" si="3"/>
        <v>223.52</v>
      </c>
      <c r="F220" s="51"/>
      <c r="G220" s="151"/>
      <c r="H220" s="53" t="s">
        <v>834</v>
      </c>
    </row>
    <row r="221" spans="1:8" ht="21.25" customHeight="1" x14ac:dyDescent="0.15">
      <c r="A221" s="8" t="s">
        <v>326</v>
      </c>
      <c r="B221" s="53" t="s">
        <v>62</v>
      </c>
      <c r="C221" s="149"/>
      <c r="D221" s="149">
        <v>346.16</v>
      </c>
      <c r="E221" s="149">
        <f t="shared" si="3"/>
        <v>346.16</v>
      </c>
      <c r="F221" s="51"/>
      <c r="G221" s="151">
        <v>4200000</v>
      </c>
      <c r="H221" s="53" t="s">
        <v>834</v>
      </c>
    </row>
    <row r="222" spans="1:8" ht="21.25" customHeight="1" x14ac:dyDescent="0.15">
      <c r="A222" s="8" t="s">
        <v>303</v>
      </c>
      <c r="B222" s="149">
        <v>113.4</v>
      </c>
      <c r="C222" s="149"/>
      <c r="D222" s="149">
        <v>134.65</v>
      </c>
      <c r="E222" s="149">
        <f t="shared" si="3"/>
        <v>124.02500000000001</v>
      </c>
      <c r="F222" s="51"/>
      <c r="G222" s="151">
        <v>7500000</v>
      </c>
      <c r="H222" s="53" t="s">
        <v>834</v>
      </c>
    </row>
    <row r="223" spans="1:8" ht="21.25" customHeight="1" x14ac:dyDescent="0.15">
      <c r="A223" s="8" t="s">
        <v>461</v>
      </c>
      <c r="B223" s="53" t="s">
        <v>62</v>
      </c>
      <c r="C223" s="149"/>
      <c r="D223" s="149">
        <v>306.68</v>
      </c>
      <c r="E223" s="149">
        <f t="shared" si="3"/>
        <v>306.68</v>
      </c>
      <c r="F223" s="51"/>
      <c r="G223" s="151">
        <v>1100000</v>
      </c>
      <c r="H223" s="53" t="s">
        <v>834</v>
      </c>
    </row>
    <row r="224" spans="1:8" ht="21.25" customHeight="1" x14ac:dyDescent="0.15">
      <c r="A224" s="8" t="s">
        <v>402</v>
      </c>
      <c r="B224" s="53" t="s">
        <v>62</v>
      </c>
      <c r="C224" s="149"/>
      <c r="D224" s="149">
        <v>244.77</v>
      </c>
      <c r="E224" s="149">
        <f t="shared" si="3"/>
        <v>244.77</v>
      </c>
      <c r="F224" s="51"/>
      <c r="G224" s="151">
        <v>3000000</v>
      </c>
      <c r="H224" s="53" t="s">
        <v>834</v>
      </c>
    </row>
    <row r="225" spans="1:8" ht="21.25" customHeight="1" x14ac:dyDescent="0.15">
      <c r="A225" s="8" t="s">
        <v>594</v>
      </c>
      <c r="B225" s="53" t="s">
        <v>62</v>
      </c>
      <c r="C225" s="149"/>
      <c r="D225" s="149">
        <v>1226.5999999999999</v>
      </c>
      <c r="E225" s="149">
        <f t="shared" si="3"/>
        <v>1226.5999999999999</v>
      </c>
      <c r="F225" s="51"/>
      <c r="G225" s="151">
        <v>863333</v>
      </c>
      <c r="H225" s="53" t="s">
        <v>834</v>
      </c>
    </row>
    <row r="226" spans="1:8" ht="21.25" customHeight="1" x14ac:dyDescent="0.15">
      <c r="A226" s="8" t="s">
        <v>414</v>
      </c>
      <c r="B226" s="53" t="s">
        <v>62</v>
      </c>
      <c r="C226" s="149"/>
      <c r="D226" s="53" t="s">
        <v>62</v>
      </c>
      <c r="E226" s="53" t="str">
        <f t="shared" si="3"/>
        <v>—</v>
      </c>
      <c r="F226" s="51"/>
      <c r="G226" s="151">
        <v>3185000</v>
      </c>
      <c r="H226" s="53" t="s">
        <v>834</v>
      </c>
    </row>
    <row r="227" spans="1:8" ht="21.25" customHeight="1" x14ac:dyDescent="0.15">
      <c r="A227" s="8" t="s">
        <v>483</v>
      </c>
      <c r="B227" s="53" t="s">
        <v>62</v>
      </c>
      <c r="C227" s="149"/>
      <c r="D227" s="149">
        <v>291.10000000000002</v>
      </c>
      <c r="E227" s="149">
        <f t="shared" si="3"/>
        <v>291.10000000000002</v>
      </c>
      <c r="F227" s="149"/>
      <c r="G227" s="151">
        <v>4250000</v>
      </c>
      <c r="H227" s="53" t="s">
        <v>834</v>
      </c>
    </row>
    <row r="228" spans="1:8" ht="21.25" customHeight="1" x14ac:dyDescent="0.15">
      <c r="A228" s="8" t="s">
        <v>500</v>
      </c>
      <c r="B228" s="53" t="s">
        <v>62</v>
      </c>
      <c r="C228" s="149"/>
      <c r="D228" s="53" t="s">
        <v>62</v>
      </c>
      <c r="E228" s="53" t="str">
        <f t="shared" si="3"/>
        <v>—</v>
      </c>
      <c r="F228" s="149"/>
      <c r="G228" s="151">
        <v>5625000</v>
      </c>
      <c r="H228" s="53" t="s">
        <v>834</v>
      </c>
    </row>
    <row r="229" spans="1:8" ht="21.25" customHeight="1" x14ac:dyDescent="0.15">
      <c r="A229" s="8" t="s">
        <v>542</v>
      </c>
      <c r="B229" s="53" t="s">
        <v>62</v>
      </c>
      <c r="C229" s="149"/>
      <c r="D229" s="149">
        <v>327.5</v>
      </c>
      <c r="E229" s="149">
        <f t="shared" si="3"/>
        <v>327.5</v>
      </c>
      <c r="F229" s="51"/>
      <c r="G229" s="151">
        <v>4000000</v>
      </c>
      <c r="H229" s="53" t="s">
        <v>834</v>
      </c>
    </row>
    <row r="230" spans="1:8" ht="21.25" customHeight="1" x14ac:dyDescent="0.15">
      <c r="A230" s="8" t="s">
        <v>270</v>
      </c>
      <c r="B230" s="149">
        <v>158.6</v>
      </c>
      <c r="C230" s="149"/>
      <c r="D230" s="149">
        <v>243.34</v>
      </c>
      <c r="E230" s="149">
        <f t="shared" si="3"/>
        <v>200.97</v>
      </c>
      <c r="F230" s="51"/>
      <c r="G230" s="151">
        <v>863000</v>
      </c>
      <c r="H230" s="53" t="s">
        <v>834</v>
      </c>
    </row>
    <row r="231" spans="1:8" ht="21.25" customHeight="1" x14ac:dyDescent="0.15">
      <c r="A231" s="8" t="s">
        <v>386</v>
      </c>
      <c r="B231" s="149">
        <v>171.2</v>
      </c>
      <c r="C231" s="149"/>
      <c r="D231" s="149">
        <v>235.35</v>
      </c>
      <c r="E231" s="149">
        <f t="shared" si="3"/>
        <v>203.27499999999998</v>
      </c>
      <c r="F231" s="51"/>
      <c r="G231" s="151"/>
      <c r="H231" s="53" t="s">
        <v>60</v>
      </c>
    </row>
    <row r="232" spans="1:8" ht="21.25" customHeight="1" x14ac:dyDescent="0.15">
      <c r="A232" s="8" t="s">
        <v>520</v>
      </c>
      <c r="B232" s="53" t="s">
        <v>62</v>
      </c>
      <c r="C232" s="149"/>
      <c r="D232" s="149">
        <v>456.5</v>
      </c>
      <c r="E232" s="149">
        <f t="shared" si="3"/>
        <v>456.5</v>
      </c>
      <c r="F232" s="51"/>
      <c r="G232" s="151">
        <v>5500000</v>
      </c>
      <c r="H232" s="53" t="s">
        <v>834</v>
      </c>
    </row>
    <row r="233" spans="1:8" ht="21.25" customHeight="1" x14ac:dyDescent="0.15">
      <c r="A233" s="8" t="s">
        <v>264</v>
      </c>
      <c r="B233" s="149">
        <v>131</v>
      </c>
      <c r="C233" s="149"/>
      <c r="D233" s="149">
        <v>171.45</v>
      </c>
      <c r="E233" s="149">
        <f t="shared" si="3"/>
        <v>151.22499999999999</v>
      </c>
      <c r="F233" s="51"/>
      <c r="G233" s="151">
        <v>2667000</v>
      </c>
      <c r="H233" s="53" t="s">
        <v>834</v>
      </c>
    </row>
    <row r="234" spans="1:8" ht="21.25" customHeight="1" x14ac:dyDescent="0.15">
      <c r="A234" s="8" t="s">
        <v>257</v>
      </c>
      <c r="B234" s="149">
        <v>146.30000000000001</v>
      </c>
      <c r="C234" s="149"/>
      <c r="D234" s="149">
        <v>214.17</v>
      </c>
      <c r="E234" s="149">
        <f t="shared" si="3"/>
        <v>180.23500000000001</v>
      </c>
      <c r="F234" s="51"/>
      <c r="G234" s="151">
        <v>4950000</v>
      </c>
      <c r="H234" s="53" t="s">
        <v>834</v>
      </c>
    </row>
    <row r="235" spans="1:8" ht="21.25" customHeight="1" x14ac:dyDescent="0.15">
      <c r="A235" s="8" t="s">
        <v>411</v>
      </c>
      <c r="B235" s="53" t="s">
        <v>62</v>
      </c>
      <c r="C235" s="149"/>
      <c r="D235" s="53" t="s">
        <v>62</v>
      </c>
      <c r="E235" s="53" t="str">
        <f t="shared" si="3"/>
        <v>—</v>
      </c>
      <c r="F235" s="51"/>
      <c r="G235" s="151">
        <v>5000000</v>
      </c>
      <c r="H235" s="53" t="s">
        <v>834</v>
      </c>
    </row>
    <row r="236" spans="1:8" ht="21.25" customHeight="1" x14ac:dyDescent="0.15">
      <c r="A236" s="8" t="s">
        <v>392</v>
      </c>
      <c r="B236" s="149">
        <v>175</v>
      </c>
      <c r="C236" s="149"/>
      <c r="D236" s="149">
        <v>193.25</v>
      </c>
      <c r="E236" s="149">
        <f t="shared" si="3"/>
        <v>184.125</v>
      </c>
      <c r="F236" s="51"/>
      <c r="G236" s="151">
        <v>4300000</v>
      </c>
      <c r="H236" s="53" t="s">
        <v>834</v>
      </c>
    </row>
    <row r="237" spans="1:8" ht="21.25" customHeight="1" x14ac:dyDescent="0.15">
      <c r="A237" s="8" t="s">
        <v>314</v>
      </c>
      <c r="B237" s="149">
        <v>170.1</v>
      </c>
      <c r="C237" s="149"/>
      <c r="D237" s="149">
        <v>241.82</v>
      </c>
      <c r="E237" s="149">
        <f t="shared" si="3"/>
        <v>205.95999999999998</v>
      </c>
      <c r="F237" s="51"/>
      <c r="G237" s="151">
        <v>925000</v>
      </c>
      <c r="H237" s="53" t="s">
        <v>834</v>
      </c>
    </row>
    <row r="238" spans="1:8" ht="21.25" customHeight="1" x14ac:dyDescent="0.15">
      <c r="A238" s="8" t="s">
        <v>408</v>
      </c>
      <c r="B238" s="149">
        <v>176.8</v>
      </c>
      <c r="C238" s="149"/>
      <c r="D238" s="149">
        <v>409.02</v>
      </c>
      <c r="E238" s="149">
        <f t="shared" si="3"/>
        <v>292.90999999999997</v>
      </c>
      <c r="F238" s="149"/>
      <c r="G238" s="151">
        <v>2100000</v>
      </c>
      <c r="H238" s="53" t="s">
        <v>60</v>
      </c>
    </row>
    <row r="239" spans="1:8" ht="21.25" customHeight="1" x14ac:dyDescent="0.15">
      <c r="A239" s="8" t="s">
        <v>267</v>
      </c>
      <c r="B239" s="149">
        <v>111.3</v>
      </c>
      <c r="C239" s="149"/>
      <c r="D239" s="149">
        <v>156.88999999999999</v>
      </c>
      <c r="E239" s="149">
        <f t="shared" si="3"/>
        <v>134.095</v>
      </c>
      <c r="F239" s="149"/>
      <c r="G239" s="151">
        <v>6500000</v>
      </c>
      <c r="H239" s="53" t="s">
        <v>60</v>
      </c>
    </row>
    <row r="240" spans="1:8" ht="21.25" customHeight="1" x14ac:dyDescent="0.15">
      <c r="A240" s="8" t="s">
        <v>278</v>
      </c>
      <c r="B240" s="149">
        <v>148.80000000000001</v>
      </c>
      <c r="C240" s="149"/>
      <c r="D240" s="149">
        <v>217.26</v>
      </c>
      <c r="E240" s="149">
        <f t="shared" si="3"/>
        <v>183.03</v>
      </c>
      <c r="F240" s="149"/>
      <c r="G240" s="151">
        <v>4400000</v>
      </c>
      <c r="H240" s="53" t="s">
        <v>834</v>
      </c>
    </row>
    <row r="241" spans="1:8" ht="21.25" customHeight="1" x14ac:dyDescent="0.15">
      <c r="A241" s="8" t="s">
        <v>367</v>
      </c>
      <c r="B241" s="149">
        <v>164.7</v>
      </c>
      <c r="C241" s="149"/>
      <c r="D241" s="149">
        <v>162.66</v>
      </c>
      <c r="E241" s="149">
        <f t="shared" si="3"/>
        <v>163.68</v>
      </c>
      <c r="F241" s="51"/>
      <c r="G241" s="151">
        <v>3850000</v>
      </c>
      <c r="H241" s="53" t="s">
        <v>834</v>
      </c>
    </row>
    <row r="242" spans="1:8" ht="21.25" customHeight="1" x14ac:dyDescent="0.15">
      <c r="A242" s="8" t="s">
        <v>452</v>
      </c>
      <c r="B242" s="149">
        <v>168.8</v>
      </c>
      <c r="C242" s="149"/>
      <c r="D242" s="149">
        <v>195.95</v>
      </c>
      <c r="E242" s="149">
        <f t="shared" si="3"/>
        <v>182.375</v>
      </c>
      <c r="F242" s="51"/>
      <c r="G242" s="151">
        <v>775000</v>
      </c>
      <c r="H242" s="53" t="s">
        <v>834</v>
      </c>
    </row>
    <row r="243" spans="1:8" ht="21.25" customHeight="1" x14ac:dyDescent="0.15">
      <c r="A243" s="8" t="s">
        <v>466</v>
      </c>
      <c r="B243" s="53" t="s">
        <v>62</v>
      </c>
      <c r="C243" s="149"/>
      <c r="D243" s="149">
        <v>297.56</v>
      </c>
      <c r="E243" s="149">
        <f t="shared" si="3"/>
        <v>297.56</v>
      </c>
      <c r="F243" s="149"/>
      <c r="G243" s="151">
        <v>4000000</v>
      </c>
      <c r="H243" s="53" t="s">
        <v>834</v>
      </c>
    </row>
    <row r="244" spans="1:8" ht="21.25" customHeight="1" x14ac:dyDescent="0.15">
      <c r="A244" s="8" t="s">
        <v>509</v>
      </c>
      <c r="B244" s="53" t="s">
        <v>62</v>
      </c>
      <c r="C244" s="149"/>
      <c r="D244" s="53" t="s">
        <v>62</v>
      </c>
      <c r="E244" s="53" t="str">
        <f t="shared" si="3"/>
        <v>—</v>
      </c>
      <c r="F244" s="149"/>
      <c r="G244" s="151">
        <v>3000000</v>
      </c>
      <c r="H244" s="53" t="s">
        <v>834</v>
      </c>
    </row>
    <row r="245" spans="1:8" ht="21.25" customHeight="1" x14ac:dyDescent="0.15">
      <c r="A245" s="8" t="s">
        <v>532</v>
      </c>
      <c r="B245" s="53" t="s">
        <v>62</v>
      </c>
      <c r="C245" s="149"/>
      <c r="D245" s="149">
        <v>461.5</v>
      </c>
      <c r="E245" s="149">
        <f t="shared" si="3"/>
        <v>461.5</v>
      </c>
      <c r="F245" s="51"/>
      <c r="G245" s="151">
        <v>1985000</v>
      </c>
      <c r="H245" s="53" t="s">
        <v>834</v>
      </c>
    </row>
    <row r="246" spans="1:8" ht="21.25" customHeight="1" x14ac:dyDescent="0.15">
      <c r="A246" s="8" t="s">
        <v>539</v>
      </c>
      <c r="B246" s="53" t="s">
        <v>62</v>
      </c>
      <c r="C246" s="149"/>
      <c r="D246" s="53" t="s">
        <v>62</v>
      </c>
      <c r="E246" s="53" t="str">
        <f t="shared" si="3"/>
        <v>—</v>
      </c>
      <c r="F246" s="149"/>
      <c r="G246" s="151">
        <v>2900000</v>
      </c>
      <c r="H246" s="53" t="s">
        <v>834</v>
      </c>
    </row>
    <row r="247" spans="1:8" ht="21.25" customHeight="1" x14ac:dyDescent="0.15">
      <c r="A247" s="8" t="s">
        <v>307</v>
      </c>
      <c r="B247" s="53" t="s">
        <v>62</v>
      </c>
      <c r="C247" s="149"/>
      <c r="D247" s="53" t="s">
        <v>62</v>
      </c>
      <c r="E247" s="53" t="str">
        <f t="shared" si="3"/>
        <v>—</v>
      </c>
      <c r="F247" s="51"/>
      <c r="G247" s="151"/>
      <c r="H247" s="53" t="s">
        <v>62</v>
      </c>
    </row>
    <row r="248" spans="1:8" ht="21.25" customHeight="1" x14ac:dyDescent="0.15">
      <c r="A248" s="8" t="s">
        <v>451</v>
      </c>
      <c r="B248" s="53" t="s">
        <v>62</v>
      </c>
      <c r="C248" s="149"/>
      <c r="D248" s="53" t="s">
        <v>62</v>
      </c>
      <c r="E248" s="53" t="str">
        <f t="shared" si="3"/>
        <v>—</v>
      </c>
      <c r="F248" s="51"/>
      <c r="G248" s="151">
        <v>6000000</v>
      </c>
      <c r="H248" s="53" t="s">
        <v>834</v>
      </c>
    </row>
    <row r="249" spans="1:8" ht="21.25" customHeight="1" x14ac:dyDescent="0.15">
      <c r="A249" s="8" t="s">
        <v>387</v>
      </c>
      <c r="B249" s="53" t="s">
        <v>62</v>
      </c>
      <c r="C249" s="149"/>
      <c r="D249" s="53" t="s">
        <v>62</v>
      </c>
      <c r="E249" s="53" t="str">
        <f t="shared" si="3"/>
        <v>—</v>
      </c>
      <c r="F249" s="149"/>
      <c r="G249" s="151">
        <v>4750000</v>
      </c>
      <c r="H249" s="53" t="s">
        <v>834</v>
      </c>
    </row>
    <row r="250" spans="1:8" ht="21.25" customHeight="1" x14ac:dyDescent="0.15">
      <c r="A250" s="8" t="s">
        <v>388</v>
      </c>
      <c r="B250" s="53" t="s">
        <v>62</v>
      </c>
      <c r="C250" s="149"/>
      <c r="D250" s="53" t="s">
        <v>62</v>
      </c>
      <c r="E250" s="53" t="str">
        <f t="shared" si="3"/>
        <v>—</v>
      </c>
      <c r="F250" s="51"/>
      <c r="G250" s="151">
        <v>5000000</v>
      </c>
      <c r="H250" s="53" t="s">
        <v>834</v>
      </c>
    </row>
    <row r="251" spans="1:8" ht="21.25" customHeight="1" x14ac:dyDescent="0.15">
      <c r="A251" s="8" t="s">
        <v>425</v>
      </c>
      <c r="B251" s="149">
        <v>171.4</v>
      </c>
      <c r="C251" s="149"/>
      <c r="D251" s="149">
        <v>218.23</v>
      </c>
      <c r="E251" s="149">
        <f t="shared" si="3"/>
        <v>194.815</v>
      </c>
      <c r="F251" s="51"/>
      <c r="G251" s="151">
        <v>5300000</v>
      </c>
      <c r="H251" s="53" t="s">
        <v>834</v>
      </c>
    </row>
    <row r="252" spans="1:8" ht="21.25" customHeight="1" x14ac:dyDescent="0.15">
      <c r="A252" s="8" t="s">
        <v>365</v>
      </c>
      <c r="B252" s="149">
        <v>180.3</v>
      </c>
      <c r="C252" s="149"/>
      <c r="D252" s="149">
        <v>281.02999999999997</v>
      </c>
      <c r="E252" s="149">
        <f t="shared" si="3"/>
        <v>230.66499999999999</v>
      </c>
      <c r="F252" s="51"/>
      <c r="G252" s="151">
        <v>2500000</v>
      </c>
      <c r="H252" s="53" t="s">
        <v>834</v>
      </c>
    </row>
    <row r="253" spans="1:8" ht="21.25" customHeight="1" x14ac:dyDescent="0.15">
      <c r="A253" s="8" t="s">
        <v>540</v>
      </c>
      <c r="B253" s="53" t="s">
        <v>62</v>
      </c>
      <c r="C253" s="149"/>
      <c r="D253" s="149">
        <v>484.5</v>
      </c>
      <c r="E253" s="149">
        <f t="shared" si="3"/>
        <v>484.5</v>
      </c>
      <c r="F253" s="149"/>
      <c r="G253" s="151">
        <v>894167</v>
      </c>
      <c r="H253" s="53" t="s">
        <v>834</v>
      </c>
    </row>
    <row r="254" spans="1:8" ht="21.25" customHeight="1" x14ac:dyDescent="0.15">
      <c r="A254" s="8" t="s">
        <v>536</v>
      </c>
      <c r="B254" s="53" t="s">
        <v>62</v>
      </c>
      <c r="C254" s="149"/>
      <c r="D254" s="53" t="s">
        <v>62</v>
      </c>
      <c r="E254" s="53" t="str">
        <f t="shared" si="3"/>
        <v>—</v>
      </c>
      <c r="F254" s="51"/>
      <c r="G254" s="151">
        <v>2000000</v>
      </c>
      <c r="H254" s="53" t="s">
        <v>834</v>
      </c>
    </row>
    <row r="255" spans="1:8" ht="21.25" customHeight="1" x14ac:dyDescent="0.15">
      <c r="A255" s="8" t="s">
        <v>491</v>
      </c>
      <c r="B255" s="53" t="s">
        <v>62</v>
      </c>
      <c r="C255" s="149"/>
      <c r="D255" s="53" t="s">
        <v>62</v>
      </c>
      <c r="E255" s="53" t="str">
        <f t="shared" si="3"/>
        <v>—</v>
      </c>
      <c r="F255" s="51"/>
      <c r="G255" s="151">
        <v>4500000</v>
      </c>
      <c r="H255" s="53" t="s">
        <v>834</v>
      </c>
    </row>
    <row r="256" spans="1:8" ht="21.25" customHeight="1" x14ac:dyDescent="0.15">
      <c r="A256" s="8" t="s">
        <v>275</v>
      </c>
      <c r="B256" s="149">
        <v>159.6</v>
      </c>
      <c r="C256" s="149"/>
      <c r="D256" s="149">
        <v>206.65</v>
      </c>
      <c r="E256" s="149">
        <f t="shared" si="3"/>
        <v>183.125</v>
      </c>
      <c r="F256" s="51"/>
      <c r="G256" s="151">
        <v>916667</v>
      </c>
      <c r="H256" s="53" t="s">
        <v>60</v>
      </c>
    </row>
    <row r="257" spans="1:8" ht="21.25" customHeight="1" x14ac:dyDescent="0.15">
      <c r="A257" s="8" t="s">
        <v>446</v>
      </c>
      <c r="B257" s="53" t="s">
        <v>62</v>
      </c>
      <c r="C257" s="149"/>
      <c r="D257" s="149">
        <v>223.01</v>
      </c>
      <c r="E257" s="149">
        <f t="shared" si="3"/>
        <v>223.01</v>
      </c>
      <c r="F257" s="149"/>
      <c r="G257" s="151">
        <v>3000000</v>
      </c>
      <c r="H257" s="53" t="s">
        <v>834</v>
      </c>
    </row>
    <row r="258" spans="1:8" ht="21.25" customHeight="1" x14ac:dyDescent="0.15">
      <c r="A258" s="8" t="s">
        <v>648</v>
      </c>
      <c r="B258" s="53" t="s">
        <v>62</v>
      </c>
      <c r="C258" s="149"/>
      <c r="D258" s="53" t="s">
        <v>62</v>
      </c>
      <c r="E258" s="53" t="str">
        <f t="shared" ref="E258:E321" si="4">IFERROR(AVERAGE(B258:D258),"—")</f>
        <v>—</v>
      </c>
      <c r="F258" s="51"/>
      <c r="G258" s="151"/>
      <c r="H258" s="53" t="s">
        <v>834</v>
      </c>
    </row>
    <row r="259" spans="1:8" ht="21.25" customHeight="1" x14ac:dyDescent="0.15">
      <c r="A259" s="8" t="s">
        <v>295</v>
      </c>
      <c r="B259" s="149">
        <v>120.2</v>
      </c>
      <c r="C259" s="149"/>
      <c r="D259" s="149">
        <v>182.35</v>
      </c>
      <c r="E259" s="149">
        <f t="shared" si="4"/>
        <v>151.27500000000001</v>
      </c>
      <c r="F259" s="51"/>
      <c r="G259" s="151"/>
      <c r="H259" s="53" t="s">
        <v>834</v>
      </c>
    </row>
    <row r="260" spans="1:8" ht="21.25" customHeight="1" x14ac:dyDescent="0.15">
      <c r="A260" s="8" t="s">
        <v>497</v>
      </c>
      <c r="B260" s="53" t="s">
        <v>62</v>
      </c>
      <c r="C260" s="149"/>
      <c r="D260" s="53" t="s">
        <v>62</v>
      </c>
      <c r="E260" s="53" t="str">
        <f t="shared" si="4"/>
        <v>—</v>
      </c>
      <c r="F260" s="51"/>
      <c r="G260" s="151">
        <v>5000000</v>
      </c>
      <c r="H260" s="53" t="s">
        <v>834</v>
      </c>
    </row>
    <row r="261" spans="1:8" ht="21.25" customHeight="1" x14ac:dyDescent="0.15">
      <c r="A261" s="8" t="s">
        <v>374</v>
      </c>
      <c r="B261" s="53" t="s">
        <v>62</v>
      </c>
      <c r="C261" s="149"/>
      <c r="D261" s="149">
        <v>389.01</v>
      </c>
      <c r="E261" s="149">
        <f t="shared" si="4"/>
        <v>389.01</v>
      </c>
      <c r="F261" s="51"/>
      <c r="G261" s="151">
        <v>758333</v>
      </c>
      <c r="H261" s="53" t="s">
        <v>834</v>
      </c>
    </row>
    <row r="262" spans="1:8" ht="21.25" customHeight="1" x14ac:dyDescent="0.15">
      <c r="A262" s="8" t="s">
        <v>531</v>
      </c>
      <c r="B262" s="53" t="s">
        <v>62</v>
      </c>
      <c r="C262" s="149"/>
      <c r="D262" s="53" t="s">
        <v>62</v>
      </c>
      <c r="E262" s="53" t="str">
        <f t="shared" si="4"/>
        <v>—</v>
      </c>
      <c r="F262" s="51"/>
      <c r="G262" s="151">
        <v>5000000</v>
      </c>
      <c r="H262" s="53" t="s">
        <v>834</v>
      </c>
    </row>
    <row r="263" spans="1:8" ht="21.25" customHeight="1" x14ac:dyDescent="0.15">
      <c r="A263" s="8" t="s">
        <v>300</v>
      </c>
      <c r="B263" s="149">
        <v>159.6</v>
      </c>
      <c r="C263" s="149"/>
      <c r="D263" s="149">
        <v>215.21</v>
      </c>
      <c r="E263" s="149">
        <f t="shared" si="4"/>
        <v>187.405</v>
      </c>
      <c r="F263" s="51"/>
      <c r="G263" s="151">
        <v>7750000</v>
      </c>
      <c r="H263" s="53" t="s">
        <v>834</v>
      </c>
    </row>
    <row r="264" spans="1:8" ht="21.25" customHeight="1" x14ac:dyDescent="0.15">
      <c r="A264" s="8" t="s">
        <v>400</v>
      </c>
      <c r="B264" s="53" t="s">
        <v>62</v>
      </c>
      <c r="C264" s="149"/>
      <c r="D264" s="53" t="s">
        <v>62</v>
      </c>
      <c r="E264" s="53" t="str">
        <f t="shared" si="4"/>
        <v>—</v>
      </c>
      <c r="F264" s="149"/>
      <c r="G264" s="151">
        <v>4000000</v>
      </c>
      <c r="H264" s="53" t="s">
        <v>834</v>
      </c>
    </row>
    <row r="265" spans="1:8" ht="21.25" customHeight="1" x14ac:dyDescent="0.15">
      <c r="A265" s="8" t="s">
        <v>556</v>
      </c>
      <c r="B265" s="53" t="s">
        <v>62</v>
      </c>
      <c r="C265" s="149"/>
      <c r="D265" s="53" t="s">
        <v>62</v>
      </c>
      <c r="E265" s="53" t="str">
        <f t="shared" si="4"/>
        <v>—</v>
      </c>
      <c r="F265" s="149"/>
      <c r="G265" s="151">
        <v>2100000</v>
      </c>
      <c r="H265" s="53" t="s">
        <v>834</v>
      </c>
    </row>
    <row r="266" spans="1:8" ht="21.25" customHeight="1" x14ac:dyDescent="0.15">
      <c r="A266" s="8" t="s">
        <v>289</v>
      </c>
      <c r="B266" s="149">
        <v>162.30000000000001</v>
      </c>
      <c r="C266" s="149"/>
      <c r="D266" s="149">
        <v>191.87</v>
      </c>
      <c r="E266" s="149">
        <f t="shared" si="4"/>
        <v>177.08500000000001</v>
      </c>
      <c r="F266" s="51"/>
      <c r="G266" s="151">
        <v>4150000</v>
      </c>
      <c r="H266" s="53" t="s">
        <v>60</v>
      </c>
    </row>
    <row r="267" spans="1:8" ht="21.25" customHeight="1" x14ac:dyDescent="0.15">
      <c r="A267" s="8" t="s">
        <v>434</v>
      </c>
      <c r="B267" s="53" t="s">
        <v>62</v>
      </c>
      <c r="C267" s="149"/>
      <c r="D267" s="53" t="s">
        <v>62</v>
      </c>
      <c r="E267" s="53" t="str">
        <f t="shared" si="4"/>
        <v>—</v>
      </c>
      <c r="F267" s="149"/>
      <c r="G267" s="151">
        <v>4277000</v>
      </c>
      <c r="H267" s="53" t="s">
        <v>834</v>
      </c>
    </row>
    <row r="268" spans="1:8" ht="21.25" customHeight="1" x14ac:dyDescent="0.15">
      <c r="A268" s="8" t="s">
        <v>403</v>
      </c>
      <c r="B268" s="53" t="s">
        <v>62</v>
      </c>
      <c r="C268" s="149"/>
      <c r="D268" s="53" t="s">
        <v>62</v>
      </c>
      <c r="E268" s="53" t="str">
        <f t="shared" si="4"/>
        <v>—</v>
      </c>
      <c r="F268" s="149"/>
      <c r="G268" s="151">
        <v>2000000</v>
      </c>
      <c r="H268" s="53" t="s">
        <v>834</v>
      </c>
    </row>
    <row r="269" spans="1:8" ht="21.25" customHeight="1" x14ac:dyDescent="0.15">
      <c r="A269" s="8" t="s">
        <v>282</v>
      </c>
      <c r="B269" s="149">
        <v>108.3</v>
      </c>
      <c r="C269" s="149"/>
      <c r="D269" s="149">
        <v>185.88</v>
      </c>
      <c r="E269" s="149">
        <f t="shared" si="4"/>
        <v>147.09</v>
      </c>
      <c r="F269" s="149"/>
      <c r="G269" s="151">
        <v>4500000</v>
      </c>
      <c r="H269" s="53" t="s">
        <v>62</v>
      </c>
    </row>
    <row r="270" spans="1:8" ht="21.25" customHeight="1" x14ac:dyDescent="0.15">
      <c r="A270" s="8" t="s">
        <v>562</v>
      </c>
      <c r="B270" s="53" t="s">
        <v>62</v>
      </c>
      <c r="C270" s="149"/>
      <c r="D270" s="53" t="s">
        <v>62</v>
      </c>
      <c r="E270" s="53" t="str">
        <f t="shared" si="4"/>
        <v>—</v>
      </c>
      <c r="F270" s="149"/>
      <c r="G270" s="151">
        <v>5000000</v>
      </c>
      <c r="H270" s="53" t="s">
        <v>834</v>
      </c>
    </row>
    <row r="271" spans="1:8" ht="21.25" customHeight="1" x14ac:dyDescent="0.15">
      <c r="A271" s="8" t="s">
        <v>430</v>
      </c>
      <c r="B271" s="149">
        <v>181.9</v>
      </c>
      <c r="C271" s="149"/>
      <c r="D271" s="149">
        <v>448.52</v>
      </c>
      <c r="E271" s="149">
        <f t="shared" si="4"/>
        <v>315.20999999999998</v>
      </c>
      <c r="F271" s="51"/>
      <c r="G271" s="151">
        <v>3200000</v>
      </c>
      <c r="H271" s="53" t="s">
        <v>834</v>
      </c>
    </row>
    <row r="272" spans="1:8" ht="21.25" customHeight="1" x14ac:dyDescent="0.15">
      <c r="A272" s="8" t="s">
        <v>405</v>
      </c>
      <c r="B272" s="53" t="s">
        <v>62</v>
      </c>
      <c r="C272" s="149"/>
      <c r="D272" s="149">
        <v>218.38</v>
      </c>
      <c r="E272" s="149">
        <f t="shared" si="4"/>
        <v>218.38</v>
      </c>
      <c r="F272" s="149"/>
      <c r="G272" s="151">
        <v>3650000</v>
      </c>
      <c r="H272" s="53" t="s">
        <v>834</v>
      </c>
    </row>
    <row r="273" spans="1:8" ht="21.25" customHeight="1" x14ac:dyDescent="0.15">
      <c r="A273" s="8" t="s">
        <v>447</v>
      </c>
      <c r="B273" s="149">
        <v>157.9</v>
      </c>
      <c r="C273" s="149"/>
      <c r="D273" s="149">
        <v>267.12</v>
      </c>
      <c r="E273" s="149">
        <f t="shared" si="4"/>
        <v>212.51</v>
      </c>
      <c r="F273" s="51"/>
      <c r="G273" s="151">
        <v>2665000</v>
      </c>
      <c r="H273" s="53" t="s">
        <v>834</v>
      </c>
    </row>
    <row r="274" spans="1:8" ht="21.25" customHeight="1" x14ac:dyDescent="0.15">
      <c r="A274" s="8" t="s">
        <v>349</v>
      </c>
      <c r="B274" s="53" t="s">
        <v>62</v>
      </c>
      <c r="C274" s="149"/>
      <c r="D274" s="149">
        <v>217.91</v>
      </c>
      <c r="E274" s="149">
        <f t="shared" si="4"/>
        <v>217.91</v>
      </c>
      <c r="F274" s="51"/>
      <c r="G274" s="151">
        <v>1600000</v>
      </c>
      <c r="H274" s="53" t="s">
        <v>60</v>
      </c>
    </row>
    <row r="275" spans="1:8" ht="21.25" customHeight="1" x14ac:dyDescent="0.15">
      <c r="A275" s="8" t="s">
        <v>369</v>
      </c>
      <c r="B275" s="149">
        <v>182.4</v>
      </c>
      <c r="C275" s="149"/>
      <c r="D275" s="149">
        <v>403.4</v>
      </c>
      <c r="E275" s="149">
        <f t="shared" si="4"/>
        <v>292.89999999999998</v>
      </c>
      <c r="F275" s="51"/>
      <c r="G275" s="151">
        <v>5500000</v>
      </c>
      <c r="H275" s="53" t="s">
        <v>834</v>
      </c>
    </row>
    <row r="276" spans="1:8" ht="21.25" customHeight="1" x14ac:dyDescent="0.15">
      <c r="A276" s="8" t="s">
        <v>368</v>
      </c>
      <c r="B276" s="53" t="s">
        <v>62</v>
      </c>
      <c r="C276" s="149"/>
      <c r="D276" s="149">
        <v>227.49</v>
      </c>
      <c r="E276" s="149">
        <f t="shared" si="4"/>
        <v>227.49</v>
      </c>
      <c r="F276" s="149"/>
      <c r="G276" s="151"/>
      <c r="H276" s="53" t="s">
        <v>834</v>
      </c>
    </row>
    <row r="277" spans="1:8" ht="21.25" customHeight="1" x14ac:dyDescent="0.15">
      <c r="A277" s="8" t="s">
        <v>535</v>
      </c>
      <c r="B277" s="53" t="s">
        <v>62</v>
      </c>
      <c r="C277" s="149"/>
      <c r="D277" s="149">
        <v>223.67</v>
      </c>
      <c r="E277" s="149">
        <f t="shared" si="4"/>
        <v>223.67</v>
      </c>
      <c r="F277" s="51"/>
      <c r="G277" s="151">
        <v>3100000</v>
      </c>
      <c r="H277" s="53" t="s">
        <v>834</v>
      </c>
    </row>
    <row r="278" spans="1:8" ht="21.25" customHeight="1" x14ac:dyDescent="0.15">
      <c r="A278" s="8" t="s">
        <v>458</v>
      </c>
      <c r="B278" s="53" t="s">
        <v>62</v>
      </c>
      <c r="C278" s="149"/>
      <c r="D278" s="53" t="s">
        <v>62</v>
      </c>
      <c r="E278" s="53" t="str">
        <f t="shared" si="4"/>
        <v>—</v>
      </c>
      <c r="F278" s="51"/>
      <c r="G278" s="151">
        <v>3000000</v>
      </c>
      <c r="H278" s="53" t="s">
        <v>834</v>
      </c>
    </row>
    <row r="279" spans="1:8" ht="21.25" customHeight="1" x14ac:dyDescent="0.15">
      <c r="A279" s="8" t="s">
        <v>269</v>
      </c>
      <c r="B279" s="149">
        <v>104.6</v>
      </c>
      <c r="C279" s="149"/>
      <c r="D279" s="149">
        <v>102.13</v>
      </c>
      <c r="E279" s="149">
        <f t="shared" si="4"/>
        <v>103.36499999999999</v>
      </c>
      <c r="F279" s="51"/>
      <c r="G279" s="151">
        <v>9250000</v>
      </c>
      <c r="H279" s="53" t="s">
        <v>834</v>
      </c>
    </row>
    <row r="280" spans="1:8" ht="21.25" customHeight="1" x14ac:dyDescent="0.15">
      <c r="A280" s="8" t="s">
        <v>573</v>
      </c>
      <c r="B280" s="53" t="s">
        <v>62</v>
      </c>
      <c r="C280" s="149"/>
      <c r="D280" s="149">
        <v>243.07</v>
      </c>
      <c r="E280" s="149">
        <f t="shared" si="4"/>
        <v>243.07</v>
      </c>
      <c r="F280" s="51"/>
      <c r="G280" s="151">
        <v>825000</v>
      </c>
      <c r="H280" s="53" t="s">
        <v>834</v>
      </c>
    </row>
    <row r="281" spans="1:8" ht="21.25" customHeight="1" x14ac:dyDescent="0.15">
      <c r="A281" s="8" t="s">
        <v>423</v>
      </c>
      <c r="B281" s="53" t="s">
        <v>62</v>
      </c>
      <c r="C281" s="149"/>
      <c r="D281" s="53" t="s">
        <v>62</v>
      </c>
      <c r="E281" s="53" t="str">
        <f t="shared" si="4"/>
        <v>—</v>
      </c>
      <c r="F281" s="51"/>
      <c r="G281" s="151">
        <v>1000000</v>
      </c>
      <c r="H281" s="53" t="s">
        <v>834</v>
      </c>
    </row>
    <row r="282" spans="1:8" ht="21.25" customHeight="1" x14ac:dyDescent="0.15">
      <c r="A282" s="8" t="s">
        <v>599</v>
      </c>
      <c r="B282" s="53" t="s">
        <v>62</v>
      </c>
      <c r="C282" s="149"/>
      <c r="D282" s="53" t="s">
        <v>62</v>
      </c>
      <c r="E282" s="53" t="str">
        <f t="shared" si="4"/>
        <v>—</v>
      </c>
      <c r="F282" s="51"/>
      <c r="G282" s="151">
        <v>950000</v>
      </c>
      <c r="H282" s="53" t="s">
        <v>834</v>
      </c>
    </row>
    <row r="283" spans="1:8" ht="21.25" customHeight="1" x14ac:dyDescent="0.15">
      <c r="A283" s="8" t="s">
        <v>415</v>
      </c>
      <c r="B283" s="149">
        <v>169.1</v>
      </c>
      <c r="C283" s="149"/>
      <c r="D283" s="149">
        <v>239.91</v>
      </c>
      <c r="E283" s="149">
        <f t="shared" si="4"/>
        <v>204.505</v>
      </c>
      <c r="F283" s="51"/>
      <c r="G283" s="151">
        <v>1450000</v>
      </c>
      <c r="H283" s="53" t="s">
        <v>834</v>
      </c>
    </row>
    <row r="284" spans="1:8" ht="21.25" customHeight="1" x14ac:dyDescent="0.15">
      <c r="A284" s="8" t="s">
        <v>290</v>
      </c>
      <c r="B284" s="149">
        <v>142</v>
      </c>
      <c r="C284" s="149"/>
      <c r="D284" s="149">
        <v>162.29</v>
      </c>
      <c r="E284" s="149">
        <f t="shared" si="4"/>
        <v>152.14499999999998</v>
      </c>
      <c r="F284" s="149"/>
      <c r="G284" s="151">
        <v>6250000</v>
      </c>
      <c r="H284" s="53" t="s">
        <v>834</v>
      </c>
    </row>
    <row r="285" spans="1:8" ht="21.25" customHeight="1" x14ac:dyDescent="0.15">
      <c r="A285" s="8" t="s">
        <v>603</v>
      </c>
      <c r="B285" s="53" t="s">
        <v>62</v>
      </c>
      <c r="C285" s="149"/>
      <c r="D285" s="53" t="s">
        <v>62</v>
      </c>
      <c r="E285" s="53" t="str">
        <f t="shared" si="4"/>
        <v>—</v>
      </c>
      <c r="F285" s="149"/>
      <c r="G285" s="151">
        <v>4450000</v>
      </c>
      <c r="H285" s="53" t="s">
        <v>834</v>
      </c>
    </row>
    <row r="286" spans="1:8" ht="21.25" customHeight="1" x14ac:dyDescent="0.15">
      <c r="A286" s="8" t="s">
        <v>575</v>
      </c>
      <c r="B286" s="53" t="s">
        <v>62</v>
      </c>
      <c r="C286" s="149"/>
      <c r="D286" s="53" t="s">
        <v>62</v>
      </c>
      <c r="E286" s="53" t="str">
        <f t="shared" si="4"/>
        <v>—</v>
      </c>
      <c r="F286" s="51"/>
      <c r="G286" s="151">
        <v>4500000</v>
      </c>
      <c r="H286" s="53" t="s">
        <v>834</v>
      </c>
    </row>
    <row r="287" spans="1:8" ht="21.25" customHeight="1" x14ac:dyDescent="0.15">
      <c r="A287" s="8" t="s">
        <v>543</v>
      </c>
      <c r="B287" s="53" t="s">
        <v>62</v>
      </c>
      <c r="C287" s="149"/>
      <c r="D287" s="149">
        <v>501.5</v>
      </c>
      <c r="E287" s="149">
        <f t="shared" si="4"/>
        <v>501.5</v>
      </c>
      <c r="F287" s="51"/>
      <c r="G287" s="151">
        <v>825000</v>
      </c>
      <c r="H287" s="53" t="s">
        <v>834</v>
      </c>
    </row>
    <row r="288" spans="1:8" ht="21.25" customHeight="1" x14ac:dyDescent="0.15">
      <c r="A288" s="8" t="s">
        <v>529</v>
      </c>
      <c r="B288" s="53" t="s">
        <v>62</v>
      </c>
      <c r="C288" s="149"/>
      <c r="D288" s="149">
        <v>407.9</v>
      </c>
      <c r="E288" s="149">
        <f t="shared" si="4"/>
        <v>407.9</v>
      </c>
      <c r="F288" s="51"/>
      <c r="G288" s="151"/>
      <c r="H288" s="53" t="s">
        <v>834</v>
      </c>
    </row>
    <row r="289" spans="1:8" ht="21.25" customHeight="1" x14ac:dyDescent="0.15">
      <c r="A289" s="8" t="s">
        <v>477</v>
      </c>
      <c r="B289" s="53" t="s">
        <v>62</v>
      </c>
      <c r="C289" s="149"/>
      <c r="D289" s="53" t="s">
        <v>62</v>
      </c>
      <c r="E289" s="53" t="str">
        <f t="shared" si="4"/>
        <v>—</v>
      </c>
      <c r="F289" s="51"/>
      <c r="G289" s="151">
        <v>4725000</v>
      </c>
      <c r="H289" s="53" t="s">
        <v>834</v>
      </c>
    </row>
    <row r="290" spans="1:8" ht="21.25" customHeight="1" x14ac:dyDescent="0.15">
      <c r="A290" s="8" t="s">
        <v>443</v>
      </c>
      <c r="B290" s="53" t="s">
        <v>62</v>
      </c>
      <c r="C290" s="149"/>
      <c r="D290" s="53" t="s">
        <v>62</v>
      </c>
      <c r="E290" s="53" t="str">
        <f t="shared" si="4"/>
        <v>—</v>
      </c>
      <c r="F290" s="51"/>
      <c r="G290" s="151">
        <v>3150000</v>
      </c>
      <c r="H290" s="53" t="s">
        <v>834</v>
      </c>
    </row>
    <row r="291" spans="1:8" ht="21.25" customHeight="1" x14ac:dyDescent="0.15">
      <c r="A291" s="8" t="s">
        <v>462</v>
      </c>
      <c r="B291" s="53" t="s">
        <v>62</v>
      </c>
      <c r="C291" s="149"/>
      <c r="D291" s="53" t="s">
        <v>62</v>
      </c>
      <c r="E291" s="53" t="str">
        <f t="shared" si="4"/>
        <v>—</v>
      </c>
      <c r="F291" s="51"/>
      <c r="G291" s="151">
        <v>855833</v>
      </c>
      <c r="H291" s="53" t="s">
        <v>834</v>
      </c>
    </row>
    <row r="292" spans="1:8" ht="21.25" customHeight="1" x14ac:dyDescent="0.15">
      <c r="A292" s="8" t="s">
        <v>471</v>
      </c>
      <c r="B292" s="53" t="s">
        <v>62</v>
      </c>
      <c r="C292" s="149"/>
      <c r="D292" s="149">
        <v>414.95</v>
      </c>
      <c r="E292" s="149">
        <f t="shared" si="4"/>
        <v>414.95</v>
      </c>
      <c r="F292" s="51"/>
      <c r="G292" s="151">
        <v>2000000</v>
      </c>
      <c r="H292" s="53" t="s">
        <v>834</v>
      </c>
    </row>
    <row r="293" spans="1:8" ht="21.25" customHeight="1" x14ac:dyDescent="0.15">
      <c r="A293" s="8" t="s">
        <v>593</v>
      </c>
      <c r="B293" s="53" t="s">
        <v>62</v>
      </c>
      <c r="C293" s="149"/>
      <c r="D293" s="53" t="s">
        <v>62</v>
      </c>
      <c r="E293" s="53" t="str">
        <f t="shared" si="4"/>
        <v>—</v>
      </c>
      <c r="F293" s="51"/>
      <c r="G293" s="151">
        <v>2625000</v>
      </c>
      <c r="H293" s="53" t="s">
        <v>834</v>
      </c>
    </row>
    <row r="294" spans="1:8" ht="21.25" customHeight="1" x14ac:dyDescent="0.15">
      <c r="A294" s="8" t="s">
        <v>309</v>
      </c>
      <c r="B294" s="149">
        <v>154.69999999999999</v>
      </c>
      <c r="C294" s="149"/>
      <c r="D294" s="149">
        <v>361.21</v>
      </c>
      <c r="E294" s="149">
        <f t="shared" si="4"/>
        <v>257.95499999999998</v>
      </c>
      <c r="F294" s="51"/>
      <c r="G294" s="151">
        <v>6250000</v>
      </c>
      <c r="H294" s="53" t="s">
        <v>834</v>
      </c>
    </row>
    <row r="295" spans="1:8" ht="21.25" customHeight="1" x14ac:dyDescent="0.15">
      <c r="A295" s="8" t="s">
        <v>433</v>
      </c>
      <c r="B295" s="53" t="s">
        <v>62</v>
      </c>
      <c r="C295" s="149"/>
      <c r="D295" s="53" t="s">
        <v>62</v>
      </c>
      <c r="E295" s="53" t="str">
        <f t="shared" si="4"/>
        <v>—</v>
      </c>
      <c r="F295" s="51"/>
      <c r="G295" s="151">
        <v>3150000</v>
      </c>
      <c r="H295" s="53" t="s">
        <v>834</v>
      </c>
    </row>
    <row r="296" spans="1:8" ht="21.25" customHeight="1" x14ac:dyDescent="0.15">
      <c r="A296" s="8" t="s">
        <v>298</v>
      </c>
      <c r="B296" s="149">
        <v>167.6</v>
      </c>
      <c r="C296" s="149"/>
      <c r="D296" s="149">
        <v>213.38</v>
      </c>
      <c r="E296" s="149">
        <f t="shared" si="4"/>
        <v>190.49</v>
      </c>
      <c r="F296" s="149"/>
      <c r="G296" s="151">
        <v>5875000</v>
      </c>
      <c r="H296" s="53" t="s">
        <v>834</v>
      </c>
    </row>
    <row r="297" spans="1:8" ht="21.25" customHeight="1" x14ac:dyDescent="0.15">
      <c r="A297" s="8" t="s">
        <v>327</v>
      </c>
      <c r="B297" s="53" t="s">
        <v>62</v>
      </c>
      <c r="C297" s="149"/>
      <c r="D297" s="149">
        <v>400.07</v>
      </c>
      <c r="E297" s="149">
        <f t="shared" si="4"/>
        <v>400.07</v>
      </c>
      <c r="F297" s="51"/>
      <c r="G297" s="151">
        <v>886667</v>
      </c>
      <c r="H297" s="53" t="s">
        <v>834</v>
      </c>
    </row>
    <row r="298" spans="1:8" ht="21.25" customHeight="1" x14ac:dyDescent="0.15">
      <c r="A298" s="8" t="s">
        <v>342</v>
      </c>
      <c r="B298" s="149">
        <v>176.6</v>
      </c>
      <c r="C298" s="149"/>
      <c r="D298" s="149">
        <v>321.64999999999998</v>
      </c>
      <c r="E298" s="149">
        <f t="shared" si="4"/>
        <v>249.125</v>
      </c>
      <c r="F298" s="51"/>
      <c r="G298" s="151">
        <v>5000000</v>
      </c>
      <c r="H298" s="53" t="s">
        <v>834</v>
      </c>
    </row>
    <row r="299" spans="1:8" ht="21.25" customHeight="1" x14ac:dyDescent="0.15">
      <c r="A299" s="8" t="s">
        <v>495</v>
      </c>
      <c r="B299" s="149">
        <v>186.7</v>
      </c>
      <c r="C299" s="149"/>
      <c r="D299" s="53" t="s">
        <v>62</v>
      </c>
      <c r="E299" s="149">
        <f t="shared" si="4"/>
        <v>186.7</v>
      </c>
      <c r="F299" s="51"/>
      <c r="G299" s="151">
        <v>5700000</v>
      </c>
      <c r="H299" s="53" t="s">
        <v>834</v>
      </c>
    </row>
    <row r="300" spans="1:8" ht="21.25" customHeight="1" x14ac:dyDescent="0.15">
      <c r="A300" s="8" t="s">
        <v>614</v>
      </c>
      <c r="B300" s="53" t="s">
        <v>62</v>
      </c>
      <c r="C300" s="149"/>
      <c r="D300" s="53" t="s">
        <v>62</v>
      </c>
      <c r="E300" s="53" t="str">
        <f t="shared" si="4"/>
        <v>—</v>
      </c>
      <c r="F300" s="149"/>
      <c r="G300" s="151">
        <v>1460000</v>
      </c>
      <c r="H300" s="53" t="s">
        <v>834</v>
      </c>
    </row>
    <row r="301" spans="1:8" ht="21.25" customHeight="1" x14ac:dyDescent="0.15">
      <c r="A301" s="8" t="s">
        <v>325</v>
      </c>
      <c r="B301" s="53" t="s">
        <v>62</v>
      </c>
      <c r="C301" s="149"/>
      <c r="D301" s="53" t="s">
        <v>62</v>
      </c>
      <c r="E301" s="53" t="str">
        <f t="shared" si="4"/>
        <v>—</v>
      </c>
      <c r="F301" s="149"/>
      <c r="G301" s="151">
        <v>863000</v>
      </c>
      <c r="H301" s="53" t="s">
        <v>834</v>
      </c>
    </row>
    <row r="302" spans="1:8" ht="21.25" customHeight="1" x14ac:dyDescent="0.15">
      <c r="A302" s="8" t="s">
        <v>675</v>
      </c>
      <c r="B302" s="53" t="s">
        <v>62</v>
      </c>
      <c r="C302" s="149"/>
      <c r="D302" s="53" t="s">
        <v>62</v>
      </c>
      <c r="E302" s="53" t="str">
        <f t="shared" si="4"/>
        <v>—</v>
      </c>
      <c r="F302" s="51"/>
      <c r="G302" s="151">
        <v>3730000</v>
      </c>
      <c r="H302" s="53" t="s">
        <v>834</v>
      </c>
    </row>
    <row r="303" spans="1:8" ht="21.25" customHeight="1" x14ac:dyDescent="0.15">
      <c r="A303" s="8" t="s">
        <v>688</v>
      </c>
      <c r="B303" s="53" t="s">
        <v>62</v>
      </c>
      <c r="C303" s="149"/>
      <c r="D303" s="53" t="s">
        <v>62</v>
      </c>
      <c r="E303" s="53" t="str">
        <f t="shared" si="4"/>
        <v>—</v>
      </c>
      <c r="F303" s="149"/>
      <c r="G303" s="151">
        <v>4000000</v>
      </c>
      <c r="H303" s="53" t="s">
        <v>834</v>
      </c>
    </row>
    <row r="304" spans="1:8" ht="21.25" customHeight="1" x14ac:dyDescent="0.15">
      <c r="A304" s="8" t="s">
        <v>450</v>
      </c>
      <c r="B304" s="53" t="s">
        <v>62</v>
      </c>
      <c r="C304" s="149"/>
      <c r="D304" s="53" t="s">
        <v>62</v>
      </c>
      <c r="E304" s="53" t="str">
        <f t="shared" si="4"/>
        <v>—</v>
      </c>
      <c r="F304" s="51"/>
      <c r="G304" s="151">
        <v>762500</v>
      </c>
      <c r="H304" s="53" t="s">
        <v>834</v>
      </c>
    </row>
    <row r="305" spans="1:8" ht="21.25" customHeight="1" x14ac:dyDescent="0.15">
      <c r="A305" s="8" t="s">
        <v>608</v>
      </c>
      <c r="B305" s="53" t="s">
        <v>62</v>
      </c>
      <c r="C305" s="149"/>
      <c r="D305" s="149">
        <v>455.5</v>
      </c>
      <c r="E305" s="149">
        <f t="shared" si="4"/>
        <v>455.5</v>
      </c>
      <c r="F305" s="51"/>
      <c r="G305" s="151">
        <v>2100000</v>
      </c>
      <c r="H305" s="53" t="s">
        <v>834</v>
      </c>
    </row>
    <row r="306" spans="1:8" ht="21.25" customHeight="1" x14ac:dyDescent="0.15">
      <c r="A306" s="8" t="s">
        <v>505</v>
      </c>
      <c r="B306" s="53" t="s">
        <v>62</v>
      </c>
      <c r="C306" s="149"/>
      <c r="D306" s="149">
        <v>469.7</v>
      </c>
      <c r="E306" s="149">
        <f t="shared" si="4"/>
        <v>469.7</v>
      </c>
      <c r="F306" s="149"/>
      <c r="G306" s="151">
        <v>4900000</v>
      </c>
      <c r="H306" s="53" t="s">
        <v>834</v>
      </c>
    </row>
    <row r="307" spans="1:8" ht="21.25" customHeight="1" x14ac:dyDescent="0.15">
      <c r="A307" s="8" t="s">
        <v>726</v>
      </c>
      <c r="B307" s="53" t="s">
        <v>62</v>
      </c>
      <c r="C307" s="149"/>
      <c r="D307" s="53" t="s">
        <v>62</v>
      </c>
      <c r="E307" s="53" t="str">
        <f t="shared" si="4"/>
        <v>—</v>
      </c>
      <c r="F307" s="149"/>
      <c r="G307" s="151">
        <v>765200</v>
      </c>
      <c r="H307" s="53" t="s">
        <v>834</v>
      </c>
    </row>
    <row r="308" spans="1:8" ht="21.25" customHeight="1" x14ac:dyDescent="0.15">
      <c r="A308" s="8" t="s">
        <v>454</v>
      </c>
      <c r="B308" s="53" t="s">
        <v>62</v>
      </c>
      <c r="C308" s="149"/>
      <c r="D308" s="53" t="s">
        <v>62</v>
      </c>
      <c r="E308" s="53" t="str">
        <f t="shared" si="4"/>
        <v>—</v>
      </c>
      <c r="F308" s="51"/>
      <c r="G308" s="151">
        <v>4500000</v>
      </c>
      <c r="H308" s="53" t="s">
        <v>834</v>
      </c>
    </row>
    <row r="309" spans="1:8" ht="21.25" customHeight="1" x14ac:dyDescent="0.15">
      <c r="A309" s="8" t="s">
        <v>421</v>
      </c>
      <c r="B309" s="53" t="s">
        <v>62</v>
      </c>
      <c r="C309" s="149"/>
      <c r="D309" s="53" t="s">
        <v>62</v>
      </c>
      <c r="E309" s="53" t="str">
        <f t="shared" si="4"/>
        <v>—</v>
      </c>
      <c r="F309" s="149"/>
      <c r="G309" s="151">
        <v>863333</v>
      </c>
      <c r="H309" s="53" t="s">
        <v>834</v>
      </c>
    </row>
    <row r="310" spans="1:8" ht="21.25" customHeight="1" x14ac:dyDescent="0.15">
      <c r="A310" s="8" t="s">
        <v>350</v>
      </c>
      <c r="B310" s="149">
        <v>145.1</v>
      </c>
      <c r="C310" s="149"/>
      <c r="D310" s="149">
        <v>178.36</v>
      </c>
      <c r="E310" s="149">
        <f t="shared" si="4"/>
        <v>161.73000000000002</v>
      </c>
      <c r="F310" s="149"/>
      <c r="G310" s="151">
        <v>3872000</v>
      </c>
      <c r="H310" s="53" t="s">
        <v>834</v>
      </c>
    </row>
    <row r="311" spans="1:8" ht="21.25" customHeight="1" x14ac:dyDescent="0.15">
      <c r="A311" s="8" t="s">
        <v>584</v>
      </c>
      <c r="B311" s="53" t="s">
        <v>62</v>
      </c>
      <c r="C311" s="149"/>
      <c r="D311" s="149">
        <v>447.5</v>
      </c>
      <c r="E311" s="149">
        <f t="shared" si="4"/>
        <v>447.5</v>
      </c>
      <c r="F311" s="149"/>
      <c r="G311" s="151">
        <v>2250000</v>
      </c>
      <c r="H311" s="53" t="s">
        <v>834</v>
      </c>
    </row>
    <row r="312" spans="1:8" ht="21.25" customHeight="1" x14ac:dyDescent="0.15">
      <c r="A312" s="8" t="s">
        <v>396</v>
      </c>
      <c r="B312" s="149">
        <v>168.1</v>
      </c>
      <c r="C312" s="149"/>
      <c r="D312" s="149">
        <v>211.84</v>
      </c>
      <c r="E312" s="149">
        <f t="shared" si="4"/>
        <v>189.97</v>
      </c>
      <c r="F312" s="51"/>
      <c r="G312" s="151">
        <v>1400000</v>
      </c>
      <c r="H312" s="53" t="s">
        <v>834</v>
      </c>
    </row>
    <row r="313" spans="1:8" ht="21.25" customHeight="1" x14ac:dyDescent="0.15">
      <c r="A313" s="8" t="s">
        <v>586</v>
      </c>
      <c r="B313" s="53" t="s">
        <v>62</v>
      </c>
      <c r="C313" s="149"/>
      <c r="D313" s="53" t="s">
        <v>62</v>
      </c>
      <c r="E313" s="53" t="str">
        <f t="shared" si="4"/>
        <v>—</v>
      </c>
      <c r="F313" s="51"/>
      <c r="G313" s="151">
        <v>3500000</v>
      </c>
      <c r="H313" s="53" t="s">
        <v>834</v>
      </c>
    </row>
    <row r="314" spans="1:8" ht="21.25" customHeight="1" x14ac:dyDescent="0.15">
      <c r="A314" s="8" t="s">
        <v>444</v>
      </c>
      <c r="B314" s="149">
        <v>152.1</v>
      </c>
      <c r="C314" s="149"/>
      <c r="D314" s="149">
        <v>227.5</v>
      </c>
      <c r="E314" s="149">
        <f t="shared" si="4"/>
        <v>189.8</v>
      </c>
      <c r="F314" s="51"/>
      <c r="G314" s="151"/>
      <c r="H314" s="53" t="s">
        <v>56</v>
      </c>
    </row>
    <row r="315" spans="1:8" ht="21.25" customHeight="1" x14ac:dyDescent="0.15">
      <c r="A315" s="8" t="s">
        <v>357</v>
      </c>
      <c r="B315" s="53" t="s">
        <v>62</v>
      </c>
      <c r="C315" s="149"/>
      <c r="D315" s="149">
        <v>228.68</v>
      </c>
      <c r="E315" s="149">
        <f t="shared" si="4"/>
        <v>228.68</v>
      </c>
      <c r="F315" s="51"/>
      <c r="G315" s="151">
        <v>1000000</v>
      </c>
      <c r="H315" s="53" t="s">
        <v>834</v>
      </c>
    </row>
    <row r="316" spans="1:8" ht="21.25" customHeight="1" x14ac:dyDescent="0.15">
      <c r="A316" s="8" t="s">
        <v>329</v>
      </c>
      <c r="B316" s="149">
        <v>141.30000000000001</v>
      </c>
      <c r="C316" s="149"/>
      <c r="D316" s="149">
        <v>161.16</v>
      </c>
      <c r="E316" s="149">
        <f t="shared" si="4"/>
        <v>151.23000000000002</v>
      </c>
      <c r="F316" s="51"/>
      <c r="G316" s="151">
        <v>4125000</v>
      </c>
      <c r="H316" s="53" t="s">
        <v>834</v>
      </c>
    </row>
    <row r="317" spans="1:8" ht="21.25" customHeight="1" x14ac:dyDescent="0.15">
      <c r="A317" s="8" t="s">
        <v>288</v>
      </c>
      <c r="B317" s="149">
        <v>169.2</v>
      </c>
      <c r="C317" s="149"/>
      <c r="D317" s="149">
        <v>192.13</v>
      </c>
      <c r="E317" s="149">
        <f t="shared" si="4"/>
        <v>180.66499999999999</v>
      </c>
      <c r="F317" s="149"/>
      <c r="G317" s="151">
        <v>925000</v>
      </c>
      <c r="H317" s="53" t="s">
        <v>834</v>
      </c>
    </row>
    <row r="318" spans="1:8" ht="21.25" customHeight="1" x14ac:dyDescent="0.15">
      <c r="A318" s="8" t="s">
        <v>306</v>
      </c>
      <c r="B318" s="149">
        <v>161.5</v>
      </c>
      <c r="C318" s="149"/>
      <c r="D318" s="149">
        <v>192.35</v>
      </c>
      <c r="E318" s="149">
        <f t="shared" si="4"/>
        <v>176.92500000000001</v>
      </c>
      <c r="F318" s="149"/>
      <c r="G318" s="151">
        <v>7575000</v>
      </c>
      <c r="H318" s="53" t="s">
        <v>834</v>
      </c>
    </row>
    <row r="319" spans="1:8" ht="21.25" customHeight="1" x14ac:dyDescent="0.15">
      <c r="A319" s="8" t="s">
        <v>330</v>
      </c>
      <c r="B319" s="149">
        <v>172.6</v>
      </c>
      <c r="C319" s="149"/>
      <c r="D319" s="149">
        <v>208.82</v>
      </c>
      <c r="E319" s="149">
        <f t="shared" si="4"/>
        <v>190.70999999999998</v>
      </c>
      <c r="F319" s="149"/>
      <c r="G319" s="151">
        <v>6250000</v>
      </c>
      <c r="H319" s="53" t="s">
        <v>834</v>
      </c>
    </row>
    <row r="320" spans="1:8" ht="21.25" customHeight="1" x14ac:dyDescent="0.15">
      <c r="A320" s="8" t="s">
        <v>649</v>
      </c>
      <c r="B320" s="53" t="s">
        <v>62</v>
      </c>
      <c r="C320" s="149"/>
      <c r="D320" s="53" t="s">
        <v>62</v>
      </c>
      <c r="E320" s="53" t="str">
        <f t="shared" si="4"/>
        <v>—</v>
      </c>
      <c r="F320" s="51"/>
      <c r="G320" s="151"/>
      <c r="H320" s="53" t="s">
        <v>834</v>
      </c>
    </row>
    <row r="321" spans="1:8" ht="21.25" customHeight="1" x14ac:dyDescent="0.15">
      <c r="A321" s="8" t="s">
        <v>582</v>
      </c>
      <c r="B321" s="53" t="s">
        <v>62</v>
      </c>
      <c r="C321" s="149"/>
      <c r="D321" s="53" t="s">
        <v>62</v>
      </c>
      <c r="E321" s="53" t="str">
        <f t="shared" si="4"/>
        <v>—</v>
      </c>
      <c r="F321" s="51"/>
      <c r="G321" s="151">
        <v>2000000</v>
      </c>
      <c r="H321" s="53" t="s">
        <v>834</v>
      </c>
    </row>
    <row r="322" spans="1:8" ht="21.25" customHeight="1" x14ac:dyDescent="0.15">
      <c r="A322" s="8" t="s">
        <v>332</v>
      </c>
      <c r="B322" s="53" t="s">
        <v>62</v>
      </c>
      <c r="C322" s="149"/>
      <c r="D322" s="149">
        <v>220.36</v>
      </c>
      <c r="E322" s="149">
        <f t="shared" ref="E322:E385" si="5">IFERROR(AVERAGE(B322:D322),"—")</f>
        <v>220.36</v>
      </c>
      <c r="F322" s="149"/>
      <c r="G322" s="151"/>
      <c r="H322" s="53" t="s">
        <v>60</v>
      </c>
    </row>
    <row r="323" spans="1:8" ht="21.25" customHeight="1" x14ac:dyDescent="0.15">
      <c r="A323" s="8" t="s">
        <v>308</v>
      </c>
      <c r="B323" s="149">
        <v>170.8</v>
      </c>
      <c r="C323" s="149"/>
      <c r="D323" s="149">
        <v>175.92</v>
      </c>
      <c r="E323" s="149">
        <f t="shared" si="5"/>
        <v>173.36</v>
      </c>
      <c r="F323" s="51"/>
      <c r="G323" s="151">
        <v>6000000</v>
      </c>
      <c r="H323" s="53" t="s">
        <v>60</v>
      </c>
    </row>
    <row r="324" spans="1:8" ht="21.25" customHeight="1" x14ac:dyDescent="0.15">
      <c r="A324" s="8" t="s">
        <v>358</v>
      </c>
      <c r="B324" s="53" t="s">
        <v>62</v>
      </c>
      <c r="C324" s="149"/>
      <c r="D324" s="149">
        <v>480.5</v>
      </c>
      <c r="E324" s="149">
        <f t="shared" si="5"/>
        <v>480.5</v>
      </c>
      <c r="F324" s="51"/>
      <c r="G324" s="151">
        <v>3000000</v>
      </c>
      <c r="H324" s="53" t="s">
        <v>834</v>
      </c>
    </row>
    <row r="325" spans="1:8" ht="21.25" customHeight="1" x14ac:dyDescent="0.15">
      <c r="A325" s="8" t="s">
        <v>668</v>
      </c>
      <c r="B325" s="53" t="s">
        <v>62</v>
      </c>
      <c r="C325" s="149"/>
      <c r="D325" s="53" t="s">
        <v>62</v>
      </c>
      <c r="E325" s="53" t="str">
        <f t="shared" si="5"/>
        <v>—</v>
      </c>
      <c r="F325" s="51"/>
      <c r="G325" s="151"/>
      <c r="H325" s="53" t="s">
        <v>834</v>
      </c>
    </row>
    <row r="326" spans="1:8" ht="21.25" customHeight="1" x14ac:dyDescent="0.15">
      <c r="A326" s="8" t="s">
        <v>371</v>
      </c>
      <c r="B326" s="53" t="s">
        <v>62</v>
      </c>
      <c r="C326" s="149"/>
      <c r="D326" s="53" t="s">
        <v>62</v>
      </c>
      <c r="E326" s="53" t="str">
        <f t="shared" si="5"/>
        <v>—</v>
      </c>
      <c r="F326" s="149"/>
      <c r="G326" s="151"/>
      <c r="H326" s="53" t="s">
        <v>834</v>
      </c>
    </row>
    <row r="327" spans="1:8" ht="21.25" customHeight="1" x14ac:dyDescent="0.15">
      <c r="A327" s="8" t="s">
        <v>441</v>
      </c>
      <c r="B327" s="53" t="s">
        <v>62</v>
      </c>
      <c r="C327" s="149"/>
      <c r="D327" s="53" t="s">
        <v>62</v>
      </c>
      <c r="E327" s="53" t="str">
        <f t="shared" si="5"/>
        <v>—</v>
      </c>
      <c r="F327" s="51"/>
      <c r="G327" s="151">
        <v>2085000</v>
      </c>
      <c r="H327" s="53" t="s">
        <v>834</v>
      </c>
    </row>
    <row r="328" spans="1:8" ht="21.25" customHeight="1" x14ac:dyDescent="0.15">
      <c r="A328" s="8" t="s">
        <v>337</v>
      </c>
      <c r="B328" s="53" t="s">
        <v>62</v>
      </c>
      <c r="C328" s="149"/>
      <c r="D328" s="149">
        <v>434.62</v>
      </c>
      <c r="E328" s="149">
        <f t="shared" si="5"/>
        <v>434.62</v>
      </c>
      <c r="F328" s="51"/>
      <c r="G328" s="151">
        <v>6500000</v>
      </c>
      <c r="H328" s="53" t="s">
        <v>834</v>
      </c>
    </row>
    <row r="329" spans="1:8" ht="21.25" customHeight="1" x14ac:dyDescent="0.15">
      <c r="A329" s="8" t="s">
        <v>549</v>
      </c>
      <c r="B329" s="53" t="s">
        <v>62</v>
      </c>
      <c r="C329" s="149"/>
      <c r="D329" s="149">
        <v>498.6</v>
      </c>
      <c r="E329" s="149">
        <f t="shared" si="5"/>
        <v>498.6</v>
      </c>
      <c r="F329" s="149"/>
      <c r="G329" s="151">
        <v>1500000</v>
      </c>
      <c r="H329" s="53" t="s">
        <v>834</v>
      </c>
    </row>
    <row r="330" spans="1:8" ht="21.25" customHeight="1" x14ac:dyDescent="0.15">
      <c r="A330" s="8" t="s">
        <v>610</v>
      </c>
      <c r="B330" s="53" t="s">
        <v>62</v>
      </c>
      <c r="C330" s="149"/>
      <c r="D330" s="53" t="s">
        <v>62</v>
      </c>
      <c r="E330" s="53" t="str">
        <f t="shared" si="5"/>
        <v>—</v>
      </c>
      <c r="F330" s="149"/>
      <c r="G330" s="151">
        <v>1450000</v>
      </c>
      <c r="H330" s="53" t="s">
        <v>834</v>
      </c>
    </row>
    <row r="331" spans="1:8" ht="21.25" customHeight="1" x14ac:dyDescent="0.15">
      <c r="A331" s="8" t="s">
        <v>616</v>
      </c>
      <c r="B331" s="53" t="s">
        <v>62</v>
      </c>
      <c r="C331" s="149"/>
      <c r="D331" s="53" t="s">
        <v>62</v>
      </c>
      <c r="E331" s="53" t="str">
        <f t="shared" si="5"/>
        <v>—</v>
      </c>
      <c r="F331" s="51"/>
      <c r="G331" s="151">
        <v>1900000</v>
      </c>
      <c r="H331" s="53" t="s">
        <v>834</v>
      </c>
    </row>
    <row r="332" spans="1:8" ht="21.25" customHeight="1" x14ac:dyDescent="0.15">
      <c r="A332" s="8" t="s">
        <v>416</v>
      </c>
      <c r="B332" s="149">
        <v>126.9</v>
      </c>
      <c r="C332" s="149"/>
      <c r="D332" s="149">
        <v>175.29</v>
      </c>
      <c r="E332" s="149">
        <f t="shared" si="5"/>
        <v>151.095</v>
      </c>
      <c r="F332" s="51"/>
      <c r="G332" s="151">
        <v>1675000</v>
      </c>
      <c r="H332" s="53" t="s">
        <v>834</v>
      </c>
    </row>
    <row r="333" spans="1:8" ht="21.25" customHeight="1" x14ac:dyDescent="0.15">
      <c r="A333" s="8" t="s">
        <v>671</v>
      </c>
      <c r="B333" s="53" t="s">
        <v>62</v>
      </c>
      <c r="C333" s="149"/>
      <c r="D333" s="53" t="s">
        <v>62</v>
      </c>
      <c r="E333" s="53" t="str">
        <f t="shared" si="5"/>
        <v>—</v>
      </c>
      <c r="F333" s="51"/>
      <c r="G333" s="151">
        <v>1675000</v>
      </c>
      <c r="H333" s="53" t="s">
        <v>834</v>
      </c>
    </row>
    <row r="334" spans="1:8" ht="21.25" customHeight="1" x14ac:dyDescent="0.15">
      <c r="A334" s="8" t="s">
        <v>641</v>
      </c>
      <c r="B334" s="149">
        <v>169</v>
      </c>
      <c r="C334" s="149"/>
      <c r="D334" s="149">
        <v>422.91</v>
      </c>
      <c r="E334" s="149">
        <f t="shared" si="5"/>
        <v>295.95500000000004</v>
      </c>
      <c r="F334" s="51"/>
      <c r="G334" s="151">
        <v>950000</v>
      </c>
      <c r="H334" s="53" t="s">
        <v>834</v>
      </c>
    </row>
    <row r="335" spans="1:8" ht="21.25" customHeight="1" x14ac:dyDescent="0.15">
      <c r="A335" s="8" t="s">
        <v>595</v>
      </c>
      <c r="B335" s="149">
        <v>161.6</v>
      </c>
      <c r="C335" s="149"/>
      <c r="D335" s="53" t="s">
        <v>62</v>
      </c>
      <c r="E335" s="149">
        <f t="shared" si="5"/>
        <v>161.6</v>
      </c>
      <c r="F335" s="51"/>
      <c r="G335" s="151">
        <v>3500000</v>
      </c>
      <c r="H335" s="53" t="s">
        <v>834</v>
      </c>
    </row>
    <row r="336" spans="1:8" ht="21.25" customHeight="1" x14ac:dyDescent="0.15">
      <c r="A336" s="8" t="s">
        <v>538</v>
      </c>
      <c r="B336" s="53" t="s">
        <v>62</v>
      </c>
      <c r="C336" s="149"/>
      <c r="D336" s="53" t="s">
        <v>62</v>
      </c>
      <c r="E336" s="53" t="str">
        <f t="shared" si="5"/>
        <v>—</v>
      </c>
      <c r="F336" s="51"/>
      <c r="G336" s="151">
        <v>1400000</v>
      </c>
      <c r="H336" s="53" t="s">
        <v>834</v>
      </c>
    </row>
    <row r="337" spans="1:8" ht="21.25" customHeight="1" x14ac:dyDescent="0.15">
      <c r="A337" s="8" t="s">
        <v>512</v>
      </c>
      <c r="B337" s="53" t="s">
        <v>62</v>
      </c>
      <c r="C337" s="149"/>
      <c r="D337" s="149">
        <v>439.4</v>
      </c>
      <c r="E337" s="149">
        <f t="shared" si="5"/>
        <v>439.4</v>
      </c>
      <c r="F337" s="51"/>
      <c r="G337" s="151">
        <v>874000</v>
      </c>
      <c r="H337" s="53" t="s">
        <v>834</v>
      </c>
    </row>
    <row r="338" spans="1:8" ht="21.25" customHeight="1" x14ac:dyDescent="0.15">
      <c r="A338" s="8" t="s">
        <v>492</v>
      </c>
      <c r="B338" s="53" t="s">
        <v>62</v>
      </c>
      <c r="C338" s="149"/>
      <c r="D338" s="149">
        <v>1190.5999999999999</v>
      </c>
      <c r="E338" s="149">
        <f t="shared" si="5"/>
        <v>1190.5999999999999</v>
      </c>
      <c r="F338" s="51"/>
      <c r="G338" s="151">
        <v>6500000</v>
      </c>
      <c r="H338" s="53" t="s">
        <v>834</v>
      </c>
    </row>
    <row r="339" spans="1:8" ht="21.25" customHeight="1" x14ac:dyDescent="0.15">
      <c r="A339" s="8" t="s">
        <v>621</v>
      </c>
      <c r="B339" s="53" t="s">
        <v>62</v>
      </c>
      <c r="C339" s="149"/>
      <c r="D339" s="53" t="s">
        <v>62</v>
      </c>
      <c r="E339" s="53" t="str">
        <f t="shared" si="5"/>
        <v>—</v>
      </c>
      <c r="F339" s="149"/>
      <c r="G339" s="151">
        <v>775000</v>
      </c>
      <c r="H339" s="53" t="s">
        <v>834</v>
      </c>
    </row>
    <row r="340" spans="1:8" ht="21.25" customHeight="1" x14ac:dyDescent="0.15">
      <c r="A340" s="8" t="s">
        <v>343</v>
      </c>
      <c r="B340" s="149">
        <v>170.4</v>
      </c>
      <c r="C340" s="149"/>
      <c r="D340" s="53" t="s">
        <v>62</v>
      </c>
      <c r="E340" s="149">
        <f t="shared" si="5"/>
        <v>170.4</v>
      </c>
      <c r="F340" s="51"/>
      <c r="G340" s="151">
        <v>5300000</v>
      </c>
      <c r="H340" s="53" t="s">
        <v>834</v>
      </c>
    </row>
    <row r="341" spans="1:8" ht="21.25" customHeight="1" x14ac:dyDescent="0.15">
      <c r="A341" s="8" t="s">
        <v>476</v>
      </c>
      <c r="B341" s="53" t="s">
        <v>62</v>
      </c>
      <c r="C341" s="149"/>
      <c r="D341" s="53" t="s">
        <v>62</v>
      </c>
      <c r="E341" s="53" t="str">
        <f t="shared" si="5"/>
        <v>—</v>
      </c>
      <c r="F341" s="51"/>
      <c r="G341" s="151">
        <v>2710000</v>
      </c>
      <c r="H341" s="53" t="s">
        <v>834</v>
      </c>
    </row>
    <row r="342" spans="1:8" ht="21.25" customHeight="1" x14ac:dyDescent="0.15">
      <c r="A342" s="8" t="s">
        <v>564</v>
      </c>
      <c r="B342" s="53" t="s">
        <v>62</v>
      </c>
      <c r="C342" s="149"/>
      <c r="D342" s="53" t="s">
        <v>62</v>
      </c>
      <c r="E342" s="53" t="str">
        <f t="shared" si="5"/>
        <v>—</v>
      </c>
      <c r="F342" s="51"/>
      <c r="G342" s="151">
        <v>5000000</v>
      </c>
      <c r="H342" s="53" t="s">
        <v>834</v>
      </c>
    </row>
    <row r="343" spans="1:8" ht="21.25" customHeight="1" x14ac:dyDescent="0.15">
      <c r="A343" s="8" t="s">
        <v>642</v>
      </c>
      <c r="B343" s="53" t="s">
        <v>62</v>
      </c>
      <c r="C343" s="149"/>
      <c r="D343" s="53" t="s">
        <v>62</v>
      </c>
      <c r="E343" s="53" t="str">
        <f t="shared" si="5"/>
        <v>—</v>
      </c>
      <c r="F343" s="51"/>
      <c r="G343" s="151">
        <v>2750000</v>
      </c>
      <c r="H343" s="53" t="s">
        <v>834</v>
      </c>
    </row>
    <row r="344" spans="1:8" ht="21.25" customHeight="1" x14ac:dyDescent="0.15">
      <c r="A344" s="8" t="s">
        <v>339</v>
      </c>
      <c r="B344" s="53" t="s">
        <v>62</v>
      </c>
      <c r="C344" s="149"/>
      <c r="D344" s="53" t="s">
        <v>62</v>
      </c>
      <c r="E344" s="53" t="str">
        <f t="shared" si="5"/>
        <v>—</v>
      </c>
      <c r="F344" s="51"/>
      <c r="G344" s="151">
        <v>4025000</v>
      </c>
      <c r="H344" s="53" t="s">
        <v>834</v>
      </c>
    </row>
    <row r="345" spans="1:8" ht="21.25" customHeight="1" x14ac:dyDescent="0.15">
      <c r="A345" s="8" t="s">
        <v>637</v>
      </c>
      <c r="B345" s="53" t="s">
        <v>62</v>
      </c>
      <c r="C345" s="149"/>
      <c r="D345" s="53" t="s">
        <v>62</v>
      </c>
      <c r="E345" s="53" t="str">
        <f t="shared" si="5"/>
        <v>—</v>
      </c>
      <c r="F345" s="51"/>
      <c r="G345" s="151">
        <v>1525000</v>
      </c>
      <c r="H345" s="53" t="s">
        <v>834</v>
      </c>
    </row>
    <row r="346" spans="1:8" ht="21.25" customHeight="1" x14ac:dyDescent="0.15">
      <c r="A346" s="8" t="s">
        <v>634</v>
      </c>
      <c r="B346" s="53" t="s">
        <v>62</v>
      </c>
      <c r="C346" s="149"/>
      <c r="D346" s="53" t="s">
        <v>62</v>
      </c>
      <c r="E346" s="53" t="str">
        <f t="shared" si="5"/>
        <v>—</v>
      </c>
      <c r="F346" s="51"/>
      <c r="G346" s="151"/>
      <c r="H346" s="53" t="s">
        <v>834</v>
      </c>
    </row>
    <row r="347" spans="1:8" ht="21.25" customHeight="1" x14ac:dyDescent="0.15">
      <c r="A347" s="8" t="s">
        <v>623</v>
      </c>
      <c r="B347" s="53" t="s">
        <v>62</v>
      </c>
      <c r="C347" s="149"/>
      <c r="D347" s="53" t="s">
        <v>62</v>
      </c>
      <c r="E347" s="53" t="str">
        <f t="shared" si="5"/>
        <v>—</v>
      </c>
      <c r="F347" s="51"/>
      <c r="G347" s="151">
        <v>775000</v>
      </c>
      <c r="H347" s="53" t="s">
        <v>834</v>
      </c>
    </row>
    <row r="348" spans="1:8" ht="21.25" customHeight="1" x14ac:dyDescent="0.15">
      <c r="A348" s="8" t="s">
        <v>600</v>
      </c>
      <c r="B348" s="53" t="s">
        <v>62</v>
      </c>
      <c r="C348" s="149"/>
      <c r="D348" s="149">
        <v>427.5</v>
      </c>
      <c r="E348" s="149">
        <f t="shared" si="5"/>
        <v>427.5</v>
      </c>
      <c r="F348" s="51"/>
      <c r="G348" s="151">
        <v>3100000</v>
      </c>
      <c r="H348" s="53" t="s">
        <v>834</v>
      </c>
    </row>
    <row r="349" spans="1:8" ht="21.25" customHeight="1" x14ac:dyDescent="0.15">
      <c r="A349" s="8" t="s">
        <v>429</v>
      </c>
      <c r="B349" s="53" t="s">
        <v>62</v>
      </c>
      <c r="C349" s="149"/>
      <c r="D349" s="53" t="s">
        <v>62</v>
      </c>
      <c r="E349" s="53" t="str">
        <f t="shared" si="5"/>
        <v>—</v>
      </c>
      <c r="F349" s="51"/>
      <c r="G349" s="151">
        <v>2600000</v>
      </c>
      <c r="H349" s="53" t="s">
        <v>834</v>
      </c>
    </row>
    <row r="350" spans="1:8" ht="21.25" customHeight="1" x14ac:dyDescent="0.15">
      <c r="A350" s="8" t="s">
        <v>692</v>
      </c>
      <c r="B350" s="53" t="s">
        <v>62</v>
      </c>
      <c r="C350" s="149"/>
      <c r="D350" s="53" t="s">
        <v>62</v>
      </c>
      <c r="E350" s="53" t="str">
        <f t="shared" si="5"/>
        <v>—</v>
      </c>
      <c r="F350" s="51"/>
      <c r="G350" s="151">
        <v>2166667</v>
      </c>
      <c r="H350" s="53" t="s">
        <v>834</v>
      </c>
    </row>
    <row r="351" spans="1:8" ht="21.25" customHeight="1" x14ac:dyDescent="0.15">
      <c r="A351" s="8" t="s">
        <v>602</v>
      </c>
      <c r="B351" s="53" t="s">
        <v>62</v>
      </c>
      <c r="C351" s="149"/>
      <c r="D351" s="53" t="s">
        <v>62</v>
      </c>
      <c r="E351" s="53" t="str">
        <f t="shared" si="5"/>
        <v>—</v>
      </c>
      <c r="F351" s="51"/>
      <c r="G351" s="151"/>
      <c r="H351" s="53" t="s">
        <v>834</v>
      </c>
    </row>
    <row r="352" spans="1:8" ht="21.25" customHeight="1" x14ac:dyDescent="0.15">
      <c r="A352" s="8" t="s">
        <v>651</v>
      </c>
      <c r="B352" s="53" t="s">
        <v>62</v>
      </c>
      <c r="C352" s="149"/>
      <c r="D352" s="149">
        <v>400.5</v>
      </c>
      <c r="E352" s="149">
        <f t="shared" si="5"/>
        <v>400.5</v>
      </c>
      <c r="F352" s="51"/>
      <c r="G352" s="151">
        <v>2900000</v>
      </c>
      <c r="H352" s="53" t="s">
        <v>834</v>
      </c>
    </row>
    <row r="353" spans="1:8" ht="21.25" customHeight="1" x14ac:dyDescent="0.15">
      <c r="A353" s="8" t="s">
        <v>589</v>
      </c>
      <c r="B353" s="53" t="s">
        <v>62</v>
      </c>
      <c r="C353" s="149"/>
      <c r="D353" s="53" t="s">
        <v>62</v>
      </c>
      <c r="E353" s="53" t="str">
        <f t="shared" si="5"/>
        <v>—</v>
      </c>
      <c r="F353" s="149"/>
      <c r="G353" s="151">
        <v>925000</v>
      </c>
      <c r="H353" s="53" t="s">
        <v>834</v>
      </c>
    </row>
    <row r="354" spans="1:8" ht="21.25" customHeight="1" x14ac:dyDescent="0.15">
      <c r="A354" s="8" t="s">
        <v>679</v>
      </c>
      <c r="B354" s="53" t="s">
        <v>62</v>
      </c>
      <c r="C354" s="149"/>
      <c r="D354" s="53" t="s">
        <v>62</v>
      </c>
      <c r="E354" s="53" t="str">
        <f t="shared" si="5"/>
        <v>—</v>
      </c>
      <c r="F354" s="51"/>
      <c r="G354" s="151">
        <v>2300000</v>
      </c>
      <c r="H354" s="53" t="s">
        <v>834</v>
      </c>
    </row>
    <row r="355" spans="1:8" ht="21.25" customHeight="1" x14ac:dyDescent="0.15">
      <c r="A355" s="8" t="s">
        <v>774</v>
      </c>
      <c r="B355" s="53" t="s">
        <v>62</v>
      </c>
      <c r="C355" s="149"/>
      <c r="D355" s="53" t="s">
        <v>62</v>
      </c>
      <c r="E355" s="53" t="str">
        <f t="shared" si="5"/>
        <v>—</v>
      </c>
      <c r="F355" s="51"/>
      <c r="G355" s="151">
        <v>2000000</v>
      </c>
      <c r="H355" s="53" t="s">
        <v>834</v>
      </c>
    </row>
    <row r="356" spans="1:8" ht="21.25" customHeight="1" x14ac:dyDescent="0.15">
      <c r="A356" s="8" t="s">
        <v>347</v>
      </c>
      <c r="B356" s="149">
        <v>138.4</v>
      </c>
      <c r="C356" s="149"/>
      <c r="D356" s="149">
        <v>209.34</v>
      </c>
      <c r="E356" s="149">
        <f t="shared" si="5"/>
        <v>173.87</v>
      </c>
      <c r="F356" s="51"/>
      <c r="G356" s="151">
        <v>5250000</v>
      </c>
      <c r="H356" s="53" t="s">
        <v>834</v>
      </c>
    </row>
    <row r="357" spans="1:8" ht="21.25" customHeight="1" x14ac:dyDescent="0.15">
      <c r="A357" s="8" t="s">
        <v>305</v>
      </c>
      <c r="B357" s="149">
        <v>126.3</v>
      </c>
      <c r="C357" s="149"/>
      <c r="D357" s="149">
        <v>117.16</v>
      </c>
      <c r="E357" s="149">
        <f t="shared" si="5"/>
        <v>121.72999999999999</v>
      </c>
      <c r="F357" s="51"/>
      <c r="G357" s="151">
        <v>8000000</v>
      </c>
      <c r="H357" s="53" t="s">
        <v>834</v>
      </c>
    </row>
    <row r="358" spans="1:8" ht="21.25" customHeight="1" x14ac:dyDescent="0.15">
      <c r="A358" s="8" t="s">
        <v>565</v>
      </c>
      <c r="B358" s="53" t="s">
        <v>62</v>
      </c>
      <c r="C358" s="149"/>
      <c r="D358" s="53" t="s">
        <v>62</v>
      </c>
      <c r="E358" s="53" t="str">
        <f t="shared" si="5"/>
        <v>—</v>
      </c>
      <c r="F358" s="51"/>
      <c r="G358" s="151">
        <v>800000</v>
      </c>
      <c r="H358" s="53" t="s">
        <v>834</v>
      </c>
    </row>
    <row r="359" spans="1:8" ht="21.25" customHeight="1" x14ac:dyDescent="0.15">
      <c r="A359" s="8" t="s">
        <v>354</v>
      </c>
      <c r="B359" s="53" t="s">
        <v>62</v>
      </c>
      <c r="C359" s="149"/>
      <c r="D359" s="53" t="s">
        <v>62</v>
      </c>
      <c r="E359" s="53" t="str">
        <f t="shared" si="5"/>
        <v>—</v>
      </c>
      <c r="F359" s="51"/>
      <c r="G359" s="151">
        <v>3250000</v>
      </c>
      <c r="H359" s="53" t="s">
        <v>834</v>
      </c>
    </row>
    <row r="360" spans="1:8" ht="21.25" customHeight="1" x14ac:dyDescent="0.15">
      <c r="A360" s="8" t="s">
        <v>752</v>
      </c>
      <c r="B360" s="53" t="s">
        <v>62</v>
      </c>
      <c r="C360" s="149"/>
      <c r="D360" s="53" t="s">
        <v>62</v>
      </c>
      <c r="E360" s="53" t="str">
        <f t="shared" si="5"/>
        <v>—</v>
      </c>
      <c r="F360" s="51"/>
      <c r="G360" s="151">
        <v>863300</v>
      </c>
      <c r="H360" s="53" t="s">
        <v>834</v>
      </c>
    </row>
    <row r="361" spans="1:8" ht="21.25" customHeight="1" x14ac:dyDescent="0.15">
      <c r="A361" s="8" t="s">
        <v>674</v>
      </c>
      <c r="B361" s="149">
        <v>172.6</v>
      </c>
      <c r="C361" s="149"/>
      <c r="D361" s="149">
        <v>225.91</v>
      </c>
      <c r="E361" s="149">
        <f t="shared" si="5"/>
        <v>199.255</v>
      </c>
      <c r="F361" s="51"/>
      <c r="G361" s="151">
        <v>1000000</v>
      </c>
      <c r="H361" s="53" t="s">
        <v>834</v>
      </c>
    </row>
    <row r="362" spans="1:8" ht="21.25" customHeight="1" x14ac:dyDescent="0.15">
      <c r="A362" s="8" t="s">
        <v>570</v>
      </c>
      <c r="B362" s="53" t="s">
        <v>62</v>
      </c>
      <c r="C362" s="149"/>
      <c r="D362" s="53" t="s">
        <v>62</v>
      </c>
      <c r="E362" s="53" t="str">
        <f t="shared" si="5"/>
        <v>—</v>
      </c>
      <c r="F362" s="149"/>
      <c r="G362" s="151">
        <v>2500000</v>
      </c>
      <c r="H362" s="53" t="s">
        <v>834</v>
      </c>
    </row>
    <row r="363" spans="1:8" ht="21.25" customHeight="1" x14ac:dyDescent="0.15">
      <c r="A363" s="8" t="s">
        <v>561</v>
      </c>
      <c r="B363" s="53" t="s">
        <v>62</v>
      </c>
      <c r="C363" s="149"/>
      <c r="D363" s="53" t="s">
        <v>62</v>
      </c>
      <c r="E363" s="53" t="str">
        <f t="shared" si="5"/>
        <v>—</v>
      </c>
      <c r="F363" s="149"/>
      <c r="G363" s="151">
        <v>2750000</v>
      </c>
      <c r="H363" s="53" t="s">
        <v>834</v>
      </c>
    </row>
    <row r="364" spans="1:8" ht="21.25" customHeight="1" x14ac:dyDescent="0.15">
      <c r="A364" s="8" t="s">
        <v>646</v>
      </c>
      <c r="B364" s="53" t="s">
        <v>62</v>
      </c>
      <c r="C364" s="149"/>
      <c r="D364" s="53" t="s">
        <v>62</v>
      </c>
      <c r="E364" s="53" t="str">
        <f t="shared" si="5"/>
        <v>—</v>
      </c>
      <c r="F364" s="149"/>
      <c r="G364" s="151">
        <v>1600000</v>
      </c>
      <c r="H364" s="53" t="s">
        <v>834</v>
      </c>
    </row>
    <row r="365" spans="1:8" ht="21.25" customHeight="1" x14ac:dyDescent="0.15">
      <c r="A365" s="8" t="s">
        <v>560</v>
      </c>
      <c r="B365" s="53" t="s">
        <v>62</v>
      </c>
      <c r="C365" s="149"/>
      <c r="D365" s="53" t="s">
        <v>62</v>
      </c>
      <c r="E365" s="53" t="str">
        <f t="shared" si="5"/>
        <v>—</v>
      </c>
      <c r="F365" s="51"/>
      <c r="G365" s="151">
        <v>1800000</v>
      </c>
      <c r="H365" s="53" t="s">
        <v>834</v>
      </c>
    </row>
    <row r="366" spans="1:8" ht="21.25" customHeight="1" x14ac:dyDescent="0.15">
      <c r="A366" s="8" t="s">
        <v>530</v>
      </c>
      <c r="B366" s="53" t="s">
        <v>62</v>
      </c>
      <c r="C366" s="149"/>
      <c r="D366" s="149">
        <v>343.13</v>
      </c>
      <c r="E366" s="149">
        <f t="shared" si="5"/>
        <v>343.13</v>
      </c>
      <c r="F366" s="51"/>
      <c r="G366" s="151">
        <v>894167</v>
      </c>
      <c r="H366" s="53" t="s">
        <v>834</v>
      </c>
    </row>
    <row r="367" spans="1:8" ht="21.25" customHeight="1" x14ac:dyDescent="0.15">
      <c r="A367" s="8" t="s">
        <v>742</v>
      </c>
      <c r="B367" s="53" t="s">
        <v>62</v>
      </c>
      <c r="C367" s="149"/>
      <c r="D367" s="53" t="s">
        <v>62</v>
      </c>
      <c r="E367" s="53" t="str">
        <f t="shared" si="5"/>
        <v>—</v>
      </c>
      <c r="F367" s="51"/>
      <c r="G367" s="151">
        <v>863333</v>
      </c>
      <c r="H367" s="53" t="s">
        <v>834</v>
      </c>
    </row>
    <row r="368" spans="1:8" ht="21.25" customHeight="1" x14ac:dyDescent="0.15">
      <c r="A368" s="8" t="s">
        <v>449</v>
      </c>
      <c r="B368" s="149">
        <v>166.1</v>
      </c>
      <c r="C368" s="149"/>
      <c r="D368" s="149">
        <v>467.5</v>
      </c>
      <c r="E368" s="149">
        <f t="shared" si="5"/>
        <v>316.8</v>
      </c>
      <c r="F368" s="51"/>
      <c r="G368" s="151">
        <v>825000</v>
      </c>
      <c r="H368" s="53" t="s">
        <v>834</v>
      </c>
    </row>
    <row r="369" spans="1:8" ht="21.25" customHeight="1" x14ac:dyDescent="0.15">
      <c r="A369" s="8" t="s">
        <v>776</v>
      </c>
      <c r="B369" s="53" t="s">
        <v>62</v>
      </c>
      <c r="C369" s="149"/>
      <c r="D369" s="53" t="s">
        <v>62</v>
      </c>
      <c r="E369" s="53" t="str">
        <f t="shared" si="5"/>
        <v>—</v>
      </c>
      <c r="F369" s="149"/>
      <c r="G369" s="151"/>
      <c r="H369" s="53" t="s">
        <v>834</v>
      </c>
    </row>
    <row r="370" spans="1:8" ht="21.25" customHeight="1" x14ac:dyDescent="0.15">
      <c r="A370" s="8" t="s">
        <v>640</v>
      </c>
      <c r="B370" s="53" t="s">
        <v>62</v>
      </c>
      <c r="C370" s="149"/>
      <c r="D370" s="149">
        <v>459.5</v>
      </c>
      <c r="E370" s="149">
        <f t="shared" si="5"/>
        <v>459.5</v>
      </c>
      <c r="F370" s="51"/>
      <c r="G370" s="151">
        <v>3250000</v>
      </c>
      <c r="H370" s="53" t="s">
        <v>834</v>
      </c>
    </row>
    <row r="371" spans="1:8" ht="21.25" customHeight="1" x14ac:dyDescent="0.15">
      <c r="A371" s="8" t="s">
        <v>652</v>
      </c>
      <c r="B371" s="53" t="s">
        <v>62</v>
      </c>
      <c r="C371" s="149"/>
      <c r="D371" s="53" t="s">
        <v>62</v>
      </c>
      <c r="E371" s="53" t="str">
        <f t="shared" si="5"/>
        <v>—</v>
      </c>
      <c r="F371" s="51"/>
      <c r="G371" s="151">
        <v>925000</v>
      </c>
      <c r="H371" s="53" t="s">
        <v>834</v>
      </c>
    </row>
    <row r="372" spans="1:8" ht="21.25" customHeight="1" x14ac:dyDescent="0.15">
      <c r="A372" s="8" t="s">
        <v>727</v>
      </c>
      <c r="B372" s="53" t="s">
        <v>62</v>
      </c>
      <c r="C372" s="149"/>
      <c r="D372" s="53" t="s">
        <v>62</v>
      </c>
      <c r="E372" s="53" t="str">
        <f t="shared" si="5"/>
        <v>—</v>
      </c>
      <c r="F372" s="51"/>
      <c r="G372" s="151">
        <v>762500</v>
      </c>
      <c r="H372" s="53" t="s">
        <v>834</v>
      </c>
    </row>
    <row r="373" spans="1:8" ht="21.25" customHeight="1" x14ac:dyDescent="0.15">
      <c r="A373" s="8" t="s">
        <v>720</v>
      </c>
      <c r="B373" s="53" t="s">
        <v>62</v>
      </c>
      <c r="C373" s="149"/>
      <c r="D373" s="53" t="s">
        <v>62</v>
      </c>
      <c r="E373" s="53" t="str">
        <f t="shared" si="5"/>
        <v>—</v>
      </c>
      <c r="F373" s="51"/>
      <c r="G373" s="151">
        <v>796667</v>
      </c>
      <c r="H373" s="53" t="s">
        <v>834</v>
      </c>
    </row>
    <row r="374" spans="1:8" ht="21.25" customHeight="1" x14ac:dyDescent="0.15">
      <c r="A374" s="8" t="s">
        <v>348</v>
      </c>
      <c r="B374" s="149">
        <v>154</v>
      </c>
      <c r="C374" s="149"/>
      <c r="D374" s="149">
        <v>170.06</v>
      </c>
      <c r="E374" s="149">
        <f t="shared" si="5"/>
        <v>162.03</v>
      </c>
      <c r="F374" s="51"/>
      <c r="G374" s="151">
        <v>4000000</v>
      </c>
      <c r="H374" s="53" t="s">
        <v>834</v>
      </c>
    </row>
    <row r="375" spans="1:8" ht="21.25" customHeight="1" x14ac:dyDescent="0.15">
      <c r="A375" s="8" t="s">
        <v>366</v>
      </c>
      <c r="B375" s="53" t="s">
        <v>62</v>
      </c>
      <c r="C375" s="149"/>
      <c r="D375" s="53" t="s">
        <v>62</v>
      </c>
      <c r="E375" s="53" t="str">
        <f t="shared" si="5"/>
        <v>—</v>
      </c>
      <c r="F375" s="51"/>
      <c r="G375" s="151">
        <v>6250000</v>
      </c>
      <c r="H375" s="53" t="s">
        <v>834</v>
      </c>
    </row>
    <row r="376" spans="1:8" ht="21.25" customHeight="1" x14ac:dyDescent="0.15">
      <c r="A376" s="8" t="s">
        <v>733</v>
      </c>
      <c r="B376" s="53" t="s">
        <v>62</v>
      </c>
      <c r="C376" s="149"/>
      <c r="D376" s="53" t="s">
        <v>62</v>
      </c>
      <c r="E376" s="53" t="str">
        <f t="shared" si="5"/>
        <v>—</v>
      </c>
      <c r="F376" s="51"/>
      <c r="G376" s="151">
        <v>900000</v>
      </c>
      <c r="H376" s="53" t="s">
        <v>834</v>
      </c>
    </row>
    <row r="377" spans="1:8" ht="21.25" customHeight="1" x14ac:dyDescent="0.15">
      <c r="A377" s="8" t="s">
        <v>590</v>
      </c>
      <c r="B377" s="53" t="s">
        <v>62</v>
      </c>
      <c r="C377" s="149"/>
      <c r="D377" s="53" t="s">
        <v>62</v>
      </c>
      <c r="E377" s="53" t="str">
        <f t="shared" si="5"/>
        <v>—</v>
      </c>
      <c r="F377" s="51"/>
      <c r="G377" s="151">
        <v>2400000</v>
      </c>
      <c r="H377" s="53" t="s">
        <v>834</v>
      </c>
    </row>
    <row r="378" spans="1:8" ht="21.25" customHeight="1" x14ac:dyDescent="0.15">
      <c r="A378" s="8" t="s">
        <v>665</v>
      </c>
      <c r="B378" s="53" t="s">
        <v>62</v>
      </c>
      <c r="C378" s="149"/>
      <c r="D378" s="53" t="s">
        <v>62</v>
      </c>
      <c r="E378" s="53" t="str">
        <f t="shared" si="5"/>
        <v>—</v>
      </c>
      <c r="F378" s="51"/>
      <c r="G378" s="151">
        <v>800000</v>
      </c>
      <c r="H378" s="53" t="s">
        <v>834</v>
      </c>
    </row>
    <row r="379" spans="1:8" ht="21.25" customHeight="1" x14ac:dyDescent="0.15">
      <c r="A379" s="8" t="s">
        <v>627</v>
      </c>
      <c r="B379" s="53" t="s">
        <v>62</v>
      </c>
      <c r="C379" s="149"/>
      <c r="D379" s="53" t="s">
        <v>62</v>
      </c>
      <c r="E379" s="53" t="str">
        <f t="shared" si="5"/>
        <v>—</v>
      </c>
      <c r="F379" s="51"/>
      <c r="G379" s="151">
        <v>775000</v>
      </c>
      <c r="H379" s="53" t="s">
        <v>834</v>
      </c>
    </row>
    <row r="380" spans="1:8" ht="21.25" customHeight="1" x14ac:dyDescent="0.15">
      <c r="A380" s="8" t="s">
        <v>508</v>
      </c>
      <c r="B380" s="53" t="s">
        <v>62</v>
      </c>
      <c r="C380" s="149"/>
      <c r="D380" s="53" t="s">
        <v>62</v>
      </c>
      <c r="E380" s="53" t="str">
        <f t="shared" si="5"/>
        <v>—</v>
      </c>
      <c r="F380" s="51"/>
      <c r="G380" s="151">
        <v>2629000</v>
      </c>
      <c r="H380" s="53" t="s">
        <v>834</v>
      </c>
    </row>
    <row r="381" spans="1:8" ht="21.25" customHeight="1" x14ac:dyDescent="0.15">
      <c r="A381" s="8" t="s">
        <v>723</v>
      </c>
      <c r="B381" s="53" t="s">
        <v>62</v>
      </c>
      <c r="C381" s="149"/>
      <c r="D381" s="53" t="s">
        <v>62</v>
      </c>
      <c r="E381" s="53" t="str">
        <f t="shared" si="5"/>
        <v>—</v>
      </c>
      <c r="F381" s="51"/>
      <c r="G381" s="151">
        <v>1100000</v>
      </c>
      <c r="H381" s="53" t="s">
        <v>834</v>
      </c>
    </row>
    <row r="382" spans="1:8" ht="21.25" customHeight="1" x14ac:dyDescent="0.15">
      <c r="A382" s="8" t="s">
        <v>382</v>
      </c>
      <c r="B382" s="53" t="s">
        <v>62</v>
      </c>
      <c r="C382" s="149"/>
      <c r="D382" s="53" t="s">
        <v>62</v>
      </c>
      <c r="E382" s="53" t="str">
        <f t="shared" si="5"/>
        <v>—</v>
      </c>
      <c r="F382" s="51"/>
      <c r="G382" s="151">
        <v>5750000</v>
      </c>
      <c r="H382" s="53" t="s">
        <v>834</v>
      </c>
    </row>
    <row r="383" spans="1:8" ht="21.25" customHeight="1" x14ac:dyDescent="0.15">
      <c r="A383" s="8" t="s">
        <v>389</v>
      </c>
      <c r="B383" s="53" t="s">
        <v>62</v>
      </c>
      <c r="C383" s="149"/>
      <c r="D383" s="149">
        <v>469.6</v>
      </c>
      <c r="E383" s="149">
        <f t="shared" si="5"/>
        <v>469.6</v>
      </c>
      <c r="F383" s="51"/>
      <c r="G383" s="151">
        <v>5875000</v>
      </c>
      <c r="H383" s="53" t="s">
        <v>834</v>
      </c>
    </row>
    <row r="384" spans="1:8" ht="21.25" customHeight="1" x14ac:dyDescent="0.15">
      <c r="A384" s="8" t="s">
        <v>709</v>
      </c>
      <c r="B384" s="53" t="s">
        <v>62</v>
      </c>
      <c r="C384" s="149"/>
      <c r="D384" s="53" t="s">
        <v>62</v>
      </c>
      <c r="E384" s="53" t="str">
        <f t="shared" si="5"/>
        <v>—</v>
      </c>
      <c r="F384" s="51"/>
      <c r="G384" s="151">
        <v>1000000</v>
      </c>
      <c r="H384" s="53" t="s">
        <v>834</v>
      </c>
    </row>
    <row r="385" spans="1:8" ht="21.25" customHeight="1" x14ac:dyDescent="0.15">
      <c r="A385" s="8" t="s">
        <v>359</v>
      </c>
      <c r="B385" s="149">
        <v>149.80000000000001</v>
      </c>
      <c r="C385" s="149"/>
      <c r="D385" s="149">
        <v>432.1</v>
      </c>
      <c r="E385" s="149">
        <f t="shared" si="5"/>
        <v>290.95000000000005</v>
      </c>
      <c r="F385" s="51"/>
      <c r="G385" s="151">
        <v>4500000</v>
      </c>
      <c r="H385" s="53" t="s">
        <v>834</v>
      </c>
    </row>
    <row r="386" spans="1:8" ht="21.25" customHeight="1" x14ac:dyDescent="0.15">
      <c r="A386" s="8" t="s">
        <v>694</v>
      </c>
      <c r="B386" s="53" t="s">
        <v>62</v>
      </c>
      <c r="C386" s="149"/>
      <c r="D386" s="53" t="s">
        <v>62</v>
      </c>
      <c r="E386" s="53" t="str">
        <f t="shared" ref="E386:E449" si="6">IFERROR(AVERAGE(B386:D386),"—")</f>
        <v>—</v>
      </c>
      <c r="F386" s="51"/>
      <c r="G386" s="151">
        <v>2857000</v>
      </c>
      <c r="H386" s="53" t="s">
        <v>834</v>
      </c>
    </row>
    <row r="387" spans="1:8" ht="21.25" customHeight="1" x14ac:dyDescent="0.15">
      <c r="A387" s="8" t="s">
        <v>606</v>
      </c>
      <c r="B387" s="53" t="s">
        <v>62</v>
      </c>
      <c r="C387" s="149"/>
      <c r="D387" s="53" t="s">
        <v>62</v>
      </c>
      <c r="E387" s="53" t="str">
        <f t="shared" si="6"/>
        <v>—</v>
      </c>
      <c r="F387" s="51"/>
      <c r="G387" s="151">
        <v>1100000</v>
      </c>
      <c r="H387" s="53" t="s">
        <v>834</v>
      </c>
    </row>
    <row r="388" spans="1:8" ht="21.25" customHeight="1" x14ac:dyDescent="0.15">
      <c r="A388" s="8" t="s">
        <v>750</v>
      </c>
      <c r="B388" s="53" t="s">
        <v>62</v>
      </c>
      <c r="C388" s="149"/>
      <c r="D388" s="53" t="s">
        <v>62</v>
      </c>
      <c r="E388" s="53" t="str">
        <f t="shared" si="6"/>
        <v>—</v>
      </c>
      <c r="F388" s="51"/>
      <c r="G388" s="151">
        <v>1900000</v>
      </c>
      <c r="H388" s="53" t="s">
        <v>834</v>
      </c>
    </row>
    <row r="389" spans="1:8" ht="21.25" customHeight="1" x14ac:dyDescent="0.15">
      <c r="A389" s="8" t="s">
        <v>424</v>
      </c>
      <c r="B389" s="53" t="s">
        <v>62</v>
      </c>
      <c r="C389" s="149"/>
      <c r="D389" s="53" t="s">
        <v>62</v>
      </c>
      <c r="E389" s="53" t="str">
        <f t="shared" si="6"/>
        <v>—</v>
      </c>
      <c r="F389" s="51"/>
      <c r="G389" s="151">
        <v>1250000</v>
      </c>
      <c r="H389" s="53" t="s">
        <v>834</v>
      </c>
    </row>
    <row r="390" spans="1:8" ht="21.25" customHeight="1" x14ac:dyDescent="0.15">
      <c r="A390" s="8" t="s">
        <v>588</v>
      </c>
      <c r="B390" s="53" t="s">
        <v>62</v>
      </c>
      <c r="C390" s="149"/>
      <c r="D390" s="53" t="s">
        <v>62</v>
      </c>
      <c r="E390" s="53" t="str">
        <f t="shared" si="6"/>
        <v>—</v>
      </c>
      <c r="F390" s="51"/>
      <c r="G390" s="151">
        <v>2950000</v>
      </c>
      <c r="H390" s="53" t="s">
        <v>834</v>
      </c>
    </row>
    <row r="391" spans="1:8" ht="21.25" customHeight="1" x14ac:dyDescent="0.15">
      <c r="A391" s="8" t="s">
        <v>755</v>
      </c>
      <c r="B391" s="53" t="s">
        <v>62</v>
      </c>
      <c r="C391" s="149"/>
      <c r="D391" s="53" t="s">
        <v>62</v>
      </c>
      <c r="E391" s="53" t="str">
        <f t="shared" si="6"/>
        <v>—</v>
      </c>
      <c r="F391" s="51"/>
      <c r="G391" s="151">
        <v>775000</v>
      </c>
      <c r="H391" s="53" t="s">
        <v>834</v>
      </c>
    </row>
    <row r="392" spans="1:8" ht="21.25" customHeight="1" x14ac:dyDescent="0.15">
      <c r="A392" s="8" t="s">
        <v>601</v>
      </c>
      <c r="B392" s="53" t="s">
        <v>62</v>
      </c>
      <c r="C392" s="149"/>
      <c r="D392" s="53" t="s">
        <v>62</v>
      </c>
      <c r="E392" s="53" t="str">
        <f t="shared" si="6"/>
        <v>—</v>
      </c>
      <c r="F392" s="51"/>
      <c r="G392" s="151">
        <v>1600000</v>
      </c>
      <c r="H392" s="53" t="s">
        <v>834</v>
      </c>
    </row>
    <row r="393" spans="1:8" ht="21.25" customHeight="1" x14ac:dyDescent="0.15">
      <c r="A393" s="8" t="s">
        <v>704</v>
      </c>
      <c r="B393" s="53" t="s">
        <v>62</v>
      </c>
      <c r="C393" s="149"/>
      <c r="D393" s="53" t="s">
        <v>62</v>
      </c>
      <c r="E393" s="53" t="str">
        <f t="shared" si="6"/>
        <v>—</v>
      </c>
      <c r="F393" s="51"/>
      <c r="G393" s="151">
        <v>3641667</v>
      </c>
      <c r="H393" s="53" t="s">
        <v>834</v>
      </c>
    </row>
    <row r="394" spans="1:8" ht="21.25" customHeight="1" x14ac:dyDescent="0.15">
      <c r="A394" s="8" t="s">
        <v>380</v>
      </c>
      <c r="B394" s="53" t="s">
        <v>62</v>
      </c>
      <c r="C394" s="149"/>
      <c r="D394" s="53" t="s">
        <v>62</v>
      </c>
      <c r="E394" s="53" t="str">
        <f t="shared" si="6"/>
        <v>—</v>
      </c>
      <c r="F394" s="51"/>
      <c r="G394" s="151">
        <v>6000000</v>
      </c>
      <c r="H394" s="53" t="s">
        <v>834</v>
      </c>
    </row>
    <row r="395" spans="1:8" ht="21.25" customHeight="1" x14ac:dyDescent="0.15">
      <c r="A395" s="8" t="s">
        <v>611</v>
      </c>
      <c r="B395" s="53" t="s">
        <v>62</v>
      </c>
      <c r="C395" s="149"/>
      <c r="D395" s="53" t="s">
        <v>62</v>
      </c>
      <c r="E395" s="53" t="str">
        <f t="shared" si="6"/>
        <v>—</v>
      </c>
      <c r="F395" s="51"/>
      <c r="G395" s="151">
        <v>3125000</v>
      </c>
      <c r="H395" s="53" t="s">
        <v>834</v>
      </c>
    </row>
    <row r="396" spans="1:8" ht="21.25" customHeight="1" x14ac:dyDescent="0.15">
      <c r="A396" s="8" t="s">
        <v>571</v>
      </c>
      <c r="B396" s="53" t="s">
        <v>62</v>
      </c>
      <c r="C396" s="149"/>
      <c r="D396" s="53" t="s">
        <v>62</v>
      </c>
      <c r="E396" s="53" t="str">
        <f t="shared" si="6"/>
        <v>—</v>
      </c>
      <c r="F396" s="51"/>
      <c r="G396" s="151">
        <v>2500000</v>
      </c>
      <c r="H396" s="53" t="s">
        <v>834</v>
      </c>
    </row>
    <row r="397" spans="1:8" ht="21.25" customHeight="1" x14ac:dyDescent="0.15">
      <c r="A397" s="8" t="s">
        <v>360</v>
      </c>
      <c r="B397" s="53" t="s">
        <v>62</v>
      </c>
      <c r="C397" s="149"/>
      <c r="D397" s="149">
        <v>323.82</v>
      </c>
      <c r="E397" s="149">
        <f t="shared" si="6"/>
        <v>323.82</v>
      </c>
      <c r="F397" s="51"/>
      <c r="G397" s="151">
        <v>4725000</v>
      </c>
      <c r="H397" s="53" t="s">
        <v>834</v>
      </c>
    </row>
    <row r="398" spans="1:8" ht="21.25" customHeight="1" x14ac:dyDescent="0.15">
      <c r="A398" s="8" t="s">
        <v>681</v>
      </c>
      <c r="B398" s="53" t="s">
        <v>62</v>
      </c>
      <c r="C398" s="149"/>
      <c r="D398" s="53" t="s">
        <v>62</v>
      </c>
      <c r="E398" s="53" t="str">
        <f t="shared" si="6"/>
        <v>—</v>
      </c>
      <c r="F398" s="51"/>
      <c r="G398" s="151">
        <v>2650000</v>
      </c>
      <c r="H398" s="53" t="s">
        <v>834</v>
      </c>
    </row>
    <row r="399" spans="1:8" ht="21.25" customHeight="1" x14ac:dyDescent="0.15">
      <c r="A399" s="8" t="s">
        <v>730</v>
      </c>
      <c r="B399" s="53" t="s">
        <v>62</v>
      </c>
      <c r="C399" s="149"/>
      <c r="D399" s="53" t="s">
        <v>62</v>
      </c>
      <c r="E399" s="53" t="str">
        <f t="shared" si="6"/>
        <v>—</v>
      </c>
      <c r="F399" s="51"/>
      <c r="G399" s="151">
        <v>1700000</v>
      </c>
      <c r="H399" s="53" t="s">
        <v>834</v>
      </c>
    </row>
    <row r="400" spans="1:8" ht="21.25" customHeight="1" x14ac:dyDescent="0.15">
      <c r="A400" s="8" t="s">
        <v>687</v>
      </c>
      <c r="B400" s="53" t="s">
        <v>62</v>
      </c>
      <c r="C400" s="149"/>
      <c r="D400" s="53" t="s">
        <v>62</v>
      </c>
      <c r="E400" s="53" t="str">
        <f t="shared" si="6"/>
        <v>—</v>
      </c>
      <c r="F400" s="51"/>
      <c r="G400" s="151">
        <v>2000000</v>
      </c>
      <c r="H400" s="53" t="s">
        <v>834</v>
      </c>
    </row>
    <row r="401" spans="1:8" ht="21.25" customHeight="1" x14ac:dyDescent="0.15">
      <c r="A401" s="8" t="s">
        <v>714</v>
      </c>
      <c r="B401" s="53" t="s">
        <v>62</v>
      </c>
      <c r="C401" s="149"/>
      <c r="D401" s="53" t="s">
        <v>62</v>
      </c>
      <c r="E401" s="53" t="str">
        <f t="shared" si="6"/>
        <v>—</v>
      </c>
      <c r="F401" s="51"/>
      <c r="G401" s="151">
        <v>1150000</v>
      </c>
      <c r="H401" s="53" t="s">
        <v>834</v>
      </c>
    </row>
    <row r="402" spans="1:8" ht="21.25" customHeight="1" x14ac:dyDescent="0.15">
      <c r="A402" s="8" t="s">
        <v>397</v>
      </c>
      <c r="B402" s="53" t="s">
        <v>62</v>
      </c>
      <c r="C402" s="149"/>
      <c r="D402" s="53" t="s">
        <v>62</v>
      </c>
      <c r="E402" s="53" t="str">
        <f t="shared" si="6"/>
        <v>—</v>
      </c>
      <c r="F402" s="51"/>
      <c r="G402" s="151">
        <v>1125000</v>
      </c>
      <c r="H402" s="53" t="s">
        <v>834</v>
      </c>
    </row>
    <row r="403" spans="1:8" ht="21.25" customHeight="1" x14ac:dyDescent="0.15">
      <c r="A403" s="8" t="s">
        <v>428</v>
      </c>
      <c r="B403" s="53" t="s">
        <v>62</v>
      </c>
      <c r="C403" s="149"/>
      <c r="D403" s="53" t="s">
        <v>62</v>
      </c>
      <c r="E403" s="53" t="str">
        <f t="shared" si="6"/>
        <v>—</v>
      </c>
      <c r="F403" s="51"/>
      <c r="G403" s="151">
        <v>1400000</v>
      </c>
      <c r="H403" s="53" t="s">
        <v>834</v>
      </c>
    </row>
    <row r="404" spans="1:8" ht="21.25" customHeight="1" x14ac:dyDescent="0.15">
      <c r="A404" s="8" t="s">
        <v>657</v>
      </c>
      <c r="B404" s="53" t="s">
        <v>62</v>
      </c>
      <c r="C404" s="149"/>
      <c r="D404" s="53" t="s">
        <v>62</v>
      </c>
      <c r="E404" s="53" t="str">
        <f t="shared" si="6"/>
        <v>—</v>
      </c>
      <c r="F404" s="51"/>
      <c r="G404" s="151">
        <v>1700000</v>
      </c>
      <c r="H404" s="53" t="s">
        <v>834</v>
      </c>
    </row>
    <row r="405" spans="1:8" ht="21.25" customHeight="1" x14ac:dyDescent="0.15">
      <c r="A405" s="8" t="s">
        <v>401</v>
      </c>
      <c r="B405" s="53" t="s">
        <v>62</v>
      </c>
      <c r="C405" s="149"/>
      <c r="D405" s="53" t="s">
        <v>62</v>
      </c>
      <c r="E405" s="53" t="str">
        <f t="shared" si="6"/>
        <v>—</v>
      </c>
      <c r="F405" s="51"/>
      <c r="G405" s="151">
        <v>4050000</v>
      </c>
      <c r="H405" s="53" t="s">
        <v>834</v>
      </c>
    </row>
    <row r="406" spans="1:8" ht="21.25" customHeight="1" x14ac:dyDescent="0.15">
      <c r="A406" s="8" t="s">
        <v>740</v>
      </c>
      <c r="B406" s="53" t="s">
        <v>62</v>
      </c>
      <c r="C406" s="149"/>
      <c r="D406" s="53" t="s">
        <v>62</v>
      </c>
      <c r="E406" s="53" t="str">
        <f t="shared" si="6"/>
        <v>—</v>
      </c>
      <c r="F406" s="51"/>
      <c r="G406" s="151"/>
      <c r="H406" s="53" t="s">
        <v>834</v>
      </c>
    </row>
    <row r="407" spans="1:8" ht="21.25" customHeight="1" x14ac:dyDescent="0.15">
      <c r="A407" s="8" t="s">
        <v>580</v>
      </c>
      <c r="B407" s="53" t="s">
        <v>62</v>
      </c>
      <c r="C407" s="149"/>
      <c r="D407" s="53" t="s">
        <v>62</v>
      </c>
      <c r="E407" s="53" t="str">
        <f t="shared" si="6"/>
        <v>—</v>
      </c>
      <c r="F407" s="51"/>
      <c r="G407" s="151">
        <v>1100000</v>
      </c>
      <c r="H407" s="53" t="s">
        <v>834</v>
      </c>
    </row>
    <row r="408" spans="1:8" ht="21.25" customHeight="1" x14ac:dyDescent="0.15">
      <c r="A408" s="8" t="s">
        <v>353</v>
      </c>
      <c r="B408" s="53" t="s">
        <v>62</v>
      </c>
      <c r="C408" s="149"/>
      <c r="D408" s="149">
        <v>384.65</v>
      </c>
      <c r="E408" s="149">
        <f t="shared" si="6"/>
        <v>384.65</v>
      </c>
      <c r="F408" s="51"/>
      <c r="G408" s="151">
        <v>1000000</v>
      </c>
      <c r="H408" s="53" t="s">
        <v>834</v>
      </c>
    </row>
    <row r="409" spans="1:8" ht="21.25" customHeight="1" x14ac:dyDescent="0.15">
      <c r="A409" s="8" t="s">
        <v>432</v>
      </c>
      <c r="B409" s="149">
        <v>168.4</v>
      </c>
      <c r="C409" s="149"/>
      <c r="D409" s="53" t="s">
        <v>62</v>
      </c>
      <c r="E409" s="149">
        <f t="shared" si="6"/>
        <v>168.4</v>
      </c>
      <c r="F409" s="51"/>
      <c r="G409" s="151">
        <v>3687500</v>
      </c>
      <c r="H409" s="53" t="s">
        <v>834</v>
      </c>
    </row>
    <row r="410" spans="1:8" ht="21.25" customHeight="1" x14ac:dyDescent="0.15">
      <c r="A410" s="8" t="s">
        <v>736</v>
      </c>
      <c r="B410" s="53" t="s">
        <v>62</v>
      </c>
      <c r="C410" s="149"/>
      <c r="D410" s="53" t="s">
        <v>62</v>
      </c>
      <c r="E410" s="53" t="str">
        <f t="shared" si="6"/>
        <v>—</v>
      </c>
      <c r="F410" s="51"/>
      <c r="G410" s="151">
        <v>1800000</v>
      </c>
      <c r="H410" s="53" t="s">
        <v>834</v>
      </c>
    </row>
    <row r="411" spans="1:8" ht="21.25" customHeight="1" x14ac:dyDescent="0.15">
      <c r="A411" s="8" t="s">
        <v>612</v>
      </c>
      <c r="B411" s="53" t="s">
        <v>62</v>
      </c>
      <c r="C411" s="149"/>
      <c r="D411" s="53" t="s">
        <v>62</v>
      </c>
      <c r="E411" s="53" t="str">
        <f t="shared" si="6"/>
        <v>—</v>
      </c>
      <c r="F411" s="51"/>
      <c r="G411" s="151">
        <v>785000</v>
      </c>
      <c r="H411" s="53" t="s">
        <v>834</v>
      </c>
    </row>
    <row r="412" spans="1:8" ht="21.25" customHeight="1" x14ac:dyDescent="0.15">
      <c r="A412" s="8" t="s">
        <v>419</v>
      </c>
      <c r="B412" s="53" t="s">
        <v>62</v>
      </c>
      <c r="C412" s="149"/>
      <c r="D412" s="53" t="s">
        <v>62</v>
      </c>
      <c r="E412" s="53" t="str">
        <f t="shared" si="6"/>
        <v>—</v>
      </c>
      <c r="F412" s="51"/>
      <c r="G412" s="151">
        <v>4025000</v>
      </c>
      <c r="H412" s="53" t="s">
        <v>834</v>
      </c>
    </row>
    <row r="413" spans="1:8" ht="21.25" customHeight="1" x14ac:dyDescent="0.15">
      <c r="A413" s="8" t="s">
        <v>404</v>
      </c>
      <c r="B413" s="53" t="s">
        <v>62</v>
      </c>
      <c r="C413" s="149"/>
      <c r="D413" s="53" t="s">
        <v>62</v>
      </c>
      <c r="E413" s="53" t="str">
        <f t="shared" si="6"/>
        <v>—</v>
      </c>
      <c r="F413" s="51"/>
      <c r="G413" s="151">
        <v>5450000</v>
      </c>
      <c r="H413" s="53" t="s">
        <v>834</v>
      </c>
    </row>
    <row r="414" spans="1:8" ht="21.25" customHeight="1" x14ac:dyDescent="0.15">
      <c r="A414" s="8" t="s">
        <v>631</v>
      </c>
      <c r="B414" s="53" t="s">
        <v>62</v>
      </c>
      <c r="C414" s="149"/>
      <c r="D414" s="53" t="s">
        <v>62</v>
      </c>
      <c r="E414" s="53" t="str">
        <f t="shared" si="6"/>
        <v>—</v>
      </c>
      <c r="F414" s="51"/>
      <c r="G414" s="151">
        <v>900000</v>
      </c>
      <c r="H414" s="53" t="s">
        <v>834</v>
      </c>
    </row>
    <row r="415" spans="1:8" ht="21.25" customHeight="1" x14ac:dyDescent="0.15">
      <c r="A415" s="8" t="s">
        <v>377</v>
      </c>
      <c r="B415" s="53" t="s">
        <v>62</v>
      </c>
      <c r="C415" s="149"/>
      <c r="D415" s="149">
        <v>480.82</v>
      </c>
      <c r="E415" s="149">
        <f t="shared" si="6"/>
        <v>480.82</v>
      </c>
      <c r="F415" s="51"/>
      <c r="G415" s="151">
        <v>6150000</v>
      </c>
      <c r="H415" s="53" t="s">
        <v>834</v>
      </c>
    </row>
    <row r="416" spans="1:8" ht="21.25" customHeight="1" x14ac:dyDescent="0.15">
      <c r="A416" s="8" t="s">
        <v>660</v>
      </c>
      <c r="B416" s="53" t="s">
        <v>62</v>
      </c>
      <c r="C416" s="149"/>
      <c r="D416" s="53" t="s">
        <v>62</v>
      </c>
      <c r="E416" s="53" t="str">
        <f t="shared" si="6"/>
        <v>—</v>
      </c>
      <c r="F416" s="51"/>
      <c r="G416" s="151">
        <v>925000</v>
      </c>
      <c r="H416" s="53" t="s">
        <v>834</v>
      </c>
    </row>
    <row r="417" spans="1:8" ht="21.25" customHeight="1" x14ac:dyDescent="0.15">
      <c r="A417" s="8" t="s">
        <v>713</v>
      </c>
      <c r="B417" s="53" t="s">
        <v>62</v>
      </c>
      <c r="C417" s="149"/>
      <c r="D417" s="53" t="s">
        <v>62</v>
      </c>
      <c r="E417" s="53" t="str">
        <f t="shared" si="6"/>
        <v>—</v>
      </c>
      <c r="F417" s="51"/>
      <c r="G417" s="151">
        <v>785700</v>
      </c>
      <c r="H417" s="53" t="s">
        <v>834</v>
      </c>
    </row>
    <row r="418" spans="1:8" ht="21.25" customHeight="1" x14ac:dyDescent="0.15">
      <c r="A418" s="8" t="s">
        <v>457</v>
      </c>
      <c r="B418" s="53" t="s">
        <v>62</v>
      </c>
      <c r="C418" s="149"/>
      <c r="D418" s="53" t="s">
        <v>62</v>
      </c>
      <c r="E418" s="53" t="str">
        <f t="shared" si="6"/>
        <v>—</v>
      </c>
      <c r="F418" s="51"/>
      <c r="G418" s="151"/>
      <c r="H418" s="53" t="s">
        <v>834</v>
      </c>
    </row>
    <row r="419" spans="1:8" ht="21.25" customHeight="1" x14ac:dyDescent="0.15">
      <c r="A419" s="8" t="s">
        <v>581</v>
      </c>
      <c r="B419" s="53" t="s">
        <v>62</v>
      </c>
      <c r="C419" s="149"/>
      <c r="D419" s="53" t="s">
        <v>62</v>
      </c>
      <c r="E419" s="53" t="str">
        <f t="shared" si="6"/>
        <v>—</v>
      </c>
      <c r="F419" s="51"/>
      <c r="G419" s="151">
        <v>1050000</v>
      </c>
      <c r="H419" s="53" t="s">
        <v>834</v>
      </c>
    </row>
    <row r="420" spans="1:8" ht="21.25" customHeight="1" x14ac:dyDescent="0.15">
      <c r="A420" s="8" t="s">
        <v>553</v>
      </c>
      <c r="B420" s="53" t="s">
        <v>62</v>
      </c>
      <c r="C420" s="149"/>
      <c r="D420" s="53" t="s">
        <v>62</v>
      </c>
      <c r="E420" s="53" t="str">
        <f t="shared" si="6"/>
        <v>—</v>
      </c>
      <c r="F420" s="149"/>
      <c r="G420" s="151">
        <v>762500</v>
      </c>
      <c r="H420" s="53" t="s">
        <v>834</v>
      </c>
    </row>
    <row r="421" spans="1:8" ht="21.25" customHeight="1" x14ac:dyDescent="0.15">
      <c r="A421" s="8" t="s">
        <v>747</v>
      </c>
      <c r="B421" s="53" t="s">
        <v>62</v>
      </c>
      <c r="C421" s="149"/>
      <c r="D421" s="53" t="s">
        <v>62</v>
      </c>
      <c r="E421" s="53" t="str">
        <f t="shared" si="6"/>
        <v>—</v>
      </c>
      <c r="F421" s="51"/>
      <c r="G421" s="151">
        <v>1350000</v>
      </c>
      <c r="H421" s="53" t="s">
        <v>834</v>
      </c>
    </row>
    <row r="422" spans="1:8" ht="21.25" customHeight="1" x14ac:dyDescent="0.15">
      <c r="A422" s="8" t="s">
        <v>691</v>
      </c>
      <c r="B422" s="53" t="s">
        <v>62</v>
      </c>
      <c r="C422" s="149"/>
      <c r="D422" s="53" t="s">
        <v>62</v>
      </c>
      <c r="E422" s="53" t="str">
        <f t="shared" si="6"/>
        <v>—</v>
      </c>
      <c r="F422" s="51"/>
      <c r="G422" s="151">
        <v>2100000</v>
      </c>
      <c r="H422" s="53" t="s">
        <v>834</v>
      </c>
    </row>
    <row r="423" spans="1:8" ht="21.25" customHeight="1" x14ac:dyDescent="0.15">
      <c r="A423" s="8" t="s">
        <v>708</v>
      </c>
      <c r="B423" s="149">
        <v>145.80000000000001</v>
      </c>
      <c r="C423" s="149"/>
      <c r="D423" s="53" t="s">
        <v>62</v>
      </c>
      <c r="E423" s="149">
        <f t="shared" si="6"/>
        <v>145.80000000000001</v>
      </c>
      <c r="F423" s="51"/>
      <c r="G423" s="151">
        <v>2500000</v>
      </c>
      <c r="H423" s="53" t="s">
        <v>834</v>
      </c>
    </row>
    <row r="424" spans="1:8" ht="21.25" customHeight="1" x14ac:dyDescent="0.15">
      <c r="A424" s="8" t="s">
        <v>718</v>
      </c>
      <c r="B424" s="53" t="s">
        <v>62</v>
      </c>
      <c r="C424" s="149"/>
      <c r="D424" s="53" t="s">
        <v>62</v>
      </c>
      <c r="E424" s="53" t="str">
        <f t="shared" si="6"/>
        <v>—</v>
      </c>
      <c r="F424" s="51"/>
      <c r="G424" s="151">
        <v>775000</v>
      </c>
      <c r="H424" s="53" t="s">
        <v>834</v>
      </c>
    </row>
    <row r="425" spans="1:8" ht="21.25" customHeight="1" x14ac:dyDescent="0.15">
      <c r="A425" s="8" t="s">
        <v>759</v>
      </c>
      <c r="B425" s="53" t="s">
        <v>62</v>
      </c>
      <c r="C425" s="149"/>
      <c r="D425" s="53" t="s">
        <v>62</v>
      </c>
      <c r="E425" s="53" t="str">
        <f t="shared" si="6"/>
        <v>—</v>
      </c>
      <c r="F425" s="51"/>
      <c r="G425" s="151">
        <v>1750000</v>
      </c>
      <c r="H425" s="53" t="s">
        <v>834</v>
      </c>
    </row>
    <row r="426" spans="1:8" ht="21.25" customHeight="1" x14ac:dyDescent="0.15">
      <c r="A426" s="8" t="s">
        <v>617</v>
      </c>
      <c r="B426" s="53" t="s">
        <v>62</v>
      </c>
      <c r="C426" s="149"/>
      <c r="D426" s="53" t="s">
        <v>62</v>
      </c>
      <c r="E426" s="53" t="str">
        <f t="shared" si="6"/>
        <v>—</v>
      </c>
      <c r="F426" s="51"/>
      <c r="G426" s="151">
        <v>2406000</v>
      </c>
      <c r="H426" s="53" t="s">
        <v>834</v>
      </c>
    </row>
    <row r="427" spans="1:8" ht="21.25" customHeight="1" x14ac:dyDescent="0.15">
      <c r="A427" s="8" t="s">
        <v>765</v>
      </c>
      <c r="B427" s="53" t="s">
        <v>62</v>
      </c>
      <c r="C427" s="149"/>
      <c r="D427" s="53" t="s">
        <v>62</v>
      </c>
      <c r="E427" s="53" t="str">
        <f t="shared" si="6"/>
        <v>—</v>
      </c>
      <c r="F427" s="51"/>
      <c r="G427" s="151">
        <v>1144000</v>
      </c>
      <c r="H427" s="53" t="s">
        <v>834</v>
      </c>
    </row>
    <row r="428" spans="1:8" ht="21.25" customHeight="1" x14ac:dyDescent="0.15">
      <c r="A428" s="8" t="s">
        <v>524</v>
      </c>
      <c r="B428" s="53" t="s">
        <v>62</v>
      </c>
      <c r="C428" s="149"/>
      <c r="D428" s="53" t="s">
        <v>62</v>
      </c>
      <c r="E428" s="53" t="str">
        <f t="shared" si="6"/>
        <v>—</v>
      </c>
      <c r="F428" s="51"/>
      <c r="G428" s="151">
        <v>825000</v>
      </c>
      <c r="H428" s="53" t="s">
        <v>834</v>
      </c>
    </row>
    <row r="429" spans="1:8" ht="21.25" customHeight="1" x14ac:dyDescent="0.15">
      <c r="A429" s="8" t="s">
        <v>724</v>
      </c>
      <c r="B429" s="53" t="s">
        <v>62</v>
      </c>
      <c r="C429" s="149"/>
      <c r="D429" s="53" t="s">
        <v>62</v>
      </c>
      <c r="E429" s="53" t="str">
        <f t="shared" si="6"/>
        <v>—</v>
      </c>
      <c r="F429" s="51"/>
      <c r="G429" s="151">
        <v>1100000</v>
      </c>
      <c r="H429" s="53" t="s">
        <v>834</v>
      </c>
    </row>
    <row r="430" spans="1:8" ht="21.25" customHeight="1" x14ac:dyDescent="0.15">
      <c r="A430" s="8" t="s">
        <v>801</v>
      </c>
      <c r="B430" s="53" t="s">
        <v>62</v>
      </c>
      <c r="C430" s="149"/>
      <c r="D430" s="53" t="s">
        <v>62</v>
      </c>
      <c r="E430" s="53" t="str">
        <f t="shared" si="6"/>
        <v>—</v>
      </c>
      <c r="F430" s="51"/>
      <c r="G430" s="151">
        <v>1115000</v>
      </c>
      <c r="H430" s="53" t="s">
        <v>834</v>
      </c>
    </row>
    <row r="431" spans="1:8" ht="21.25" customHeight="1" x14ac:dyDescent="0.15">
      <c r="A431" s="8" t="s">
        <v>732</v>
      </c>
      <c r="B431" s="53" t="s">
        <v>62</v>
      </c>
      <c r="C431" s="149"/>
      <c r="D431" s="53" t="s">
        <v>62</v>
      </c>
      <c r="E431" s="53" t="str">
        <f t="shared" si="6"/>
        <v>—</v>
      </c>
      <c r="F431" s="149"/>
      <c r="G431" s="151">
        <v>1900000</v>
      </c>
      <c r="H431" s="53" t="s">
        <v>834</v>
      </c>
    </row>
    <row r="432" spans="1:8" ht="21.25" customHeight="1" x14ac:dyDescent="0.15">
      <c r="A432" s="8" t="s">
        <v>684</v>
      </c>
      <c r="B432" s="53" t="s">
        <v>62</v>
      </c>
      <c r="C432" s="149"/>
      <c r="D432" s="53" t="s">
        <v>62</v>
      </c>
      <c r="E432" s="53" t="str">
        <f t="shared" si="6"/>
        <v>—</v>
      </c>
      <c r="F432" s="51"/>
      <c r="G432" s="151">
        <v>835833</v>
      </c>
      <c r="H432" s="53" t="s">
        <v>834</v>
      </c>
    </row>
    <row r="433" spans="1:8" ht="21.25" customHeight="1" x14ac:dyDescent="0.15">
      <c r="A433" s="8" t="s">
        <v>702</v>
      </c>
      <c r="B433" s="53" t="s">
        <v>62</v>
      </c>
      <c r="C433" s="149"/>
      <c r="D433" s="53" t="s">
        <v>62</v>
      </c>
      <c r="E433" s="53" t="str">
        <f t="shared" si="6"/>
        <v>—</v>
      </c>
      <c r="F433" s="51"/>
      <c r="G433" s="151"/>
      <c r="H433" s="53" t="s">
        <v>834</v>
      </c>
    </row>
    <row r="434" spans="1:8" ht="21.25" customHeight="1" x14ac:dyDescent="0.15">
      <c r="A434" s="8" t="s">
        <v>769</v>
      </c>
      <c r="B434" s="53" t="s">
        <v>62</v>
      </c>
      <c r="C434" s="149"/>
      <c r="D434" s="53" t="s">
        <v>62</v>
      </c>
      <c r="E434" s="53" t="str">
        <f t="shared" si="6"/>
        <v>—</v>
      </c>
      <c r="F434" s="51"/>
      <c r="G434" s="151"/>
      <c r="H434" s="53" t="s">
        <v>834</v>
      </c>
    </row>
    <row r="435" spans="1:8" ht="21.25" customHeight="1" x14ac:dyDescent="0.15">
      <c r="A435" s="8" t="s">
        <v>576</v>
      </c>
      <c r="B435" s="53" t="s">
        <v>62</v>
      </c>
      <c r="C435" s="149"/>
      <c r="D435" s="53" t="s">
        <v>62</v>
      </c>
      <c r="E435" s="53" t="str">
        <f t="shared" si="6"/>
        <v>—</v>
      </c>
      <c r="F435" s="51"/>
      <c r="G435" s="151">
        <v>1915000</v>
      </c>
      <c r="H435" s="53" t="s">
        <v>834</v>
      </c>
    </row>
    <row r="436" spans="1:8" ht="21.25" customHeight="1" x14ac:dyDescent="0.15">
      <c r="A436" s="8" t="s">
        <v>526</v>
      </c>
      <c r="B436" s="53" t="s">
        <v>62</v>
      </c>
      <c r="C436" s="149"/>
      <c r="D436" s="53" t="s">
        <v>62</v>
      </c>
      <c r="E436" s="53" t="str">
        <f t="shared" si="6"/>
        <v>—</v>
      </c>
      <c r="F436" s="51"/>
      <c r="G436" s="151"/>
      <c r="H436" s="53" t="s">
        <v>834</v>
      </c>
    </row>
    <row r="437" spans="1:8" ht="21.25" customHeight="1" x14ac:dyDescent="0.15">
      <c r="A437" s="8" t="s">
        <v>738</v>
      </c>
      <c r="B437" s="53" t="s">
        <v>62</v>
      </c>
      <c r="C437" s="149"/>
      <c r="D437" s="53" t="s">
        <v>62</v>
      </c>
      <c r="E437" s="53" t="str">
        <f t="shared" si="6"/>
        <v>—</v>
      </c>
      <c r="F437" s="149"/>
      <c r="G437" s="151">
        <v>1300000</v>
      </c>
      <c r="H437" s="53" t="s">
        <v>834</v>
      </c>
    </row>
    <row r="438" spans="1:8" ht="21.25" customHeight="1" x14ac:dyDescent="0.15">
      <c r="A438" s="8" t="s">
        <v>743</v>
      </c>
      <c r="B438" s="53" t="s">
        <v>62</v>
      </c>
      <c r="C438" s="149"/>
      <c r="D438" s="53" t="s">
        <v>62</v>
      </c>
      <c r="E438" s="53" t="str">
        <f t="shared" si="6"/>
        <v>—</v>
      </c>
      <c r="F438" s="51"/>
      <c r="G438" s="151">
        <v>1400000</v>
      </c>
      <c r="H438" s="53" t="s">
        <v>834</v>
      </c>
    </row>
    <row r="439" spans="1:8" ht="21.25" customHeight="1" x14ac:dyDescent="0.15">
      <c r="A439" s="8" t="s">
        <v>398</v>
      </c>
      <c r="B439" s="53" t="s">
        <v>62</v>
      </c>
      <c r="C439" s="149"/>
      <c r="D439" s="149">
        <v>246</v>
      </c>
      <c r="E439" s="149">
        <f t="shared" si="6"/>
        <v>246</v>
      </c>
      <c r="F439" s="149"/>
      <c r="G439" s="151">
        <v>5100000</v>
      </c>
      <c r="H439" s="53" t="s">
        <v>834</v>
      </c>
    </row>
    <row r="440" spans="1:8" ht="21.25" customHeight="1" x14ac:dyDescent="0.15">
      <c r="A440" s="8" t="s">
        <v>480</v>
      </c>
      <c r="B440" s="53" t="s">
        <v>62</v>
      </c>
      <c r="C440" s="149"/>
      <c r="D440" s="53" t="s">
        <v>62</v>
      </c>
      <c r="E440" s="53" t="str">
        <f t="shared" si="6"/>
        <v>—</v>
      </c>
      <c r="F440" s="51"/>
      <c r="G440" s="151">
        <v>2333000</v>
      </c>
      <c r="H440" s="53" t="s">
        <v>834</v>
      </c>
    </row>
    <row r="441" spans="1:8" ht="21.25" customHeight="1" x14ac:dyDescent="0.15">
      <c r="A441" s="8" t="s">
        <v>438</v>
      </c>
      <c r="B441" s="53" t="s">
        <v>62</v>
      </c>
      <c r="C441" s="149"/>
      <c r="D441" s="53" t="s">
        <v>62</v>
      </c>
      <c r="E441" s="53" t="str">
        <f t="shared" si="6"/>
        <v>—</v>
      </c>
      <c r="F441" s="51"/>
      <c r="G441" s="151">
        <v>5200000</v>
      </c>
      <c r="H441" s="53" t="s">
        <v>834</v>
      </c>
    </row>
    <row r="442" spans="1:8" ht="21.25" customHeight="1" x14ac:dyDescent="0.15">
      <c r="A442" s="8" t="s">
        <v>502</v>
      </c>
      <c r="B442" s="53" t="s">
        <v>62</v>
      </c>
      <c r="C442" s="149"/>
      <c r="D442" s="53" t="s">
        <v>62</v>
      </c>
      <c r="E442" s="53" t="str">
        <f t="shared" si="6"/>
        <v>—</v>
      </c>
      <c r="F442" s="51"/>
      <c r="G442" s="151">
        <v>825000</v>
      </c>
      <c r="H442" s="53" t="s">
        <v>834</v>
      </c>
    </row>
    <row r="443" spans="1:8" ht="21.25" customHeight="1" x14ac:dyDescent="0.15">
      <c r="A443" s="8" t="s">
        <v>661</v>
      </c>
      <c r="B443" s="53" t="s">
        <v>62</v>
      </c>
      <c r="C443" s="149"/>
      <c r="D443" s="53" t="s">
        <v>62</v>
      </c>
      <c r="E443" s="53" t="str">
        <f t="shared" si="6"/>
        <v>—</v>
      </c>
      <c r="F443" s="51"/>
      <c r="G443" s="151">
        <v>1853000</v>
      </c>
      <c r="H443" s="53" t="s">
        <v>834</v>
      </c>
    </row>
    <row r="444" spans="1:8" ht="21.25" customHeight="1" x14ac:dyDescent="0.15">
      <c r="A444" s="8" t="s">
        <v>817</v>
      </c>
      <c r="B444" s="53" t="s">
        <v>62</v>
      </c>
      <c r="C444" s="149"/>
      <c r="D444" s="53" t="s">
        <v>62</v>
      </c>
      <c r="E444" s="53" t="str">
        <f t="shared" si="6"/>
        <v>—</v>
      </c>
      <c r="F444" s="51"/>
      <c r="G444" s="151"/>
      <c r="H444" s="53" t="s">
        <v>834</v>
      </c>
    </row>
    <row r="445" spans="1:8" ht="21.25" customHeight="1" x14ac:dyDescent="0.15">
      <c r="A445" s="8" t="s">
        <v>459</v>
      </c>
      <c r="B445" s="53" t="s">
        <v>62</v>
      </c>
      <c r="C445" s="149"/>
      <c r="D445" s="53" t="s">
        <v>62</v>
      </c>
      <c r="E445" s="53" t="str">
        <f t="shared" si="6"/>
        <v>—</v>
      </c>
      <c r="F445" s="51"/>
      <c r="G445" s="151">
        <v>4400000</v>
      </c>
      <c r="H445" s="53" t="s">
        <v>834</v>
      </c>
    </row>
    <row r="446" spans="1:8" ht="21.25" customHeight="1" x14ac:dyDescent="0.15">
      <c r="A446" s="8" t="s">
        <v>737</v>
      </c>
      <c r="B446" s="53" t="s">
        <v>62</v>
      </c>
      <c r="C446" s="149"/>
      <c r="D446" s="53" t="s">
        <v>62</v>
      </c>
      <c r="E446" s="53" t="str">
        <f t="shared" si="6"/>
        <v>—</v>
      </c>
      <c r="F446" s="51"/>
      <c r="G446" s="151">
        <v>2000000</v>
      </c>
      <c r="H446" s="53" t="s">
        <v>834</v>
      </c>
    </row>
    <row r="447" spans="1:8" ht="21.25" customHeight="1" x14ac:dyDescent="0.15">
      <c r="A447" s="8" t="s">
        <v>772</v>
      </c>
      <c r="B447" s="53" t="s">
        <v>62</v>
      </c>
      <c r="C447" s="149"/>
      <c r="D447" s="53" t="s">
        <v>62</v>
      </c>
      <c r="E447" s="53" t="str">
        <f t="shared" si="6"/>
        <v>—</v>
      </c>
      <c r="F447" s="51"/>
      <c r="G447" s="151">
        <v>850000</v>
      </c>
      <c r="H447" s="53" t="s">
        <v>834</v>
      </c>
    </row>
    <row r="448" spans="1:8" ht="21.25" customHeight="1" x14ac:dyDescent="0.15">
      <c r="A448" s="8" t="s">
        <v>725</v>
      </c>
      <c r="B448" s="53" t="s">
        <v>62</v>
      </c>
      <c r="C448" s="149"/>
      <c r="D448" s="53" t="s">
        <v>62</v>
      </c>
      <c r="E448" s="53" t="str">
        <f t="shared" si="6"/>
        <v>—</v>
      </c>
      <c r="F448" s="149"/>
      <c r="G448" s="151">
        <v>2000000</v>
      </c>
      <c r="H448" s="53" t="s">
        <v>834</v>
      </c>
    </row>
    <row r="449" spans="1:8" ht="21.25" customHeight="1" x14ac:dyDescent="0.15">
      <c r="A449" s="8" t="s">
        <v>511</v>
      </c>
      <c r="B449" s="53" t="s">
        <v>62</v>
      </c>
      <c r="C449" s="149"/>
      <c r="D449" s="53" t="s">
        <v>62</v>
      </c>
      <c r="E449" s="53" t="str">
        <f t="shared" si="6"/>
        <v>—</v>
      </c>
      <c r="F449" s="51"/>
      <c r="G449" s="151">
        <v>2500000</v>
      </c>
      <c r="H449" s="53" t="s">
        <v>834</v>
      </c>
    </row>
    <row r="450" spans="1:8" ht="21.25" customHeight="1" x14ac:dyDescent="0.15">
      <c r="A450" s="8" t="s">
        <v>753</v>
      </c>
      <c r="B450" s="53" t="s">
        <v>62</v>
      </c>
      <c r="C450" s="149"/>
      <c r="D450" s="53" t="s">
        <v>62</v>
      </c>
      <c r="E450" s="53" t="str">
        <f t="shared" ref="E450:E513" si="7">IFERROR(AVERAGE(B450:D450),"—")</f>
        <v>—</v>
      </c>
      <c r="F450" s="51"/>
      <c r="G450" s="151">
        <v>800000</v>
      </c>
      <c r="H450" s="53" t="s">
        <v>834</v>
      </c>
    </row>
    <row r="451" spans="1:8" ht="21.25" customHeight="1" x14ac:dyDescent="0.15">
      <c r="A451" s="8" t="s">
        <v>705</v>
      </c>
      <c r="B451" s="53" t="s">
        <v>62</v>
      </c>
      <c r="C451" s="149"/>
      <c r="D451" s="53" t="s">
        <v>62</v>
      </c>
      <c r="E451" s="53" t="str">
        <f t="shared" si="7"/>
        <v>—</v>
      </c>
      <c r="F451" s="51"/>
      <c r="G451" s="151">
        <v>800000</v>
      </c>
      <c r="H451" s="53" t="s">
        <v>834</v>
      </c>
    </row>
    <row r="452" spans="1:8" ht="21.25" customHeight="1" x14ac:dyDescent="0.15">
      <c r="A452" s="8" t="s">
        <v>678</v>
      </c>
      <c r="B452" s="53" t="s">
        <v>62</v>
      </c>
      <c r="C452" s="149"/>
      <c r="D452" s="53" t="s">
        <v>62</v>
      </c>
      <c r="E452" s="53" t="str">
        <f t="shared" si="7"/>
        <v>—</v>
      </c>
      <c r="F452" s="51"/>
      <c r="G452" s="151">
        <v>3000000</v>
      </c>
      <c r="H452" s="53" t="s">
        <v>834</v>
      </c>
    </row>
    <row r="453" spans="1:8" ht="21.25" customHeight="1" x14ac:dyDescent="0.15">
      <c r="A453" s="8" t="s">
        <v>544</v>
      </c>
      <c r="B453" s="53" t="s">
        <v>62</v>
      </c>
      <c r="C453" s="149"/>
      <c r="D453" s="53" t="s">
        <v>62</v>
      </c>
      <c r="E453" s="53" t="str">
        <f t="shared" si="7"/>
        <v>—</v>
      </c>
      <c r="F453" s="51"/>
      <c r="G453" s="151">
        <v>5250000</v>
      </c>
      <c r="H453" s="53" t="s">
        <v>834</v>
      </c>
    </row>
    <row r="454" spans="1:8" ht="21.25" customHeight="1" x14ac:dyDescent="0.15">
      <c r="A454" s="8" t="s">
        <v>644</v>
      </c>
      <c r="B454" s="53" t="s">
        <v>62</v>
      </c>
      <c r="C454" s="149"/>
      <c r="D454" s="53" t="s">
        <v>62</v>
      </c>
      <c r="E454" s="53" t="str">
        <f t="shared" si="7"/>
        <v>—</v>
      </c>
      <c r="F454" s="51"/>
      <c r="G454" s="151">
        <v>1250000</v>
      </c>
      <c r="H454" s="53" t="s">
        <v>834</v>
      </c>
    </row>
    <row r="455" spans="1:8" ht="21.25" customHeight="1" x14ac:dyDescent="0.15">
      <c r="A455" s="8" t="s">
        <v>427</v>
      </c>
      <c r="B455" s="53" t="s">
        <v>62</v>
      </c>
      <c r="C455" s="149"/>
      <c r="D455" s="53" t="s">
        <v>62</v>
      </c>
      <c r="E455" s="53" t="str">
        <f t="shared" si="7"/>
        <v>—</v>
      </c>
      <c r="F455" s="51"/>
      <c r="G455" s="151">
        <v>5950000</v>
      </c>
      <c r="H455" s="53" t="s">
        <v>834</v>
      </c>
    </row>
    <row r="456" spans="1:8" ht="21.25" customHeight="1" x14ac:dyDescent="0.15">
      <c r="A456" s="8" t="s">
        <v>579</v>
      </c>
      <c r="B456" s="53" t="s">
        <v>62</v>
      </c>
      <c r="C456" s="149"/>
      <c r="D456" s="53" t="s">
        <v>62</v>
      </c>
      <c r="E456" s="53" t="str">
        <f t="shared" si="7"/>
        <v>—</v>
      </c>
      <c r="F456" s="51"/>
      <c r="G456" s="151">
        <v>4000000</v>
      </c>
      <c r="H456" s="53" t="s">
        <v>834</v>
      </c>
    </row>
    <row r="457" spans="1:8" ht="21.25" customHeight="1" x14ac:dyDescent="0.15">
      <c r="A457" s="8" t="s">
        <v>385</v>
      </c>
      <c r="B457" s="149">
        <v>156.4</v>
      </c>
      <c r="C457" s="149"/>
      <c r="D457" s="53" t="s">
        <v>62</v>
      </c>
      <c r="E457" s="149">
        <f t="shared" si="7"/>
        <v>156.4</v>
      </c>
      <c r="F457" s="51"/>
      <c r="G457" s="151">
        <v>5800000</v>
      </c>
      <c r="H457" s="53" t="s">
        <v>834</v>
      </c>
    </row>
    <row r="458" spans="1:8" ht="21.25" customHeight="1" x14ac:dyDescent="0.15">
      <c r="A458" s="8" t="s">
        <v>394</v>
      </c>
      <c r="B458" s="53" t="s">
        <v>62</v>
      </c>
      <c r="C458" s="149"/>
      <c r="D458" s="149">
        <v>291.37</v>
      </c>
      <c r="E458" s="149">
        <f t="shared" si="7"/>
        <v>291.37</v>
      </c>
      <c r="F458" s="51"/>
      <c r="G458" s="151">
        <v>3400000</v>
      </c>
      <c r="H458" s="53" t="s">
        <v>834</v>
      </c>
    </row>
    <row r="459" spans="1:8" ht="21.25" customHeight="1" x14ac:dyDescent="0.15">
      <c r="A459" s="8" t="s">
        <v>664</v>
      </c>
      <c r="B459" s="149">
        <v>167.4</v>
      </c>
      <c r="C459" s="149"/>
      <c r="D459" s="53" t="s">
        <v>62</v>
      </c>
      <c r="E459" s="149">
        <f t="shared" si="7"/>
        <v>167.4</v>
      </c>
      <c r="F459" s="51"/>
      <c r="G459" s="151">
        <v>1400000</v>
      </c>
      <c r="H459" s="53" t="s">
        <v>834</v>
      </c>
    </row>
    <row r="460" spans="1:8" ht="21.25" customHeight="1" x14ac:dyDescent="0.15">
      <c r="A460" s="8" t="s">
        <v>448</v>
      </c>
      <c r="B460" s="149">
        <v>170.9</v>
      </c>
      <c r="C460" s="149"/>
      <c r="D460" s="53" t="s">
        <v>62</v>
      </c>
      <c r="E460" s="149">
        <f t="shared" si="7"/>
        <v>170.9</v>
      </c>
      <c r="F460" s="51"/>
      <c r="G460" s="151">
        <v>3250000</v>
      </c>
      <c r="H460" s="53" t="s">
        <v>834</v>
      </c>
    </row>
    <row r="461" spans="1:8" ht="21.25" customHeight="1" x14ac:dyDescent="0.15">
      <c r="A461" s="8" t="s">
        <v>467</v>
      </c>
      <c r="B461" s="149">
        <v>164</v>
      </c>
      <c r="C461" s="149"/>
      <c r="D461" s="149">
        <v>402.4</v>
      </c>
      <c r="E461" s="149">
        <f t="shared" si="7"/>
        <v>283.2</v>
      </c>
      <c r="F461" s="51"/>
      <c r="G461" s="151">
        <v>2000000</v>
      </c>
      <c r="H461" s="53" t="s">
        <v>834</v>
      </c>
    </row>
    <row r="462" spans="1:8" ht="21.25" customHeight="1" x14ac:dyDescent="0.15">
      <c r="A462" s="8" t="s">
        <v>643</v>
      </c>
      <c r="B462" s="53" t="s">
        <v>62</v>
      </c>
      <c r="C462" s="149"/>
      <c r="D462" s="53" t="s">
        <v>62</v>
      </c>
      <c r="E462" s="53" t="str">
        <f t="shared" si="7"/>
        <v>—</v>
      </c>
      <c r="F462" s="51"/>
      <c r="G462" s="151">
        <v>1300000</v>
      </c>
      <c r="H462" s="53" t="s">
        <v>834</v>
      </c>
    </row>
    <row r="463" spans="1:8" ht="21.25" customHeight="1" x14ac:dyDescent="0.15">
      <c r="A463" s="8" t="s">
        <v>420</v>
      </c>
      <c r="B463" s="53" t="s">
        <v>62</v>
      </c>
      <c r="C463" s="149"/>
      <c r="D463" s="53" t="s">
        <v>62</v>
      </c>
      <c r="E463" s="53" t="str">
        <f t="shared" si="7"/>
        <v>—</v>
      </c>
      <c r="F463" s="51"/>
      <c r="G463" s="151">
        <v>3500000</v>
      </c>
      <c r="H463" s="53" t="s">
        <v>834</v>
      </c>
    </row>
    <row r="464" spans="1:8" ht="21.25" customHeight="1" x14ac:dyDescent="0.15">
      <c r="A464" s="8" t="s">
        <v>439</v>
      </c>
      <c r="B464" s="53" t="s">
        <v>62</v>
      </c>
      <c r="C464" s="149"/>
      <c r="D464" s="53" t="s">
        <v>62</v>
      </c>
      <c r="E464" s="53" t="str">
        <f t="shared" si="7"/>
        <v>—</v>
      </c>
      <c r="F464" s="51"/>
      <c r="G464" s="151">
        <v>6750000</v>
      </c>
      <c r="H464" s="53" t="s">
        <v>834</v>
      </c>
    </row>
    <row r="465" spans="1:8" ht="21.25" customHeight="1" x14ac:dyDescent="0.15">
      <c r="A465" s="8" t="s">
        <v>806</v>
      </c>
      <c r="B465" s="53" t="s">
        <v>62</v>
      </c>
      <c r="C465" s="149"/>
      <c r="D465" s="53" t="s">
        <v>62</v>
      </c>
      <c r="E465" s="53" t="str">
        <f t="shared" si="7"/>
        <v>—</v>
      </c>
      <c r="F465" s="51"/>
      <c r="G465" s="151">
        <v>883750</v>
      </c>
      <c r="H465" s="53" t="s">
        <v>834</v>
      </c>
    </row>
    <row r="466" spans="1:8" ht="21.25" customHeight="1" x14ac:dyDescent="0.15">
      <c r="A466" s="8" t="s">
        <v>639</v>
      </c>
      <c r="B466" s="53" t="s">
        <v>62</v>
      </c>
      <c r="C466" s="149"/>
      <c r="D466" s="53" t="s">
        <v>62</v>
      </c>
      <c r="E466" s="53" t="str">
        <f t="shared" si="7"/>
        <v>—</v>
      </c>
      <c r="F466" s="51"/>
      <c r="G466" s="151">
        <v>1350000</v>
      </c>
      <c r="H466" s="53" t="s">
        <v>834</v>
      </c>
    </row>
    <row r="467" spans="1:8" ht="21.25" customHeight="1" x14ac:dyDescent="0.15">
      <c r="A467" s="8" t="s">
        <v>745</v>
      </c>
      <c r="B467" s="149">
        <v>150</v>
      </c>
      <c r="C467" s="149"/>
      <c r="D467" s="149">
        <v>457.5</v>
      </c>
      <c r="E467" s="149">
        <f t="shared" si="7"/>
        <v>303.75</v>
      </c>
      <c r="F467" s="51"/>
      <c r="G467" s="151">
        <v>1937000</v>
      </c>
      <c r="H467" s="53" t="s">
        <v>834</v>
      </c>
    </row>
    <row r="468" spans="1:8" ht="21.25" customHeight="1" x14ac:dyDescent="0.15">
      <c r="A468" s="8" t="s">
        <v>399</v>
      </c>
      <c r="B468" s="53" t="s">
        <v>62</v>
      </c>
      <c r="C468" s="149"/>
      <c r="D468" s="149">
        <v>489.5</v>
      </c>
      <c r="E468" s="149">
        <f t="shared" si="7"/>
        <v>489.5</v>
      </c>
      <c r="F468" s="51"/>
      <c r="G468" s="151">
        <v>3150000</v>
      </c>
      <c r="H468" s="53" t="s">
        <v>834</v>
      </c>
    </row>
    <row r="469" spans="1:8" ht="21.25" customHeight="1" x14ac:dyDescent="0.15">
      <c r="A469" s="8" t="s">
        <v>719</v>
      </c>
      <c r="B469" s="53" t="s">
        <v>62</v>
      </c>
      <c r="C469" s="149"/>
      <c r="D469" s="149">
        <v>455.5</v>
      </c>
      <c r="E469" s="149">
        <f t="shared" si="7"/>
        <v>455.5</v>
      </c>
      <c r="F469" s="51"/>
      <c r="G469" s="151">
        <v>2450000</v>
      </c>
      <c r="H469" s="53" t="s">
        <v>834</v>
      </c>
    </row>
    <row r="470" spans="1:8" ht="21.25" customHeight="1" x14ac:dyDescent="0.15">
      <c r="A470" s="8" t="s">
        <v>669</v>
      </c>
      <c r="B470" s="53" t="s">
        <v>62</v>
      </c>
      <c r="C470" s="149"/>
      <c r="D470" s="53" t="s">
        <v>62</v>
      </c>
      <c r="E470" s="53" t="str">
        <f t="shared" si="7"/>
        <v>—</v>
      </c>
      <c r="F470" s="51"/>
      <c r="G470" s="151">
        <v>1125000</v>
      </c>
      <c r="H470" s="53" t="s">
        <v>834</v>
      </c>
    </row>
    <row r="471" spans="1:8" ht="21.25" customHeight="1" x14ac:dyDescent="0.15">
      <c r="A471" s="8" t="s">
        <v>716</v>
      </c>
      <c r="B471" s="53" t="s">
        <v>62</v>
      </c>
      <c r="C471" s="149"/>
      <c r="D471" s="53" t="s">
        <v>62</v>
      </c>
      <c r="E471" s="53" t="str">
        <f t="shared" si="7"/>
        <v>—</v>
      </c>
      <c r="F471" s="51"/>
      <c r="G471" s="151">
        <v>1295000</v>
      </c>
      <c r="H471" s="53" t="s">
        <v>834</v>
      </c>
    </row>
    <row r="472" spans="1:8" ht="21.25" customHeight="1" x14ac:dyDescent="0.15">
      <c r="A472" s="8" t="s">
        <v>789</v>
      </c>
      <c r="B472" s="53" t="s">
        <v>62</v>
      </c>
      <c r="C472" s="149"/>
      <c r="D472" s="53" t="s">
        <v>62</v>
      </c>
      <c r="E472" s="53" t="str">
        <f t="shared" si="7"/>
        <v>—</v>
      </c>
      <c r="F472" s="51"/>
      <c r="G472" s="151">
        <v>825000</v>
      </c>
      <c r="H472" s="53" t="s">
        <v>834</v>
      </c>
    </row>
    <row r="473" spans="1:8" ht="21.25" customHeight="1" x14ac:dyDescent="0.15">
      <c r="A473" s="8" t="s">
        <v>494</v>
      </c>
      <c r="B473" s="53" t="s">
        <v>62</v>
      </c>
      <c r="C473" s="149"/>
      <c r="D473" s="53" t="s">
        <v>62</v>
      </c>
      <c r="E473" s="53" t="str">
        <f t="shared" si="7"/>
        <v>—</v>
      </c>
      <c r="F473" s="51"/>
      <c r="G473" s="151">
        <v>4285714</v>
      </c>
      <c r="H473" s="53" t="s">
        <v>834</v>
      </c>
    </row>
    <row r="474" spans="1:8" ht="21.25" customHeight="1" x14ac:dyDescent="0.15">
      <c r="A474" s="8" t="s">
        <v>731</v>
      </c>
      <c r="B474" s="53" t="s">
        <v>62</v>
      </c>
      <c r="C474" s="149"/>
      <c r="D474" s="53" t="s">
        <v>62</v>
      </c>
      <c r="E474" s="53" t="str">
        <f t="shared" si="7"/>
        <v>—</v>
      </c>
      <c r="F474" s="51"/>
      <c r="G474" s="151">
        <v>1000000</v>
      </c>
      <c r="H474" s="53" t="s">
        <v>834</v>
      </c>
    </row>
    <row r="475" spans="1:8" ht="21.25" customHeight="1" x14ac:dyDescent="0.15">
      <c r="A475" s="8" t="s">
        <v>814</v>
      </c>
      <c r="B475" s="53" t="s">
        <v>62</v>
      </c>
      <c r="C475" s="149"/>
      <c r="D475" s="53" t="s">
        <v>62</v>
      </c>
      <c r="E475" s="53" t="str">
        <f t="shared" si="7"/>
        <v>—</v>
      </c>
      <c r="F475" s="51"/>
      <c r="G475" s="151">
        <v>863333</v>
      </c>
      <c r="H475" s="53" t="s">
        <v>834</v>
      </c>
    </row>
    <row r="476" spans="1:8" ht="21.25" customHeight="1" x14ac:dyDescent="0.15">
      <c r="A476" s="8" t="s">
        <v>442</v>
      </c>
      <c r="B476" s="149">
        <v>185.6</v>
      </c>
      <c r="C476" s="149"/>
      <c r="D476" s="149">
        <v>442.07</v>
      </c>
      <c r="E476" s="149">
        <f t="shared" si="7"/>
        <v>313.83499999999998</v>
      </c>
      <c r="F476" s="51"/>
      <c r="G476" s="151">
        <v>2675000</v>
      </c>
      <c r="H476" s="53" t="s">
        <v>834</v>
      </c>
    </row>
    <row r="477" spans="1:8" ht="21.25" customHeight="1" x14ac:dyDescent="0.15">
      <c r="A477" s="8" t="s">
        <v>766</v>
      </c>
      <c r="B477" s="53" t="s">
        <v>62</v>
      </c>
      <c r="C477" s="149"/>
      <c r="D477" s="53" t="s">
        <v>62</v>
      </c>
      <c r="E477" s="53" t="str">
        <f t="shared" si="7"/>
        <v>—</v>
      </c>
      <c r="F477" s="51"/>
      <c r="G477" s="151">
        <v>1400000</v>
      </c>
      <c r="H477" s="53" t="s">
        <v>834</v>
      </c>
    </row>
    <row r="478" spans="1:8" ht="21.25" customHeight="1" x14ac:dyDescent="0.15">
      <c r="A478" s="8" t="s">
        <v>507</v>
      </c>
      <c r="B478" s="53" t="s">
        <v>62</v>
      </c>
      <c r="C478" s="149"/>
      <c r="D478" s="53" t="s">
        <v>62</v>
      </c>
      <c r="E478" s="53" t="str">
        <f t="shared" si="7"/>
        <v>—</v>
      </c>
      <c r="F478" s="51"/>
      <c r="G478" s="151">
        <v>2000000</v>
      </c>
      <c r="H478" s="53" t="s">
        <v>834</v>
      </c>
    </row>
    <row r="479" spans="1:8" ht="21.25" customHeight="1" x14ac:dyDescent="0.15">
      <c r="A479" s="8" t="s">
        <v>490</v>
      </c>
      <c r="B479" s="53" t="s">
        <v>62</v>
      </c>
      <c r="C479" s="149"/>
      <c r="D479" s="53" t="s">
        <v>62</v>
      </c>
      <c r="E479" s="53" t="str">
        <f t="shared" si="7"/>
        <v>—</v>
      </c>
      <c r="F479" s="149"/>
      <c r="G479" s="151">
        <v>5000000</v>
      </c>
      <c r="H479" s="53" t="s">
        <v>834</v>
      </c>
    </row>
    <row r="480" spans="1:8" ht="21.25" customHeight="1" x14ac:dyDescent="0.15">
      <c r="A480" s="8" t="s">
        <v>503</v>
      </c>
      <c r="B480" s="53" t="s">
        <v>62</v>
      </c>
      <c r="C480" s="149"/>
      <c r="D480" s="53" t="s">
        <v>62</v>
      </c>
      <c r="E480" s="53" t="str">
        <f t="shared" si="7"/>
        <v>—</v>
      </c>
      <c r="F480" s="51"/>
      <c r="G480" s="151">
        <v>3000000</v>
      </c>
      <c r="H480" s="53" t="s">
        <v>834</v>
      </c>
    </row>
    <row r="481" spans="1:8" ht="21.25" customHeight="1" x14ac:dyDescent="0.15">
      <c r="A481" s="8" t="s">
        <v>468</v>
      </c>
      <c r="B481" s="53" t="s">
        <v>62</v>
      </c>
      <c r="C481" s="149"/>
      <c r="D481" s="53" t="s">
        <v>62</v>
      </c>
      <c r="E481" s="53" t="str">
        <f t="shared" si="7"/>
        <v>—</v>
      </c>
      <c r="F481" s="51"/>
      <c r="G481" s="151">
        <v>3000000</v>
      </c>
      <c r="H481" s="53" t="s">
        <v>834</v>
      </c>
    </row>
    <row r="482" spans="1:8" ht="21.25" customHeight="1" x14ac:dyDescent="0.15">
      <c r="A482" s="8" t="s">
        <v>685</v>
      </c>
      <c r="B482" s="53" t="s">
        <v>62</v>
      </c>
      <c r="C482" s="149"/>
      <c r="D482" s="53" t="s">
        <v>62</v>
      </c>
      <c r="E482" s="53" t="str">
        <f t="shared" si="7"/>
        <v>—</v>
      </c>
      <c r="F482" s="51"/>
      <c r="G482" s="151">
        <v>1701000</v>
      </c>
      <c r="H482" s="53" t="s">
        <v>834</v>
      </c>
    </row>
    <row r="483" spans="1:8" ht="21.25" customHeight="1" x14ac:dyDescent="0.15">
      <c r="A483" s="8" t="s">
        <v>739</v>
      </c>
      <c r="B483" s="53" t="s">
        <v>62</v>
      </c>
      <c r="C483" s="149"/>
      <c r="D483" s="53" t="s">
        <v>62</v>
      </c>
      <c r="E483" s="53" t="str">
        <f t="shared" si="7"/>
        <v>—</v>
      </c>
      <c r="F483" s="51"/>
      <c r="G483" s="151">
        <v>2500000</v>
      </c>
      <c r="H483" s="53" t="s">
        <v>834</v>
      </c>
    </row>
    <row r="484" spans="1:8" ht="21.25" customHeight="1" x14ac:dyDescent="0.15">
      <c r="A484" s="8" t="s">
        <v>472</v>
      </c>
      <c r="B484" s="53" t="s">
        <v>62</v>
      </c>
      <c r="C484" s="149"/>
      <c r="D484" s="53" t="s">
        <v>62</v>
      </c>
      <c r="E484" s="53" t="str">
        <f t="shared" si="7"/>
        <v>—</v>
      </c>
      <c r="F484" s="51"/>
      <c r="G484" s="151">
        <v>4125000</v>
      </c>
      <c r="H484" s="53" t="s">
        <v>834</v>
      </c>
    </row>
    <row r="485" spans="1:8" ht="21.25" customHeight="1" x14ac:dyDescent="0.15">
      <c r="A485" s="8" t="s">
        <v>533</v>
      </c>
      <c r="B485" s="53" t="s">
        <v>62</v>
      </c>
      <c r="C485" s="149"/>
      <c r="D485" s="53" t="s">
        <v>62</v>
      </c>
      <c r="E485" s="53" t="str">
        <f t="shared" si="7"/>
        <v>—</v>
      </c>
      <c r="F485" s="51"/>
      <c r="G485" s="151">
        <v>4600000</v>
      </c>
      <c r="H485" s="53" t="s">
        <v>834</v>
      </c>
    </row>
    <row r="486" spans="1:8" ht="21.25" customHeight="1" x14ac:dyDescent="0.15">
      <c r="A486" s="8" t="s">
        <v>488</v>
      </c>
      <c r="B486" s="53" t="s">
        <v>62</v>
      </c>
      <c r="C486" s="149"/>
      <c r="D486" s="149">
        <v>385.2</v>
      </c>
      <c r="E486" s="149">
        <f t="shared" si="7"/>
        <v>385.2</v>
      </c>
      <c r="F486" s="51"/>
      <c r="G486" s="151">
        <v>2250000</v>
      </c>
      <c r="H486" s="53" t="s">
        <v>834</v>
      </c>
    </row>
    <row r="487" spans="1:8" ht="21.25" customHeight="1" x14ac:dyDescent="0.15">
      <c r="A487" s="8" t="s">
        <v>686</v>
      </c>
      <c r="B487" s="53" t="s">
        <v>62</v>
      </c>
      <c r="C487" s="149"/>
      <c r="D487" s="53" t="s">
        <v>62</v>
      </c>
      <c r="E487" s="53" t="str">
        <f t="shared" si="7"/>
        <v>—</v>
      </c>
      <c r="F487" s="51"/>
      <c r="G487" s="151">
        <v>2750000</v>
      </c>
      <c r="H487" s="53" t="s">
        <v>834</v>
      </c>
    </row>
    <row r="488" spans="1:8" ht="21.25" customHeight="1" x14ac:dyDescent="0.15">
      <c r="A488" s="8" t="s">
        <v>463</v>
      </c>
      <c r="B488" s="53" t="s">
        <v>62</v>
      </c>
      <c r="C488" s="149"/>
      <c r="D488" s="149">
        <v>459.52</v>
      </c>
      <c r="E488" s="149">
        <f t="shared" si="7"/>
        <v>459.52</v>
      </c>
      <c r="F488" s="51"/>
      <c r="G488" s="151">
        <v>3333333.3333333302</v>
      </c>
      <c r="H488" s="53" t="s">
        <v>834</v>
      </c>
    </row>
    <row r="489" spans="1:8" ht="21.25" customHeight="1" x14ac:dyDescent="0.15">
      <c r="A489" s="8" t="s">
        <v>650</v>
      </c>
      <c r="B489" s="53" t="s">
        <v>62</v>
      </c>
      <c r="C489" s="149"/>
      <c r="D489" s="53" t="s">
        <v>62</v>
      </c>
      <c r="E489" s="53" t="str">
        <f t="shared" si="7"/>
        <v>—</v>
      </c>
      <c r="F489" s="51"/>
      <c r="G489" s="151">
        <v>3400000</v>
      </c>
      <c r="H489" s="53" t="s">
        <v>834</v>
      </c>
    </row>
    <row r="490" spans="1:8" ht="21.25" customHeight="1" x14ac:dyDescent="0.15">
      <c r="A490" s="8" t="s">
        <v>485</v>
      </c>
      <c r="B490" s="53" t="s">
        <v>62</v>
      </c>
      <c r="C490" s="149"/>
      <c r="D490" s="53" t="s">
        <v>62</v>
      </c>
      <c r="E490" s="53" t="str">
        <f t="shared" si="7"/>
        <v>—</v>
      </c>
      <c r="F490" s="51"/>
      <c r="G490" s="151">
        <v>4600000</v>
      </c>
      <c r="H490" s="53" t="s">
        <v>834</v>
      </c>
    </row>
    <row r="491" spans="1:8" ht="21.25" customHeight="1" x14ac:dyDescent="0.15">
      <c r="A491" s="8" t="s">
        <v>487</v>
      </c>
      <c r="B491" s="53" t="s">
        <v>62</v>
      </c>
      <c r="C491" s="149"/>
      <c r="D491" s="53" t="s">
        <v>62</v>
      </c>
      <c r="E491" s="53" t="str">
        <f t="shared" si="7"/>
        <v>—</v>
      </c>
      <c r="F491" s="51"/>
      <c r="G491" s="151">
        <v>3250000</v>
      </c>
      <c r="H491" s="53" t="s">
        <v>834</v>
      </c>
    </row>
    <row r="492" spans="1:8" ht="21.25" customHeight="1" x14ac:dyDescent="0.15">
      <c r="A492" s="8" t="s">
        <v>620</v>
      </c>
      <c r="B492" s="149">
        <v>169.5</v>
      </c>
      <c r="C492" s="149"/>
      <c r="D492" s="53" t="s">
        <v>62</v>
      </c>
      <c r="E492" s="149">
        <f t="shared" si="7"/>
        <v>169.5</v>
      </c>
      <c r="F492" s="51"/>
      <c r="G492" s="151">
        <v>2002000</v>
      </c>
      <c r="H492" s="53" t="s">
        <v>834</v>
      </c>
    </row>
    <row r="493" spans="1:8" ht="21.25" customHeight="1" x14ac:dyDescent="0.15">
      <c r="A493" s="8" t="s">
        <v>470</v>
      </c>
      <c r="B493" s="53" t="s">
        <v>62</v>
      </c>
      <c r="C493" s="149"/>
      <c r="D493" s="53" t="s">
        <v>62</v>
      </c>
      <c r="E493" s="53" t="str">
        <f t="shared" si="7"/>
        <v>—</v>
      </c>
      <c r="F493" s="51"/>
      <c r="G493" s="151">
        <v>2294150</v>
      </c>
      <c r="H493" s="53" t="s">
        <v>834</v>
      </c>
    </row>
    <row r="494" spans="1:8" ht="21.25" customHeight="1" x14ac:dyDescent="0.15">
      <c r="A494" s="8" t="s">
        <v>519</v>
      </c>
      <c r="B494" s="53" t="s">
        <v>62</v>
      </c>
      <c r="C494" s="149"/>
      <c r="D494" s="53" t="s">
        <v>62</v>
      </c>
      <c r="E494" s="53" t="str">
        <f t="shared" si="7"/>
        <v>—</v>
      </c>
      <c r="F494" s="51"/>
      <c r="G494" s="151">
        <v>3400000</v>
      </c>
      <c r="H494" s="53" t="s">
        <v>834</v>
      </c>
    </row>
    <row r="495" spans="1:8" ht="21.25" customHeight="1" x14ac:dyDescent="0.15">
      <c r="A495" s="8" t="s">
        <v>706</v>
      </c>
      <c r="B495" s="53" t="s">
        <v>62</v>
      </c>
      <c r="C495" s="149"/>
      <c r="D495" s="53" t="s">
        <v>62</v>
      </c>
      <c r="E495" s="53" t="str">
        <f t="shared" si="7"/>
        <v>—</v>
      </c>
      <c r="F495" s="51"/>
      <c r="G495" s="151">
        <v>4000000</v>
      </c>
      <c r="H495" s="53" t="s">
        <v>834</v>
      </c>
    </row>
    <row r="496" spans="1:8" ht="21.25" customHeight="1" x14ac:dyDescent="0.15">
      <c r="A496" s="8" t="s">
        <v>493</v>
      </c>
      <c r="B496" s="53" t="s">
        <v>62</v>
      </c>
      <c r="C496" s="149"/>
      <c r="D496" s="53" t="s">
        <v>62</v>
      </c>
      <c r="E496" s="53" t="str">
        <f t="shared" si="7"/>
        <v>—</v>
      </c>
      <c r="F496" s="51"/>
      <c r="G496" s="151">
        <v>4500000</v>
      </c>
      <c r="H496" s="53" t="s">
        <v>834</v>
      </c>
    </row>
    <row r="497" spans="1:8" ht="21.25" customHeight="1" x14ac:dyDescent="0.15">
      <c r="A497" s="8" t="s">
        <v>683</v>
      </c>
      <c r="B497" s="53" t="s">
        <v>62</v>
      </c>
      <c r="C497" s="149"/>
      <c r="D497" s="53" t="s">
        <v>62</v>
      </c>
      <c r="E497" s="53" t="str">
        <f t="shared" si="7"/>
        <v>—</v>
      </c>
      <c r="F497" s="51"/>
      <c r="G497" s="151">
        <v>1250000</v>
      </c>
      <c r="H497" s="53" t="s">
        <v>834</v>
      </c>
    </row>
    <row r="498" spans="1:8" ht="21.25" customHeight="1" x14ac:dyDescent="0.15">
      <c r="A498" s="8" t="s">
        <v>696</v>
      </c>
      <c r="B498" s="53" t="s">
        <v>62</v>
      </c>
      <c r="C498" s="149"/>
      <c r="D498" s="53" t="s">
        <v>62</v>
      </c>
      <c r="E498" s="53" t="str">
        <f t="shared" si="7"/>
        <v>—</v>
      </c>
      <c r="F498" s="51"/>
      <c r="G498" s="151">
        <v>800000</v>
      </c>
      <c r="H498" s="53" t="s">
        <v>834</v>
      </c>
    </row>
    <row r="499" spans="1:8" ht="21.25" customHeight="1" x14ac:dyDescent="0.15">
      <c r="A499" s="8" t="s">
        <v>504</v>
      </c>
      <c r="B499" s="53" t="s">
        <v>62</v>
      </c>
      <c r="C499" s="149"/>
      <c r="D499" s="53" t="s">
        <v>62</v>
      </c>
      <c r="E499" s="53" t="str">
        <f t="shared" si="7"/>
        <v>—</v>
      </c>
      <c r="F499" s="51"/>
      <c r="G499" s="151">
        <v>2750000</v>
      </c>
      <c r="H499" s="53" t="s">
        <v>834</v>
      </c>
    </row>
    <row r="500" spans="1:8" ht="21.25" customHeight="1" x14ac:dyDescent="0.15">
      <c r="A500" s="8" t="s">
        <v>722</v>
      </c>
      <c r="B500" s="53" t="s">
        <v>62</v>
      </c>
      <c r="C500" s="149"/>
      <c r="D500" s="53" t="s">
        <v>62</v>
      </c>
      <c r="E500" s="53" t="str">
        <f t="shared" si="7"/>
        <v>—</v>
      </c>
      <c r="F500" s="51"/>
      <c r="G500" s="151">
        <v>758333</v>
      </c>
      <c r="H500" s="53" t="s">
        <v>834</v>
      </c>
    </row>
    <row r="501" spans="1:8" ht="21.25" customHeight="1" x14ac:dyDescent="0.15">
      <c r="A501" s="8" t="s">
        <v>541</v>
      </c>
      <c r="B501" s="53" t="s">
        <v>62</v>
      </c>
      <c r="C501" s="149"/>
      <c r="D501" s="53" t="s">
        <v>62</v>
      </c>
      <c r="E501" s="53" t="str">
        <f t="shared" si="7"/>
        <v>—</v>
      </c>
      <c r="F501" s="51"/>
      <c r="G501" s="151">
        <v>4500000</v>
      </c>
      <c r="H501" s="53" t="s">
        <v>834</v>
      </c>
    </row>
    <row r="502" spans="1:8" ht="21.25" customHeight="1" x14ac:dyDescent="0.15">
      <c r="A502" s="8" t="s">
        <v>465</v>
      </c>
      <c r="B502" s="149">
        <v>165</v>
      </c>
      <c r="C502" s="149"/>
      <c r="D502" s="53" t="s">
        <v>62</v>
      </c>
      <c r="E502" s="149">
        <f t="shared" si="7"/>
        <v>165</v>
      </c>
      <c r="F502" s="51"/>
      <c r="G502" s="151">
        <v>3750000</v>
      </c>
      <c r="H502" s="53" t="s">
        <v>834</v>
      </c>
    </row>
    <row r="503" spans="1:8" ht="21.25" customHeight="1" x14ac:dyDescent="0.15">
      <c r="A503" s="8" t="s">
        <v>514</v>
      </c>
      <c r="B503" s="53" t="s">
        <v>62</v>
      </c>
      <c r="C503" s="149"/>
      <c r="D503" s="53" t="s">
        <v>62</v>
      </c>
      <c r="E503" s="53" t="str">
        <f t="shared" si="7"/>
        <v>—</v>
      </c>
      <c r="F503" s="51"/>
      <c r="G503" s="151">
        <v>2650000</v>
      </c>
      <c r="H503" s="53" t="s">
        <v>834</v>
      </c>
    </row>
    <row r="504" spans="1:8" ht="21.25" customHeight="1" x14ac:dyDescent="0.15">
      <c r="A504" s="8" t="s">
        <v>506</v>
      </c>
      <c r="B504" s="53" t="s">
        <v>62</v>
      </c>
      <c r="C504" s="149"/>
      <c r="D504" s="53" t="s">
        <v>62</v>
      </c>
      <c r="E504" s="53" t="str">
        <f t="shared" si="7"/>
        <v>—</v>
      </c>
      <c r="F504" s="51"/>
      <c r="G504" s="151">
        <v>3900000</v>
      </c>
      <c r="H504" s="53" t="s">
        <v>834</v>
      </c>
    </row>
    <row r="505" spans="1:8" ht="21.25" customHeight="1" x14ac:dyDescent="0.15">
      <c r="A505" s="8" t="s">
        <v>537</v>
      </c>
      <c r="B505" s="53" t="s">
        <v>62</v>
      </c>
      <c r="C505" s="149"/>
      <c r="D505" s="53" t="s">
        <v>62</v>
      </c>
      <c r="E505" s="53" t="str">
        <f t="shared" si="7"/>
        <v>—</v>
      </c>
      <c r="F505" s="149"/>
      <c r="G505" s="151">
        <v>1000000</v>
      </c>
      <c r="H505" s="53" t="s">
        <v>834</v>
      </c>
    </row>
    <row r="506" spans="1:8" ht="21.25" customHeight="1" x14ac:dyDescent="0.15">
      <c r="A506" s="8" t="s">
        <v>703</v>
      </c>
      <c r="B506" s="53" t="s">
        <v>62</v>
      </c>
      <c r="C506" s="149"/>
      <c r="D506" s="53" t="s">
        <v>62</v>
      </c>
      <c r="E506" s="53" t="str">
        <f t="shared" si="7"/>
        <v>—</v>
      </c>
      <c r="F506" s="51"/>
      <c r="G506" s="151">
        <v>2500000</v>
      </c>
      <c r="H506" s="53" t="s">
        <v>834</v>
      </c>
    </row>
    <row r="507" spans="1:8" ht="21.25" customHeight="1" x14ac:dyDescent="0.15">
      <c r="A507" s="8" t="s">
        <v>464</v>
      </c>
      <c r="B507" s="53" t="s">
        <v>62</v>
      </c>
      <c r="C507" s="149"/>
      <c r="D507" s="149">
        <v>472.5</v>
      </c>
      <c r="E507" s="149">
        <f t="shared" si="7"/>
        <v>472.5</v>
      </c>
      <c r="F507" s="51"/>
      <c r="G507" s="151">
        <v>5250000</v>
      </c>
      <c r="H507" s="53" t="s">
        <v>834</v>
      </c>
    </row>
    <row r="508" spans="1:8" ht="21.25" customHeight="1" x14ac:dyDescent="0.15">
      <c r="A508" s="8" t="s">
        <v>813</v>
      </c>
      <c r="B508" s="53" t="s">
        <v>62</v>
      </c>
      <c r="C508" s="149"/>
      <c r="D508" s="53" t="s">
        <v>62</v>
      </c>
      <c r="E508" s="53" t="str">
        <f t="shared" si="7"/>
        <v>—</v>
      </c>
      <c r="F508" s="51"/>
      <c r="G508" s="151"/>
      <c r="H508" s="53" t="s">
        <v>834</v>
      </c>
    </row>
    <row r="509" spans="1:8" ht="21.25" customHeight="1" x14ac:dyDescent="0.15">
      <c r="A509" s="8" t="s">
        <v>478</v>
      </c>
      <c r="B509" s="53" t="s">
        <v>62</v>
      </c>
      <c r="C509" s="149"/>
      <c r="D509" s="53" t="s">
        <v>62</v>
      </c>
      <c r="E509" s="53" t="str">
        <f t="shared" si="7"/>
        <v>—</v>
      </c>
      <c r="F509" s="51"/>
      <c r="G509" s="151">
        <v>800000</v>
      </c>
      <c r="H509" s="53" t="s">
        <v>834</v>
      </c>
    </row>
    <row r="510" spans="1:8" ht="21.25" customHeight="1" x14ac:dyDescent="0.15">
      <c r="A510" s="8" t="s">
        <v>469</v>
      </c>
      <c r="B510" s="53" t="s">
        <v>62</v>
      </c>
      <c r="C510" s="149"/>
      <c r="D510" s="149">
        <v>403.5</v>
      </c>
      <c r="E510" s="149">
        <f t="shared" si="7"/>
        <v>403.5</v>
      </c>
      <c r="F510" s="51"/>
      <c r="G510" s="151">
        <v>3016700</v>
      </c>
      <c r="H510" s="53" t="s">
        <v>834</v>
      </c>
    </row>
    <row r="511" spans="1:8" ht="21.25" customHeight="1" x14ac:dyDescent="0.15">
      <c r="A511" s="8" t="s">
        <v>413</v>
      </c>
      <c r="B511" s="149">
        <v>151.5</v>
      </c>
      <c r="C511" s="149"/>
      <c r="D511" s="149">
        <v>231.76</v>
      </c>
      <c r="E511" s="149">
        <f t="shared" si="7"/>
        <v>191.63</v>
      </c>
      <c r="F511" s="51"/>
      <c r="G511" s="151">
        <v>4000000</v>
      </c>
      <c r="H511" s="53" t="s">
        <v>834</v>
      </c>
    </row>
    <row r="512" spans="1:8" ht="21.25" customHeight="1" x14ac:dyDescent="0.15">
      <c r="A512" s="8" t="s">
        <v>800</v>
      </c>
      <c r="B512" s="53" t="s">
        <v>62</v>
      </c>
      <c r="C512" s="149"/>
      <c r="D512" s="53" t="s">
        <v>62</v>
      </c>
      <c r="E512" s="53" t="str">
        <f t="shared" si="7"/>
        <v>—</v>
      </c>
      <c r="F512" s="51"/>
      <c r="G512" s="151">
        <v>925000</v>
      </c>
      <c r="H512" s="53" t="s">
        <v>834</v>
      </c>
    </row>
    <row r="513" spans="1:8" ht="21.25" customHeight="1" x14ac:dyDescent="0.15">
      <c r="A513" s="8" t="s">
        <v>534</v>
      </c>
      <c r="B513" s="53" t="s">
        <v>62</v>
      </c>
      <c r="C513" s="149"/>
      <c r="D513" s="53" t="s">
        <v>62</v>
      </c>
      <c r="E513" s="53" t="str">
        <f t="shared" si="7"/>
        <v>—</v>
      </c>
      <c r="F513" s="51"/>
      <c r="G513" s="151">
        <v>1400000</v>
      </c>
      <c r="H513" s="53" t="s">
        <v>834</v>
      </c>
    </row>
    <row r="514" spans="1:8" ht="21.25" customHeight="1" x14ac:dyDescent="0.15">
      <c r="A514" s="8" t="s">
        <v>515</v>
      </c>
      <c r="B514" s="53" t="s">
        <v>62</v>
      </c>
      <c r="C514" s="149"/>
      <c r="D514" s="53" t="s">
        <v>62</v>
      </c>
      <c r="E514" s="53" t="str">
        <f t="shared" ref="E514:E577" si="8">IFERROR(AVERAGE(B514:D514),"—")</f>
        <v>—</v>
      </c>
      <c r="F514" s="51"/>
      <c r="G514" s="151">
        <v>1850000</v>
      </c>
      <c r="H514" s="53" t="s">
        <v>834</v>
      </c>
    </row>
    <row r="515" spans="1:8" ht="21.25" customHeight="1" x14ac:dyDescent="0.15">
      <c r="A515" s="8" t="s">
        <v>518</v>
      </c>
      <c r="B515" s="149">
        <v>150.80000000000001</v>
      </c>
      <c r="C515" s="149"/>
      <c r="D515" s="149">
        <v>303.69</v>
      </c>
      <c r="E515" s="149">
        <f t="shared" si="8"/>
        <v>227.245</v>
      </c>
      <c r="F515" s="51"/>
      <c r="G515" s="151">
        <v>2750000</v>
      </c>
      <c r="H515" s="53" t="s">
        <v>834</v>
      </c>
    </row>
    <row r="516" spans="1:8" ht="21.25" customHeight="1" x14ac:dyDescent="0.15">
      <c r="A516" s="8" t="s">
        <v>798</v>
      </c>
      <c r="B516" s="53" t="s">
        <v>62</v>
      </c>
      <c r="C516" s="149"/>
      <c r="D516" s="53" t="s">
        <v>62</v>
      </c>
      <c r="E516" s="53" t="str">
        <f t="shared" si="8"/>
        <v>—</v>
      </c>
      <c r="F516" s="51"/>
      <c r="G516" s="151">
        <v>795800</v>
      </c>
      <c r="H516" s="53" t="s">
        <v>834</v>
      </c>
    </row>
    <row r="517" spans="1:8" ht="21.25" customHeight="1" x14ac:dyDescent="0.15">
      <c r="A517" s="8" t="s">
        <v>636</v>
      </c>
      <c r="B517" s="53" t="s">
        <v>62</v>
      </c>
      <c r="C517" s="149"/>
      <c r="D517" s="53" t="s">
        <v>62</v>
      </c>
      <c r="E517" s="53" t="str">
        <f t="shared" si="8"/>
        <v>—</v>
      </c>
      <c r="F517" s="51"/>
      <c r="G517" s="151"/>
      <c r="H517" s="53" t="s">
        <v>834</v>
      </c>
    </row>
    <row r="518" spans="1:8" ht="21.25" customHeight="1" x14ac:dyDescent="0.15">
      <c r="A518" s="8" t="s">
        <v>804</v>
      </c>
      <c r="B518" s="53" t="s">
        <v>62</v>
      </c>
      <c r="C518" s="149"/>
      <c r="D518" s="53" t="s">
        <v>62</v>
      </c>
      <c r="E518" s="53" t="str">
        <f t="shared" si="8"/>
        <v>—</v>
      </c>
      <c r="F518" s="51"/>
      <c r="G518" s="151">
        <v>775000</v>
      </c>
      <c r="H518" s="53" t="s">
        <v>834</v>
      </c>
    </row>
    <row r="519" spans="1:8" ht="21.25" customHeight="1" x14ac:dyDescent="0.15">
      <c r="A519" s="8" t="s">
        <v>558</v>
      </c>
      <c r="B519" s="53" t="s">
        <v>62</v>
      </c>
      <c r="C519" s="149"/>
      <c r="D519" s="53" t="s">
        <v>62</v>
      </c>
      <c r="E519" s="53" t="str">
        <f t="shared" si="8"/>
        <v>—</v>
      </c>
      <c r="F519" s="149"/>
      <c r="G519" s="151">
        <v>925000</v>
      </c>
      <c r="H519" s="53" t="s">
        <v>834</v>
      </c>
    </row>
    <row r="520" spans="1:8" ht="21.25" customHeight="1" x14ac:dyDescent="0.15">
      <c r="A520" s="8" t="s">
        <v>598</v>
      </c>
      <c r="B520" s="53" t="s">
        <v>62</v>
      </c>
      <c r="C520" s="149"/>
      <c r="D520" s="53" t="s">
        <v>62</v>
      </c>
      <c r="E520" s="53" t="str">
        <f t="shared" si="8"/>
        <v>—</v>
      </c>
      <c r="F520" s="51"/>
      <c r="G520" s="151">
        <v>2700000</v>
      </c>
      <c r="H520" s="53" t="s">
        <v>834</v>
      </c>
    </row>
    <row r="521" spans="1:8" ht="21.25" customHeight="1" x14ac:dyDescent="0.15">
      <c r="A521" s="8" t="s">
        <v>735</v>
      </c>
      <c r="B521" s="53" t="s">
        <v>62</v>
      </c>
      <c r="C521" s="149"/>
      <c r="D521" s="53" t="s">
        <v>62</v>
      </c>
      <c r="E521" s="53" t="str">
        <f t="shared" si="8"/>
        <v>—</v>
      </c>
      <c r="F521" s="51"/>
      <c r="G521" s="151">
        <v>1000000</v>
      </c>
      <c r="H521" s="53" t="s">
        <v>834</v>
      </c>
    </row>
    <row r="522" spans="1:8" ht="21.25" customHeight="1" x14ac:dyDescent="0.15">
      <c r="A522" s="8" t="s">
        <v>489</v>
      </c>
      <c r="B522" s="53" t="s">
        <v>62</v>
      </c>
      <c r="C522" s="149"/>
      <c r="D522" s="53" t="s">
        <v>62</v>
      </c>
      <c r="E522" s="53" t="str">
        <f t="shared" si="8"/>
        <v>—</v>
      </c>
      <c r="F522" s="51"/>
      <c r="G522" s="151">
        <v>2500000</v>
      </c>
      <c r="H522" s="53" t="s">
        <v>834</v>
      </c>
    </row>
    <row r="523" spans="1:8" ht="21.25" customHeight="1" x14ac:dyDescent="0.15">
      <c r="A523" s="8" t="s">
        <v>698</v>
      </c>
      <c r="B523" s="53" t="s">
        <v>62</v>
      </c>
      <c r="C523" s="149"/>
      <c r="D523" s="53" t="s">
        <v>62</v>
      </c>
      <c r="E523" s="53" t="str">
        <f t="shared" si="8"/>
        <v>—</v>
      </c>
      <c r="F523" s="51"/>
      <c r="G523" s="151">
        <v>900000</v>
      </c>
      <c r="H523" s="53" t="s">
        <v>834</v>
      </c>
    </row>
    <row r="524" spans="1:8" ht="21.25" customHeight="1" x14ac:dyDescent="0.15">
      <c r="A524" s="8" t="s">
        <v>499</v>
      </c>
      <c r="B524" s="53" t="s">
        <v>62</v>
      </c>
      <c r="C524" s="149"/>
      <c r="D524" s="53" t="s">
        <v>62</v>
      </c>
      <c r="E524" s="53" t="str">
        <f t="shared" si="8"/>
        <v>—</v>
      </c>
      <c r="F524" s="51"/>
      <c r="G524" s="151">
        <v>3000000</v>
      </c>
      <c r="H524" s="53" t="s">
        <v>834</v>
      </c>
    </row>
    <row r="525" spans="1:8" ht="21.25" customHeight="1" x14ac:dyDescent="0.15">
      <c r="A525" s="8" t="s">
        <v>605</v>
      </c>
      <c r="B525" s="53" t="s">
        <v>62</v>
      </c>
      <c r="C525" s="149"/>
      <c r="D525" s="53" t="s">
        <v>62</v>
      </c>
      <c r="E525" s="53" t="str">
        <f t="shared" si="8"/>
        <v>—</v>
      </c>
      <c r="F525" s="51"/>
      <c r="G525" s="151">
        <v>800000</v>
      </c>
      <c r="H525" s="53" t="s">
        <v>834</v>
      </c>
    </row>
    <row r="526" spans="1:8" ht="21.25" customHeight="1" x14ac:dyDescent="0.15">
      <c r="A526" s="8" t="s">
        <v>697</v>
      </c>
      <c r="B526" s="53" t="s">
        <v>62</v>
      </c>
      <c r="C526" s="149"/>
      <c r="D526" s="53" t="s">
        <v>62</v>
      </c>
      <c r="E526" s="53" t="str">
        <f t="shared" si="8"/>
        <v>—</v>
      </c>
      <c r="F526" s="51"/>
      <c r="G526" s="151"/>
      <c r="H526" s="53" t="s">
        <v>834</v>
      </c>
    </row>
    <row r="527" spans="1:8" ht="21.25" customHeight="1" x14ac:dyDescent="0.15">
      <c r="A527" s="8" t="s">
        <v>613</v>
      </c>
      <c r="B527" s="53" t="s">
        <v>62</v>
      </c>
      <c r="C527" s="149"/>
      <c r="D527" s="53" t="s">
        <v>62</v>
      </c>
      <c r="E527" s="53" t="str">
        <f t="shared" si="8"/>
        <v>—</v>
      </c>
      <c r="F527" s="51"/>
      <c r="G527" s="151"/>
      <c r="H527" s="53" t="s">
        <v>834</v>
      </c>
    </row>
    <row r="528" spans="1:8" ht="21.25" customHeight="1" x14ac:dyDescent="0.15">
      <c r="A528" s="8" t="s">
        <v>574</v>
      </c>
      <c r="B528" s="53" t="s">
        <v>62</v>
      </c>
      <c r="C528" s="149"/>
      <c r="D528" s="53" t="s">
        <v>62</v>
      </c>
      <c r="E528" s="53" t="str">
        <f t="shared" si="8"/>
        <v>—</v>
      </c>
      <c r="F528" s="51"/>
      <c r="G528" s="151">
        <v>925000</v>
      </c>
      <c r="H528" s="53" t="s">
        <v>834</v>
      </c>
    </row>
    <row r="529" spans="1:8" ht="21.25" customHeight="1" x14ac:dyDescent="0.15">
      <c r="A529" s="8" t="s">
        <v>547</v>
      </c>
      <c r="B529" s="53" t="s">
        <v>62</v>
      </c>
      <c r="C529" s="149"/>
      <c r="D529" s="53" t="s">
        <v>62</v>
      </c>
      <c r="E529" s="53" t="str">
        <f t="shared" si="8"/>
        <v>—</v>
      </c>
      <c r="F529" s="51"/>
      <c r="G529" s="151">
        <v>4000000</v>
      </c>
      <c r="H529" s="53" t="s">
        <v>834</v>
      </c>
    </row>
    <row r="530" spans="1:8" ht="21.25" customHeight="1" x14ac:dyDescent="0.15">
      <c r="A530" s="8" t="s">
        <v>498</v>
      </c>
      <c r="B530" s="53" t="s">
        <v>62</v>
      </c>
      <c r="C530" s="149"/>
      <c r="D530" s="53" t="s">
        <v>62</v>
      </c>
      <c r="E530" s="53" t="str">
        <f t="shared" si="8"/>
        <v>—</v>
      </c>
      <c r="F530" s="51"/>
      <c r="G530" s="151">
        <v>2750000</v>
      </c>
      <c r="H530" s="53" t="s">
        <v>834</v>
      </c>
    </row>
    <row r="531" spans="1:8" ht="21.25" customHeight="1" x14ac:dyDescent="0.15">
      <c r="A531" s="8" t="s">
        <v>453</v>
      </c>
      <c r="B531" s="149">
        <v>176.9</v>
      </c>
      <c r="C531" s="149"/>
      <c r="D531" s="149">
        <v>311.42</v>
      </c>
      <c r="E531" s="149">
        <f t="shared" si="8"/>
        <v>244.16000000000003</v>
      </c>
      <c r="F531" s="51"/>
      <c r="G531" s="151">
        <v>2500000</v>
      </c>
      <c r="H531" s="53" t="s">
        <v>834</v>
      </c>
    </row>
    <row r="532" spans="1:8" ht="21.25" customHeight="1" x14ac:dyDescent="0.15">
      <c r="A532" s="8" t="s">
        <v>749</v>
      </c>
      <c r="B532" s="53" t="s">
        <v>62</v>
      </c>
      <c r="C532" s="149"/>
      <c r="D532" s="53" t="s">
        <v>62</v>
      </c>
      <c r="E532" s="53" t="str">
        <f t="shared" si="8"/>
        <v>—</v>
      </c>
      <c r="F532" s="51"/>
      <c r="G532" s="151">
        <v>775000</v>
      </c>
      <c r="H532" s="53" t="s">
        <v>834</v>
      </c>
    </row>
    <row r="533" spans="1:8" ht="21.25" customHeight="1" x14ac:dyDescent="0.15">
      <c r="A533" s="8" t="s">
        <v>554</v>
      </c>
      <c r="B533" s="53" t="s">
        <v>62</v>
      </c>
      <c r="C533" s="149"/>
      <c r="D533" s="53" t="s">
        <v>62</v>
      </c>
      <c r="E533" s="53" t="str">
        <f t="shared" si="8"/>
        <v>—</v>
      </c>
      <c r="F533" s="51"/>
      <c r="G533" s="151">
        <v>925000</v>
      </c>
      <c r="H533" s="53" t="s">
        <v>834</v>
      </c>
    </row>
    <row r="534" spans="1:8" ht="21.25" customHeight="1" x14ac:dyDescent="0.15">
      <c r="A534" s="8" t="s">
        <v>821</v>
      </c>
      <c r="B534" s="53" t="s">
        <v>62</v>
      </c>
      <c r="C534" s="149"/>
      <c r="D534" s="53" t="s">
        <v>62</v>
      </c>
      <c r="E534" s="53" t="str">
        <f t="shared" si="8"/>
        <v>—</v>
      </c>
      <c r="F534" s="51"/>
      <c r="G534" s="151"/>
      <c r="H534" s="53" t="s">
        <v>834</v>
      </c>
    </row>
    <row r="535" spans="1:8" ht="21.25" customHeight="1" x14ac:dyDescent="0.15">
      <c r="A535" s="8" t="s">
        <v>585</v>
      </c>
      <c r="B535" s="53" t="s">
        <v>62</v>
      </c>
      <c r="C535" s="149"/>
      <c r="D535" s="53" t="s">
        <v>62</v>
      </c>
      <c r="E535" s="53" t="str">
        <f t="shared" si="8"/>
        <v>—</v>
      </c>
      <c r="F535" s="51"/>
      <c r="G535" s="151">
        <v>2700000</v>
      </c>
      <c r="H535" s="53" t="s">
        <v>834</v>
      </c>
    </row>
    <row r="536" spans="1:8" ht="21.25" customHeight="1" x14ac:dyDescent="0.15">
      <c r="A536" s="8" t="s">
        <v>811</v>
      </c>
      <c r="B536" s="53" t="s">
        <v>62</v>
      </c>
      <c r="C536" s="149"/>
      <c r="D536" s="53" t="s">
        <v>62</v>
      </c>
      <c r="E536" s="53" t="str">
        <f t="shared" si="8"/>
        <v>—</v>
      </c>
      <c r="F536" s="51"/>
      <c r="G536" s="151">
        <v>0</v>
      </c>
      <c r="H536" s="53" t="s">
        <v>834</v>
      </c>
    </row>
    <row r="537" spans="1:8" ht="21.25" customHeight="1" x14ac:dyDescent="0.15">
      <c r="A537" s="8" t="s">
        <v>525</v>
      </c>
      <c r="B537" s="53" t="s">
        <v>62</v>
      </c>
      <c r="C537" s="149"/>
      <c r="D537" s="53" t="s">
        <v>62</v>
      </c>
      <c r="E537" s="53" t="str">
        <f t="shared" si="8"/>
        <v>—</v>
      </c>
      <c r="F537" s="51"/>
      <c r="G537" s="151">
        <v>3150000</v>
      </c>
      <c r="H537" s="53" t="s">
        <v>834</v>
      </c>
    </row>
    <row r="538" spans="1:8" ht="21.25" customHeight="1" x14ac:dyDescent="0.15">
      <c r="A538" s="8" t="s">
        <v>791</v>
      </c>
      <c r="B538" s="53" t="s">
        <v>62</v>
      </c>
      <c r="C538" s="149"/>
      <c r="D538" s="53" t="s">
        <v>62</v>
      </c>
      <c r="E538" s="53" t="str">
        <f t="shared" si="8"/>
        <v>—</v>
      </c>
      <c r="F538" s="51"/>
      <c r="G538" s="151"/>
      <c r="H538" s="53" t="s">
        <v>834</v>
      </c>
    </row>
    <row r="539" spans="1:8" ht="21.25" customHeight="1" x14ac:dyDescent="0.15">
      <c r="A539" s="8" t="s">
        <v>787</v>
      </c>
      <c r="B539" s="53" t="s">
        <v>62</v>
      </c>
      <c r="C539" s="149"/>
      <c r="D539" s="53" t="s">
        <v>62</v>
      </c>
      <c r="E539" s="53" t="str">
        <f t="shared" si="8"/>
        <v>—</v>
      </c>
      <c r="F539" s="51"/>
      <c r="G539" s="151">
        <v>800000</v>
      </c>
      <c r="H539" s="53" t="s">
        <v>834</v>
      </c>
    </row>
    <row r="540" spans="1:8" ht="21.25" customHeight="1" x14ac:dyDescent="0.15">
      <c r="A540" s="8" t="s">
        <v>760</v>
      </c>
      <c r="B540" s="53" t="s">
        <v>62</v>
      </c>
      <c r="C540" s="149"/>
      <c r="D540" s="53" t="s">
        <v>62</v>
      </c>
      <c r="E540" s="53" t="str">
        <f t="shared" si="8"/>
        <v>—</v>
      </c>
      <c r="F540" s="51"/>
      <c r="G540" s="151">
        <v>762500</v>
      </c>
      <c r="H540" s="53" t="s">
        <v>834</v>
      </c>
    </row>
    <row r="541" spans="1:8" ht="21.25" customHeight="1" x14ac:dyDescent="0.15">
      <c r="A541" s="8" t="s">
        <v>460</v>
      </c>
      <c r="B541" s="53" t="s">
        <v>62</v>
      </c>
      <c r="C541" s="149"/>
      <c r="D541" s="53" t="s">
        <v>62</v>
      </c>
      <c r="E541" s="53" t="str">
        <f t="shared" si="8"/>
        <v>—</v>
      </c>
      <c r="F541" s="51"/>
      <c r="G541" s="151">
        <v>4750000</v>
      </c>
      <c r="H541" s="53" t="s">
        <v>834</v>
      </c>
    </row>
    <row r="542" spans="1:8" ht="21.25" customHeight="1" x14ac:dyDescent="0.15">
      <c r="A542" s="8" t="s">
        <v>695</v>
      </c>
      <c r="B542" s="53" t="s">
        <v>62</v>
      </c>
      <c r="C542" s="149"/>
      <c r="D542" s="53" t="s">
        <v>62</v>
      </c>
      <c r="E542" s="53" t="str">
        <f t="shared" si="8"/>
        <v>—</v>
      </c>
      <c r="F542" s="51"/>
      <c r="G542" s="151">
        <v>800000</v>
      </c>
      <c r="H542" s="53" t="s">
        <v>834</v>
      </c>
    </row>
    <row r="543" spans="1:8" ht="21.25" customHeight="1" x14ac:dyDescent="0.15">
      <c r="A543" s="8" t="s">
        <v>484</v>
      </c>
      <c r="B543" s="53" t="s">
        <v>62</v>
      </c>
      <c r="C543" s="149"/>
      <c r="D543" s="53" t="s">
        <v>62</v>
      </c>
      <c r="E543" s="53" t="str">
        <f t="shared" si="8"/>
        <v>—</v>
      </c>
      <c r="F543" s="51"/>
      <c r="G543" s="151">
        <v>2500000</v>
      </c>
      <c r="H543" s="53" t="s">
        <v>834</v>
      </c>
    </row>
    <row r="544" spans="1:8" ht="21.25" customHeight="1" x14ac:dyDescent="0.15">
      <c r="A544" s="8" t="s">
        <v>794</v>
      </c>
      <c r="B544" s="53" t="s">
        <v>62</v>
      </c>
      <c r="C544" s="149"/>
      <c r="D544" s="53" t="s">
        <v>62</v>
      </c>
      <c r="E544" s="53" t="str">
        <f t="shared" si="8"/>
        <v>—</v>
      </c>
      <c r="F544" s="51"/>
      <c r="G544" s="151">
        <v>762500</v>
      </c>
      <c r="H544" s="53" t="s">
        <v>834</v>
      </c>
    </row>
    <row r="545" spans="1:8" ht="21.25" customHeight="1" x14ac:dyDescent="0.15">
      <c r="A545" s="8" t="s">
        <v>567</v>
      </c>
      <c r="B545" s="53" t="s">
        <v>62</v>
      </c>
      <c r="C545" s="149"/>
      <c r="D545" s="53" t="s">
        <v>62</v>
      </c>
      <c r="E545" s="53" t="str">
        <f t="shared" si="8"/>
        <v>—</v>
      </c>
      <c r="F545" s="51"/>
      <c r="G545" s="151">
        <v>1750000</v>
      </c>
      <c r="H545" s="53" t="s">
        <v>834</v>
      </c>
    </row>
    <row r="546" spans="1:8" ht="21.25" customHeight="1" x14ac:dyDescent="0.15">
      <c r="A546" s="8" t="s">
        <v>775</v>
      </c>
      <c r="B546" s="53" t="s">
        <v>62</v>
      </c>
      <c r="C546" s="149"/>
      <c r="D546" s="53" t="s">
        <v>62</v>
      </c>
      <c r="E546" s="53" t="str">
        <f t="shared" si="8"/>
        <v>—</v>
      </c>
      <c r="F546" s="51"/>
      <c r="G546" s="151">
        <v>800000</v>
      </c>
      <c r="H546" s="53" t="s">
        <v>834</v>
      </c>
    </row>
    <row r="547" spans="1:8" ht="21.25" customHeight="1" x14ac:dyDescent="0.15">
      <c r="A547" s="8" t="s">
        <v>754</v>
      </c>
      <c r="B547" s="53" t="s">
        <v>62</v>
      </c>
      <c r="C547" s="149"/>
      <c r="D547" s="53" t="s">
        <v>62</v>
      </c>
      <c r="E547" s="53" t="str">
        <f t="shared" si="8"/>
        <v>—</v>
      </c>
      <c r="F547" s="51"/>
      <c r="G547" s="151">
        <v>2500000</v>
      </c>
      <c r="H547" s="53" t="s">
        <v>834</v>
      </c>
    </row>
    <row r="548" spans="1:8" ht="21.25" customHeight="1" x14ac:dyDescent="0.15">
      <c r="A548" s="8" t="s">
        <v>734</v>
      </c>
      <c r="B548" s="53" t="s">
        <v>62</v>
      </c>
      <c r="C548" s="149"/>
      <c r="D548" s="53" t="s">
        <v>62</v>
      </c>
      <c r="E548" s="53" t="str">
        <f t="shared" si="8"/>
        <v>—</v>
      </c>
      <c r="F548" s="51"/>
      <c r="G548" s="151">
        <v>1000000</v>
      </c>
      <c r="H548" s="53" t="s">
        <v>834</v>
      </c>
    </row>
    <row r="549" spans="1:8" ht="21.25" customHeight="1" x14ac:dyDescent="0.15">
      <c r="A549" s="8" t="s">
        <v>701</v>
      </c>
      <c r="B549" s="53" t="s">
        <v>62</v>
      </c>
      <c r="C549" s="149"/>
      <c r="D549" s="53" t="s">
        <v>62</v>
      </c>
      <c r="E549" s="53" t="str">
        <f t="shared" si="8"/>
        <v>—</v>
      </c>
      <c r="F549" s="51"/>
      <c r="G549" s="151">
        <v>1100000</v>
      </c>
      <c r="H549" s="53" t="s">
        <v>834</v>
      </c>
    </row>
    <row r="550" spans="1:8" ht="21.25" customHeight="1" x14ac:dyDescent="0.15">
      <c r="A550" s="8" t="s">
        <v>624</v>
      </c>
      <c r="B550" s="53" t="s">
        <v>62</v>
      </c>
      <c r="C550" s="149"/>
      <c r="D550" s="53" t="s">
        <v>62</v>
      </c>
      <c r="E550" s="53" t="str">
        <f t="shared" si="8"/>
        <v>—</v>
      </c>
      <c r="F550" s="51"/>
      <c r="G550" s="151"/>
      <c r="H550" s="53" t="s">
        <v>834</v>
      </c>
    </row>
    <row r="551" spans="1:8" ht="21.25" customHeight="1" x14ac:dyDescent="0.15">
      <c r="A551" s="8" t="s">
        <v>762</v>
      </c>
      <c r="B551" s="53" t="s">
        <v>62</v>
      </c>
      <c r="C551" s="149"/>
      <c r="D551" s="53" t="s">
        <v>62</v>
      </c>
      <c r="E551" s="53" t="str">
        <f t="shared" si="8"/>
        <v>—</v>
      </c>
      <c r="F551" s="51"/>
      <c r="G551" s="151">
        <v>3250000</v>
      </c>
      <c r="H551" s="53" t="s">
        <v>834</v>
      </c>
    </row>
    <row r="552" spans="1:8" ht="21.25" customHeight="1" x14ac:dyDescent="0.15">
      <c r="A552" s="8" t="s">
        <v>768</v>
      </c>
      <c r="B552" s="53" t="s">
        <v>62</v>
      </c>
      <c r="C552" s="149"/>
      <c r="D552" s="53" t="s">
        <v>62</v>
      </c>
      <c r="E552" s="53" t="str">
        <f t="shared" si="8"/>
        <v>—</v>
      </c>
      <c r="F552" s="51"/>
      <c r="G552" s="151">
        <v>925000</v>
      </c>
      <c r="H552" s="53" t="s">
        <v>834</v>
      </c>
    </row>
    <row r="553" spans="1:8" ht="21.25" customHeight="1" x14ac:dyDescent="0.15">
      <c r="A553" s="8" t="s">
        <v>799</v>
      </c>
      <c r="B553" s="53" t="s">
        <v>62</v>
      </c>
      <c r="C553" s="149"/>
      <c r="D553" s="53" t="s">
        <v>62</v>
      </c>
      <c r="E553" s="53" t="str">
        <f t="shared" si="8"/>
        <v>—</v>
      </c>
      <c r="F553" s="149"/>
      <c r="G553" s="151">
        <v>800000</v>
      </c>
      <c r="H553" s="53" t="s">
        <v>834</v>
      </c>
    </row>
    <row r="554" spans="1:8" ht="21.25" customHeight="1" x14ac:dyDescent="0.15">
      <c r="A554" s="8" t="s">
        <v>797</v>
      </c>
      <c r="B554" s="53" t="s">
        <v>62</v>
      </c>
      <c r="C554" s="149"/>
      <c r="D554" s="53" t="s">
        <v>62</v>
      </c>
      <c r="E554" s="53" t="str">
        <f t="shared" si="8"/>
        <v>—</v>
      </c>
      <c r="F554" s="51"/>
      <c r="G554" s="151"/>
      <c r="H554" s="53" t="s">
        <v>834</v>
      </c>
    </row>
    <row r="555" spans="1:8" ht="21.25" customHeight="1" x14ac:dyDescent="0.15">
      <c r="A555" s="8" t="s">
        <v>784</v>
      </c>
      <c r="B555" s="53" t="s">
        <v>62</v>
      </c>
      <c r="C555" s="149"/>
      <c r="D555" s="53" t="s">
        <v>62</v>
      </c>
      <c r="E555" s="53" t="str">
        <f t="shared" si="8"/>
        <v>—</v>
      </c>
      <c r="F555" s="51"/>
      <c r="G555" s="151">
        <v>900000</v>
      </c>
      <c r="H555" s="53" t="s">
        <v>834</v>
      </c>
    </row>
    <row r="556" spans="1:8" ht="21.25" customHeight="1" x14ac:dyDescent="0.15">
      <c r="A556" s="8" t="s">
        <v>521</v>
      </c>
      <c r="B556" s="53" t="s">
        <v>62</v>
      </c>
      <c r="C556" s="149"/>
      <c r="D556" s="53" t="s">
        <v>62</v>
      </c>
      <c r="E556" s="53" t="str">
        <f t="shared" si="8"/>
        <v>—</v>
      </c>
      <c r="F556" s="51"/>
      <c r="G556" s="151">
        <v>3500000</v>
      </c>
      <c r="H556" s="53" t="s">
        <v>834</v>
      </c>
    </row>
    <row r="557" spans="1:8" ht="21.25" customHeight="1" x14ac:dyDescent="0.15">
      <c r="A557" s="8" t="s">
        <v>809</v>
      </c>
      <c r="B557" s="53" t="s">
        <v>62</v>
      </c>
      <c r="C557" s="149"/>
      <c r="D557" s="53" t="s">
        <v>62</v>
      </c>
      <c r="E557" s="53" t="str">
        <f t="shared" si="8"/>
        <v>—</v>
      </c>
      <c r="F557" s="51"/>
      <c r="G557" s="151">
        <v>0</v>
      </c>
      <c r="H557" s="53" t="s">
        <v>834</v>
      </c>
    </row>
    <row r="558" spans="1:8" ht="21.25" customHeight="1" x14ac:dyDescent="0.15">
      <c r="A558" s="8" t="s">
        <v>779</v>
      </c>
      <c r="B558" s="53" t="s">
        <v>62</v>
      </c>
      <c r="C558" s="149"/>
      <c r="D558" s="53" t="s">
        <v>62</v>
      </c>
      <c r="E558" s="53" t="str">
        <f t="shared" si="8"/>
        <v>—</v>
      </c>
      <c r="F558" s="51"/>
      <c r="G558" s="151">
        <v>1050000</v>
      </c>
      <c r="H558" s="53" t="s">
        <v>834</v>
      </c>
    </row>
    <row r="559" spans="1:8" ht="21.25" customHeight="1" x14ac:dyDescent="0.15">
      <c r="A559" s="8" t="s">
        <v>548</v>
      </c>
      <c r="B559" s="53" t="s">
        <v>62</v>
      </c>
      <c r="C559" s="149"/>
      <c r="D559" s="53" t="s">
        <v>62</v>
      </c>
      <c r="E559" s="53" t="str">
        <f t="shared" si="8"/>
        <v>—</v>
      </c>
      <c r="F559" s="51"/>
      <c r="G559" s="151">
        <v>2000000</v>
      </c>
      <c r="H559" s="53" t="s">
        <v>834</v>
      </c>
    </row>
    <row r="560" spans="1:8" ht="21.25" customHeight="1" x14ac:dyDescent="0.15">
      <c r="A560" s="8" t="s">
        <v>528</v>
      </c>
      <c r="B560" s="53" t="s">
        <v>62</v>
      </c>
      <c r="C560" s="149"/>
      <c r="D560" s="53" t="s">
        <v>62</v>
      </c>
      <c r="E560" s="53" t="str">
        <f t="shared" si="8"/>
        <v>—</v>
      </c>
      <c r="F560" s="51"/>
      <c r="G560" s="151">
        <v>1000000</v>
      </c>
      <c r="H560" s="53" t="s">
        <v>834</v>
      </c>
    </row>
    <row r="561" spans="1:8" ht="21.25" customHeight="1" x14ac:dyDescent="0.15">
      <c r="A561" s="8" t="s">
        <v>516</v>
      </c>
      <c r="B561" s="53" t="s">
        <v>62</v>
      </c>
      <c r="C561" s="149"/>
      <c r="D561" s="53" t="s">
        <v>62</v>
      </c>
      <c r="E561" s="53" t="str">
        <f t="shared" si="8"/>
        <v>—</v>
      </c>
      <c r="F561" s="51"/>
      <c r="G561" s="151">
        <v>3650000</v>
      </c>
      <c r="H561" s="53" t="s">
        <v>834</v>
      </c>
    </row>
    <row r="562" spans="1:8" ht="21.25" customHeight="1" x14ac:dyDescent="0.15">
      <c r="A562" s="8" t="s">
        <v>496</v>
      </c>
      <c r="B562" s="53" t="s">
        <v>62</v>
      </c>
      <c r="C562" s="149"/>
      <c r="D562" s="53" t="s">
        <v>62</v>
      </c>
      <c r="E562" s="53" t="str">
        <f t="shared" si="8"/>
        <v>—</v>
      </c>
      <c r="F562" s="51"/>
      <c r="G562" s="151">
        <v>3000000</v>
      </c>
      <c r="H562" s="53" t="s">
        <v>834</v>
      </c>
    </row>
    <row r="563" spans="1:8" ht="21.25" customHeight="1" x14ac:dyDescent="0.15">
      <c r="A563" s="8" t="s">
        <v>676</v>
      </c>
      <c r="B563" s="53" t="s">
        <v>62</v>
      </c>
      <c r="C563" s="149"/>
      <c r="D563" s="53" t="s">
        <v>62</v>
      </c>
      <c r="E563" s="53" t="str">
        <f t="shared" si="8"/>
        <v>—</v>
      </c>
      <c r="F563" s="51"/>
      <c r="G563" s="151">
        <v>812500</v>
      </c>
      <c r="H563" s="53" t="s">
        <v>834</v>
      </c>
    </row>
    <row r="564" spans="1:8" ht="21.25" customHeight="1" x14ac:dyDescent="0.15">
      <c r="A564" s="8" t="s">
        <v>711</v>
      </c>
      <c r="B564" s="53" t="s">
        <v>62</v>
      </c>
      <c r="C564" s="149"/>
      <c r="D564" s="53" t="s">
        <v>62</v>
      </c>
      <c r="E564" s="53" t="str">
        <f t="shared" si="8"/>
        <v>—</v>
      </c>
      <c r="F564" s="51"/>
      <c r="G564" s="151">
        <v>1880000</v>
      </c>
      <c r="H564" s="53" t="s">
        <v>834</v>
      </c>
    </row>
    <row r="565" spans="1:8" ht="21.25" customHeight="1" x14ac:dyDescent="0.15">
      <c r="A565" s="8" t="s">
        <v>523</v>
      </c>
      <c r="B565" s="53" t="s">
        <v>62</v>
      </c>
      <c r="C565" s="149"/>
      <c r="D565" s="53" t="s">
        <v>62</v>
      </c>
      <c r="E565" s="53" t="str">
        <f t="shared" si="8"/>
        <v>—</v>
      </c>
      <c r="F565" s="51"/>
      <c r="G565" s="151">
        <v>2450000</v>
      </c>
      <c r="H565" s="53" t="s">
        <v>834</v>
      </c>
    </row>
    <row r="566" spans="1:8" ht="21.25" customHeight="1" x14ac:dyDescent="0.15">
      <c r="A566" s="8" t="s">
        <v>780</v>
      </c>
      <c r="B566" s="53" t="s">
        <v>62</v>
      </c>
      <c r="C566" s="149"/>
      <c r="D566" s="53" t="s">
        <v>62</v>
      </c>
      <c r="E566" s="53" t="str">
        <f t="shared" si="8"/>
        <v>—</v>
      </c>
      <c r="F566" s="51"/>
      <c r="G566" s="151">
        <v>775000</v>
      </c>
      <c r="H566" s="53" t="s">
        <v>834</v>
      </c>
    </row>
    <row r="567" spans="1:8" ht="21.25" customHeight="1" x14ac:dyDescent="0.15">
      <c r="A567" s="8" t="s">
        <v>569</v>
      </c>
      <c r="B567" s="53" t="s">
        <v>62</v>
      </c>
      <c r="C567" s="149"/>
      <c r="D567" s="53" t="s">
        <v>62</v>
      </c>
      <c r="E567" s="53" t="str">
        <f t="shared" si="8"/>
        <v>—</v>
      </c>
      <c r="F567" s="51"/>
      <c r="G567" s="151">
        <v>766667</v>
      </c>
      <c r="H567" s="53" t="s">
        <v>834</v>
      </c>
    </row>
    <row r="568" spans="1:8" ht="21.25" customHeight="1" x14ac:dyDescent="0.15">
      <c r="A568" s="8" t="s">
        <v>578</v>
      </c>
      <c r="B568" s="53" t="s">
        <v>62</v>
      </c>
      <c r="C568" s="149"/>
      <c r="D568" s="53" t="s">
        <v>62</v>
      </c>
      <c r="E568" s="53" t="str">
        <f t="shared" si="8"/>
        <v>—</v>
      </c>
      <c r="F568" s="51"/>
      <c r="G568" s="151">
        <v>1100000</v>
      </c>
      <c r="H568" s="53" t="s">
        <v>834</v>
      </c>
    </row>
    <row r="569" spans="1:8" ht="21.25" customHeight="1" x14ac:dyDescent="0.15">
      <c r="A569" s="8" t="s">
        <v>748</v>
      </c>
      <c r="B569" s="53" t="s">
        <v>62</v>
      </c>
      <c r="C569" s="149"/>
      <c r="D569" s="53" t="s">
        <v>62</v>
      </c>
      <c r="E569" s="53" t="str">
        <f t="shared" si="8"/>
        <v>—</v>
      </c>
      <c r="F569" s="51"/>
      <c r="G569" s="151">
        <v>775000</v>
      </c>
      <c r="H569" s="53" t="s">
        <v>834</v>
      </c>
    </row>
    <row r="570" spans="1:8" ht="21.25" customHeight="1" x14ac:dyDescent="0.15">
      <c r="A570" s="8" t="s">
        <v>513</v>
      </c>
      <c r="B570" s="53" t="s">
        <v>62</v>
      </c>
      <c r="C570" s="149"/>
      <c r="D570" s="53" t="s">
        <v>62</v>
      </c>
      <c r="E570" s="53" t="str">
        <f t="shared" si="8"/>
        <v>—</v>
      </c>
      <c r="F570" s="51"/>
      <c r="G570" s="151">
        <v>3250000</v>
      </c>
      <c r="H570" s="53" t="s">
        <v>834</v>
      </c>
    </row>
    <row r="571" spans="1:8" ht="21.25" customHeight="1" x14ac:dyDescent="0.15">
      <c r="A571" s="8" t="s">
        <v>482</v>
      </c>
      <c r="B571" s="53" t="s">
        <v>62</v>
      </c>
      <c r="C571" s="149"/>
      <c r="D571" s="149">
        <v>1224.5999999999999</v>
      </c>
      <c r="E571" s="149">
        <f t="shared" si="8"/>
        <v>1224.5999999999999</v>
      </c>
      <c r="F571" s="51"/>
      <c r="G571" s="151">
        <v>1100000</v>
      </c>
      <c r="H571" s="53" t="s">
        <v>834</v>
      </c>
    </row>
    <row r="572" spans="1:8" ht="21.25" customHeight="1" x14ac:dyDescent="0.15">
      <c r="A572" s="8" t="s">
        <v>823</v>
      </c>
      <c r="B572" s="53" t="s">
        <v>62</v>
      </c>
      <c r="C572" s="149"/>
      <c r="D572" s="53" t="s">
        <v>62</v>
      </c>
      <c r="E572" s="53" t="str">
        <f t="shared" si="8"/>
        <v>—</v>
      </c>
      <c r="F572" s="51"/>
      <c r="G572" s="151"/>
      <c r="H572" s="53" t="s">
        <v>834</v>
      </c>
    </row>
    <row r="573" spans="1:8" ht="21.25" customHeight="1" x14ac:dyDescent="0.15">
      <c r="A573" s="8" t="s">
        <v>658</v>
      </c>
      <c r="B573" s="53" t="s">
        <v>62</v>
      </c>
      <c r="C573" s="149"/>
      <c r="D573" s="53" t="s">
        <v>62</v>
      </c>
      <c r="E573" s="53" t="str">
        <f t="shared" si="8"/>
        <v>—</v>
      </c>
      <c r="F573" s="51"/>
      <c r="G573" s="151"/>
      <c r="H573" s="53" t="s">
        <v>834</v>
      </c>
    </row>
    <row r="574" spans="1:8" ht="21.25" customHeight="1" x14ac:dyDescent="0.15">
      <c r="A574" s="8" t="s">
        <v>568</v>
      </c>
      <c r="B574" s="53" t="s">
        <v>62</v>
      </c>
      <c r="C574" s="149"/>
      <c r="D574" s="53" t="s">
        <v>62</v>
      </c>
      <c r="E574" s="53" t="str">
        <f t="shared" si="8"/>
        <v>—</v>
      </c>
      <c r="F574" s="149"/>
      <c r="G574" s="151">
        <v>1400000</v>
      </c>
      <c r="H574" s="53" t="s">
        <v>834</v>
      </c>
    </row>
    <row r="575" spans="1:8" ht="21.25" customHeight="1" x14ac:dyDescent="0.15">
      <c r="A575" s="8" t="s">
        <v>555</v>
      </c>
      <c r="B575" s="53" t="s">
        <v>62</v>
      </c>
      <c r="C575" s="149"/>
      <c r="D575" s="53" t="s">
        <v>62</v>
      </c>
      <c r="E575" s="53" t="str">
        <f t="shared" si="8"/>
        <v>—</v>
      </c>
      <c r="F575" s="51"/>
      <c r="G575" s="151">
        <v>2750000</v>
      </c>
      <c r="H575" s="53" t="s">
        <v>834</v>
      </c>
    </row>
    <row r="576" spans="1:8" ht="21.25" customHeight="1" x14ac:dyDescent="0.15">
      <c r="A576" s="8" t="s">
        <v>597</v>
      </c>
      <c r="B576" s="53" t="s">
        <v>62</v>
      </c>
      <c r="C576" s="149"/>
      <c r="D576" s="53" t="s">
        <v>62</v>
      </c>
      <c r="E576" s="53" t="str">
        <f t="shared" si="8"/>
        <v>—</v>
      </c>
      <c r="F576" s="51"/>
      <c r="G576" s="151">
        <v>2500000</v>
      </c>
      <c r="H576" s="53" t="s">
        <v>834</v>
      </c>
    </row>
    <row r="577" spans="1:8" ht="21.25" customHeight="1" x14ac:dyDescent="0.15">
      <c r="A577" s="8" t="s">
        <v>587</v>
      </c>
      <c r="B577" s="53" t="s">
        <v>62</v>
      </c>
      <c r="C577" s="149"/>
      <c r="D577" s="53" t="s">
        <v>62</v>
      </c>
      <c r="E577" s="53" t="str">
        <f t="shared" si="8"/>
        <v>—</v>
      </c>
      <c r="F577" s="51"/>
      <c r="G577" s="151">
        <v>850000</v>
      </c>
      <c r="H577" s="53" t="s">
        <v>834</v>
      </c>
    </row>
    <row r="578" spans="1:8" ht="21.25" customHeight="1" x14ac:dyDescent="0.15">
      <c r="A578" s="8" t="s">
        <v>501</v>
      </c>
      <c r="B578" s="53" t="s">
        <v>62</v>
      </c>
      <c r="C578" s="149"/>
      <c r="D578" s="53" t="s">
        <v>62</v>
      </c>
      <c r="E578" s="53" t="str">
        <f t="shared" ref="E578:E641" si="9">IFERROR(AVERAGE(B578:D578),"—")</f>
        <v>—</v>
      </c>
      <c r="F578" s="51"/>
      <c r="G578" s="151">
        <v>4000000</v>
      </c>
      <c r="H578" s="53" t="s">
        <v>834</v>
      </c>
    </row>
    <row r="579" spans="1:8" ht="21.25" customHeight="1" x14ac:dyDescent="0.15">
      <c r="A579" s="8" t="s">
        <v>522</v>
      </c>
      <c r="B579" s="149">
        <v>152.1</v>
      </c>
      <c r="C579" s="149"/>
      <c r="D579" s="53" t="s">
        <v>62</v>
      </c>
      <c r="E579" s="149">
        <f t="shared" si="9"/>
        <v>152.1</v>
      </c>
      <c r="F579" s="51"/>
      <c r="G579" s="151">
        <v>4100000</v>
      </c>
      <c r="H579" s="53" t="s">
        <v>834</v>
      </c>
    </row>
    <row r="580" spans="1:8" ht="21.25" customHeight="1" x14ac:dyDescent="0.15">
      <c r="A580" s="8" t="s">
        <v>550</v>
      </c>
      <c r="B580" s="53" t="s">
        <v>62</v>
      </c>
      <c r="C580" s="149"/>
      <c r="D580" s="53" t="s">
        <v>62</v>
      </c>
      <c r="E580" s="53" t="str">
        <f t="shared" si="9"/>
        <v>—</v>
      </c>
      <c r="F580" s="51"/>
      <c r="G580" s="151">
        <v>1100000</v>
      </c>
      <c r="H580" s="53" t="s">
        <v>834</v>
      </c>
    </row>
    <row r="581" spans="1:8" ht="21.25" customHeight="1" x14ac:dyDescent="0.15">
      <c r="A581" s="8" t="s">
        <v>819</v>
      </c>
      <c r="B581" s="53" t="s">
        <v>62</v>
      </c>
      <c r="C581" s="149"/>
      <c r="D581" s="53" t="s">
        <v>62</v>
      </c>
      <c r="E581" s="53" t="str">
        <f t="shared" si="9"/>
        <v>—</v>
      </c>
      <c r="F581" s="51"/>
      <c r="G581" s="151">
        <v>787500</v>
      </c>
      <c r="H581" s="53" t="s">
        <v>834</v>
      </c>
    </row>
    <row r="582" spans="1:8" ht="21.25" customHeight="1" x14ac:dyDescent="0.15">
      <c r="A582" s="8" t="s">
        <v>583</v>
      </c>
      <c r="B582" s="53" t="s">
        <v>62</v>
      </c>
      <c r="C582" s="149"/>
      <c r="D582" s="53" t="s">
        <v>62</v>
      </c>
      <c r="E582" s="53" t="str">
        <f t="shared" si="9"/>
        <v>—</v>
      </c>
      <c r="F582" s="51"/>
      <c r="G582" s="151">
        <v>775000</v>
      </c>
      <c r="H582" s="53" t="s">
        <v>834</v>
      </c>
    </row>
    <row r="583" spans="1:8" ht="21.25" customHeight="1" x14ac:dyDescent="0.15">
      <c r="A583" s="8" t="s">
        <v>729</v>
      </c>
      <c r="B583" s="53" t="s">
        <v>62</v>
      </c>
      <c r="C583" s="149"/>
      <c r="D583" s="53" t="s">
        <v>62</v>
      </c>
      <c r="E583" s="53" t="str">
        <f t="shared" si="9"/>
        <v>—</v>
      </c>
      <c r="F583" s="51"/>
      <c r="G583" s="151">
        <v>1750000</v>
      </c>
      <c r="H583" s="53" t="s">
        <v>834</v>
      </c>
    </row>
    <row r="584" spans="1:8" ht="21.25" customHeight="1" x14ac:dyDescent="0.15">
      <c r="A584" s="8" t="s">
        <v>808</v>
      </c>
      <c r="B584" s="53" t="s">
        <v>62</v>
      </c>
      <c r="C584" s="149"/>
      <c r="D584" s="53" t="s">
        <v>62</v>
      </c>
      <c r="E584" s="53" t="str">
        <f t="shared" si="9"/>
        <v>—</v>
      </c>
      <c r="F584" s="51"/>
      <c r="G584" s="151">
        <v>850000</v>
      </c>
      <c r="H584" s="53" t="s">
        <v>834</v>
      </c>
    </row>
    <row r="585" spans="1:8" ht="21.25" customHeight="1" x14ac:dyDescent="0.15">
      <c r="A585" s="8" t="s">
        <v>619</v>
      </c>
      <c r="B585" s="53" t="s">
        <v>62</v>
      </c>
      <c r="C585" s="149"/>
      <c r="D585" s="53" t="s">
        <v>62</v>
      </c>
      <c r="E585" s="53" t="str">
        <f t="shared" si="9"/>
        <v>—</v>
      </c>
      <c r="F585" s="51"/>
      <c r="G585" s="151"/>
      <c r="H585" s="53" t="s">
        <v>834</v>
      </c>
    </row>
    <row r="586" spans="1:8" ht="21.25" customHeight="1" x14ac:dyDescent="0.15">
      <c r="A586" s="8" t="s">
        <v>545</v>
      </c>
      <c r="B586" s="53" t="s">
        <v>62</v>
      </c>
      <c r="C586" s="149"/>
      <c r="D586" s="53" t="s">
        <v>62</v>
      </c>
      <c r="E586" s="53" t="str">
        <f t="shared" si="9"/>
        <v>—</v>
      </c>
      <c r="F586" s="51"/>
      <c r="G586" s="151">
        <v>7000000</v>
      </c>
      <c r="H586" s="53" t="s">
        <v>834</v>
      </c>
    </row>
    <row r="587" spans="1:8" ht="21.25" customHeight="1" x14ac:dyDescent="0.15">
      <c r="A587" s="8" t="s">
        <v>659</v>
      </c>
      <c r="B587" s="53" t="s">
        <v>62</v>
      </c>
      <c r="C587" s="149"/>
      <c r="D587" s="53" t="s">
        <v>62</v>
      </c>
      <c r="E587" s="53" t="str">
        <f t="shared" si="9"/>
        <v>—</v>
      </c>
      <c r="F587" s="51"/>
      <c r="G587" s="151"/>
      <c r="H587" s="53" t="s">
        <v>834</v>
      </c>
    </row>
    <row r="588" spans="1:8" ht="21.25" customHeight="1" x14ac:dyDescent="0.15">
      <c r="A588" s="8" t="s">
        <v>815</v>
      </c>
      <c r="B588" s="53" t="s">
        <v>62</v>
      </c>
      <c r="C588" s="149"/>
      <c r="D588" s="53" t="s">
        <v>62</v>
      </c>
      <c r="E588" s="53" t="str">
        <f t="shared" si="9"/>
        <v>—</v>
      </c>
      <c r="F588" s="51"/>
      <c r="G588" s="151">
        <v>835000</v>
      </c>
      <c r="H588" s="53" t="s">
        <v>834</v>
      </c>
    </row>
    <row r="589" spans="1:8" ht="21.25" customHeight="1" x14ac:dyDescent="0.15">
      <c r="A589" s="8" t="s">
        <v>577</v>
      </c>
      <c r="B589" s="149">
        <v>147.19999999999999</v>
      </c>
      <c r="C589" s="149"/>
      <c r="D589" s="53" t="s">
        <v>62</v>
      </c>
      <c r="E589" s="149">
        <f t="shared" si="9"/>
        <v>147.19999999999999</v>
      </c>
      <c r="F589" s="51"/>
      <c r="G589" s="151">
        <v>3000000</v>
      </c>
      <c r="H589" s="53" t="s">
        <v>834</v>
      </c>
    </row>
    <row r="590" spans="1:8" ht="21.25" customHeight="1" x14ac:dyDescent="0.15">
      <c r="A590" s="8" t="s">
        <v>517</v>
      </c>
      <c r="B590" s="53" t="s">
        <v>62</v>
      </c>
      <c r="C590" s="149"/>
      <c r="D590" s="53" t="s">
        <v>62</v>
      </c>
      <c r="E590" s="53" t="str">
        <f t="shared" si="9"/>
        <v>—</v>
      </c>
      <c r="F590" s="51"/>
      <c r="G590" s="151">
        <v>6000000</v>
      </c>
      <c r="H590" s="53" t="s">
        <v>834</v>
      </c>
    </row>
    <row r="591" spans="1:8" ht="21.25" customHeight="1" x14ac:dyDescent="0.15">
      <c r="A591" s="8" t="s">
        <v>596</v>
      </c>
      <c r="B591" s="53" t="s">
        <v>62</v>
      </c>
      <c r="C591" s="149"/>
      <c r="D591" s="53" t="s">
        <v>62</v>
      </c>
      <c r="E591" s="53" t="str">
        <f t="shared" si="9"/>
        <v>—</v>
      </c>
      <c r="F591" s="51"/>
      <c r="G591" s="151">
        <v>3000000</v>
      </c>
      <c r="H591" s="53" t="s">
        <v>834</v>
      </c>
    </row>
    <row r="592" spans="1:8" ht="21.25" customHeight="1" x14ac:dyDescent="0.15">
      <c r="A592" s="8" t="s">
        <v>592</v>
      </c>
      <c r="B592" s="53" t="s">
        <v>62</v>
      </c>
      <c r="C592" s="149"/>
      <c r="D592" s="53" t="s">
        <v>62</v>
      </c>
      <c r="E592" s="53" t="str">
        <f t="shared" si="9"/>
        <v>—</v>
      </c>
      <c r="F592" s="51"/>
      <c r="G592" s="151">
        <v>828333</v>
      </c>
      <c r="H592" s="53" t="s">
        <v>834</v>
      </c>
    </row>
    <row r="593" spans="1:8" ht="21.25" customHeight="1" x14ac:dyDescent="0.15">
      <c r="A593" s="8" t="s">
        <v>767</v>
      </c>
      <c r="B593" s="53" t="s">
        <v>62</v>
      </c>
      <c r="C593" s="149"/>
      <c r="D593" s="53" t="s">
        <v>62</v>
      </c>
      <c r="E593" s="53" t="str">
        <f t="shared" si="9"/>
        <v>—</v>
      </c>
      <c r="F593" s="51"/>
      <c r="G593" s="151">
        <v>1100000</v>
      </c>
      <c r="H593" s="53" t="s">
        <v>834</v>
      </c>
    </row>
    <row r="594" spans="1:8" ht="21.25" customHeight="1" x14ac:dyDescent="0.15">
      <c r="A594" s="8" t="s">
        <v>792</v>
      </c>
      <c r="B594" s="53" t="s">
        <v>62</v>
      </c>
      <c r="C594" s="149"/>
      <c r="D594" s="53" t="s">
        <v>62</v>
      </c>
      <c r="E594" s="53" t="str">
        <f t="shared" si="9"/>
        <v>—</v>
      </c>
      <c r="F594" s="51"/>
      <c r="G594" s="151">
        <v>1484000</v>
      </c>
      <c r="H594" s="53" t="s">
        <v>834</v>
      </c>
    </row>
    <row r="595" spans="1:8" ht="21.25" customHeight="1" x14ac:dyDescent="0.15">
      <c r="A595" s="8" t="s">
        <v>744</v>
      </c>
      <c r="B595" s="53" t="s">
        <v>62</v>
      </c>
      <c r="C595" s="149"/>
      <c r="D595" s="53" t="s">
        <v>62</v>
      </c>
      <c r="E595" s="53" t="str">
        <f t="shared" si="9"/>
        <v>—</v>
      </c>
      <c r="F595" s="51"/>
      <c r="G595" s="151">
        <v>775000</v>
      </c>
      <c r="H595" s="53" t="s">
        <v>834</v>
      </c>
    </row>
    <row r="596" spans="1:8" ht="21.25" customHeight="1" x14ac:dyDescent="0.15">
      <c r="A596" s="8" t="s">
        <v>783</v>
      </c>
      <c r="B596" s="53" t="s">
        <v>62</v>
      </c>
      <c r="C596" s="149"/>
      <c r="D596" s="53" t="s">
        <v>62</v>
      </c>
      <c r="E596" s="53" t="str">
        <f t="shared" si="9"/>
        <v>—</v>
      </c>
      <c r="F596" s="51"/>
      <c r="G596" s="151">
        <v>825000</v>
      </c>
      <c r="H596" s="53" t="s">
        <v>834</v>
      </c>
    </row>
    <row r="597" spans="1:8" ht="21.25" customHeight="1" x14ac:dyDescent="0.15">
      <c r="A597" s="8" t="s">
        <v>630</v>
      </c>
      <c r="B597" s="53" t="s">
        <v>62</v>
      </c>
      <c r="C597" s="149"/>
      <c r="D597" s="53" t="s">
        <v>62</v>
      </c>
      <c r="E597" s="53" t="str">
        <f t="shared" si="9"/>
        <v>—</v>
      </c>
      <c r="F597" s="51"/>
      <c r="G597" s="151">
        <v>762500</v>
      </c>
      <c r="H597" s="53" t="s">
        <v>834</v>
      </c>
    </row>
    <row r="598" spans="1:8" ht="21.25" customHeight="1" x14ac:dyDescent="0.15">
      <c r="A598" s="8" t="s">
        <v>795</v>
      </c>
      <c r="B598" s="53" t="s">
        <v>62</v>
      </c>
      <c r="C598" s="149"/>
      <c r="D598" s="53" t="s">
        <v>62</v>
      </c>
      <c r="E598" s="53" t="str">
        <f t="shared" si="9"/>
        <v>—</v>
      </c>
      <c r="F598" s="51"/>
      <c r="G598" s="151">
        <v>794000</v>
      </c>
      <c r="H598" s="53" t="s">
        <v>834</v>
      </c>
    </row>
    <row r="599" spans="1:8" ht="21.25" customHeight="1" x14ac:dyDescent="0.15">
      <c r="A599" s="8" t="s">
        <v>700</v>
      </c>
      <c r="B599" s="53" t="s">
        <v>62</v>
      </c>
      <c r="C599" s="149"/>
      <c r="D599" s="53" t="s">
        <v>62</v>
      </c>
      <c r="E599" s="53" t="str">
        <f t="shared" si="9"/>
        <v>—</v>
      </c>
      <c r="F599" s="51"/>
      <c r="G599" s="151"/>
      <c r="H599" s="53" t="s">
        <v>834</v>
      </c>
    </row>
    <row r="600" spans="1:8" ht="21.25" customHeight="1" x14ac:dyDescent="0.15">
      <c r="A600" s="8" t="s">
        <v>653</v>
      </c>
      <c r="B600" s="53" t="s">
        <v>62</v>
      </c>
      <c r="C600" s="149"/>
      <c r="D600" s="53" t="s">
        <v>62</v>
      </c>
      <c r="E600" s="53" t="str">
        <f t="shared" si="9"/>
        <v>—</v>
      </c>
      <c r="F600" s="51"/>
      <c r="G600" s="151">
        <v>850000</v>
      </c>
      <c r="H600" s="53" t="s">
        <v>834</v>
      </c>
    </row>
    <row r="601" spans="1:8" ht="21.25" customHeight="1" x14ac:dyDescent="0.15">
      <c r="A601" s="8" t="s">
        <v>626</v>
      </c>
      <c r="B601" s="53" t="s">
        <v>62</v>
      </c>
      <c r="C601" s="149"/>
      <c r="D601" s="53" t="s">
        <v>62</v>
      </c>
      <c r="E601" s="53" t="str">
        <f t="shared" si="9"/>
        <v>—</v>
      </c>
      <c r="F601" s="51"/>
      <c r="G601" s="151">
        <v>762500</v>
      </c>
      <c r="H601" s="53" t="s">
        <v>834</v>
      </c>
    </row>
    <row r="602" spans="1:8" ht="21.25" customHeight="1" x14ac:dyDescent="0.15">
      <c r="A602" s="8" t="s">
        <v>822</v>
      </c>
      <c r="B602" s="53" t="s">
        <v>62</v>
      </c>
      <c r="C602" s="149"/>
      <c r="D602" s="53" t="s">
        <v>62</v>
      </c>
      <c r="E602" s="53" t="str">
        <f t="shared" si="9"/>
        <v>—</v>
      </c>
      <c r="F602" s="51"/>
      <c r="G602" s="151">
        <v>1000000</v>
      </c>
      <c r="H602" s="53" t="s">
        <v>834</v>
      </c>
    </row>
    <row r="603" spans="1:8" ht="21.25" customHeight="1" x14ac:dyDescent="0.15">
      <c r="A603" s="8" t="s">
        <v>680</v>
      </c>
      <c r="B603" s="53" t="s">
        <v>62</v>
      </c>
      <c r="C603" s="149"/>
      <c r="D603" s="53" t="s">
        <v>62</v>
      </c>
      <c r="E603" s="53" t="str">
        <f t="shared" si="9"/>
        <v>—</v>
      </c>
      <c r="F603" s="51"/>
      <c r="G603" s="151">
        <v>1137500</v>
      </c>
      <c r="H603" s="53" t="s">
        <v>834</v>
      </c>
    </row>
    <row r="604" spans="1:8" ht="21.25" customHeight="1" x14ac:dyDescent="0.15">
      <c r="A604" s="8" t="s">
        <v>546</v>
      </c>
      <c r="B604" s="53" t="s">
        <v>62</v>
      </c>
      <c r="C604" s="149"/>
      <c r="D604" s="53" t="s">
        <v>62</v>
      </c>
      <c r="E604" s="53" t="str">
        <f t="shared" si="9"/>
        <v>—</v>
      </c>
      <c r="F604" s="51"/>
      <c r="G604" s="151">
        <v>775000</v>
      </c>
      <c r="H604" s="53" t="s">
        <v>834</v>
      </c>
    </row>
    <row r="605" spans="1:8" ht="21.25" customHeight="1" x14ac:dyDescent="0.15">
      <c r="A605" s="8" t="s">
        <v>770</v>
      </c>
      <c r="B605" s="53" t="s">
        <v>62</v>
      </c>
      <c r="C605" s="149"/>
      <c r="D605" s="53" t="s">
        <v>62</v>
      </c>
      <c r="E605" s="53" t="str">
        <f t="shared" si="9"/>
        <v>—</v>
      </c>
      <c r="F605" s="51"/>
      <c r="G605" s="151">
        <v>762500</v>
      </c>
      <c r="H605" s="53" t="s">
        <v>834</v>
      </c>
    </row>
    <row r="606" spans="1:8" ht="21.25" customHeight="1" x14ac:dyDescent="0.15">
      <c r="A606" s="8" t="s">
        <v>771</v>
      </c>
      <c r="B606" s="53" t="s">
        <v>62</v>
      </c>
      <c r="C606" s="149"/>
      <c r="D606" s="53" t="s">
        <v>62</v>
      </c>
      <c r="E606" s="53" t="str">
        <f t="shared" si="9"/>
        <v>—</v>
      </c>
      <c r="F606" s="51"/>
      <c r="G606" s="151">
        <v>1000000</v>
      </c>
      <c r="H606" s="53" t="s">
        <v>834</v>
      </c>
    </row>
    <row r="607" spans="1:8" ht="21.25" customHeight="1" x14ac:dyDescent="0.15">
      <c r="A607" s="8" t="s">
        <v>825</v>
      </c>
      <c r="B607" s="53" t="s">
        <v>62</v>
      </c>
      <c r="C607" s="149"/>
      <c r="D607" s="53" t="s">
        <v>62</v>
      </c>
      <c r="E607" s="53" t="str">
        <f t="shared" si="9"/>
        <v>—</v>
      </c>
      <c r="F607" s="51"/>
      <c r="G607" s="151">
        <v>831300</v>
      </c>
      <c r="H607" s="53" t="s">
        <v>834</v>
      </c>
    </row>
    <row r="608" spans="1:8" ht="21.25" customHeight="1" x14ac:dyDescent="0.15">
      <c r="A608" s="8" t="s">
        <v>655</v>
      </c>
      <c r="B608" s="53" t="s">
        <v>62</v>
      </c>
      <c r="C608" s="149"/>
      <c r="D608" s="53" t="s">
        <v>62</v>
      </c>
      <c r="E608" s="53" t="str">
        <f t="shared" si="9"/>
        <v>—</v>
      </c>
      <c r="F608" s="51"/>
      <c r="G608" s="151">
        <v>762000</v>
      </c>
      <c r="H608" s="53" t="s">
        <v>834</v>
      </c>
    </row>
    <row r="609" spans="1:8" ht="21.25" customHeight="1" x14ac:dyDescent="0.15">
      <c r="A609" s="8" t="s">
        <v>609</v>
      </c>
      <c r="B609" s="53" t="s">
        <v>62</v>
      </c>
      <c r="C609" s="149"/>
      <c r="D609" s="53" t="s">
        <v>62</v>
      </c>
      <c r="E609" s="53" t="str">
        <f t="shared" si="9"/>
        <v>—</v>
      </c>
      <c r="F609" s="51"/>
      <c r="G609" s="151">
        <v>1200000</v>
      </c>
      <c r="H609" s="53" t="s">
        <v>834</v>
      </c>
    </row>
    <row r="610" spans="1:8" ht="21.25" customHeight="1" x14ac:dyDescent="0.15">
      <c r="A610" s="8" t="s">
        <v>672</v>
      </c>
      <c r="B610" s="53" t="s">
        <v>62</v>
      </c>
      <c r="C610" s="149"/>
      <c r="D610" s="53" t="s">
        <v>62</v>
      </c>
      <c r="E610" s="53" t="str">
        <f t="shared" si="9"/>
        <v>—</v>
      </c>
      <c r="F610" s="51"/>
      <c r="G610" s="151"/>
      <c r="H610" s="53" t="s">
        <v>834</v>
      </c>
    </row>
    <row r="611" spans="1:8" ht="21.25" customHeight="1" x14ac:dyDescent="0.15">
      <c r="A611" s="8" t="s">
        <v>751</v>
      </c>
      <c r="B611" s="53" t="s">
        <v>62</v>
      </c>
      <c r="C611" s="149"/>
      <c r="D611" s="53" t="s">
        <v>62</v>
      </c>
      <c r="E611" s="53" t="str">
        <f t="shared" si="9"/>
        <v>—</v>
      </c>
      <c r="F611" s="51"/>
      <c r="G611" s="151">
        <v>800000</v>
      </c>
      <c r="H611" s="53" t="s">
        <v>834</v>
      </c>
    </row>
    <row r="612" spans="1:8" ht="21.25" customHeight="1" x14ac:dyDescent="0.15">
      <c r="A612" s="8" t="s">
        <v>824</v>
      </c>
      <c r="B612" s="53" t="s">
        <v>62</v>
      </c>
      <c r="C612" s="149"/>
      <c r="D612" s="53" t="s">
        <v>62</v>
      </c>
      <c r="E612" s="53" t="str">
        <f t="shared" si="9"/>
        <v>—</v>
      </c>
      <c r="F612" s="51"/>
      <c r="G612" s="151"/>
      <c r="H612" s="53" t="s">
        <v>834</v>
      </c>
    </row>
    <row r="613" spans="1:8" ht="21.25" customHeight="1" x14ac:dyDescent="0.15">
      <c r="A613" s="8" t="s">
        <v>656</v>
      </c>
      <c r="B613" s="53" t="s">
        <v>62</v>
      </c>
      <c r="C613" s="149"/>
      <c r="D613" s="53" t="s">
        <v>62</v>
      </c>
      <c r="E613" s="53" t="str">
        <f t="shared" si="9"/>
        <v>—</v>
      </c>
      <c r="F613" s="51"/>
      <c r="G613" s="151">
        <v>1250000</v>
      </c>
      <c r="H613" s="53" t="s">
        <v>834</v>
      </c>
    </row>
    <row r="614" spans="1:8" ht="21.25" customHeight="1" x14ac:dyDescent="0.15">
      <c r="A614" s="8" t="s">
        <v>615</v>
      </c>
      <c r="B614" s="53" t="s">
        <v>62</v>
      </c>
      <c r="C614" s="149"/>
      <c r="D614" s="53" t="s">
        <v>62</v>
      </c>
      <c r="E614" s="53" t="str">
        <f t="shared" si="9"/>
        <v>—</v>
      </c>
      <c r="F614" s="51"/>
      <c r="G614" s="151">
        <v>4500000</v>
      </c>
      <c r="H614" s="53" t="s">
        <v>834</v>
      </c>
    </row>
    <row r="615" spans="1:8" ht="21.25" customHeight="1" x14ac:dyDescent="0.15">
      <c r="A615" s="8" t="s">
        <v>633</v>
      </c>
      <c r="B615" s="53" t="s">
        <v>62</v>
      </c>
      <c r="C615" s="149"/>
      <c r="D615" s="53" t="s">
        <v>62</v>
      </c>
      <c r="E615" s="53" t="str">
        <f t="shared" si="9"/>
        <v>—</v>
      </c>
      <c r="F615" s="51"/>
      <c r="G615" s="151"/>
      <c r="H615" s="53" t="s">
        <v>834</v>
      </c>
    </row>
    <row r="616" spans="1:8" ht="21.25" customHeight="1" x14ac:dyDescent="0.15">
      <c r="A616" s="8" t="s">
        <v>604</v>
      </c>
      <c r="B616" s="53" t="s">
        <v>62</v>
      </c>
      <c r="C616" s="149"/>
      <c r="D616" s="53" t="s">
        <v>62</v>
      </c>
      <c r="E616" s="53" t="str">
        <f t="shared" si="9"/>
        <v>—</v>
      </c>
      <c r="F616" s="51"/>
      <c r="G616" s="151">
        <v>3275000</v>
      </c>
      <c r="H616" s="53" t="s">
        <v>834</v>
      </c>
    </row>
    <row r="617" spans="1:8" ht="21.25" customHeight="1" x14ac:dyDescent="0.15">
      <c r="A617" s="8" t="s">
        <v>830</v>
      </c>
      <c r="B617" s="53" t="s">
        <v>62</v>
      </c>
      <c r="C617" s="149"/>
      <c r="D617" s="53" t="s">
        <v>62</v>
      </c>
      <c r="E617" s="53" t="str">
        <f t="shared" si="9"/>
        <v>—</v>
      </c>
      <c r="F617" s="51"/>
      <c r="G617" s="151">
        <v>762500</v>
      </c>
      <c r="H617" s="53" t="s">
        <v>834</v>
      </c>
    </row>
    <row r="618" spans="1:8" ht="21.25" customHeight="1" x14ac:dyDescent="0.15">
      <c r="A618" s="8" t="s">
        <v>677</v>
      </c>
      <c r="B618" s="53" t="s">
        <v>62</v>
      </c>
      <c r="C618" s="149"/>
      <c r="D618" s="53" t="s">
        <v>62</v>
      </c>
      <c r="E618" s="53" t="str">
        <f t="shared" si="9"/>
        <v>—</v>
      </c>
      <c r="F618" s="51"/>
      <c r="G618" s="151"/>
      <c r="H618" s="53" t="s">
        <v>834</v>
      </c>
    </row>
    <row r="619" spans="1:8" ht="21.25" customHeight="1" x14ac:dyDescent="0.15">
      <c r="A619" s="8" t="s">
        <v>552</v>
      </c>
      <c r="B619" s="53" t="s">
        <v>62</v>
      </c>
      <c r="C619" s="149"/>
      <c r="D619" s="53" t="s">
        <v>62</v>
      </c>
      <c r="E619" s="53" t="str">
        <f t="shared" si="9"/>
        <v>—</v>
      </c>
      <c r="F619" s="149"/>
      <c r="G619" s="151">
        <v>4000000</v>
      </c>
      <c r="H619" s="53" t="s">
        <v>834</v>
      </c>
    </row>
    <row r="620" spans="1:8" ht="21.25" customHeight="1" x14ac:dyDescent="0.15">
      <c r="A620" s="8" t="s">
        <v>607</v>
      </c>
      <c r="B620" s="53" t="s">
        <v>62</v>
      </c>
      <c r="C620" s="149"/>
      <c r="D620" s="53" t="s">
        <v>62</v>
      </c>
      <c r="E620" s="53" t="str">
        <f t="shared" si="9"/>
        <v>—</v>
      </c>
      <c r="F620" s="51"/>
      <c r="G620" s="151">
        <v>1100000</v>
      </c>
      <c r="H620" s="53" t="s">
        <v>834</v>
      </c>
    </row>
    <row r="621" spans="1:8" ht="21.25" customHeight="1" x14ac:dyDescent="0.15">
      <c r="A621" s="8" t="s">
        <v>591</v>
      </c>
      <c r="B621" s="53" t="s">
        <v>62</v>
      </c>
      <c r="C621" s="149"/>
      <c r="D621" s="53" t="s">
        <v>62</v>
      </c>
      <c r="E621" s="53" t="str">
        <f t="shared" si="9"/>
        <v>—</v>
      </c>
      <c r="F621" s="51"/>
      <c r="G621" s="151">
        <v>2000000</v>
      </c>
      <c r="H621" s="53" t="s">
        <v>834</v>
      </c>
    </row>
    <row r="622" spans="1:8" ht="21.25" customHeight="1" x14ac:dyDescent="0.15">
      <c r="A622" s="8" t="s">
        <v>618</v>
      </c>
      <c r="B622" s="53" t="s">
        <v>62</v>
      </c>
      <c r="C622" s="149"/>
      <c r="D622" s="53" t="s">
        <v>62</v>
      </c>
      <c r="E622" s="53" t="str">
        <f t="shared" si="9"/>
        <v>—</v>
      </c>
      <c r="F622" s="51"/>
      <c r="G622" s="151">
        <v>1108000</v>
      </c>
      <c r="H622" s="53" t="s">
        <v>834</v>
      </c>
    </row>
    <row r="623" spans="1:8" ht="21.25" customHeight="1" x14ac:dyDescent="0.15">
      <c r="A623" s="8" t="s">
        <v>802</v>
      </c>
      <c r="B623" s="53" t="s">
        <v>62</v>
      </c>
      <c r="C623" s="149"/>
      <c r="D623" s="53" t="s">
        <v>62</v>
      </c>
      <c r="E623" s="53" t="str">
        <f t="shared" si="9"/>
        <v>—</v>
      </c>
      <c r="F623" s="51"/>
      <c r="G623" s="151">
        <v>775000</v>
      </c>
      <c r="H623" s="53" t="s">
        <v>834</v>
      </c>
    </row>
    <row r="624" spans="1:8" ht="21.25" customHeight="1" x14ac:dyDescent="0.15">
      <c r="A624" s="8" t="s">
        <v>829</v>
      </c>
      <c r="B624" s="53" t="s">
        <v>62</v>
      </c>
      <c r="C624" s="149"/>
      <c r="D624" s="53" t="s">
        <v>62</v>
      </c>
      <c r="E624" s="53" t="str">
        <f t="shared" si="9"/>
        <v>—</v>
      </c>
      <c r="F624" s="51"/>
      <c r="G624" s="151">
        <v>775000</v>
      </c>
      <c r="H624" s="53" t="s">
        <v>834</v>
      </c>
    </row>
    <row r="625" spans="1:8" ht="21.25" customHeight="1" x14ac:dyDescent="0.15">
      <c r="A625" s="8" t="s">
        <v>689</v>
      </c>
      <c r="B625" s="53" t="s">
        <v>62</v>
      </c>
      <c r="C625" s="149"/>
      <c r="D625" s="53" t="s">
        <v>62</v>
      </c>
      <c r="E625" s="53" t="str">
        <f t="shared" si="9"/>
        <v>—</v>
      </c>
      <c r="F625" s="149"/>
      <c r="G625" s="151">
        <v>863333</v>
      </c>
      <c r="H625" s="53" t="s">
        <v>834</v>
      </c>
    </row>
    <row r="626" spans="1:8" ht="21.25" customHeight="1" x14ac:dyDescent="0.15">
      <c r="A626" s="8" t="s">
        <v>632</v>
      </c>
      <c r="B626" s="53" t="s">
        <v>62</v>
      </c>
      <c r="C626" s="149"/>
      <c r="D626" s="53" t="s">
        <v>62</v>
      </c>
      <c r="E626" s="53" t="str">
        <f t="shared" si="9"/>
        <v>—</v>
      </c>
      <c r="F626" s="149"/>
      <c r="G626" s="151">
        <v>2500000</v>
      </c>
      <c r="H626" s="53" t="s">
        <v>834</v>
      </c>
    </row>
    <row r="627" spans="1:8" ht="21.25" customHeight="1" x14ac:dyDescent="0.15">
      <c r="A627" s="8" t="s">
        <v>625</v>
      </c>
      <c r="B627" s="53" t="s">
        <v>62</v>
      </c>
      <c r="C627" s="149"/>
      <c r="D627" s="53" t="s">
        <v>62</v>
      </c>
      <c r="E627" s="53" t="str">
        <f t="shared" si="9"/>
        <v>—</v>
      </c>
      <c r="F627" s="51"/>
      <c r="G627" s="151">
        <v>850000</v>
      </c>
      <c r="H627" s="53" t="s">
        <v>834</v>
      </c>
    </row>
    <row r="628" spans="1:8" ht="21.25" customHeight="1" x14ac:dyDescent="0.15">
      <c r="A628" s="8" t="s">
        <v>826</v>
      </c>
      <c r="B628" s="53" t="s">
        <v>62</v>
      </c>
      <c r="C628" s="149"/>
      <c r="D628" s="53" t="s">
        <v>62</v>
      </c>
      <c r="E628" s="53" t="str">
        <f t="shared" si="9"/>
        <v>—</v>
      </c>
      <c r="F628" s="149"/>
      <c r="G628" s="151">
        <v>867700</v>
      </c>
      <c r="H628" s="53" t="s">
        <v>834</v>
      </c>
    </row>
    <row r="629" spans="1:8" ht="21.25" customHeight="1" x14ac:dyDescent="0.15">
      <c r="A629" s="8" t="s">
        <v>628</v>
      </c>
      <c r="B629" s="53" t="s">
        <v>62</v>
      </c>
      <c r="C629" s="149"/>
      <c r="D629" s="53" t="s">
        <v>62</v>
      </c>
      <c r="E629" s="53" t="str">
        <f t="shared" si="9"/>
        <v>—</v>
      </c>
      <c r="F629" s="149"/>
      <c r="G629" s="151">
        <v>762000</v>
      </c>
      <c r="H629" s="53" t="s">
        <v>834</v>
      </c>
    </row>
    <row r="630" spans="1:8" ht="21.25" customHeight="1" x14ac:dyDescent="0.15">
      <c r="A630" s="8" t="s">
        <v>773</v>
      </c>
      <c r="B630" s="149">
        <v>159.19999999999999</v>
      </c>
      <c r="C630" s="149"/>
      <c r="D630" s="53" t="s">
        <v>62</v>
      </c>
      <c r="E630" s="149">
        <f t="shared" si="9"/>
        <v>159.19999999999999</v>
      </c>
      <c r="F630" s="51"/>
      <c r="G630" s="151">
        <v>1300000</v>
      </c>
      <c r="H630" s="53" t="s">
        <v>834</v>
      </c>
    </row>
    <row r="631" spans="1:8" ht="21.25" customHeight="1" x14ac:dyDescent="0.15">
      <c r="A631" s="8" t="s">
        <v>563</v>
      </c>
      <c r="B631" s="149">
        <v>179.7</v>
      </c>
      <c r="C631" s="149"/>
      <c r="D631" s="149">
        <v>1120</v>
      </c>
      <c r="E631" s="149">
        <f t="shared" si="9"/>
        <v>649.85</v>
      </c>
      <c r="F631" s="149"/>
      <c r="G631" s="151">
        <v>1500000</v>
      </c>
      <c r="H631" s="53" t="s">
        <v>834</v>
      </c>
    </row>
    <row r="632" spans="1:8" ht="21.25" customHeight="1" x14ac:dyDescent="0.15">
      <c r="A632" s="8" t="s">
        <v>807</v>
      </c>
      <c r="B632" s="53" t="s">
        <v>62</v>
      </c>
      <c r="C632" s="149"/>
      <c r="D632" s="53" t="s">
        <v>62</v>
      </c>
      <c r="E632" s="53" t="str">
        <f t="shared" si="9"/>
        <v>—</v>
      </c>
      <c r="F632" s="149"/>
      <c r="G632" s="151">
        <v>775000</v>
      </c>
      <c r="H632" s="53" t="s">
        <v>834</v>
      </c>
    </row>
    <row r="633" spans="1:8" ht="21.25" customHeight="1" x14ac:dyDescent="0.15">
      <c r="A633" s="8" t="s">
        <v>757</v>
      </c>
      <c r="B633" s="53" t="s">
        <v>62</v>
      </c>
      <c r="C633" s="149"/>
      <c r="D633" s="53" t="s">
        <v>62</v>
      </c>
      <c r="E633" s="53" t="str">
        <f t="shared" si="9"/>
        <v>—</v>
      </c>
      <c r="F633" s="149"/>
      <c r="G633" s="151">
        <v>1500000</v>
      </c>
      <c r="H633" s="53" t="s">
        <v>834</v>
      </c>
    </row>
    <row r="634" spans="1:8" ht="21.25" customHeight="1" x14ac:dyDescent="0.15">
      <c r="A634" s="8" t="s">
        <v>785</v>
      </c>
      <c r="B634" s="53" t="s">
        <v>62</v>
      </c>
      <c r="C634" s="149"/>
      <c r="D634" s="53" t="s">
        <v>62</v>
      </c>
      <c r="E634" s="53" t="str">
        <f t="shared" si="9"/>
        <v>—</v>
      </c>
      <c r="F634" s="149"/>
      <c r="G634" s="151">
        <v>775000</v>
      </c>
      <c r="H634" s="53" t="s">
        <v>834</v>
      </c>
    </row>
    <row r="635" spans="1:8" ht="21.25" customHeight="1" x14ac:dyDescent="0.15">
      <c r="A635" s="8" t="s">
        <v>629</v>
      </c>
      <c r="B635" s="53" t="s">
        <v>62</v>
      </c>
      <c r="C635" s="149"/>
      <c r="D635" s="53" t="s">
        <v>62</v>
      </c>
      <c r="E635" s="53" t="str">
        <f t="shared" si="9"/>
        <v>—</v>
      </c>
      <c r="F635" s="51"/>
      <c r="G635" s="151">
        <v>2750000</v>
      </c>
      <c r="H635" s="53" t="s">
        <v>834</v>
      </c>
    </row>
    <row r="636" spans="1:8" ht="21.25" customHeight="1" x14ac:dyDescent="0.15">
      <c r="A636" s="8" t="s">
        <v>820</v>
      </c>
      <c r="B636" s="53" t="s">
        <v>62</v>
      </c>
      <c r="C636" s="149"/>
      <c r="D636" s="53" t="s">
        <v>62</v>
      </c>
      <c r="E636" s="53" t="str">
        <f t="shared" si="9"/>
        <v>—</v>
      </c>
      <c r="F636" s="149"/>
      <c r="G636" s="151">
        <v>1100000</v>
      </c>
      <c r="H636" s="53" t="s">
        <v>834</v>
      </c>
    </row>
    <row r="637" spans="1:8" ht="21.25" customHeight="1" x14ac:dyDescent="0.15">
      <c r="A637" s="8" t="s">
        <v>690</v>
      </c>
      <c r="B637" s="53" t="s">
        <v>62</v>
      </c>
      <c r="C637" s="149"/>
      <c r="D637" s="53" t="s">
        <v>62</v>
      </c>
      <c r="E637" s="53" t="str">
        <f t="shared" si="9"/>
        <v>—</v>
      </c>
      <c r="F637" s="51"/>
      <c r="G637" s="151">
        <v>762500</v>
      </c>
      <c r="H637" s="53" t="s">
        <v>834</v>
      </c>
    </row>
    <row r="638" spans="1:8" ht="21.25" customHeight="1" x14ac:dyDescent="0.15">
      <c r="A638" s="8" t="s">
        <v>796</v>
      </c>
      <c r="B638" s="53" t="s">
        <v>62</v>
      </c>
      <c r="C638" s="149"/>
      <c r="D638" s="53" t="s">
        <v>62</v>
      </c>
      <c r="E638" s="53" t="str">
        <f t="shared" si="9"/>
        <v>—</v>
      </c>
      <c r="F638" s="51"/>
      <c r="G638" s="151">
        <v>1300000</v>
      </c>
      <c r="H638" s="53" t="s">
        <v>834</v>
      </c>
    </row>
    <row r="639" spans="1:8" ht="21.25" customHeight="1" x14ac:dyDescent="0.15">
      <c r="A639" s="8" t="s">
        <v>622</v>
      </c>
      <c r="B639" s="53" t="s">
        <v>62</v>
      </c>
      <c r="C639" s="149"/>
      <c r="D639" s="53" t="s">
        <v>62</v>
      </c>
      <c r="E639" s="53" t="str">
        <f t="shared" si="9"/>
        <v>—</v>
      </c>
      <c r="F639" s="51"/>
      <c r="G639" s="151">
        <v>2250000</v>
      </c>
      <c r="H639" s="53" t="s">
        <v>834</v>
      </c>
    </row>
    <row r="640" spans="1:8" ht="21.25" customHeight="1" x14ac:dyDescent="0.15">
      <c r="A640" s="8" t="s">
        <v>786</v>
      </c>
      <c r="B640" s="53" t="s">
        <v>62</v>
      </c>
      <c r="C640" s="149"/>
      <c r="D640" s="53" t="s">
        <v>62</v>
      </c>
      <c r="E640" s="53" t="str">
        <f t="shared" si="9"/>
        <v>—</v>
      </c>
      <c r="F640" s="149"/>
      <c r="G640" s="151">
        <v>800000</v>
      </c>
      <c r="H640" s="53" t="s">
        <v>834</v>
      </c>
    </row>
    <row r="641" spans="1:8" ht="21.25" customHeight="1" x14ac:dyDescent="0.15">
      <c r="A641" s="8" t="s">
        <v>693</v>
      </c>
      <c r="B641" s="53" t="s">
        <v>62</v>
      </c>
      <c r="C641" s="149"/>
      <c r="D641" s="53" t="s">
        <v>62</v>
      </c>
      <c r="E641" s="53" t="str">
        <f t="shared" si="9"/>
        <v>—</v>
      </c>
      <c r="F641" s="149"/>
      <c r="G641" s="151"/>
      <c r="H641" s="53" t="s">
        <v>834</v>
      </c>
    </row>
    <row r="642" spans="1:8" ht="21.25" customHeight="1" x14ac:dyDescent="0.15">
      <c r="A642" s="8" t="s">
        <v>778</v>
      </c>
      <c r="B642" s="53" t="s">
        <v>62</v>
      </c>
      <c r="C642" s="149"/>
      <c r="D642" s="53" t="s">
        <v>62</v>
      </c>
      <c r="E642" s="53" t="str">
        <f t="shared" ref="E642:E705" si="10">IFERROR(AVERAGE(B642:D642),"—")</f>
        <v>—</v>
      </c>
      <c r="F642" s="149"/>
      <c r="G642" s="151">
        <v>1750000</v>
      </c>
      <c r="H642" s="53" t="s">
        <v>834</v>
      </c>
    </row>
    <row r="643" spans="1:8" ht="21.25" customHeight="1" x14ac:dyDescent="0.15">
      <c r="A643" s="8" t="s">
        <v>666</v>
      </c>
      <c r="B643" s="53" t="s">
        <v>62</v>
      </c>
      <c r="C643" s="149"/>
      <c r="D643" s="53" t="s">
        <v>62</v>
      </c>
      <c r="E643" s="53" t="str">
        <f t="shared" si="10"/>
        <v>—</v>
      </c>
      <c r="F643" s="51"/>
      <c r="G643" s="151">
        <v>1100000</v>
      </c>
      <c r="H643" s="53" t="s">
        <v>834</v>
      </c>
    </row>
    <row r="644" spans="1:8" ht="21.25" customHeight="1" x14ac:dyDescent="0.15">
      <c r="A644" s="8" t="s">
        <v>712</v>
      </c>
      <c r="B644" s="53" t="s">
        <v>62</v>
      </c>
      <c r="C644" s="149"/>
      <c r="D644" s="53" t="s">
        <v>62</v>
      </c>
      <c r="E644" s="53" t="str">
        <f t="shared" si="10"/>
        <v>—</v>
      </c>
      <c r="F644" s="149"/>
      <c r="G644" s="151">
        <v>787500</v>
      </c>
      <c r="H644" s="53" t="s">
        <v>834</v>
      </c>
    </row>
    <row r="645" spans="1:8" ht="21.25" customHeight="1" x14ac:dyDescent="0.15">
      <c r="A645" s="8" t="s">
        <v>662</v>
      </c>
      <c r="B645" s="53" t="s">
        <v>62</v>
      </c>
      <c r="C645" s="149"/>
      <c r="D645" s="53" t="s">
        <v>62</v>
      </c>
      <c r="E645" s="53" t="str">
        <f t="shared" si="10"/>
        <v>—</v>
      </c>
      <c r="F645" s="149"/>
      <c r="G645" s="151">
        <v>800000</v>
      </c>
      <c r="H645" s="53" t="s">
        <v>834</v>
      </c>
    </row>
    <row r="646" spans="1:8" ht="21.25" customHeight="1" x14ac:dyDescent="0.15">
      <c r="A646" s="8" t="s">
        <v>828</v>
      </c>
      <c r="B646" s="53" t="s">
        <v>62</v>
      </c>
      <c r="C646" s="149"/>
      <c r="D646" s="53" t="s">
        <v>62</v>
      </c>
      <c r="E646" s="53" t="str">
        <f t="shared" si="10"/>
        <v>—</v>
      </c>
      <c r="F646" s="149"/>
      <c r="G646" s="151">
        <v>822800</v>
      </c>
      <c r="H646" s="53" t="s">
        <v>834</v>
      </c>
    </row>
    <row r="647" spans="1:8" ht="21.25" customHeight="1" x14ac:dyDescent="0.15">
      <c r="A647" s="8" t="s">
        <v>645</v>
      </c>
      <c r="B647" s="53" t="s">
        <v>62</v>
      </c>
      <c r="C647" s="149"/>
      <c r="D647" s="53" t="s">
        <v>62</v>
      </c>
      <c r="E647" s="53" t="str">
        <f t="shared" si="10"/>
        <v>—</v>
      </c>
      <c r="F647" s="149"/>
      <c r="G647" s="151">
        <v>850000</v>
      </c>
      <c r="H647" s="53" t="s">
        <v>834</v>
      </c>
    </row>
    <row r="648" spans="1:8" ht="21.25" customHeight="1" x14ac:dyDescent="0.15">
      <c r="A648" s="8" t="s">
        <v>812</v>
      </c>
      <c r="B648" s="53" t="s">
        <v>62</v>
      </c>
      <c r="C648" s="149"/>
      <c r="D648" s="53" t="s">
        <v>62</v>
      </c>
      <c r="E648" s="53" t="str">
        <f t="shared" si="10"/>
        <v>—</v>
      </c>
      <c r="F648" s="149"/>
      <c r="G648" s="151">
        <v>800000</v>
      </c>
      <c r="H648" s="53" t="s">
        <v>834</v>
      </c>
    </row>
    <row r="649" spans="1:8" ht="21.25" customHeight="1" x14ac:dyDescent="0.15">
      <c r="A649" s="8" t="s">
        <v>728</v>
      </c>
      <c r="B649" s="53" t="s">
        <v>62</v>
      </c>
      <c r="C649" s="149"/>
      <c r="D649" s="53" t="s">
        <v>62</v>
      </c>
      <c r="E649" s="53" t="str">
        <f t="shared" si="10"/>
        <v>—</v>
      </c>
      <c r="F649" s="149"/>
      <c r="G649" s="151">
        <v>1000000</v>
      </c>
      <c r="H649" s="53" t="s">
        <v>834</v>
      </c>
    </row>
    <row r="650" spans="1:8" ht="21.25" customHeight="1" x14ac:dyDescent="0.15">
      <c r="A650" s="8" t="s">
        <v>638</v>
      </c>
      <c r="B650" s="53" t="s">
        <v>62</v>
      </c>
      <c r="C650" s="149"/>
      <c r="D650" s="53" t="s">
        <v>62</v>
      </c>
      <c r="E650" s="53" t="str">
        <f t="shared" si="10"/>
        <v>—</v>
      </c>
      <c r="F650" s="149"/>
      <c r="G650" s="151">
        <v>1275000</v>
      </c>
      <c r="H650" s="53" t="s">
        <v>834</v>
      </c>
    </row>
    <row r="651" spans="1:8" ht="21.25" customHeight="1" x14ac:dyDescent="0.15">
      <c r="A651" s="8" t="s">
        <v>654</v>
      </c>
      <c r="B651" s="53" t="s">
        <v>62</v>
      </c>
      <c r="C651" s="149"/>
      <c r="D651" s="53" t="s">
        <v>62</v>
      </c>
      <c r="E651" s="53" t="str">
        <f t="shared" si="10"/>
        <v>—</v>
      </c>
      <c r="F651" s="149"/>
      <c r="G651" s="151">
        <v>762500</v>
      </c>
      <c r="H651" s="53" t="s">
        <v>834</v>
      </c>
    </row>
    <row r="652" spans="1:8" ht="21.25" customHeight="1" x14ac:dyDescent="0.15">
      <c r="A652" s="8" t="s">
        <v>670</v>
      </c>
      <c r="B652" s="53" t="s">
        <v>62</v>
      </c>
      <c r="C652" s="149"/>
      <c r="D652" s="53" t="s">
        <v>62</v>
      </c>
      <c r="E652" s="53" t="str">
        <f t="shared" si="10"/>
        <v>—</v>
      </c>
      <c r="F652" s="149"/>
      <c r="G652" s="151">
        <v>775000</v>
      </c>
      <c r="H652" s="53" t="s">
        <v>834</v>
      </c>
    </row>
    <row r="653" spans="1:8" ht="21.25" customHeight="1" x14ac:dyDescent="0.15">
      <c r="A653" s="8" t="s">
        <v>699</v>
      </c>
      <c r="B653" s="53" t="s">
        <v>62</v>
      </c>
      <c r="C653" s="149"/>
      <c r="D653" s="53" t="s">
        <v>62</v>
      </c>
      <c r="E653" s="53" t="str">
        <f t="shared" si="10"/>
        <v>—</v>
      </c>
      <c r="F653" s="51"/>
      <c r="G653" s="151">
        <v>950000</v>
      </c>
      <c r="H653" s="53" t="s">
        <v>834</v>
      </c>
    </row>
    <row r="654" spans="1:8" ht="21.25" customHeight="1" x14ac:dyDescent="0.15">
      <c r="A654" s="8" t="s">
        <v>673</v>
      </c>
      <c r="B654" s="53" t="s">
        <v>62</v>
      </c>
      <c r="C654" s="149"/>
      <c r="D654" s="53" t="s">
        <v>62</v>
      </c>
      <c r="E654" s="53" t="str">
        <f t="shared" si="10"/>
        <v>—</v>
      </c>
      <c r="F654" s="51"/>
      <c r="G654" s="151">
        <v>775000</v>
      </c>
      <c r="H654" s="53" t="s">
        <v>834</v>
      </c>
    </row>
    <row r="655" spans="1:8" ht="21.25" customHeight="1" x14ac:dyDescent="0.15">
      <c r="A655" s="23"/>
      <c r="B655" s="149"/>
      <c r="C655" s="149"/>
      <c r="D655" s="149"/>
      <c r="E655" s="53" t="str">
        <f t="shared" si="10"/>
        <v>—</v>
      </c>
      <c r="F655" s="149"/>
      <c r="G655" s="151">
        <v>0</v>
      </c>
      <c r="H655" s="51"/>
    </row>
    <row r="656" spans="1:8" ht="21.25" customHeight="1" x14ac:dyDescent="0.15">
      <c r="A656" s="8" t="s">
        <v>196</v>
      </c>
      <c r="B656" s="149">
        <v>182.4</v>
      </c>
      <c r="C656" s="149"/>
      <c r="D656" s="149">
        <v>201.52</v>
      </c>
      <c r="E656" s="149">
        <f t="shared" si="10"/>
        <v>191.96</v>
      </c>
      <c r="F656" s="149"/>
      <c r="G656" s="151">
        <v>6400000</v>
      </c>
      <c r="H656" s="53" t="s">
        <v>834</v>
      </c>
    </row>
    <row r="657" spans="1:8" ht="21.25" customHeight="1" x14ac:dyDescent="0.15">
      <c r="A657" s="8" t="s">
        <v>715</v>
      </c>
      <c r="B657" s="53" t="s">
        <v>62</v>
      </c>
      <c r="C657" s="149"/>
      <c r="D657" s="149">
        <v>372.6</v>
      </c>
      <c r="E657" s="149">
        <f t="shared" si="10"/>
        <v>372.6</v>
      </c>
      <c r="F657" s="149"/>
      <c r="G657" s="151"/>
      <c r="H657" s="53" t="s">
        <v>834</v>
      </c>
    </row>
    <row r="658" spans="1:8" ht="21.25" customHeight="1" x14ac:dyDescent="0.15">
      <c r="A658" s="8" t="s">
        <v>323</v>
      </c>
      <c r="B658" s="149">
        <v>181.5</v>
      </c>
      <c r="C658" s="149"/>
      <c r="D658" s="149">
        <v>216.81</v>
      </c>
      <c r="E658" s="149">
        <f t="shared" si="10"/>
        <v>199.155</v>
      </c>
      <c r="F658" s="51"/>
      <c r="G658" s="151">
        <v>2725000</v>
      </c>
      <c r="H658" s="53" t="s">
        <v>834</v>
      </c>
    </row>
    <row r="659" spans="1:8" ht="21.25" customHeight="1" x14ac:dyDescent="0.15">
      <c r="A659" s="8" t="s">
        <v>422</v>
      </c>
      <c r="B659" s="53" t="s">
        <v>62</v>
      </c>
      <c r="C659" s="149"/>
      <c r="D659" s="149">
        <v>488.9</v>
      </c>
      <c r="E659" s="149">
        <f t="shared" si="10"/>
        <v>488.9</v>
      </c>
      <c r="F659" s="149"/>
      <c r="G659" s="151"/>
      <c r="H659" s="53" t="s">
        <v>834</v>
      </c>
    </row>
    <row r="660" spans="1:8" ht="21.25" customHeight="1" x14ac:dyDescent="0.15">
      <c r="A660" s="8" t="s">
        <v>227</v>
      </c>
      <c r="B660" s="149">
        <v>23.6</v>
      </c>
      <c r="C660" s="149"/>
      <c r="D660" s="149">
        <v>109.23</v>
      </c>
      <c r="E660" s="149">
        <f t="shared" si="10"/>
        <v>66.415000000000006</v>
      </c>
      <c r="F660" s="149"/>
      <c r="G660" s="151">
        <v>5000000</v>
      </c>
      <c r="H660" s="53" t="s">
        <v>834</v>
      </c>
    </row>
    <row r="661" spans="1:8" ht="21.25" customHeight="1" x14ac:dyDescent="0.15">
      <c r="A661" s="8" t="s">
        <v>338</v>
      </c>
      <c r="B661" s="149">
        <v>45.7</v>
      </c>
      <c r="C661" s="149"/>
      <c r="D661" s="149">
        <v>203.34</v>
      </c>
      <c r="E661" s="149">
        <f t="shared" si="10"/>
        <v>124.52000000000001</v>
      </c>
      <c r="F661" s="149"/>
      <c r="G661" s="151"/>
      <c r="H661" s="53" t="s">
        <v>834</v>
      </c>
    </row>
    <row r="662" spans="1:8" ht="21.25" customHeight="1" x14ac:dyDescent="0.15">
      <c r="A662" s="8" t="s">
        <v>277</v>
      </c>
      <c r="B662" s="149">
        <v>88.7</v>
      </c>
      <c r="C662" s="149"/>
      <c r="D662" s="149">
        <v>191.9</v>
      </c>
      <c r="E662" s="149">
        <f t="shared" si="10"/>
        <v>140.30000000000001</v>
      </c>
      <c r="F662" s="149"/>
      <c r="G662" s="151"/>
      <c r="H662" s="53" t="s">
        <v>834</v>
      </c>
    </row>
    <row r="663" spans="1:8" ht="21.25" customHeight="1" x14ac:dyDescent="0.15">
      <c r="A663" s="8" t="s">
        <v>746</v>
      </c>
      <c r="B663" s="53" t="s">
        <v>62</v>
      </c>
      <c r="C663" s="149"/>
      <c r="D663" s="149">
        <v>446.9</v>
      </c>
      <c r="E663" s="149">
        <f t="shared" si="10"/>
        <v>446.9</v>
      </c>
      <c r="F663" s="149"/>
      <c r="G663" s="151">
        <v>1800000</v>
      </c>
      <c r="H663" s="53" t="s">
        <v>834</v>
      </c>
    </row>
    <row r="664" spans="1:8" ht="21.25" customHeight="1" x14ac:dyDescent="0.15">
      <c r="A664" s="8" t="s">
        <v>803</v>
      </c>
      <c r="B664" s="53" t="s">
        <v>62</v>
      </c>
      <c r="C664" s="149"/>
      <c r="D664" s="149">
        <v>234.4</v>
      </c>
      <c r="E664" s="149">
        <f t="shared" si="10"/>
        <v>234.4</v>
      </c>
      <c r="F664" s="149"/>
      <c r="G664" s="151">
        <v>837500</v>
      </c>
      <c r="H664" s="53" t="s">
        <v>834</v>
      </c>
    </row>
    <row r="665" spans="1:8" ht="21.25" customHeight="1" x14ac:dyDescent="0.15">
      <c r="A665" s="8" t="s">
        <v>297</v>
      </c>
      <c r="B665" s="149">
        <v>77.5</v>
      </c>
      <c r="C665" s="149"/>
      <c r="D665" s="149">
        <v>168.13</v>
      </c>
      <c r="E665" s="149">
        <f t="shared" si="10"/>
        <v>122.815</v>
      </c>
      <c r="F665" s="51"/>
      <c r="G665" s="151">
        <v>3400000</v>
      </c>
      <c r="H665" s="53" t="s">
        <v>834</v>
      </c>
    </row>
    <row r="666" spans="1:8" ht="21.25" customHeight="1" x14ac:dyDescent="0.15">
      <c r="A666" s="8" t="s">
        <v>721</v>
      </c>
      <c r="B666" s="149">
        <v>172</v>
      </c>
      <c r="C666" s="149"/>
      <c r="D666" s="149">
        <v>384.74</v>
      </c>
      <c r="E666" s="149">
        <f t="shared" si="10"/>
        <v>278.37</v>
      </c>
      <c r="F666" s="149"/>
      <c r="G666" s="151"/>
      <c r="H666" s="53" t="s">
        <v>834</v>
      </c>
    </row>
    <row r="667" spans="1:8" ht="21.25" customHeight="1" x14ac:dyDescent="0.15">
      <c r="A667" s="8" t="s">
        <v>717</v>
      </c>
      <c r="B667" s="149">
        <v>114.3</v>
      </c>
      <c r="C667" s="149"/>
      <c r="D667" s="149">
        <v>449.9</v>
      </c>
      <c r="E667" s="149">
        <f t="shared" si="10"/>
        <v>282.09999999999997</v>
      </c>
      <c r="F667" s="149"/>
      <c r="G667" s="151"/>
      <c r="H667" s="53" t="s">
        <v>60</v>
      </c>
    </row>
    <row r="668" spans="1:8" ht="21.25" customHeight="1" x14ac:dyDescent="0.15">
      <c r="A668" s="8" t="s">
        <v>253</v>
      </c>
      <c r="B668" s="53" t="s">
        <v>62</v>
      </c>
      <c r="C668" s="149"/>
      <c r="D668" s="149">
        <v>214.89</v>
      </c>
      <c r="E668" s="149">
        <f t="shared" si="10"/>
        <v>214.89</v>
      </c>
      <c r="F668" s="149"/>
      <c r="G668" s="151">
        <v>5400000</v>
      </c>
      <c r="H668" s="53" t="s">
        <v>60</v>
      </c>
    </row>
    <row r="669" spans="1:8" ht="21.25" customHeight="1" x14ac:dyDescent="0.15">
      <c r="A669" s="8" t="s">
        <v>647</v>
      </c>
      <c r="B669" s="53" t="s">
        <v>62</v>
      </c>
      <c r="C669" s="149"/>
      <c r="D669" s="53" t="s">
        <v>62</v>
      </c>
      <c r="E669" s="53" t="str">
        <f t="shared" si="10"/>
        <v>—</v>
      </c>
      <c r="F669" s="51"/>
      <c r="G669" s="151"/>
      <c r="H669" s="53" t="s">
        <v>834</v>
      </c>
    </row>
    <row r="670" spans="1:8" ht="21.25" customHeight="1" x14ac:dyDescent="0.15">
      <c r="A670" s="8" t="s">
        <v>212</v>
      </c>
      <c r="B670" s="149">
        <v>136.69999999999999</v>
      </c>
      <c r="C670" s="149"/>
      <c r="D670" s="149">
        <v>175.08</v>
      </c>
      <c r="E670" s="149">
        <f t="shared" si="10"/>
        <v>155.88999999999999</v>
      </c>
      <c r="F670" s="149"/>
      <c r="G670" s="151">
        <v>6000000</v>
      </c>
      <c r="H670" s="53" t="s">
        <v>834</v>
      </c>
    </row>
    <row r="671" spans="1:8" ht="21.25" customHeight="1" x14ac:dyDescent="0.15">
      <c r="A671" s="8" t="s">
        <v>793</v>
      </c>
      <c r="B671" s="53" t="s">
        <v>62</v>
      </c>
      <c r="C671" s="149"/>
      <c r="D671" s="149">
        <v>500.1</v>
      </c>
      <c r="E671" s="149">
        <f t="shared" si="10"/>
        <v>500.1</v>
      </c>
      <c r="F671" s="51"/>
      <c r="G671" s="151"/>
      <c r="H671" s="53" t="s">
        <v>834</v>
      </c>
    </row>
    <row r="672" spans="1:8" ht="21.25" customHeight="1" x14ac:dyDescent="0.15">
      <c r="A672" s="8" t="s">
        <v>818</v>
      </c>
      <c r="B672" s="53" t="s">
        <v>62</v>
      </c>
      <c r="C672" s="149"/>
      <c r="D672" s="149">
        <v>374.85</v>
      </c>
      <c r="E672" s="149">
        <f t="shared" si="10"/>
        <v>374.85</v>
      </c>
      <c r="F672" s="149"/>
      <c r="G672" s="151"/>
      <c r="H672" s="53" t="s">
        <v>834</v>
      </c>
    </row>
    <row r="673" spans="1:8" ht="21.25" customHeight="1" x14ac:dyDescent="0.15">
      <c r="A673" s="8" t="s">
        <v>436</v>
      </c>
      <c r="B673" s="53" t="s">
        <v>62</v>
      </c>
      <c r="C673" s="149"/>
      <c r="D673" s="149">
        <v>502.1</v>
      </c>
      <c r="E673" s="149">
        <f t="shared" si="10"/>
        <v>502.1</v>
      </c>
      <c r="F673" s="149"/>
      <c r="G673" s="151">
        <v>3800000</v>
      </c>
      <c r="H673" s="53" t="s">
        <v>62</v>
      </c>
    </row>
    <row r="674" spans="1:8" ht="21.25" customHeight="1" x14ac:dyDescent="0.15">
      <c r="A674" s="8" t="s">
        <v>475</v>
      </c>
      <c r="B674" s="53" t="s">
        <v>62</v>
      </c>
      <c r="C674" s="149"/>
      <c r="D674" s="53" t="s">
        <v>62</v>
      </c>
      <c r="E674" s="53" t="str">
        <f t="shared" si="10"/>
        <v>—</v>
      </c>
      <c r="F674" s="149"/>
      <c r="G674" s="151"/>
      <c r="H674" s="53" t="s">
        <v>834</v>
      </c>
    </row>
    <row r="675" spans="1:8" ht="21.25" customHeight="1" x14ac:dyDescent="0.15">
      <c r="A675" s="8" t="s">
        <v>152</v>
      </c>
      <c r="B675" s="149">
        <v>25.5</v>
      </c>
      <c r="C675" s="149"/>
      <c r="D675" s="149">
        <v>69.03</v>
      </c>
      <c r="E675" s="149">
        <f t="shared" si="10"/>
        <v>47.265000000000001</v>
      </c>
      <c r="F675" s="51"/>
      <c r="G675" s="151">
        <v>3400000</v>
      </c>
      <c r="H675" s="53" t="s">
        <v>834</v>
      </c>
    </row>
    <row r="676" spans="1:8" ht="21.25" customHeight="1" x14ac:dyDescent="0.15">
      <c r="A676" s="8" t="s">
        <v>667</v>
      </c>
      <c r="B676" s="149">
        <v>184.8</v>
      </c>
      <c r="C676" s="149"/>
      <c r="D676" s="149">
        <v>424.12</v>
      </c>
      <c r="E676" s="149">
        <f t="shared" si="10"/>
        <v>304.46000000000004</v>
      </c>
      <c r="F676" s="149"/>
      <c r="G676" s="151">
        <v>2000000</v>
      </c>
      <c r="H676" s="53" t="s">
        <v>834</v>
      </c>
    </row>
    <row r="677" spans="1:8" ht="21.25" customHeight="1" x14ac:dyDescent="0.15">
      <c r="A677" s="8" t="s">
        <v>124</v>
      </c>
      <c r="B677" s="149">
        <v>20.399999999999999</v>
      </c>
      <c r="C677" s="149"/>
      <c r="D677" s="149">
        <v>63.12</v>
      </c>
      <c r="E677" s="149">
        <f t="shared" si="10"/>
        <v>41.76</v>
      </c>
      <c r="F677" s="149"/>
      <c r="G677" s="151">
        <v>4000000</v>
      </c>
      <c r="H677" s="53" t="s">
        <v>834</v>
      </c>
    </row>
    <row r="678" spans="1:8" ht="21.25" customHeight="1" x14ac:dyDescent="0.15">
      <c r="A678" s="8" t="s">
        <v>758</v>
      </c>
      <c r="B678" s="53" t="s">
        <v>62</v>
      </c>
      <c r="C678" s="149"/>
      <c r="D678" s="53" t="s">
        <v>62</v>
      </c>
      <c r="E678" s="53" t="str">
        <f t="shared" si="10"/>
        <v>—</v>
      </c>
      <c r="F678" s="51"/>
      <c r="G678" s="151">
        <v>1000000</v>
      </c>
      <c r="H678" s="53" t="s">
        <v>834</v>
      </c>
    </row>
    <row r="679" spans="1:8" ht="21.25" customHeight="1" x14ac:dyDescent="0.15">
      <c r="A679" s="8" t="s">
        <v>296</v>
      </c>
      <c r="B679" s="149">
        <v>138.4</v>
      </c>
      <c r="C679" s="149"/>
      <c r="D679" s="149">
        <v>188.75</v>
      </c>
      <c r="E679" s="149">
        <f t="shared" si="10"/>
        <v>163.57499999999999</v>
      </c>
      <c r="F679" s="149"/>
      <c r="G679" s="151">
        <v>4750000</v>
      </c>
      <c r="H679" s="53" t="s">
        <v>834</v>
      </c>
    </row>
    <row r="680" spans="1:8" ht="21.25" customHeight="1" x14ac:dyDescent="0.15">
      <c r="A680" s="8" t="s">
        <v>761</v>
      </c>
      <c r="B680" s="53" t="s">
        <v>62</v>
      </c>
      <c r="C680" s="149"/>
      <c r="D680" s="53" t="s">
        <v>62</v>
      </c>
      <c r="E680" s="53" t="str">
        <f t="shared" si="10"/>
        <v>—</v>
      </c>
      <c r="F680" s="149"/>
      <c r="G680" s="151">
        <v>1500000</v>
      </c>
      <c r="H680" s="53" t="s">
        <v>834</v>
      </c>
    </row>
    <row r="681" spans="1:8" ht="21.25" customHeight="1" x14ac:dyDescent="0.15">
      <c r="A681" s="8" t="s">
        <v>781</v>
      </c>
      <c r="B681" s="53" t="s">
        <v>62</v>
      </c>
      <c r="C681" s="149"/>
      <c r="D681" s="53" t="s">
        <v>62</v>
      </c>
      <c r="E681" s="53" t="str">
        <f t="shared" si="10"/>
        <v>—</v>
      </c>
      <c r="F681" s="149"/>
      <c r="G681" s="151">
        <v>900000</v>
      </c>
      <c r="H681" s="53" t="s">
        <v>834</v>
      </c>
    </row>
    <row r="682" spans="1:8" ht="21.25" customHeight="1" x14ac:dyDescent="0.15">
      <c r="A682" s="8" t="s">
        <v>217</v>
      </c>
      <c r="B682" s="149">
        <v>99.2</v>
      </c>
      <c r="C682" s="149"/>
      <c r="D682" s="149">
        <v>119.5</v>
      </c>
      <c r="E682" s="149">
        <f t="shared" si="10"/>
        <v>109.35</v>
      </c>
      <c r="F682" s="149"/>
      <c r="G682" s="151"/>
      <c r="H682" s="53" t="s">
        <v>834</v>
      </c>
    </row>
    <row r="683" spans="1:8" ht="21.25" customHeight="1" x14ac:dyDescent="0.15">
      <c r="A683" s="8" t="s">
        <v>473</v>
      </c>
      <c r="B683" s="149">
        <v>166.1</v>
      </c>
      <c r="C683" s="149"/>
      <c r="D683" s="149">
        <v>326.62</v>
      </c>
      <c r="E683" s="149">
        <f t="shared" si="10"/>
        <v>246.36</v>
      </c>
      <c r="F683" s="149"/>
      <c r="G683" s="151">
        <v>5000000</v>
      </c>
      <c r="H683" s="53" t="s">
        <v>834</v>
      </c>
    </row>
    <row r="684" spans="1:8" ht="21.25" customHeight="1" x14ac:dyDescent="0.15">
      <c r="A684" s="8" t="s">
        <v>211</v>
      </c>
      <c r="B684" s="149">
        <v>74.7</v>
      </c>
      <c r="C684" s="149"/>
      <c r="D684" s="149">
        <v>167.92</v>
      </c>
      <c r="E684" s="149">
        <f t="shared" si="10"/>
        <v>121.31</v>
      </c>
      <c r="F684" s="149"/>
      <c r="G684" s="151">
        <v>10000000</v>
      </c>
      <c r="H684" s="53" t="s">
        <v>834</v>
      </c>
    </row>
    <row r="685" spans="1:8" ht="21.25" customHeight="1" x14ac:dyDescent="0.15">
      <c r="A685" s="8" t="s">
        <v>788</v>
      </c>
      <c r="B685" s="53" t="s">
        <v>62</v>
      </c>
      <c r="C685" s="149"/>
      <c r="D685" s="53" t="s">
        <v>62</v>
      </c>
      <c r="E685" s="53" t="str">
        <f t="shared" si="10"/>
        <v>—</v>
      </c>
      <c r="F685" s="149"/>
      <c r="G685" s="151">
        <v>1100000</v>
      </c>
      <c r="H685" s="53" t="s">
        <v>834</v>
      </c>
    </row>
    <row r="686" spans="1:8" ht="21.25" customHeight="1" x14ac:dyDescent="0.15">
      <c r="A686" s="8" t="s">
        <v>790</v>
      </c>
      <c r="B686" s="53" t="s">
        <v>62</v>
      </c>
      <c r="C686" s="149"/>
      <c r="D686" s="53" t="s">
        <v>62</v>
      </c>
      <c r="E686" s="53" t="str">
        <f t="shared" si="10"/>
        <v>—</v>
      </c>
      <c r="F686" s="149"/>
      <c r="G686" s="151"/>
      <c r="H686" s="53" t="s">
        <v>834</v>
      </c>
    </row>
    <row r="687" spans="1:8" ht="21.25" customHeight="1" x14ac:dyDescent="0.15">
      <c r="A687" s="8" t="s">
        <v>334</v>
      </c>
      <c r="B687" s="149">
        <v>176.5</v>
      </c>
      <c r="C687" s="149"/>
      <c r="D687" s="149">
        <v>223.74</v>
      </c>
      <c r="E687" s="149">
        <f t="shared" si="10"/>
        <v>200.12</v>
      </c>
      <c r="F687" s="149"/>
      <c r="G687" s="151"/>
      <c r="H687" s="53" t="s">
        <v>834</v>
      </c>
    </row>
    <row r="688" spans="1:8" ht="21.25" customHeight="1" x14ac:dyDescent="0.15">
      <c r="A688" s="8" t="s">
        <v>551</v>
      </c>
      <c r="B688" s="149">
        <v>172.9</v>
      </c>
      <c r="C688" s="149"/>
      <c r="D688" s="149">
        <v>238.16</v>
      </c>
      <c r="E688" s="149">
        <f t="shared" si="10"/>
        <v>205.53</v>
      </c>
      <c r="F688" s="149"/>
      <c r="G688" s="151">
        <v>1000000</v>
      </c>
      <c r="H688" s="53" t="s">
        <v>834</v>
      </c>
    </row>
    <row r="689" spans="1:8" ht="21.25" customHeight="1" x14ac:dyDescent="0.15">
      <c r="A689" s="8" t="s">
        <v>166</v>
      </c>
      <c r="B689" s="149">
        <v>63.5</v>
      </c>
      <c r="C689" s="149"/>
      <c r="D689" s="149">
        <v>145.76</v>
      </c>
      <c r="E689" s="149">
        <f t="shared" si="10"/>
        <v>104.63</v>
      </c>
      <c r="F689" s="149"/>
      <c r="G689" s="151"/>
      <c r="H689" s="53" t="s">
        <v>834</v>
      </c>
    </row>
    <row r="690" spans="1:8" ht="21.25" customHeight="1" x14ac:dyDescent="0.15">
      <c r="A690" s="8" t="s">
        <v>559</v>
      </c>
      <c r="B690" s="149">
        <v>94.9</v>
      </c>
      <c r="C690" s="149"/>
      <c r="D690" s="149">
        <v>222.5</v>
      </c>
      <c r="E690" s="149">
        <f t="shared" si="10"/>
        <v>158.69999999999999</v>
      </c>
      <c r="F690" s="149"/>
      <c r="G690" s="151">
        <v>3500000</v>
      </c>
      <c r="H690" s="53" t="s">
        <v>834</v>
      </c>
    </row>
    <row r="691" spans="1:8" ht="21.25" customHeight="1" x14ac:dyDescent="0.15">
      <c r="A691" s="8" t="s">
        <v>481</v>
      </c>
      <c r="B691" s="149">
        <v>165.3</v>
      </c>
      <c r="C691" s="149"/>
      <c r="D691" s="149">
        <v>403.03</v>
      </c>
      <c r="E691" s="149">
        <f t="shared" si="10"/>
        <v>284.16499999999996</v>
      </c>
      <c r="F691" s="149"/>
      <c r="G691" s="151"/>
      <c r="H691" s="53" t="s">
        <v>834</v>
      </c>
    </row>
    <row r="692" spans="1:8" ht="21.25" customHeight="1" x14ac:dyDescent="0.15">
      <c r="A692" s="8" t="s">
        <v>527</v>
      </c>
      <c r="B692" s="53" t="s">
        <v>62</v>
      </c>
      <c r="C692" s="149"/>
      <c r="D692" s="149">
        <v>248.54</v>
      </c>
      <c r="E692" s="149">
        <f t="shared" si="10"/>
        <v>248.54</v>
      </c>
      <c r="F692" s="149"/>
      <c r="G692" s="151">
        <v>1000000</v>
      </c>
      <c r="H692" s="53" t="s">
        <v>834</v>
      </c>
    </row>
    <row r="693" spans="1:8" ht="21.25" customHeight="1" x14ac:dyDescent="0.15">
      <c r="A693" s="8" t="s">
        <v>816</v>
      </c>
      <c r="B693" s="53" t="s">
        <v>62</v>
      </c>
      <c r="C693" s="149"/>
      <c r="D693" s="53" t="s">
        <v>62</v>
      </c>
      <c r="E693" s="53" t="str">
        <f t="shared" si="10"/>
        <v>—</v>
      </c>
      <c r="F693" s="149"/>
      <c r="G693" s="151">
        <v>1800000</v>
      </c>
      <c r="H693" s="53" t="s">
        <v>834</v>
      </c>
    </row>
    <row r="694" spans="1:8" ht="21.25" customHeight="1" x14ac:dyDescent="0.15">
      <c r="A694" s="8" t="s">
        <v>280</v>
      </c>
      <c r="B694" s="149">
        <v>80.7</v>
      </c>
      <c r="C694" s="149"/>
      <c r="D694" s="149">
        <v>144.84</v>
      </c>
      <c r="E694" s="149">
        <f t="shared" si="10"/>
        <v>112.77000000000001</v>
      </c>
      <c r="F694" s="149"/>
      <c r="G694" s="151">
        <v>3400000</v>
      </c>
      <c r="H694" s="53" t="s">
        <v>834</v>
      </c>
    </row>
    <row r="695" spans="1:8" ht="21.25" customHeight="1" x14ac:dyDescent="0.15">
      <c r="A695" s="8" t="s">
        <v>373</v>
      </c>
      <c r="B695" s="149">
        <v>160.4</v>
      </c>
      <c r="C695" s="149"/>
      <c r="D695" s="149">
        <v>222.23</v>
      </c>
      <c r="E695" s="149">
        <f t="shared" si="10"/>
        <v>191.315</v>
      </c>
      <c r="F695" s="149"/>
      <c r="G695" s="151"/>
      <c r="H695" s="53" t="s">
        <v>60</v>
      </c>
    </row>
    <row r="696" spans="1:8" ht="21.25" customHeight="1" x14ac:dyDescent="0.15">
      <c r="A696" s="8" t="s">
        <v>134</v>
      </c>
      <c r="B696" s="149">
        <v>49.5</v>
      </c>
      <c r="C696" s="149"/>
      <c r="D696" s="149">
        <v>59.21</v>
      </c>
      <c r="E696" s="149">
        <f t="shared" si="10"/>
        <v>54.355000000000004</v>
      </c>
      <c r="F696" s="149"/>
      <c r="G696" s="151">
        <v>5000000</v>
      </c>
      <c r="H696" s="53" t="s">
        <v>62</v>
      </c>
    </row>
    <row r="697" spans="1:8" ht="21.25" customHeight="1" x14ac:dyDescent="0.15">
      <c r="A697" s="8" t="s">
        <v>810</v>
      </c>
      <c r="B697" s="53" t="s">
        <v>62</v>
      </c>
      <c r="C697" s="149"/>
      <c r="D697" s="53" t="s">
        <v>62</v>
      </c>
      <c r="E697" s="53" t="str">
        <f t="shared" si="10"/>
        <v>—</v>
      </c>
      <c r="F697" s="149"/>
      <c r="G697" s="151"/>
      <c r="H697" s="53" t="s">
        <v>834</v>
      </c>
    </row>
    <row r="698" spans="1:8" ht="21.25" customHeight="1" x14ac:dyDescent="0.15">
      <c r="A698" s="8" t="s">
        <v>122</v>
      </c>
      <c r="B698" s="149">
        <v>15.5</v>
      </c>
      <c r="C698" s="149"/>
      <c r="D698" s="149">
        <v>65.900000000000006</v>
      </c>
      <c r="E698" s="149">
        <f t="shared" si="10"/>
        <v>40.700000000000003</v>
      </c>
      <c r="F698" s="149"/>
      <c r="G698" s="151">
        <v>4000000</v>
      </c>
      <c r="H698" s="53" t="s">
        <v>834</v>
      </c>
    </row>
    <row r="699" spans="1:8" ht="21.25" customHeight="1" x14ac:dyDescent="0.15">
      <c r="A699" s="8" t="s">
        <v>741</v>
      </c>
      <c r="B699" s="53" t="s">
        <v>62</v>
      </c>
      <c r="C699" s="149"/>
      <c r="D699" s="53" t="s">
        <v>62</v>
      </c>
      <c r="E699" s="53" t="str">
        <f t="shared" si="10"/>
        <v>—</v>
      </c>
      <c r="F699" s="149"/>
      <c r="G699" s="151">
        <v>2750000</v>
      </c>
      <c r="H699" s="53" t="s">
        <v>834</v>
      </c>
    </row>
    <row r="700" spans="1:8" ht="21.25" customHeight="1" x14ac:dyDescent="0.15">
      <c r="A700" s="8" t="s">
        <v>123</v>
      </c>
      <c r="B700" s="149">
        <v>14.2</v>
      </c>
      <c r="C700" s="149"/>
      <c r="D700" s="149">
        <v>51.33</v>
      </c>
      <c r="E700" s="149">
        <f t="shared" si="10"/>
        <v>32.765000000000001</v>
      </c>
      <c r="F700" s="149"/>
      <c r="G700" s="151">
        <v>5666667</v>
      </c>
      <c r="H700" s="53" t="s">
        <v>60</v>
      </c>
    </row>
    <row r="701" spans="1:8" ht="21.25" customHeight="1" x14ac:dyDescent="0.15">
      <c r="A701" s="8" t="s">
        <v>707</v>
      </c>
      <c r="B701" s="53" t="s">
        <v>62</v>
      </c>
      <c r="C701" s="149"/>
      <c r="D701" s="53" t="s">
        <v>62</v>
      </c>
      <c r="E701" s="53" t="str">
        <f t="shared" si="10"/>
        <v>—</v>
      </c>
      <c r="F701" s="149"/>
      <c r="G701" s="151"/>
      <c r="H701" s="53" t="s">
        <v>834</v>
      </c>
    </row>
    <row r="702" spans="1:8" ht="21.25" customHeight="1" x14ac:dyDescent="0.15">
      <c r="A702" s="8" t="s">
        <v>287</v>
      </c>
      <c r="B702" s="149">
        <v>91.4</v>
      </c>
      <c r="C702" s="149"/>
      <c r="D702" s="149">
        <v>178.36</v>
      </c>
      <c r="E702" s="149">
        <f t="shared" si="10"/>
        <v>134.88</v>
      </c>
      <c r="F702" s="149"/>
      <c r="G702" s="151"/>
      <c r="H702" s="53" t="s">
        <v>834</v>
      </c>
    </row>
    <row r="703" spans="1:8" ht="21.25" customHeight="1" x14ac:dyDescent="0.15">
      <c r="A703" s="8" t="s">
        <v>410</v>
      </c>
      <c r="B703" s="53" t="s">
        <v>62</v>
      </c>
      <c r="C703" s="149"/>
      <c r="D703" s="149">
        <v>449.67</v>
      </c>
      <c r="E703" s="149">
        <f t="shared" si="10"/>
        <v>449.67</v>
      </c>
      <c r="F703" s="149"/>
      <c r="G703" s="151">
        <v>2750000</v>
      </c>
      <c r="H703" s="53" t="s">
        <v>834</v>
      </c>
    </row>
    <row r="704" spans="1:8" ht="21.25" customHeight="1" x14ac:dyDescent="0.15">
      <c r="A704" s="8" t="s">
        <v>266</v>
      </c>
      <c r="B704" s="149">
        <v>130</v>
      </c>
      <c r="C704" s="149"/>
      <c r="D704" s="149">
        <v>186.88</v>
      </c>
      <c r="E704" s="149">
        <f t="shared" si="10"/>
        <v>158.44</v>
      </c>
      <c r="F704" s="149"/>
      <c r="G704" s="151">
        <v>3979000</v>
      </c>
      <c r="H704" s="53" t="s">
        <v>62</v>
      </c>
    </row>
    <row r="705" spans="1:8" ht="21.25" customHeight="1" x14ac:dyDescent="0.15">
      <c r="A705" s="8" t="s">
        <v>710</v>
      </c>
      <c r="B705" s="53" t="s">
        <v>62</v>
      </c>
      <c r="C705" s="149"/>
      <c r="D705" s="53" t="s">
        <v>62</v>
      </c>
      <c r="E705" s="53" t="str">
        <f t="shared" si="10"/>
        <v>—</v>
      </c>
      <c r="F705" s="149"/>
      <c r="G705" s="151">
        <v>5000000</v>
      </c>
      <c r="H705" s="53" t="s">
        <v>834</v>
      </c>
    </row>
    <row r="706" spans="1:8" ht="21.25" customHeight="1" x14ac:dyDescent="0.15">
      <c r="A706" s="8" t="s">
        <v>831</v>
      </c>
      <c r="B706" s="53" t="s">
        <v>62</v>
      </c>
      <c r="C706" s="149"/>
      <c r="D706" s="53" t="s">
        <v>62</v>
      </c>
      <c r="E706" s="53" t="str">
        <f t="shared" ref="E706:E769" si="11">IFERROR(AVERAGE(B706:D706),"—")</f>
        <v>—</v>
      </c>
      <c r="F706" s="149"/>
      <c r="G706" s="151">
        <v>775000</v>
      </c>
      <c r="H706" s="53" t="s">
        <v>834</v>
      </c>
    </row>
    <row r="707" spans="1:8" ht="21.25" customHeight="1" x14ac:dyDescent="0.15">
      <c r="A707" s="8" t="s">
        <v>168</v>
      </c>
      <c r="B707" s="149">
        <v>91.3</v>
      </c>
      <c r="C707" s="149"/>
      <c r="D707" s="149">
        <v>139.96</v>
      </c>
      <c r="E707" s="149">
        <f t="shared" si="11"/>
        <v>115.63</v>
      </c>
      <c r="F707" s="149"/>
      <c r="G707" s="151"/>
      <c r="H707" s="53" t="s">
        <v>834</v>
      </c>
    </row>
    <row r="708" spans="1:8" ht="21.25" customHeight="1" x14ac:dyDescent="0.15">
      <c r="A708" s="8" t="s">
        <v>663</v>
      </c>
      <c r="B708" s="53" t="s">
        <v>62</v>
      </c>
      <c r="C708" s="149"/>
      <c r="D708" s="53" t="s">
        <v>62</v>
      </c>
      <c r="E708" s="53" t="str">
        <f t="shared" si="11"/>
        <v>—</v>
      </c>
      <c r="F708" s="149"/>
      <c r="G708" s="151">
        <v>1500000</v>
      </c>
      <c r="H708" s="53" t="s">
        <v>834</v>
      </c>
    </row>
    <row r="709" spans="1:8" ht="21.25" customHeight="1" x14ac:dyDescent="0.15">
      <c r="A709" s="8" t="s">
        <v>281</v>
      </c>
      <c r="B709" s="149">
        <v>160.9</v>
      </c>
      <c r="C709" s="149"/>
      <c r="D709" s="149">
        <v>205.53</v>
      </c>
      <c r="E709" s="149">
        <f t="shared" si="11"/>
        <v>183.215</v>
      </c>
      <c r="F709" s="149"/>
      <c r="G709" s="151">
        <v>5900000</v>
      </c>
      <c r="H709" s="53" t="s">
        <v>60</v>
      </c>
    </row>
    <row r="710" spans="1:8" ht="21.25" customHeight="1" x14ac:dyDescent="0.15">
      <c r="A710" s="8" t="s">
        <v>763</v>
      </c>
      <c r="B710" s="53" t="s">
        <v>62</v>
      </c>
      <c r="C710" s="149"/>
      <c r="D710" s="53" t="s">
        <v>62</v>
      </c>
      <c r="E710" s="53" t="str">
        <f t="shared" si="11"/>
        <v>—</v>
      </c>
      <c r="F710" s="149"/>
      <c r="G710" s="151"/>
      <c r="H710" s="53" t="s">
        <v>834</v>
      </c>
    </row>
    <row r="711" spans="1:8" ht="21.25" customHeight="1" x14ac:dyDescent="0.15">
      <c r="A711" s="8" t="s">
        <v>805</v>
      </c>
      <c r="B711" s="53" t="s">
        <v>62</v>
      </c>
      <c r="C711" s="149"/>
      <c r="D711" s="53" t="s">
        <v>62</v>
      </c>
      <c r="E711" s="53" t="str">
        <f t="shared" si="11"/>
        <v>—</v>
      </c>
      <c r="F711" s="149"/>
      <c r="G711" s="151">
        <v>3500000</v>
      </c>
      <c r="H711" s="53" t="s">
        <v>834</v>
      </c>
    </row>
    <row r="712" spans="1:8" ht="21.25" customHeight="1" x14ac:dyDescent="0.15">
      <c r="A712" s="8" t="s">
        <v>341</v>
      </c>
      <c r="B712" s="53" t="s">
        <v>62</v>
      </c>
      <c r="C712" s="149"/>
      <c r="D712" s="53" t="s">
        <v>62</v>
      </c>
      <c r="E712" s="53" t="str">
        <f t="shared" si="11"/>
        <v>—</v>
      </c>
      <c r="F712" s="149"/>
      <c r="G712" s="151">
        <v>2750000</v>
      </c>
      <c r="H712" s="53" t="s">
        <v>62</v>
      </c>
    </row>
    <row r="713" spans="1:8" ht="21.25" customHeight="1" x14ac:dyDescent="0.15">
      <c r="A713" s="8" t="s">
        <v>557</v>
      </c>
      <c r="B713" s="53" t="s">
        <v>62</v>
      </c>
      <c r="C713" s="149"/>
      <c r="D713" s="53" t="s">
        <v>62</v>
      </c>
      <c r="E713" s="53" t="str">
        <f t="shared" si="11"/>
        <v>—</v>
      </c>
      <c r="F713" s="149"/>
      <c r="G713" s="151">
        <v>2350000</v>
      </c>
      <c r="H713" s="53" t="s">
        <v>834</v>
      </c>
    </row>
    <row r="714" spans="1:8" ht="21.25" customHeight="1" x14ac:dyDescent="0.15">
      <c r="A714" s="8" t="s">
        <v>203</v>
      </c>
      <c r="B714" s="149">
        <v>167.6</v>
      </c>
      <c r="C714" s="149"/>
      <c r="D714" s="149">
        <v>217.81</v>
      </c>
      <c r="E714" s="149">
        <f t="shared" si="11"/>
        <v>192.70499999999998</v>
      </c>
      <c r="F714" s="149"/>
      <c r="G714" s="151">
        <v>6000000</v>
      </c>
      <c r="H714" s="53" t="s">
        <v>62</v>
      </c>
    </row>
    <row r="715" spans="1:8" ht="21.25" customHeight="1" x14ac:dyDescent="0.15">
      <c r="A715" s="8" t="s">
        <v>756</v>
      </c>
      <c r="B715" s="53" t="s">
        <v>62</v>
      </c>
      <c r="C715" s="149"/>
      <c r="D715" s="149">
        <v>416.73</v>
      </c>
      <c r="E715" s="149">
        <f t="shared" si="11"/>
        <v>416.73</v>
      </c>
      <c r="F715" s="149"/>
      <c r="G715" s="151"/>
      <c r="H715" s="53" t="s">
        <v>834</v>
      </c>
    </row>
    <row r="716" spans="1:8" ht="21.25" customHeight="1" x14ac:dyDescent="0.15">
      <c r="A716" s="8" t="s">
        <v>120</v>
      </c>
      <c r="B716" s="149">
        <v>19.3</v>
      </c>
      <c r="C716" s="149"/>
      <c r="D716" s="149">
        <v>51.77</v>
      </c>
      <c r="E716" s="149">
        <f t="shared" si="11"/>
        <v>35.535000000000004</v>
      </c>
      <c r="F716" s="149"/>
      <c r="G716" s="151">
        <v>9500000</v>
      </c>
      <c r="H716" s="53" t="s">
        <v>834</v>
      </c>
    </row>
    <row r="717" spans="1:8" ht="21.25" customHeight="1" x14ac:dyDescent="0.15">
      <c r="A717" s="8" t="s">
        <v>782</v>
      </c>
      <c r="B717" s="53" t="s">
        <v>62</v>
      </c>
      <c r="C717" s="149"/>
      <c r="D717" s="53" t="s">
        <v>62</v>
      </c>
      <c r="E717" s="53" t="str">
        <f t="shared" si="11"/>
        <v>—</v>
      </c>
      <c r="F717" s="149"/>
      <c r="G717" s="151"/>
      <c r="H717" s="53" t="s">
        <v>834</v>
      </c>
    </row>
    <row r="718" spans="1:8" ht="21.25" customHeight="1" x14ac:dyDescent="0.15">
      <c r="A718" s="8" t="s">
        <v>220</v>
      </c>
      <c r="B718" s="149">
        <v>81.099999999999994</v>
      </c>
      <c r="C718" s="149"/>
      <c r="D718" s="149">
        <v>133.76</v>
      </c>
      <c r="E718" s="149">
        <f t="shared" si="11"/>
        <v>107.42999999999999</v>
      </c>
      <c r="F718" s="149"/>
      <c r="G718" s="151"/>
      <c r="H718" s="53" t="s">
        <v>834</v>
      </c>
    </row>
    <row r="719" spans="1:8" ht="21.25" customHeight="1" x14ac:dyDescent="0.15">
      <c r="A719" s="8" t="s">
        <v>635</v>
      </c>
      <c r="B719" s="149">
        <v>169.9</v>
      </c>
      <c r="C719" s="149"/>
      <c r="D719" s="149">
        <v>315.77999999999997</v>
      </c>
      <c r="E719" s="149">
        <f t="shared" si="11"/>
        <v>242.83999999999997</v>
      </c>
      <c r="F719" s="149"/>
      <c r="G719" s="151"/>
      <c r="H719" s="53" t="s">
        <v>834</v>
      </c>
    </row>
    <row r="720" spans="1:8" ht="21.25" customHeight="1" x14ac:dyDescent="0.15">
      <c r="A720" s="8" t="s">
        <v>827</v>
      </c>
      <c r="B720" s="53" t="s">
        <v>62</v>
      </c>
      <c r="C720" s="149"/>
      <c r="D720" s="53" t="s">
        <v>62</v>
      </c>
      <c r="E720" s="53" t="str">
        <f t="shared" si="11"/>
        <v>—</v>
      </c>
      <c r="F720" s="149"/>
      <c r="G720" s="151">
        <v>4687500</v>
      </c>
      <c r="H720" s="53" t="s">
        <v>834</v>
      </c>
    </row>
    <row r="721" spans="1:8" ht="21.25" customHeight="1" x14ac:dyDescent="0.15">
      <c r="A721" s="8" t="s">
        <v>155</v>
      </c>
      <c r="B721" s="149">
        <v>96.4</v>
      </c>
      <c r="C721" s="149"/>
      <c r="D721" s="149">
        <v>120.87</v>
      </c>
      <c r="E721" s="149">
        <f t="shared" si="11"/>
        <v>108.63500000000001</v>
      </c>
      <c r="F721" s="149"/>
      <c r="G721" s="151">
        <v>5000000</v>
      </c>
      <c r="H721" s="53" t="s">
        <v>60</v>
      </c>
    </row>
    <row r="722" spans="1:8" ht="21.25" customHeight="1" x14ac:dyDescent="0.15">
      <c r="A722" s="8" t="s">
        <v>764</v>
      </c>
      <c r="B722" s="53" t="s">
        <v>62</v>
      </c>
      <c r="C722" s="149"/>
      <c r="D722" s="53" t="s">
        <v>62</v>
      </c>
      <c r="E722" s="53" t="str">
        <f t="shared" si="11"/>
        <v>—</v>
      </c>
      <c r="F722" s="149"/>
      <c r="G722" s="151">
        <v>762500</v>
      </c>
      <c r="H722" s="53" t="s">
        <v>834</v>
      </c>
    </row>
    <row r="723" spans="1:8" ht="21.25" customHeight="1" x14ac:dyDescent="0.15">
      <c r="A723" s="8" t="s">
        <v>207</v>
      </c>
      <c r="B723" s="149">
        <v>152.80000000000001</v>
      </c>
      <c r="C723" s="149"/>
      <c r="D723" s="149">
        <v>196.77</v>
      </c>
      <c r="E723" s="149">
        <f t="shared" si="11"/>
        <v>174.78500000000003</v>
      </c>
      <c r="F723" s="149"/>
      <c r="G723" s="151"/>
      <c r="H723" s="53" t="s">
        <v>60</v>
      </c>
    </row>
    <row r="724" spans="1:8" ht="21.25" customHeight="1" x14ac:dyDescent="0.15">
      <c r="A724" s="8" t="s">
        <v>417</v>
      </c>
      <c r="B724" s="149">
        <v>162.19999999999999</v>
      </c>
      <c r="C724" s="149"/>
      <c r="D724" s="149">
        <v>186.24</v>
      </c>
      <c r="E724" s="149">
        <f t="shared" si="11"/>
        <v>174.22</v>
      </c>
      <c r="F724" s="149"/>
      <c r="G724" s="151">
        <v>766667</v>
      </c>
      <c r="H724" s="53" t="s">
        <v>834</v>
      </c>
    </row>
    <row r="725" spans="1:8" ht="21.25" customHeight="1" x14ac:dyDescent="0.15">
      <c r="A725" s="8" t="s">
        <v>128</v>
      </c>
      <c r="B725" s="149">
        <v>30.9</v>
      </c>
      <c r="C725" s="149"/>
      <c r="D725" s="149">
        <v>73.819999999999993</v>
      </c>
      <c r="E725" s="149">
        <f t="shared" si="11"/>
        <v>52.36</v>
      </c>
      <c r="F725" s="149"/>
      <c r="G725" s="151">
        <v>6166666</v>
      </c>
      <c r="H725" s="53" t="s">
        <v>834</v>
      </c>
    </row>
    <row r="726" spans="1:8" ht="21.25" customHeight="1" x14ac:dyDescent="0.15">
      <c r="A726" s="8" t="s">
        <v>777</v>
      </c>
      <c r="B726" s="53" t="s">
        <v>62</v>
      </c>
      <c r="C726" s="149"/>
      <c r="D726" s="149">
        <v>465.9</v>
      </c>
      <c r="E726" s="149">
        <f t="shared" si="11"/>
        <v>465.9</v>
      </c>
      <c r="F726" s="149"/>
      <c r="G726" s="151">
        <v>1750000</v>
      </c>
      <c r="H726" s="53" t="s">
        <v>834</v>
      </c>
    </row>
    <row r="727" spans="1:8" ht="21.25" customHeight="1" x14ac:dyDescent="0.15">
      <c r="A727" s="8" t="s">
        <v>193</v>
      </c>
      <c r="B727" s="149">
        <v>100.7</v>
      </c>
      <c r="C727" s="149"/>
      <c r="D727" s="149">
        <v>137.25</v>
      </c>
      <c r="E727" s="149">
        <f t="shared" si="11"/>
        <v>118.97499999999999</v>
      </c>
      <c r="F727" s="149"/>
      <c r="G727" s="151">
        <v>5250000</v>
      </c>
      <c r="H727" s="53" t="s">
        <v>62</v>
      </c>
    </row>
    <row r="728" spans="1:8" ht="21.25" customHeight="1" x14ac:dyDescent="0.15">
      <c r="A728" s="8" t="s">
        <v>682</v>
      </c>
      <c r="B728" s="53" t="s">
        <v>62</v>
      </c>
      <c r="C728" s="149"/>
      <c r="D728" s="53" t="s">
        <v>62</v>
      </c>
      <c r="E728" s="53" t="str">
        <f t="shared" si="11"/>
        <v>—</v>
      </c>
      <c r="F728" s="149"/>
      <c r="G728" s="151">
        <v>1100000</v>
      </c>
      <c r="H728" s="53" t="s">
        <v>834</v>
      </c>
    </row>
  </sheetData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E734"/>
  <sheetViews>
    <sheetView showGridLines="0" workbookViewId="0">
      <pane xSplit="1" ySplit="2" topLeftCell="B3" activePane="bottomRight" state="frozen"/>
      <selection pane="topRight"/>
      <selection pane="bottomLeft"/>
      <selection pane="bottomRight" activeCell="B3" sqref="B3"/>
    </sheetView>
  </sheetViews>
  <sheetFormatPr baseColWidth="10" defaultColWidth="8" defaultRowHeight="16.25" customHeight="1" x14ac:dyDescent="0.15"/>
  <cols>
    <col min="1" max="1" width="28.33203125" style="1" customWidth="1"/>
    <col min="2" max="4" width="7.1640625" style="1" customWidth="1"/>
    <col min="5" max="22" width="8.33203125" style="1" customWidth="1"/>
    <col min="23" max="23" width="2.33203125" style="1" customWidth="1"/>
    <col min="24" max="28" width="7.1640625" style="1" customWidth="1"/>
    <col min="29" max="31" width="8.33203125" style="1" customWidth="1"/>
    <col min="32" max="32" width="8" style="1" customWidth="1"/>
    <col min="33" max="16384" width="8" style="1"/>
  </cols>
  <sheetData>
    <row r="1" spans="1:31" ht="21.25" customHeight="1" x14ac:dyDescent="0.2">
      <c r="A1" s="152"/>
      <c r="B1" s="153"/>
      <c r="C1" s="153"/>
      <c r="D1" s="153"/>
      <c r="E1" s="154"/>
      <c r="F1" s="177" t="s">
        <v>866</v>
      </c>
      <c r="G1" s="178"/>
      <c r="H1" s="178"/>
      <c r="I1" s="178"/>
      <c r="J1" s="178"/>
      <c r="K1" s="178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53"/>
      <c r="X1" s="177" t="s">
        <v>867</v>
      </c>
      <c r="Y1" s="178"/>
      <c r="Z1" s="178"/>
      <c r="AA1" s="178"/>
      <c r="AB1" s="178"/>
      <c r="AC1" s="178"/>
      <c r="AD1" s="178"/>
      <c r="AE1" s="178"/>
    </row>
    <row r="2" spans="1:31" ht="21.25" customHeight="1" x14ac:dyDescent="0.15">
      <c r="A2" s="2" t="s">
        <v>868</v>
      </c>
      <c r="B2" s="3" t="s">
        <v>854</v>
      </c>
      <c r="C2" s="3" t="s">
        <v>869</v>
      </c>
      <c r="D2" s="3" t="s">
        <v>3</v>
      </c>
      <c r="E2" s="155" t="s">
        <v>79</v>
      </c>
      <c r="F2" s="155" t="s">
        <v>80</v>
      </c>
      <c r="G2" s="155" t="s">
        <v>81</v>
      </c>
      <c r="H2" s="155" t="s">
        <v>82</v>
      </c>
      <c r="I2" s="155" t="s">
        <v>83</v>
      </c>
      <c r="J2" s="155" t="s">
        <v>84</v>
      </c>
      <c r="K2" s="155" t="s">
        <v>85</v>
      </c>
      <c r="L2" s="155" t="s">
        <v>86</v>
      </c>
      <c r="M2" s="155" t="s">
        <v>87</v>
      </c>
      <c r="N2" s="155" t="s">
        <v>88</v>
      </c>
      <c r="O2" s="155" t="s">
        <v>89</v>
      </c>
      <c r="P2" s="155" t="s">
        <v>90</v>
      </c>
      <c r="Q2" s="155" t="s">
        <v>91</v>
      </c>
      <c r="R2" s="155" t="s">
        <v>92</v>
      </c>
      <c r="S2" s="155" t="s">
        <v>93</v>
      </c>
      <c r="T2" s="155" t="s">
        <v>94</v>
      </c>
      <c r="U2" s="155" t="s">
        <v>95</v>
      </c>
      <c r="V2" s="155" t="s">
        <v>96</v>
      </c>
      <c r="W2" s="156"/>
      <c r="X2" s="155" t="s">
        <v>79</v>
      </c>
      <c r="Y2" s="155" t="s">
        <v>97</v>
      </c>
      <c r="Z2" s="155" t="s">
        <v>98</v>
      </c>
      <c r="AA2" s="155" t="s">
        <v>99</v>
      </c>
      <c r="AB2" s="155" t="s">
        <v>100</v>
      </c>
      <c r="AC2" s="155" t="s">
        <v>101</v>
      </c>
      <c r="AD2" s="155" t="s">
        <v>103</v>
      </c>
      <c r="AE2" s="155" t="s">
        <v>102</v>
      </c>
    </row>
    <row r="3" spans="1:31" ht="21.25" customHeight="1" x14ac:dyDescent="0.15">
      <c r="A3" s="8" t="s">
        <v>105</v>
      </c>
      <c r="B3" s="157" t="s">
        <v>870</v>
      </c>
      <c r="C3" s="158">
        <v>26</v>
      </c>
      <c r="D3" s="157" t="s">
        <v>857</v>
      </c>
      <c r="E3" s="59">
        <v>81.754999999999995</v>
      </c>
      <c r="F3" s="159">
        <v>22.290784001524401</v>
      </c>
      <c r="G3" s="160">
        <v>0.66470296253743399</v>
      </c>
      <c r="H3" s="160">
        <v>1.0670385172016601</v>
      </c>
      <c r="I3" s="160">
        <v>1.7317414797391</v>
      </c>
      <c r="J3" s="160">
        <v>4.0781079057747398</v>
      </c>
      <c r="K3" s="160">
        <v>0.19830587247602199</v>
      </c>
      <c r="L3" s="160">
        <v>0.72681097655332205</v>
      </c>
      <c r="M3" s="160">
        <v>2.3430990196619001E-2</v>
      </c>
      <c r="N3" s="160">
        <v>5.0922494296601097E-2</v>
      </c>
      <c r="O3" s="160">
        <v>0.44922700474956601</v>
      </c>
      <c r="P3" s="160">
        <v>1.01328079407684</v>
      </c>
      <c r="Q3" s="160">
        <v>0.134208014375894</v>
      </c>
      <c r="R3" s="160">
        <v>0.44165875517429098</v>
      </c>
      <c r="S3" s="160">
        <v>0.105215342969303</v>
      </c>
      <c r="T3" s="160">
        <v>6.4244611876209801</v>
      </c>
      <c r="U3" s="160">
        <v>5.90579824186457</v>
      </c>
      <c r="V3" s="160">
        <v>0.521032118128679</v>
      </c>
      <c r="W3" s="160"/>
      <c r="X3" s="59"/>
      <c r="Y3" s="159"/>
      <c r="Z3" s="159"/>
      <c r="AA3" s="159"/>
      <c r="AB3" s="159"/>
      <c r="AC3" s="159"/>
      <c r="AD3" s="161"/>
      <c r="AE3" s="160"/>
    </row>
    <row r="4" spans="1:31" ht="21.25" customHeight="1" x14ac:dyDescent="0.15">
      <c r="A4" s="8" t="s">
        <v>107</v>
      </c>
      <c r="B4" s="157" t="s">
        <v>870</v>
      </c>
      <c r="C4" s="158">
        <v>27</v>
      </c>
      <c r="D4" s="157" t="s">
        <v>857</v>
      </c>
      <c r="E4" s="59">
        <v>81.400000000000006</v>
      </c>
      <c r="F4" s="159">
        <v>21.669641814024398</v>
      </c>
      <c r="G4" s="160">
        <v>0.63391566745313899</v>
      </c>
      <c r="H4" s="160">
        <v>0.84607840118265598</v>
      </c>
      <c r="I4" s="160">
        <v>1.47999406863579</v>
      </c>
      <c r="J4" s="160">
        <v>3.1404053026785399</v>
      </c>
      <c r="K4" s="160">
        <v>0.336369049674766</v>
      </c>
      <c r="L4" s="160">
        <v>0.64708018662936295</v>
      </c>
      <c r="M4" s="160">
        <v>8.2178947553465196E-3</v>
      </c>
      <c r="N4" s="160">
        <v>1.2809317239200899E-2</v>
      </c>
      <c r="O4" s="160">
        <v>0.43335035060781701</v>
      </c>
      <c r="P4" s="160">
        <v>0.75736670993522104</v>
      </c>
      <c r="Q4" s="160">
        <v>8.5875790886145997E-2</v>
      </c>
      <c r="R4" s="160">
        <v>0.40096150832355998</v>
      </c>
      <c r="S4" s="160">
        <v>0.10034204467825</v>
      </c>
      <c r="T4" s="160">
        <v>10.114710699488301</v>
      </c>
      <c r="U4" s="160">
        <v>8.4511874316622997</v>
      </c>
      <c r="V4" s="160">
        <v>0.54480050617736797</v>
      </c>
      <c r="W4" s="160"/>
      <c r="X4" s="59"/>
      <c r="Y4" s="159"/>
      <c r="Z4" s="159"/>
      <c r="AA4" s="159"/>
      <c r="AB4" s="159"/>
      <c r="AC4" s="159"/>
      <c r="AD4" s="161"/>
      <c r="AE4" s="160"/>
    </row>
    <row r="5" spans="1:31" ht="21.25" customHeight="1" x14ac:dyDescent="0.15">
      <c r="A5" s="8" t="s">
        <v>108</v>
      </c>
      <c r="B5" s="157" t="s">
        <v>871</v>
      </c>
      <c r="C5" s="158">
        <v>27</v>
      </c>
      <c r="D5" s="157" t="s">
        <v>857</v>
      </c>
      <c r="E5" s="59">
        <v>76.568571428571403</v>
      </c>
      <c r="F5" s="159">
        <v>22.202629980880701</v>
      </c>
      <c r="G5" s="160">
        <v>0.539962176742944</v>
      </c>
      <c r="H5" s="160">
        <v>0.92326100732182104</v>
      </c>
      <c r="I5" s="160">
        <v>1.46322318406477</v>
      </c>
      <c r="J5" s="160">
        <v>4.8844764294609604</v>
      </c>
      <c r="K5" s="160">
        <v>0.14913957886925999</v>
      </c>
      <c r="L5" s="160">
        <v>0.45189067124216598</v>
      </c>
      <c r="M5" s="160">
        <v>4.5679314889127598E-4</v>
      </c>
      <c r="N5" s="160">
        <v>8.3424200672444599E-4</v>
      </c>
      <c r="O5" s="160">
        <v>0.56695524566738298</v>
      </c>
      <c r="P5" s="160">
        <v>0.83450809286737004</v>
      </c>
      <c r="Q5" s="160">
        <v>0.117919883446337</v>
      </c>
      <c r="R5" s="160">
        <v>0.54093502712444796</v>
      </c>
      <c r="S5" s="160">
        <v>8.5430151830398496E-2</v>
      </c>
      <c r="T5" s="160">
        <v>7.0476614913495998</v>
      </c>
      <c r="U5" s="160">
        <v>8.4532584450505492</v>
      </c>
      <c r="V5" s="160">
        <v>0.45466085369552001</v>
      </c>
      <c r="W5" s="160"/>
      <c r="X5" s="59"/>
      <c r="Y5" s="159"/>
      <c r="Z5" s="159"/>
      <c r="AA5" s="159"/>
      <c r="AB5" s="159"/>
      <c r="AC5" s="159"/>
      <c r="AD5" s="161"/>
      <c r="AE5" s="160"/>
    </row>
    <row r="6" spans="1:31" ht="21.25" customHeight="1" x14ac:dyDescent="0.15">
      <c r="A6" s="8" t="s">
        <v>110</v>
      </c>
      <c r="B6" s="157" t="s">
        <v>872</v>
      </c>
      <c r="C6" s="158">
        <v>30</v>
      </c>
      <c r="D6" s="157" t="s">
        <v>859</v>
      </c>
      <c r="E6" s="59">
        <v>79.7</v>
      </c>
      <c r="F6" s="159">
        <v>20.126276658841501</v>
      </c>
      <c r="G6" s="160">
        <v>0.400972965804545</v>
      </c>
      <c r="H6" s="160">
        <v>0.92340943192464298</v>
      </c>
      <c r="I6" s="160">
        <v>1.32438239772918</v>
      </c>
      <c r="J6" s="160">
        <v>3.2929678936452298</v>
      </c>
      <c r="K6" s="160">
        <v>0.114662146223862</v>
      </c>
      <c r="L6" s="160">
        <v>0.54523448154059295</v>
      </c>
      <c r="M6" s="160">
        <v>5.49885325503995E-5</v>
      </c>
      <c r="N6" s="160">
        <v>1.01784868424512E-4</v>
      </c>
      <c r="O6" s="160">
        <v>0.32367395366517199</v>
      </c>
      <c r="P6" s="160">
        <v>0.73099310361830705</v>
      </c>
      <c r="Q6" s="160">
        <v>1.9443479959802602E-2</v>
      </c>
      <c r="R6" s="160">
        <v>0.45990348638468997</v>
      </c>
      <c r="S6" s="160">
        <v>6.2752414802091705E-2</v>
      </c>
      <c r="T6" s="160">
        <v>2.40731671945521E-2</v>
      </c>
      <c r="U6" s="160">
        <v>0</v>
      </c>
      <c r="V6" s="160">
        <v>1</v>
      </c>
      <c r="W6" s="160"/>
      <c r="X6" s="59"/>
      <c r="Y6" s="159"/>
      <c r="Z6" s="159"/>
      <c r="AA6" s="159"/>
      <c r="AB6" s="159"/>
      <c r="AC6" s="159"/>
      <c r="AD6" s="161"/>
      <c r="AE6" s="160"/>
    </row>
    <row r="7" spans="1:31" ht="21.25" customHeight="1" x14ac:dyDescent="0.15">
      <c r="A7" s="8" t="s">
        <v>111</v>
      </c>
      <c r="B7" s="157" t="s">
        <v>873</v>
      </c>
      <c r="C7" s="158">
        <v>25</v>
      </c>
      <c r="D7" s="157" t="s">
        <v>858</v>
      </c>
      <c r="E7" s="59">
        <v>81.497500000000002</v>
      </c>
      <c r="F7" s="159">
        <v>20.124918332980801</v>
      </c>
      <c r="G7" s="160">
        <v>0.50542640168152297</v>
      </c>
      <c r="H7" s="160">
        <v>0.81251934589344099</v>
      </c>
      <c r="I7" s="160">
        <v>1.3179457475749601</v>
      </c>
      <c r="J7" s="160">
        <v>3.7641250026730102</v>
      </c>
      <c r="K7" s="160">
        <v>0.16360567997657799</v>
      </c>
      <c r="L7" s="160">
        <v>0.43119433900766702</v>
      </c>
      <c r="M7" s="160">
        <v>1.2043582017721001E-3</v>
      </c>
      <c r="N7" s="160">
        <v>7.8747627004292203E-3</v>
      </c>
      <c r="O7" s="160">
        <v>0.358855869907655</v>
      </c>
      <c r="P7" s="160">
        <v>1.02447662192177</v>
      </c>
      <c r="Q7" s="160">
        <v>0.138695096157918</v>
      </c>
      <c r="R7" s="160">
        <v>0.88539494560563703</v>
      </c>
      <c r="S7" s="160">
        <v>7.2504570190123505E-2</v>
      </c>
      <c r="T7" s="160">
        <v>0.167690997590941</v>
      </c>
      <c r="U7" s="160">
        <v>0.20428016385682601</v>
      </c>
      <c r="V7" s="160">
        <v>0.45081720028580602</v>
      </c>
      <c r="W7" s="160"/>
      <c r="X7" s="59"/>
      <c r="Y7" s="159"/>
      <c r="Z7" s="159"/>
      <c r="AA7" s="159"/>
      <c r="AB7" s="159"/>
      <c r="AC7" s="159"/>
      <c r="AD7" s="161"/>
      <c r="AE7" s="160"/>
    </row>
    <row r="8" spans="1:31" ht="21.25" customHeight="1" x14ac:dyDescent="0.15">
      <c r="A8" s="8" t="s">
        <v>112</v>
      </c>
      <c r="B8" s="157" t="s">
        <v>871</v>
      </c>
      <c r="C8" s="158">
        <v>26</v>
      </c>
      <c r="D8" s="157" t="s">
        <v>859</v>
      </c>
      <c r="E8" s="59">
        <v>80.481785714285706</v>
      </c>
      <c r="F8" s="159">
        <v>22.092966611852098</v>
      </c>
      <c r="G8" s="160">
        <v>0.59904602655631101</v>
      </c>
      <c r="H8" s="160">
        <v>0.68693915000599404</v>
      </c>
      <c r="I8" s="160">
        <v>1.2859851765623</v>
      </c>
      <c r="J8" s="160">
        <v>3.6654191528212201</v>
      </c>
      <c r="K8" s="160">
        <v>0.168901813456176</v>
      </c>
      <c r="L8" s="160">
        <v>0.44397398964113999</v>
      </c>
      <c r="M8" s="160">
        <v>1.95576976994777E-4</v>
      </c>
      <c r="N8" s="160">
        <v>3.5680726222967699E-4</v>
      </c>
      <c r="O8" s="160">
        <v>0.52085001865409397</v>
      </c>
      <c r="P8" s="160">
        <v>0.880525063828273</v>
      </c>
      <c r="Q8" s="160">
        <v>0.107477182944184</v>
      </c>
      <c r="R8" s="160">
        <v>0.73113735969954097</v>
      </c>
      <c r="S8" s="160">
        <v>9.4778107071869802E-2</v>
      </c>
      <c r="T8" s="160">
        <v>2.4328219968634599</v>
      </c>
      <c r="U8" s="160">
        <v>2.60558190254832</v>
      </c>
      <c r="V8" s="160">
        <v>0.48285569109445398</v>
      </c>
      <c r="W8" s="160"/>
      <c r="X8" s="59"/>
      <c r="Y8" s="159"/>
      <c r="Z8" s="159"/>
      <c r="AA8" s="159"/>
      <c r="AB8" s="159"/>
      <c r="AC8" s="159"/>
      <c r="AD8" s="161"/>
      <c r="AE8" s="160"/>
    </row>
    <row r="9" spans="1:31" ht="21.25" customHeight="1" x14ac:dyDescent="0.15">
      <c r="A9" s="8" t="s">
        <v>113</v>
      </c>
      <c r="B9" s="157" t="s">
        <v>874</v>
      </c>
      <c r="C9" s="158">
        <v>25</v>
      </c>
      <c r="D9" s="157" t="s">
        <v>857</v>
      </c>
      <c r="E9" s="59">
        <v>78.786785714285699</v>
      </c>
      <c r="F9" s="159">
        <v>20.3388111305526</v>
      </c>
      <c r="G9" s="160">
        <v>0.65344992770655597</v>
      </c>
      <c r="H9" s="160">
        <v>0.61888633380541203</v>
      </c>
      <c r="I9" s="160">
        <v>1.27233626151196</v>
      </c>
      <c r="J9" s="160">
        <v>4.3494526535861704</v>
      </c>
      <c r="K9" s="160">
        <v>0.19662521147480999</v>
      </c>
      <c r="L9" s="160">
        <v>0.39179554103005398</v>
      </c>
      <c r="M9" s="160">
        <v>2.3251469123687299E-4</v>
      </c>
      <c r="N9" s="160">
        <v>4.2427713619747E-4</v>
      </c>
      <c r="O9" s="160">
        <v>1.03682662991779</v>
      </c>
      <c r="P9" s="160">
        <v>0.97319855586169302</v>
      </c>
      <c r="Q9" s="160">
        <v>0.15017975160879601</v>
      </c>
      <c r="R9" s="160">
        <v>0.28325295211780199</v>
      </c>
      <c r="S9" s="160">
        <v>0.1049765572017</v>
      </c>
      <c r="T9" s="160">
        <v>7.9229404313137399</v>
      </c>
      <c r="U9" s="160">
        <v>6.8201550835447096</v>
      </c>
      <c r="V9" s="160">
        <v>0.53740006115600403</v>
      </c>
      <c r="W9" s="160"/>
      <c r="X9" s="59"/>
      <c r="Y9" s="159"/>
      <c r="Z9" s="159"/>
      <c r="AA9" s="159"/>
      <c r="AB9" s="159"/>
      <c r="AC9" s="159"/>
      <c r="AD9" s="161"/>
      <c r="AE9" s="160"/>
    </row>
    <row r="10" spans="1:31" ht="21.25" customHeight="1" x14ac:dyDescent="0.15">
      <c r="A10" s="8" t="s">
        <v>118</v>
      </c>
      <c r="B10" s="157" t="s">
        <v>874</v>
      </c>
      <c r="C10" s="158">
        <v>26</v>
      </c>
      <c r="D10" s="157" t="s">
        <v>859</v>
      </c>
      <c r="E10" s="59">
        <v>80.153571428571396</v>
      </c>
      <c r="F10" s="159">
        <v>21.310741285327701</v>
      </c>
      <c r="G10" s="160">
        <v>0.41319674691416602</v>
      </c>
      <c r="H10" s="160">
        <v>0.84613514014602698</v>
      </c>
      <c r="I10" s="160">
        <v>1.2593318870601999</v>
      </c>
      <c r="J10" s="160">
        <v>2.6716831180429401</v>
      </c>
      <c r="K10" s="160">
        <v>9.5735703180701806E-2</v>
      </c>
      <c r="L10" s="160">
        <v>0.41295440732774003</v>
      </c>
      <c r="M10" s="160">
        <v>3.3151103892498E-2</v>
      </c>
      <c r="N10" s="160">
        <v>4.9860051294150498E-2</v>
      </c>
      <c r="O10" s="160">
        <v>0.54314302913051804</v>
      </c>
      <c r="P10" s="160">
        <v>0.77302551056431601</v>
      </c>
      <c r="Q10" s="160">
        <v>0.11605438852038601</v>
      </c>
      <c r="R10" s="160">
        <v>0.34228172550728703</v>
      </c>
      <c r="S10" s="160">
        <v>6.6379947565730194E-2</v>
      </c>
      <c r="T10" s="160">
        <v>2.8471942321456799E-2</v>
      </c>
      <c r="U10" s="160">
        <v>5.36988820230744E-2</v>
      </c>
      <c r="V10" s="160">
        <v>0.34649697807676599</v>
      </c>
      <c r="W10" s="160"/>
      <c r="X10" s="59"/>
      <c r="Y10" s="159"/>
      <c r="Z10" s="159"/>
      <c r="AA10" s="159"/>
      <c r="AB10" s="159"/>
      <c r="AC10" s="159"/>
      <c r="AD10" s="161"/>
      <c r="AE10" s="160"/>
    </row>
    <row r="11" spans="1:31" ht="21.25" customHeight="1" x14ac:dyDescent="0.15">
      <c r="A11" s="8" t="s">
        <v>115</v>
      </c>
      <c r="B11" s="157" t="s">
        <v>875</v>
      </c>
      <c r="C11" s="158">
        <v>26</v>
      </c>
      <c r="D11" s="157" t="s">
        <v>858</v>
      </c>
      <c r="E11" s="59">
        <v>79.400000000000006</v>
      </c>
      <c r="F11" s="159">
        <v>21.038403996787402</v>
      </c>
      <c r="G11" s="160">
        <v>0.59455241333903697</v>
      </c>
      <c r="H11" s="160">
        <v>0.63961579528530699</v>
      </c>
      <c r="I11" s="160">
        <v>1.23416820862434</v>
      </c>
      <c r="J11" s="160">
        <v>3.7672094858016001</v>
      </c>
      <c r="K11" s="160">
        <v>0.212000843804034</v>
      </c>
      <c r="L11" s="160">
        <v>0.41630938751677299</v>
      </c>
      <c r="M11" s="160">
        <v>1.80652633333373E-4</v>
      </c>
      <c r="N11" s="160">
        <v>3.2959301583574102E-4</v>
      </c>
      <c r="O11" s="160">
        <v>0.418113718945746</v>
      </c>
      <c r="P11" s="160">
        <v>0.94470279320417805</v>
      </c>
      <c r="Q11" s="160">
        <v>5.5203495199820103E-2</v>
      </c>
      <c r="R11" s="160">
        <v>0.47472764456626698</v>
      </c>
      <c r="S11" s="160">
        <v>9.5471095381452306E-2</v>
      </c>
      <c r="T11" s="160">
        <v>5.2591741810157397E-2</v>
      </c>
      <c r="U11" s="160">
        <v>7.5301638942808696E-2</v>
      </c>
      <c r="V11" s="160">
        <v>0.41121551014232399</v>
      </c>
      <c r="W11" s="160"/>
      <c r="X11" s="59"/>
      <c r="Y11" s="159"/>
      <c r="Z11" s="159"/>
      <c r="AA11" s="159"/>
      <c r="AB11" s="159"/>
      <c r="AC11" s="159"/>
      <c r="AD11" s="161"/>
      <c r="AE11" s="160"/>
    </row>
    <row r="12" spans="1:31" ht="21.25" customHeight="1" x14ac:dyDescent="0.15">
      <c r="A12" s="8" t="s">
        <v>114</v>
      </c>
      <c r="B12" s="157" t="s">
        <v>876</v>
      </c>
      <c r="C12" s="158">
        <v>22</v>
      </c>
      <c r="D12" s="157" t="s">
        <v>877</v>
      </c>
      <c r="E12" s="59">
        <v>78.48</v>
      </c>
      <c r="F12" s="159">
        <v>20.361061936919601</v>
      </c>
      <c r="G12" s="160">
        <v>0.52895923785474896</v>
      </c>
      <c r="H12" s="160">
        <v>0.70321689163596102</v>
      </c>
      <c r="I12" s="160">
        <v>1.2321761294907101</v>
      </c>
      <c r="J12" s="160">
        <v>3.9862530421229598</v>
      </c>
      <c r="K12" s="160">
        <v>0.12872845912396999</v>
      </c>
      <c r="L12" s="160">
        <v>0.38666434503505498</v>
      </c>
      <c r="M12" s="160">
        <v>3.9745641135778803E-4</v>
      </c>
      <c r="N12" s="160">
        <v>7.2247225726279E-4</v>
      </c>
      <c r="O12" s="160">
        <v>0.38068550033423199</v>
      </c>
      <c r="P12" s="160">
        <v>0.22112765894448799</v>
      </c>
      <c r="Q12" s="160">
        <v>1.41071069074745E-2</v>
      </c>
      <c r="R12" s="160">
        <v>0.13987376395832399</v>
      </c>
      <c r="S12" s="160">
        <v>7.78578299095041E-2</v>
      </c>
      <c r="T12" s="160">
        <v>2.4007278461549602</v>
      </c>
      <c r="U12" s="160">
        <v>4.4317231427464003</v>
      </c>
      <c r="V12" s="160">
        <v>0.35137139659760502</v>
      </c>
      <c r="W12" s="160"/>
      <c r="X12" s="59"/>
      <c r="Y12" s="159"/>
      <c r="Z12" s="159"/>
      <c r="AA12" s="159"/>
      <c r="AB12" s="159"/>
      <c r="AC12" s="159"/>
      <c r="AD12" s="161"/>
      <c r="AE12" s="160"/>
    </row>
    <row r="13" spans="1:31" ht="21.25" customHeight="1" x14ac:dyDescent="0.15">
      <c r="A13" s="8" t="s">
        <v>117</v>
      </c>
      <c r="B13" s="157" t="s">
        <v>878</v>
      </c>
      <c r="C13" s="158">
        <v>24</v>
      </c>
      <c r="D13" s="157" t="s">
        <v>858</v>
      </c>
      <c r="E13" s="59">
        <v>80.197857142857103</v>
      </c>
      <c r="F13" s="159">
        <v>18.8333642730564</v>
      </c>
      <c r="G13" s="160">
        <v>0.54035400063435102</v>
      </c>
      <c r="H13" s="160">
        <v>0.68937148805904602</v>
      </c>
      <c r="I13" s="160">
        <v>1.2297254886933999</v>
      </c>
      <c r="J13" s="160">
        <v>3.5344198316465998</v>
      </c>
      <c r="K13" s="160">
        <v>0.15963477145996299</v>
      </c>
      <c r="L13" s="160">
        <v>0.422733319986623</v>
      </c>
      <c r="M13" s="160">
        <v>5.4464177335702301E-5</v>
      </c>
      <c r="N13" s="160">
        <v>9.9151248455841797E-5</v>
      </c>
      <c r="O13" s="160">
        <v>0.28087107699042302</v>
      </c>
      <c r="P13" s="160">
        <v>0.71954447569100199</v>
      </c>
      <c r="Q13" s="160">
        <v>0.13817947143916301</v>
      </c>
      <c r="R13" s="160">
        <v>0.31256072267392598</v>
      </c>
      <c r="S13" s="160">
        <v>8.6452809502558903E-2</v>
      </c>
      <c r="T13" s="160">
        <v>2.6324152992769799E-3</v>
      </c>
      <c r="U13" s="160">
        <v>2.0377541615978E-2</v>
      </c>
      <c r="V13" s="160">
        <v>0.11440331283418199</v>
      </c>
      <c r="W13" s="160"/>
      <c r="X13" s="59"/>
      <c r="Y13" s="159"/>
      <c r="Z13" s="159"/>
      <c r="AA13" s="159"/>
      <c r="AB13" s="159"/>
      <c r="AC13" s="159"/>
      <c r="AD13" s="161"/>
      <c r="AE13" s="160"/>
    </row>
    <row r="14" spans="1:31" ht="21.25" customHeight="1" x14ac:dyDescent="0.15">
      <c r="A14" s="8" t="s">
        <v>109</v>
      </c>
      <c r="B14" s="157" t="s">
        <v>879</v>
      </c>
      <c r="C14" s="158">
        <v>27</v>
      </c>
      <c r="D14" s="157" t="s">
        <v>859</v>
      </c>
      <c r="E14" s="59">
        <v>79.483571428571395</v>
      </c>
      <c r="F14" s="159">
        <v>19.436139692225598</v>
      </c>
      <c r="G14" s="160">
        <v>0.62029570879192297</v>
      </c>
      <c r="H14" s="160">
        <v>0.59853862835043203</v>
      </c>
      <c r="I14" s="160">
        <v>1.21883433714235</v>
      </c>
      <c r="J14" s="160">
        <v>4.5996844827450598</v>
      </c>
      <c r="K14" s="160">
        <v>0.19307263307679101</v>
      </c>
      <c r="L14" s="160">
        <v>0.39564761956401201</v>
      </c>
      <c r="M14" s="160">
        <v>3.8467938624866502E-4</v>
      </c>
      <c r="N14" s="160">
        <v>7.0151698557376204E-4</v>
      </c>
      <c r="O14" s="160">
        <v>0.36527417004442903</v>
      </c>
      <c r="P14" s="160">
        <v>1.04286877737004</v>
      </c>
      <c r="Q14" s="160">
        <v>8.6599044113392795E-2</v>
      </c>
      <c r="R14" s="160">
        <v>0.428751183695952</v>
      </c>
      <c r="S14" s="160">
        <v>0.104135442470948</v>
      </c>
      <c r="T14" s="160">
        <v>8.6071688124988402E-2</v>
      </c>
      <c r="U14" s="160">
        <v>0.147166184965727</v>
      </c>
      <c r="V14" s="160">
        <v>0.369029639073719</v>
      </c>
      <c r="W14" s="160"/>
      <c r="X14" s="59"/>
      <c r="Y14" s="159"/>
      <c r="Z14" s="159"/>
      <c r="AA14" s="159"/>
      <c r="AB14" s="159"/>
      <c r="AC14" s="159"/>
      <c r="AD14" s="161"/>
      <c r="AE14" s="160"/>
    </row>
    <row r="15" spans="1:31" ht="21.25" customHeight="1" x14ac:dyDescent="0.15">
      <c r="A15" s="8" t="s">
        <v>137</v>
      </c>
      <c r="B15" s="157" t="s">
        <v>880</v>
      </c>
      <c r="C15" s="158">
        <v>31</v>
      </c>
      <c r="D15" s="157" t="s">
        <v>858</v>
      </c>
      <c r="E15" s="59">
        <v>78.56</v>
      </c>
      <c r="F15" s="159">
        <v>19.635147641958799</v>
      </c>
      <c r="G15" s="160">
        <v>0.33768172480993203</v>
      </c>
      <c r="H15" s="160">
        <v>0.83123804927902301</v>
      </c>
      <c r="I15" s="160">
        <v>1.1689197740889501</v>
      </c>
      <c r="J15" s="160">
        <v>2.5289326469515498</v>
      </c>
      <c r="K15" s="160">
        <v>9.5436804505396697E-2</v>
      </c>
      <c r="L15" s="160">
        <v>0.429820573070609</v>
      </c>
      <c r="M15" s="160">
        <v>9.5370464006046303E-5</v>
      </c>
      <c r="N15" s="160">
        <v>1.7803313587025699E-4</v>
      </c>
      <c r="O15" s="160">
        <v>0.18079075372587</v>
      </c>
      <c r="P15" s="160">
        <v>0.35109428954854399</v>
      </c>
      <c r="Q15" s="160">
        <v>7.1270937762535999E-2</v>
      </c>
      <c r="R15" s="160">
        <v>0.31601421199423801</v>
      </c>
      <c r="S15" s="160">
        <v>5.7540335329718403E-2</v>
      </c>
      <c r="T15" s="160">
        <v>6.3727868692288497E-2</v>
      </c>
      <c r="U15" s="160">
        <v>0.12585599016343699</v>
      </c>
      <c r="V15" s="160">
        <v>0.33614606790331197</v>
      </c>
      <c r="W15" s="160"/>
      <c r="X15" s="59"/>
      <c r="Y15" s="159"/>
      <c r="Z15" s="159"/>
      <c r="AA15" s="159"/>
      <c r="AB15" s="159"/>
      <c r="AC15" s="159"/>
      <c r="AD15" s="161"/>
      <c r="AE15" s="160"/>
    </row>
    <row r="16" spans="1:31" ht="21.25" customHeight="1" x14ac:dyDescent="0.15">
      <c r="A16" s="8" t="s">
        <v>141</v>
      </c>
      <c r="B16" s="157" t="s">
        <v>873</v>
      </c>
      <c r="C16" s="158">
        <v>27</v>
      </c>
      <c r="D16" s="157" t="s">
        <v>857</v>
      </c>
      <c r="E16" s="59">
        <v>76.603928571428597</v>
      </c>
      <c r="F16" s="159">
        <v>20.775562191900601</v>
      </c>
      <c r="G16" s="160">
        <v>0.43296775984115998</v>
      </c>
      <c r="H16" s="160">
        <v>0.73139713745062895</v>
      </c>
      <c r="I16" s="160">
        <v>1.1643648972917899</v>
      </c>
      <c r="J16" s="160">
        <v>3.1154160760412801</v>
      </c>
      <c r="K16" s="160">
        <v>0.133630430624157</v>
      </c>
      <c r="L16" s="160">
        <v>0.38725399016485401</v>
      </c>
      <c r="M16" s="160">
        <v>2.70007502207022E-2</v>
      </c>
      <c r="N16" s="160">
        <v>3.9413876757117002E-2</v>
      </c>
      <c r="O16" s="160">
        <v>0.66872314674795896</v>
      </c>
      <c r="P16" s="160">
        <v>0.78587436722895199</v>
      </c>
      <c r="Q16" s="160">
        <v>7.4996829851073199E-2</v>
      </c>
      <c r="R16" s="160">
        <v>0.24991227850559</v>
      </c>
      <c r="S16" s="160">
        <v>6.2110212741210501E-2</v>
      </c>
      <c r="T16" s="160">
        <v>10.731902381541399</v>
      </c>
      <c r="U16" s="160">
        <v>8.5662577012680696</v>
      </c>
      <c r="V16" s="160">
        <v>0.55611013358217598</v>
      </c>
      <c r="W16" s="160"/>
      <c r="X16" s="59"/>
      <c r="Y16" s="159"/>
      <c r="Z16" s="159"/>
      <c r="AA16" s="159"/>
      <c r="AB16" s="159"/>
      <c r="AC16" s="159"/>
      <c r="AD16" s="161"/>
      <c r="AE16" s="160"/>
    </row>
    <row r="17" spans="1:31" ht="21.25" customHeight="1" x14ac:dyDescent="0.15">
      <c r="A17" s="8" t="s">
        <v>125</v>
      </c>
      <c r="B17" s="157" t="s">
        <v>881</v>
      </c>
      <c r="C17" s="158">
        <v>25</v>
      </c>
      <c r="D17" s="157" t="s">
        <v>857</v>
      </c>
      <c r="E17" s="59">
        <v>78.489999999999995</v>
      </c>
      <c r="F17" s="159">
        <v>19.796520986965199</v>
      </c>
      <c r="G17" s="160">
        <v>0.59113695056132298</v>
      </c>
      <c r="H17" s="160">
        <v>0.571171998778783</v>
      </c>
      <c r="I17" s="160">
        <v>1.16230894934011</v>
      </c>
      <c r="J17" s="160">
        <v>3.9165199719493402</v>
      </c>
      <c r="K17" s="160">
        <v>0.237327069970488</v>
      </c>
      <c r="L17" s="160">
        <v>0.40922545907749402</v>
      </c>
      <c r="M17" s="160">
        <v>6.0097062500150903E-3</v>
      </c>
      <c r="N17" s="160">
        <v>6.6304756284615001E-3</v>
      </c>
      <c r="O17" s="160">
        <v>0.36521605056963302</v>
      </c>
      <c r="P17" s="160">
        <v>0.81642711550031999</v>
      </c>
      <c r="Q17" s="160">
        <v>-8.3030472653380701E-3</v>
      </c>
      <c r="R17" s="160">
        <v>0.49159903035682101</v>
      </c>
      <c r="S17" s="160">
        <v>7.6178827447229105E-2</v>
      </c>
      <c r="T17" s="160">
        <v>4.3628680693507604</v>
      </c>
      <c r="U17" s="160">
        <v>6.5326347037106496</v>
      </c>
      <c r="V17" s="160">
        <v>0.40042833820736901</v>
      </c>
      <c r="W17" s="160"/>
      <c r="X17" s="59"/>
      <c r="Y17" s="159"/>
      <c r="Z17" s="159"/>
      <c r="AA17" s="159"/>
      <c r="AB17" s="159"/>
      <c r="AC17" s="159"/>
      <c r="AD17" s="161"/>
      <c r="AE17" s="160"/>
    </row>
    <row r="18" spans="1:31" ht="21.25" customHeight="1" x14ac:dyDescent="0.15">
      <c r="A18" s="8" t="s">
        <v>140</v>
      </c>
      <c r="B18" s="157" t="s">
        <v>882</v>
      </c>
      <c r="C18" s="158">
        <v>24</v>
      </c>
      <c r="D18" s="157" t="s">
        <v>857</v>
      </c>
      <c r="E18" s="59">
        <v>77.007142857142895</v>
      </c>
      <c r="F18" s="159">
        <v>20.2319840625</v>
      </c>
      <c r="G18" s="160">
        <v>0.46621743266922699</v>
      </c>
      <c r="H18" s="160">
        <v>0.64754942425985895</v>
      </c>
      <c r="I18" s="160">
        <v>1.1137668569290899</v>
      </c>
      <c r="J18" s="160">
        <v>3.0281724203007299</v>
      </c>
      <c r="K18" s="160">
        <v>0.11143939909488999</v>
      </c>
      <c r="L18" s="160">
        <v>0.31807515524254498</v>
      </c>
      <c r="M18" s="160">
        <v>2.80994279900698E-2</v>
      </c>
      <c r="N18" s="160">
        <v>5.9247835614924402E-2</v>
      </c>
      <c r="O18" s="160">
        <v>0.89796341586239004</v>
      </c>
      <c r="P18" s="160">
        <v>0.85502868219749395</v>
      </c>
      <c r="Q18" s="160">
        <v>3.2242344679745599E-2</v>
      </c>
      <c r="R18" s="160">
        <v>0.22877498931046</v>
      </c>
      <c r="S18" s="160">
        <v>6.5997576104886699E-2</v>
      </c>
      <c r="T18" s="160">
        <v>4.9699777479228704</v>
      </c>
      <c r="U18" s="160">
        <v>6.2509929864725198</v>
      </c>
      <c r="V18" s="160">
        <v>0.44291869799539801</v>
      </c>
      <c r="W18" s="160"/>
      <c r="X18" s="59"/>
      <c r="Y18" s="159"/>
      <c r="Z18" s="159"/>
      <c r="AA18" s="159"/>
      <c r="AB18" s="159"/>
      <c r="AC18" s="159"/>
      <c r="AD18" s="161"/>
      <c r="AE18" s="160"/>
    </row>
    <row r="19" spans="1:31" ht="21.25" customHeight="1" x14ac:dyDescent="0.15">
      <c r="A19" s="8" t="s">
        <v>147</v>
      </c>
      <c r="B19" s="157" t="s">
        <v>883</v>
      </c>
      <c r="C19" s="158">
        <v>36</v>
      </c>
      <c r="D19" s="157" t="s">
        <v>857</v>
      </c>
      <c r="E19" s="59">
        <v>80.096071428571406</v>
      </c>
      <c r="F19" s="159">
        <v>20.013263798018301</v>
      </c>
      <c r="G19" s="160">
        <v>0.38956969053177698</v>
      </c>
      <c r="H19" s="160">
        <v>0.69999928339442097</v>
      </c>
      <c r="I19" s="160">
        <v>1.0895689739262</v>
      </c>
      <c r="J19" s="160">
        <v>3.0600471995656</v>
      </c>
      <c r="K19" s="160">
        <v>0.106263807301058</v>
      </c>
      <c r="L19" s="160">
        <v>0.35817198517967902</v>
      </c>
      <c r="M19" s="160">
        <v>2.6613722186056302E-4</v>
      </c>
      <c r="N19" s="160">
        <v>4.9615615926026197E-4</v>
      </c>
      <c r="O19" s="160">
        <v>0.54861098019137899</v>
      </c>
      <c r="P19" s="160">
        <v>0.81111746328946099</v>
      </c>
      <c r="Q19" s="160">
        <v>6.5589022532279606E-2</v>
      </c>
      <c r="R19" s="160">
        <v>0.44500406922746499</v>
      </c>
      <c r="S19" s="160">
        <v>6.1999768057019303E-2</v>
      </c>
      <c r="T19" s="160">
        <v>11.7437662420626</v>
      </c>
      <c r="U19" s="160">
        <v>10.459543491341501</v>
      </c>
      <c r="V19" s="160">
        <v>0.52891962428441397</v>
      </c>
      <c r="W19" s="160"/>
      <c r="X19" s="59"/>
      <c r="Y19" s="159"/>
      <c r="Z19" s="159"/>
      <c r="AA19" s="159"/>
      <c r="AB19" s="159"/>
      <c r="AC19" s="159"/>
      <c r="AD19" s="161"/>
      <c r="AE19" s="160"/>
    </row>
    <row r="20" spans="1:31" ht="21.25" customHeight="1" x14ac:dyDescent="0.15">
      <c r="A20" s="8" t="s">
        <v>150</v>
      </c>
      <c r="B20" s="157" t="s">
        <v>884</v>
      </c>
      <c r="C20" s="158">
        <v>30</v>
      </c>
      <c r="D20" s="157" t="s">
        <v>858</v>
      </c>
      <c r="E20" s="59">
        <v>81.674999999999997</v>
      </c>
      <c r="F20" s="159">
        <v>19.5911503528963</v>
      </c>
      <c r="G20" s="160">
        <v>0.354017733682359</v>
      </c>
      <c r="H20" s="160">
        <v>0.73158593959365104</v>
      </c>
      <c r="I20" s="160">
        <v>1.0856036732760099</v>
      </c>
      <c r="J20" s="160">
        <v>2.84296039343866</v>
      </c>
      <c r="K20" s="160">
        <v>6.7705906561198001E-2</v>
      </c>
      <c r="L20" s="160">
        <v>0.30700853787464399</v>
      </c>
      <c r="M20" s="160">
        <v>8.0972521615052593E-5</v>
      </c>
      <c r="N20" s="160">
        <v>1.49932068244545E-4</v>
      </c>
      <c r="O20" s="160">
        <v>0.22077299831882699</v>
      </c>
      <c r="P20" s="160">
        <v>0.14759898394103299</v>
      </c>
      <c r="Q20" s="160">
        <v>-3.2574573353255497E-2</v>
      </c>
      <c r="R20" s="160">
        <v>0.26269808166916198</v>
      </c>
      <c r="S20" s="160">
        <v>3.7935437642456799E-2</v>
      </c>
      <c r="T20" s="160">
        <v>1.43183313495698E-3</v>
      </c>
      <c r="U20" s="160">
        <v>2.4480728531039398E-3</v>
      </c>
      <c r="V20" s="160">
        <v>0.36903810024339501</v>
      </c>
      <c r="W20" s="160"/>
      <c r="X20" s="59"/>
      <c r="Y20" s="159"/>
      <c r="Z20" s="159"/>
      <c r="AA20" s="159"/>
      <c r="AB20" s="159"/>
      <c r="AC20" s="159"/>
      <c r="AD20" s="161"/>
      <c r="AE20" s="160"/>
    </row>
    <row r="21" spans="1:31" ht="21.25" customHeight="1" x14ac:dyDescent="0.15">
      <c r="A21" s="8" t="s">
        <v>159</v>
      </c>
      <c r="B21" s="157" t="s">
        <v>872</v>
      </c>
      <c r="C21" s="158">
        <v>33</v>
      </c>
      <c r="D21" s="157" t="s">
        <v>857</v>
      </c>
      <c r="E21" s="59">
        <v>79.400000000000006</v>
      </c>
      <c r="F21" s="159">
        <v>18.999190690615599</v>
      </c>
      <c r="G21" s="160">
        <v>0.43125028227115902</v>
      </c>
      <c r="H21" s="160">
        <v>0.65359673672767105</v>
      </c>
      <c r="I21" s="160">
        <v>1.08484701899883</v>
      </c>
      <c r="J21" s="160">
        <v>2.9536468485703802</v>
      </c>
      <c r="K21" s="160">
        <v>0.16886014159222801</v>
      </c>
      <c r="L21" s="160">
        <v>0.40694284315253798</v>
      </c>
      <c r="M21" s="160">
        <v>7.5739882730621599E-4</v>
      </c>
      <c r="N21" s="160">
        <v>2.6544877599946298E-3</v>
      </c>
      <c r="O21" s="160">
        <v>0.54054316824958404</v>
      </c>
      <c r="P21" s="160">
        <v>1.1270446723904399</v>
      </c>
      <c r="Q21" s="160">
        <v>1.5919725113542098E-2</v>
      </c>
      <c r="R21" s="160">
        <v>0.505738344619302</v>
      </c>
      <c r="S21" s="160">
        <v>6.7490825827370898E-2</v>
      </c>
      <c r="T21" s="160">
        <v>6.2707419777722597</v>
      </c>
      <c r="U21" s="160">
        <v>5.5241730687994899</v>
      </c>
      <c r="V21" s="160">
        <v>0.53164791378424403</v>
      </c>
      <c r="W21" s="160"/>
      <c r="X21" s="59"/>
      <c r="Y21" s="159"/>
      <c r="Z21" s="159"/>
      <c r="AA21" s="159"/>
      <c r="AB21" s="159"/>
      <c r="AC21" s="159"/>
      <c r="AD21" s="161"/>
      <c r="AE21" s="160"/>
    </row>
    <row r="22" spans="1:31" ht="21.25" customHeight="1" x14ac:dyDescent="0.15">
      <c r="A22" s="8" t="s">
        <v>169</v>
      </c>
      <c r="B22" s="157" t="s">
        <v>885</v>
      </c>
      <c r="C22" s="158">
        <v>28</v>
      </c>
      <c r="D22" s="157" t="s">
        <v>858</v>
      </c>
      <c r="E22" s="59">
        <v>78.400000000000006</v>
      </c>
      <c r="F22" s="159">
        <v>20.309462079894299</v>
      </c>
      <c r="G22" s="160">
        <v>0.425984045440578</v>
      </c>
      <c r="H22" s="160">
        <v>0.65622522452489895</v>
      </c>
      <c r="I22" s="160">
        <v>1.0822092699654799</v>
      </c>
      <c r="J22" s="160">
        <v>2.3705026956681099</v>
      </c>
      <c r="K22" s="160">
        <v>0.117581525151962</v>
      </c>
      <c r="L22" s="160">
        <v>0.31565593442881101</v>
      </c>
      <c r="M22" s="160">
        <v>8.7944229189560203E-3</v>
      </c>
      <c r="N22" s="160">
        <v>3.3983755036220503E-2</v>
      </c>
      <c r="O22" s="160">
        <v>0.37715611374247199</v>
      </c>
      <c r="P22" s="160">
        <v>0.90331550699191498</v>
      </c>
      <c r="Q22" s="160">
        <v>-1.4764063546156101E-3</v>
      </c>
      <c r="R22" s="160">
        <v>0.46290521213993302</v>
      </c>
      <c r="S22" s="160">
        <v>4.9019147754156001E-2</v>
      </c>
      <c r="T22" s="160">
        <v>0.79529147807906297</v>
      </c>
      <c r="U22" s="160">
        <v>1.88765049162895</v>
      </c>
      <c r="V22" s="160">
        <v>0.29642515084499399</v>
      </c>
      <c r="W22" s="160"/>
      <c r="X22" s="59"/>
      <c r="Y22" s="159"/>
      <c r="Z22" s="159"/>
      <c r="AA22" s="159"/>
      <c r="AB22" s="159"/>
      <c r="AC22" s="159"/>
      <c r="AD22" s="161"/>
      <c r="AE22" s="160"/>
    </row>
    <row r="23" spans="1:31" ht="21.25" customHeight="1" x14ac:dyDescent="0.15">
      <c r="A23" s="8" t="s">
        <v>116</v>
      </c>
      <c r="B23" s="157" t="s">
        <v>871</v>
      </c>
      <c r="C23" s="158">
        <v>24</v>
      </c>
      <c r="D23" s="157" t="s">
        <v>860</v>
      </c>
      <c r="E23" s="59">
        <v>75.680357142857105</v>
      </c>
      <c r="F23" s="159">
        <v>26.22436151969</v>
      </c>
      <c r="G23" s="160">
        <v>0.28003785078311699</v>
      </c>
      <c r="H23" s="160">
        <v>0.77869573475411302</v>
      </c>
      <c r="I23" s="160">
        <v>1.05873358553723</v>
      </c>
      <c r="J23" s="160">
        <v>2.8574132873506102</v>
      </c>
      <c r="K23" s="160">
        <v>9.4213374541119999E-2</v>
      </c>
      <c r="L23" s="160">
        <v>0.46949142733513499</v>
      </c>
      <c r="M23" s="160">
        <v>4.5195815381655397E-4</v>
      </c>
      <c r="N23" s="160">
        <v>2.3853633686233798E-3</v>
      </c>
      <c r="O23" s="160">
        <v>1.43276861408056</v>
      </c>
      <c r="P23" s="160">
        <v>1.1856822887898599</v>
      </c>
      <c r="Q23" s="160">
        <v>0.116362220871323</v>
      </c>
      <c r="R23" s="160">
        <v>0.43699314477627599</v>
      </c>
      <c r="S23" s="160">
        <v>4.4306207251344903E-2</v>
      </c>
      <c r="T23" s="160">
        <v>0</v>
      </c>
      <c r="U23" s="160">
        <v>0</v>
      </c>
      <c r="V23" s="160">
        <v>0</v>
      </c>
      <c r="W23" s="160"/>
      <c r="X23" s="59"/>
      <c r="Y23" s="159"/>
      <c r="Z23" s="159"/>
      <c r="AA23" s="159"/>
      <c r="AB23" s="159"/>
      <c r="AC23" s="159"/>
      <c r="AD23" s="161"/>
      <c r="AE23" s="160"/>
    </row>
    <row r="24" spans="1:31" ht="21.25" customHeight="1" x14ac:dyDescent="0.15">
      <c r="A24" s="8" t="s">
        <v>139</v>
      </c>
      <c r="B24" s="157" t="s">
        <v>880</v>
      </c>
      <c r="C24" s="158">
        <v>30</v>
      </c>
      <c r="D24" s="157" t="s">
        <v>857</v>
      </c>
      <c r="E24" s="59">
        <v>81.892499999999998</v>
      </c>
      <c r="F24" s="159">
        <v>20.7219889246484</v>
      </c>
      <c r="G24" s="160">
        <v>0.432687627012111</v>
      </c>
      <c r="H24" s="160">
        <v>0.62197774871909794</v>
      </c>
      <c r="I24" s="160">
        <v>1.0546653757312101</v>
      </c>
      <c r="J24" s="160">
        <v>3.1043452846239399</v>
      </c>
      <c r="K24" s="160">
        <v>0.204239547031593</v>
      </c>
      <c r="L24" s="160">
        <v>0.39658761400495401</v>
      </c>
      <c r="M24" s="160">
        <v>1.3338060440986999E-2</v>
      </c>
      <c r="N24" s="160">
        <v>3.9319487344864797E-2</v>
      </c>
      <c r="O24" s="160">
        <v>0.61552564449282199</v>
      </c>
      <c r="P24" s="160">
        <v>0.92321807298299796</v>
      </c>
      <c r="Q24" s="160">
        <v>7.2849159418697199E-2</v>
      </c>
      <c r="R24" s="160">
        <v>0.27573923396338701</v>
      </c>
      <c r="S24" s="160">
        <v>7.3729163653468502E-2</v>
      </c>
      <c r="T24" s="160">
        <v>8.8875019397891801</v>
      </c>
      <c r="U24" s="160">
        <v>8.9067935203153006</v>
      </c>
      <c r="V24" s="160">
        <v>0.499457927947488</v>
      </c>
      <c r="W24" s="160"/>
      <c r="X24" s="59"/>
      <c r="Y24" s="159"/>
      <c r="Z24" s="159"/>
      <c r="AA24" s="159"/>
      <c r="AB24" s="159"/>
      <c r="AC24" s="159"/>
      <c r="AD24" s="161"/>
      <c r="AE24" s="160"/>
    </row>
    <row r="25" spans="1:31" ht="21.25" customHeight="1" x14ac:dyDescent="0.15">
      <c r="A25" s="8" t="s">
        <v>149</v>
      </c>
      <c r="B25" s="157" t="s">
        <v>872</v>
      </c>
      <c r="C25" s="158">
        <v>27</v>
      </c>
      <c r="D25" s="157" t="s">
        <v>857</v>
      </c>
      <c r="E25" s="59">
        <v>80.400000000000006</v>
      </c>
      <c r="F25" s="159">
        <v>19.7562834912348</v>
      </c>
      <c r="G25" s="160">
        <v>0.53147504899791598</v>
      </c>
      <c r="H25" s="160">
        <v>0.51986868881151105</v>
      </c>
      <c r="I25" s="160">
        <v>1.0513437378094299</v>
      </c>
      <c r="J25" s="160">
        <v>2.83532961804698</v>
      </c>
      <c r="K25" s="160">
        <v>0.195844913043771</v>
      </c>
      <c r="L25" s="160">
        <v>0.35476650700477402</v>
      </c>
      <c r="M25" s="160">
        <v>2.22733368942498E-4</v>
      </c>
      <c r="N25" s="160">
        <v>4.0655087974455101E-4</v>
      </c>
      <c r="O25" s="160">
        <v>0.44260787801653301</v>
      </c>
      <c r="P25" s="160">
        <v>0.64851160074030201</v>
      </c>
      <c r="Q25" s="160">
        <v>1.5945692831845999E-2</v>
      </c>
      <c r="R25" s="160">
        <v>0.273980708805866</v>
      </c>
      <c r="S25" s="160">
        <v>8.3176038226817406E-2</v>
      </c>
      <c r="T25" s="160">
        <v>5.1430310119458502</v>
      </c>
      <c r="U25" s="160">
        <v>5.0349107024027999</v>
      </c>
      <c r="V25" s="160">
        <v>0.50531150170523298</v>
      </c>
      <c r="W25" s="160"/>
      <c r="X25" s="59"/>
      <c r="Y25" s="159"/>
      <c r="Z25" s="159"/>
      <c r="AA25" s="159"/>
      <c r="AB25" s="159"/>
      <c r="AC25" s="159"/>
      <c r="AD25" s="161"/>
      <c r="AE25" s="160"/>
    </row>
    <row r="26" spans="1:31" ht="21.25" customHeight="1" x14ac:dyDescent="0.15">
      <c r="A26" s="8" t="s">
        <v>131</v>
      </c>
      <c r="B26" s="157" t="s">
        <v>886</v>
      </c>
      <c r="C26" s="158">
        <v>26</v>
      </c>
      <c r="D26" s="157" t="s">
        <v>858</v>
      </c>
      <c r="E26" s="59">
        <v>81.099999999999994</v>
      </c>
      <c r="F26" s="159">
        <v>20.319192130335299</v>
      </c>
      <c r="G26" s="160">
        <v>0.46191028955202301</v>
      </c>
      <c r="H26" s="160">
        <v>0.58373395116521698</v>
      </c>
      <c r="I26" s="160">
        <v>1.0456442407172399</v>
      </c>
      <c r="J26" s="160">
        <v>3.3718635829359802</v>
      </c>
      <c r="K26" s="160">
        <v>0.10978931995337</v>
      </c>
      <c r="L26" s="160">
        <v>0.32571560840318298</v>
      </c>
      <c r="M26" s="160">
        <v>3.7558418528128002E-3</v>
      </c>
      <c r="N26" s="160">
        <v>4.2600194641163403E-3</v>
      </c>
      <c r="O26" s="160">
        <v>0.297286844076527</v>
      </c>
      <c r="P26" s="160">
        <v>0.50455119796098202</v>
      </c>
      <c r="Q26" s="160">
        <v>1.2289122177325499E-2</v>
      </c>
      <c r="R26" s="160">
        <v>0.21806983424918699</v>
      </c>
      <c r="S26" s="160">
        <v>7.2059551267931204E-2</v>
      </c>
      <c r="T26" s="160">
        <v>2.7678807929022099E-2</v>
      </c>
      <c r="U26" s="160">
        <v>7.6007881192037302E-2</v>
      </c>
      <c r="V26" s="160">
        <v>0.26694658845462499</v>
      </c>
      <c r="W26" s="160"/>
      <c r="X26" s="59"/>
      <c r="Y26" s="159"/>
      <c r="Z26" s="159"/>
      <c r="AA26" s="159"/>
      <c r="AB26" s="159"/>
      <c r="AC26" s="159"/>
      <c r="AD26" s="161"/>
      <c r="AE26" s="160"/>
    </row>
    <row r="27" spans="1:31" ht="21.25" customHeight="1" x14ac:dyDescent="0.15">
      <c r="A27" s="8" t="s">
        <v>148</v>
      </c>
      <c r="B27" s="157" t="s">
        <v>887</v>
      </c>
      <c r="C27" s="158">
        <v>25</v>
      </c>
      <c r="D27" s="157" t="s">
        <v>859</v>
      </c>
      <c r="E27" s="59">
        <v>79.967500000000001</v>
      </c>
      <c r="F27" s="159">
        <v>20.752997566882598</v>
      </c>
      <c r="G27" s="160">
        <v>0.44175024327006801</v>
      </c>
      <c r="H27" s="160">
        <v>0.59366310246244003</v>
      </c>
      <c r="I27" s="160">
        <v>1.0354133457325101</v>
      </c>
      <c r="J27" s="160">
        <v>2.7726915490002799</v>
      </c>
      <c r="K27" s="160">
        <v>8.9117022988367198E-2</v>
      </c>
      <c r="L27" s="160">
        <v>0.246032069196706</v>
      </c>
      <c r="M27" s="160">
        <v>7.6472058668786798E-3</v>
      </c>
      <c r="N27" s="160">
        <v>1.08885067648223E-2</v>
      </c>
      <c r="O27" s="160">
        <v>0.427211490771154</v>
      </c>
      <c r="P27" s="160">
        <v>0.292657828475898</v>
      </c>
      <c r="Q27" s="160">
        <v>-3.22280738297724E-2</v>
      </c>
      <c r="R27" s="160">
        <v>0.47132643313698702</v>
      </c>
      <c r="S27" s="160">
        <v>5.4445715620260501E-2</v>
      </c>
      <c r="T27" s="160">
        <v>0.321312271668939</v>
      </c>
      <c r="U27" s="160">
        <v>0.49529991784017702</v>
      </c>
      <c r="V27" s="160">
        <v>0.39346984504613702</v>
      </c>
      <c r="W27" s="160"/>
      <c r="X27" s="59"/>
      <c r="Y27" s="159"/>
      <c r="Z27" s="159"/>
      <c r="AA27" s="159"/>
      <c r="AB27" s="159"/>
      <c r="AC27" s="159"/>
      <c r="AD27" s="161"/>
      <c r="AE27" s="160"/>
    </row>
    <row r="28" spans="1:31" ht="21.25" customHeight="1" x14ac:dyDescent="0.15">
      <c r="A28" s="8" t="s">
        <v>133</v>
      </c>
      <c r="B28" s="157" t="s">
        <v>888</v>
      </c>
      <c r="C28" s="158">
        <v>21</v>
      </c>
      <c r="D28" s="157" t="s">
        <v>858</v>
      </c>
      <c r="E28" s="59">
        <v>80.468214285714296</v>
      </c>
      <c r="F28" s="159">
        <v>20.7365697379221</v>
      </c>
      <c r="G28" s="160">
        <v>0.43651227601270098</v>
      </c>
      <c r="H28" s="160">
        <v>0.59341613986531705</v>
      </c>
      <c r="I28" s="160">
        <v>1.02992841587802</v>
      </c>
      <c r="J28" s="160">
        <v>2.7806555666489299</v>
      </c>
      <c r="K28" s="160">
        <v>0.11366511455242</v>
      </c>
      <c r="L28" s="160">
        <v>0.33821191952818003</v>
      </c>
      <c r="M28" s="160">
        <v>3.2952797246546699E-2</v>
      </c>
      <c r="N28" s="160">
        <v>3.4491826973429403E-2</v>
      </c>
      <c r="O28" s="160">
        <v>0.62845012276977297</v>
      </c>
      <c r="P28" s="160">
        <v>1.43048062737043</v>
      </c>
      <c r="Q28" s="160">
        <v>1.6263441126132899E-2</v>
      </c>
      <c r="R28" s="160">
        <v>0.56892052160676199</v>
      </c>
      <c r="S28" s="160">
        <v>6.0631965304530702E-2</v>
      </c>
      <c r="T28" s="160">
        <v>2.2110119653878799</v>
      </c>
      <c r="U28" s="160">
        <v>3.5232754027837201</v>
      </c>
      <c r="V28" s="160">
        <v>0.385577461230875</v>
      </c>
      <c r="W28" s="160"/>
      <c r="X28" s="59"/>
      <c r="Y28" s="159"/>
      <c r="Z28" s="159"/>
      <c r="AA28" s="159"/>
      <c r="AB28" s="159"/>
      <c r="AC28" s="159"/>
      <c r="AD28" s="161"/>
      <c r="AE28" s="160"/>
    </row>
    <row r="29" spans="1:31" ht="21.25" customHeight="1" x14ac:dyDescent="0.15">
      <c r="A29" s="8" t="s">
        <v>121</v>
      </c>
      <c r="B29" s="157" t="s">
        <v>874</v>
      </c>
      <c r="C29" s="158">
        <v>27</v>
      </c>
      <c r="D29" s="157" t="s">
        <v>859</v>
      </c>
      <c r="E29" s="59">
        <v>81.160357142857094</v>
      </c>
      <c r="F29" s="159">
        <v>18.538966700724099</v>
      </c>
      <c r="G29" s="160">
        <v>0.44563240278055</v>
      </c>
      <c r="H29" s="160">
        <v>0.58190555376733399</v>
      </c>
      <c r="I29" s="160">
        <v>1.0275379565478799</v>
      </c>
      <c r="J29" s="160">
        <v>3.38993704346202</v>
      </c>
      <c r="K29" s="160">
        <v>0.135011965923345</v>
      </c>
      <c r="L29" s="160">
        <v>0.37007774324539899</v>
      </c>
      <c r="M29" s="160">
        <v>7.8134535464787901E-4</v>
      </c>
      <c r="N29" s="160">
        <v>1.4271105376896099E-3</v>
      </c>
      <c r="O29" s="160">
        <v>0.34796697516435898</v>
      </c>
      <c r="P29" s="160">
        <v>0.304844216428176</v>
      </c>
      <c r="Q29" s="160">
        <v>7.8915073585480097E-2</v>
      </c>
      <c r="R29" s="160">
        <v>0.32061397891568699</v>
      </c>
      <c r="S29" s="160">
        <v>7.1590727059398201E-2</v>
      </c>
      <c r="T29" s="160">
        <v>0.34540307113997898</v>
      </c>
      <c r="U29" s="160">
        <v>0.36970507861003998</v>
      </c>
      <c r="V29" s="160">
        <v>0.48300815934026398</v>
      </c>
      <c r="W29" s="160"/>
      <c r="X29" s="59"/>
      <c r="Y29" s="159"/>
      <c r="Z29" s="159"/>
      <c r="AA29" s="159"/>
      <c r="AB29" s="159"/>
      <c r="AC29" s="159"/>
      <c r="AD29" s="161"/>
      <c r="AE29" s="160"/>
    </row>
    <row r="30" spans="1:31" ht="21.25" customHeight="1" x14ac:dyDescent="0.15">
      <c r="A30" s="8" t="s">
        <v>143</v>
      </c>
      <c r="B30" s="157" t="s">
        <v>882</v>
      </c>
      <c r="C30" s="158">
        <v>30</v>
      </c>
      <c r="D30" s="157" t="s">
        <v>889</v>
      </c>
      <c r="E30" s="59">
        <v>81.138214285714298</v>
      </c>
      <c r="F30" s="159">
        <v>20.0875351690473</v>
      </c>
      <c r="G30" s="160">
        <v>0.36288644061331998</v>
      </c>
      <c r="H30" s="160">
        <v>0.66405685907623302</v>
      </c>
      <c r="I30" s="160">
        <v>1.02694329968955</v>
      </c>
      <c r="J30" s="160">
        <v>2.62740710362971</v>
      </c>
      <c r="K30" s="160">
        <v>0.11592903339194301</v>
      </c>
      <c r="L30" s="160">
        <v>0.39085209904214302</v>
      </c>
      <c r="M30" s="160">
        <v>1.7973836777796501E-2</v>
      </c>
      <c r="N30" s="160">
        <v>3.1615794637126798E-2</v>
      </c>
      <c r="O30" s="160">
        <v>0.593273133770016</v>
      </c>
      <c r="P30" s="160">
        <v>2.1565281197009298</v>
      </c>
      <c r="Q30" s="160">
        <v>-7.4043053903984401E-3</v>
      </c>
      <c r="R30" s="160">
        <v>0.65257844087901296</v>
      </c>
      <c r="S30" s="160">
        <v>5.1370077143384797E-2</v>
      </c>
      <c r="T30" s="160">
        <v>6.0363299278684401</v>
      </c>
      <c r="U30" s="160">
        <v>5.0949643950789296</v>
      </c>
      <c r="V30" s="160">
        <v>0.54228463939044702</v>
      </c>
      <c r="W30" s="160"/>
      <c r="X30" s="59"/>
      <c r="Y30" s="159"/>
      <c r="Z30" s="159"/>
      <c r="AA30" s="159"/>
      <c r="AB30" s="159"/>
      <c r="AC30" s="159"/>
      <c r="AD30" s="161"/>
      <c r="AE30" s="160"/>
    </row>
    <row r="31" spans="1:31" ht="21.25" customHeight="1" x14ac:dyDescent="0.15">
      <c r="A31" s="8" t="s">
        <v>163</v>
      </c>
      <c r="B31" s="157" t="s">
        <v>870</v>
      </c>
      <c r="C31" s="158">
        <v>30</v>
      </c>
      <c r="D31" s="157" t="s">
        <v>857</v>
      </c>
      <c r="E31" s="59">
        <v>78.831785714285701</v>
      </c>
      <c r="F31" s="159">
        <v>19.651690682164698</v>
      </c>
      <c r="G31" s="160">
        <v>0.33806960169472899</v>
      </c>
      <c r="H31" s="160">
        <v>0.66596120296155104</v>
      </c>
      <c r="I31" s="160">
        <v>1.00403080465628</v>
      </c>
      <c r="J31" s="160">
        <v>2.4633406793471</v>
      </c>
      <c r="K31" s="160">
        <v>0.126979863814566</v>
      </c>
      <c r="L31" s="160">
        <v>0.494934506019649</v>
      </c>
      <c r="M31" s="160">
        <v>1.8093453686875899E-2</v>
      </c>
      <c r="N31" s="160">
        <v>4.5313341541935503E-2</v>
      </c>
      <c r="O31" s="160">
        <v>0.39520151287725103</v>
      </c>
      <c r="P31" s="160">
        <v>0.64969380388855602</v>
      </c>
      <c r="Q31" s="160">
        <v>7.7263236258335505E-2</v>
      </c>
      <c r="R31" s="160">
        <v>0.39122427902899398</v>
      </c>
      <c r="S31" s="160">
        <v>5.3512788560504301E-2</v>
      </c>
      <c r="T31" s="160">
        <v>3.31657993987141</v>
      </c>
      <c r="U31" s="160">
        <v>4.2285979677994598</v>
      </c>
      <c r="V31" s="160">
        <v>0.439562854641185</v>
      </c>
      <c r="W31" s="160"/>
      <c r="X31" s="59"/>
      <c r="Y31" s="159"/>
      <c r="Z31" s="159"/>
      <c r="AA31" s="159"/>
      <c r="AB31" s="159"/>
      <c r="AC31" s="159"/>
      <c r="AD31" s="161"/>
      <c r="AE31" s="160"/>
    </row>
    <row r="32" spans="1:31" ht="21.25" customHeight="1" x14ac:dyDescent="0.15">
      <c r="A32" s="8" t="s">
        <v>252</v>
      </c>
      <c r="B32" s="157" t="s">
        <v>885</v>
      </c>
      <c r="C32" s="158">
        <v>24</v>
      </c>
      <c r="D32" s="157" t="s">
        <v>857</v>
      </c>
      <c r="E32" s="59">
        <v>76.400000000000006</v>
      </c>
      <c r="F32" s="159">
        <v>19.425171168090099</v>
      </c>
      <c r="G32" s="160">
        <v>0.28869978667829299</v>
      </c>
      <c r="H32" s="160">
        <v>0.71220170921739601</v>
      </c>
      <c r="I32" s="160">
        <v>1.0009014958956901</v>
      </c>
      <c r="J32" s="160">
        <v>1.6202543150063899</v>
      </c>
      <c r="K32" s="160">
        <v>7.4547501872793298E-2</v>
      </c>
      <c r="L32" s="160">
        <v>0.29686974015842799</v>
      </c>
      <c r="M32" s="160">
        <v>1.56121421474377E-2</v>
      </c>
      <c r="N32" s="160">
        <v>1.6631440673712201E-2</v>
      </c>
      <c r="O32" s="160">
        <v>0.397462628224238</v>
      </c>
      <c r="P32" s="160">
        <v>0.29600347368964403</v>
      </c>
      <c r="Q32" s="160">
        <v>-3.5158875746684602E-2</v>
      </c>
      <c r="R32" s="160">
        <v>0.32373465889893999</v>
      </c>
      <c r="S32" s="160">
        <v>3.3221473083903698E-2</v>
      </c>
      <c r="T32" s="160">
        <v>8.3109820801412297</v>
      </c>
      <c r="U32" s="160">
        <v>8.0894358033659106</v>
      </c>
      <c r="V32" s="160">
        <v>0.50675428755379803</v>
      </c>
      <c r="W32" s="160"/>
      <c r="X32" s="59"/>
      <c r="Y32" s="159"/>
      <c r="Z32" s="159"/>
      <c r="AA32" s="159"/>
      <c r="AB32" s="159"/>
      <c r="AC32" s="159"/>
      <c r="AD32" s="161"/>
      <c r="AE32" s="160"/>
    </row>
    <row r="33" spans="1:31" ht="21.25" customHeight="1" x14ac:dyDescent="0.15">
      <c r="A33" s="8" t="s">
        <v>181</v>
      </c>
      <c r="B33" s="157" t="s">
        <v>878</v>
      </c>
      <c r="C33" s="158">
        <v>26</v>
      </c>
      <c r="D33" s="157" t="s">
        <v>857</v>
      </c>
      <c r="E33" s="59">
        <v>77.961071428571401</v>
      </c>
      <c r="F33" s="159">
        <v>18.4257263157517</v>
      </c>
      <c r="G33" s="160">
        <v>0.47408545932884399</v>
      </c>
      <c r="H33" s="160">
        <v>0.52659633654914095</v>
      </c>
      <c r="I33" s="160">
        <v>1.0006817958779901</v>
      </c>
      <c r="J33" s="160">
        <v>2.6077684127896301</v>
      </c>
      <c r="K33" s="160">
        <v>0.13224205035702899</v>
      </c>
      <c r="L33" s="160">
        <v>0.33159521935825498</v>
      </c>
      <c r="M33" s="160">
        <v>3.8570133212344399E-2</v>
      </c>
      <c r="N33" s="160">
        <v>4.4651155532295997E-2</v>
      </c>
      <c r="O33" s="160">
        <v>0.623471488241922</v>
      </c>
      <c r="P33" s="160">
        <v>0.81988195376052897</v>
      </c>
      <c r="Q33" s="160">
        <v>0.10993510652195999</v>
      </c>
      <c r="R33" s="160">
        <v>0.370087946124945</v>
      </c>
      <c r="S33" s="160">
        <v>7.5850312674975898E-2</v>
      </c>
      <c r="T33" s="160">
        <v>3.9483590981172698</v>
      </c>
      <c r="U33" s="160">
        <v>3.6481853931224602</v>
      </c>
      <c r="V33" s="160">
        <v>0.51975725313930299</v>
      </c>
      <c r="W33" s="160"/>
      <c r="X33" s="59"/>
      <c r="Y33" s="159"/>
      <c r="Z33" s="159"/>
      <c r="AA33" s="159"/>
      <c r="AB33" s="159"/>
      <c r="AC33" s="159"/>
      <c r="AD33" s="161"/>
      <c r="AE33" s="160"/>
    </row>
    <row r="34" spans="1:31" ht="21.25" customHeight="1" x14ac:dyDescent="0.15">
      <c r="A34" s="8" t="s">
        <v>209</v>
      </c>
      <c r="B34" s="157" t="s">
        <v>890</v>
      </c>
      <c r="C34" s="162">
        <v>18</v>
      </c>
      <c r="D34" s="157" t="s">
        <v>857</v>
      </c>
      <c r="E34" s="59">
        <v>78</v>
      </c>
      <c r="F34" s="159">
        <v>19</v>
      </c>
      <c r="G34" s="160">
        <v>0.42195294222276802</v>
      </c>
      <c r="H34" s="160">
        <v>0.57719229812557005</v>
      </c>
      <c r="I34" s="160">
        <v>0.99914524034833796</v>
      </c>
      <c r="J34" s="160">
        <v>2.7514715113738402</v>
      </c>
      <c r="K34" s="160">
        <v>0.132729988671446</v>
      </c>
      <c r="L34" s="160">
        <v>0.31429224248079901</v>
      </c>
      <c r="M34" s="160">
        <v>0</v>
      </c>
      <c r="N34" s="160">
        <v>0</v>
      </c>
      <c r="O34" s="160">
        <v>0.45609756097560999</v>
      </c>
      <c r="P34" s="160">
        <v>0.54878048780487798</v>
      </c>
      <c r="Q34" s="160">
        <v>7.9268292682926796E-3</v>
      </c>
      <c r="R34" s="160">
        <v>0.292682926829268</v>
      </c>
      <c r="S34" s="160">
        <v>4.9445100620371801E-2</v>
      </c>
      <c r="T34" s="160">
        <v>3.2907413866604802</v>
      </c>
      <c r="U34" s="160">
        <v>4.7354571173894602</v>
      </c>
      <c r="V34" s="160">
        <v>0.41</v>
      </c>
      <c r="W34" s="160"/>
      <c r="X34" s="59"/>
      <c r="Y34" s="159"/>
      <c r="Z34" s="159"/>
      <c r="AA34" s="159"/>
      <c r="AB34" s="159"/>
      <c r="AC34" s="159"/>
      <c r="AD34" s="161"/>
      <c r="AE34" s="160"/>
    </row>
    <row r="35" spans="1:31" ht="21.25" customHeight="1" x14ac:dyDescent="0.15">
      <c r="A35" s="8" t="s">
        <v>145</v>
      </c>
      <c r="B35" s="157" t="s">
        <v>883</v>
      </c>
      <c r="C35" s="158">
        <v>28</v>
      </c>
      <c r="D35" s="157" t="s">
        <v>858</v>
      </c>
      <c r="E35" s="59">
        <v>80.495000000000005</v>
      </c>
      <c r="F35" s="159">
        <v>19.958875669915798</v>
      </c>
      <c r="G35" s="160">
        <v>0.46383469931007698</v>
      </c>
      <c r="H35" s="160">
        <v>0.53521558608085096</v>
      </c>
      <c r="I35" s="160">
        <v>0.99905028539092799</v>
      </c>
      <c r="J35" s="160">
        <v>3.0907031398917102</v>
      </c>
      <c r="K35" s="160">
        <v>0.12271035569541799</v>
      </c>
      <c r="L35" s="160">
        <v>0.29989348964205098</v>
      </c>
      <c r="M35" s="160">
        <v>2.18018710781346E-4</v>
      </c>
      <c r="N35" s="160">
        <v>3.9852098517924501E-4</v>
      </c>
      <c r="O35" s="160">
        <v>0.54847621792620505</v>
      </c>
      <c r="P35" s="160">
        <v>0.98025440209258996</v>
      </c>
      <c r="Q35" s="160">
        <v>4.6857301077777198E-2</v>
      </c>
      <c r="R35" s="160">
        <v>0.55485052777992105</v>
      </c>
      <c r="S35" s="160">
        <v>7.3818996890560998E-2</v>
      </c>
      <c r="T35" s="160">
        <v>0.102327762415537</v>
      </c>
      <c r="U35" s="160">
        <v>0.120321033733222</v>
      </c>
      <c r="V35" s="160">
        <v>0.45959270467902602</v>
      </c>
      <c r="W35" s="160"/>
      <c r="X35" s="59"/>
      <c r="Y35" s="159"/>
      <c r="Z35" s="159"/>
      <c r="AA35" s="159"/>
      <c r="AB35" s="159"/>
      <c r="AC35" s="159"/>
      <c r="AD35" s="161"/>
      <c r="AE35" s="160"/>
    </row>
    <row r="36" spans="1:31" ht="21.25" customHeight="1" x14ac:dyDescent="0.15">
      <c r="A36" s="8" t="s">
        <v>179</v>
      </c>
      <c r="B36" s="157" t="s">
        <v>885</v>
      </c>
      <c r="C36" s="158">
        <v>25</v>
      </c>
      <c r="D36" s="157" t="s">
        <v>857</v>
      </c>
      <c r="E36" s="59">
        <v>80.45</v>
      </c>
      <c r="F36" s="159">
        <v>18.080849106690401</v>
      </c>
      <c r="G36" s="160">
        <v>0.43745466973669</v>
      </c>
      <c r="H36" s="160">
        <v>0.55894579014058998</v>
      </c>
      <c r="I36" s="160">
        <v>0.99640045987727999</v>
      </c>
      <c r="J36" s="160">
        <v>3.1834511511561101</v>
      </c>
      <c r="K36" s="160">
        <v>0.12304159309887</v>
      </c>
      <c r="L36" s="160">
        <v>0.30692385091302099</v>
      </c>
      <c r="M36" s="160">
        <v>1.9624945913563E-4</v>
      </c>
      <c r="N36" s="160">
        <v>3.5775804456133001E-4</v>
      </c>
      <c r="O36" s="160">
        <v>0.41146152656291801</v>
      </c>
      <c r="P36" s="160">
        <v>0.24339499380346699</v>
      </c>
      <c r="Q36" s="160">
        <v>-6.8393583798927099E-2</v>
      </c>
      <c r="R36" s="160">
        <v>0.32329428693393197</v>
      </c>
      <c r="S36" s="160">
        <v>5.0339103825801798E-2</v>
      </c>
      <c r="T36" s="160">
        <v>7.6009410267902894E-2</v>
      </c>
      <c r="U36" s="160">
        <v>0.116378934311809</v>
      </c>
      <c r="V36" s="160">
        <v>0.39508323871673001</v>
      </c>
      <c r="W36" s="160"/>
      <c r="X36" s="59"/>
      <c r="Y36" s="159"/>
      <c r="Z36" s="159"/>
      <c r="AA36" s="159"/>
      <c r="AB36" s="159"/>
      <c r="AC36" s="159"/>
      <c r="AD36" s="161"/>
      <c r="AE36" s="160"/>
    </row>
    <row r="37" spans="1:31" ht="21.25" customHeight="1" x14ac:dyDescent="0.15">
      <c r="A37" s="8" t="s">
        <v>132</v>
      </c>
      <c r="B37" s="157" t="s">
        <v>891</v>
      </c>
      <c r="C37" s="158">
        <v>37</v>
      </c>
      <c r="D37" s="157" t="s">
        <v>858</v>
      </c>
      <c r="E37" s="59">
        <v>78.134285714285696</v>
      </c>
      <c r="F37" s="159">
        <v>20.248997503357899</v>
      </c>
      <c r="G37" s="160">
        <v>0.54097457983772301</v>
      </c>
      <c r="H37" s="160">
        <v>0.45486883636089898</v>
      </c>
      <c r="I37" s="160">
        <v>0.99584341619862204</v>
      </c>
      <c r="J37" s="160">
        <v>4.0416261142403496</v>
      </c>
      <c r="K37" s="160">
        <v>0.186276508786202</v>
      </c>
      <c r="L37" s="160">
        <v>0.33220615514983698</v>
      </c>
      <c r="M37" s="160">
        <v>9.2662920943896299E-5</v>
      </c>
      <c r="N37" s="160">
        <v>1.12785254508208E-4</v>
      </c>
      <c r="O37" s="160">
        <v>0.34116251033936201</v>
      </c>
      <c r="P37" s="160">
        <v>2.23411649972306</v>
      </c>
      <c r="Q37" s="160">
        <v>-3.1933997951203399E-2</v>
      </c>
      <c r="R37" s="160">
        <v>0.39567060511661101</v>
      </c>
      <c r="S37" s="160">
        <v>6.6543057870993794E-2</v>
      </c>
      <c r="T37" s="160">
        <v>3.9607555240810201E-2</v>
      </c>
      <c r="U37" s="160">
        <v>8.3911329266869797E-2</v>
      </c>
      <c r="V37" s="160">
        <v>0.320659916891879</v>
      </c>
      <c r="W37" s="160"/>
      <c r="X37" s="59"/>
      <c r="Y37" s="159"/>
      <c r="Z37" s="159"/>
      <c r="AA37" s="159"/>
      <c r="AB37" s="159"/>
      <c r="AC37" s="159"/>
      <c r="AD37" s="161"/>
      <c r="AE37" s="160"/>
    </row>
    <row r="38" spans="1:31" ht="21.25" customHeight="1" x14ac:dyDescent="0.15">
      <c r="A38" s="8" t="s">
        <v>156</v>
      </c>
      <c r="B38" s="157" t="s">
        <v>892</v>
      </c>
      <c r="C38" s="158">
        <v>27</v>
      </c>
      <c r="D38" s="157" t="s">
        <v>858</v>
      </c>
      <c r="E38" s="59">
        <v>78.843928571428606</v>
      </c>
      <c r="F38" s="159">
        <v>17.532561107430901</v>
      </c>
      <c r="G38" s="160">
        <v>0.36223550219514</v>
      </c>
      <c r="H38" s="160">
        <v>0.62850512697991101</v>
      </c>
      <c r="I38" s="160">
        <v>0.99074062917505101</v>
      </c>
      <c r="J38" s="160">
        <v>3.0493871802519599</v>
      </c>
      <c r="K38" s="160">
        <v>8.5215483767164105E-2</v>
      </c>
      <c r="L38" s="160">
        <v>0.28504341168432701</v>
      </c>
      <c r="M38" s="160">
        <v>2.0723454940734399E-4</v>
      </c>
      <c r="N38" s="160">
        <v>2.54870849051374E-4</v>
      </c>
      <c r="O38" s="160">
        <v>0.28224043882262201</v>
      </c>
      <c r="P38" s="160">
        <v>0.76199226255199104</v>
      </c>
      <c r="Q38" s="160">
        <v>1.55969402709652E-2</v>
      </c>
      <c r="R38" s="160">
        <v>0.61276205165106601</v>
      </c>
      <c r="S38" s="160">
        <v>5.37788703737304E-2</v>
      </c>
      <c r="T38" s="160">
        <v>8.5721910492060696E-2</v>
      </c>
      <c r="U38" s="160">
        <v>0.13450285190043701</v>
      </c>
      <c r="V38" s="160">
        <v>0.38924737418620697</v>
      </c>
      <c r="W38" s="160"/>
      <c r="X38" s="59"/>
      <c r="Y38" s="159"/>
      <c r="Z38" s="159"/>
      <c r="AA38" s="159"/>
      <c r="AB38" s="159"/>
      <c r="AC38" s="159"/>
      <c r="AD38" s="161"/>
      <c r="AE38" s="160"/>
    </row>
    <row r="39" spans="1:31" ht="21.25" customHeight="1" x14ac:dyDescent="0.15">
      <c r="A39" s="8" t="s">
        <v>172</v>
      </c>
      <c r="B39" s="157" t="s">
        <v>893</v>
      </c>
      <c r="C39" s="158">
        <v>26</v>
      </c>
      <c r="D39" s="157" t="s">
        <v>857</v>
      </c>
      <c r="E39" s="59">
        <v>80.375</v>
      </c>
      <c r="F39" s="159">
        <v>19.979980394414699</v>
      </c>
      <c r="G39" s="160">
        <v>0.47333608154984103</v>
      </c>
      <c r="H39" s="160">
        <v>0.51563336577737195</v>
      </c>
      <c r="I39" s="160">
        <v>0.98896944732721304</v>
      </c>
      <c r="J39" s="160">
        <v>2.93805125798634</v>
      </c>
      <c r="K39" s="160">
        <v>0.119856177647958</v>
      </c>
      <c r="L39" s="160">
        <v>0.26969993386436703</v>
      </c>
      <c r="M39" s="160">
        <v>2.7516700280439399E-2</v>
      </c>
      <c r="N39" s="160">
        <v>4.1883475686663202E-2</v>
      </c>
      <c r="O39" s="160">
        <v>0.32990463837352402</v>
      </c>
      <c r="P39" s="160">
        <v>0.88000320645347796</v>
      </c>
      <c r="Q39" s="160">
        <v>0.106390994086786</v>
      </c>
      <c r="R39" s="160">
        <v>0.54634002397848003</v>
      </c>
      <c r="S39" s="160">
        <v>8.4927091826427895E-2</v>
      </c>
      <c r="T39" s="160">
        <v>7.2776391995538496</v>
      </c>
      <c r="U39" s="160">
        <v>6.6977417538102904</v>
      </c>
      <c r="V39" s="160">
        <v>0.52074710691889803</v>
      </c>
      <c r="W39" s="160"/>
      <c r="X39" s="59"/>
      <c r="Y39" s="159"/>
      <c r="Z39" s="159"/>
      <c r="AA39" s="159"/>
      <c r="AB39" s="159"/>
      <c r="AC39" s="159"/>
      <c r="AD39" s="161"/>
      <c r="AE39" s="160"/>
    </row>
    <row r="40" spans="1:31" ht="21.25" customHeight="1" x14ac:dyDescent="0.15">
      <c r="A40" s="8" t="s">
        <v>162</v>
      </c>
      <c r="B40" s="157" t="s">
        <v>876</v>
      </c>
      <c r="C40" s="158">
        <v>24</v>
      </c>
      <c r="D40" s="157" t="s">
        <v>857</v>
      </c>
      <c r="E40" s="59">
        <v>78.47</v>
      </c>
      <c r="F40" s="159">
        <v>20.2532768230359</v>
      </c>
      <c r="G40" s="160">
        <v>0.380535354375093</v>
      </c>
      <c r="H40" s="160">
        <v>0.60237196928865999</v>
      </c>
      <c r="I40" s="160">
        <v>0.982907323663752</v>
      </c>
      <c r="J40" s="160">
        <v>3.0460776159453</v>
      </c>
      <c r="K40" s="160">
        <v>9.9403412408984995E-2</v>
      </c>
      <c r="L40" s="160">
        <v>0.26065969229101599</v>
      </c>
      <c r="M40" s="160">
        <v>2.87693892551379E-2</v>
      </c>
      <c r="N40" s="160">
        <v>4.7731950061587702E-2</v>
      </c>
      <c r="O40" s="160">
        <v>0.74799696133680205</v>
      </c>
      <c r="P40" s="160">
        <v>0.57572593977654496</v>
      </c>
      <c r="Q40" s="160">
        <v>2.43783570444823E-2</v>
      </c>
      <c r="R40" s="160">
        <v>0.235643332178606</v>
      </c>
      <c r="S40" s="160">
        <v>5.6011228796470199E-2</v>
      </c>
      <c r="T40" s="160">
        <v>11.349029664633299</v>
      </c>
      <c r="U40" s="160">
        <v>9.9194673537496101</v>
      </c>
      <c r="V40" s="160">
        <v>0.533607506671678</v>
      </c>
      <c r="W40" s="160"/>
      <c r="X40" s="59"/>
      <c r="Y40" s="159"/>
      <c r="Z40" s="159"/>
      <c r="AA40" s="159"/>
      <c r="AB40" s="159"/>
      <c r="AC40" s="159"/>
      <c r="AD40" s="161"/>
      <c r="AE40" s="160"/>
    </row>
    <row r="41" spans="1:31" ht="21.25" customHeight="1" x14ac:dyDescent="0.15">
      <c r="A41" s="8" t="s">
        <v>154</v>
      </c>
      <c r="B41" s="157" t="s">
        <v>881</v>
      </c>
      <c r="C41" s="158">
        <v>27</v>
      </c>
      <c r="D41" s="157" t="s">
        <v>859</v>
      </c>
      <c r="E41" s="59">
        <v>76.489999999999995</v>
      </c>
      <c r="F41" s="159">
        <v>19.9730849972836</v>
      </c>
      <c r="G41" s="160">
        <v>0.42154938704699502</v>
      </c>
      <c r="H41" s="160">
        <v>0.55727410213654305</v>
      </c>
      <c r="I41" s="160">
        <v>0.97882348918353801</v>
      </c>
      <c r="J41" s="160">
        <v>3.0447320240684301</v>
      </c>
      <c r="K41" s="160">
        <v>9.5295610464220096E-2</v>
      </c>
      <c r="L41" s="160">
        <v>0.25143074257377601</v>
      </c>
      <c r="M41" s="160">
        <v>1.38392393100261E-2</v>
      </c>
      <c r="N41" s="160">
        <v>1.52927870282399E-2</v>
      </c>
      <c r="O41" s="160">
        <v>0.70818709816675496</v>
      </c>
      <c r="P41" s="160">
        <v>0.794921106138052</v>
      </c>
      <c r="Q41" s="160">
        <v>2.08877878728723E-2</v>
      </c>
      <c r="R41" s="160">
        <v>0.38037438538991802</v>
      </c>
      <c r="S41" s="160">
        <v>5.43243625455061E-2</v>
      </c>
      <c r="T41" s="160">
        <v>0.39001158563844301</v>
      </c>
      <c r="U41" s="160">
        <v>0.56954476678303201</v>
      </c>
      <c r="V41" s="160">
        <v>0.40644990224308802</v>
      </c>
      <c r="W41" s="160"/>
      <c r="X41" s="59"/>
      <c r="Y41" s="159"/>
      <c r="Z41" s="159"/>
      <c r="AA41" s="159"/>
      <c r="AB41" s="159"/>
      <c r="AC41" s="159"/>
      <c r="AD41" s="161"/>
      <c r="AE41" s="160"/>
    </row>
    <row r="42" spans="1:31" ht="21.25" customHeight="1" x14ac:dyDescent="0.15">
      <c r="A42" s="8" t="s">
        <v>178</v>
      </c>
      <c r="B42" s="157" t="s">
        <v>884</v>
      </c>
      <c r="C42" s="158">
        <v>25</v>
      </c>
      <c r="D42" s="157" t="s">
        <v>858</v>
      </c>
      <c r="E42" s="59">
        <v>74.38</v>
      </c>
      <c r="F42" s="159">
        <v>19.1773035172879</v>
      </c>
      <c r="G42" s="160">
        <v>0.42438273050196601</v>
      </c>
      <c r="H42" s="160">
        <v>0.53713300128604102</v>
      </c>
      <c r="I42" s="160">
        <v>0.96151573178800698</v>
      </c>
      <c r="J42" s="160">
        <v>3.11155924053454</v>
      </c>
      <c r="K42" s="160">
        <v>0.12811239759130999</v>
      </c>
      <c r="L42" s="160">
        <v>0.27952759142436201</v>
      </c>
      <c r="M42" s="160">
        <v>4.6990362610725398E-5</v>
      </c>
      <c r="N42" s="160">
        <v>8.57067906383105E-5</v>
      </c>
      <c r="O42" s="160">
        <v>0.42426874315025598</v>
      </c>
      <c r="P42" s="160">
        <v>0.61039471374091203</v>
      </c>
      <c r="Q42" s="160">
        <v>-5.6949818068299102E-2</v>
      </c>
      <c r="R42" s="160">
        <v>0.379373293554993</v>
      </c>
      <c r="S42" s="160">
        <v>4.5475531527857799E-2</v>
      </c>
      <c r="T42" s="160">
        <v>0.41663155799010199</v>
      </c>
      <c r="U42" s="160">
        <v>0.826767889228324</v>
      </c>
      <c r="V42" s="160">
        <v>0.335074588397266</v>
      </c>
      <c r="W42" s="160"/>
      <c r="X42" s="59"/>
      <c r="Y42" s="159"/>
      <c r="Z42" s="159"/>
      <c r="AA42" s="159"/>
      <c r="AB42" s="159"/>
      <c r="AC42" s="159"/>
      <c r="AD42" s="161"/>
      <c r="AE42" s="160"/>
    </row>
    <row r="43" spans="1:31" ht="21.25" customHeight="1" x14ac:dyDescent="0.15">
      <c r="A43" s="8" t="s">
        <v>190</v>
      </c>
      <c r="B43" s="157" t="s">
        <v>894</v>
      </c>
      <c r="C43" s="158">
        <v>30</v>
      </c>
      <c r="D43" s="157" t="s">
        <v>858</v>
      </c>
      <c r="E43" s="59">
        <v>80.7</v>
      </c>
      <c r="F43" s="159">
        <v>18.0033008230162</v>
      </c>
      <c r="G43" s="160">
        <v>0.26717552150838197</v>
      </c>
      <c r="H43" s="160">
        <v>0.68222772904970996</v>
      </c>
      <c r="I43" s="160">
        <v>0.94940325055809105</v>
      </c>
      <c r="J43" s="160">
        <v>2.0172278424796599</v>
      </c>
      <c r="K43" s="160">
        <v>6.10973140267599E-2</v>
      </c>
      <c r="L43" s="160">
        <v>0.28850777937065603</v>
      </c>
      <c r="M43" s="160">
        <v>2.2190770058766198E-3</v>
      </c>
      <c r="N43" s="160">
        <v>3.8409518820255702E-3</v>
      </c>
      <c r="O43" s="160">
        <v>0.34757430169140402</v>
      </c>
      <c r="P43" s="160">
        <v>0.97684866712129004</v>
      </c>
      <c r="Q43" s="160">
        <v>4.5533977763469499E-2</v>
      </c>
      <c r="R43" s="160">
        <v>0.44872818389394598</v>
      </c>
      <c r="S43" s="160">
        <v>4.4644562103086802E-2</v>
      </c>
      <c r="T43" s="160">
        <v>0.116410203660127</v>
      </c>
      <c r="U43" s="160">
        <v>0.21399636009599801</v>
      </c>
      <c r="V43" s="160">
        <v>0.35232412557654302</v>
      </c>
      <c r="W43" s="160"/>
      <c r="X43" s="59"/>
      <c r="Y43" s="159"/>
      <c r="Z43" s="159"/>
      <c r="AA43" s="159"/>
      <c r="AB43" s="159"/>
      <c r="AC43" s="159"/>
      <c r="AD43" s="161"/>
      <c r="AE43" s="160"/>
    </row>
    <row r="44" spans="1:31" ht="21.25" customHeight="1" x14ac:dyDescent="0.15">
      <c r="A44" s="8" t="s">
        <v>126</v>
      </c>
      <c r="B44" s="157" t="s">
        <v>883</v>
      </c>
      <c r="C44" s="158">
        <v>33</v>
      </c>
      <c r="D44" s="157" t="s">
        <v>860</v>
      </c>
      <c r="E44" s="59">
        <v>77.044285714285706</v>
      </c>
      <c r="F44" s="159">
        <v>26.080562995426799</v>
      </c>
      <c r="G44" s="160">
        <v>0.23996851262660199</v>
      </c>
      <c r="H44" s="160">
        <v>0.70300992265415196</v>
      </c>
      <c r="I44" s="160">
        <v>0.94297843528075498</v>
      </c>
      <c r="J44" s="160">
        <v>2.5864785553264098</v>
      </c>
      <c r="K44" s="160">
        <v>5.1056491924183801E-2</v>
      </c>
      <c r="L44" s="160">
        <v>0.300677196578643</v>
      </c>
      <c r="M44" s="160">
        <v>2.0328418058856499E-4</v>
      </c>
      <c r="N44" s="160">
        <v>1.8411217734230099E-3</v>
      </c>
      <c r="O44" s="160">
        <v>1.19379465448221</v>
      </c>
      <c r="P44" s="160">
        <v>0.579747754861757</v>
      </c>
      <c r="Q44" s="160">
        <v>4.0290677117034997E-2</v>
      </c>
      <c r="R44" s="160">
        <v>0.374838147106834</v>
      </c>
      <c r="S44" s="160">
        <v>3.8190835902886203E-2</v>
      </c>
      <c r="T44" s="160">
        <v>0</v>
      </c>
      <c r="U44" s="160">
        <v>1.00486891615486E-2</v>
      </c>
      <c r="V44" s="160">
        <v>0</v>
      </c>
      <c r="W44" s="160"/>
      <c r="X44" s="59"/>
      <c r="Y44" s="159"/>
      <c r="Z44" s="159"/>
      <c r="AA44" s="159"/>
      <c r="AB44" s="159"/>
      <c r="AC44" s="159"/>
      <c r="AD44" s="161"/>
      <c r="AE44" s="160"/>
    </row>
    <row r="45" spans="1:31" ht="21.25" customHeight="1" x14ac:dyDescent="0.15">
      <c r="A45" s="8" t="s">
        <v>259</v>
      </c>
      <c r="B45" s="157" t="s">
        <v>887</v>
      </c>
      <c r="C45" s="158">
        <v>27</v>
      </c>
      <c r="D45" s="157" t="s">
        <v>857</v>
      </c>
      <c r="E45" s="59">
        <v>75.459285714285699</v>
      </c>
      <c r="F45" s="159">
        <v>19.793446718269099</v>
      </c>
      <c r="G45" s="160">
        <v>0.35985506777898002</v>
      </c>
      <c r="H45" s="160">
        <v>0.58019285921929997</v>
      </c>
      <c r="I45" s="160">
        <v>0.94004792699827999</v>
      </c>
      <c r="J45" s="160">
        <v>2.2386670113828502</v>
      </c>
      <c r="K45" s="160">
        <v>9.2926940674237707E-2</v>
      </c>
      <c r="L45" s="160">
        <v>0.19916026314100899</v>
      </c>
      <c r="M45" s="160">
        <v>1.4178737984309299E-3</v>
      </c>
      <c r="N45" s="160">
        <v>9.3275709378778209E-3</v>
      </c>
      <c r="O45" s="160">
        <v>0.45907977975231601</v>
      </c>
      <c r="P45" s="160">
        <v>0.27943476693196101</v>
      </c>
      <c r="Q45" s="160">
        <v>-1.45296944515627E-2</v>
      </c>
      <c r="R45" s="160">
        <v>0.33667540206332403</v>
      </c>
      <c r="S45" s="160">
        <v>4.435213558632E-2</v>
      </c>
      <c r="T45" s="160">
        <v>1.3532581899400999</v>
      </c>
      <c r="U45" s="160">
        <v>1.7432355562369299</v>
      </c>
      <c r="V45" s="160">
        <v>0.43702920169331799</v>
      </c>
      <c r="W45" s="160"/>
      <c r="X45" s="59"/>
      <c r="Y45" s="159"/>
      <c r="Z45" s="159"/>
      <c r="AA45" s="159"/>
      <c r="AB45" s="159"/>
      <c r="AC45" s="159"/>
      <c r="AD45" s="161"/>
      <c r="AE45" s="160"/>
    </row>
    <row r="46" spans="1:31" ht="21.25" customHeight="1" x14ac:dyDescent="0.15">
      <c r="A46" s="8" t="s">
        <v>171</v>
      </c>
      <c r="B46" s="157" t="s">
        <v>879</v>
      </c>
      <c r="C46" s="158">
        <v>35</v>
      </c>
      <c r="D46" s="157" t="s">
        <v>858</v>
      </c>
      <c r="E46" s="59">
        <v>78.343214285714296</v>
      </c>
      <c r="F46" s="159">
        <v>18.701640587913499</v>
      </c>
      <c r="G46" s="160">
        <v>0.33366374774836599</v>
      </c>
      <c r="H46" s="160">
        <v>0.60594491341828904</v>
      </c>
      <c r="I46" s="160">
        <v>0.93960866116665498</v>
      </c>
      <c r="J46" s="160">
        <v>2.7063400459886799</v>
      </c>
      <c r="K46" s="160">
        <v>9.3013820633151098E-2</v>
      </c>
      <c r="L46" s="160">
        <v>0.33797309063643299</v>
      </c>
      <c r="M46" s="160">
        <v>1.33123832806609E-2</v>
      </c>
      <c r="N46" s="160">
        <v>2.6362504662592101E-2</v>
      </c>
      <c r="O46" s="160">
        <v>0.31669421950432802</v>
      </c>
      <c r="P46" s="160">
        <v>1.10760712490962</v>
      </c>
      <c r="Q46" s="160">
        <v>9.4571554538169594E-2</v>
      </c>
      <c r="R46" s="160">
        <v>0.88064420832647605</v>
      </c>
      <c r="S46" s="160">
        <v>5.6015576951131997E-2</v>
      </c>
      <c r="T46" s="160">
        <v>0.26325794231428201</v>
      </c>
      <c r="U46" s="160">
        <v>0.476432159270954</v>
      </c>
      <c r="V46" s="160">
        <v>0.355903021752071</v>
      </c>
      <c r="W46" s="160"/>
      <c r="X46" s="59"/>
      <c r="Y46" s="159"/>
      <c r="Z46" s="159"/>
      <c r="AA46" s="159"/>
      <c r="AB46" s="159"/>
      <c r="AC46" s="159"/>
      <c r="AD46" s="161"/>
      <c r="AE46" s="160"/>
    </row>
    <row r="47" spans="1:31" ht="21.25" customHeight="1" x14ac:dyDescent="0.15">
      <c r="A47" s="8" t="s">
        <v>195</v>
      </c>
      <c r="B47" s="157" t="s">
        <v>895</v>
      </c>
      <c r="C47" s="158">
        <v>26</v>
      </c>
      <c r="D47" s="157" t="s">
        <v>857</v>
      </c>
      <c r="E47" s="59">
        <v>72.430000000000007</v>
      </c>
      <c r="F47" s="159">
        <v>19.265506524987501</v>
      </c>
      <c r="G47" s="160">
        <v>0.38210093456940603</v>
      </c>
      <c r="H47" s="160">
        <v>0.55707878970715097</v>
      </c>
      <c r="I47" s="160">
        <v>0.93917972427655705</v>
      </c>
      <c r="J47" s="160">
        <v>3.3689035200447801</v>
      </c>
      <c r="K47" s="160">
        <v>5.8899889467602197E-2</v>
      </c>
      <c r="L47" s="160">
        <v>0.26041778833101997</v>
      </c>
      <c r="M47" s="160">
        <v>1.8712444890402E-3</v>
      </c>
      <c r="N47" s="160">
        <v>3.4158900428725501E-3</v>
      </c>
      <c r="O47" s="160">
        <v>0.82049029390172701</v>
      </c>
      <c r="P47" s="160">
        <v>0.96256175380392595</v>
      </c>
      <c r="Q47" s="160">
        <v>8.1918175458466205E-2</v>
      </c>
      <c r="R47" s="160">
        <v>0.233318992942289</v>
      </c>
      <c r="S47" s="160">
        <v>6.2445718240139898E-2</v>
      </c>
      <c r="T47" s="160">
        <v>5.7779434258518902</v>
      </c>
      <c r="U47" s="160">
        <v>6.5964070783008699</v>
      </c>
      <c r="V47" s="160">
        <v>0.46692902580324103</v>
      </c>
      <c r="W47" s="160"/>
      <c r="X47" s="59"/>
      <c r="Y47" s="159"/>
      <c r="Z47" s="159"/>
      <c r="AA47" s="159"/>
      <c r="AB47" s="159"/>
      <c r="AC47" s="159"/>
      <c r="AD47" s="161"/>
      <c r="AE47" s="160"/>
    </row>
    <row r="48" spans="1:31" ht="21.25" customHeight="1" x14ac:dyDescent="0.15">
      <c r="A48" s="8" t="s">
        <v>173</v>
      </c>
      <c r="B48" s="157" t="s">
        <v>896</v>
      </c>
      <c r="C48" s="158">
        <v>25</v>
      </c>
      <c r="D48" s="157" t="s">
        <v>859</v>
      </c>
      <c r="E48" s="59">
        <v>78.47</v>
      </c>
      <c r="F48" s="159">
        <v>19.746723321483</v>
      </c>
      <c r="G48" s="160">
        <v>0.414898667586587</v>
      </c>
      <c r="H48" s="160">
        <v>0.52134770363723404</v>
      </c>
      <c r="I48" s="160">
        <v>0.93624637122382104</v>
      </c>
      <c r="J48" s="160">
        <v>2.73386251849784</v>
      </c>
      <c r="K48" s="160">
        <v>9.6340490576883805E-2</v>
      </c>
      <c r="L48" s="160">
        <v>0.215676529752552</v>
      </c>
      <c r="M48" s="160">
        <v>9.2594834339643803E-4</v>
      </c>
      <c r="N48" s="160">
        <v>1.68944405389656E-3</v>
      </c>
      <c r="O48" s="160">
        <v>0.35932991391097902</v>
      </c>
      <c r="P48" s="160">
        <v>0.217079658951365</v>
      </c>
      <c r="Q48" s="160">
        <v>-8.4495292185624599E-2</v>
      </c>
      <c r="R48" s="160">
        <v>0.38951228007111799</v>
      </c>
      <c r="S48" s="160">
        <v>4.49789298128139E-2</v>
      </c>
      <c r="T48" s="160">
        <v>3.01211214611933E-2</v>
      </c>
      <c r="U48" s="160">
        <v>2.1675130763662301E-2</v>
      </c>
      <c r="V48" s="160">
        <v>0.58153090556499798</v>
      </c>
      <c r="W48" s="160"/>
      <c r="X48" s="59"/>
      <c r="Y48" s="159"/>
      <c r="Z48" s="159"/>
      <c r="AA48" s="159"/>
      <c r="AB48" s="159"/>
      <c r="AC48" s="159"/>
      <c r="AD48" s="161"/>
      <c r="AE48" s="160"/>
    </row>
    <row r="49" spans="1:31" ht="21.25" customHeight="1" x14ac:dyDescent="0.15">
      <c r="A49" s="8" t="s">
        <v>158</v>
      </c>
      <c r="B49" s="157" t="s">
        <v>870</v>
      </c>
      <c r="C49" s="158">
        <v>31</v>
      </c>
      <c r="D49" s="157" t="s">
        <v>858</v>
      </c>
      <c r="E49" s="59">
        <v>78.768928571428603</v>
      </c>
      <c r="F49" s="159">
        <v>20.099493205368201</v>
      </c>
      <c r="G49" s="160">
        <v>0.42262261965942299</v>
      </c>
      <c r="H49" s="160">
        <v>0.51331702926742195</v>
      </c>
      <c r="I49" s="160">
        <v>0.935939648926845</v>
      </c>
      <c r="J49" s="160">
        <v>3.3320273093916999</v>
      </c>
      <c r="K49" s="160">
        <v>0.151868527756712</v>
      </c>
      <c r="L49" s="160">
        <v>0.283008456465974</v>
      </c>
      <c r="M49" s="160">
        <v>2.1920450360284499E-3</v>
      </c>
      <c r="N49" s="160">
        <v>7.5494117714993902E-3</v>
      </c>
      <c r="O49" s="160">
        <v>0.29820911117919502</v>
      </c>
      <c r="P49" s="160">
        <v>0.97853946417954296</v>
      </c>
      <c r="Q49" s="160">
        <v>0.10182718135452</v>
      </c>
      <c r="R49" s="160">
        <v>0.51782427631078898</v>
      </c>
      <c r="S49" s="160">
        <v>6.6896623574995998E-2</v>
      </c>
      <c r="T49" s="160">
        <v>0.18567361034291699</v>
      </c>
      <c r="U49" s="160">
        <v>0.211161960367029</v>
      </c>
      <c r="V49" s="160">
        <v>0.46788550232718201</v>
      </c>
      <c r="W49" s="160"/>
      <c r="X49" s="59"/>
      <c r="Y49" s="159"/>
      <c r="Z49" s="159"/>
      <c r="AA49" s="159"/>
      <c r="AB49" s="159"/>
      <c r="AC49" s="159"/>
      <c r="AD49" s="161"/>
      <c r="AE49" s="160"/>
    </row>
    <row r="50" spans="1:31" ht="21.25" customHeight="1" x14ac:dyDescent="0.15">
      <c r="A50" s="8" t="s">
        <v>119</v>
      </c>
      <c r="B50" s="157" t="s">
        <v>897</v>
      </c>
      <c r="C50" s="158">
        <v>33</v>
      </c>
      <c r="D50" s="157" t="s">
        <v>860</v>
      </c>
      <c r="E50" s="59">
        <v>77.921071428571395</v>
      </c>
      <c r="F50" s="159">
        <v>25.196900572663399</v>
      </c>
      <c r="G50" s="160">
        <v>0.23860376609362699</v>
      </c>
      <c r="H50" s="160">
        <v>0.68820571913503203</v>
      </c>
      <c r="I50" s="160">
        <v>0.92680948522865902</v>
      </c>
      <c r="J50" s="160">
        <v>3.6165804473682699</v>
      </c>
      <c r="K50" s="160">
        <v>0.10257661910018499</v>
      </c>
      <c r="L50" s="160">
        <v>0.36399773489215698</v>
      </c>
      <c r="M50" s="160">
        <v>3.4111587590371503E-4</v>
      </c>
      <c r="N50" s="160">
        <v>3.0874383262672299E-3</v>
      </c>
      <c r="O50" s="160">
        <v>1.89206146090024</v>
      </c>
      <c r="P50" s="160">
        <v>0.87761411322814598</v>
      </c>
      <c r="Q50" s="160">
        <v>2.23433046729366E-2</v>
      </c>
      <c r="R50" s="160">
        <v>0.55187581710546596</v>
      </c>
      <c r="S50" s="160">
        <v>3.4842390311014798E-2</v>
      </c>
      <c r="T50" s="160">
        <v>0</v>
      </c>
      <c r="U50" s="160">
        <v>0</v>
      </c>
      <c r="V50" s="160">
        <v>0</v>
      </c>
      <c r="W50" s="160"/>
      <c r="X50" s="59"/>
      <c r="Y50" s="159"/>
      <c r="Z50" s="159"/>
      <c r="AA50" s="159"/>
      <c r="AB50" s="159"/>
      <c r="AC50" s="159"/>
      <c r="AD50" s="161"/>
      <c r="AE50" s="160"/>
    </row>
    <row r="51" spans="1:31" ht="21.25" customHeight="1" x14ac:dyDescent="0.15">
      <c r="A51" s="8" t="s">
        <v>138</v>
      </c>
      <c r="B51" s="157" t="s">
        <v>882</v>
      </c>
      <c r="C51" s="158">
        <v>23</v>
      </c>
      <c r="D51" s="157" t="s">
        <v>860</v>
      </c>
      <c r="E51" s="59">
        <v>80.495000000000005</v>
      </c>
      <c r="F51" s="159">
        <v>25.179356028181701</v>
      </c>
      <c r="G51" s="160">
        <v>9.93356046891926E-2</v>
      </c>
      <c r="H51" s="160">
        <v>0.82714396517178301</v>
      </c>
      <c r="I51" s="160">
        <v>0.92647956986097602</v>
      </c>
      <c r="J51" s="160">
        <v>1.9989202228665199</v>
      </c>
      <c r="K51" s="160">
        <v>1.6062298806359399E-2</v>
      </c>
      <c r="L51" s="160">
        <v>0.417955396806026</v>
      </c>
      <c r="M51" s="160">
        <v>3.0082573996566698E-4</v>
      </c>
      <c r="N51" s="160">
        <v>8.1296408134000995E-3</v>
      </c>
      <c r="O51" s="160">
        <v>0.97166774227043895</v>
      </c>
      <c r="P51" s="160">
        <v>0.50648617970579002</v>
      </c>
      <c r="Q51" s="160">
        <v>2.28179595746783E-2</v>
      </c>
      <c r="R51" s="160">
        <v>0.43563783282642998</v>
      </c>
      <c r="S51" s="160">
        <v>1.4061913328434501E-2</v>
      </c>
      <c r="T51" s="160">
        <v>4.3633502831568497E-3</v>
      </c>
      <c r="U51" s="160">
        <v>5.1047928436442399E-3</v>
      </c>
      <c r="V51" s="160">
        <v>0.46084540809334501</v>
      </c>
      <c r="W51" s="160"/>
      <c r="X51" s="59"/>
      <c r="Y51" s="159"/>
      <c r="Z51" s="159"/>
      <c r="AA51" s="159"/>
      <c r="AB51" s="159"/>
      <c r="AC51" s="159"/>
      <c r="AD51" s="161"/>
      <c r="AE51" s="160"/>
    </row>
    <row r="52" spans="1:31" ht="21.25" customHeight="1" x14ac:dyDescent="0.15">
      <c r="A52" s="8" t="s">
        <v>176</v>
      </c>
      <c r="B52" s="157" t="s">
        <v>876</v>
      </c>
      <c r="C52" s="158">
        <v>25</v>
      </c>
      <c r="D52" s="157" t="s">
        <v>858</v>
      </c>
      <c r="E52" s="59">
        <v>80.349999999999994</v>
      </c>
      <c r="F52" s="159">
        <v>17.6488646323171</v>
      </c>
      <c r="G52" s="160">
        <v>0.36562081393665502</v>
      </c>
      <c r="H52" s="160">
        <v>0.56061700550925497</v>
      </c>
      <c r="I52" s="160">
        <v>0.92623781944590999</v>
      </c>
      <c r="J52" s="160">
        <v>2.6025008324378298</v>
      </c>
      <c r="K52" s="160">
        <v>8.8243751410108706E-2</v>
      </c>
      <c r="L52" s="160">
        <v>0.28347044457299497</v>
      </c>
      <c r="M52" s="160">
        <v>1.90592230946296E-4</v>
      </c>
      <c r="N52" s="160">
        <v>6.5942177433326601E-4</v>
      </c>
      <c r="O52" s="160">
        <v>0.330588274964906</v>
      </c>
      <c r="P52" s="160">
        <v>0.400984790542117</v>
      </c>
      <c r="Q52" s="160">
        <v>2.4435102320858899E-2</v>
      </c>
      <c r="R52" s="160">
        <v>0.19004835215219501</v>
      </c>
      <c r="S52" s="160">
        <v>5.3815948575363301E-2</v>
      </c>
      <c r="T52" s="160">
        <v>1.1559868991984699E-3</v>
      </c>
      <c r="U52" s="160">
        <v>2.24251287173774E-2</v>
      </c>
      <c r="V52" s="160">
        <v>4.9021722211729797E-2</v>
      </c>
      <c r="W52" s="160"/>
      <c r="X52" s="59"/>
      <c r="Y52" s="159"/>
      <c r="Z52" s="159"/>
      <c r="AA52" s="159"/>
      <c r="AB52" s="159"/>
      <c r="AC52" s="159"/>
      <c r="AD52" s="161"/>
      <c r="AE52" s="160"/>
    </row>
    <row r="53" spans="1:31" ht="21.25" customHeight="1" x14ac:dyDescent="0.15">
      <c r="A53" s="8" t="s">
        <v>160</v>
      </c>
      <c r="B53" s="157" t="s">
        <v>874</v>
      </c>
      <c r="C53" s="158">
        <v>32</v>
      </c>
      <c r="D53" s="157" t="s">
        <v>857</v>
      </c>
      <c r="E53" s="59">
        <v>81.262500000000003</v>
      </c>
      <c r="F53" s="159">
        <v>17.589665453734799</v>
      </c>
      <c r="G53" s="160">
        <v>0.37578853830151598</v>
      </c>
      <c r="H53" s="160">
        <v>0.54760667138900598</v>
      </c>
      <c r="I53" s="160">
        <v>0.92339520969052202</v>
      </c>
      <c r="J53" s="160">
        <v>3.2309251034125199</v>
      </c>
      <c r="K53" s="160">
        <v>0.17195416368018801</v>
      </c>
      <c r="L53" s="160">
        <v>0.39836158350602202</v>
      </c>
      <c r="M53" s="160">
        <v>7.0998827062485596E-5</v>
      </c>
      <c r="N53" s="160">
        <v>1.3080896861337801E-4</v>
      </c>
      <c r="O53" s="160">
        <v>0.46784765139557899</v>
      </c>
      <c r="P53" s="160">
        <v>1.25001772604983</v>
      </c>
      <c r="Q53" s="160">
        <v>6.3947766109531096E-2</v>
      </c>
      <c r="R53" s="160">
        <v>0.38817652665730201</v>
      </c>
      <c r="S53" s="160">
        <v>6.0370328795059103E-2</v>
      </c>
      <c r="T53" s="160">
        <v>9.1296451231240496</v>
      </c>
      <c r="U53" s="160">
        <v>6.4444894543548399</v>
      </c>
      <c r="V53" s="160">
        <v>0.58620561403945004</v>
      </c>
      <c r="W53" s="160"/>
      <c r="X53" s="59"/>
      <c r="Y53" s="159"/>
      <c r="Z53" s="159"/>
      <c r="AA53" s="159"/>
      <c r="AB53" s="159"/>
      <c r="AC53" s="159"/>
      <c r="AD53" s="161"/>
      <c r="AE53" s="160"/>
    </row>
    <row r="54" spans="1:31" ht="21.25" customHeight="1" x14ac:dyDescent="0.15">
      <c r="A54" s="8" t="s">
        <v>146</v>
      </c>
      <c r="B54" s="157" t="s">
        <v>875</v>
      </c>
      <c r="C54" s="158">
        <v>22</v>
      </c>
      <c r="D54" s="157" t="s">
        <v>858</v>
      </c>
      <c r="E54" s="59">
        <v>79.099999999999994</v>
      </c>
      <c r="F54" s="159">
        <v>19.0849791416092</v>
      </c>
      <c r="G54" s="160">
        <v>0.41263249460616602</v>
      </c>
      <c r="H54" s="160">
        <v>0.51031082424004304</v>
      </c>
      <c r="I54" s="160">
        <v>0.92294331884620895</v>
      </c>
      <c r="J54" s="160">
        <v>3.1831746783741002</v>
      </c>
      <c r="K54" s="160">
        <v>0.10757422655648401</v>
      </c>
      <c r="L54" s="160">
        <v>0.33857818432721998</v>
      </c>
      <c r="M54" s="160">
        <v>8.1402185172804004E-4</v>
      </c>
      <c r="N54" s="160">
        <v>1.48287695568672E-3</v>
      </c>
      <c r="O54" s="160">
        <v>0.395560547345639</v>
      </c>
      <c r="P54" s="160">
        <v>0.81738237224854604</v>
      </c>
      <c r="Q54" s="160">
        <v>5.2084395282059402E-2</v>
      </c>
      <c r="R54" s="160">
        <v>0.44634744601023701</v>
      </c>
      <c r="S54" s="160">
        <v>6.6259046916974901E-2</v>
      </c>
      <c r="T54" s="160">
        <v>0.84063649264102802</v>
      </c>
      <c r="U54" s="160">
        <v>0.85012077415935505</v>
      </c>
      <c r="V54" s="160">
        <v>0.49719525631959099</v>
      </c>
      <c r="W54" s="160"/>
      <c r="X54" s="59"/>
      <c r="Y54" s="159"/>
      <c r="Z54" s="159"/>
      <c r="AA54" s="159"/>
      <c r="AB54" s="159"/>
      <c r="AC54" s="159"/>
      <c r="AD54" s="161"/>
      <c r="AE54" s="160"/>
    </row>
    <row r="55" spans="1:31" ht="21.25" customHeight="1" x14ac:dyDescent="0.15">
      <c r="A55" s="8" t="s">
        <v>164</v>
      </c>
      <c r="B55" s="157" t="s">
        <v>898</v>
      </c>
      <c r="C55" s="158">
        <v>27</v>
      </c>
      <c r="D55" s="157" t="s">
        <v>857</v>
      </c>
      <c r="E55" s="59">
        <v>78.405357142857099</v>
      </c>
      <c r="F55" s="159">
        <v>19.803300616979701</v>
      </c>
      <c r="G55" s="160">
        <v>0.38606108410856699</v>
      </c>
      <c r="H55" s="160">
        <v>0.53279246378801004</v>
      </c>
      <c r="I55" s="160">
        <v>0.91885354789657703</v>
      </c>
      <c r="J55" s="160">
        <v>3.01808252270507</v>
      </c>
      <c r="K55" s="160">
        <v>0.14816151167435401</v>
      </c>
      <c r="L55" s="160">
        <v>0.31651148972205201</v>
      </c>
      <c r="M55" s="160">
        <v>1.08318339547672E-2</v>
      </c>
      <c r="N55" s="160">
        <v>1.7405371340977801E-2</v>
      </c>
      <c r="O55" s="160">
        <v>0.37648317457983199</v>
      </c>
      <c r="P55" s="160">
        <v>0.75528443079805596</v>
      </c>
      <c r="Q55" s="160">
        <v>-3.6521681428974301E-2</v>
      </c>
      <c r="R55" s="160">
        <v>0.52919411930293303</v>
      </c>
      <c r="S55" s="160">
        <v>4.9844870143251202E-2</v>
      </c>
      <c r="T55" s="160">
        <v>9.0100665683561001</v>
      </c>
      <c r="U55" s="160">
        <v>8.0373547117213704</v>
      </c>
      <c r="V55" s="160">
        <v>0.52852958933359295</v>
      </c>
      <c r="W55" s="160"/>
      <c r="X55" s="59"/>
      <c r="Y55" s="159"/>
      <c r="Z55" s="159"/>
      <c r="AA55" s="159"/>
      <c r="AB55" s="159"/>
      <c r="AC55" s="159"/>
      <c r="AD55" s="161"/>
      <c r="AE55" s="160"/>
    </row>
    <row r="56" spans="1:31" ht="21.25" customHeight="1" x14ac:dyDescent="0.15">
      <c r="A56" s="8" t="s">
        <v>200</v>
      </c>
      <c r="B56" s="157" t="s">
        <v>886</v>
      </c>
      <c r="C56" s="158">
        <v>30</v>
      </c>
      <c r="D56" s="157" t="s">
        <v>857</v>
      </c>
      <c r="E56" s="59">
        <v>79.55</v>
      </c>
      <c r="F56" s="159">
        <v>20.337313943889701</v>
      </c>
      <c r="G56" s="160">
        <v>0.44771118745717697</v>
      </c>
      <c r="H56" s="160">
        <v>0.46935874334682998</v>
      </c>
      <c r="I56" s="160">
        <v>0.91706993080400701</v>
      </c>
      <c r="J56" s="160">
        <v>2.4893691926504999</v>
      </c>
      <c r="K56" s="160">
        <v>0.120151640305335</v>
      </c>
      <c r="L56" s="160">
        <v>0.27139795625435198</v>
      </c>
      <c r="M56" s="160">
        <v>5.06768061305834E-4</v>
      </c>
      <c r="N56" s="160">
        <v>9.2646551041055401E-4</v>
      </c>
      <c r="O56" s="160">
        <v>0.52412064925368396</v>
      </c>
      <c r="P56" s="160">
        <v>0.59723302850353799</v>
      </c>
      <c r="Q56" s="160">
        <v>1.22023740600141E-2</v>
      </c>
      <c r="R56" s="160">
        <v>0.31445715221502601</v>
      </c>
      <c r="S56" s="160">
        <v>6.9844443814155999E-2</v>
      </c>
      <c r="T56" s="160">
        <v>6.9799182644530697</v>
      </c>
      <c r="U56" s="160">
        <v>7.1845969872972004</v>
      </c>
      <c r="V56" s="160">
        <v>0.49277494784656201</v>
      </c>
      <c r="W56" s="160"/>
      <c r="X56" s="59"/>
      <c r="Y56" s="159"/>
      <c r="Z56" s="159"/>
      <c r="AA56" s="159"/>
      <c r="AB56" s="159"/>
      <c r="AC56" s="159"/>
      <c r="AD56" s="161"/>
      <c r="AE56" s="160"/>
    </row>
    <row r="57" spans="1:31" ht="21.25" customHeight="1" x14ac:dyDescent="0.15">
      <c r="A57" s="8" t="s">
        <v>165</v>
      </c>
      <c r="B57" s="157" t="s">
        <v>899</v>
      </c>
      <c r="C57" s="158">
        <v>26</v>
      </c>
      <c r="D57" s="157" t="s">
        <v>859</v>
      </c>
      <c r="E57" s="59">
        <v>76.833928571428601</v>
      </c>
      <c r="F57" s="159">
        <v>20.043401772103699</v>
      </c>
      <c r="G57" s="160">
        <v>0.38648334688977898</v>
      </c>
      <c r="H57" s="160">
        <v>0.52761489621845603</v>
      </c>
      <c r="I57" s="160">
        <v>0.91409824310823495</v>
      </c>
      <c r="J57" s="160">
        <v>3.06282363370007</v>
      </c>
      <c r="K57" s="160">
        <v>6.41026087073929E-2</v>
      </c>
      <c r="L57" s="160">
        <v>0.21151158954077101</v>
      </c>
      <c r="M57" s="160">
        <v>3.8234765123033199E-2</v>
      </c>
      <c r="N57" s="160">
        <v>7.60086208964183E-2</v>
      </c>
      <c r="O57" s="160">
        <v>0.58716432887008696</v>
      </c>
      <c r="P57" s="160">
        <v>1.0176422673468799</v>
      </c>
      <c r="Q57" s="160">
        <v>-7.3258248898289496E-2</v>
      </c>
      <c r="R57" s="160">
        <v>0.74527020275519096</v>
      </c>
      <c r="S57" s="160">
        <v>4.5429433288125598E-2</v>
      </c>
      <c r="T57" s="160">
        <v>0.36066205703384602</v>
      </c>
      <c r="U57" s="160">
        <v>0.487320587157483</v>
      </c>
      <c r="V57" s="160">
        <v>0.42531773439512799</v>
      </c>
      <c r="W57" s="160"/>
      <c r="X57" s="59"/>
      <c r="Y57" s="159"/>
      <c r="Z57" s="159"/>
      <c r="AA57" s="159"/>
      <c r="AB57" s="159"/>
      <c r="AC57" s="159"/>
      <c r="AD57" s="161"/>
      <c r="AE57" s="160"/>
    </row>
    <row r="58" spans="1:31" ht="21.25" customHeight="1" x14ac:dyDescent="0.15">
      <c r="A58" s="8" t="s">
        <v>144</v>
      </c>
      <c r="B58" s="157" t="s">
        <v>888</v>
      </c>
      <c r="C58" s="158">
        <v>23</v>
      </c>
      <c r="D58" s="157" t="s">
        <v>858</v>
      </c>
      <c r="E58" s="59">
        <v>81.617500000000007</v>
      </c>
      <c r="F58" s="159">
        <v>18.1165430692073</v>
      </c>
      <c r="G58" s="160">
        <v>0.39161405641224101</v>
      </c>
      <c r="H58" s="160">
        <v>0.52037678337354998</v>
      </c>
      <c r="I58" s="160">
        <v>0.91199083978579099</v>
      </c>
      <c r="J58" s="160">
        <v>3.84937804604888</v>
      </c>
      <c r="K58" s="160">
        <v>0.11632827207416301</v>
      </c>
      <c r="L58" s="160">
        <v>0.279514159564274</v>
      </c>
      <c r="M58" s="160">
        <v>3.1125210307303902E-4</v>
      </c>
      <c r="N58" s="160">
        <v>5.6635306447948796E-4</v>
      </c>
      <c r="O58" s="160">
        <v>0.20034900502806</v>
      </c>
      <c r="P58" s="160">
        <v>2.8504151166093301</v>
      </c>
      <c r="Q58" s="160">
        <v>3.2161451639999797E-2</v>
      </c>
      <c r="R58" s="160">
        <v>1.06385627815425</v>
      </c>
      <c r="S58" s="160">
        <v>5.4395560413660997E-2</v>
      </c>
      <c r="T58" s="160">
        <v>3.9210591550429301</v>
      </c>
      <c r="U58" s="160">
        <v>4.1085239816410999</v>
      </c>
      <c r="V58" s="160">
        <v>0.48832661525467502</v>
      </c>
      <c r="W58" s="160"/>
      <c r="X58" s="59"/>
      <c r="Y58" s="159"/>
      <c r="Z58" s="159"/>
      <c r="AA58" s="159"/>
      <c r="AB58" s="159"/>
      <c r="AC58" s="159"/>
      <c r="AD58" s="161"/>
      <c r="AE58" s="160"/>
    </row>
    <row r="59" spans="1:31" ht="21.25" customHeight="1" x14ac:dyDescent="0.15">
      <c r="A59" s="8" t="s">
        <v>232</v>
      </c>
      <c r="B59" s="157" t="s">
        <v>895</v>
      </c>
      <c r="C59" s="158">
        <v>31</v>
      </c>
      <c r="D59" s="157" t="s">
        <v>859</v>
      </c>
      <c r="E59" s="59">
        <v>68.773571428571401</v>
      </c>
      <c r="F59" s="159">
        <v>19.699941070972699</v>
      </c>
      <c r="G59" s="160">
        <v>0.35060998945043997</v>
      </c>
      <c r="H59" s="160">
        <v>0.560536483560933</v>
      </c>
      <c r="I59" s="160">
        <v>0.91114647301137297</v>
      </c>
      <c r="J59" s="160">
        <v>2.4716873640948802</v>
      </c>
      <c r="K59" s="160">
        <v>8.5855817896182393E-2</v>
      </c>
      <c r="L59" s="160">
        <v>0.232353065423239</v>
      </c>
      <c r="M59" s="160">
        <v>2.56078891019456E-2</v>
      </c>
      <c r="N59" s="160">
        <v>3.3672900517618197E-2</v>
      </c>
      <c r="O59" s="160">
        <v>0.57482843419777996</v>
      </c>
      <c r="P59" s="160">
        <v>0.73707459692813504</v>
      </c>
      <c r="Q59" s="160">
        <v>0.104469284721663</v>
      </c>
      <c r="R59" s="160">
        <v>0.36501697547496498</v>
      </c>
      <c r="S59" s="160">
        <v>5.7299238584886697E-2</v>
      </c>
      <c r="T59" s="160">
        <v>6.2235476852826203E-2</v>
      </c>
      <c r="U59" s="160">
        <v>0.188792119421201</v>
      </c>
      <c r="V59" s="160">
        <v>0.247922849027676</v>
      </c>
      <c r="W59" s="160"/>
      <c r="X59" s="59"/>
      <c r="Y59" s="159"/>
      <c r="Z59" s="159"/>
      <c r="AA59" s="159"/>
      <c r="AB59" s="159"/>
      <c r="AC59" s="159"/>
      <c r="AD59" s="161"/>
      <c r="AE59" s="160"/>
    </row>
    <row r="60" spans="1:31" ht="21.25" customHeight="1" x14ac:dyDescent="0.15">
      <c r="A60" s="8" t="s">
        <v>182</v>
      </c>
      <c r="B60" s="157" t="s">
        <v>897</v>
      </c>
      <c r="C60" s="158">
        <v>29</v>
      </c>
      <c r="D60" s="157" t="s">
        <v>858</v>
      </c>
      <c r="E60" s="59">
        <v>72.0732142857143</v>
      </c>
      <c r="F60" s="159">
        <v>17.382366269817101</v>
      </c>
      <c r="G60" s="160">
        <v>0.41552159687528201</v>
      </c>
      <c r="H60" s="160">
        <v>0.49473598995551499</v>
      </c>
      <c r="I60" s="160">
        <v>0.91025758683079605</v>
      </c>
      <c r="J60" s="160">
        <v>3.0485307088001599</v>
      </c>
      <c r="K60" s="160">
        <v>9.04331249371228E-2</v>
      </c>
      <c r="L60" s="160">
        <v>0.26841312665424799</v>
      </c>
      <c r="M60" s="160">
        <v>1.3979370181784801E-4</v>
      </c>
      <c r="N60" s="160">
        <v>2.5568963954858301E-4</v>
      </c>
      <c r="O60" s="160">
        <v>0.484609386849287</v>
      </c>
      <c r="P60" s="160">
        <v>1.54143159146987</v>
      </c>
      <c r="Q60" s="160">
        <v>3.2011212184912602E-3</v>
      </c>
      <c r="R60" s="160">
        <v>0.37501716671001001</v>
      </c>
      <c r="S60" s="160">
        <v>6.0677020727760503E-2</v>
      </c>
      <c r="T60" s="160">
        <v>1.9902531160086102E-2</v>
      </c>
      <c r="U60" s="160">
        <v>1.8935268107241301E-2</v>
      </c>
      <c r="V60" s="160">
        <v>0.51245259864220005</v>
      </c>
      <c r="W60" s="160"/>
      <c r="X60" s="59"/>
      <c r="Y60" s="159"/>
      <c r="Z60" s="159"/>
      <c r="AA60" s="159"/>
      <c r="AB60" s="159"/>
      <c r="AC60" s="159"/>
      <c r="AD60" s="161"/>
      <c r="AE60" s="160"/>
    </row>
    <row r="61" spans="1:31" ht="21.25" customHeight="1" x14ac:dyDescent="0.15">
      <c r="A61" s="8" t="s">
        <v>153</v>
      </c>
      <c r="B61" s="157" t="s">
        <v>893</v>
      </c>
      <c r="C61" s="158">
        <v>23</v>
      </c>
      <c r="D61" s="157" t="s">
        <v>859</v>
      </c>
      <c r="E61" s="59">
        <v>78.138571428571396</v>
      </c>
      <c r="F61" s="159">
        <v>17.9701293610518</v>
      </c>
      <c r="G61" s="160">
        <v>0.378736001438571</v>
      </c>
      <c r="H61" s="160">
        <v>0.52972267400538797</v>
      </c>
      <c r="I61" s="160">
        <v>0.90845867544395897</v>
      </c>
      <c r="J61" s="160">
        <v>3.1151254655239602</v>
      </c>
      <c r="K61" s="160">
        <v>8.8839353866044898E-2</v>
      </c>
      <c r="L61" s="160">
        <v>0.27544545335063703</v>
      </c>
      <c r="M61" s="160">
        <v>1.8798853852788799E-4</v>
      </c>
      <c r="N61" s="160">
        <v>3.4172450635502899E-4</v>
      </c>
      <c r="O61" s="160">
        <v>0.27595111603352401</v>
      </c>
      <c r="P61" s="160">
        <v>2.1138118177607099</v>
      </c>
      <c r="Q61" s="160">
        <v>0.113391061830856</v>
      </c>
      <c r="R61" s="160">
        <v>0.87959830847953902</v>
      </c>
      <c r="S61" s="160">
        <v>6.7953719198481796E-2</v>
      </c>
      <c r="T61" s="160">
        <v>3.1269148344130103E-2</v>
      </c>
      <c r="U61" s="160">
        <v>9.50874406876039E-2</v>
      </c>
      <c r="V61" s="160">
        <v>0.24746749325654099</v>
      </c>
      <c r="W61" s="160"/>
      <c r="X61" s="59"/>
      <c r="Y61" s="159"/>
      <c r="Z61" s="159"/>
      <c r="AA61" s="159"/>
      <c r="AB61" s="159"/>
      <c r="AC61" s="159"/>
      <c r="AD61" s="161"/>
      <c r="AE61" s="160"/>
    </row>
    <row r="62" spans="1:31" ht="21.25" customHeight="1" x14ac:dyDescent="0.15">
      <c r="A62" s="8" t="s">
        <v>130</v>
      </c>
      <c r="B62" s="157" t="s">
        <v>880</v>
      </c>
      <c r="C62" s="158">
        <v>25</v>
      </c>
      <c r="D62" s="157" t="s">
        <v>860</v>
      </c>
      <c r="E62" s="59">
        <v>81.333571428571403</v>
      </c>
      <c r="F62" s="159">
        <v>24.462845880335401</v>
      </c>
      <c r="G62" s="160">
        <v>0.136235969216078</v>
      </c>
      <c r="H62" s="160">
        <v>0.77164123962084397</v>
      </c>
      <c r="I62" s="160">
        <v>0.90787720883692202</v>
      </c>
      <c r="J62" s="160">
        <v>2.01239457012238</v>
      </c>
      <c r="K62" s="160">
        <v>1.5632237533424301E-2</v>
      </c>
      <c r="L62" s="160">
        <v>0.39137334844375499</v>
      </c>
      <c r="M62" s="160">
        <v>5.6087648748719496E-3</v>
      </c>
      <c r="N62" s="160">
        <v>2.9508026239401498E-2</v>
      </c>
      <c r="O62" s="160">
        <v>1.58821620609778</v>
      </c>
      <c r="P62" s="160">
        <v>0.48597294833862997</v>
      </c>
      <c r="Q62" s="160">
        <v>9.7344627247217E-2</v>
      </c>
      <c r="R62" s="160">
        <v>0.39082212452246801</v>
      </c>
      <c r="S62" s="160">
        <v>2.3214354750985201E-2</v>
      </c>
      <c r="T62" s="160">
        <v>0</v>
      </c>
      <c r="U62" s="160">
        <v>1.8919021883145001E-3</v>
      </c>
      <c r="V62" s="160">
        <v>0</v>
      </c>
      <c r="W62" s="160"/>
      <c r="X62" s="59"/>
      <c r="Y62" s="159"/>
      <c r="Z62" s="159"/>
      <c r="AA62" s="159"/>
      <c r="AB62" s="159"/>
      <c r="AC62" s="159"/>
      <c r="AD62" s="161"/>
      <c r="AE62" s="160"/>
    </row>
    <row r="63" spans="1:31" ht="21.25" customHeight="1" x14ac:dyDescent="0.15">
      <c r="A63" s="8" t="s">
        <v>210</v>
      </c>
      <c r="B63" s="157" t="s">
        <v>883</v>
      </c>
      <c r="C63" s="158">
        <v>37</v>
      </c>
      <c r="D63" s="157" t="s">
        <v>857</v>
      </c>
      <c r="E63" s="59">
        <v>73.024642857142894</v>
      </c>
      <c r="F63" s="159">
        <v>18.329727075647899</v>
      </c>
      <c r="G63" s="160">
        <v>0.32125146223622902</v>
      </c>
      <c r="H63" s="160">
        <v>0.58442421433366298</v>
      </c>
      <c r="I63" s="160">
        <v>0.90567567656989301</v>
      </c>
      <c r="J63" s="160">
        <v>2.8378247469578701</v>
      </c>
      <c r="K63" s="160">
        <v>0.13190606339908201</v>
      </c>
      <c r="L63" s="160">
        <v>0.38295879632589003</v>
      </c>
      <c r="M63" s="160">
        <v>8.5258160889874004E-5</v>
      </c>
      <c r="N63" s="160">
        <v>1.5947974926639599E-4</v>
      </c>
      <c r="O63" s="160">
        <v>0.41167717026292699</v>
      </c>
      <c r="P63" s="160">
        <v>0.66874414082616096</v>
      </c>
      <c r="Q63" s="160">
        <v>3.65913939605748E-2</v>
      </c>
      <c r="R63" s="160">
        <v>0.627911622074528</v>
      </c>
      <c r="S63" s="160">
        <v>5.1126965548670897E-2</v>
      </c>
      <c r="T63" s="160">
        <v>4.8162060147046803</v>
      </c>
      <c r="U63" s="160">
        <v>5.4459436291193697</v>
      </c>
      <c r="V63" s="160">
        <v>0.46931746094768401</v>
      </c>
      <c r="W63" s="160"/>
      <c r="X63" s="59"/>
      <c r="Y63" s="159"/>
      <c r="Z63" s="159"/>
      <c r="AA63" s="159"/>
      <c r="AB63" s="159"/>
      <c r="AC63" s="159"/>
      <c r="AD63" s="161"/>
      <c r="AE63" s="160"/>
    </row>
    <row r="64" spans="1:31" ht="21.25" customHeight="1" x14ac:dyDescent="0.15">
      <c r="A64" s="8" t="s">
        <v>206</v>
      </c>
      <c r="B64" s="157" t="s">
        <v>873</v>
      </c>
      <c r="C64" s="158">
        <v>28</v>
      </c>
      <c r="D64" s="157" t="s">
        <v>857</v>
      </c>
      <c r="E64" s="59">
        <v>79.398928571428598</v>
      </c>
      <c r="F64" s="159">
        <v>18.2777310597683</v>
      </c>
      <c r="G64" s="160">
        <v>0.45660406198429798</v>
      </c>
      <c r="H64" s="160">
        <v>0.44540941976739301</v>
      </c>
      <c r="I64" s="160">
        <v>0.90201348175169005</v>
      </c>
      <c r="J64" s="160">
        <v>3.3290198990787201</v>
      </c>
      <c r="K64" s="160">
        <v>9.0130683551219601E-2</v>
      </c>
      <c r="L64" s="160">
        <v>0.18898315754370701</v>
      </c>
      <c r="M64" s="160">
        <v>2.3074142459161501E-4</v>
      </c>
      <c r="N64" s="160">
        <v>3.0394365775006003E-4</v>
      </c>
      <c r="O64" s="160">
        <v>0.36575234198568202</v>
      </c>
      <c r="P64" s="160">
        <v>0.51736024093506605</v>
      </c>
      <c r="Q64" s="160">
        <v>9.4015389985061704E-2</v>
      </c>
      <c r="R64" s="160">
        <v>0.62044532093387705</v>
      </c>
      <c r="S64" s="160">
        <v>6.5500894197641296E-2</v>
      </c>
      <c r="T64" s="160">
        <v>0.31012209519393302</v>
      </c>
      <c r="U64" s="160">
        <v>0.25911015429631801</v>
      </c>
      <c r="V64" s="160">
        <v>0.54480766940321501</v>
      </c>
      <c r="W64" s="160"/>
      <c r="X64" s="59"/>
      <c r="Y64" s="159"/>
      <c r="Z64" s="159"/>
      <c r="AA64" s="159"/>
      <c r="AB64" s="159"/>
      <c r="AC64" s="159"/>
      <c r="AD64" s="161"/>
      <c r="AE64" s="160"/>
    </row>
    <row r="65" spans="1:31" ht="21.25" customHeight="1" x14ac:dyDescent="0.15">
      <c r="A65" s="8" t="s">
        <v>205</v>
      </c>
      <c r="B65" s="157" t="s">
        <v>896</v>
      </c>
      <c r="C65" s="158">
        <v>22</v>
      </c>
      <c r="D65" s="157" t="s">
        <v>857</v>
      </c>
      <c r="E65" s="59">
        <v>81.290000000000006</v>
      </c>
      <c r="F65" s="159">
        <v>19.251722162930999</v>
      </c>
      <c r="G65" s="160">
        <v>0.32967900694033497</v>
      </c>
      <c r="H65" s="160">
        <v>0.57052764230546604</v>
      </c>
      <c r="I65" s="160">
        <v>0.90020664924580096</v>
      </c>
      <c r="J65" s="160">
        <v>2.4597427943524899</v>
      </c>
      <c r="K65" s="160">
        <v>8.7516300819863294E-2</v>
      </c>
      <c r="L65" s="160">
        <v>0.25656625880906803</v>
      </c>
      <c r="M65" s="160">
        <v>3.11357801002588E-4</v>
      </c>
      <c r="N65" s="160">
        <v>5.6183280573284097E-4</v>
      </c>
      <c r="O65" s="160">
        <v>0.37573381334065697</v>
      </c>
      <c r="P65" s="160">
        <v>0.67221318319026002</v>
      </c>
      <c r="Q65" s="160">
        <v>-0.11435506269676</v>
      </c>
      <c r="R65" s="160">
        <v>0.635928677758687</v>
      </c>
      <c r="S65" s="160">
        <v>3.5740314617503301E-2</v>
      </c>
      <c r="T65" s="160">
        <v>2.9677052727073199</v>
      </c>
      <c r="U65" s="160">
        <v>4.2664042716093897</v>
      </c>
      <c r="V65" s="160">
        <v>0.41023781220438099</v>
      </c>
      <c r="W65" s="160"/>
      <c r="X65" s="59"/>
      <c r="Y65" s="159"/>
      <c r="Z65" s="159"/>
      <c r="AA65" s="159"/>
      <c r="AB65" s="159"/>
      <c r="AC65" s="159"/>
      <c r="AD65" s="161"/>
      <c r="AE65" s="160"/>
    </row>
    <row r="66" spans="1:31" ht="21.25" customHeight="1" x14ac:dyDescent="0.15">
      <c r="A66" s="8" t="s">
        <v>225</v>
      </c>
      <c r="B66" s="157" t="s">
        <v>900</v>
      </c>
      <c r="C66" s="158">
        <v>26</v>
      </c>
      <c r="D66" s="157" t="s">
        <v>857</v>
      </c>
      <c r="E66" s="59">
        <v>76.386071428571398</v>
      </c>
      <c r="F66" s="159">
        <v>18.742091984614198</v>
      </c>
      <c r="G66" s="160">
        <v>0.26605214959275397</v>
      </c>
      <c r="H66" s="160">
        <v>0.62874461963419304</v>
      </c>
      <c r="I66" s="160">
        <v>0.89479676922694595</v>
      </c>
      <c r="J66" s="160">
        <v>2.4514316646677798</v>
      </c>
      <c r="K66" s="160">
        <v>5.0115178641518703E-2</v>
      </c>
      <c r="L66" s="160">
        <v>0.306792100594524</v>
      </c>
      <c r="M66" s="160">
        <v>9.0573760714291094E-5</v>
      </c>
      <c r="N66" s="160">
        <v>1.6514740827882401E-4</v>
      </c>
      <c r="O66" s="160">
        <v>0.45429140413368901</v>
      </c>
      <c r="P66" s="160">
        <v>0.51692928699567597</v>
      </c>
      <c r="Q66" s="160">
        <v>4.0285093094250997E-2</v>
      </c>
      <c r="R66" s="160">
        <v>0.41804504707671603</v>
      </c>
      <c r="S66" s="160">
        <v>4.1110872305060497E-2</v>
      </c>
      <c r="T66" s="160">
        <v>2.3220974145661</v>
      </c>
      <c r="U66" s="160">
        <v>3.2705159228776002</v>
      </c>
      <c r="V66" s="160">
        <v>0.41520793132955902</v>
      </c>
      <c r="W66" s="160"/>
      <c r="X66" s="59"/>
      <c r="Y66" s="159"/>
      <c r="Z66" s="159"/>
      <c r="AA66" s="159"/>
      <c r="AB66" s="159"/>
      <c r="AC66" s="159"/>
      <c r="AD66" s="161"/>
      <c r="AE66" s="160"/>
    </row>
    <row r="67" spans="1:31" ht="21.25" customHeight="1" x14ac:dyDescent="0.15">
      <c r="A67" s="8" t="s">
        <v>183</v>
      </c>
      <c r="B67" s="157" t="s">
        <v>875</v>
      </c>
      <c r="C67" s="158">
        <v>35</v>
      </c>
      <c r="D67" s="157" t="s">
        <v>859</v>
      </c>
      <c r="E67" s="59">
        <v>78.2</v>
      </c>
      <c r="F67" s="159">
        <v>18.960344154642801</v>
      </c>
      <c r="G67" s="160">
        <v>0.28445788898309998</v>
      </c>
      <c r="H67" s="160">
        <v>0.60922196968772302</v>
      </c>
      <c r="I67" s="160">
        <v>0.893679858670823</v>
      </c>
      <c r="J67" s="160">
        <v>2.4080814310081</v>
      </c>
      <c r="K67" s="160">
        <v>0.10266086819939001</v>
      </c>
      <c r="L67" s="160">
        <v>0.35614950344865698</v>
      </c>
      <c r="M67" s="160">
        <v>5.3477305091039504E-4</v>
      </c>
      <c r="N67" s="160">
        <v>1.01102027307488E-3</v>
      </c>
      <c r="O67" s="160">
        <v>0.56113391884377894</v>
      </c>
      <c r="P67" s="160">
        <v>0.61920383227526299</v>
      </c>
      <c r="Q67" s="160">
        <v>2.9170010498396199E-2</v>
      </c>
      <c r="R67" s="160">
        <v>0.33813440583412402</v>
      </c>
      <c r="S67" s="160">
        <v>4.5677228183456799E-2</v>
      </c>
      <c r="T67" s="160">
        <v>0.28705496203242897</v>
      </c>
      <c r="U67" s="160">
        <v>0.45653761167882101</v>
      </c>
      <c r="V67" s="160">
        <v>0.386037962428465</v>
      </c>
      <c r="W67" s="160"/>
      <c r="X67" s="59"/>
      <c r="Y67" s="159"/>
      <c r="Z67" s="159"/>
      <c r="AA67" s="159"/>
      <c r="AB67" s="159"/>
      <c r="AC67" s="159"/>
      <c r="AD67" s="161"/>
      <c r="AE67" s="160"/>
    </row>
    <row r="68" spans="1:31" ht="21.25" customHeight="1" x14ac:dyDescent="0.15">
      <c r="A68" s="8" t="s">
        <v>136</v>
      </c>
      <c r="B68" s="157" t="s">
        <v>876</v>
      </c>
      <c r="C68" s="158">
        <v>26</v>
      </c>
      <c r="D68" s="157" t="s">
        <v>859</v>
      </c>
      <c r="E68" s="59">
        <v>80.489999999999995</v>
      </c>
      <c r="F68" s="159">
        <v>18.546013432080802</v>
      </c>
      <c r="G68" s="160">
        <v>0.465392933696478</v>
      </c>
      <c r="H68" s="160">
        <v>0.42690559253425198</v>
      </c>
      <c r="I68" s="160">
        <v>0.89229852623073003</v>
      </c>
      <c r="J68" s="160">
        <v>3.9251227933509401</v>
      </c>
      <c r="K68" s="160">
        <v>0.19295275525574401</v>
      </c>
      <c r="L68" s="160">
        <v>0.30795696595594602</v>
      </c>
      <c r="M68" s="160">
        <v>5.7572444643533196E-4</v>
      </c>
      <c r="N68" s="160">
        <v>1.0518456650787701E-3</v>
      </c>
      <c r="O68" s="160">
        <v>0.51912105233259398</v>
      </c>
      <c r="P68" s="160">
        <v>1.7680345539057001</v>
      </c>
      <c r="Q68" s="160">
        <v>2.7208695323021299E-2</v>
      </c>
      <c r="R68" s="160">
        <v>0.56504863472233802</v>
      </c>
      <c r="S68" s="160">
        <v>6.8501467182572301E-2</v>
      </c>
      <c r="T68" s="160">
        <v>0.25819085424255001</v>
      </c>
      <c r="U68" s="160">
        <v>0.405626040714472</v>
      </c>
      <c r="V68" s="160">
        <v>0.38894890474166999</v>
      </c>
      <c r="W68" s="160"/>
      <c r="X68" s="59"/>
      <c r="Y68" s="159"/>
      <c r="Z68" s="159"/>
      <c r="AA68" s="159"/>
      <c r="AB68" s="159"/>
      <c r="AC68" s="159"/>
      <c r="AD68" s="161"/>
      <c r="AE68" s="160"/>
    </row>
    <row r="69" spans="1:31" ht="21.25" customHeight="1" x14ac:dyDescent="0.15">
      <c r="A69" s="8" t="s">
        <v>214</v>
      </c>
      <c r="B69" s="157" t="s">
        <v>873</v>
      </c>
      <c r="C69" s="158">
        <v>27</v>
      </c>
      <c r="D69" s="157" t="s">
        <v>857</v>
      </c>
      <c r="E69" s="59">
        <v>81.187142857142902</v>
      </c>
      <c r="F69" s="159">
        <v>19.4591950002287</v>
      </c>
      <c r="G69" s="160">
        <v>0.39859441418754499</v>
      </c>
      <c r="H69" s="160">
        <v>0.49156326068674799</v>
      </c>
      <c r="I69" s="160">
        <v>0.89015767487429298</v>
      </c>
      <c r="J69" s="160">
        <v>2.6587615718290598</v>
      </c>
      <c r="K69" s="160">
        <v>0.174257918649176</v>
      </c>
      <c r="L69" s="160">
        <v>0.33285853874649901</v>
      </c>
      <c r="M69" s="160">
        <v>1.6003264561088701E-3</v>
      </c>
      <c r="N69" s="160">
        <v>3.4378734931230399E-2</v>
      </c>
      <c r="O69" s="160">
        <v>0.54598452933943897</v>
      </c>
      <c r="P69" s="160">
        <v>0.71801046210821695</v>
      </c>
      <c r="Q69" s="160">
        <v>4.6052973179297699E-2</v>
      </c>
      <c r="R69" s="160">
        <v>0.21167221646117099</v>
      </c>
      <c r="S69" s="160">
        <v>5.7179277902190601E-2</v>
      </c>
      <c r="T69" s="160">
        <v>2.67785209938874</v>
      </c>
      <c r="U69" s="160">
        <v>2.7879005791752598</v>
      </c>
      <c r="V69" s="160">
        <v>0.48993290711651599</v>
      </c>
      <c r="W69" s="160"/>
      <c r="X69" s="59"/>
      <c r="Y69" s="159"/>
      <c r="Z69" s="159"/>
      <c r="AA69" s="159"/>
      <c r="AB69" s="159"/>
      <c r="AC69" s="159"/>
      <c r="AD69" s="161"/>
      <c r="AE69" s="160"/>
    </row>
    <row r="70" spans="1:31" ht="21.25" customHeight="1" x14ac:dyDescent="0.15">
      <c r="A70" s="8" t="s">
        <v>215</v>
      </c>
      <c r="B70" s="157" t="s">
        <v>886</v>
      </c>
      <c r="C70" s="158">
        <v>27</v>
      </c>
      <c r="D70" s="157" t="s">
        <v>858</v>
      </c>
      <c r="E70" s="59">
        <v>71.394642857142898</v>
      </c>
      <c r="F70" s="159">
        <v>16.809844609935499</v>
      </c>
      <c r="G70" s="160">
        <v>0.36193095385420598</v>
      </c>
      <c r="H70" s="160">
        <v>0.52449482190596797</v>
      </c>
      <c r="I70" s="160">
        <v>0.88642577576017401</v>
      </c>
      <c r="J70" s="160">
        <v>3.2035954444066999</v>
      </c>
      <c r="K70" s="160">
        <v>9.4947038869691205E-2</v>
      </c>
      <c r="L70" s="160">
        <v>0.27302633931263398</v>
      </c>
      <c r="M70" s="160">
        <v>0</v>
      </c>
      <c r="N70" s="160">
        <v>0</v>
      </c>
      <c r="O70" s="160">
        <v>0.31218784786930698</v>
      </c>
      <c r="P70" s="160">
        <v>0.72577602571042099</v>
      </c>
      <c r="Q70" s="160">
        <v>5.6192961756438398E-2</v>
      </c>
      <c r="R70" s="160">
        <v>0.31996997815665901</v>
      </c>
      <c r="S70" s="160">
        <v>5.6462440250037098E-2</v>
      </c>
      <c r="T70" s="160">
        <v>2.9567232442028399E-2</v>
      </c>
      <c r="U70" s="160">
        <v>1.3600574817481101E-2</v>
      </c>
      <c r="V70" s="160">
        <v>0.68493709361424604</v>
      </c>
      <c r="W70" s="160"/>
      <c r="X70" s="59"/>
      <c r="Y70" s="159"/>
      <c r="Z70" s="159"/>
      <c r="AA70" s="159"/>
      <c r="AB70" s="159"/>
      <c r="AC70" s="159"/>
      <c r="AD70" s="161"/>
      <c r="AE70" s="160"/>
    </row>
    <row r="71" spans="1:31" ht="21.25" customHeight="1" x14ac:dyDescent="0.15">
      <c r="A71" s="8" t="s">
        <v>249</v>
      </c>
      <c r="B71" s="157" t="s">
        <v>882</v>
      </c>
      <c r="C71" s="158">
        <v>27</v>
      </c>
      <c r="D71" s="157" t="s">
        <v>858</v>
      </c>
      <c r="E71" s="59">
        <v>81.614999999999995</v>
      </c>
      <c r="F71" s="159">
        <v>16.791718638704001</v>
      </c>
      <c r="G71" s="160">
        <v>0.44127466589072101</v>
      </c>
      <c r="H71" s="160">
        <v>0.443778868442817</v>
      </c>
      <c r="I71" s="160">
        <v>0.88505353433353795</v>
      </c>
      <c r="J71" s="160">
        <v>1.8827421732242999</v>
      </c>
      <c r="K71" s="160">
        <v>0.131210680583766</v>
      </c>
      <c r="L71" s="160">
        <v>0.21420269986145199</v>
      </c>
      <c r="M71" s="160">
        <v>1.37711790890241E-5</v>
      </c>
      <c r="N71" s="160">
        <v>2.51396155081302E-5</v>
      </c>
      <c r="O71" s="160">
        <v>0.26226987334812302</v>
      </c>
      <c r="P71" s="160">
        <v>0.29654732632171699</v>
      </c>
      <c r="Q71" s="160">
        <v>3.67454945269809E-2</v>
      </c>
      <c r="R71" s="160">
        <v>0.197805410226437</v>
      </c>
      <c r="S71" s="160">
        <v>6.2466686795780102E-2</v>
      </c>
      <c r="T71" s="160">
        <v>0</v>
      </c>
      <c r="U71" s="160">
        <v>1.2763738152528899E-2</v>
      </c>
      <c r="V71" s="160">
        <v>0</v>
      </c>
      <c r="W71" s="160"/>
      <c r="X71" s="59"/>
      <c r="Y71" s="159"/>
      <c r="Z71" s="159"/>
      <c r="AA71" s="159"/>
      <c r="AB71" s="159"/>
      <c r="AC71" s="159"/>
      <c r="AD71" s="161"/>
      <c r="AE71" s="160"/>
    </row>
    <row r="72" spans="1:31" ht="21.25" customHeight="1" x14ac:dyDescent="0.15">
      <c r="A72" s="8" t="s">
        <v>180</v>
      </c>
      <c r="B72" s="157" t="s">
        <v>871</v>
      </c>
      <c r="C72" s="158">
        <v>28</v>
      </c>
      <c r="D72" s="157" t="s">
        <v>859</v>
      </c>
      <c r="E72" s="59">
        <v>73.986071428571407</v>
      </c>
      <c r="F72" s="159">
        <v>20.4072528168251</v>
      </c>
      <c r="G72" s="160">
        <v>0.37553334744132399</v>
      </c>
      <c r="H72" s="160">
        <v>0.50773357711426204</v>
      </c>
      <c r="I72" s="160">
        <v>0.88326692455558697</v>
      </c>
      <c r="J72" s="160">
        <v>2.9841084348731801</v>
      </c>
      <c r="K72" s="160">
        <v>0.152562577426648</v>
      </c>
      <c r="L72" s="160">
        <v>0.27566179521317702</v>
      </c>
      <c r="M72" s="160">
        <v>1.5180668703824601E-2</v>
      </c>
      <c r="N72" s="160">
        <v>3.4443051319170498E-2</v>
      </c>
      <c r="O72" s="160">
        <v>0.61700641819686697</v>
      </c>
      <c r="P72" s="160">
        <v>1.1512035213498399</v>
      </c>
      <c r="Q72" s="160">
        <v>8.3060242653234001E-2</v>
      </c>
      <c r="R72" s="160">
        <v>0.19823644559703801</v>
      </c>
      <c r="S72" s="160">
        <v>5.9415033628481599E-2</v>
      </c>
      <c r="T72" s="160">
        <v>4.7247432477847302E-3</v>
      </c>
      <c r="U72" s="160">
        <v>7.3348785169606204E-2</v>
      </c>
      <c r="V72" s="160">
        <v>6.0516584091417698E-2</v>
      </c>
      <c r="W72" s="160"/>
      <c r="X72" s="59"/>
      <c r="Y72" s="159"/>
      <c r="Z72" s="159"/>
      <c r="AA72" s="159"/>
      <c r="AB72" s="159"/>
      <c r="AC72" s="159"/>
      <c r="AD72" s="161"/>
      <c r="AE72" s="160"/>
    </row>
    <row r="73" spans="1:31" ht="21.25" customHeight="1" x14ac:dyDescent="0.15">
      <c r="A73" s="8" t="s">
        <v>175</v>
      </c>
      <c r="B73" s="157" t="s">
        <v>881</v>
      </c>
      <c r="C73" s="158">
        <v>31</v>
      </c>
      <c r="D73" s="157" t="s">
        <v>858</v>
      </c>
      <c r="E73" s="59">
        <v>80.489999999999995</v>
      </c>
      <c r="F73" s="159">
        <v>18.052546359164801</v>
      </c>
      <c r="G73" s="160">
        <v>0.39117278277217299</v>
      </c>
      <c r="H73" s="160">
        <v>0.48301492849568201</v>
      </c>
      <c r="I73" s="160">
        <v>0.87418771126785499</v>
      </c>
      <c r="J73" s="160">
        <v>3.1349227423729</v>
      </c>
      <c r="K73" s="160">
        <v>9.4242974982314306E-2</v>
      </c>
      <c r="L73" s="160">
        <v>0.23575930716309501</v>
      </c>
      <c r="M73" s="160">
        <v>1.7770183393433199E-4</v>
      </c>
      <c r="N73" s="160">
        <v>3.2591722157630098E-4</v>
      </c>
      <c r="O73" s="160">
        <v>0.232217271640283</v>
      </c>
      <c r="P73" s="160">
        <v>0.389728629646027</v>
      </c>
      <c r="Q73" s="160">
        <v>1.16375580547468E-2</v>
      </c>
      <c r="R73" s="160">
        <v>0.39873695006629301</v>
      </c>
      <c r="S73" s="160">
        <v>5.0409780495970703E-2</v>
      </c>
      <c r="T73" s="160">
        <v>1.5936124170825201</v>
      </c>
      <c r="U73" s="160">
        <v>1.97449879016913</v>
      </c>
      <c r="V73" s="160">
        <v>0.44662633099656301</v>
      </c>
      <c r="W73" s="160"/>
      <c r="X73" s="59"/>
      <c r="Y73" s="159"/>
      <c r="Z73" s="159"/>
      <c r="AA73" s="159"/>
      <c r="AB73" s="159"/>
      <c r="AC73" s="159"/>
      <c r="AD73" s="161"/>
      <c r="AE73" s="160"/>
    </row>
    <row r="74" spans="1:31" ht="21.25" customHeight="1" x14ac:dyDescent="0.15">
      <c r="A74" s="8" t="s">
        <v>218</v>
      </c>
      <c r="B74" s="157" t="s">
        <v>894</v>
      </c>
      <c r="C74" s="158">
        <v>28</v>
      </c>
      <c r="D74" s="157" t="s">
        <v>857</v>
      </c>
      <c r="E74" s="59">
        <v>81.510000000000005</v>
      </c>
      <c r="F74" s="159">
        <v>19.3996199273993</v>
      </c>
      <c r="G74" s="160">
        <v>0.36650599331969902</v>
      </c>
      <c r="H74" s="160">
        <v>0.50332182784272805</v>
      </c>
      <c r="I74" s="160">
        <v>0.86982782116242696</v>
      </c>
      <c r="J74" s="160">
        <v>2.5272084667697801</v>
      </c>
      <c r="K74" s="160">
        <v>0.129702561686698</v>
      </c>
      <c r="L74" s="160">
        <v>0.26757377350484302</v>
      </c>
      <c r="M74" s="160">
        <v>1.00349398032903E-2</v>
      </c>
      <c r="N74" s="160">
        <v>2.8224421288913702E-2</v>
      </c>
      <c r="O74" s="160">
        <v>0.62389462053360201</v>
      </c>
      <c r="P74" s="160">
        <v>1.1044060296992699</v>
      </c>
      <c r="Q74" s="160">
        <v>5.9742600350651098E-2</v>
      </c>
      <c r="R74" s="160">
        <v>0.28386495047014898</v>
      </c>
      <c r="S74" s="160">
        <v>6.1242510120454598E-2</v>
      </c>
      <c r="T74" s="160">
        <v>10.4959077833475</v>
      </c>
      <c r="U74" s="160">
        <v>9.0095593198881101</v>
      </c>
      <c r="V74" s="160">
        <v>0.53810081695538603</v>
      </c>
      <c r="W74" s="160"/>
      <c r="X74" s="59"/>
      <c r="Y74" s="159"/>
      <c r="Z74" s="159"/>
      <c r="AA74" s="159"/>
      <c r="AB74" s="159"/>
      <c r="AC74" s="159"/>
      <c r="AD74" s="161"/>
      <c r="AE74" s="160"/>
    </row>
    <row r="75" spans="1:31" ht="21.25" customHeight="1" x14ac:dyDescent="0.15">
      <c r="A75" s="8" t="s">
        <v>239</v>
      </c>
      <c r="B75" s="157" t="s">
        <v>901</v>
      </c>
      <c r="C75" s="158">
        <v>20</v>
      </c>
      <c r="D75" s="157" t="s">
        <v>857</v>
      </c>
      <c r="E75" s="59">
        <v>81.2</v>
      </c>
      <c r="F75" s="159">
        <v>18.6504598814529</v>
      </c>
      <c r="G75" s="160">
        <v>0.36060844024682598</v>
      </c>
      <c r="H75" s="160">
        <v>0.506678933901891</v>
      </c>
      <c r="I75" s="160">
        <v>0.86728737414871704</v>
      </c>
      <c r="J75" s="160">
        <v>2.1302084153794798</v>
      </c>
      <c r="K75" s="160">
        <v>8.3087425818659605E-2</v>
      </c>
      <c r="L75" s="160">
        <v>0.20163663081264599</v>
      </c>
      <c r="M75" s="160">
        <v>1.39558536697854E-3</v>
      </c>
      <c r="N75" s="160">
        <v>9.1005667778080602E-3</v>
      </c>
      <c r="O75" s="160">
        <v>0.61775765188513498</v>
      </c>
      <c r="P75" s="160">
        <v>1.0346440641650301</v>
      </c>
      <c r="Q75" s="160">
        <v>2.6787796635117898E-2</v>
      </c>
      <c r="R75" s="160">
        <v>0.14632592924565499</v>
      </c>
      <c r="S75" s="160">
        <v>5.0687474375203698E-2</v>
      </c>
      <c r="T75" s="160">
        <v>5.5485938902179601</v>
      </c>
      <c r="U75" s="160">
        <v>7.5917924632496199</v>
      </c>
      <c r="V75" s="160">
        <v>0.42225500384574</v>
      </c>
      <c r="W75" s="160"/>
      <c r="X75" s="59"/>
      <c r="Y75" s="159"/>
      <c r="Z75" s="159"/>
      <c r="AA75" s="159"/>
      <c r="AB75" s="159"/>
      <c r="AC75" s="159"/>
      <c r="AD75" s="161"/>
      <c r="AE75" s="160"/>
    </row>
    <row r="76" spans="1:31" ht="21.25" customHeight="1" x14ac:dyDescent="0.15">
      <c r="A76" s="8" t="s">
        <v>229</v>
      </c>
      <c r="B76" s="157" t="s">
        <v>900</v>
      </c>
      <c r="C76" s="158">
        <v>31</v>
      </c>
      <c r="D76" s="157" t="s">
        <v>857</v>
      </c>
      <c r="E76" s="59">
        <v>80.655000000000001</v>
      </c>
      <c r="F76" s="159">
        <v>18.674372043902402</v>
      </c>
      <c r="G76" s="160">
        <v>0.43542255218919801</v>
      </c>
      <c r="H76" s="160">
        <v>0.41739185544445701</v>
      </c>
      <c r="I76" s="160">
        <v>0.85281440763365501</v>
      </c>
      <c r="J76" s="160">
        <v>2.69481568568039</v>
      </c>
      <c r="K76" s="160">
        <v>0.117168640674603</v>
      </c>
      <c r="L76" s="160">
        <v>0.23400362789051199</v>
      </c>
      <c r="M76" s="160">
        <v>1.0633200573900701E-3</v>
      </c>
      <c r="N76" s="160">
        <v>1.9401967180661601E-3</v>
      </c>
      <c r="O76" s="160">
        <v>0.53744715829675904</v>
      </c>
      <c r="P76" s="160">
        <v>0.61896959806498797</v>
      </c>
      <c r="Q76" s="160">
        <v>2.72209823693128E-2</v>
      </c>
      <c r="R76" s="160">
        <v>0.36643212617268001</v>
      </c>
      <c r="S76" s="160">
        <v>6.7282301493124905E-2</v>
      </c>
      <c r="T76" s="160">
        <v>6.3005113716468202</v>
      </c>
      <c r="U76" s="160">
        <v>6.7288365580846303</v>
      </c>
      <c r="V76" s="160">
        <v>0.48356306130023502</v>
      </c>
      <c r="W76" s="160"/>
      <c r="X76" s="59"/>
      <c r="Y76" s="159"/>
      <c r="Z76" s="159"/>
      <c r="AA76" s="159"/>
      <c r="AB76" s="159"/>
      <c r="AC76" s="159"/>
      <c r="AD76" s="161"/>
      <c r="AE76" s="160"/>
    </row>
    <row r="77" spans="1:31" ht="21.25" customHeight="1" x14ac:dyDescent="0.15">
      <c r="A77" s="8" t="s">
        <v>256</v>
      </c>
      <c r="B77" s="157" t="s">
        <v>902</v>
      </c>
      <c r="C77" s="158">
        <v>29</v>
      </c>
      <c r="D77" s="157" t="s">
        <v>857</v>
      </c>
      <c r="E77" s="59">
        <v>80</v>
      </c>
      <c r="F77" s="159">
        <v>19.537001479372499</v>
      </c>
      <c r="G77" s="160">
        <v>0.33731077630955097</v>
      </c>
      <c r="H77" s="160">
        <v>0.51484530452876998</v>
      </c>
      <c r="I77" s="160">
        <v>0.85215608083832095</v>
      </c>
      <c r="J77" s="160">
        <v>2.4548954390995701</v>
      </c>
      <c r="K77" s="160">
        <v>8.6756368184518998E-2</v>
      </c>
      <c r="L77" s="160">
        <v>0.27706986332778</v>
      </c>
      <c r="M77" s="160">
        <v>7.7039620291255396E-4</v>
      </c>
      <c r="N77" s="160">
        <v>1.8205935363678799E-3</v>
      </c>
      <c r="O77" s="160">
        <v>0.67280204744442695</v>
      </c>
      <c r="P77" s="160">
        <v>1.12362777917395</v>
      </c>
      <c r="Q77" s="160">
        <v>6.5235844853321701E-3</v>
      </c>
      <c r="R77" s="160">
        <v>0.47831659364611001</v>
      </c>
      <c r="S77" s="160">
        <v>4.0956862594729401E-2</v>
      </c>
      <c r="T77" s="160">
        <v>9.8796804479212099</v>
      </c>
      <c r="U77" s="160">
        <v>8.4272421646641007</v>
      </c>
      <c r="V77" s="160">
        <v>0.53966909988079104</v>
      </c>
      <c r="W77" s="160"/>
      <c r="X77" s="59"/>
      <c r="Y77" s="159"/>
      <c r="Z77" s="159"/>
      <c r="AA77" s="159"/>
      <c r="AB77" s="159"/>
      <c r="AC77" s="159"/>
      <c r="AD77" s="161"/>
      <c r="AE77" s="160"/>
    </row>
    <row r="78" spans="1:31" ht="21.25" customHeight="1" x14ac:dyDescent="0.15">
      <c r="A78" s="8" t="s">
        <v>241</v>
      </c>
      <c r="B78" s="157" t="s">
        <v>903</v>
      </c>
      <c r="C78" s="158">
        <v>24</v>
      </c>
      <c r="D78" s="157" t="s">
        <v>857</v>
      </c>
      <c r="E78" s="59">
        <v>82.03</v>
      </c>
      <c r="F78" s="159">
        <v>20.9974186128049</v>
      </c>
      <c r="G78" s="160">
        <v>0.32524053998001301</v>
      </c>
      <c r="H78" s="160">
        <v>0.52652118295778705</v>
      </c>
      <c r="I78" s="160">
        <v>0.85176172293779995</v>
      </c>
      <c r="J78" s="160">
        <v>2.1524276080309002</v>
      </c>
      <c r="K78" s="160">
        <v>9.9303980237067602E-2</v>
      </c>
      <c r="L78" s="160">
        <v>0.250081285929382</v>
      </c>
      <c r="M78" s="160">
        <v>2.0443201094459899E-2</v>
      </c>
      <c r="N78" s="160">
        <v>3.11888348686554E-2</v>
      </c>
      <c r="O78" s="160">
        <v>0.68996249032357404</v>
      </c>
      <c r="P78" s="160">
        <v>0.76985470838981995</v>
      </c>
      <c r="Q78" s="160">
        <v>-0.10977832662131599</v>
      </c>
      <c r="R78" s="160">
        <v>0.378864523550063</v>
      </c>
      <c r="S78" s="160">
        <v>3.5246023726460199E-2</v>
      </c>
      <c r="T78" s="160">
        <v>8.1168924451138995</v>
      </c>
      <c r="U78" s="160">
        <v>8.9256170060148303</v>
      </c>
      <c r="V78" s="160">
        <v>0.47627331341021001</v>
      </c>
      <c r="W78" s="160"/>
      <c r="X78" s="59"/>
      <c r="Y78" s="159"/>
      <c r="Z78" s="159"/>
      <c r="AA78" s="159"/>
      <c r="AB78" s="159"/>
      <c r="AC78" s="159"/>
      <c r="AD78" s="161"/>
      <c r="AE78" s="160"/>
    </row>
    <row r="79" spans="1:31" ht="21.25" customHeight="1" x14ac:dyDescent="0.15">
      <c r="A79" s="8" t="s">
        <v>192</v>
      </c>
      <c r="B79" s="157" t="s">
        <v>900</v>
      </c>
      <c r="C79" s="158">
        <v>28</v>
      </c>
      <c r="D79" s="157" t="s">
        <v>857</v>
      </c>
      <c r="E79" s="59">
        <v>79.847499999999997</v>
      </c>
      <c r="F79" s="159">
        <v>21.007786944391601</v>
      </c>
      <c r="G79" s="160">
        <v>0.45199295736775102</v>
      </c>
      <c r="H79" s="160">
        <v>0.39891839990926098</v>
      </c>
      <c r="I79" s="160">
        <v>0.85091135727701195</v>
      </c>
      <c r="J79" s="160">
        <v>2.8890613692864999</v>
      </c>
      <c r="K79" s="160">
        <v>0.14996896797617101</v>
      </c>
      <c r="L79" s="160">
        <v>0.26258992222294503</v>
      </c>
      <c r="M79" s="160">
        <v>2.71648105097974E-2</v>
      </c>
      <c r="N79" s="160">
        <v>3.74567655098723E-2</v>
      </c>
      <c r="O79" s="160">
        <v>0.69316582601768995</v>
      </c>
      <c r="P79" s="160">
        <v>0.93162605114146002</v>
      </c>
      <c r="Q79" s="160">
        <v>4.1648402947942597E-3</v>
      </c>
      <c r="R79" s="160">
        <v>0.40857305642775699</v>
      </c>
      <c r="S79" s="160">
        <v>6.9842791278234298E-2</v>
      </c>
      <c r="T79" s="160">
        <v>12.3469696927726</v>
      </c>
      <c r="U79" s="160">
        <v>9.6311995744448993</v>
      </c>
      <c r="V79" s="160">
        <v>0.56178335614100705</v>
      </c>
      <c r="W79" s="160"/>
      <c r="X79" s="59"/>
      <c r="Y79" s="159"/>
      <c r="Z79" s="159"/>
      <c r="AA79" s="159"/>
      <c r="AB79" s="159"/>
      <c r="AC79" s="159"/>
      <c r="AD79" s="161"/>
      <c r="AE79" s="160"/>
    </row>
    <row r="80" spans="1:31" ht="21.25" customHeight="1" x14ac:dyDescent="0.15">
      <c r="A80" s="8" t="s">
        <v>226</v>
      </c>
      <c r="B80" s="157" t="s">
        <v>878</v>
      </c>
      <c r="C80" s="158">
        <v>39</v>
      </c>
      <c r="D80" s="157" t="s">
        <v>857</v>
      </c>
      <c r="E80" s="59">
        <v>82.03</v>
      </c>
      <c r="F80" s="159">
        <v>17.418828209239699</v>
      </c>
      <c r="G80" s="160">
        <v>0.31112162938827798</v>
      </c>
      <c r="H80" s="160">
        <v>0.53975065284496004</v>
      </c>
      <c r="I80" s="160">
        <v>0.85087228223323796</v>
      </c>
      <c r="J80" s="160">
        <v>2.3136514203585201</v>
      </c>
      <c r="K80" s="160">
        <v>0.14272290921022801</v>
      </c>
      <c r="L80" s="160">
        <v>0.30340426911382901</v>
      </c>
      <c r="M80" s="160">
        <v>6.4871993539654502E-4</v>
      </c>
      <c r="N80" s="160">
        <v>4.3420292761714102E-3</v>
      </c>
      <c r="O80" s="160">
        <v>0.72763214255383801</v>
      </c>
      <c r="P80" s="160">
        <v>1.10758502459458</v>
      </c>
      <c r="Q80" s="160">
        <v>0.115605668625662</v>
      </c>
      <c r="R80" s="160">
        <v>0.19403880182241101</v>
      </c>
      <c r="S80" s="160">
        <v>4.9777255143950601E-2</v>
      </c>
      <c r="T80" s="160">
        <v>4.5731409214099896</v>
      </c>
      <c r="U80" s="160">
        <v>4.0895600226328801</v>
      </c>
      <c r="V80" s="160">
        <v>0.52791166992262695</v>
      </c>
      <c r="W80" s="160"/>
      <c r="X80" s="59"/>
      <c r="Y80" s="159"/>
      <c r="Z80" s="159"/>
      <c r="AA80" s="159"/>
      <c r="AB80" s="159"/>
      <c r="AC80" s="159"/>
      <c r="AD80" s="161"/>
      <c r="AE80" s="160"/>
    </row>
    <row r="81" spans="1:31" ht="21.25" customHeight="1" x14ac:dyDescent="0.15">
      <c r="A81" s="8" t="s">
        <v>177</v>
      </c>
      <c r="B81" s="157" t="s">
        <v>881</v>
      </c>
      <c r="C81" s="158">
        <v>22</v>
      </c>
      <c r="D81" s="157" t="s">
        <v>857</v>
      </c>
      <c r="E81" s="59">
        <v>81.489999999999995</v>
      </c>
      <c r="F81" s="159">
        <v>18.9416748033175</v>
      </c>
      <c r="G81" s="160">
        <v>0.34731203281110001</v>
      </c>
      <c r="H81" s="160">
        <v>0.50147469962160096</v>
      </c>
      <c r="I81" s="160">
        <v>0.84878673243270097</v>
      </c>
      <c r="J81" s="160">
        <v>2.78791377088683</v>
      </c>
      <c r="K81" s="160">
        <v>8.2576224265547005E-2</v>
      </c>
      <c r="L81" s="160">
        <v>0.27711615004967599</v>
      </c>
      <c r="M81" s="160">
        <v>9.9264771969778797E-3</v>
      </c>
      <c r="N81" s="160">
        <v>2.4206244523766102E-2</v>
      </c>
      <c r="O81" s="160">
        <v>0.40006085032921201</v>
      </c>
      <c r="P81" s="160">
        <v>0.73067146860440602</v>
      </c>
      <c r="Q81" s="160">
        <v>-3.1796440716067E-2</v>
      </c>
      <c r="R81" s="160">
        <v>0.54908493211208298</v>
      </c>
      <c r="S81" s="160">
        <v>4.4757519205557601E-2</v>
      </c>
      <c r="T81" s="160">
        <v>7.2314806379216199</v>
      </c>
      <c r="U81" s="160">
        <v>8.1071730818950094</v>
      </c>
      <c r="V81" s="160">
        <v>0.47145471630140401</v>
      </c>
      <c r="W81" s="160"/>
      <c r="X81" s="59"/>
      <c r="Y81" s="159"/>
      <c r="Z81" s="159"/>
      <c r="AA81" s="159"/>
      <c r="AB81" s="159"/>
      <c r="AC81" s="159"/>
      <c r="AD81" s="161"/>
      <c r="AE81" s="160"/>
    </row>
    <row r="82" spans="1:31" ht="21.25" customHeight="1" x14ac:dyDescent="0.15">
      <c r="A82" s="8" t="s">
        <v>161</v>
      </c>
      <c r="B82" s="157" t="s">
        <v>898</v>
      </c>
      <c r="C82" s="158">
        <v>25</v>
      </c>
      <c r="D82" s="157" t="s">
        <v>859</v>
      </c>
      <c r="E82" s="59">
        <v>81.444285714285698</v>
      </c>
      <c r="F82" s="159">
        <v>18.349452822980201</v>
      </c>
      <c r="G82" s="160">
        <v>0.39115560500593999</v>
      </c>
      <c r="H82" s="160">
        <v>0.45078819350055599</v>
      </c>
      <c r="I82" s="160">
        <v>0.84194379850649603</v>
      </c>
      <c r="J82" s="160">
        <v>2.9648557541235099</v>
      </c>
      <c r="K82" s="160">
        <v>0.13209929025303699</v>
      </c>
      <c r="L82" s="160">
        <v>0.31888528100117902</v>
      </c>
      <c r="M82" s="160">
        <v>2.5739278114270402E-4</v>
      </c>
      <c r="N82" s="160">
        <v>3.3911729047110398E-4</v>
      </c>
      <c r="O82" s="160">
        <v>0.43193283898750201</v>
      </c>
      <c r="P82" s="160">
        <v>1.2184657384445601</v>
      </c>
      <c r="Q82" s="160">
        <v>-3.02031655852673E-2</v>
      </c>
      <c r="R82" s="160">
        <v>0.28533425152436598</v>
      </c>
      <c r="S82" s="160">
        <v>5.05026306454733E-2</v>
      </c>
      <c r="T82" s="160">
        <v>0.154825542429152</v>
      </c>
      <c r="U82" s="160">
        <v>0.19327289176940199</v>
      </c>
      <c r="V82" s="160">
        <v>0.44477517626764101</v>
      </c>
      <c r="W82" s="160"/>
      <c r="X82" s="59"/>
      <c r="Y82" s="159"/>
      <c r="Z82" s="159"/>
      <c r="AA82" s="159"/>
      <c r="AB82" s="159"/>
      <c r="AC82" s="159"/>
      <c r="AD82" s="161"/>
      <c r="AE82" s="160"/>
    </row>
    <row r="83" spans="1:31" ht="21.25" customHeight="1" x14ac:dyDescent="0.15">
      <c r="A83" s="8" t="s">
        <v>228</v>
      </c>
      <c r="B83" s="157" t="s">
        <v>893</v>
      </c>
      <c r="C83" s="158">
        <v>24</v>
      </c>
      <c r="D83" s="157" t="s">
        <v>857</v>
      </c>
      <c r="E83" s="59">
        <v>81.040714285714301</v>
      </c>
      <c r="F83" s="159">
        <v>18.356554917454201</v>
      </c>
      <c r="G83" s="160">
        <v>0.317553887374385</v>
      </c>
      <c r="H83" s="160">
        <v>0.52047911400254498</v>
      </c>
      <c r="I83" s="160">
        <v>0.83803300137693004</v>
      </c>
      <c r="J83" s="160">
        <v>2.7653704563965502</v>
      </c>
      <c r="K83" s="160">
        <v>8.6068211986387699E-2</v>
      </c>
      <c r="L83" s="160">
        <v>0.26488188515664501</v>
      </c>
      <c r="M83" s="160">
        <v>3.5995244034431198E-3</v>
      </c>
      <c r="N83" s="160">
        <v>8.4422785870403704E-3</v>
      </c>
      <c r="O83" s="160">
        <v>0.29569353438002099</v>
      </c>
      <c r="P83" s="160">
        <v>0.75265665447879104</v>
      </c>
      <c r="Q83" s="160">
        <v>7.51642203189926E-2</v>
      </c>
      <c r="R83" s="160">
        <v>0.391896602403841</v>
      </c>
      <c r="S83" s="160">
        <v>5.6976277964230902E-2</v>
      </c>
      <c r="T83" s="160">
        <v>1.9133126364422399</v>
      </c>
      <c r="U83" s="160">
        <v>2.31908021260478</v>
      </c>
      <c r="V83" s="160">
        <v>0.45206404619860502</v>
      </c>
      <c r="W83" s="160"/>
      <c r="X83" s="59"/>
      <c r="Y83" s="159"/>
      <c r="Z83" s="159"/>
      <c r="AA83" s="159"/>
      <c r="AB83" s="159"/>
      <c r="AC83" s="159"/>
      <c r="AD83" s="161"/>
      <c r="AE83" s="160"/>
    </row>
    <row r="84" spans="1:31" ht="21.25" customHeight="1" x14ac:dyDescent="0.15">
      <c r="A84" s="8" t="s">
        <v>216</v>
      </c>
      <c r="B84" s="157" t="s">
        <v>901</v>
      </c>
      <c r="C84" s="158">
        <v>27</v>
      </c>
      <c r="D84" s="157" t="s">
        <v>858</v>
      </c>
      <c r="E84" s="59">
        <v>77.7</v>
      </c>
      <c r="F84" s="159">
        <v>17.1326661405331</v>
      </c>
      <c r="G84" s="160">
        <v>0.43913494370010098</v>
      </c>
      <c r="H84" s="160">
        <v>0.39489053533740498</v>
      </c>
      <c r="I84" s="160">
        <v>0.83402547903750601</v>
      </c>
      <c r="J84" s="160">
        <v>2.7378240623707799</v>
      </c>
      <c r="K84" s="160">
        <v>0.107634903122258</v>
      </c>
      <c r="L84" s="160">
        <v>0.22797318303706099</v>
      </c>
      <c r="M84" s="160">
        <v>2.4427880196742999E-2</v>
      </c>
      <c r="N84" s="160">
        <v>2.5699648654980901E-2</v>
      </c>
      <c r="O84" s="160">
        <v>0.395074797848112</v>
      </c>
      <c r="P84" s="160">
        <v>0.90191241665338295</v>
      </c>
      <c r="Q84" s="160">
        <v>2.97197725300412E-2</v>
      </c>
      <c r="R84" s="160">
        <v>0.27589072848227197</v>
      </c>
      <c r="S84" s="160">
        <v>6.1725236355588402E-2</v>
      </c>
      <c r="T84" s="160">
        <v>0.83393641290953502</v>
      </c>
      <c r="U84" s="160">
        <v>1.28930938799716</v>
      </c>
      <c r="V84" s="160">
        <v>0.39276489446177898</v>
      </c>
      <c r="W84" s="160"/>
      <c r="X84" s="59"/>
      <c r="Y84" s="159"/>
      <c r="Z84" s="159"/>
      <c r="AA84" s="159"/>
      <c r="AB84" s="159"/>
      <c r="AC84" s="159"/>
      <c r="AD84" s="161"/>
      <c r="AE84" s="160"/>
    </row>
    <row r="85" spans="1:31" ht="21.25" customHeight="1" x14ac:dyDescent="0.15">
      <c r="A85" s="8" t="s">
        <v>127</v>
      </c>
      <c r="B85" s="157" t="s">
        <v>881</v>
      </c>
      <c r="C85" s="158">
        <v>23</v>
      </c>
      <c r="D85" s="157" t="s">
        <v>860</v>
      </c>
      <c r="E85" s="59">
        <v>81.48</v>
      </c>
      <c r="F85" s="159">
        <v>25.612818272748601</v>
      </c>
      <c r="G85" s="160">
        <v>0.17747077638923001</v>
      </c>
      <c r="H85" s="160">
        <v>0.65177272232403405</v>
      </c>
      <c r="I85" s="160">
        <v>0.82924349871326497</v>
      </c>
      <c r="J85" s="160">
        <v>2.51038149982584</v>
      </c>
      <c r="K85" s="160">
        <v>6.0775687743368799E-2</v>
      </c>
      <c r="L85" s="160">
        <v>0.36790392426656798</v>
      </c>
      <c r="M85" s="160">
        <v>3.0933633016323698E-4</v>
      </c>
      <c r="N85" s="160">
        <v>3.8282250605522401E-3</v>
      </c>
      <c r="O85" s="160">
        <v>1.50159247009787</v>
      </c>
      <c r="P85" s="160">
        <v>1.38733364856559</v>
      </c>
      <c r="Q85" s="160">
        <v>-7.1067027608257404E-3</v>
      </c>
      <c r="R85" s="160">
        <v>0.88094084114975002</v>
      </c>
      <c r="S85" s="160">
        <v>2.2870361324297699E-2</v>
      </c>
      <c r="T85" s="160">
        <v>0</v>
      </c>
      <c r="U85" s="160">
        <v>0</v>
      </c>
      <c r="V85" s="160">
        <v>0</v>
      </c>
      <c r="W85" s="160"/>
      <c r="X85" s="59"/>
      <c r="Y85" s="159"/>
      <c r="Z85" s="159"/>
      <c r="AA85" s="159"/>
      <c r="AB85" s="159"/>
      <c r="AC85" s="159"/>
      <c r="AD85" s="161"/>
      <c r="AE85" s="160"/>
    </row>
    <row r="86" spans="1:31" ht="21.25" customHeight="1" x14ac:dyDescent="0.15">
      <c r="A86" s="8" t="s">
        <v>208</v>
      </c>
      <c r="B86" s="157" t="s">
        <v>892</v>
      </c>
      <c r="C86" s="158">
        <v>25</v>
      </c>
      <c r="D86" s="157" t="s">
        <v>858</v>
      </c>
      <c r="E86" s="59">
        <v>78.830714285714294</v>
      </c>
      <c r="F86" s="159">
        <v>18.589084141255402</v>
      </c>
      <c r="G86" s="160">
        <v>0.35197202557887702</v>
      </c>
      <c r="H86" s="160">
        <v>0.46677439825142403</v>
      </c>
      <c r="I86" s="160">
        <v>0.81874642383030105</v>
      </c>
      <c r="J86" s="160">
        <v>2.7281660456679</v>
      </c>
      <c r="K86" s="160">
        <v>0.13733029591783799</v>
      </c>
      <c r="L86" s="160">
        <v>0.26037973827159899</v>
      </c>
      <c r="M86" s="160">
        <v>4.2510019931130599E-4</v>
      </c>
      <c r="N86" s="160">
        <v>7.7559102455496598E-4</v>
      </c>
      <c r="O86" s="160">
        <v>0.60000477089509496</v>
      </c>
      <c r="P86" s="160">
        <v>1.1119742188079</v>
      </c>
      <c r="Q86" s="160">
        <v>1.36529103040746E-2</v>
      </c>
      <c r="R86" s="160">
        <v>0.93082507455679897</v>
      </c>
      <c r="S86" s="160">
        <v>5.2255115316081298E-2</v>
      </c>
      <c r="T86" s="160">
        <v>6.3401352592673197</v>
      </c>
      <c r="U86" s="160">
        <v>7.0421777192790902</v>
      </c>
      <c r="V86" s="160">
        <v>0.47376976382419</v>
      </c>
      <c r="W86" s="160"/>
      <c r="X86" s="59"/>
      <c r="Y86" s="159"/>
      <c r="Z86" s="159"/>
      <c r="AA86" s="159"/>
      <c r="AB86" s="159"/>
      <c r="AC86" s="159"/>
      <c r="AD86" s="161"/>
      <c r="AE86" s="160"/>
    </row>
    <row r="87" spans="1:31" ht="21.25" customHeight="1" x14ac:dyDescent="0.15">
      <c r="A87" s="8" t="s">
        <v>219</v>
      </c>
      <c r="B87" s="157" t="s">
        <v>872</v>
      </c>
      <c r="C87" s="158">
        <v>24</v>
      </c>
      <c r="D87" s="157" t="s">
        <v>858</v>
      </c>
      <c r="E87" s="59">
        <v>81.2</v>
      </c>
      <c r="F87" s="159">
        <v>19.4630187895212</v>
      </c>
      <c r="G87" s="160">
        <v>0.38806610507995598</v>
      </c>
      <c r="H87" s="160">
        <v>0.42842436024021602</v>
      </c>
      <c r="I87" s="160">
        <v>0.816490465320172</v>
      </c>
      <c r="J87" s="160">
        <v>2.2824443828649801</v>
      </c>
      <c r="K87" s="160">
        <v>0.101896528305379</v>
      </c>
      <c r="L87" s="160">
        <v>0.21489893168565399</v>
      </c>
      <c r="M87" s="160">
        <v>1.3579873664438699E-2</v>
      </c>
      <c r="N87" s="160">
        <v>4.2623124150038501E-2</v>
      </c>
      <c r="O87" s="160">
        <v>0.64940194372182702</v>
      </c>
      <c r="P87" s="160">
        <v>0.93399009219255003</v>
      </c>
      <c r="Q87" s="160">
        <v>4.4619466623771302E-3</v>
      </c>
      <c r="R87" s="160">
        <v>0.497100176200928</v>
      </c>
      <c r="S87" s="160">
        <v>6.0732486410268301E-2</v>
      </c>
      <c r="T87" s="160">
        <v>0.34334097181588702</v>
      </c>
      <c r="U87" s="160">
        <v>0.645067583954824</v>
      </c>
      <c r="V87" s="160">
        <v>0.34736746238317101</v>
      </c>
      <c r="W87" s="160"/>
      <c r="X87" s="59"/>
      <c r="Y87" s="159"/>
      <c r="Z87" s="159"/>
      <c r="AA87" s="159"/>
      <c r="AB87" s="159"/>
      <c r="AC87" s="159"/>
      <c r="AD87" s="161"/>
      <c r="AE87" s="160"/>
    </row>
    <row r="88" spans="1:31" ht="21.25" customHeight="1" x14ac:dyDescent="0.15">
      <c r="A88" s="8" t="s">
        <v>268</v>
      </c>
      <c r="B88" s="157" t="s">
        <v>879</v>
      </c>
      <c r="C88" s="158">
        <v>26</v>
      </c>
      <c r="D88" s="157" t="s">
        <v>857</v>
      </c>
      <c r="E88" s="59">
        <v>79.501428571428605</v>
      </c>
      <c r="F88" s="159">
        <v>20.023978405119401</v>
      </c>
      <c r="G88" s="160">
        <v>0.32479224670674001</v>
      </c>
      <c r="H88" s="160">
        <v>0.49014495142452202</v>
      </c>
      <c r="I88" s="160">
        <v>0.81493719813126198</v>
      </c>
      <c r="J88" s="160">
        <v>2.2704951909806201</v>
      </c>
      <c r="K88" s="160">
        <v>7.99377842477456E-2</v>
      </c>
      <c r="L88" s="160">
        <v>0.19553347131243401</v>
      </c>
      <c r="M88" s="160">
        <v>2.3933327440616502E-3</v>
      </c>
      <c r="N88" s="160">
        <v>1.35290966038604E-2</v>
      </c>
      <c r="O88" s="160">
        <v>0.34516748957673798</v>
      </c>
      <c r="P88" s="160">
        <v>1.0611194472008501</v>
      </c>
      <c r="Q88" s="160">
        <v>4.7596043137624597E-2</v>
      </c>
      <c r="R88" s="160">
        <v>0.32144267633507201</v>
      </c>
      <c r="S88" s="160">
        <v>5.4526226511886697E-2</v>
      </c>
      <c r="T88" s="160">
        <v>2.7643109178328702</v>
      </c>
      <c r="U88" s="160">
        <v>2.9839731461371199</v>
      </c>
      <c r="V88" s="160">
        <v>0.48089323475843099</v>
      </c>
      <c r="W88" s="160"/>
      <c r="X88" s="59"/>
      <c r="Y88" s="159"/>
      <c r="Z88" s="159"/>
      <c r="AA88" s="159"/>
      <c r="AB88" s="159"/>
      <c r="AC88" s="159"/>
      <c r="AD88" s="161"/>
      <c r="AE88" s="160"/>
    </row>
    <row r="89" spans="1:31" ht="21.25" customHeight="1" x14ac:dyDescent="0.15">
      <c r="A89" s="8" t="s">
        <v>187</v>
      </c>
      <c r="B89" s="157" t="s">
        <v>903</v>
      </c>
      <c r="C89" s="158">
        <v>22</v>
      </c>
      <c r="D89" s="157" t="s">
        <v>859</v>
      </c>
      <c r="E89" s="59">
        <v>73.03</v>
      </c>
      <c r="F89" s="159">
        <v>18.109720833755301</v>
      </c>
      <c r="G89" s="160">
        <v>0.47442313666283897</v>
      </c>
      <c r="H89" s="160">
        <v>0.33772546744353299</v>
      </c>
      <c r="I89" s="160">
        <v>0.81214860410637202</v>
      </c>
      <c r="J89" s="160">
        <v>3.2824728740450002</v>
      </c>
      <c r="K89" s="160">
        <v>0.12772278870263701</v>
      </c>
      <c r="L89" s="160">
        <v>0.246073070237774</v>
      </c>
      <c r="M89" s="160">
        <v>4.58353908250702E-5</v>
      </c>
      <c r="N89" s="160">
        <v>8.4410835108072796E-5</v>
      </c>
      <c r="O89" s="160">
        <v>0.24644584331424599</v>
      </c>
      <c r="P89" s="160">
        <v>0.45313193102072802</v>
      </c>
      <c r="Q89" s="160">
        <v>-9.6168649197273998E-2</v>
      </c>
      <c r="R89" s="160">
        <v>0.19453620736100499</v>
      </c>
      <c r="S89" s="160">
        <v>5.14128070634359E-2</v>
      </c>
      <c r="T89" s="160">
        <v>8.6277621173599106E-3</v>
      </c>
      <c r="U89" s="160">
        <v>2.5612103890248001E-2</v>
      </c>
      <c r="V89" s="160">
        <v>0.251980019882171</v>
      </c>
      <c r="W89" s="160"/>
      <c r="X89" s="59"/>
      <c r="Y89" s="159"/>
      <c r="Z89" s="159"/>
      <c r="AA89" s="159"/>
      <c r="AB89" s="159"/>
      <c r="AC89" s="159"/>
      <c r="AD89" s="161"/>
      <c r="AE89" s="160"/>
    </row>
    <row r="90" spans="1:31" ht="21.25" customHeight="1" x14ac:dyDescent="0.15">
      <c r="A90" s="8" t="s">
        <v>191</v>
      </c>
      <c r="B90" s="157" t="s">
        <v>888</v>
      </c>
      <c r="C90" s="158">
        <v>25</v>
      </c>
      <c r="D90" s="157" t="s">
        <v>859</v>
      </c>
      <c r="E90" s="59">
        <v>77.08</v>
      </c>
      <c r="F90" s="159">
        <v>18.2517564047637</v>
      </c>
      <c r="G90" s="160">
        <v>0.31337343379494298</v>
      </c>
      <c r="H90" s="160">
        <v>0.49844810032447701</v>
      </c>
      <c r="I90" s="160">
        <v>0.81182153411942004</v>
      </c>
      <c r="J90" s="160">
        <v>2.7953511046059401</v>
      </c>
      <c r="K90" s="160">
        <v>0.12547976042697401</v>
      </c>
      <c r="L90" s="160">
        <v>0.31335816315774101</v>
      </c>
      <c r="M90" s="160">
        <v>2.5411683922697402E-4</v>
      </c>
      <c r="N90" s="160">
        <v>4.6282124301157699E-4</v>
      </c>
      <c r="O90" s="160">
        <v>0.41738806897910602</v>
      </c>
      <c r="P90" s="160">
        <v>1.4402572520399499</v>
      </c>
      <c r="Q90" s="160">
        <v>3.92953131626374E-3</v>
      </c>
      <c r="R90" s="160">
        <v>0.379769640847613</v>
      </c>
      <c r="S90" s="160">
        <v>4.3527864413746203E-2</v>
      </c>
      <c r="T90" s="160">
        <v>0.17660019758348899</v>
      </c>
      <c r="U90" s="160">
        <v>0.30047814855523503</v>
      </c>
      <c r="V90" s="160">
        <v>0.37017022259093901</v>
      </c>
      <c r="W90" s="160"/>
      <c r="X90" s="59"/>
      <c r="Y90" s="159"/>
      <c r="Z90" s="159"/>
      <c r="AA90" s="159"/>
      <c r="AB90" s="159"/>
      <c r="AC90" s="159"/>
      <c r="AD90" s="161"/>
      <c r="AE90" s="160"/>
    </row>
    <row r="91" spans="1:31" ht="21.25" customHeight="1" x14ac:dyDescent="0.15">
      <c r="A91" s="8" t="s">
        <v>260</v>
      </c>
      <c r="B91" s="157" t="s">
        <v>901</v>
      </c>
      <c r="C91" s="158">
        <v>28</v>
      </c>
      <c r="D91" s="157" t="s">
        <v>858</v>
      </c>
      <c r="E91" s="59">
        <v>75.458214285714305</v>
      </c>
      <c r="F91" s="159">
        <v>16.657573739984102</v>
      </c>
      <c r="G91" s="160">
        <v>0.29407461093989801</v>
      </c>
      <c r="H91" s="160">
        <v>0.51347596484112301</v>
      </c>
      <c r="I91" s="160">
        <v>0.80755057578102096</v>
      </c>
      <c r="J91" s="160">
        <v>2.12980207936599</v>
      </c>
      <c r="K91" s="160">
        <v>8.1598374182622599E-2</v>
      </c>
      <c r="L91" s="160">
        <v>0.24895518798521299</v>
      </c>
      <c r="M91" s="160">
        <v>2.15277052939767E-5</v>
      </c>
      <c r="N91" s="160">
        <v>3.9534549530766003E-5</v>
      </c>
      <c r="O91" s="160">
        <v>0.36241556714939799</v>
      </c>
      <c r="P91" s="160">
        <v>0.52697794715456603</v>
      </c>
      <c r="Q91" s="160">
        <v>-8.7703666675686704E-3</v>
      </c>
      <c r="R91" s="160">
        <v>0.281578582424938</v>
      </c>
      <c r="S91" s="160">
        <v>4.1335414379684E-2</v>
      </c>
      <c r="T91" s="160">
        <v>4.1398022616609902E-2</v>
      </c>
      <c r="U91" s="160">
        <v>0.105155885623495</v>
      </c>
      <c r="V91" s="160">
        <v>0.28247641508669902</v>
      </c>
      <c r="W91" s="160"/>
      <c r="X91" s="59"/>
      <c r="Y91" s="159"/>
      <c r="Z91" s="159"/>
      <c r="AA91" s="159"/>
      <c r="AB91" s="159"/>
      <c r="AC91" s="159"/>
      <c r="AD91" s="161"/>
      <c r="AE91" s="160"/>
    </row>
    <row r="92" spans="1:31" ht="21.25" customHeight="1" x14ac:dyDescent="0.15">
      <c r="A92" s="8" t="s">
        <v>254</v>
      </c>
      <c r="B92" s="157" t="s">
        <v>892</v>
      </c>
      <c r="C92" s="158">
        <v>35</v>
      </c>
      <c r="D92" s="157" t="s">
        <v>857</v>
      </c>
      <c r="E92" s="59">
        <v>81.892499999999998</v>
      </c>
      <c r="F92" s="159">
        <v>20.241907090320101</v>
      </c>
      <c r="G92" s="160">
        <v>0.26543591559492102</v>
      </c>
      <c r="H92" s="160">
        <v>0.54104081657700698</v>
      </c>
      <c r="I92" s="160">
        <v>0.80647673217192795</v>
      </c>
      <c r="J92" s="160">
        <v>2.2053585453670599</v>
      </c>
      <c r="K92" s="160">
        <v>6.8410505181833406E-2</v>
      </c>
      <c r="L92" s="160">
        <v>0.238731161747888</v>
      </c>
      <c r="M92" s="160">
        <v>1.38067310018862E-3</v>
      </c>
      <c r="N92" s="160">
        <v>1.13382481332057E-2</v>
      </c>
      <c r="O92" s="160">
        <v>0.945853860219526</v>
      </c>
      <c r="P92" s="160">
        <v>0.85773730202703802</v>
      </c>
      <c r="Q92" s="160">
        <v>9.4680611459928201E-3</v>
      </c>
      <c r="R92" s="160">
        <v>0.16672786830337999</v>
      </c>
      <c r="S92" s="160">
        <v>3.9407632909547401E-2</v>
      </c>
      <c r="T92" s="160">
        <v>10.9424740108674</v>
      </c>
      <c r="U92" s="160">
        <v>8.4246204338433799</v>
      </c>
      <c r="V92" s="160">
        <v>0.56500338974986697</v>
      </c>
      <c r="W92" s="160"/>
      <c r="X92" s="59"/>
      <c r="Y92" s="159"/>
      <c r="Z92" s="159"/>
      <c r="AA92" s="159"/>
      <c r="AB92" s="159"/>
      <c r="AC92" s="159"/>
      <c r="AD92" s="161"/>
      <c r="AE92" s="160"/>
    </row>
    <row r="93" spans="1:31" ht="21.25" customHeight="1" x14ac:dyDescent="0.15">
      <c r="A93" s="8" t="s">
        <v>285</v>
      </c>
      <c r="B93" s="157" t="s">
        <v>895</v>
      </c>
      <c r="C93" s="158">
        <v>29</v>
      </c>
      <c r="D93" s="157" t="s">
        <v>857</v>
      </c>
      <c r="E93" s="59">
        <v>80.707857142857094</v>
      </c>
      <c r="F93" s="159">
        <v>19.2897864609211</v>
      </c>
      <c r="G93" s="160">
        <v>0.24366932790295501</v>
      </c>
      <c r="H93" s="160">
        <v>0.55650158856296505</v>
      </c>
      <c r="I93" s="160">
        <v>0.80017091646591998</v>
      </c>
      <c r="J93" s="160">
        <v>1.65824001154079</v>
      </c>
      <c r="K93" s="160">
        <v>6.9228852621812303E-2</v>
      </c>
      <c r="L93" s="160">
        <v>0.183608250634793</v>
      </c>
      <c r="M93" s="160">
        <v>1.37926593466535E-2</v>
      </c>
      <c r="N93" s="160">
        <v>3.4256310269794497E-2</v>
      </c>
      <c r="O93" s="160">
        <v>0.63964314646526699</v>
      </c>
      <c r="P93" s="160">
        <v>0.91165122272794996</v>
      </c>
      <c r="Q93" s="160">
        <v>8.1035472050354801E-2</v>
      </c>
      <c r="R93" s="160">
        <v>0.30925981317901702</v>
      </c>
      <c r="S93" s="160">
        <v>3.9822216637966E-2</v>
      </c>
      <c r="T93" s="160">
        <v>8.1003950255767005</v>
      </c>
      <c r="U93" s="160">
        <v>6.7480892375736303</v>
      </c>
      <c r="V93" s="160">
        <v>0.54553682935028902</v>
      </c>
      <c r="W93" s="160"/>
      <c r="X93" s="59"/>
      <c r="Y93" s="159"/>
      <c r="Z93" s="159"/>
      <c r="AA93" s="159"/>
      <c r="AB93" s="159"/>
      <c r="AC93" s="159"/>
      <c r="AD93" s="161"/>
      <c r="AE93" s="160"/>
    </row>
    <row r="94" spans="1:31" ht="21.25" customHeight="1" x14ac:dyDescent="0.15">
      <c r="A94" s="8" t="s">
        <v>174</v>
      </c>
      <c r="B94" s="157" t="s">
        <v>895</v>
      </c>
      <c r="C94" s="158">
        <v>32</v>
      </c>
      <c r="D94" s="157" t="s">
        <v>859</v>
      </c>
      <c r="E94" s="59">
        <v>79.9935714285714</v>
      </c>
      <c r="F94" s="159">
        <v>17.643185033847399</v>
      </c>
      <c r="G94" s="160">
        <v>0.36674609769929001</v>
      </c>
      <c r="H94" s="160">
        <v>0.43156907513383203</v>
      </c>
      <c r="I94" s="160">
        <v>0.79831517283312203</v>
      </c>
      <c r="J94" s="160">
        <v>3.2539489740079302</v>
      </c>
      <c r="K94" s="160">
        <v>0.10636567287507701</v>
      </c>
      <c r="L94" s="160">
        <v>0.24941839720214801</v>
      </c>
      <c r="M94" s="160">
        <v>8.8608417423026092E-6</v>
      </c>
      <c r="N94" s="160">
        <v>1.6250022712857201E-5</v>
      </c>
      <c r="O94" s="160">
        <v>0.24927313588295499</v>
      </c>
      <c r="P94" s="160">
        <v>0.94108104589470998</v>
      </c>
      <c r="Q94" s="160">
        <v>6.2394828990393503E-2</v>
      </c>
      <c r="R94" s="160">
        <v>0.36904196321677102</v>
      </c>
      <c r="S94" s="160">
        <v>5.9936318942556098E-2</v>
      </c>
      <c r="T94" s="160">
        <v>0.38856328193030198</v>
      </c>
      <c r="U94" s="160">
        <v>0.55292303895570905</v>
      </c>
      <c r="V94" s="160">
        <v>0.41271261547871901</v>
      </c>
      <c r="W94" s="160"/>
      <c r="X94" s="59"/>
      <c r="Y94" s="159"/>
      <c r="Z94" s="159"/>
      <c r="AA94" s="159"/>
      <c r="AB94" s="159"/>
      <c r="AC94" s="159"/>
      <c r="AD94" s="161"/>
      <c r="AE94" s="160"/>
    </row>
    <row r="95" spans="1:31" ht="21.25" customHeight="1" x14ac:dyDescent="0.15">
      <c r="A95" s="8" t="s">
        <v>379</v>
      </c>
      <c r="B95" s="157" t="s">
        <v>899</v>
      </c>
      <c r="C95" s="158">
        <v>30</v>
      </c>
      <c r="D95" s="157" t="s">
        <v>857</v>
      </c>
      <c r="E95" s="59">
        <v>58.576785714285698</v>
      </c>
      <c r="F95" s="159">
        <v>20.2187346493902</v>
      </c>
      <c r="G95" s="160">
        <v>0.32325196453423799</v>
      </c>
      <c r="H95" s="160">
        <v>0.47218862130751199</v>
      </c>
      <c r="I95" s="160">
        <v>0.79544058584175004</v>
      </c>
      <c r="J95" s="160">
        <v>2.8151612626812299</v>
      </c>
      <c r="K95" s="160">
        <v>6.7207286818677603E-2</v>
      </c>
      <c r="L95" s="160">
        <v>0.19322132642148701</v>
      </c>
      <c r="M95" s="160">
        <v>4.9263310719277597E-3</v>
      </c>
      <c r="N95" s="160">
        <v>1.9677327494892202E-2</v>
      </c>
      <c r="O95" s="160">
        <v>0.58199342942709997</v>
      </c>
      <c r="P95" s="160">
        <v>0.88885423765928495</v>
      </c>
      <c r="Q95" s="160">
        <v>-6.3309384868381793E-2</v>
      </c>
      <c r="R95" s="160"/>
      <c r="S95" s="160">
        <v>3.7996859829129301E-2</v>
      </c>
      <c r="T95" s="160">
        <v>9.1777212487189601</v>
      </c>
      <c r="U95" s="160">
        <v>7.1283459403098997</v>
      </c>
      <c r="V95" s="160">
        <v>0.56284088261907605</v>
      </c>
      <c r="W95" s="160"/>
      <c r="X95" s="59"/>
      <c r="Y95" s="159"/>
      <c r="Z95" s="159"/>
      <c r="AA95" s="159"/>
      <c r="AB95" s="159"/>
      <c r="AC95" s="159"/>
      <c r="AD95" s="161"/>
      <c r="AE95" s="160"/>
    </row>
    <row r="96" spans="1:31" ht="21.25" customHeight="1" x14ac:dyDescent="0.15">
      <c r="A96" s="8" t="s">
        <v>221</v>
      </c>
      <c r="B96" s="157" t="s">
        <v>888</v>
      </c>
      <c r="C96" s="158">
        <v>35</v>
      </c>
      <c r="D96" s="157" t="s">
        <v>859</v>
      </c>
      <c r="E96" s="59">
        <v>80.774642857142894</v>
      </c>
      <c r="F96" s="159">
        <v>18.168366330030398</v>
      </c>
      <c r="G96" s="160">
        <v>0.31703297957457999</v>
      </c>
      <c r="H96" s="160">
        <v>0.47159698649375897</v>
      </c>
      <c r="I96" s="160">
        <v>0.78862996606833902</v>
      </c>
      <c r="J96" s="160">
        <v>2.48977831203517</v>
      </c>
      <c r="K96" s="160">
        <v>4.60494869387921E-2</v>
      </c>
      <c r="L96" s="160">
        <v>0.18555270499680401</v>
      </c>
      <c r="M96" s="160">
        <v>1.0160516737971099E-3</v>
      </c>
      <c r="N96" s="160">
        <v>1.88453080026776E-3</v>
      </c>
      <c r="O96" s="160">
        <v>0.33304983809983901</v>
      </c>
      <c r="P96" s="160">
        <v>0.89981604893413802</v>
      </c>
      <c r="Q96" s="160">
        <v>4.6495424237938003E-2</v>
      </c>
      <c r="R96" s="160">
        <v>0.36242473742721798</v>
      </c>
      <c r="S96" s="160">
        <v>4.403617876121E-2</v>
      </c>
      <c r="T96" s="160">
        <v>8.6636660139745398</v>
      </c>
      <c r="U96" s="160">
        <v>5.95049117115662</v>
      </c>
      <c r="V96" s="160">
        <v>0.592826935157724</v>
      </c>
      <c r="W96" s="160"/>
      <c r="X96" s="59"/>
      <c r="Y96" s="159"/>
      <c r="Z96" s="159"/>
      <c r="AA96" s="159"/>
      <c r="AB96" s="159"/>
      <c r="AC96" s="159"/>
      <c r="AD96" s="161"/>
      <c r="AE96" s="160"/>
    </row>
    <row r="97" spans="1:31" ht="21.25" customHeight="1" x14ac:dyDescent="0.15">
      <c r="A97" s="8" t="s">
        <v>135</v>
      </c>
      <c r="B97" s="157" t="s">
        <v>878</v>
      </c>
      <c r="C97" s="158">
        <v>24</v>
      </c>
      <c r="D97" s="157" t="s">
        <v>860</v>
      </c>
      <c r="E97" s="59">
        <v>79.701071428571396</v>
      </c>
      <c r="F97" s="159">
        <v>25.602225706960098</v>
      </c>
      <c r="G97" s="160">
        <v>0.130955067053766</v>
      </c>
      <c r="H97" s="160">
        <v>0.64983255441639098</v>
      </c>
      <c r="I97" s="160">
        <v>0.78078762147015701</v>
      </c>
      <c r="J97" s="160">
        <v>2.49424925052999</v>
      </c>
      <c r="K97" s="160">
        <v>4.2419965889715E-2</v>
      </c>
      <c r="L97" s="160">
        <v>0.35078286595316699</v>
      </c>
      <c r="M97" s="160">
        <v>4.0221494514563197E-4</v>
      </c>
      <c r="N97" s="160">
        <v>7.5776407356491701E-3</v>
      </c>
      <c r="O97" s="160">
        <v>1.3123031108485701</v>
      </c>
      <c r="P97" s="160">
        <v>0.78942652397484103</v>
      </c>
      <c r="Q97" s="160">
        <v>8.9157801939285505E-2</v>
      </c>
      <c r="R97" s="160">
        <v>0.38926883301121801</v>
      </c>
      <c r="S97" s="160">
        <v>2.0951882381000601E-2</v>
      </c>
      <c r="T97" s="160">
        <v>0</v>
      </c>
      <c r="U97" s="160">
        <v>0</v>
      </c>
      <c r="V97" s="160">
        <v>0</v>
      </c>
      <c r="W97" s="160"/>
      <c r="X97" s="59"/>
      <c r="Y97" s="159"/>
      <c r="Z97" s="159"/>
      <c r="AA97" s="159"/>
      <c r="AB97" s="159"/>
      <c r="AC97" s="159"/>
      <c r="AD97" s="161"/>
      <c r="AE97" s="160"/>
    </row>
    <row r="98" spans="1:31" ht="21.25" customHeight="1" x14ac:dyDescent="0.15">
      <c r="A98" s="8" t="s">
        <v>222</v>
      </c>
      <c r="B98" s="157" t="s">
        <v>873</v>
      </c>
      <c r="C98" s="158">
        <v>29</v>
      </c>
      <c r="D98" s="157" t="s">
        <v>860</v>
      </c>
      <c r="E98" s="59">
        <v>62</v>
      </c>
      <c r="F98" s="159">
        <v>23.813428477400901</v>
      </c>
      <c r="G98" s="160">
        <v>0.175777389258573</v>
      </c>
      <c r="H98" s="160">
        <v>0.60371127583197104</v>
      </c>
      <c r="I98" s="160">
        <v>0.77948866509054404</v>
      </c>
      <c r="J98" s="160">
        <v>2.8011102626279998</v>
      </c>
      <c r="K98" s="160">
        <v>3.4827419359196803E-2</v>
      </c>
      <c r="L98" s="160">
        <v>0.33039919415582902</v>
      </c>
      <c r="M98" s="160">
        <v>1.7284842335057601E-3</v>
      </c>
      <c r="N98" s="160">
        <v>2.4953201981197698E-3</v>
      </c>
      <c r="O98" s="160">
        <v>1.1918813342966901</v>
      </c>
      <c r="P98" s="160">
        <v>1.0981955643927701</v>
      </c>
      <c r="Q98" s="160">
        <v>6.1545676589754801E-2</v>
      </c>
      <c r="R98" s="160">
        <v>0.72177194246821996</v>
      </c>
      <c r="S98" s="160">
        <v>2.5215667434337001E-2</v>
      </c>
      <c r="T98" s="160">
        <v>0</v>
      </c>
      <c r="U98" s="160">
        <v>0</v>
      </c>
      <c r="V98" s="160">
        <v>0</v>
      </c>
      <c r="W98" s="160"/>
      <c r="X98" s="59"/>
      <c r="Y98" s="159"/>
      <c r="Z98" s="159"/>
      <c r="AA98" s="159"/>
      <c r="AB98" s="159"/>
      <c r="AC98" s="159"/>
      <c r="AD98" s="161"/>
      <c r="AE98" s="160"/>
    </row>
    <row r="99" spans="1:31" ht="21.25" customHeight="1" x14ac:dyDescent="0.15">
      <c r="A99" s="8" t="s">
        <v>238</v>
      </c>
      <c r="B99" s="157" t="s">
        <v>871</v>
      </c>
      <c r="C99" s="158">
        <v>28</v>
      </c>
      <c r="D99" s="157" t="s">
        <v>858</v>
      </c>
      <c r="E99" s="59">
        <v>76.417142857142906</v>
      </c>
      <c r="F99" s="159">
        <v>19.668419224360701</v>
      </c>
      <c r="G99" s="160">
        <v>0.33518476249893397</v>
      </c>
      <c r="H99" s="160">
        <v>0.44125472952025502</v>
      </c>
      <c r="I99" s="160">
        <v>0.77643949201918905</v>
      </c>
      <c r="J99" s="160">
        <v>2.4672814154068399</v>
      </c>
      <c r="K99" s="160">
        <v>0.113422252978712</v>
      </c>
      <c r="L99" s="160">
        <v>0.27539168814614501</v>
      </c>
      <c r="M99" s="160">
        <v>1.8601970868705499E-2</v>
      </c>
      <c r="N99" s="160">
        <v>2.2005736388644E-2</v>
      </c>
      <c r="O99" s="160">
        <v>0.61838226290083798</v>
      </c>
      <c r="P99" s="160">
        <v>1.3710295316390699</v>
      </c>
      <c r="Q99" s="160">
        <v>6.2465170472508699E-2</v>
      </c>
      <c r="R99" s="160">
        <v>0.397485949244063</v>
      </c>
      <c r="S99" s="160">
        <v>5.3031279568961302E-2</v>
      </c>
      <c r="T99" s="160">
        <v>8.9580670634007903E-2</v>
      </c>
      <c r="U99" s="160">
        <v>0.28343090506056001</v>
      </c>
      <c r="V99" s="160">
        <v>0.240155202870592</v>
      </c>
      <c r="W99" s="160"/>
      <c r="X99" s="59"/>
      <c r="Y99" s="159"/>
      <c r="Z99" s="159"/>
      <c r="AA99" s="159"/>
      <c r="AB99" s="159"/>
      <c r="AC99" s="159"/>
      <c r="AD99" s="161"/>
      <c r="AE99" s="160"/>
    </row>
    <row r="100" spans="1:31" ht="21.25" customHeight="1" x14ac:dyDescent="0.15">
      <c r="A100" s="8" t="s">
        <v>129</v>
      </c>
      <c r="B100" s="157" t="s">
        <v>876</v>
      </c>
      <c r="C100" s="158">
        <v>30</v>
      </c>
      <c r="D100" s="157" t="s">
        <v>860</v>
      </c>
      <c r="E100" s="59">
        <v>79.1335714285714</v>
      </c>
      <c r="F100" s="159">
        <v>22.454265594512201</v>
      </c>
      <c r="G100" s="160">
        <v>0.21062191914456699</v>
      </c>
      <c r="H100" s="160">
        <v>0.56235908984461502</v>
      </c>
      <c r="I100" s="160">
        <v>0.77298100898918198</v>
      </c>
      <c r="J100" s="160">
        <v>3.28940782912963</v>
      </c>
      <c r="K100" s="160">
        <v>7.6677697772625397E-2</v>
      </c>
      <c r="L100" s="160">
        <v>0.31569970013180998</v>
      </c>
      <c r="M100" s="160">
        <v>1.644705978178E-3</v>
      </c>
      <c r="N100" s="160">
        <v>2.3683821706692899E-3</v>
      </c>
      <c r="O100" s="160">
        <v>1.2272733294559</v>
      </c>
      <c r="P100" s="160">
        <v>0.96372863711860701</v>
      </c>
      <c r="Q100" s="160">
        <v>1.68171178499395E-2</v>
      </c>
      <c r="R100" s="160">
        <v>0.60898257460208005</v>
      </c>
      <c r="S100" s="160">
        <v>3.10015675734811E-2</v>
      </c>
      <c r="T100" s="160">
        <v>0</v>
      </c>
      <c r="U100" s="160">
        <v>0</v>
      </c>
      <c r="V100" s="160">
        <v>0</v>
      </c>
      <c r="W100" s="160"/>
      <c r="X100" s="59"/>
      <c r="Y100" s="159"/>
      <c r="Z100" s="159"/>
      <c r="AA100" s="159"/>
      <c r="AB100" s="159"/>
      <c r="AC100" s="159"/>
      <c r="AD100" s="161"/>
      <c r="AE100" s="160"/>
    </row>
    <row r="101" spans="1:31" ht="21.25" customHeight="1" x14ac:dyDescent="0.15">
      <c r="A101" s="8" t="s">
        <v>204</v>
      </c>
      <c r="B101" s="157" t="s">
        <v>875</v>
      </c>
      <c r="C101" s="158">
        <v>26</v>
      </c>
      <c r="D101" s="157" t="s">
        <v>857</v>
      </c>
      <c r="E101" s="59">
        <v>80.632499999999993</v>
      </c>
      <c r="F101" s="159">
        <v>19.401363434911801</v>
      </c>
      <c r="G101" s="160">
        <v>0.343536796430574</v>
      </c>
      <c r="H101" s="160">
        <v>0.42344374810983698</v>
      </c>
      <c r="I101" s="160">
        <v>0.76698054454041098</v>
      </c>
      <c r="J101" s="160">
        <v>3.08532545436411</v>
      </c>
      <c r="K101" s="160">
        <v>0.14974744824678801</v>
      </c>
      <c r="L101" s="160">
        <v>0.27436307481911598</v>
      </c>
      <c r="M101" s="160">
        <v>1.39702724510978E-2</v>
      </c>
      <c r="N101" s="160">
        <v>2.1646622053682101E-2</v>
      </c>
      <c r="O101" s="160">
        <v>0.66693102249005198</v>
      </c>
      <c r="P101" s="160">
        <v>1.58917640552796</v>
      </c>
      <c r="Q101" s="160">
        <v>4.8741125447380199E-2</v>
      </c>
      <c r="R101" s="160">
        <v>0.480817676706917</v>
      </c>
      <c r="S101" s="160">
        <v>5.5163907375074997E-2</v>
      </c>
      <c r="T101" s="160">
        <v>8.8346696044718307</v>
      </c>
      <c r="U101" s="160">
        <v>9.4549773362817202</v>
      </c>
      <c r="V101" s="160">
        <v>0.48304210754260901</v>
      </c>
      <c r="W101" s="160"/>
      <c r="X101" s="59"/>
      <c r="Y101" s="159"/>
      <c r="Z101" s="159"/>
      <c r="AA101" s="159"/>
      <c r="AB101" s="159"/>
      <c r="AC101" s="159"/>
      <c r="AD101" s="161"/>
      <c r="AE101" s="160"/>
    </row>
    <row r="102" spans="1:31" ht="21.25" customHeight="1" x14ac:dyDescent="0.15">
      <c r="A102" s="8" t="s">
        <v>151</v>
      </c>
      <c r="B102" s="157" t="s">
        <v>872</v>
      </c>
      <c r="C102" s="158">
        <v>32</v>
      </c>
      <c r="D102" s="157" t="s">
        <v>860</v>
      </c>
      <c r="E102" s="59">
        <v>81.400000000000006</v>
      </c>
      <c r="F102" s="159">
        <v>23.9259320894176</v>
      </c>
      <c r="G102" s="160">
        <v>0.15966497444290501</v>
      </c>
      <c r="H102" s="160">
        <v>0.60318880171899603</v>
      </c>
      <c r="I102" s="160">
        <v>0.76285377616190098</v>
      </c>
      <c r="J102" s="160">
        <v>2.4554041122501502</v>
      </c>
      <c r="K102" s="160">
        <v>3.16435096528878E-2</v>
      </c>
      <c r="L102" s="160">
        <v>0.28229878267208303</v>
      </c>
      <c r="M102" s="160">
        <v>5.2825974075282299E-3</v>
      </c>
      <c r="N102" s="160">
        <v>1.1389010491199201E-2</v>
      </c>
      <c r="O102" s="160">
        <v>1.67184441191915</v>
      </c>
      <c r="P102" s="160">
        <v>1.1933666224078101</v>
      </c>
      <c r="Q102" s="160">
        <v>-2.25309957761518E-4</v>
      </c>
      <c r="R102" s="160">
        <v>0.45645276024894899</v>
      </c>
      <c r="S102" s="160">
        <v>2.49876264987163E-2</v>
      </c>
      <c r="T102" s="160">
        <v>0</v>
      </c>
      <c r="U102" s="160">
        <v>0</v>
      </c>
      <c r="V102" s="160">
        <v>0</v>
      </c>
      <c r="W102" s="160"/>
      <c r="X102" s="59"/>
      <c r="Y102" s="159"/>
      <c r="Z102" s="159"/>
      <c r="AA102" s="159"/>
      <c r="AB102" s="159"/>
      <c r="AC102" s="159"/>
      <c r="AD102" s="161"/>
      <c r="AE102" s="160"/>
    </row>
    <row r="103" spans="1:31" ht="21.25" customHeight="1" x14ac:dyDescent="0.15">
      <c r="A103" s="8" t="s">
        <v>237</v>
      </c>
      <c r="B103" s="157" t="s">
        <v>892</v>
      </c>
      <c r="C103" s="158">
        <v>26</v>
      </c>
      <c r="D103" s="157" t="s">
        <v>857</v>
      </c>
      <c r="E103" s="59">
        <v>81.48</v>
      </c>
      <c r="F103" s="159">
        <v>18.7638607183689</v>
      </c>
      <c r="G103" s="160">
        <v>0.44105338869348198</v>
      </c>
      <c r="H103" s="160">
        <v>0.31924802603484798</v>
      </c>
      <c r="I103" s="160">
        <v>0.76030141472832902</v>
      </c>
      <c r="J103" s="160">
        <v>2.9758385870428299</v>
      </c>
      <c r="K103" s="160">
        <v>0.108030734074059</v>
      </c>
      <c r="L103" s="160">
        <v>0.23537220938609399</v>
      </c>
      <c r="M103" s="160">
        <v>3.1789932441285397E-2</v>
      </c>
      <c r="N103" s="160">
        <v>3.3105573059512797E-2</v>
      </c>
      <c r="O103" s="160">
        <v>0.39923504551552003</v>
      </c>
      <c r="P103" s="160">
        <v>1.3844575911033801</v>
      </c>
      <c r="Q103" s="160">
        <v>9.8326299646273193E-4</v>
      </c>
      <c r="R103" s="160">
        <v>0.55157128925403398</v>
      </c>
      <c r="S103" s="160">
        <v>6.5480475753211503E-2</v>
      </c>
      <c r="T103" s="160">
        <v>0.275165560779987</v>
      </c>
      <c r="U103" s="160">
        <v>0.420186392643491</v>
      </c>
      <c r="V103" s="160">
        <v>0.39572127384591899</v>
      </c>
      <c r="W103" s="160"/>
      <c r="X103" s="59"/>
      <c r="Y103" s="159"/>
      <c r="Z103" s="159"/>
      <c r="AA103" s="159"/>
      <c r="AB103" s="159"/>
      <c r="AC103" s="159"/>
      <c r="AD103" s="161"/>
      <c r="AE103" s="160"/>
    </row>
    <row r="104" spans="1:31" ht="21.25" customHeight="1" x14ac:dyDescent="0.15">
      <c r="A104" s="8" t="s">
        <v>244</v>
      </c>
      <c r="B104" s="157" t="s">
        <v>894</v>
      </c>
      <c r="C104" s="158">
        <v>32</v>
      </c>
      <c r="D104" s="157" t="s">
        <v>857</v>
      </c>
      <c r="E104" s="59">
        <v>80.517499999999998</v>
      </c>
      <c r="F104" s="159">
        <v>16.946249149120401</v>
      </c>
      <c r="G104" s="160">
        <v>0.27808490751577603</v>
      </c>
      <c r="H104" s="160">
        <v>0.48186185481182398</v>
      </c>
      <c r="I104" s="160">
        <v>0.75994676232759995</v>
      </c>
      <c r="J104" s="160">
        <v>3.09070363448207</v>
      </c>
      <c r="K104" s="160">
        <v>9.7237564710206795E-2</v>
      </c>
      <c r="L104" s="160">
        <v>0.24182812985562299</v>
      </c>
      <c r="M104" s="160">
        <v>3.6488079586815598E-4</v>
      </c>
      <c r="N104" s="160">
        <v>6.7850068378153298E-4</v>
      </c>
      <c r="O104" s="160">
        <v>0.349541394072311</v>
      </c>
      <c r="P104" s="160">
        <v>1.01651611399342</v>
      </c>
      <c r="Q104" s="160">
        <v>3.3183382175793398E-2</v>
      </c>
      <c r="R104" s="160">
        <v>0.553065531890646</v>
      </c>
      <c r="S104" s="160">
        <v>4.6467501414158299E-2</v>
      </c>
      <c r="T104" s="160">
        <v>7.2251999276240602</v>
      </c>
      <c r="U104" s="160">
        <v>7.4518365968096596</v>
      </c>
      <c r="V104" s="160">
        <v>0.49227920878958398</v>
      </c>
      <c r="W104" s="160"/>
      <c r="X104" s="59"/>
      <c r="Y104" s="159"/>
      <c r="Z104" s="159"/>
      <c r="AA104" s="159"/>
      <c r="AB104" s="159"/>
      <c r="AC104" s="159"/>
      <c r="AD104" s="161"/>
      <c r="AE104" s="160"/>
    </row>
    <row r="105" spans="1:31" ht="21.25" customHeight="1" x14ac:dyDescent="0.15">
      <c r="A105" s="8" t="s">
        <v>304</v>
      </c>
      <c r="B105" s="157" t="s">
        <v>885</v>
      </c>
      <c r="C105" s="158">
        <v>31</v>
      </c>
      <c r="D105" s="157" t="s">
        <v>857</v>
      </c>
      <c r="E105" s="59">
        <v>79.28</v>
      </c>
      <c r="F105" s="159">
        <v>17.9408705585452</v>
      </c>
      <c r="G105" s="160">
        <v>0.27694179757675902</v>
      </c>
      <c r="H105" s="160">
        <v>0.48001995429873201</v>
      </c>
      <c r="I105" s="160">
        <v>0.75696175187548997</v>
      </c>
      <c r="J105" s="160">
        <v>1.8187443046090901</v>
      </c>
      <c r="K105" s="160">
        <v>8.7206007686030998E-2</v>
      </c>
      <c r="L105" s="160">
        <v>0.20849334883788201</v>
      </c>
      <c r="M105" s="160">
        <v>1.35875357145326E-3</v>
      </c>
      <c r="N105" s="160">
        <v>2.52362328852035E-3</v>
      </c>
      <c r="O105" s="160">
        <v>0.45268951399778001</v>
      </c>
      <c r="P105" s="160">
        <v>1.6331092541473</v>
      </c>
      <c r="Q105" s="160">
        <v>-6.9065351538408204E-2</v>
      </c>
      <c r="R105" s="160">
        <v>0.50542232490815397</v>
      </c>
      <c r="S105" s="160">
        <v>3.1868449159113799E-2</v>
      </c>
      <c r="T105" s="160">
        <v>5.6084438272230699</v>
      </c>
      <c r="U105" s="160">
        <v>5.9351446630205604</v>
      </c>
      <c r="V105" s="160">
        <v>0.48584925146657798</v>
      </c>
      <c r="W105" s="160"/>
      <c r="X105" s="59"/>
      <c r="Y105" s="159"/>
      <c r="Z105" s="159"/>
      <c r="AA105" s="159"/>
      <c r="AB105" s="159"/>
      <c r="AC105" s="159"/>
      <c r="AD105" s="161"/>
      <c r="AE105" s="160"/>
    </row>
    <row r="106" spans="1:31" ht="21.25" customHeight="1" x14ac:dyDescent="0.15">
      <c r="A106" s="8" t="s">
        <v>319</v>
      </c>
      <c r="B106" s="157" t="s">
        <v>887</v>
      </c>
      <c r="C106" s="158">
        <v>22</v>
      </c>
      <c r="D106" s="157" t="s">
        <v>858</v>
      </c>
      <c r="E106" s="59">
        <v>74.56</v>
      </c>
      <c r="F106" s="159">
        <v>16.532772008532</v>
      </c>
      <c r="G106" s="160">
        <v>0.199487593884106</v>
      </c>
      <c r="H106" s="160">
        <v>0.55386584233870195</v>
      </c>
      <c r="I106" s="160">
        <v>0.75335343622280904</v>
      </c>
      <c r="J106" s="160">
        <v>1.2013180355567601</v>
      </c>
      <c r="K106" s="160">
        <v>3.2583959088458903E-2</v>
      </c>
      <c r="L106" s="160">
        <v>0.22355565455829801</v>
      </c>
      <c r="M106" s="160">
        <v>1.1889343614255501E-3</v>
      </c>
      <c r="N106" s="160">
        <v>2.0998959544471802E-3</v>
      </c>
      <c r="O106" s="160">
        <v>0.35396474288566299</v>
      </c>
      <c r="P106" s="160">
        <v>0.51358509086562198</v>
      </c>
      <c r="Q106" s="160">
        <v>-2.9941821823157001E-2</v>
      </c>
      <c r="R106" s="160">
        <v>0.32164862398890698</v>
      </c>
      <c r="S106" s="160">
        <v>2.4586845105015499E-2</v>
      </c>
      <c r="T106" s="160">
        <v>2.4317681244956001E-2</v>
      </c>
      <c r="U106" s="160">
        <v>9.011216103493E-2</v>
      </c>
      <c r="V106" s="160">
        <v>0.21251170813883399</v>
      </c>
      <c r="W106" s="160"/>
      <c r="X106" s="59"/>
      <c r="Y106" s="159"/>
      <c r="Z106" s="159"/>
      <c r="AA106" s="159"/>
      <c r="AB106" s="159"/>
      <c r="AC106" s="159"/>
      <c r="AD106" s="161"/>
      <c r="AE106" s="160"/>
    </row>
    <row r="107" spans="1:31" ht="21.25" customHeight="1" x14ac:dyDescent="0.15">
      <c r="A107" s="8" t="s">
        <v>316</v>
      </c>
      <c r="B107" s="157" t="s">
        <v>897</v>
      </c>
      <c r="C107" s="158">
        <v>26</v>
      </c>
      <c r="D107" s="157" t="s">
        <v>857</v>
      </c>
      <c r="E107" s="59">
        <v>74.09</v>
      </c>
      <c r="F107" s="159">
        <v>15.7015269812066</v>
      </c>
      <c r="G107" s="160">
        <v>0.28607098908888701</v>
      </c>
      <c r="H107" s="160">
        <v>0.46467261334330201</v>
      </c>
      <c r="I107" s="160">
        <v>0.75074360243218896</v>
      </c>
      <c r="J107" s="160">
        <v>1.9280773117963299</v>
      </c>
      <c r="K107" s="160">
        <v>9.8918362512791694E-2</v>
      </c>
      <c r="L107" s="160">
        <v>0.25404048303975602</v>
      </c>
      <c r="M107" s="160">
        <v>7.5416544203087404E-5</v>
      </c>
      <c r="N107" s="160">
        <v>1.37653619790316E-4</v>
      </c>
      <c r="O107" s="160">
        <v>0.452549608940157</v>
      </c>
      <c r="P107" s="160">
        <v>0.399458459041933</v>
      </c>
      <c r="Q107" s="160">
        <v>-1.6781969810307201E-2</v>
      </c>
      <c r="R107" s="160">
        <v>0.240537577442239</v>
      </c>
      <c r="S107" s="160">
        <v>4.1773846329742702E-2</v>
      </c>
      <c r="T107" s="160">
        <v>3.69513957494609</v>
      </c>
      <c r="U107" s="160">
        <v>4.6305763912849303</v>
      </c>
      <c r="V107" s="160">
        <v>0.44382244000798499</v>
      </c>
      <c r="W107" s="160"/>
      <c r="X107" s="59"/>
      <c r="Y107" s="159"/>
      <c r="Z107" s="159"/>
      <c r="AA107" s="159"/>
      <c r="AB107" s="159"/>
      <c r="AC107" s="159"/>
      <c r="AD107" s="161"/>
      <c r="AE107" s="160"/>
    </row>
    <row r="108" spans="1:31" ht="21.25" customHeight="1" x14ac:dyDescent="0.15">
      <c r="A108" s="8" t="s">
        <v>186</v>
      </c>
      <c r="B108" s="157" t="s">
        <v>891</v>
      </c>
      <c r="C108" s="158">
        <v>33</v>
      </c>
      <c r="D108" s="157" t="s">
        <v>860</v>
      </c>
      <c r="E108" s="59">
        <v>72.599999999999994</v>
      </c>
      <c r="F108" s="159">
        <v>23.060303365091499</v>
      </c>
      <c r="G108" s="160">
        <v>0.18388095309076499</v>
      </c>
      <c r="H108" s="160">
        <v>0.56649169707402802</v>
      </c>
      <c r="I108" s="160">
        <v>0.75037265016479304</v>
      </c>
      <c r="J108" s="160">
        <v>2.6036517508222099</v>
      </c>
      <c r="K108" s="160">
        <v>6.13938845975779E-2</v>
      </c>
      <c r="L108" s="160">
        <v>0.27025755663092899</v>
      </c>
      <c r="M108" s="160">
        <v>6.8006097316621302E-3</v>
      </c>
      <c r="N108" s="160">
        <v>1.9218575769100101E-2</v>
      </c>
      <c r="O108" s="160">
        <v>1.7499155729693701</v>
      </c>
      <c r="P108" s="160">
        <v>1.16071547245435</v>
      </c>
      <c r="Q108" s="160">
        <v>-3.5036373343097303E-2</v>
      </c>
      <c r="R108" s="160">
        <v>0.30811497044157699</v>
      </c>
      <c r="S108" s="160">
        <v>2.2618439680775201E-2</v>
      </c>
      <c r="T108" s="160">
        <v>0</v>
      </c>
      <c r="U108" s="160">
        <v>0</v>
      </c>
      <c r="V108" s="160">
        <v>0</v>
      </c>
      <c r="W108" s="160"/>
      <c r="X108" s="59"/>
      <c r="Y108" s="159"/>
      <c r="Z108" s="159"/>
      <c r="AA108" s="159"/>
      <c r="AB108" s="159"/>
      <c r="AC108" s="159"/>
      <c r="AD108" s="161"/>
      <c r="AE108" s="160"/>
    </row>
    <row r="109" spans="1:31" ht="21.25" customHeight="1" x14ac:dyDescent="0.15">
      <c r="A109" s="8" t="s">
        <v>302</v>
      </c>
      <c r="B109" s="157" t="s">
        <v>888</v>
      </c>
      <c r="C109" s="158">
        <v>24</v>
      </c>
      <c r="D109" s="157" t="s">
        <v>857</v>
      </c>
      <c r="E109" s="59">
        <v>72.552499999999995</v>
      </c>
      <c r="F109" s="159">
        <v>18.3735997935614</v>
      </c>
      <c r="G109" s="160">
        <v>0.411069835074238</v>
      </c>
      <c r="H109" s="160">
        <v>0.33874306249791197</v>
      </c>
      <c r="I109" s="160">
        <v>0.74981289757214997</v>
      </c>
      <c r="J109" s="160">
        <v>2.2239421282023</v>
      </c>
      <c r="K109" s="160">
        <v>0.153291503131021</v>
      </c>
      <c r="L109" s="160">
        <v>0.27688786709128899</v>
      </c>
      <c r="M109" s="160">
        <v>6.4534323960378E-3</v>
      </c>
      <c r="N109" s="160">
        <v>1.09832615680169E-2</v>
      </c>
      <c r="O109" s="160">
        <v>0.63948163419839399</v>
      </c>
      <c r="P109" s="160">
        <v>1.0890365540026901</v>
      </c>
      <c r="Q109" s="160">
        <v>1.9343011067780001E-2</v>
      </c>
      <c r="R109" s="160">
        <v>0.33902277178076101</v>
      </c>
      <c r="S109" s="160">
        <v>5.7097986351327998E-2</v>
      </c>
      <c r="T109" s="160">
        <v>6.84106854753849</v>
      </c>
      <c r="U109" s="160">
        <v>6.3025421737062404</v>
      </c>
      <c r="V109" s="160">
        <v>0.52048624176619096</v>
      </c>
      <c r="W109" s="160"/>
      <c r="X109" s="59"/>
      <c r="Y109" s="159"/>
      <c r="Z109" s="159"/>
      <c r="AA109" s="159"/>
      <c r="AB109" s="159"/>
      <c r="AC109" s="159"/>
      <c r="AD109" s="161"/>
      <c r="AE109" s="160"/>
    </row>
    <row r="110" spans="1:31" ht="21.25" customHeight="1" x14ac:dyDescent="0.15">
      <c r="A110" s="8" t="s">
        <v>335</v>
      </c>
      <c r="B110" s="157" t="s">
        <v>902</v>
      </c>
      <c r="C110" s="158">
        <v>20</v>
      </c>
      <c r="D110" s="157" t="s">
        <v>857</v>
      </c>
      <c r="E110" s="59">
        <v>71.3</v>
      </c>
      <c r="F110" s="159">
        <v>18.072691487144699</v>
      </c>
      <c r="G110" s="160">
        <v>0.30307679868174597</v>
      </c>
      <c r="H110" s="160">
        <v>0.44454358163472302</v>
      </c>
      <c r="I110" s="160">
        <v>0.74762038031647005</v>
      </c>
      <c r="J110" s="160">
        <v>2.3034268235969302</v>
      </c>
      <c r="K110" s="160">
        <v>6.7871644309634299E-2</v>
      </c>
      <c r="L110" s="160">
        <v>0.26045782973821802</v>
      </c>
      <c r="M110" s="160">
        <v>1.6673643312352701E-3</v>
      </c>
      <c r="N110" s="160">
        <v>3.0189948212603398E-3</v>
      </c>
      <c r="O110" s="160">
        <v>0.52570496166369796</v>
      </c>
      <c r="P110" s="160">
        <v>0.86279439067406005</v>
      </c>
      <c r="Q110" s="160">
        <v>-9.9954719619132094E-3</v>
      </c>
      <c r="R110" s="160">
        <v>0.48059472904540002</v>
      </c>
      <c r="S110" s="160">
        <v>3.6800113340782301E-2</v>
      </c>
      <c r="T110" s="160">
        <v>0.26122858864484</v>
      </c>
      <c r="U110" s="160">
        <v>0.484904143771824</v>
      </c>
      <c r="V110" s="160">
        <v>0.35011007732999699</v>
      </c>
      <c r="W110" s="160"/>
      <c r="X110" s="59"/>
      <c r="Y110" s="159"/>
      <c r="Z110" s="159"/>
      <c r="AA110" s="159"/>
      <c r="AB110" s="159"/>
      <c r="AC110" s="159"/>
      <c r="AD110" s="161"/>
      <c r="AE110" s="160"/>
    </row>
    <row r="111" spans="1:31" ht="21.25" customHeight="1" x14ac:dyDescent="0.15">
      <c r="A111" s="8" t="s">
        <v>263</v>
      </c>
      <c r="B111" s="157" t="s">
        <v>888</v>
      </c>
      <c r="C111" s="158">
        <v>31</v>
      </c>
      <c r="D111" s="157" t="s">
        <v>859</v>
      </c>
      <c r="E111" s="59">
        <v>74.074285714285693</v>
      </c>
      <c r="F111" s="159">
        <v>16.141911793723299</v>
      </c>
      <c r="G111" s="160">
        <v>0.28735518375775598</v>
      </c>
      <c r="H111" s="160">
        <v>0.45722354601991999</v>
      </c>
      <c r="I111" s="160">
        <v>0.74457872977767603</v>
      </c>
      <c r="J111" s="160">
        <v>2.4164320613925199</v>
      </c>
      <c r="K111" s="160">
        <v>4.4021032449738699E-2</v>
      </c>
      <c r="L111" s="160">
        <v>0.17328124207801801</v>
      </c>
      <c r="M111" s="160">
        <v>1.13473191087286E-4</v>
      </c>
      <c r="N111" s="160">
        <v>2.0974904387050999E-4</v>
      </c>
      <c r="O111" s="160">
        <v>0.52063071786382298</v>
      </c>
      <c r="P111" s="160">
        <v>1.0495158110840399</v>
      </c>
      <c r="Q111" s="160">
        <v>3.01184196456529E-3</v>
      </c>
      <c r="R111" s="160">
        <v>0.21305509387818899</v>
      </c>
      <c r="S111" s="160">
        <v>3.9913905035674997E-2</v>
      </c>
      <c r="T111" s="160">
        <v>7.12295508979545E-3</v>
      </c>
      <c r="U111" s="160">
        <v>3.8609407246494497E-2</v>
      </c>
      <c r="V111" s="160">
        <v>0.155753053765674</v>
      </c>
      <c r="W111" s="160"/>
      <c r="X111" s="59"/>
      <c r="Y111" s="159"/>
      <c r="Z111" s="159"/>
      <c r="AA111" s="159"/>
      <c r="AB111" s="159"/>
      <c r="AC111" s="159"/>
      <c r="AD111" s="161"/>
      <c r="AE111" s="160"/>
    </row>
    <row r="112" spans="1:31" ht="21.25" customHeight="1" x14ac:dyDescent="0.15">
      <c r="A112" s="8" t="s">
        <v>201</v>
      </c>
      <c r="B112" s="157" t="s">
        <v>880</v>
      </c>
      <c r="C112" s="158">
        <v>32</v>
      </c>
      <c r="D112" s="157" t="s">
        <v>858</v>
      </c>
      <c r="E112" s="59">
        <v>80.481428571428594</v>
      </c>
      <c r="F112" s="159">
        <v>18.537301632870399</v>
      </c>
      <c r="G112" s="160">
        <v>0.47552404423168698</v>
      </c>
      <c r="H112" s="160">
        <v>0.267477158205566</v>
      </c>
      <c r="I112" s="160">
        <v>0.74300120243725198</v>
      </c>
      <c r="J112" s="160">
        <v>2.86023733249765</v>
      </c>
      <c r="K112" s="160">
        <v>0.17801862576192301</v>
      </c>
      <c r="L112" s="160">
        <v>0.29222550781583001</v>
      </c>
      <c r="M112" s="160">
        <v>4.1517472633631099E-2</v>
      </c>
      <c r="N112" s="160">
        <v>4.2496213894553901E-2</v>
      </c>
      <c r="O112" s="160">
        <v>0.39553167040427001</v>
      </c>
      <c r="P112" s="160">
        <v>1.60769968192393</v>
      </c>
      <c r="Q112" s="160">
        <v>7.86711111844898E-2</v>
      </c>
      <c r="R112" s="160">
        <v>0.39604604448455399</v>
      </c>
      <c r="S112" s="160">
        <v>8.1028409156095202E-2</v>
      </c>
      <c r="T112" s="160">
        <v>0.55735121123602005</v>
      </c>
      <c r="U112" s="160">
        <v>0.65856664322794101</v>
      </c>
      <c r="V112" s="160">
        <v>0.45837900084272398</v>
      </c>
      <c r="W112" s="160"/>
      <c r="X112" s="59"/>
      <c r="Y112" s="159"/>
      <c r="Z112" s="159"/>
      <c r="AA112" s="159"/>
      <c r="AB112" s="159"/>
      <c r="AC112" s="159"/>
      <c r="AD112" s="161"/>
      <c r="AE112" s="160"/>
    </row>
    <row r="113" spans="1:31" ht="21.25" customHeight="1" x14ac:dyDescent="0.15">
      <c r="A113" s="8" t="s">
        <v>245</v>
      </c>
      <c r="B113" s="157" t="s">
        <v>898</v>
      </c>
      <c r="C113" s="158">
        <v>21</v>
      </c>
      <c r="D113" s="157" t="s">
        <v>858</v>
      </c>
      <c r="E113" s="59">
        <v>80.209999999999994</v>
      </c>
      <c r="F113" s="159">
        <v>17.9453802520324</v>
      </c>
      <c r="G113" s="160">
        <v>0.29293908032603899</v>
      </c>
      <c r="H113" s="160">
        <v>0.44963889236377302</v>
      </c>
      <c r="I113" s="160">
        <v>0.74257797268981196</v>
      </c>
      <c r="J113" s="160">
        <v>2.0372493774257001</v>
      </c>
      <c r="K113" s="160">
        <v>8.0693861016878199E-2</v>
      </c>
      <c r="L113" s="160">
        <v>0.271551348985487</v>
      </c>
      <c r="M113" s="160">
        <v>2.29655954002946E-4</v>
      </c>
      <c r="N113" s="160">
        <v>4.1530705135809401E-4</v>
      </c>
      <c r="O113" s="160">
        <v>0.30151707306320402</v>
      </c>
      <c r="P113" s="160">
        <v>0.67910857317679596</v>
      </c>
      <c r="Q113" s="160">
        <v>-5.9077842194838401E-2</v>
      </c>
      <c r="R113" s="160">
        <v>0.30512385197307601</v>
      </c>
      <c r="S113" s="160">
        <v>3.7821761943321597E-2</v>
      </c>
      <c r="T113" s="160">
        <v>8.9509807515949502E-2</v>
      </c>
      <c r="U113" s="160">
        <v>0.17401088583753499</v>
      </c>
      <c r="V113" s="160">
        <v>0.33966898909104498</v>
      </c>
      <c r="W113" s="160"/>
      <c r="X113" s="59"/>
      <c r="Y113" s="159"/>
      <c r="Z113" s="159"/>
      <c r="AA113" s="159"/>
      <c r="AB113" s="159"/>
      <c r="AC113" s="159"/>
      <c r="AD113" s="161"/>
      <c r="AE113" s="160"/>
    </row>
    <row r="114" spans="1:31" ht="21.25" customHeight="1" x14ac:dyDescent="0.15">
      <c r="A114" s="8" t="s">
        <v>248</v>
      </c>
      <c r="B114" s="157" t="s">
        <v>879</v>
      </c>
      <c r="C114" s="158">
        <v>26</v>
      </c>
      <c r="D114" s="157" t="s">
        <v>858</v>
      </c>
      <c r="E114" s="59">
        <v>75.951071428571396</v>
      </c>
      <c r="F114" s="159">
        <v>17.752231718519202</v>
      </c>
      <c r="G114" s="160">
        <v>0.37658957148953998</v>
      </c>
      <c r="H114" s="160">
        <v>0.355366240487688</v>
      </c>
      <c r="I114" s="160">
        <v>0.73195581197722803</v>
      </c>
      <c r="J114" s="160">
        <v>2.98268811572148</v>
      </c>
      <c r="K114" s="160">
        <v>0.100068079400902</v>
      </c>
      <c r="L114" s="160">
        <v>0.21700441316941299</v>
      </c>
      <c r="M114" s="160">
        <v>1.6959363097148899E-3</v>
      </c>
      <c r="N114" s="160">
        <v>1.1149390044556401E-2</v>
      </c>
      <c r="O114" s="160">
        <v>0.391902678145157</v>
      </c>
      <c r="P114" s="160">
        <v>1.21809690749017</v>
      </c>
      <c r="Q114" s="160">
        <v>7.57024045570657E-2</v>
      </c>
      <c r="R114" s="160">
        <v>0.256301182953662</v>
      </c>
      <c r="S114" s="160">
        <v>6.3221978003660598E-2</v>
      </c>
      <c r="T114" s="160">
        <v>0.100988249718242</v>
      </c>
      <c r="U114" s="160">
        <v>0.17797503106590601</v>
      </c>
      <c r="V114" s="160">
        <v>0.36201269727818802</v>
      </c>
      <c r="W114" s="160"/>
      <c r="X114" s="59"/>
      <c r="Y114" s="159"/>
      <c r="Z114" s="159"/>
      <c r="AA114" s="159"/>
      <c r="AB114" s="159"/>
      <c r="AC114" s="159"/>
      <c r="AD114" s="161"/>
      <c r="AE114" s="160"/>
    </row>
    <row r="115" spans="1:31" ht="21.25" customHeight="1" x14ac:dyDescent="0.15">
      <c r="A115" s="8" t="s">
        <v>231</v>
      </c>
      <c r="B115" s="157" t="s">
        <v>890</v>
      </c>
      <c r="C115" s="158">
        <v>31</v>
      </c>
      <c r="D115" s="157" t="s">
        <v>858</v>
      </c>
      <c r="E115" s="59">
        <v>77.725714285714304</v>
      </c>
      <c r="F115" s="159">
        <v>18.178314869834999</v>
      </c>
      <c r="G115" s="160">
        <v>0.27428242414784898</v>
      </c>
      <c r="H115" s="160">
        <v>0.45735285757164501</v>
      </c>
      <c r="I115" s="160">
        <v>0.73163528171949399</v>
      </c>
      <c r="J115" s="160">
        <v>2.8309440277253701</v>
      </c>
      <c r="K115" s="160">
        <v>8.3825547731471994E-2</v>
      </c>
      <c r="L115" s="160">
        <v>0.19572626580656299</v>
      </c>
      <c r="M115" s="160">
        <v>1.0448621495948201E-4</v>
      </c>
      <c r="N115" s="160">
        <v>1.9397268232252801E-4</v>
      </c>
      <c r="O115" s="160">
        <v>0.53308179319198401</v>
      </c>
      <c r="P115" s="160">
        <v>0.72160134062692105</v>
      </c>
      <c r="Q115" s="160">
        <v>-5.2653488180064503E-2</v>
      </c>
      <c r="R115" s="160">
        <v>0.46466374208938999</v>
      </c>
      <c r="S115" s="160">
        <v>3.2140840134798503E-2</v>
      </c>
      <c r="T115" s="160">
        <v>0.11523527265675999</v>
      </c>
      <c r="U115" s="160">
        <v>0.143899331259665</v>
      </c>
      <c r="V115" s="160">
        <v>0.44469272306806601</v>
      </c>
      <c r="W115" s="160"/>
      <c r="X115" s="59"/>
      <c r="Y115" s="159"/>
      <c r="Z115" s="159"/>
      <c r="AA115" s="159"/>
      <c r="AB115" s="159"/>
      <c r="AC115" s="159"/>
      <c r="AD115" s="161"/>
      <c r="AE115" s="160"/>
    </row>
    <row r="116" spans="1:31" ht="21.25" customHeight="1" x14ac:dyDescent="0.15">
      <c r="A116" s="8" t="s">
        <v>262</v>
      </c>
      <c r="B116" s="157" t="s">
        <v>902</v>
      </c>
      <c r="C116" s="158">
        <v>34</v>
      </c>
      <c r="D116" s="157" t="s">
        <v>857</v>
      </c>
      <c r="E116" s="59">
        <v>80.599999999999994</v>
      </c>
      <c r="F116" s="159">
        <v>19.238690600038101</v>
      </c>
      <c r="G116" s="160">
        <v>0.29245205197931801</v>
      </c>
      <c r="H116" s="160">
        <v>0.43896473737617397</v>
      </c>
      <c r="I116" s="160">
        <v>0.73141678935549304</v>
      </c>
      <c r="J116" s="160">
        <v>2.4853822784347002</v>
      </c>
      <c r="K116" s="160">
        <v>6.7527091696602606E-2</v>
      </c>
      <c r="L116" s="160">
        <v>0.241304110430378</v>
      </c>
      <c r="M116" s="160">
        <v>1.5740183299204999E-2</v>
      </c>
      <c r="N116" s="160">
        <v>2.0576674630897001E-2</v>
      </c>
      <c r="O116" s="160">
        <v>0.78818526694948399</v>
      </c>
      <c r="P116" s="160">
        <v>1.3774069791602701</v>
      </c>
      <c r="Q116" s="160">
        <v>4.68009732939321E-3</v>
      </c>
      <c r="R116" s="160">
        <v>0.30912715639537802</v>
      </c>
      <c r="S116" s="160">
        <v>3.55100380708602E-2</v>
      </c>
      <c r="T116" s="160">
        <v>8.0190179983877403</v>
      </c>
      <c r="U116" s="160">
        <v>8.6073262090007798</v>
      </c>
      <c r="V116" s="160">
        <v>0.48230795046479302</v>
      </c>
      <c r="W116" s="160"/>
      <c r="X116" s="59"/>
      <c r="Y116" s="159"/>
      <c r="Z116" s="159"/>
      <c r="AA116" s="159"/>
      <c r="AB116" s="159"/>
      <c r="AC116" s="159"/>
      <c r="AD116" s="161"/>
      <c r="AE116" s="160"/>
    </row>
    <row r="117" spans="1:31" ht="21.25" customHeight="1" x14ac:dyDescent="0.15">
      <c r="A117" s="8" t="s">
        <v>224</v>
      </c>
      <c r="B117" s="157" t="s">
        <v>904</v>
      </c>
      <c r="C117" s="158">
        <v>34</v>
      </c>
      <c r="D117" s="157" t="s">
        <v>859</v>
      </c>
      <c r="E117" s="59">
        <v>79.882499999999993</v>
      </c>
      <c r="F117" s="159">
        <v>16.581815100196302</v>
      </c>
      <c r="G117" s="160">
        <v>0.22451060303449999</v>
      </c>
      <c r="H117" s="160">
        <v>0.50642095791550601</v>
      </c>
      <c r="I117" s="160">
        <v>0.730931560950006</v>
      </c>
      <c r="J117" s="160">
        <v>2.6556008967416802</v>
      </c>
      <c r="K117" s="160">
        <v>5.8047425399330402E-2</v>
      </c>
      <c r="L117" s="160">
        <v>0.24895742676141799</v>
      </c>
      <c r="M117" s="160">
        <v>0</v>
      </c>
      <c r="N117" s="160">
        <v>0</v>
      </c>
      <c r="O117" s="160">
        <v>0.25113985067613198</v>
      </c>
      <c r="P117" s="160">
        <v>0.22437646050047799</v>
      </c>
      <c r="Q117" s="160">
        <v>-1.28026776243295E-2</v>
      </c>
      <c r="R117" s="160">
        <v>0.21656347741221599</v>
      </c>
      <c r="S117" s="160"/>
      <c r="T117" s="160">
        <v>1.9073979116638402E-2</v>
      </c>
      <c r="U117" s="160">
        <v>2.2769016493457299E-2</v>
      </c>
      <c r="V117" s="160">
        <v>0.455846404840965</v>
      </c>
      <c r="W117" s="160"/>
      <c r="X117" s="59"/>
      <c r="Y117" s="159"/>
      <c r="Z117" s="159"/>
      <c r="AA117" s="159"/>
      <c r="AB117" s="159"/>
      <c r="AC117" s="159"/>
      <c r="AD117" s="161"/>
      <c r="AE117" s="160"/>
    </row>
    <row r="118" spans="1:31" ht="21.25" customHeight="1" x14ac:dyDescent="0.15">
      <c r="A118" s="8" t="s">
        <v>189</v>
      </c>
      <c r="B118" s="157" t="s">
        <v>879</v>
      </c>
      <c r="C118" s="158">
        <v>25</v>
      </c>
      <c r="D118" s="157" t="s">
        <v>860</v>
      </c>
      <c r="E118" s="59">
        <v>78.085357142857106</v>
      </c>
      <c r="F118" s="159">
        <v>23.335087774509699</v>
      </c>
      <c r="G118" s="160">
        <v>0.117826858665386</v>
      </c>
      <c r="H118" s="160">
        <v>0.61018207393733903</v>
      </c>
      <c r="I118" s="160">
        <v>0.72800893260272403</v>
      </c>
      <c r="J118" s="160">
        <v>1.81508212839224</v>
      </c>
      <c r="K118" s="160">
        <v>3.7966041768204901E-2</v>
      </c>
      <c r="L118" s="160">
        <v>0.26625552349739801</v>
      </c>
      <c r="M118" s="160">
        <v>3.9734862087242601E-4</v>
      </c>
      <c r="N118" s="160">
        <v>3.5893288019130699E-3</v>
      </c>
      <c r="O118" s="160">
        <v>1.7940263505985199</v>
      </c>
      <c r="P118" s="160">
        <v>1.419143278525</v>
      </c>
      <c r="Q118" s="160">
        <v>9.9444881789523196E-2</v>
      </c>
      <c r="R118" s="160">
        <v>0.77479030636439805</v>
      </c>
      <c r="S118" s="160">
        <v>1.9780810810344902E-2</v>
      </c>
      <c r="T118" s="160">
        <v>0</v>
      </c>
      <c r="U118" s="160">
        <v>0</v>
      </c>
      <c r="V118" s="160">
        <v>0</v>
      </c>
      <c r="W118" s="160"/>
      <c r="X118" s="59"/>
      <c r="Y118" s="159"/>
      <c r="Z118" s="159"/>
      <c r="AA118" s="159"/>
      <c r="AB118" s="159"/>
      <c r="AC118" s="159"/>
      <c r="AD118" s="161"/>
      <c r="AE118" s="160"/>
    </row>
    <row r="119" spans="1:31" ht="21.25" customHeight="1" x14ac:dyDescent="0.15">
      <c r="A119" s="8" t="s">
        <v>170</v>
      </c>
      <c r="B119" s="157" t="s">
        <v>872</v>
      </c>
      <c r="C119" s="158">
        <v>25</v>
      </c>
      <c r="D119" s="157" t="s">
        <v>860</v>
      </c>
      <c r="E119" s="59">
        <v>81.3</v>
      </c>
      <c r="F119" s="159">
        <v>24.086123848892399</v>
      </c>
      <c r="G119" s="160">
        <v>0.117920122739543</v>
      </c>
      <c r="H119" s="160">
        <v>0.60843694111262903</v>
      </c>
      <c r="I119" s="160">
        <v>0.72635706385217302</v>
      </c>
      <c r="J119" s="160">
        <v>2.05802243507868</v>
      </c>
      <c r="K119" s="160">
        <v>3.1856831496370197E-2</v>
      </c>
      <c r="L119" s="160">
        <v>0.27801883413242001</v>
      </c>
      <c r="M119" s="160">
        <v>3.1223323026784502E-4</v>
      </c>
      <c r="N119" s="160">
        <v>1.12994032057082E-2</v>
      </c>
      <c r="O119" s="160">
        <v>1.77309329512424</v>
      </c>
      <c r="P119" s="160">
        <v>1.56601275842452</v>
      </c>
      <c r="Q119" s="160">
        <v>1.23649810023324E-2</v>
      </c>
      <c r="R119" s="160">
        <v>0.69278754392782305</v>
      </c>
      <c r="S119" s="160">
        <v>1.8454542043296801E-2</v>
      </c>
      <c r="T119" s="160">
        <v>0</v>
      </c>
      <c r="U119" s="160">
        <v>0</v>
      </c>
      <c r="V119" s="160">
        <v>0</v>
      </c>
      <c r="W119" s="160"/>
      <c r="X119" s="59"/>
      <c r="Y119" s="159"/>
      <c r="Z119" s="159"/>
      <c r="AA119" s="159"/>
      <c r="AB119" s="159"/>
      <c r="AC119" s="159"/>
      <c r="AD119" s="161"/>
      <c r="AE119" s="160"/>
    </row>
    <row r="120" spans="1:31" ht="21.25" customHeight="1" x14ac:dyDescent="0.15">
      <c r="A120" s="8" t="s">
        <v>291</v>
      </c>
      <c r="B120" s="157" t="s">
        <v>891</v>
      </c>
      <c r="C120" s="158">
        <v>31</v>
      </c>
      <c r="D120" s="157" t="s">
        <v>857</v>
      </c>
      <c r="E120" s="59">
        <v>79.2435714285714</v>
      </c>
      <c r="F120" s="159">
        <v>18.240917659402299</v>
      </c>
      <c r="G120" s="160">
        <v>0.19731706491154499</v>
      </c>
      <c r="H120" s="160">
        <v>0.52126867451912895</v>
      </c>
      <c r="I120" s="160">
        <v>0.71858573943067405</v>
      </c>
      <c r="J120" s="160">
        <v>2.1848550811915399</v>
      </c>
      <c r="K120" s="160">
        <v>5.6971773787525402E-2</v>
      </c>
      <c r="L120" s="160">
        <v>0.219573891725273</v>
      </c>
      <c r="M120" s="160">
        <v>9.9422200851858392E-3</v>
      </c>
      <c r="N120" s="160">
        <v>2.0516847318258698E-2</v>
      </c>
      <c r="O120" s="160">
        <v>0.37672334908557997</v>
      </c>
      <c r="P120" s="160">
        <v>0.58119247646175198</v>
      </c>
      <c r="Q120" s="160">
        <v>-4.6007479145933901E-2</v>
      </c>
      <c r="R120" s="160">
        <v>0.536614969424691</v>
      </c>
      <c r="S120" s="160">
        <v>2.42711605289887E-2</v>
      </c>
      <c r="T120" s="160">
        <v>6.00047799051866</v>
      </c>
      <c r="U120" s="160">
        <v>7.3131938040296998</v>
      </c>
      <c r="V120" s="160">
        <v>0.45070045913071999</v>
      </c>
      <c r="W120" s="160"/>
      <c r="X120" s="59"/>
      <c r="Y120" s="159"/>
      <c r="Z120" s="159"/>
      <c r="AA120" s="159"/>
      <c r="AB120" s="159"/>
      <c r="AC120" s="159"/>
      <c r="AD120" s="161"/>
      <c r="AE120" s="160"/>
    </row>
    <row r="121" spans="1:31" ht="21.25" customHeight="1" x14ac:dyDescent="0.15">
      <c r="A121" s="8" t="s">
        <v>294</v>
      </c>
      <c r="B121" s="157" t="s">
        <v>897</v>
      </c>
      <c r="C121" s="158">
        <v>21</v>
      </c>
      <c r="D121" s="157" t="s">
        <v>859</v>
      </c>
      <c r="E121" s="59">
        <v>72.900000000000006</v>
      </c>
      <c r="F121" s="159">
        <v>16.6149850521549</v>
      </c>
      <c r="G121" s="160">
        <v>0.31273384744066601</v>
      </c>
      <c r="H121" s="160">
        <v>0.402138895973848</v>
      </c>
      <c r="I121" s="160">
        <v>0.71487274341451301</v>
      </c>
      <c r="J121" s="160">
        <v>2.2801399196020999</v>
      </c>
      <c r="K121" s="160">
        <v>4.6656091330722203E-2</v>
      </c>
      <c r="L121" s="160">
        <v>0.16371477893172201</v>
      </c>
      <c r="M121" s="160">
        <v>2.4320960977490699E-5</v>
      </c>
      <c r="N121" s="160">
        <v>4.4269012017342802E-5</v>
      </c>
      <c r="O121" s="160">
        <v>0.32165855044282299</v>
      </c>
      <c r="P121" s="160">
        <v>0.60907323144319303</v>
      </c>
      <c r="Q121" s="160">
        <v>-2.8768953072208499E-3</v>
      </c>
      <c r="R121" s="160">
        <v>0.34912585234825999</v>
      </c>
      <c r="S121" s="160">
        <v>4.5667320991561101E-2</v>
      </c>
      <c r="T121" s="160">
        <v>0</v>
      </c>
      <c r="U121" s="160">
        <v>0</v>
      </c>
      <c r="V121" s="160">
        <v>0</v>
      </c>
      <c r="W121" s="160"/>
      <c r="X121" s="59"/>
      <c r="Y121" s="159"/>
      <c r="Z121" s="159"/>
      <c r="AA121" s="159"/>
      <c r="AB121" s="159"/>
      <c r="AC121" s="159"/>
      <c r="AD121" s="161"/>
      <c r="AE121" s="160"/>
    </row>
    <row r="122" spans="1:31" ht="21.25" customHeight="1" x14ac:dyDescent="0.15">
      <c r="A122" s="8" t="s">
        <v>311</v>
      </c>
      <c r="B122" s="157" t="s">
        <v>887</v>
      </c>
      <c r="C122" s="162">
        <v>19</v>
      </c>
      <c r="D122" s="157" t="s">
        <v>857</v>
      </c>
      <c r="E122" s="59">
        <v>78</v>
      </c>
      <c r="F122" s="159">
        <v>17.5</v>
      </c>
      <c r="G122" s="160">
        <v>0.274454802150009</v>
      </c>
      <c r="H122" s="160">
        <v>0.44034956532813002</v>
      </c>
      <c r="I122" s="160">
        <v>0.71480436747813902</v>
      </c>
      <c r="J122" s="160">
        <v>2.0582302530318701</v>
      </c>
      <c r="K122" s="160">
        <v>7.7005024771806693E-2</v>
      </c>
      <c r="L122" s="160">
        <v>0.20055589333272</v>
      </c>
      <c r="M122" s="160">
        <v>0</v>
      </c>
      <c r="N122" s="160">
        <v>0</v>
      </c>
      <c r="O122" s="160">
        <v>0.44512195121951198</v>
      </c>
      <c r="P122" s="160">
        <v>0.73170731707317105</v>
      </c>
      <c r="Q122" s="160">
        <v>5.0000000000000001E-3</v>
      </c>
      <c r="R122" s="160">
        <v>0.40426829268292702</v>
      </c>
      <c r="S122" s="160">
        <v>3.3826553207665602E-2</v>
      </c>
      <c r="T122" s="160">
        <v>5.1785232274102402</v>
      </c>
      <c r="U122" s="160">
        <v>7.15129398070939</v>
      </c>
      <c r="V122" s="160">
        <v>0.42</v>
      </c>
      <c r="W122" s="160"/>
      <c r="X122" s="59"/>
      <c r="Y122" s="159"/>
      <c r="Z122" s="159"/>
      <c r="AA122" s="159"/>
      <c r="AB122" s="159"/>
      <c r="AC122" s="159"/>
      <c r="AD122" s="161"/>
      <c r="AE122" s="160"/>
    </row>
    <row r="123" spans="1:31" ht="21.25" customHeight="1" x14ac:dyDescent="0.15">
      <c r="A123" s="8" t="s">
        <v>272</v>
      </c>
      <c r="B123" s="157" t="s">
        <v>896</v>
      </c>
      <c r="C123" s="158">
        <v>33</v>
      </c>
      <c r="D123" s="157" t="s">
        <v>858</v>
      </c>
      <c r="E123" s="59">
        <v>82</v>
      </c>
      <c r="F123" s="159">
        <v>18.421619118785401</v>
      </c>
      <c r="G123" s="160">
        <v>0.30042782678383501</v>
      </c>
      <c r="H123" s="160">
        <v>0.40998087787808202</v>
      </c>
      <c r="I123" s="160">
        <v>0.71040870466191697</v>
      </c>
      <c r="J123" s="160">
        <v>1.96878020248959</v>
      </c>
      <c r="K123" s="160">
        <v>5.3651000489602203E-2</v>
      </c>
      <c r="L123" s="160">
        <v>0.14267428036622801</v>
      </c>
      <c r="M123" s="160">
        <v>7.41464227616074E-3</v>
      </c>
      <c r="N123" s="160">
        <v>1.6711997848535099E-2</v>
      </c>
      <c r="O123" s="160">
        <v>0.39218487810339397</v>
      </c>
      <c r="P123" s="160">
        <v>0.908618112723246</v>
      </c>
      <c r="Q123" s="160">
        <v>-7.7922183663460404E-2</v>
      </c>
      <c r="R123" s="160">
        <v>0.64601944724147298</v>
      </c>
      <c r="S123" s="160">
        <v>3.25692107263909E-2</v>
      </c>
      <c r="T123" s="160">
        <v>1.6513268001686999E-2</v>
      </c>
      <c r="U123" s="160">
        <v>3.1992498861939597E-2</v>
      </c>
      <c r="V123" s="160">
        <v>0.340439272883033</v>
      </c>
      <c r="W123" s="160"/>
      <c r="X123" s="59"/>
      <c r="Y123" s="159"/>
      <c r="Z123" s="159"/>
      <c r="AA123" s="159"/>
      <c r="AB123" s="159"/>
      <c r="AC123" s="159"/>
      <c r="AD123" s="161"/>
      <c r="AE123" s="160"/>
    </row>
    <row r="124" spans="1:31" ht="21.25" customHeight="1" x14ac:dyDescent="0.15">
      <c r="A124" s="8" t="s">
        <v>251</v>
      </c>
      <c r="B124" s="157" t="s">
        <v>878</v>
      </c>
      <c r="C124" s="158">
        <v>34</v>
      </c>
      <c r="D124" s="157" t="s">
        <v>858</v>
      </c>
      <c r="E124" s="59">
        <v>81.444285714285698</v>
      </c>
      <c r="F124" s="159">
        <v>16.0773216632386</v>
      </c>
      <c r="G124" s="160">
        <v>0.28590199144107697</v>
      </c>
      <c r="H124" s="160">
        <v>0.42131984425846097</v>
      </c>
      <c r="I124" s="160">
        <v>0.707221835699538</v>
      </c>
      <c r="J124" s="160">
        <v>2.2335285079878799</v>
      </c>
      <c r="K124" s="160">
        <v>9.7446106263893398E-2</v>
      </c>
      <c r="L124" s="160">
        <v>0.24711589671572001</v>
      </c>
      <c r="M124" s="160">
        <v>2.01156420814343E-2</v>
      </c>
      <c r="N124" s="160">
        <v>2.9183484936005099E-2</v>
      </c>
      <c r="O124" s="160">
        <v>0.54420514675790599</v>
      </c>
      <c r="P124" s="160">
        <v>1.2912105864453001</v>
      </c>
      <c r="Q124" s="160">
        <v>7.1010935529748895E-2</v>
      </c>
      <c r="R124" s="160">
        <v>0.55999275735326104</v>
      </c>
      <c r="S124" s="160">
        <v>4.5742291855785197E-2</v>
      </c>
      <c r="T124" s="160">
        <v>5.9990170094700401</v>
      </c>
      <c r="U124" s="160">
        <v>4.43360612023067</v>
      </c>
      <c r="V124" s="160">
        <v>0.57502479816331098</v>
      </c>
      <c r="W124" s="160"/>
      <c r="X124" s="59"/>
      <c r="Y124" s="159"/>
      <c r="Z124" s="159"/>
      <c r="AA124" s="159"/>
      <c r="AB124" s="159"/>
      <c r="AC124" s="159"/>
      <c r="AD124" s="161"/>
      <c r="AE124" s="160"/>
    </row>
    <row r="125" spans="1:31" ht="21.25" customHeight="1" x14ac:dyDescent="0.15">
      <c r="A125" s="8" t="s">
        <v>247</v>
      </c>
      <c r="B125" s="157" t="s">
        <v>876</v>
      </c>
      <c r="C125" s="158">
        <v>31</v>
      </c>
      <c r="D125" s="157" t="s">
        <v>859</v>
      </c>
      <c r="E125" s="59">
        <v>80.344285714285704</v>
      </c>
      <c r="F125" s="159">
        <v>16.3001630333052</v>
      </c>
      <c r="G125" s="160">
        <v>0.326260136458355</v>
      </c>
      <c r="H125" s="160">
        <v>0.380473427038026</v>
      </c>
      <c r="I125" s="160">
        <v>0.70673356349637995</v>
      </c>
      <c r="J125" s="160">
        <v>2.9351657780602398</v>
      </c>
      <c r="K125" s="160">
        <v>7.0011727825850897E-2</v>
      </c>
      <c r="L125" s="160">
        <v>0.16172713265247399</v>
      </c>
      <c r="M125" s="160">
        <v>5.4411244562830603E-3</v>
      </c>
      <c r="N125" s="160">
        <v>9.5571623827812799E-3</v>
      </c>
      <c r="O125" s="160">
        <v>0.25226699255787999</v>
      </c>
      <c r="P125" s="160">
        <v>0.90201771730803304</v>
      </c>
      <c r="Q125" s="160">
        <v>1.62973106117732E-2</v>
      </c>
      <c r="R125" s="160">
        <v>0.32481819128203798</v>
      </c>
      <c r="S125" s="160">
        <v>4.8022426668728503E-2</v>
      </c>
      <c r="T125" s="160">
        <v>0.144448163039263</v>
      </c>
      <c r="U125" s="160">
        <v>0.12872824154245099</v>
      </c>
      <c r="V125" s="160">
        <v>0.52877247308544495</v>
      </c>
      <c r="W125" s="160"/>
      <c r="X125" s="59"/>
      <c r="Y125" s="159"/>
      <c r="Z125" s="159"/>
      <c r="AA125" s="159"/>
      <c r="AB125" s="159"/>
      <c r="AC125" s="159"/>
      <c r="AD125" s="161"/>
      <c r="AE125" s="160"/>
    </row>
    <row r="126" spans="1:31" ht="21.25" customHeight="1" x14ac:dyDescent="0.15">
      <c r="A126" s="8" t="s">
        <v>286</v>
      </c>
      <c r="B126" s="157" t="s">
        <v>880</v>
      </c>
      <c r="C126" s="158">
        <v>30</v>
      </c>
      <c r="D126" s="157" t="s">
        <v>857</v>
      </c>
      <c r="E126" s="59">
        <v>80.574642857142905</v>
      </c>
      <c r="F126" s="159">
        <v>18.287370724741699</v>
      </c>
      <c r="G126" s="160">
        <v>0.26158136772622698</v>
      </c>
      <c r="H126" s="160">
        <v>0.44377675864414801</v>
      </c>
      <c r="I126" s="160">
        <v>0.70535812637037398</v>
      </c>
      <c r="J126" s="160">
        <v>2.4849698912528</v>
      </c>
      <c r="K126" s="160">
        <v>6.9756470421367595E-2</v>
      </c>
      <c r="L126" s="160">
        <v>0.15774734228910001</v>
      </c>
      <c r="M126" s="160">
        <v>8.82964780062922E-4</v>
      </c>
      <c r="N126" s="160">
        <v>1.6368517085895201E-3</v>
      </c>
      <c r="O126" s="160">
        <v>0.53161260503352203</v>
      </c>
      <c r="P126" s="160">
        <v>2.1070548840998198</v>
      </c>
      <c r="Q126" s="160">
        <v>6.8196170516653498E-2</v>
      </c>
      <c r="R126" s="160">
        <v>0.65907264657645404</v>
      </c>
      <c r="S126" s="160">
        <v>4.4572976590442903E-2</v>
      </c>
      <c r="T126" s="160">
        <v>8.3913516024820503</v>
      </c>
      <c r="U126" s="160">
        <v>6.7188948916193301</v>
      </c>
      <c r="V126" s="160">
        <v>0.555341807677181</v>
      </c>
      <c r="W126" s="160"/>
      <c r="X126" s="59"/>
      <c r="Y126" s="159"/>
      <c r="Z126" s="159"/>
      <c r="AA126" s="159"/>
      <c r="AB126" s="159"/>
      <c r="AC126" s="159"/>
      <c r="AD126" s="161"/>
      <c r="AE126" s="160"/>
    </row>
    <row r="127" spans="1:31" ht="21.25" customHeight="1" x14ac:dyDescent="0.15">
      <c r="A127" s="8" t="s">
        <v>255</v>
      </c>
      <c r="B127" s="157" t="s">
        <v>898</v>
      </c>
      <c r="C127" s="158">
        <v>35</v>
      </c>
      <c r="D127" s="157" t="s">
        <v>858</v>
      </c>
      <c r="E127" s="59">
        <v>79.967500000000001</v>
      </c>
      <c r="F127" s="159">
        <v>16.6222934178735</v>
      </c>
      <c r="G127" s="160">
        <v>0.29334066016087401</v>
      </c>
      <c r="H127" s="160">
        <v>0.40887885604916502</v>
      </c>
      <c r="I127" s="160">
        <v>0.70221951621003897</v>
      </c>
      <c r="J127" s="160">
        <v>2.39045078402338</v>
      </c>
      <c r="K127" s="160">
        <v>9.4698139112364799E-2</v>
      </c>
      <c r="L127" s="160">
        <v>0.28788472390314501</v>
      </c>
      <c r="M127" s="160">
        <v>2.2453633066658401E-5</v>
      </c>
      <c r="N127" s="160">
        <v>4.1530975099003201E-5</v>
      </c>
      <c r="O127" s="160">
        <v>0.282314501782155</v>
      </c>
      <c r="P127" s="160">
        <v>1.1931779274735701</v>
      </c>
      <c r="Q127" s="160">
        <v>-2.0257434261374298E-2</v>
      </c>
      <c r="R127" s="160">
        <v>0.52418713376775095</v>
      </c>
      <c r="S127" s="160">
        <v>3.7873610460417602E-2</v>
      </c>
      <c r="T127" s="160">
        <v>1.9623368002135402E-2</v>
      </c>
      <c r="U127" s="160">
        <v>9.8636327037062294E-2</v>
      </c>
      <c r="V127" s="160">
        <v>0.165934539198931</v>
      </c>
      <c r="W127" s="160"/>
      <c r="X127" s="59"/>
      <c r="Y127" s="159"/>
      <c r="Z127" s="159"/>
      <c r="AA127" s="159"/>
      <c r="AB127" s="159"/>
      <c r="AC127" s="159"/>
      <c r="AD127" s="161"/>
      <c r="AE127" s="160"/>
    </row>
    <row r="128" spans="1:31" ht="21.25" customHeight="1" x14ac:dyDescent="0.15">
      <c r="A128" s="8" t="s">
        <v>167</v>
      </c>
      <c r="B128" s="157" t="s">
        <v>886</v>
      </c>
      <c r="C128" s="158">
        <v>28</v>
      </c>
      <c r="D128" s="157" t="s">
        <v>860</v>
      </c>
      <c r="E128" s="59">
        <v>80.52</v>
      </c>
      <c r="F128" s="159">
        <v>24.028812280166299</v>
      </c>
      <c r="G128" s="160">
        <v>0.15721316829138299</v>
      </c>
      <c r="H128" s="160">
        <v>0.54410759719963997</v>
      </c>
      <c r="I128" s="160">
        <v>0.70132076549102296</v>
      </c>
      <c r="J128" s="160">
        <v>2.21418795721068</v>
      </c>
      <c r="K128" s="160">
        <v>4.5345473248545598E-2</v>
      </c>
      <c r="L128" s="160">
        <v>0.290687107196968</v>
      </c>
      <c r="M128" s="160">
        <v>1.3628749305213801E-4</v>
      </c>
      <c r="N128" s="160">
        <v>5.0684921838390598E-4</v>
      </c>
      <c r="O128" s="160">
        <v>1.4412147793064001</v>
      </c>
      <c r="P128" s="160">
        <v>1.3413242646357699</v>
      </c>
      <c r="Q128" s="160">
        <v>3.0720446107506301E-2</v>
      </c>
      <c r="R128" s="160">
        <v>0.59600575715387805</v>
      </c>
      <c r="S128" s="160">
        <v>2.45257804745459E-2</v>
      </c>
      <c r="T128" s="160">
        <v>0</v>
      </c>
      <c r="U128" s="160">
        <v>0</v>
      </c>
      <c r="V128" s="160">
        <v>0</v>
      </c>
      <c r="W128" s="160"/>
      <c r="X128" s="59"/>
      <c r="Y128" s="159"/>
      <c r="Z128" s="159"/>
      <c r="AA128" s="159"/>
      <c r="AB128" s="159"/>
      <c r="AC128" s="159"/>
      <c r="AD128" s="161"/>
      <c r="AE128" s="160"/>
    </row>
    <row r="129" spans="1:31" ht="21.25" customHeight="1" x14ac:dyDescent="0.15">
      <c r="A129" s="8" t="s">
        <v>299</v>
      </c>
      <c r="B129" s="157" t="s">
        <v>890</v>
      </c>
      <c r="C129" s="158">
        <v>21</v>
      </c>
      <c r="D129" s="157" t="s">
        <v>858</v>
      </c>
      <c r="E129" s="59">
        <v>73.375</v>
      </c>
      <c r="F129" s="159">
        <v>17.1941798142972</v>
      </c>
      <c r="G129" s="160">
        <v>0.29521109621011199</v>
      </c>
      <c r="H129" s="160">
        <v>0.40408396078286601</v>
      </c>
      <c r="I129" s="160">
        <v>0.699295056992978</v>
      </c>
      <c r="J129" s="160">
        <v>2.0800120629797001</v>
      </c>
      <c r="K129" s="160">
        <v>4.9171853089582197E-2</v>
      </c>
      <c r="L129" s="160">
        <v>0.19614903703318201</v>
      </c>
      <c r="M129" s="160">
        <v>1.85281323148079E-5</v>
      </c>
      <c r="N129" s="160">
        <v>3.36553953763713E-5</v>
      </c>
      <c r="O129" s="160">
        <v>0.55997033833077103</v>
      </c>
      <c r="P129" s="160">
        <v>0.53640599971679104</v>
      </c>
      <c r="Q129" s="160">
        <v>-8.2702530888470599E-2</v>
      </c>
      <c r="R129" s="160">
        <v>0.33222698808762702</v>
      </c>
      <c r="S129" s="160">
        <v>3.4593294407348901E-2</v>
      </c>
      <c r="T129" s="160">
        <v>0.35727968035665703</v>
      </c>
      <c r="U129" s="160">
        <v>0.59369002986082098</v>
      </c>
      <c r="V129" s="160">
        <v>0.37570037880065699</v>
      </c>
      <c r="W129" s="160"/>
      <c r="X129" s="59"/>
      <c r="Y129" s="159"/>
      <c r="Z129" s="159"/>
      <c r="AA129" s="159"/>
      <c r="AB129" s="159"/>
      <c r="AC129" s="159"/>
      <c r="AD129" s="161"/>
      <c r="AE129" s="160"/>
    </row>
    <row r="130" spans="1:31" ht="21.25" customHeight="1" x14ac:dyDescent="0.15">
      <c r="A130" s="8" t="s">
        <v>276</v>
      </c>
      <c r="B130" s="157" t="s">
        <v>896</v>
      </c>
      <c r="C130" s="158">
        <v>20</v>
      </c>
      <c r="D130" s="157" t="s">
        <v>857</v>
      </c>
      <c r="E130" s="59">
        <v>81.2</v>
      </c>
      <c r="F130" s="159">
        <v>17.5049250837484</v>
      </c>
      <c r="G130" s="160">
        <v>0.28903865613993301</v>
      </c>
      <c r="H130" s="160">
        <v>0.40984769411037397</v>
      </c>
      <c r="I130" s="160">
        <v>0.69888635025030699</v>
      </c>
      <c r="J130" s="160">
        <v>2.3223683511546001</v>
      </c>
      <c r="K130" s="160">
        <v>0.109511323083425</v>
      </c>
      <c r="L130" s="160">
        <v>0.23877158873822199</v>
      </c>
      <c r="M130" s="160">
        <v>2.7959780898867301E-4</v>
      </c>
      <c r="N130" s="160">
        <v>5.0699455070326801E-4</v>
      </c>
      <c r="O130" s="160">
        <v>0.52284746581775898</v>
      </c>
      <c r="P130" s="160">
        <v>0.82355749682038504</v>
      </c>
      <c r="Q130" s="160">
        <v>-0.115921882034818</v>
      </c>
      <c r="R130" s="160">
        <v>0.55711477054747405</v>
      </c>
      <c r="S130" s="160">
        <v>3.1334517180619602E-2</v>
      </c>
      <c r="T130" s="160">
        <v>3.97933361214307</v>
      </c>
      <c r="U130" s="160">
        <v>6.1654421860921502</v>
      </c>
      <c r="V130" s="160">
        <v>0.392254465873491</v>
      </c>
      <c r="W130" s="160"/>
      <c r="X130" s="59"/>
      <c r="Y130" s="159"/>
      <c r="Z130" s="159"/>
      <c r="AA130" s="159"/>
      <c r="AB130" s="159"/>
      <c r="AC130" s="159"/>
      <c r="AD130" s="161"/>
      <c r="AE130" s="160"/>
    </row>
    <row r="131" spans="1:31" ht="21.25" customHeight="1" x14ac:dyDescent="0.15">
      <c r="A131" s="8" t="s">
        <v>197</v>
      </c>
      <c r="B131" s="157" t="s">
        <v>895</v>
      </c>
      <c r="C131" s="158">
        <v>28</v>
      </c>
      <c r="D131" s="157" t="s">
        <v>860</v>
      </c>
      <c r="E131" s="59">
        <v>76.248214285714297</v>
      </c>
      <c r="F131" s="159">
        <v>21.820197713934299</v>
      </c>
      <c r="G131" s="160">
        <v>0.15331030937025</v>
      </c>
      <c r="H131" s="160">
        <v>0.544631370844052</v>
      </c>
      <c r="I131" s="160">
        <v>0.69794168021430203</v>
      </c>
      <c r="J131" s="160">
        <v>2.52149370985313</v>
      </c>
      <c r="K131" s="160">
        <v>2.2519763139082799E-2</v>
      </c>
      <c r="L131" s="160">
        <v>0.201363967479254</v>
      </c>
      <c r="M131" s="160">
        <v>3.5242222225588001E-5</v>
      </c>
      <c r="N131" s="160">
        <v>1.3097216216450901E-4</v>
      </c>
      <c r="O131" s="160">
        <v>1.3665641852315999</v>
      </c>
      <c r="P131" s="160">
        <v>0.504405378408048</v>
      </c>
      <c r="Q131" s="160">
        <v>9.1207103649031299E-2</v>
      </c>
      <c r="R131" s="160">
        <v>0.34788301702758201</v>
      </c>
      <c r="S131" s="160">
        <v>2.5055087585776001E-2</v>
      </c>
      <c r="T131" s="160">
        <v>0</v>
      </c>
      <c r="U131" s="160">
        <v>0</v>
      </c>
      <c r="V131" s="160">
        <v>0</v>
      </c>
      <c r="W131" s="160"/>
      <c r="X131" s="59"/>
      <c r="Y131" s="159"/>
      <c r="Z131" s="159"/>
      <c r="AA131" s="159"/>
      <c r="AB131" s="159"/>
      <c r="AC131" s="159"/>
      <c r="AD131" s="161"/>
      <c r="AE131" s="160"/>
    </row>
    <row r="132" spans="1:31" ht="21.25" customHeight="1" x14ac:dyDescent="0.15">
      <c r="A132" s="8" t="s">
        <v>328</v>
      </c>
      <c r="B132" s="157" t="s">
        <v>881</v>
      </c>
      <c r="C132" s="158">
        <v>24</v>
      </c>
      <c r="D132" s="157" t="s">
        <v>857</v>
      </c>
      <c r="E132" s="59">
        <v>78.400000000000006</v>
      </c>
      <c r="F132" s="159">
        <v>16.520296143100602</v>
      </c>
      <c r="G132" s="160">
        <v>0.208528371859071</v>
      </c>
      <c r="H132" s="160">
        <v>0.48220932319599902</v>
      </c>
      <c r="I132" s="160">
        <v>0.69073769505506999</v>
      </c>
      <c r="J132" s="160">
        <v>1.77661941366104</v>
      </c>
      <c r="K132" s="160">
        <v>5.4191680773321801E-2</v>
      </c>
      <c r="L132" s="160">
        <v>0.18800045099953699</v>
      </c>
      <c r="M132" s="160">
        <v>3.1609768876206998E-3</v>
      </c>
      <c r="N132" s="160">
        <v>4.1830820276741697E-3</v>
      </c>
      <c r="O132" s="160">
        <v>0.247925303167362</v>
      </c>
      <c r="P132" s="160">
        <v>0.47879851919640598</v>
      </c>
      <c r="Q132" s="160">
        <v>-2.9011941930802899E-2</v>
      </c>
      <c r="R132" s="160">
        <v>0.21342571665408999</v>
      </c>
      <c r="S132" s="160">
        <v>2.68727015670726E-2</v>
      </c>
      <c r="T132" s="160">
        <v>4.5060696086748298</v>
      </c>
      <c r="U132" s="160">
        <v>5.2567892578483404</v>
      </c>
      <c r="V132" s="160">
        <v>0.46155226356145901</v>
      </c>
      <c r="W132" s="160"/>
      <c r="X132" s="59"/>
      <c r="Y132" s="159"/>
      <c r="Z132" s="159"/>
      <c r="AA132" s="159"/>
      <c r="AB132" s="159"/>
      <c r="AC132" s="159"/>
      <c r="AD132" s="161"/>
      <c r="AE132" s="160"/>
    </row>
    <row r="133" spans="1:31" ht="21.25" customHeight="1" x14ac:dyDescent="0.15">
      <c r="A133" s="8" t="s">
        <v>352</v>
      </c>
      <c r="B133" s="157" t="s">
        <v>878</v>
      </c>
      <c r="C133" s="158">
        <v>32</v>
      </c>
      <c r="D133" s="157" t="s">
        <v>857</v>
      </c>
      <c r="E133" s="59">
        <v>76.3060714285714</v>
      </c>
      <c r="F133" s="159">
        <v>15.8014523746662</v>
      </c>
      <c r="G133" s="160">
        <v>0.300112112418296</v>
      </c>
      <c r="H133" s="160">
        <v>0.39046144242103997</v>
      </c>
      <c r="I133" s="160">
        <v>0.69057355483933702</v>
      </c>
      <c r="J133" s="160">
        <v>2.0998974419340102</v>
      </c>
      <c r="K133" s="160">
        <v>6.8674422513102906E-2</v>
      </c>
      <c r="L133" s="160">
        <v>0.151931979124</v>
      </c>
      <c r="M133" s="160">
        <v>1.12218178180854E-4</v>
      </c>
      <c r="N133" s="160">
        <v>2.0652472921515099E-4</v>
      </c>
      <c r="O133" s="160">
        <v>0.374332050147476</v>
      </c>
      <c r="P133" s="160">
        <v>0.419954371167028</v>
      </c>
      <c r="Q133" s="160">
        <v>6.8244057406530598E-2</v>
      </c>
      <c r="R133" s="160">
        <v>0.32670965841289501</v>
      </c>
      <c r="S133" s="160">
        <v>4.8015810475818897E-2</v>
      </c>
      <c r="T133" s="160">
        <v>1.80610594408565</v>
      </c>
      <c r="U133" s="160">
        <v>1.5688244944710701</v>
      </c>
      <c r="V133" s="160">
        <v>0.53515353189265202</v>
      </c>
      <c r="W133" s="160"/>
      <c r="X133" s="59"/>
      <c r="Y133" s="159"/>
      <c r="Z133" s="159"/>
      <c r="AA133" s="159"/>
      <c r="AB133" s="159"/>
      <c r="AC133" s="159"/>
      <c r="AD133" s="161"/>
      <c r="AE133" s="160"/>
    </row>
    <row r="134" spans="1:31" ht="21.25" customHeight="1" x14ac:dyDescent="0.15">
      <c r="A134" s="8" t="s">
        <v>279</v>
      </c>
      <c r="B134" s="157" t="s">
        <v>876</v>
      </c>
      <c r="C134" s="158">
        <v>21</v>
      </c>
      <c r="D134" s="157" t="s">
        <v>857</v>
      </c>
      <c r="E134" s="59">
        <v>81.510000000000005</v>
      </c>
      <c r="F134" s="159">
        <v>17.3815855810243</v>
      </c>
      <c r="G134" s="160">
        <v>0.30522293123462602</v>
      </c>
      <c r="H134" s="160">
        <v>0.37954078640404798</v>
      </c>
      <c r="I134" s="160">
        <v>0.68476371763867305</v>
      </c>
      <c r="J134" s="160">
        <v>2.0464326635442598</v>
      </c>
      <c r="K134" s="160">
        <v>3.3645578640981E-2</v>
      </c>
      <c r="L134" s="160">
        <v>0.12115545758554699</v>
      </c>
      <c r="M134" s="160">
        <v>1.68804695618513E-2</v>
      </c>
      <c r="N134" s="160">
        <v>2.8105478792510501E-2</v>
      </c>
      <c r="O134" s="160">
        <v>0.68092536546375904</v>
      </c>
      <c r="P134" s="160">
        <v>0.49338249188514</v>
      </c>
      <c r="Q134" s="160">
        <v>1.0177146930402401E-3</v>
      </c>
      <c r="R134" s="160">
        <v>0.289933684741846</v>
      </c>
      <c r="S134" s="160">
        <v>4.4925947717489902E-2</v>
      </c>
      <c r="T134" s="160">
        <v>1.19386551304417</v>
      </c>
      <c r="U134" s="160">
        <v>1.84764997688424</v>
      </c>
      <c r="V134" s="160">
        <v>0.39252323948291601</v>
      </c>
      <c r="W134" s="160"/>
      <c r="X134" s="59"/>
      <c r="Y134" s="159"/>
      <c r="Z134" s="159"/>
      <c r="AA134" s="159"/>
      <c r="AB134" s="159"/>
      <c r="AC134" s="159"/>
      <c r="AD134" s="161"/>
      <c r="AE134" s="160"/>
    </row>
    <row r="135" spans="1:31" ht="21.25" customHeight="1" x14ac:dyDescent="0.15">
      <c r="A135" s="8" t="s">
        <v>213</v>
      </c>
      <c r="B135" s="157" t="s">
        <v>901</v>
      </c>
      <c r="C135" s="158">
        <v>26</v>
      </c>
      <c r="D135" s="157" t="s">
        <v>860</v>
      </c>
      <c r="E135" s="59">
        <v>78.711428571428598</v>
      </c>
      <c r="F135" s="159">
        <v>23.553831382584299</v>
      </c>
      <c r="G135" s="160">
        <v>0.14410020763843001</v>
      </c>
      <c r="H135" s="160">
        <v>0.53550927588095398</v>
      </c>
      <c r="I135" s="160">
        <v>0.67960948351938399</v>
      </c>
      <c r="J135" s="160">
        <v>1.89362981555918</v>
      </c>
      <c r="K135" s="160">
        <v>1.9754099472740001E-2</v>
      </c>
      <c r="L135" s="160">
        <v>0.20172550750849599</v>
      </c>
      <c r="M135" s="160">
        <v>2.81617817737223E-4</v>
      </c>
      <c r="N135" s="160">
        <v>1.0435913503106899E-3</v>
      </c>
      <c r="O135" s="160">
        <v>1.13332830813011</v>
      </c>
      <c r="P135" s="160">
        <v>1.3204288438827001</v>
      </c>
      <c r="Q135" s="160">
        <v>2.7163966800425699E-2</v>
      </c>
      <c r="R135" s="160">
        <v>0.73955986736000001</v>
      </c>
      <c r="S135" s="160">
        <v>2.0254865851545401E-2</v>
      </c>
      <c r="T135" s="160">
        <v>0</v>
      </c>
      <c r="U135" s="160">
        <v>0</v>
      </c>
      <c r="V135" s="160">
        <v>0</v>
      </c>
      <c r="W135" s="160"/>
      <c r="X135" s="59"/>
      <c r="Y135" s="159"/>
      <c r="Z135" s="159"/>
      <c r="AA135" s="159"/>
      <c r="AB135" s="159"/>
      <c r="AC135" s="159"/>
      <c r="AD135" s="161"/>
      <c r="AE135" s="160"/>
    </row>
    <row r="136" spans="1:31" ht="21.25" customHeight="1" x14ac:dyDescent="0.15">
      <c r="A136" s="8" t="s">
        <v>265</v>
      </c>
      <c r="B136" s="157" t="s">
        <v>882</v>
      </c>
      <c r="C136" s="158">
        <v>26</v>
      </c>
      <c r="D136" s="157" t="s">
        <v>859</v>
      </c>
      <c r="E136" s="59">
        <v>79.097499999999997</v>
      </c>
      <c r="F136" s="159">
        <v>16.81009904035</v>
      </c>
      <c r="G136" s="160">
        <v>0.26588494172906701</v>
      </c>
      <c r="H136" s="160">
        <v>0.40677411577546602</v>
      </c>
      <c r="I136" s="160">
        <v>0.67265905750453303</v>
      </c>
      <c r="J136" s="160">
        <v>2.2986674217734899</v>
      </c>
      <c r="K136" s="160">
        <v>8.5170746248651202E-2</v>
      </c>
      <c r="L136" s="160">
        <v>0.172137714915305</v>
      </c>
      <c r="M136" s="160">
        <v>5.6422910094517702E-5</v>
      </c>
      <c r="N136" s="160">
        <v>1.03117880082669E-4</v>
      </c>
      <c r="O136" s="160">
        <v>0.40482318538426798</v>
      </c>
      <c r="P136" s="160">
        <v>0.64418336718885005</v>
      </c>
      <c r="Q136" s="160">
        <v>-1.90310086735518E-2</v>
      </c>
      <c r="R136" s="160">
        <v>0.30427943376052402</v>
      </c>
      <c r="S136" s="160">
        <v>3.7638579013318997E-2</v>
      </c>
      <c r="T136" s="160">
        <v>0.293181982078139</v>
      </c>
      <c r="U136" s="160">
        <v>0.39477676979085202</v>
      </c>
      <c r="V136" s="160">
        <v>0.42616215184652501</v>
      </c>
      <c r="W136" s="160"/>
      <c r="X136" s="59"/>
      <c r="Y136" s="159"/>
      <c r="Z136" s="159"/>
      <c r="AA136" s="159"/>
      <c r="AB136" s="159"/>
      <c r="AC136" s="159"/>
      <c r="AD136" s="161"/>
      <c r="AE136" s="160"/>
    </row>
    <row r="137" spans="1:31" ht="21.25" customHeight="1" x14ac:dyDescent="0.15">
      <c r="A137" s="8" t="s">
        <v>235</v>
      </c>
      <c r="B137" s="157" t="s">
        <v>883</v>
      </c>
      <c r="C137" s="158">
        <v>30</v>
      </c>
      <c r="D137" s="157" t="s">
        <v>859</v>
      </c>
      <c r="E137" s="59">
        <v>79.794285714285706</v>
      </c>
      <c r="F137" s="159">
        <v>18.099242398247</v>
      </c>
      <c r="G137" s="160">
        <v>0.29867387864802197</v>
      </c>
      <c r="H137" s="160">
        <v>0.37123498817654799</v>
      </c>
      <c r="I137" s="160">
        <v>0.66990886682456996</v>
      </c>
      <c r="J137" s="160">
        <v>2.8508828979046599</v>
      </c>
      <c r="K137" s="160">
        <v>9.7498269292678505E-2</v>
      </c>
      <c r="L137" s="160">
        <v>0.20661895419276799</v>
      </c>
      <c r="M137" s="160">
        <v>4.6099979678728197E-5</v>
      </c>
      <c r="N137" s="160">
        <v>8.4746794401807998E-5</v>
      </c>
      <c r="O137" s="160">
        <v>0.60358113838427097</v>
      </c>
      <c r="P137" s="160">
        <v>1.53912158771971</v>
      </c>
      <c r="Q137" s="160">
        <v>4.8710766276903503E-2</v>
      </c>
      <c r="R137" s="160">
        <v>0.23519005374004101</v>
      </c>
      <c r="S137" s="160">
        <v>4.75337575045695E-2</v>
      </c>
      <c r="T137" s="160">
        <v>0.16535896379270701</v>
      </c>
      <c r="U137" s="160">
        <v>0.20692519951138699</v>
      </c>
      <c r="V137" s="160">
        <v>0.44417404792380799</v>
      </c>
      <c r="W137" s="160"/>
      <c r="X137" s="59"/>
      <c r="Y137" s="159"/>
      <c r="Z137" s="159"/>
      <c r="AA137" s="159"/>
      <c r="AB137" s="159"/>
      <c r="AC137" s="159"/>
      <c r="AD137" s="161"/>
      <c r="AE137" s="160"/>
    </row>
    <row r="138" spans="1:31" ht="21.25" customHeight="1" x14ac:dyDescent="0.15">
      <c r="A138" s="8" t="s">
        <v>320</v>
      </c>
      <c r="B138" s="157" t="s">
        <v>885</v>
      </c>
      <c r="C138" s="158">
        <v>27</v>
      </c>
      <c r="D138" s="157" t="s">
        <v>858</v>
      </c>
      <c r="E138" s="59">
        <v>70.2</v>
      </c>
      <c r="F138" s="159">
        <v>15.6422800341442</v>
      </c>
      <c r="G138" s="160">
        <v>0.38704930946705901</v>
      </c>
      <c r="H138" s="160">
        <v>0.28269121602473501</v>
      </c>
      <c r="I138" s="160">
        <v>0.66974052549179397</v>
      </c>
      <c r="J138" s="160">
        <v>2.3843927373246601</v>
      </c>
      <c r="K138" s="160">
        <v>0.10365039885331299</v>
      </c>
      <c r="L138" s="160">
        <v>0.159669084881184</v>
      </c>
      <c r="M138" s="160">
        <v>0</v>
      </c>
      <c r="N138" s="160">
        <v>0</v>
      </c>
      <c r="O138" s="160">
        <v>0.33044660631126799</v>
      </c>
      <c r="P138" s="160">
        <v>0.75639349210991702</v>
      </c>
      <c r="Q138" s="160">
        <v>-3.5608012046557898E-2</v>
      </c>
      <c r="R138" s="160">
        <v>0.32669551388837997</v>
      </c>
      <c r="S138" s="160">
        <v>4.4538821329063998E-2</v>
      </c>
      <c r="T138" s="160">
        <v>8.9520682787269296E-2</v>
      </c>
      <c r="U138" s="160">
        <v>0.15813296806897001</v>
      </c>
      <c r="V138" s="160">
        <v>0.36147532038296198</v>
      </c>
      <c r="W138" s="160"/>
      <c r="X138" s="59"/>
      <c r="Y138" s="159"/>
      <c r="Z138" s="159"/>
      <c r="AA138" s="159"/>
      <c r="AB138" s="159"/>
      <c r="AC138" s="159"/>
      <c r="AD138" s="161"/>
      <c r="AE138" s="160"/>
    </row>
    <row r="139" spans="1:31" ht="21.25" customHeight="1" x14ac:dyDescent="0.15">
      <c r="A139" s="8" t="s">
        <v>188</v>
      </c>
      <c r="B139" s="157" t="s">
        <v>874</v>
      </c>
      <c r="C139" s="158">
        <v>29</v>
      </c>
      <c r="D139" s="157" t="s">
        <v>860</v>
      </c>
      <c r="E139" s="59">
        <v>78.866071428571402</v>
      </c>
      <c r="F139" s="159">
        <v>21.730165249765498</v>
      </c>
      <c r="G139" s="160">
        <v>8.8701207310970906E-2</v>
      </c>
      <c r="H139" s="160">
        <v>0.576017281929599</v>
      </c>
      <c r="I139" s="160">
        <v>0.66471848924056998</v>
      </c>
      <c r="J139" s="160">
        <v>2.0634493343989102</v>
      </c>
      <c r="K139" s="160">
        <v>2.0596256144281601E-2</v>
      </c>
      <c r="L139" s="160">
        <v>0.25365582337880499</v>
      </c>
      <c r="M139" s="160">
        <v>3.0645271562346801E-4</v>
      </c>
      <c r="N139" s="160">
        <v>1.0952034882809601E-2</v>
      </c>
      <c r="O139" s="160">
        <v>1.25292500246</v>
      </c>
      <c r="P139" s="160">
        <v>1.16131450684912</v>
      </c>
      <c r="Q139" s="160">
        <v>6.1261826043513802E-2</v>
      </c>
      <c r="R139" s="160">
        <v>0.379336855598638</v>
      </c>
      <c r="S139" s="160">
        <v>1.42498253780839E-2</v>
      </c>
      <c r="T139" s="160">
        <v>0</v>
      </c>
      <c r="U139" s="160">
        <v>0</v>
      </c>
      <c r="V139" s="160">
        <v>0</v>
      </c>
      <c r="W139" s="160"/>
      <c r="X139" s="59"/>
      <c r="Y139" s="159"/>
      <c r="Z139" s="159"/>
      <c r="AA139" s="159"/>
      <c r="AB139" s="159"/>
      <c r="AC139" s="159"/>
      <c r="AD139" s="161"/>
      <c r="AE139" s="160"/>
    </row>
    <row r="140" spans="1:31" ht="21.25" customHeight="1" x14ac:dyDescent="0.15">
      <c r="A140" s="8" t="s">
        <v>370</v>
      </c>
      <c r="B140" s="157" t="s">
        <v>902</v>
      </c>
      <c r="C140" s="158">
        <v>27</v>
      </c>
      <c r="D140" s="157" t="s">
        <v>858</v>
      </c>
      <c r="E140" s="59">
        <v>66.7</v>
      </c>
      <c r="F140" s="159">
        <v>15.500003491192</v>
      </c>
      <c r="G140" s="160">
        <v>0.28865677717801602</v>
      </c>
      <c r="H140" s="160">
        <v>0.37530181365131299</v>
      </c>
      <c r="I140" s="160">
        <v>0.66395859082932895</v>
      </c>
      <c r="J140" s="160">
        <v>2.2503921486863501</v>
      </c>
      <c r="K140" s="160">
        <v>4.9248218148843198E-2</v>
      </c>
      <c r="L140" s="160">
        <v>0.116410472325627</v>
      </c>
      <c r="M140" s="160">
        <v>1.48686270394215E-4</v>
      </c>
      <c r="N140" s="160">
        <v>5.1697820076071705E-4</v>
      </c>
      <c r="O140" s="160">
        <v>0.34864719448604498</v>
      </c>
      <c r="P140" s="160">
        <v>0.81058993317781802</v>
      </c>
      <c r="Q140" s="160">
        <v>1.64454573133157E-2</v>
      </c>
      <c r="R140" s="160">
        <v>0.31020682635869301</v>
      </c>
      <c r="S140" s="160">
        <v>3.5049209187043302E-2</v>
      </c>
      <c r="T140" s="160">
        <v>5.4781934403544796E-3</v>
      </c>
      <c r="U140" s="160">
        <v>1.37359571460748E-2</v>
      </c>
      <c r="V140" s="160">
        <v>0.28511244437855399</v>
      </c>
      <c r="W140" s="160"/>
      <c r="X140" s="59"/>
      <c r="Y140" s="159"/>
      <c r="Z140" s="159"/>
      <c r="AA140" s="159"/>
      <c r="AB140" s="159"/>
      <c r="AC140" s="159"/>
      <c r="AD140" s="161"/>
      <c r="AE140" s="160"/>
    </row>
    <row r="141" spans="1:31" ht="21.25" customHeight="1" x14ac:dyDescent="0.15">
      <c r="A141" s="8" t="s">
        <v>258</v>
      </c>
      <c r="B141" s="157" t="s">
        <v>892</v>
      </c>
      <c r="C141" s="158">
        <v>30</v>
      </c>
      <c r="D141" s="157" t="s">
        <v>858</v>
      </c>
      <c r="E141" s="59">
        <v>78.063928571428605</v>
      </c>
      <c r="F141" s="159">
        <v>16.4601035480486</v>
      </c>
      <c r="G141" s="160">
        <v>0.27543488842511599</v>
      </c>
      <c r="H141" s="160">
        <v>0.388499678000154</v>
      </c>
      <c r="I141" s="160">
        <v>0.66393456642527005</v>
      </c>
      <c r="J141" s="160">
        <v>2.87077406514251</v>
      </c>
      <c r="K141" s="160">
        <v>8.20059269175928E-2</v>
      </c>
      <c r="L141" s="160">
        <v>0.19723338613500899</v>
      </c>
      <c r="M141" s="160">
        <v>1.34348222867137E-3</v>
      </c>
      <c r="N141" s="160">
        <v>1.5584473227594901E-3</v>
      </c>
      <c r="O141" s="160">
        <v>0.59873757537420502</v>
      </c>
      <c r="P141" s="160">
        <v>0.39856729073452601</v>
      </c>
      <c r="Q141" s="160">
        <v>1.23284216837451E-2</v>
      </c>
      <c r="R141" s="160">
        <v>0.34413474089130103</v>
      </c>
      <c r="S141" s="160">
        <v>4.08921187218073E-2</v>
      </c>
      <c r="T141" s="160">
        <v>0.27985569260388399</v>
      </c>
      <c r="U141" s="160">
        <v>0.47076122518622598</v>
      </c>
      <c r="V141" s="160">
        <v>0.37283424603299198</v>
      </c>
      <c r="W141" s="160"/>
      <c r="X141" s="59"/>
      <c r="Y141" s="159"/>
      <c r="Z141" s="159"/>
      <c r="AA141" s="159"/>
      <c r="AB141" s="159"/>
      <c r="AC141" s="159"/>
      <c r="AD141" s="161"/>
      <c r="AE141" s="160"/>
    </row>
    <row r="142" spans="1:31" ht="21.25" customHeight="1" x14ac:dyDescent="0.15">
      <c r="A142" s="8" t="s">
        <v>198</v>
      </c>
      <c r="B142" s="157" t="s">
        <v>884</v>
      </c>
      <c r="C142" s="158">
        <v>26</v>
      </c>
      <c r="D142" s="157" t="s">
        <v>860</v>
      </c>
      <c r="E142" s="59">
        <v>72.38</v>
      </c>
      <c r="F142" s="159">
        <v>23.705320885905302</v>
      </c>
      <c r="G142" s="160">
        <v>0.16671110950215101</v>
      </c>
      <c r="H142" s="160">
        <v>0.49634335493537401</v>
      </c>
      <c r="I142" s="160">
        <v>0.66305446443752603</v>
      </c>
      <c r="J142" s="160">
        <v>2.7626788426859501</v>
      </c>
      <c r="K142" s="160">
        <v>3.9527506203641198E-2</v>
      </c>
      <c r="L142" s="160">
        <v>0.20757075109554099</v>
      </c>
      <c r="M142" s="160">
        <v>4.0433311194043798E-4</v>
      </c>
      <c r="N142" s="160">
        <v>5.03105516378838E-3</v>
      </c>
      <c r="O142" s="160">
        <v>1.4217980858886199</v>
      </c>
      <c r="P142" s="160">
        <v>0.72694599980586305</v>
      </c>
      <c r="Q142" s="160">
        <v>-6.9513474254688901E-2</v>
      </c>
      <c r="R142" s="160">
        <v>0.33945150654177098</v>
      </c>
      <c r="S142" s="160">
        <v>1.7864243220363799E-2</v>
      </c>
      <c r="T142" s="160">
        <v>0</v>
      </c>
      <c r="U142" s="160">
        <v>0</v>
      </c>
      <c r="V142" s="160">
        <v>0</v>
      </c>
      <c r="W142" s="160"/>
      <c r="X142" s="59"/>
      <c r="Y142" s="159"/>
      <c r="Z142" s="159"/>
      <c r="AA142" s="159"/>
      <c r="AB142" s="159"/>
      <c r="AC142" s="159"/>
      <c r="AD142" s="161"/>
      <c r="AE142" s="160"/>
    </row>
    <row r="143" spans="1:31" ht="21.25" customHeight="1" x14ac:dyDescent="0.15">
      <c r="A143" s="8" t="s">
        <v>142</v>
      </c>
      <c r="B143" s="157" t="s">
        <v>870</v>
      </c>
      <c r="C143" s="158">
        <v>23</v>
      </c>
      <c r="D143" s="157" t="s">
        <v>860</v>
      </c>
      <c r="E143" s="59">
        <v>81.692499999999995</v>
      </c>
      <c r="F143" s="159">
        <v>21.535958311964301</v>
      </c>
      <c r="G143" s="160">
        <v>0.152569707147309</v>
      </c>
      <c r="H143" s="160">
        <v>0.51014788030399005</v>
      </c>
      <c r="I143" s="160">
        <v>0.66271758745129905</v>
      </c>
      <c r="J143" s="160">
        <v>2.4875666162671299</v>
      </c>
      <c r="K143" s="160">
        <v>5.4786861148326801E-2</v>
      </c>
      <c r="L143" s="160">
        <v>0.27319925761129998</v>
      </c>
      <c r="M143" s="160">
        <v>9.4528110612937606E-5</v>
      </c>
      <c r="N143" s="160">
        <v>2.6112132491374002E-3</v>
      </c>
      <c r="O143" s="160">
        <v>1.1871431338388401</v>
      </c>
      <c r="P143" s="160">
        <v>1.2939736219186799</v>
      </c>
      <c r="Q143" s="160">
        <v>9.2684275843793199E-2</v>
      </c>
      <c r="R143" s="160">
        <v>0.40727976815346301</v>
      </c>
      <c r="S143" s="160">
        <v>2.4150146710570902E-2</v>
      </c>
      <c r="T143" s="160">
        <v>0</v>
      </c>
      <c r="U143" s="160">
        <v>0</v>
      </c>
      <c r="V143" s="160">
        <v>0</v>
      </c>
      <c r="W143" s="160"/>
      <c r="X143" s="59"/>
      <c r="Y143" s="159"/>
      <c r="Z143" s="159"/>
      <c r="AA143" s="159"/>
      <c r="AB143" s="159"/>
      <c r="AC143" s="159"/>
      <c r="AD143" s="161"/>
      <c r="AE143" s="160"/>
    </row>
    <row r="144" spans="1:31" ht="21.25" customHeight="1" x14ac:dyDescent="0.15">
      <c r="A144" s="8" t="s">
        <v>246</v>
      </c>
      <c r="B144" s="157" t="s">
        <v>899</v>
      </c>
      <c r="C144" s="158">
        <v>24</v>
      </c>
      <c r="D144" s="157" t="s">
        <v>859</v>
      </c>
      <c r="E144" s="59">
        <v>76.919285714285706</v>
      </c>
      <c r="F144" s="159">
        <v>17.771215631879599</v>
      </c>
      <c r="G144" s="160">
        <v>0.332325357508304</v>
      </c>
      <c r="H144" s="160">
        <v>0.32812052725458501</v>
      </c>
      <c r="I144" s="160">
        <v>0.66044588476288901</v>
      </c>
      <c r="J144" s="160">
        <v>2.9886692235298402</v>
      </c>
      <c r="K144" s="160">
        <v>0.105626422158468</v>
      </c>
      <c r="L144" s="160">
        <v>0.18784719893964999</v>
      </c>
      <c r="M144" s="160">
        <v>8.9013586727926003E-4</v>
      </c>
      <c r="N144" s="160">
        <v>1.6307821176081501E-3</v>
      </c>
      <c r="O144" s="160">
        <v>0.72124459244472805</v>
      </c>
      <c r="P144" s="160">
        <v>1.6201757299067301</v>
      </c>
      <c r="Q144" s="160">
        <v>-7.4809430675148697E-2</v>
      </c>
      <c r="R144" s="160">
        <v>0.26695653428793997</v>
      </c>
      <c r="S144" s="160">
        <v>3.9063397635038397E-2</v>
      </c>
      <c r="T144" s="160">
        <v>0.25842744109842702</v>
      </c>
      <c r="U144" s="160">
        <v>0.20100656119572799</v>
      </c>
      <c r="V144" s="160">
        <v>0.56249089054790302</v>
      </c>
      <c r="W144" s="160"/>
      <c r="X144" s="59"/>
      <c r="Y144" s="159"/>
      <c r="Z144" s="159"/>
      <c r="AA144" s="159"/>
      <c r="AB144" s="159"/>
      <c r="AC144" s="159"/>
      <c r="AD144" s="161"/>
      <c r="AE144" s="160"/>
    </row>
    <row r="145" spans="1:31" ht="21.25" customHeight="1" x14ac:dyDescent="0.15">
      <c r="A145" s="8" t="s">
        <v>321</v>
      </c>
      <c r="B145" s="157" t="s">
        <v>893</v>
      </c>
      <c r="C145" s="158">
        <v>27</v>
      </c>
      <c r="D145" s="157" t="s">
        <v>858</v>
      </c>
      <c r="E145" s="59">
        <v>76.492500000000007</v>
      </c>
      <c r="F145" s="159">
        <v>15.6598361464939</v>
      </c>
      <c r="G145" s="160">
        <v>0.28507187240353299</v>
      </c>
      <c r="H145" s="160">
        <v>0.37228744137878</v>
      </c>
      <c r="I145" s="160">
        <v>0.65735931378231305</v>
      </c>
      <c r="J145" s="160">
        <v>2.1000354086547999</v>
      </c>
      <c r="K145" s="160">
        <v>6.3246526429853706E-2</v>
      </c>
      <c r="L145" s="160">
        <v>0.10469505993435101</v>
      </c>
      <c r="M145" s="160">
        <v>1.44023789404517E-5</v>
      </c>
      <c r="N145" s="160">
        <v>2.63594019863612E-5</v>
      </c>
      <c r="O145" s="160">
        <v>0.25070480309375898</v>
      </c>
      <c r="P145" s="160">
        <v>1.03537975841779</v>
      </c>
      <c r="Q145" s="160">
        <v>0.10852191251528701</v>
      </c>
      <c r="R145" s="160">
        <v>0.78418541711122403</v>
      </c>
      <c r="S145" s="160">
        <v>5.1148277151141501E-2</v>
      </c>
      <c r="T145" s="160">
        <v>3.5676304154700203E-2</v>
      </c>
      <c r="U145" s="160">
        <v>4.9036049225407899E-2</v>
      </c>
      <c r="V145" s="160">
        <v>0.42114641762599903</v>
      </c>
      <c r="W145" s="160"/>
      <c r="X145" s="59"/>
      <c r="Y145" s="159"/>
      <c r="Z145" s="159"/>
      <c r="AA145" s="159"/>
      <c r="AB145" s="159"/>
      <c r="AC145" s="159"/>
      <c r="AD145" s="161"/>
      <c r="AE145" s="160"/>
    </row>
    <row r="146" spans="1:31" ht="21.25" customHeight="1" x14ac:dyDescent="0.15">
      <c r="A146" s="8" t="s">
        <v>437</v>
      </c>
      <c r="B146" s="157" t="s">
        <v>891</v>
      </c>
      <c r="C146" s="158">
        <v>34</v>
      </c>
      <c r="D146" s="157" t="s">
        <v>858</v>
      </c>
      <c r="E146" s="59">
        <v>53.6</v>
      </c>
      <c r="F146" s="159">
        <v>14.8661020504058</v>
      </c>
      <c r="G146" s="160">
        <v>0.33700667837138798</v>
      </c>
      <c r="H146" s="160">
        <v>0.31635575737833899</v>
      </c>
      <c r="I146" s="160">
        <v>0.65336243574972697</v>
      </c>
      <c r="J146" s="160">
        <v>2.7254750269001602</v>
      </c>
      <c r="K146" s="160">
        <v>6.3016134337758503E-2</v>
      </c>
      <c r="L146" s="160">
        <v>0.14630957272711001</v>
      </c>
      <c r="M146" s="160">
        <v>0</v>
      </c>
      <c r="N146" s="160">
        <v>0</v>
      </c>
      <c r="O146" s="160">
        <v>0.44950859024551798</v>
      </c>
      <c r="P146" s="160">
        <v>0.85624048399321795</v>
      </c>
      <c r="Q146" s="160">
        <v>-1.44787922540545E-2</v>
      </c>
      <c r="R146" s="160">
        <v>0.37547351239545201</v>
      </c>
      <c r="S146" s="160">
        <v>4.1453805294336801E-2</v>
      </c>
      <c r="T146" s="160">
        <v>0.13106705037310001</v>
      </c>
      <c r="U146" s="160">
        <v>0.28225996033186701</v>
      </c>
      <c r="V146" s="160">
        <v>0.31710255313233199</v>
      </c>
      <c r="W146" s="160"/>
      <c r="X146" s="59"/>
      <c r="Y146" s="159"/>
      <c r="Z146" s="159"/>
      <c r="AA146" s="159"/>
      <c r="AB146" s="159"/>
      <c r="AC146" s="159"/>
      <c r="AD146" s="161"/>
      <c r="AE146" s="160"/>
    </row>
    <row r="147" spans="1:31" ht="21.25" customHeight="1" x14ac:dyDescent="0.15">
      <c r="A147" s="8" t="s">
        <v>233</v>
      </c>
      <c r="B147" s="157" t="s">
        <v>892</v>
      </c>
      <c r="C147" s="158">
        <v>33</v>
      </c>
      <c r="D147" s="157" t="s">
        <v>860</v>
      </c>
      <c r="E147" s="59">
        <v>75.94</v>
      </c>
      <c r="F147" s="159">
        <v>26.167847642057701</v>
      </c>
      <c r="G147" s="160">
        <v>0.12527754322941501</v>
      </c>
      <c r="H147" s="160">
        <v>0.52580511614294301</v>
      </c>
      <c r="I147" s="160">
        <v>0.65108265937235699</v>
      </c>
      <c r="J147" s="160">
        <v>1.9456423921369601</v>
      </c>
      <c r="K147" s="160">
        <v>6.2395021727578999E-2</v>
      </c>
      <c r="L147" s="160">
        <v>0.30469893103819401</v>
      </c>
      <c r="M147" s="160">
        <v>3.1857068076063E-4</v>
      </c>
      <c r="N147" s="160">
        <v>3.9885180636879602E-3</v>
      </c>
      <c r="O147" s="160">
        <v>1.39014264634694</v>
      </c>
      <c r="P147" s="160">
        <v>1.4373124026010999</v>
      </c>
      <c r="Q147" s="160">
        <v>1.7532769621335399E-3</v>
      </c>
      <c r="R147" s="160">
        <v>0.52939360199541696</v>
      </c>
      <c r="S147" s="160">
        <v>1.8599184003904298E-2</v>
      </c>
      <c r="T147" s="160">
        <v>0</v>
      </c>
      <c r="U147" s="160">
        <v>0</v>
      </c>
      <c r="V147" s="160">
        <v>0</v>
      </c>
      <c r="W147" s="160"/>
      <c r="X147" s="59"/>
      <c r="Y147" s="159"/>
      <c r="Z147" s="159"/>
      <c r="AA147" s="159"/>
      <c r="AB147" s="159"/>
      <c r="AC147" s="159"/>
      <c r="AD147" s="161"/>
      <c r="AE147" s="160"/>
    </row>
    <row r="148" spans="1:31" ht="21.25" customHeight="1" x14ac:dyDescent="0.15">
      <c r="A148" s="8" t="s">
        <v>356</v>
      </c>
      <c r="B148" s="157" t="s">
        <v>884</v>
      </c>
      <c r="C148" s="162">
        <v>18</v>
      </c>
      <c r="D148" s="157" t="s">
        <v>857</v>
      </c>
      <c r="E148" s="59">
        <v>78</v>
      </c>
      <c r="F148" s="159">
        <v>16</v>
      </c>
      <c r="G148" s="160">
        <v>0.26847448782920103</v>
      </c>
      <c r="H148" s="160">
        <v>0.38236469458676597</v>
      </c>
      <c r="I148" s="160">
        <v>0.65083918241596705</v>
      </c>
      <c r="J148" s="160">
        <v>2.0301227757240699</v>
      </c>
      <c r="K148" s="160">
        <v>7.2175944370571204E-2</v>
      </c>
      <c r="L148" s="160">
        <v>0.17496981930784999</v>
      </c>
      <c r="M148" s="160">
        <v>0</v>
      </c>
      <c r="N148" s="160">
        <v>0</v>
      </c>
      <c r="O148" s="160">
        <v>0.43414634146341502</v>
      </c>
      <c r="P148" s="160">
        <v>0.792682926829268</v>
      </c>
      <c r="Q148" s="160">
        <v>2.0731707317073202E-3</v>
      </c>
      <c r="R148" s="160">
        <v>0.46341463414634099</v>
      </c>
      <c r="S148" s="160">
        <v>2.8768889868023902E-2</v>
      </c>
      <c r="T148" s="160">
        <v>4.7346498079179398</v>
      </c>
      <c r="U148" s="160">
        <v>6.5383259252200103</v>
      </c>
      <c r="V148" s="160">
        <v>0.42</v>
      </c>
      <c r="W148" s="160"/>
      <c r="X148" s="59"/>
      <c r="Y148" s="159"/>
      <c r="Z148" s="159"/>
      <c r="AA148" s="159"/>
      <c r="AB148" s="159"/>
      <c r="AC148" s="159"/>
      <c r="AD148" s="161"/>
      <c r="AE148" s="160"/>
    </row>
    <row r="149" spans="1:31" ht="21.25" customHeight="1" x14ac:dyDescent="0.15">
      <c r="A149" s="8" t="s">
        <v>310</v>
      </c>
      <c r="B149" s="157" t="s">
        <v>891</v>
      </c>
      <c r="C149" s="158">
        <v>29</v>
      </c>
      <c r="D149" s="157" t="s">
        <v>859</v>
      </c>
      <c r="E149" s="59">
        <v>70.599999999999994</v>
      </c>
      <c r="F149" s="159">
        <v>18.257264103560502</v>
      </c>
      <c r="G149" s="160">
        <v>0.30732008046765602</v>
      </c>
      <c r="H149" s="160">
        <v>0.33999084165135401</v>
      </c>
      <c r="I149" s="160">
        <v>0.64731092211900998</v>
      </c>
      <c r="J149" s="160">
        <v>2.1876726827564399</v>
      </c>
      <c r="K149" s="160">
        <v>4.9450214769731098E-2</v>
      </c>
      <c r="L149" s="160">
        <v>0.10090667368667799</v>
      </c>
      <c r="M149" s="160">
        <v>1.7959303101484098E-2</v>
      </c>
      <c r="N149" s="160">
        <v>2.5894542126488899E-2</v>
      </c>
      <c r="O149" s="160">
        <v>0.79904266475851005</v>
      </c>
      <c r="P149" s="160">
        <v>2.6767192205477799</v>
      </c>
      <c r="Q149" s="160">
        <v>-3.9699238378297003E-2</v>
      </c>
      <c r="R149" s="160">
        <v>1.1145052503435</v>
      </c>
      <c r="S149" s="160">
        <v>3.7802178996307202E-2</v>
      </c>
      <c r="T149" s="160">
        <v>0.21801386533197101</v>
      </c>
      <c r="U149" s="160">
        <v>0.32730461479189099</v>
      </c>
      <c r="V149" s="160">
        <v>0.39979181575223999</v>
      </c>
      <c r="W149" s="160"/>
      <c r="X149" s="59"/>
      <c r="Y149" s="159"/>
      <c r="Z149" s="159"/>
      <c r="AA149" s="159"/>
      <c r="AB149" s="159"/>
      <c r="AC149" s="159"/>
      <c r="AD149" s="161"/>
      <c r="AE149" s="160"/>
    </row>
    <row r="150" spans="1:31" ht="21.25" customHeight="1" x14ac:dyDescent="0.15">
      <c r="A150" s="8" t="s">
        <v>345</v>
      </c>
      <c r="B150" s="157" t="s">
        <v>902</v>
      </c>
      <c r="C150" s="158">
        <v>29</v>
      </c>
      <c r="D150" s="157" t="s">
        <v>858</v>
      </c>
      <c r="E150" s="59">
        <v>72.916428571428597</v>
      </c>
      <c r="F150" s="159">
        <v>17.477731624681201</v>
      </c>
      <c r="G150" s="160">
        <v>0.201737608141072</v>
      </c>
      <c r="H150" s="160">
        <v>0.44499597359281501</v>
      </c>
      <c r="I150" s="160">
        <v>0.64673358173388695</v>
      </c>
      <c r="J150" s="160">
        <v>1.75409246889326</v>
      </c>
      <c r="K150" s="160">
        <v>5.2620460079909899E-2</v>
      </c>
      <c r="L150" s="160">
        <v>0.19074806394744501</v>
      </c>
      <c r="M150" s="160">
        <v>1.00052469596091E-4</v>
      </c>
      <c r="N150" s="160">
        <v>1.86424131309452E-4</v>
      </c>
      <c r="O150" s="160">
        <v>0.52677775149666795</v>
      </c>
      <c r="P150" s="160">
        <v>0.66605419427730395</v>
      </c>
      <c r="Q150" s="160">
        <v>1.2600917827431299E-3</v>
      </c>
      <c r="R150" s="160">
        <v>0.29638245125551099</v>
      </c>
      <c r="S150" s="160">
        <v>2.4495332130274598E-2</v>
      </c>
      <c r="T150" s="160">
        <v>6.2805762760117798E-3</v>
      </c>
      <c r="U150" s="160">
        <v>3.0316864652690002E-2</v>
      </c>
      <c r="V150" s="160">
        <v>0.171612443838558</v>
      </c>
      <c r="W150" s="160"/>
      <c r="X150" s="59"/>
      <c r="Y150" s="159"/>
      <c r="Z150" s="159"/>
      <c r="AA150" s="159"/>
      <c r="AB150" s="159"/>
      <c r="AC150" s="159"/>
      <c r="AD150" s="161"/>
      <c r="AE150" s="160"/>
    </row>
    <row r="151" spans="1:31" ht="21.25" customHeight="1" x14ac:dyDescent="0.15">
      <c r="A151" s="8" t="s">
        <v>274</v>
      </c>
      <c r="B151" s="157" t="s">
        <v>894</v>
      </c>
      <c r="C151" s="158">
        <v>27</v>
      </c>
      <c r="D151" s="157" t="s">
        <v>858</v>
      </c>
      <c r="E151" s="59">
        <v>81.8</v>
      </c>
      <c r="F151" s="159">
        <v>17.548043859374999</v>
      </c>
      <c r="G151" s="160">
        <v>0.31944957594465101</v>
      </c>
      <c r="H151" s="160">
        <v>0.32723413957265501</v>
      </c>
      <c r="I151" s="160">
        <v>0.64668371551730597</v>
      </c>
      <c r="J151" s="160">
        <v>2.3329258592848401</v>
      </c>
      <c r="K151" s="160">
        <v>7.6340271052622199E-2</v>
      </c>
      <c r="L151" s="160">
        <v>0.14214688885372301</v>
      </c>
      <c r="M151" s="160">
        <v>8.5013999331392896E-3</v>
      </c>
      <c r="N151" s="160">
        <v>2.23973754313888E-2</v>
      </c>
      <c r="O151" s="160">
        <v>0.36980169299101601</v>
      </c>
      <c r="P151" s="160">
        <v>1.02213050191912</v>
      </c>
      <c r="Q151" s="160">
        <v>6.1953929441205702E-2</v>
      </c>
      <c r="R151" s="160">
        <v>0.45404234390272202</v>
      </c>
      <c r="S151" s="160">
        <v>5.33794651229616E-2</v>
      </c>
      <c r="T151" s="160">
        <v>8.8691303416507203E-2</v>
      </c>
      <c r="U151" s="160">
        <v>0.186675986715723</v>
      </c>
      <c r="V151" s="160">
        <v>0.322083655520298</v>
      </c>
      <c r="W151" s="160"/>
      <c r="X151" s="59"/>
      <c r="Y151" s="159"/>
      <c r="Z151" s="159"/>
      <c r="AA151" s="159"/>
      <c r="AB151" s="159"/>
      <c r="AC151" s="159"/>
      <c r="AD151" s="161"/>
      <c r="AE151" s="160"/>
    </row>
    <row r="152" spans="1:31" ht="21.25" customHeight="1" x14ac:dyDescent="0.15">
      <c r="A152" s="8" t="s">
        <v>412</v>
      </c>
      <c r="B152" s="157" t="s">
        <v>886</v>
      </c>
      <c r="C152" s="158">
        <v>24</v>
      </c>
      <c r="D152" s="157" t="s">
        <v>857</v>
      </c>
      <c r="E152" s="59">
        <v>70.527142857142906</v>
      </c>
      <c r="F152" s="159">
        <v>16.4654352775596</v>
      </c>
      <c r="G152" s="160">
        <v>0.33581031723301302</v>
      </c>
      <c r="H152" s="160">
        <v>0.31029296510733401</v>
      </c>
      <c r="I152" s="160">
        <v>0.64610328234034797</v>
      </c>
      <c r="J152" s="160">
        <v>1.9832337951803301</v>
      </c>
      <c r="K152" s="160">
        <v>8.8818324701426005E-2</v>
      </c>
      <c r="L152" s="160">
        <v>0.162300070535774</v>
      </c>
      <c r="M152" s="160">
        <v>1.6704827984479501E-4</v>
      </c>
      <c r="N152" s="160">
        <v>3.0613238501146501E-4</v>
      </c>
      <c r="O152" s="160">
        <v>0.51205615013956796</v>
      </c>
      <c r="P152" s="160">
        <v>0.68171951850641799</v>
      </c>
      <c r="Q152" s="160">
        <v>3.3874769313892897E-2</v>
      </c>
      <c r="R152" s="160">
        <v>0.30269182664479899</v>
      </c>
      <c r="S152" s="160">
        <v>5.2387533506605702E-2</v>
      </c>
      <c r="T152" s="160">
        <v>1.7006591413879999</v>
      </c>
      <c r="U152" s="160">
        <v>1.9603775887455701</v>
      </c>
      <c r="V152" s="160">
        <v>0.46452938518482201</v>
      </c>
      <c r="W152" s="160"/>
      <c r="X152" s="59"/>
      <c r="Y152" s="159"/>
      <c r="Z152" s="159"/>
      <c r="AA152" s="159"/>
      <c r="AB152" s="159"/>
      <c r="AC152" s="159"/>
      <c r="AD152" s="161"/>
      <c r="AE152" s="160"/>
    </row>
    <row r="153" spans="1:31" ht="21.25" customHeight="1" x14ac:dyDescent="0.15">
      <c r="A153" s="8" t="s">
        <v>315</v>
      </c>
      <c r="B153" s="157" t="s">
        <v>873</v>
      </c>
      <c r="C153" s="158">
        <v>27</v>
      </c>
      <c r="D153" s="157" t="s">
        <v>857</v>
      </c>
      <c r="E153" s="59">
        <v>75.973571428571404</v>
      </c>
      <c r="F153" s="159">
        <v>17.091159722947499</v>
      </c>
      <c r="G153" s="160">
        <v>0.29061064857987001</v>
      </c>
      <c r="H153" s="160">
        <v>0.35386094161447001</v>
      </c>
      <c r="I153" s="160">
        <v>0.64447159019433897</v>
      </c>
      <c r="J153" s="160">
        <v>2.9343475480194101</v>
      </c>
      <c r="K153" s="160">
        <v>5.35027253912157E-2</v>
      </c>
      <c r="L153" s="160">
        <v>0.11699861624989701</v>
      </c>
      <c r="M153" s="160">
        <v>1.5575634049146299E-3</v>
      </c>
      <c r="N153" s="160">
        <v>7.0812137261003702E-3</v>
      </c>
      <c r="O153" s="160">
        <v>0.49965270240996201</v>
      </c>
      <c r="P153" s="160">
        <v>2.0204818601716199</v>
      </c>
      <c r="Q153" s="160">
        <v>6.54985248402533E-2</v>
      </c>
      <c r="R153" s="160">
        <v>0.81884320234146701</v>
      </c>
      <c r="S153" s="160">
        <v>4.1688760416661801E-2</v>
      </c>
      <c r="T153" s="160">
        <v>6.1483786229476101</v>
      </c>
      <c r="U153" s="160">
        <v>6.9371479600884598</v>
      </c>
      <c r="V153" s="160">
        <v>0.46986100130798703</v>
      </c>
      <c r="W153" s="160"/>
      <c r="X153" s="59"/>
      <c r="Y153" s="159"/>
      <c r="Z153" s="159"/>
      <c r="AA153" s="159"/>
      <c r="AB153" s="159"/>
      <c r="AC153" s="159"/>
      <c r="AD153" s="161"/>
      <c r="AE153" s="160"/>
    </row>
    <row r="154" spans="1:31" ht="21.25" customHeight="1" x14ac:dyDescent="0.15">
      <c r="A154" s="8" t="s">
        <v>331</v>
      </c>
      <c r="B154" s="157" t="s">
        <v>880</v>
      </c>
      <c r="C154" s="158">
        <v>36</v>
      </c>
      <c r="D154" s="157" t="s">
        <v>859</v>
      </c>
      <c r="E154" s="59">
        <v>76.040000000000006</v>
      </c>
      <c r="F154" s="159">
        <v>15.9155208675902</v>
      </c>
      <c r="G154" s="160">
        <v>0.18861496335324801</v>
      </c>
      <c r="H154" s="160">
        <v>0.45574233689744797</v>
      </c>
      <c r="I154" s="160">
        <v>0.64435730025069504</v>
      </c>
      <c r="J154" s="160">
        <v>1.79754902805517</v>
      </c>
      <c r="K154" s="160">
        <v>3.9197000973016698E-2</v>
      </c>
      <c r="L154" s="160">
        <v>0.13593113197780099</v>
      </c>
      <c r="M154" s="160">
        <v>1.0543780464377E-3</v>
      </c>
      <c r="N154" s="160">
        <v>2.02949019614933E-3</v>
      </c>
      <c r="O154" s="160">
        <v>0.47178244182553303</v>
      </c>
      <c r="P154" s="160">
        <v>0.78026802846491505</v>
      </c>
      <c r="Q154" s="160">
        <v>4.8813448442054798E-2</v>
      </c>
      <c r="R154" s="160">
        <v>0.53799735135899995</v>
      </c>
      <c r="S154" s="160">
        <v>3.2139637540814898E-2</v>
      </c>
      <c r="T154" s="160">
        <v>0.45566268451980102</v>
      </c>
      <c r="U154" s="160">
        <v>0.79642767929777303</v>
      </c>
      <c r="V154" s="160">
        <v>0.36392156483858201</v>
      </c>
      <c r="W154" s="160"/>
      <c r="X154" s="59"/>
      <c r="Y154" s="159"/>
      <c r="Z154" s="159"/>
      <c r="AA154" s="159"/>
      <c r="AB154" s="159"/>
      <c r="AC154" s="159"/>
      <c r="AD154" s="161"/>
      <c r="AE154" s="160"/>
    </row>
    <row r="155" spans="1:31" ht="21.25" customHeight="1" x14ac:dyDescent="0.15">
      <c r="A155" s="8" t="s">
        <v>157</v>
      </c>
      <c r="B155" s="157" t="s">
        <v>898</v>
      </c>
      <c r="C155" s="158">
        <v>22</v>
      </c>
      <c r="D155" s="157" t="s">
        <v>860</v>
      </c>
      <c r="E155" s="59">
        <v>82.03</v>
      </c>
      <c r="F155" s="159">
        <v>25.530220788457001</v>
      </c>
      <c r="G155" s="160">
        <v>9.2264815348400003E-2</v>
      </c>
      <c r="H155" s="160">
        <v>0.55084589218737301</v>
      </c>
      <c r="I155" s="160">
        <v>0.64311070753577304</v>
      </c>
      <c r="J155" s="160">
        <v>2.0990295894972002</v>
      </c>
      <c r="K155" s="160">
        <v>2.69125313450541E-2</v>
      </c>
      <c r="L155" s="160">
        <v>0.248883750887399</v>
      </c>
      <c r="M155" s="160">
        <v>7.5480604097447803E-3</v>
      </c>
      <c r="N155" s="160">
        <v>2.4148430431039002E-2</v>
      </c>
      <c r="O155" s="160">
        <v>2.2861879846584299</v>
      </c>
      <c r="P155" s="160">
        <v>2.32946129305811</v>
      </c>
      <c r="Q155" s="160">
        <v>-4.3882715549240198E-2</v>
      </c>
      <c r="R155" s="160">
        <v>0.52546112996612804</v>
      </c>
      <c r="S155" s="160">
        <v>1.1912435438685001E-2</v>
      </c>
      <c r="T155" s="160">
        <v>0</v>
      </c>
      <c r="U155" s="160">
        <v>0</v>
      </c>
      <c r="V155" s="160">
        <v>0</v>
      </c>
      <c r="W155" s="160"/>
      <c r="X155" s="59"/>
      <c r="Y155" s="159"/>
      <c r="Z155" s="159"/>
      <c r="AA155" s="159"/>
      <c r="AB155" s="159"/>
      <c r="AC155" s="159"/>
      <c r="AD155" s="161"/>
      <c r="AE155" s="160"/>
    </row>
    <row r="156" spans="1:31" ht="21.25" customHeight="1" x14ac:dyDescent="0.15">
      <c r="A156" s="8" t="s">
        <v>236</v>
      </c>
      <c r="B156" s="157" t="s">
        <v>871</v>
      </c>
      <c r="C156" s="158">
        <v>29</v>
      </c>
      <c r="D156" s="157" t="s">
        <v>860</v>
      </c>
      <c r="E156" s="59">
        <v>79.035714285714306</v>
      </c>
      <c r="F156" s="159">
        <v>24.638047309832299</v>
      </c>
      <c r="G156" s="160">
        <v>0.12987842145620601</v>
      </c>
      <c r="H156" s="160">
        <v>0.51068558623287896</v>
      </c>
      <c r="I156" s="160">
        <v>0.64056400768908495</v>
      </c>
      <c r="J156" s="160">
        <v>2.08341109682845</v>
      </c>
      <c r="K156" s="160">
        <v>1.7975879378264E-2</v>
      </c>
      <c r="L156" s="160">
        <v>9.8438507239805101E-2</v>
      </c>
      <c r="M156" s="160">
        <v>3.3294315033810502E-4</v>
      </c>
      <c r="N156" s="160">
        <v>1.7752072461141299E-3</v>
      </c>
      <c r="O156" s="160">
        <v>1.6390335697592</v>
      </c>
      <c r="P156" s="160">
        <v>1.1096236865373099</v>
      </c>
      <c r="Q156" s="160">
        <v>0.116367976226277</v>
      </c>
      <c r="R156" s="160">
        <v>0.346413860761904</v>
      </c>
      <c r="S156" s="160">
        <v>2.05487231187645E-2</v>
      </c>
      <c r="T156" s="160">
        <v>0</v>
      </c>
      <c r="U156" s="160">
        <v>0</v>
      </c>
      <c r="V156" s="160">
        <v>0</v>
      </c>
      <c r="W156" s="160"/>
      <c r="X156" s="59"/>
      <c r="Y156" s="159"/>
      <c r="Z156" s="159"/>
      <c r="AA156" s="159"/>
      <c r="AB156" s="159"/>
      <c r="AC156" s="159"/>
      <c r="AD156" s="161"/>
      <c r="AE156" s="160"/>
    </row>
    <row r="157" spans="1:31" ht="21.25" customHeight="1" x14ac:dyDescent="0.15">
      <c r="A157" s="8" t="s">
        <v>375</v>
      </c>
      <c r="B157" s="157" t="s">
        <v>903</v>
      </c>
      <c r="C157" s="158">
        <v>22</v>
      </c>
      <c r="D157" s="157" t="s">
        <v>857</v>
      </c>
      <c r="E157" s="59">
        <v>70.555714285714302</v>
      </c>
      <c r="F157" s="159">
        <v>18.252363030649398</v>
      </c>
      <c r="G157" s="160">
        <v>0.24397605256928001</v>
      </c>
      <c r="H157" s="160">
        <v>0.394839424471706</v>
      </c>
      <c r="I157" s="160">
        <v>0.63881547704098696</v>
      </c>
      <c r="J157" s="160">
        <v>1.8972822483823999</v>
      </c>
      <c r="K157" s="160">
        <v>8.7427447947486997E-2</v>
      </c>
      <c r="L157" s="160">
        <v>0.23652068642804799</v>
      </c>
      <c r="M157" s="160">
        <v>6.8072572740922603E-4</v>
      </c>
      <c r="N157" s="160">
        <v>9.4319790242206793E-3</v>
      </c>
      <c r="O157" s="160">
        <v>0.61363762947962397</v>
      </c>
      <c r="P157" s="160">
        <v>0.84713166709313503</v>
      </c>
      <c r="Q157" s="160">
        <v>-7.8554441117827098E-2</v>
      </c>
      <c r="R157" s="160">
        <v>0.62619572000778401</v>
      </c>
      <c r="S157" s="160">
        <v>2.6439464582347E-2</v>
      </c>
      <c r="T157" s="160">
        <v>1.77539003145606</v>
      </c>
      <c r="U157" s="160">
        <v>3.1540550472744999</v>
      </c>
      <c r="V157" s="160">
        <v>0.36016022150575699</v>
      </c>
      <c r="W157" s="160"/>
      <c r="X157" s="59"/>
      <c r="Y157" s="159"/>
      <c r="Z157" s="159"/>
      <c r="AA157" s="159"/>
      <c r="AB157" s="159"/>
      <c r="AC157" s="159"/>
      <c r="AD157" s="161"/>
      <c r="AE157" s="160"/>
    </row>
    <row r="158" spans="1:31" ht="21.25" customHeight="1" x14ac:dyDescent="0.15">
      <c r="A158" s="8" t="s">
        <v>223</v>
      </c>
      <c r="B158" s="157" t="s">
        <v>883</v>
      </c>
      <c r="C158" s="158">
        <v>36</v>
      </c>
      <c r="D158" s="157" t="s">
        <v>860</v>
      </c>
      <c r="E158" s="59">
        <v>78.138571428571396</v>
      </c>
      <c r="F158" s="159">
        <v>23.7331719893293</v>
      </c>
      <c r="G158" s="160">
        <v>0.123712617501976</v>
      </c>
      <c r="H158" s="160">
        <v>0.51358690580334998</v>
      </c>
      <c r="I158" s="160">
        <v>0.63729952330532602</v>
      </c>
      <c r="J158" s="160">
        <v>2.3773968104241301</v>
      </c>
      <c r="K158" s="160">
        <v>3.3401724797225002E-2</v>
      </c>
      <c r="L158" s="160">
        <v>0.191337387642326</v>
      </c>
      <c r="M158" s="160">
        <v>4.5719092893781602E-3</v>
      </c>
      <c r="N158" s="160">
        <v>7.1503947537129497E-3</v>
      </c>
      <c r="O158" s="160">
        <v>1.5658953199549299</v>
      </c>
      <c r="P158" s="160">
        <v>2.1050907813965098</v>
      </c>
      <c r="Q158" s="160">
        <v>2.91454461080418E-2</v>
      </c>
      <c r="R158" s="160">
        <v>0.53034606948505403</v>
      </c>
      <c r="S158" s="160">
        <v>1.9688784259317402E-2</v>
      </c>
      <c r="T158" s="160">
        <v>0</v>
      </c>
      <c r="U158" s="160">
        <v>2.1393065277815499E-3</v>
      </c>
      <c r="V158" s="160">
        <v>0</v>
      </c>
      <c r="W158" s="160"/>
      <c r="X158" s="59"/>
      <c r="Y158" s="159"/>
      <c r="Z158" s="159"/>
      <c r="AA158" s="159"/>
      <c r="AB158" s="159"/>
      <c r="AC158" s="159"/>
      <c r="AD158" s="161"/>
      <c r="AE158" s="160"/>
    </row>
    <row r="159" spans="1:31" ht="21.25" customHeight="1" x14ac:dyDescent="0.15">
      <c r="A159" s="8" t="s">
        <v>273</v>
      </c>
      <c r="B159" s="157" t="s">
        <v>901</v>
      </c>
      <c r="C159" s="158">
        <v>33</v>
      </c>
      <c r="D159" s="157" t="s">
        <v>859</v>
      </c>
      <c r="E159" s="59">
        <v>81.471071428571406</v>
      </c>
      <c r="F159" s="159">
        <v>16.823215685175299</v>
      </c>
      <c r="G159" s="160">
        <v>0.23440970938476999</v>
      </c>
      <c r="H159" s="160">
        <v>0.401890667206668</v>
      </c>
      <c r="I159" s="160">
        <v>0.63630037659143801</v>
      </c>
      <c r="J159" s="160">
        <v>2.16563194737985</v>
      </c>
      <c r="K159" s="160">
        <v>4.3212326754656603E-2</v>
      </c>
      <c r="L159" s="160">
        <v>0.15104398292443399</v>
      </c>
      <c r="M159" s="160">
        <v>1.05064878199504E-4</v>
      </c>
      <c r="N159" s="160">
        <v>1.9655802832867401E-4</v>
      </c>
      <c r="O159" s="160">
        <v>0.36184626230348499</v>
      </c>
      <c r="P159" s="160">
        <v>0.58894132345643302</v>
      </c>
      <c r="Q159" s="160">
        <v>1.32849603081776E-2</v>
      </c>
      <c r="R159" s="160">
        <v>0.33265321577795198</v>
      </c>
      <c r="S159" s="160">
        <v>3.2948857574178897E-2</v>
      </c>
      <c r="T159" s="160">
        <v>0.289308187083538</v>
      </c>
      <c r="U159" s="160">
        <v>0.46150272022748301</v>
      </c>
      <c r="V159" s="160">
        <v>0.38532762945556498</v>
      </c>
      <c r="W159" s="160"/>
      <c r="X159" s="59"/>
      <c r="Y159" s="159"/>
      <c r="Z159" s="159"/>
      <c r="AA159" s="159"/>
      <c r="AB159" s="159"/>
      <c r="AC159" s="159"/>
      <c r="AD159" s="161"/>
      <c r="AE159" s="160"/>
    </row>
    <row r="160" spans="1:31" ht="21.25" customHeight="1" x14ac:dyDescent="0.15">
      <c r="A160" s="8" t="s">
        <v>384</v>
      </c>
      <c r="B160" s="157" t="s">
        <v>895</v>
      </c>
      <c r="C160" s="158">
        <v>27</v>
      </c>
      <c r="D160" s="157" t="s">
        <v>857</v>
      </c>
      <c r="E160" s="59">
        <v>79.256785714285698</v>
      </c>
      <c r="F160" s="159">
        <v>17.26152693653</v>
      </c>
      <c r="G160" s="160">
        <v>0.24883658143273299</v>
      </c>
      <c r="H160" s="160">
        <v>0.38484604978249598</v>
      </c>
      <c r="I160" s="160">
        <v>0.63368263121522905</v>
      </c>
      <c r="J160" s="160">
        <v>1.5991050406271801</v>
      </c>
      <c r="K160" s="160">
        <v>3.9188086774548402E-2</v>
      </c>
      <c r="L160" s="160">
        <v>9.1577621438744899E-2</v>
      </c>
      <c r="M160" s="160">
        <v>4.1326937712885701E-3</v>
      </c>
      <c r="N160" s="160">
        <v>8.1440774495976608E-3</v>
      </c>
      <c r="O160" s="160">
        <v>0.50308680581915699</v>
      </c>
      <c r="P160" s="160">
        <v>2.0743673820150499</v>
      </c>
      <c r="Q160" s="160">
        <v>4.69907233058387E-2</v>
      </c>
      <c r="R160" s="160">
        <v>0.47872730732975599</v>
      </c>
      <c r="S160" s="160">
        <v>4.06666868519934E-2</v>
      </c>
      <c r="T160" s="160">
        <v>0.98115808684012795</v>
      </c>
      <c r="U160" s="160">
        <v>1.48469558317241</v>
      </c>
      <c r="V160" s="160">
        <v>0.39789793643153898</v>
      </c>
      <c r="W160" s="160"/>
      <c r="X160" s="59"/>
      <c r="Y160" s="159"/>
      <c r="Z160" s="159"/>
      <c r="AA160" s="159"/>
      <c r="AB160" s="159"/>
      <c r="AC160" s="159"/>
      <c r="AD160" s="161"/>
      <c r="AE160" s="160"/>
    </row>
    <row r="161" spans="1:31" ht="21.25" customHeight="1" x14ac:dyDescent="0.15">
      <c r="A161" s="8" t="s">
        <v>393</v>
      </c>
      <c r="B161" s="157" t="s">
        <v>891</v>
      </c>
      <c r="C161" s="162">
        <v>26</v>
      </c>
      <c r="D161" s="157" t="s">
        <v>857</v>
      </c>
      <c r="E161" s="59">
        <v>77.722142857142899</v>
      </c>
      <c r="F161" s="159">
        <v>15.472794847265501</v>
      </c>
      <c r="G161" s="160">
        <v>0.26151888735865902</v>
      </c>
      <c r="H161" s="160">
        <v>0.37064547598251502</v>
      </c>
      <c r="I161" s="160">
        <v>0.63216436334117299</v>
      </c>
      <c r="J161" s="160">
        <v>1.76113970460937</v>
      </c>
      <c r="K161" s="160">
        <v>3.3768950096823999E-2</v>
      </c>
      <c r="L161" s="160">
        <v>0.133721030355132</v>
      </c>
      <c r="M161" s="160">
        <v>1.39831186756798E-4</v>
      </c>
      <c r="N161" s="160">
        <v>2.5556447955583499E-4</v>
      </c>
      <c r="O161" s="160">
        <v>0.49842257833334502</v>
      </c>
      <c r="P161" s="160">
        <v>0.305787665213615</v>
      </c>
      <c r="Q161" s="160">
        <v>-1.5937930216709299E-2</v>
      </c>
      <c r="R161" s="160">
        <v>0.327472117822112</v>
      </c>
      <c r="S161" s="160">
        <v>3.2168362626364598E-2</v>
      </c>
      <c r="T161" s="160">
        <v>6.0284708506649904</v>
      </c>
      <c r="U161" s="160">
        <v>6.0623080671552998</v>
      </c>
      <c r="V161" s="160">
        <v>0.49860070154618202</v>
      </c>
      <c r="W161" s="160"/>
      <c r="X161" s="59"/>
      <c r="Y161" s="159"/>
      <c r="Z161" s="159"/>
      <c r="AA161" s="159"/>
      <c r="AB161" s="159"/>
      <c r="AC161" s="159"/>
      <c r="AD161" s="161"/>
      <c r="AE161" s="160"/>
    </row>
    <row r="162" spans="1:31" ht="21.25" customHeight="1" x14ac:dyDescent="0.15">
      <c r="A162" s="8" t="s">
        <v>486</v>
      </c>
      <c r="B162" s="157" t="s">
        <v>886</v>
      </c>
      <c r="C162" s="158">
        <v>21</v>
      </c>
      <c r="D162" s="157" t="s">
        <v>857</v>
      </c>
      <c r="E162" s="59">
        <v>68.2</v>
      </c>
      <c r="F162" s="159">
        <v>15.659942964647501</v>
      </c>
      <c r="G162" s="160">
        <v>0.202752292783695</v>
      </c>
      <c r="H162" s="160">
        <v>0.42705354270912999</v>
      </c>
      <c r="I162" s="160">
        <v>0.62980583549282598</v>
      </c>
      <c r="J162" s="160">
        <v>1.85084247267906</v>
      </c>
      <c r="K162" s="160">
        <v>3.3595257719888201E-2</v>
      </c>
      <c r="L162" s="160">
        <v>0.10990438979408899</v>
      </c>
      <c r="M162" s="160">
        <v>1.55953154043105E-5</v>
      </c>
      <c r="N162" s="160">
        <v>2.77552581810354E-5</v>
      </c>
      <c r="O162" s="160">
        <v>0.407155083356185</v>
      </c>
      <c r="P162" s="160">
        <v>0.78889725192551596</v>
      </c>
      <c r="Q162" s="160">
        <v>3.6660609697345199E-2</v>
      </c>
      <c r="R162" s="160">
        <v>0.31293218535140199</v>
      </c>
      <c r="S162" s="160">
        <v>3.1630036323085101E-2</v>
      </c>
      <c r="T162" s="160">
        <v>4.7635823820568302E-2</v>
      </c>
      <c r="U162" s="160">
        <v>0.175356844579072</v>
      </c>
      <c r="V162" s="160">
        <v>0.213620582965521</v>
      </c>
      <c r="W162" s="160"/>
      <c r="X162" s="59"/>
      <c r="Y162" s="159"/>
      <c r="Z162" s="159"/>
      <c r="AA162" s="159"/>
      <c r="AB162" s="159"/>
      <c r="AC162" s="159"/>
      <c r="AD162" s="161"/>
      <c r="AE162" s="160"/>
    </row>
    <row r="163" spans="1:31" ht="21.25" customHeight="1" x14ac:dyDescent="0.15">
      <c r="A163" s="8" t="s">
        <v>283</v>
      </c>
      <c r="B163" s="157" t="s">
        <v>883</v>
      </c>
      <c r="C163" s="158">
        <v>32</v>
      </c>
      <c r="D163" s="157" t="s">
        <v>859</v>
      </c>
      <c r="E163" s="59">
        <v>77.305714285714302</v>
      </c>
      <c r="F163" s="159">
        <v>17.372599281242302</v>
      </c>
      <c r="G163" s="160">
        <v>0.28403796935181702</v>
      </c>
      <c r="H163" s="160">
        <v>0.34466074875180902</v>
      </c>
      <c r="I163" s="160">
        <v>0.62869871810362599</v>
      </c>
      <c r="J163" s="160">
        <v>2.2928216003549302</v>
      </c>
      <c r="K163" s="160">
        <v>4.6907725194358797E-2</v>
      </c>
      <c r="L163" s="160">
        <v>8.9254663862747594E-2</v>
      </c>
      <c r="M163" s="160">
        <v>4.3895965167994801E-2</v>
      </c>
      <c r="N163" s="160">
        <v>5.4722292243580002E-2</v>
      </c>
      <c r="O163" s="160">
        <v>0.43964066987046102</v>
      </c>
      <c r="P163" s="160">
        <v>0.922519992183222</v>
      </c>
      <c r="Q163" s="160">
        <v>2.7014992234310399E-2</v>
      </c>
      <c r="R163" s="160">
        <v>0.25536969490172301</v>
      </c>
      <c r="S163" s="160">
        <v>4.5204461864475999E-2</v>
      </c>
      <c r="T163" s="160">
        <v>4.1238961996879597E-2</v>
      </c>
      <c r="U163" s="160">
        <v>5.4216346383391102E-2</v>
      </c>
      <c r="V163" s="160">
        <v>0.432023767945871</v>
      </c>
      <c r="W163" s="160"/>
      <c r="X163" s="59"/>
      <c r="Y163" s="159"/>
      <c r="Z163" s="159"/>
      <c r="AA163" s="159"/>
      <c r="AB163" s="159"/>
      <c r="AC163" s="159"/>
      <c r="AD163" s="161"/>
      <c r="AE163" s="160"/>
    </row>
    <row r="164" spans="1:31" ht="21.25" customHeight="1" x14ac:dyDescent="0.15">
      <c r="A164" s="8" t="s">
        <v>572</v>
      </c>
      <c r="B164" s="157" t="s">
        <v>902</v>
      </c>
      <c r="C164" s="158">
        <v>24</v>
      </c>
      <c r="D164" s="157" t="s">
        <v>857</v>
      </c>
      <c r="E164" s="59">
        <v>54.3</v>
      </c>
      <c r="F164" s="159">
        <v>17.439166666666701</v>
      </c>
      <c r="G164" s="160">
        <v>0.30223850776237099</v>
      </c>
      <c r="H164" s="160">
        <v>0.32606679413561102</v>
      </c>
      <c r="I164" s="160">
        <v>0.62830530189798195</v>
      </c>
      <c r="J164" s="160">
        <v>2.10357703707496</v>
      </c>
      <c r="K164" s="160">
        <v>9.7874690283525995E-2</v>
      </c>
      <c r="L164" s="160">
        <v>0.188880203991173</v>
      </c>
      <c r="M164" s="160">
        <v>3.82276135265393E-3</v>
      </c>
      <c r="N164" s="160">
        <v>6.9967428515271598E-3</v>
      </c>
      <c r="O164" s="160">
        <v>0.47463436626204097</v>
      </c>
      <c r="P164" s="160">
        <v>0.78633822346557403</v>
      </c>
      <c r="Q164" s="160">
        <v>-9.9413193932183994E-3</v>
      </c>
      <c r="R164" s="160">
        <v>0.36256622616911799</v>
      </c>
      <c r="S164" s="160">
        <v>3.6698326595707299E-2</v>
      </c>
      <c r="T164" s="160">
        <v>0.63874550387600504</v>
      </c>
      <c r="U164" s="160">
        <v>0.61454277429027804</v>
      </c>
      <c r="V164" s="160">
        <v>0.50965569135503996</v>
      </c>
      <c r="W164" s="160"/>
      <c r="X164" s="59"/>
      <c r="Y164" s="159"/>
      <c r="Z164" s="159"/>
      <c r="AA164" s="159"/>
      <c r="AB164" s="159"/>
      <c r="AC164" s="159"/>
      <c r="AD164" s="161"/>
      <c r="AE164" s="160"/>
    </row>
    <row r="165" spans="1:31" ht="21.25" customHeight="1" x14ac:dyDescent="0.15">
      <c r="A165" s="8" t="s">
        <v>199</v>
      </c>
      <c r="B165" s="157" t="s">
        <v>894</v>
      </c>
      <c r="C165" s="158">
        <v>26</v>
      </c>
      <c r="D165" s="157" t="s">
        <v>860</v>
      </c>
      <c r="E165" s="59">
        <v>80.8</v>
      </c>
      <c r="F165" s="159">
        <v>24.048825563445501</v>
      </c>
      <c r="G165" s="160">
        <v>0.103246221603587</v>
      </c>
      <c r="H165" s="160">
        <v>0.52283060147612204</v>
      </c>
      <c r="I165" s="160">
        <v>0.62607682307971002</v>
      </c>
      <c r="J165" s="160">
        <v>2.0278419411329298</v>
      </c>
      <c r="K165" s="160">
        <v>2.0820440516751599E-2</v>
      </c>
      <c r="L165" s="160">
        <v>0.25527133192738399</v>
      </c>
      <c r="M165" s="160">
        <v>6.4186691141839402E-3</v>
      </c>
      <c r="N165" s="160">
        <v>1.7421126241488699E-2</v>
      </c>
      <c r="O165" s="160">
        <v>1.6648796238660899</v>
      </c>
      <c r="P165" s="160">
        <v>0.784180393164287</v>
      </c>
      <c r="Q165" s="160">
        <v>4.1468912133448797E-2</v>
      </c>
      <c r="R165" s="160">
        <v>0.45021281450268902</v>
      </c>
      <c r="S165" s="160">
        <v>1.7252262955331499E-2</v>
      </c>
      <c r="T165" s="160">
        <v>0</v>
      </c>
      <c r="U165" s="160">
        <v>0</v>
      </c>
      <c r="V165" s="160">
        <v>0</v>
      </c>
      <c r="W165" s="160"/>
      <c r="X165" s="59"/>
      <c r="Y165" s="159"/>
      <c r="Z165" s="159"/>
      <c r="AA165" s="159"/>
      <c r="AB165" s="159"/>
      <c r="AC165" s="159"/>
      <c r="AD165" s="161"/>
      <c r="AE165" s="160"/>
    </row>
    <row r="166" spans="1:31" ht="21.25" customHeight="1" x14ac:dyDescent="0.15">
      <c r="A166" s="8" t="s">
        <v>184</v>
      </c>
      <c r="B166" s="157" t="s">
        <v>900</v>
      </c>
      <c r="C166" s="158">
        <v>23</v>
      </c>
      <c r="D166" s="157" t="s">
        <v>860</v>
      </c>
      <c r="E166" s="59">
        <v>79.580714285714294</v>
      </c>
      <c r="F166" s="159">
        <v>20.527266647634299</v>
      </c>
      <c r="G166" s="160">
        <v>0.15076404593377399</v>
      </c>
      <c r="H166" s="160">
        <v>0.47474237351410697</v>
      </c>
      <c r="I166" s="160">
        <v>0.62550641944788199</v>
      </c>
      <c r="J166" s="160">
        <v>2.4434095925925399</v>
      </c>
      <c r="K166" s="160">
        <v>4.71618333004723E-2</v>
      </c>
      <c r="L166" s="160">
        <v>0.275359932521207</v>
      </c>
      <c r="M166" s="160">
        <v>2.50147700529373E-4</v>
      </c>
      <c r="N166" s="160">
        <v>9.2583759396930201E-4</v>
      </c>
      <c r="O166" s="160">
        <v>1.43777392605022</v>
      </c>
      <c r="P166" s="160">
        <v>0.940567322864999</v>
      </c>
      <c r="Q166" s="160">
        <v>1.28080213946662E-2</v>
      </c>
      <c r="R166" s="160">
        <v>0.27747792596022403</v>
      </c>
      <c r="S166" s="160">
        <v>2.32963403981701E-2</v>
      </c>
      <c r="T166" s="160">
        <v>0</v>
      </c>
      <c r="U166" s="160">
        <v>0</v>
      </c>
      <c r="V166" s="160">
        <v>0</v>
      </c>
      <c r="W166" s="160"/>
      <c r="X166" s="59"/>
      <c r="Y166" s="159"/>
      <c r="Z166" s="159"/>
      <c r="AA166" s="159"/>
      <c r="AB166" s="159"/>
      <c r="AC166" s="159"/>
      <c r="AD166" s="161"/>
      <c r="AE166" s="160"/>
    </row>
    <row r="167" spans="1:31" ht="21.25" customHeight="1" x14ac:dyDescent="0.15">
      <c r="A167" s="8" t="s">
        <v>293</v>
      </c>
      <c r="B167" s="157" t="s">
        <v>875</v>
      </c>
      <c r="C167" s="158">
        <v>28</v>
      </c>
      <c r="D167" s="157" t="s">
        <v>859</v>
      </c>
      <c r="E167" s="59">
        <v>77.400000000000006</v>
      </c>
      <c r="F167" s="159">
        <v>16.268800686773901</v>
      </c>
      <c r="G167" s="160">
        <v>0.28104840601357201</v>
      </c>
      <c r="H167" s="160">
        <v>0.340778550382701</v>
      </c>
      <c r="I167" s="160">
        <v>0.62182695639627295</v>
      </c>
      <c r="J167" s="160">
        <v>2.3426117435146301</v>
      </c>
      <c r="K167" s="160">
        <v>1.18306046996151E-2</v>
      </c>
      <c r="L167" s="160">
        <v>5.3907915634822397E-2</v>
      </c>
      <c r="M167" s="160">
        <v>1.3645588867564E-2</v>
      </c>
      <c r="N167" s="160">
        <v>2.1966844024600699E-2</v>
      </c>
      <c r="O167" s="160">
        <v>0.686935892026032</v>
      </c>
      <c r="P167" s="160">
        <v>0.97858218248936601</v>
      </c>
      <c r="Q167" s="160">
        <v>4.5629269280495099E-2</v>
      </c>
      <c r="R167" s="160">
        <v>0.88063950643487299</v>
      </c>
      <c r="S167" s="160">
        <v>4.5129745629383697E-2</v>
      </c>
      <c r="T167" s="160">
        <v>4.4627760034411699</v>
      </c>
      <c r="U167" s="160">
        <v>5.7794834691421304</v>
      </c>
      <c r="V167" s="160">
        <v>0.43572182635943002</v>
      </c>
      <c r="W167" s="160"/>
      <c r="X167" s="59"/>
      <c r="Y167" s="159"/>
      <c r="Z167" s="159"/>
      <c r="AA167" s="159"/>
      <c r="AB167" s="159"/>
      <c r="AC167" s="159"/>
      <c r="AD167" s="161"/>
      <c r="AE167" s="160"/>
    </row>
    <row r="168" spans="1:31" ht="21.25" customHeight="1" x14ac:dyDescent="0.15">
      <c r="A168" s="8" t="s">
        <v>383</v>
      </c>
      <c r="B168" s="157" t="s">
        <v>897</v>
      </c>
      <c r="C168" s="158">
        <v>32</v>
      </c>
      <c r="D168" s="157" t="s">
        <v>857</v>
      </c>
      <c r="E168" s="59">
        <v>76.332499999999996</v>
      </c>
      <c r="F168" s="159">
        <v>18.4505426505694</v>
      </c>
      <c r="G168" s="160">
        <v>0.26678352137669498</v>
      </c>
      <c r="H168" s="160">
        <v>0.35489043992126801</v>
      </c>
      <c r="I168" s="160">
        <v>0.62167396129796304</v>
      </c>
      <c r="J168" s="160">
        <v>2.0395502207963201</v>
      </c>
      <c r="K168" s="160">
        <v>4.5793927173313299E-2</v>
      </c>
      <c r="L168" s="160">
        <v>0.118279294490169</v>
      </c>
      <c r="M168" s="160">
        <v>1.55700841480662E-2</v>
      </c>
      <c r="N168" s="160">
        <v>2.19363195729083E-2</v>
      </c>
      <c r="O168" s="160">
        <v>0.47283456244314997</v>
      </c>
      <c r="P168" s="160">
        <v>0.41352392491807</v>
      </c>
      <c r="Q168" s="160">
        <v>-7.2050087575329796E-3</v>
      </c>
      <c r="R168" s="160">
        <v>0.27852762269340697</v>
      </c>
      <c r="S168" s="160">
        <v>3.8957371597841101E-2</v>
      </c>
      <c r="T168" s="160">
        <v>10.29582042629</v>
      </c>
      <c r="U168" s="160">
        <v>7.7933103143927598</v>
      </c>
      <c r="V168" s="160">
        <v>0.56917165196526198</v>
      </c>
      <c r="W168" s="160"/>
      <c r="X168" s="59"/>
      <c r="Y168" s="159"/>
      <c r="Z168" s="159"/>
      <c r="AA168" s="159"/>
      <c r="AB168" s="159"/>
      <c r="AC168" s="159"/>
      <c r="AD168" s="161"/>
      <c r="AE168" s="160"/>
    </row>
    <row r="169" spans="1:31" ht="21.25" customHeight="1" x14ac:dyDescent="0.15">
      <c r="A169" s="8" t="s">
        <v>336</v>
      </c>
      <c r="B169" s="157" t="s">
        <v>893</v>
      </c>
      <c r="C169" s="158">
        <v>21</v>
      </c>
      <c r="D169" s="157" t="s">
        <v>857</v>
      </c>
      <c r="E169" s="59">
        <v>79.405000000000001</v>
      </c>
      <c r="F169" s="159">
        <v>16.786392490932901</v>
      </c>
      <c r="G169" s="160">
        <v>0.24043096101122899</v>
      </c>
      <c r="H169" s="160">
        <v>0.37945475683955199</v>
      </c>
      <c r="I169" s="160">
        <v>0.61988571785078195</v>
      </c>
      <c r="J169" s="160">
        <v>2.2889690099391502</v>
      </c>
      <c r="K169" s="160">
        <v>2.27293443119806E-2</v>
      </c>
      <c r="L169" s="160">
        <v>0.105204821588971</v>
      </c>
      <c r="M169" s="160">
        <v>4.7337458501331602E-3</v>
      </c>
      <c r="N169" s="160">
        <v>5.3807011028375101E-3</v>
      </c>
      <c r="O169" s="160">
        <v>0.53208069902921695</v>
      </c>
      <c r="P169" s="160">
        <v>0.98058712044248997</v>
      </c>
      <c r="Q169" s="160">
        <v>0.100873678622553</v>
      </c>
      <c r="R169" s="160">
        <v>0.25538885799150901</v>
      </c>
      <c r="S169" s="160">
        <v>4.3138698061763799E-2</v>
      </c>
      <c r="T169" s="160">
        <v>0.13075762368371199</v>
      </c>
      <c r="U169" s="160">
        <v>0.212497520890046</v>
      </c>
      <c r="V169" s="160">
        <v>0.38093419938711198</v>
      </c>
      <c r="W169" s="160"/>
      <c r="X169" s="59"/>
      <c r="Y169" s="159"/>
      <c r="Z169" s="159"/>
      <c r="AA169" s="159"/>
      <c r="AB169" s="159"/>
      <c r="AC169" s="159"/>
      <c r="AD169" s="161"/>
      <c r="AE169" s="160"/>
    </row>
    <row r="170" spans="1:31" ht="21.25" customHeight="1" x14ac:dyDescent="0.15">
      <c r="A170" s="8" t="s">
        <v>242</v>
      </c>
      <c r="B170" s="157" t="s">
        <v>903</v>
      </c>
      <c r="C170" s="158">
        <v>29</v>
      </c>
      <c r="D170" s="157" t="s">
        <v>860</v>
      </c>
      <c r="E170" s="59">
        <v>73.137857142857101</v>
      </c>
      <c r="F170" s="159">
        <v>24.572124104420698</v>
      </c>
      <c r="G170" s="160">
        <v>0.147148705871057</v>
      </c>
      <c r="H170" s="160">
        <v>0.471867930563659</v>
      </c>
      <c r="I170" s="160">
        <v>0.61901663643471605</v>
      </c>
      <c r="J170" s="160">
        <v>2.5435466701675602</v>
      </c>
      <c r="K170" s="160">
        <v>6.8029051294110901E-3</v>
      </c>
      <c r="L170" s="160">
        <v>0.17361113299053299</v>
      </c>
      <c r="M170" s="160">
        <v>6.3019877148822595E-4</v>
      </c>
      <c r="N170" s="160">
        <v>2.8473430850555599E-2</v>
      </c>
      <c r="O170" s="160">
        <v>1.5964278068811599</v>
      </c>
      <c r="P170" s="160">
        <v>1.24208628318317</v>
      </c>
      <c r="Q170" s="160">
        <v>-7.4821434322371996E-2</v>
      </c>
      <c r="R170" s="160">
        <v>0.67587466447517897</v>
      </c>
      <c r="S170" s="160">
        <v>1.5946372425675901E-2</v>
      </c>
      <c r="T170" s="160">
        <v>0</v>
      </c>
      <c r="U170" s="160">
        <v>0</v>
      </c>
      <c r="V170" s="160">
        <v>0</v>
      </c>
      <c r="W170" s="160"/>
      <c r="X170" s="59"/>
      <c r="Y170" s="159"/>
      <c r="Z170" s="159"/>
      <c r="AA170" s="159"/>
      <c r="AB170" s="159"/>
      <c r="AC170" s="159"/>
      <c r="AD170" s="161"/>
      <c r="AE170" s="160"/>
    </row>
    <row r="171" spans="1:31" ht="21.25" customHeight="1" x14ac:dyDescent="0.15">
      <c r="A171" s="8" t="s">
        <v>340</v>
      </c>
      <c r="B171" s="157" t="s">
        <v>870</v>
      </c>
      <c r="C171" s="158">
        <v>32</v>
      </c>
      <c r="D171" s="157" t="s">
        <v>858</v>
      </c>
      <c r="E171" s="59">
        <v>69.39</v>
      </c>
      <c r="F171" s="159">
        <v>16.1606972173239</v>
      </c>
      <c r="G171" s="160">
        <v>0.32266857716835201</v>
      </c>
      <c r="H171" s="160">
        <v>0.29499281660736598</v>
      </c>
      <c r="I171" s="160">
        <v>0.61766139377571805</v>
      </c>
      <c r="J171" s="160">
        <v>2.8717103585516099</v>
      </c>
      <c r="K171" s="160">
        <v>2.5355172564508501E-2</v>
      </c>
      <c r="L171" s="160">
        <v>5.6250731094375998E-2</v>
      </c>
      <c r="M171" s="160">
        <v>9.6218849810209405E-3</v>
      </c>
      <c r="N171" s="160">
        <v>2.1169372825776699E-2</v>
      </c>
      <c r="O171" s="160">
        <v>0.31965308559434802</v>
      </c>
      <c r="P171" s="160">
        <v>2.2710738458997</v>
      </c>
      <c r="Q171" s="160">
        <v>6.0449437695866297E-2</v>
      </c>
      <c r="R171" s="160">
        <v>0.79741840337942604</v>
      </c>
      <c r="S171" s="160">
        <v>5.1074971717570999E-2</v>
      </c>
      <c r="T171" s="160">
        <v>0.27529449943209999</v>
      </c>
      <c r="U171" s="160">
        <v>0.41218643551463002</v>
      </c>
      <c r="V171" s="160">
        <v>0.40043946739182101</v>
      </c>
      <c r="W171" s="160"/>
      <c r="X171" s="59"/>
      <c r="Y171" s="159"/>
      <c r="Z171" s="159"/>
      <c r="AA171" s="159"/>
      <c r="AB171" s="159"/>
      <c r="AC171" s="159"/>
      <c r="AD171" s="161"/>
      <c r="AE171" s="160"/>
    </row>
    <row r="172" spans="1:31" ht="21.25" customHeight="1" x14ac:dyDescent="0.15">
      <c r="A172" s="8" t="s">
        <v>372</v>
      </c>
      <c r="B172" s="157" t="s">
        <v>896</v>
      </c>
      <c r="C172" s="158">
        <v>33</v>
      </c>
      <c r="D172" s="157" t="s">
        <v>857</v>
      </c>
      <c r="E172" s="59">
        <v>74.41</v>
      </c>
      <c r="F172" s="159">
        <v>19.085270646253299</v>
      </c>
      <c r="G172" s="160">
        <v>0.30923624662844301</v>
      </c>
      <c r="H172" s="160">
        <v>0.30603298650004102</v>
      </c>
      <c r="I172" s="160">
        <v>0.61526923312848403</v>
      </c>
      <c r="J172" s="160">
        <v>2.2658491769181501</v>
      </c>
      <c r="K172" s="160">
        <v>6.5752296502531005E-2</v>
      </c>
      <c r="L172" s="160">
        <v>0.147575771431012</v>
      </c>
      <c r="M172" s="160">
        <v>1.5842911543623201E-3</v>
      </c>
      <c r="N172" s="160">
        <v>6.9168916470772101E-3</v>
      </c>
      <c r="O172" s="160">
        <v>0.78969847254632397</v>
      </c>
      <c r="P172" s="160">
        <v>0.55932564044381305</v>
      </c>
      <c r="Q172" s="160">
        <v>-7.9160356844939994E-2</v>
      </c>
      <c r="R172" s="160">
        <v>0.35408375814642401</v>
      </c>
      <c r="S172" s="160">
        <v>3.3524126538140901E-2</v>
      </c>
      <c r="T172" s="160">
        <v>5.0754356632452396E-3</v>
      </c>
      <c r="U172" s="160">
        <v>4.4303582449012301E-3</v>
      </c>
      <c r="V172" s="160">
        <v>0.53393074921344497</v>
      </c>
      <c r="W172" s="160"/>
      <c r="X172" s="59"/>
      <c r="Y172" s="159"/>
      <c r="Z172" s="159"/>
      <c r="AA172" s="159"/>
      <c r="AB172" s="159"/>
      <c r="AC172" s="159"/>
      <c r="AD172" s="161"/>
      <c r="AE172" s="160"/>
    </row>
    <row r="173" spans="1:31" ht="21.25" customHeight="1" x14ac:dyDescent="0.15">
      <c r="A173" s="8" t="s">
        <v>346</v>
      </c>
      <c r="B173" s="157" t="s">
        <v>892</v>
      </c>
      <c r="C173" s="158">
        <v>30</v>
      </c>
      <c r="D173" s="157" t="s">
        <v>857</v>
      </c>
      <c r="E173" s="59">
        <v>81.178214285714304</v>
      </c>
      <c r="F173" s="159">
        <v>17.865425551579701</v>
      </c>
      <c r="G173" s="160">
        <v>0.232450830320237</v>
      </c>
      <c r="H173" s="160">
        <v>0.38122687941954297</v>
      </c>
      <c r="I173" s="160">
        <v>0.61367770973977898</v>
      </c>
      <c r="J173" s="160">
        <v>1.93395616260929</v>
      </c>
      <c r="K173" s="160">
        <v>3.2917941654211698E-2</v>
      </c>
      <c r="L173" s="160">
        <v>0.15604267529865001</v>
      </c>
      <c r="M173" s="160">
        <v>1.4268136919875999E-3</v>
      </c>
      <c r="N173" s="160">
        <v>2.5747679385266498E-2</v>
      </c>
      <c r="O173" s="160">
        <v>0.77068062295724804</v>
      </c>
      <c r="P173" s="160">
        <v>0.97451322387458295</v>
      </c>
      <c r="Q173" s="160">
        <v>8.2484016188324096E-3</v>
      </c>
      <c r="R173" s="160">
        <v>0.55039405853211698</v>
      </c>
      <c r="S173" s="160">
        <v>3.4510540784386097E-2</v>
      </c>
      <c r="T173" s="160">
        <v>8.3379514804723893</v>
      </c>
      <c r="U173" s="160">
        <v>7.1612197504567403</v>
      </c>
      <c r="V173" s="160">
        <v>0.53796111780697797</v>
      </c>
      <c r="W173" s="160"/>
      <c r="X173" s="59"/>
      <c r="Y173" s="159"/>
      <c r="Z173" s="159"/>
      <c r="AA173" s="159"/>
      <c r="AB173" s="159"/>
      <c r="AC173" s="159"/>
      <c r="AD173" s="161"/>
      <c r="AE173" s="160"/>
    </row>
    <row r="174" spans="1:31" ht="21.25" customHeight="1" x14ac:dyDescent="0.15">
      <c r="A174" s="8" t="s">
        <v>284</v>
      </c>
      <c r="B174" s="157" t="s">
        <v>900</v>
      </c>
      <c r="C174" s="158">
        <v>33</v>
      </c>
      <c r="D174" s="157" t="s">
        <v>858</v>
      </c>
      <c r="E174" s="59">
        <v>76.958571428571403</v>
      </c>
      <c r="F174" s="159">
        <v>17.360280597370402</v>
      </c>
      <c r="G174" s="160">
        <v>0.33717715455491998</v>
      </c>
      <c r="H174" s="160">
        <v>0.27408495831357099</v>
      </c>
      <c r="I174" s="160">
        <v>0.61126211286848997</v>
      </c>
      <c r="J174" s="160">
        <v>2.5516616533554801</v>
      </c>
      <c r="K174" s="160">
        <v>9.8230123936051197E-2</v>
      </c>
      <c r="L174" s="160">
        <v>0.186399273476623</v>
      </c>
      <c r="M174" s="160">
        <v>7.7513553406836295E-5</v>
      </c>
      <c r="N174" s="160">
        <v>1.4075099498575999E-4</v>
      </c>
      <c r="O174" s="160">
        <v>0.58988100208966199</v>
      </c>
      <c r="P174" s="160">
        <v>1.39267963360776</v>
      </c>
      <c r="Q174" s="160">
        <v>3.1471261018996097E-2</v>
      </c>
      <c r="R174" s="160">
        <v>0.52564730389256997</v>
      </c>
      <c r="S174" s="160">
        <v>5.2101240175315103E-2</v>
      </c>
      <c r="T174" s="160">
        <v>0.52417368446759405</v>
      </c>
      <c r="U174" s="160">
        <v>0.49538158336312099</v>
      </c>
      <c r="V174" s="160">
        <v>0.51411993150981095</v>
      </c>
      <c r="W174" s="160"/>
      <c r="X174" s="59"/>
      <c r="Y174" s="159"/>
      <c r="Z174" s="159"/>
      <c r="AA174" s="159"/>
      <c r="AB174" s="159"/>
      <c r="AC174" s="159"/>
      <c r="AD174" s="161"/>
      <c r="AE174" s="160"/>
    </row>
    <row r="175" spans="1:31" ht="21.25" customHeight="1" x14ac:dyDescent="0.15">
      <c r="A175" s="8" t="s">
        <v>322</v>
      </c>
      <c r="B175" s="157" t="s">
        <v>874</v>
      </c>
      <c r="C175" s="158">
        <v>28</v>
      </c>
      <c r="D175" s="157" t="s">
        <v>858</v>
      </c>
      <c r="E175" s="59">
        <v>67.542857142857102</v>
      </c>
      <c r="F175" s="159">
        <v>15.7725961498048</v>
      </c>
      <c r="G175" s="160">
        <v>0.241320684347377</v>
      </c>
      <c r="H175" s="160">
        <v>0.36693525199930999</v>
      </c>
      <c r="I175" s="160">
        <v>0.60825593634668695</v>
      </c>
      <c r="J175" s="160">
        <v>2.0556035821587599</v>
      </c>
      <c r="K175" s="160">
        <v>5.2027587608327E-2</v>
      </c>
      <c r="L175" s="160">
        <v>0.12502410552607801</v>
      </c>
      <c r="M175" s="160">
        <v>1.74824347115089E-4</v>
      </c>
      <c r="N175" s="160">
        <v>3.4524279611741499E-4</v>
      </c>
      <c r="O175" s="160">
        <v>0.45616423626901298</v>
      </c>
      <c r="P175" s="160">
        <v>0.97392969903899596</v>
      </c>
      <c r="Q175" s="160">
        <v>6.1846546451768403E-2</v>
      </c>
      <c r="R175" s="160">
        <v>0.39833828560173401</v>
      </c>
      <c r="S175" s="160">
        <v>3.8768103798340503E-2</v>
      </c>
      <c r="T175" s="160">
        <v>8.0576974804479604E-2</v>
      </c>
      <c r="U175" s="160">
        <v>0.22617451440700501</v>
      </c>
      <c r="V175" s="160">
        <v>0.26267834921227501</v>
      </c>
      <c r="W175" s="160"/>
      <c r="X175" s="59"/>
      <c r="Y175" s="159"/>
      <c r="Z175" s="159"/>
      <c r="AA175" s="159"/>
      <c r="AB175" s="159"/>
      <c r="AC175" s="159"/>
      <c r="AD175" s="161"/>
      <c r="AE175" s="160"/>
    </row>
    <row r="176" spans="1:31" ht="21.25" customHeight="1" x14ac:dyDescent="0.15">
      <c r="A176" s="8" t="s">
        <v>479</v>
      </c>
      <c r="B176" s="157" t="s">
        <v>891</v>
      </c>
      <c r="C176" s="158">
        <v>35</v>
      </c>
      <c r="D176" s="157" t="s">
        <v>857</v>
      </c>
      <c r="E176" s="59">
        <v>66.7</v>
      </c>
      <c r="F176" s="159">
        <v>16.9030468764843</v>
      </c>
      <c r="G176" s="160">
        <v>0.17366978092309299</v>
      </c>
      <c r="H176" s="160">
        <v>0.43366486320653502</v>
      </c>
      <c r="I176" s="160">
        <v>0.60733464412962801</v>
      </c>
      <c r="J176" s="160">
        <v>1.61800576011548</v>
      </c>
      <c r="K176" s="160">
        <v>6.5337461839959393E-2</v>
      </c>
      <c r="L176" s="160">
        <v>0.237795881562894</v>
      </c>
      <c r="M176" s="160">
        <v>4.7238700361949501E-4</v>
      </c>
      <c r="N176" s="160">
        <v>9.1616351039838502E-4</v>
      </c>
      <c r="O176" s="160">
        <v>0.49091788799319902</v>
      </c>
      <c r="P176" s="160">
        <v>0.60282742147426005</v>
      </c>
      <c r="Q176" s="160">
        <v>-5.1693656775993399E-2</v>
      </c>
      <c r="R176" s="160">
        <v>0.31545766006998899</v>
      </c>
      <c r="S176" s="160">
        <v>2.1362405394121799E-2</v>
      </c>
      <c r="T176" s="160">
        <v>6.2809495706374996</v>
      </c>
      <c r="U176" s="160">
        <v>6.7148599818991697</v>
      </c>
      <c r="V176" s="160">
        <v>0.48330575677076698</v>
      </c>
      <c r="W176" s="160"/>
      <c r="X176" s="59"/>
      <c r="Y176" s="159"/>
      <c r="Z176" s="159"/>
      <c r="AA176" s="159"/>
      <c r="AB176" s="159"/>
      <c r="AC176" s="159"/>
      <c r="AD176" s="161"/>
      <c r="AE176" s="160"/>
    </row>
    <row r="177" spans="1:31" ht="21.25" customHeight="1" x14ac:dyDescent="0.15">
      <c r="A177" s="8" t="s">
        <v>271</v>
      </c>
      <c r="B177" s="157" t="s">
        <v>883</v>
      </c>
      <c r="C177" s="158">
        <v>31</v>
      </c>
      <c r="D177" s="157" t="s">
        <v>859</v>
      </c>
      <c r="E177" s="59">
        <v>78.827500000000001</v>
      </c>
      <c r="F177" s="159">
        <v>17.808556389030102</v>
      </c>
      <c r="G177" s="160">
        <v>0.26265512651915901</v>
      </c>
      <c r="H177" s="160">
        <v>0.341528881150785</v>
      </c>
      <c r="I177" s="160">
        <v>0.60418400766994396</v>
      </c>
      <c r="J177" s="160">
        <v>2.51605635406401</v>
      </c>
      <c r="K177" s="160">
        <v>4.6207724784943401E-2</v>
      </c>
      <c r="L177" s="160">
        <v>0.13382102791738501</v>
      </c>
      <c r="M177" s="160">
        <v>2.2136625191437002E-3</v>
      </c>
      <c r="N177" s="160">
        <v>1.2635217509427E-2</v>
      </c>
      <c r="O177" s="160">
        <v>0.60120300573473795</v>
      </c>
      <c r="P177" s="160">
        <v>1.0691125534733099</v>
      </c>
      <c r="Q177" s="160">
        <v>3.8207935057132901E-2</v>
      </c>
      <c r="R177" s="160">
        <v>0.33756819793696202</v>
      </c>
      <c r="S177" s="160">
        <v>4.1801396050462403E-2</v>
      </c>
      <c r="T177" s="160">
        <v>4.6223253695290102E-2</v>
      </c>
      <c r="U177" s="160">
        <v>7.01021020041106E-2</v>
      </c>
      <c r="V177" s="160">
        <v>0.39736180832953399</v>
      </c>
      <c r="W177" s="160"/>
      <c r="X177" s="59"/>
      <c r="Y177" s="159"/>
      <c r="Z177" s="159"/>
      <c r="AA177" s="159"/>
      <c r="AB177" s="159"/>
      <c r="AC177" s="159"/>
      <c r="AD177" s="161"/>
      <c r="AE177" s="160"/>
    </row>
    <row r="178" spans="1:31" ht="21.25" customHeight="1" x14ac:dyDescent="0.15">
      <c r="A178" s="8" t="s">
        <v>202</v>
      </c>
      <c r="B178" s="157" t="s">
        <v>895</v>
      </c>
      <c r="C178" s="158">
        <v>33</v>
      </c>
      <c r="D178" s="157" t="s">
        <v>860</v>
      </c>
      <c r="E178" s="59">
        <v>77.961071428571401</v>
      </c>
      <c r="F178" s="159">
        <v>24.516015218530701</v>
      </c>
      <c r="G178" s="160">
        <v>0.14153950247965599</v>
      </c>
      <c r="H178" s="160">
        <v>0.46033129808700701</v>
      </c>
      <c r="I178" s="160">
        <v>0.60187080056666298</v>
      </c>
      <c r="J178" s="160">
        <v>2.5133207472250101</v>
      </c>
      <c r="K178" s="160">
        <v>2.1260318156803799E-2</v>
      </c>
      <c r="L178" s="160">
        <v>0.153938421518755</v>
      </c>
      <c r="M178" s="160">
        <v>4.2624323737420504E-3</v>
      </c>
      <c r="N178" s="160">
        <v>3.0339130046020599E-2</v>
      </c>
      <c r="O178" s="160">
        <v>2.2280536182198301</v>
      </c>
      <c r="P178" s="160">
        <v>0.93447771905082</v>
      </c>
      <c r="Q178" s="160">
        <v>6.9783833692841996E-2</v>
      </c>
      <c r="R178" s="160">
        <v>0.35503022726334599</v>
      </c>
      <c r="S178" s="160">
        <v>2.3131416576236501E-2</v>
      </c>
      <c r="T178" s="160">
        <v>4.5688359598668304E-3</v>
      </c>
      <c r="U178" s="160">
        <v>5.8064032551822702E-3</v>
      </c>
      <c r="V178" s="160">
        <v>0.44035957775699403</v>
      </c>
      <c r="W178" s="160"/>
      <c r="X178" s="59"/>
      <c r="Y178" s="159"/>
      <c r="Z178" s="159"/>
      <c r="AA178" s="159"/>
      <c r="AB178" s="159"/>
      <c r="AC178" s="159"/>
      <c r="AD178" s="161"/>
      <c r="AE178" s="160"/>
    </row>
    <row r="179" spans="1:31" ht="21.25" customHeight="1" x14ac:dyDescent="0.15">
      <c r="A179" s="8" t="s">
        <v>378</v>
      </c>
      <c r="B179" s="157" t="s">
        <v>895</v>
      </c>
      <c r="C179" s="158">
        <v>30</v>
      </c>
      <c r="D179" s="157" t="s">
        <v>857</v>
      </c>
      <c r="E179" s="59">
        <v>79.967500000000001</v>
      </c>
      <c r="F179" s="159">
        <v>17.934939206364302</v>
      </c>
      <c r="G179" s="160">
        <v>0.185969572218528</v>
      </c>
      <c r="H179" s="160">
        <v>0.414912745322916</v>
      </c>
      <c r="I179" s="160">
        <v>0.60088231754144406</v>
      </c>
      <c r="J179" s="160">
        <v>1.9904335864434901</v>
      </c>
      <c r="K179" s="160">
        <v>1.77570626978782E-2</v>
      </c>
      <c r="L179" s="160">
        <v>8.5803011380988795E-2</v>
      </c>
      <c r="M179" s="160">
        <v>1.9176420813925E-2</v>
      </c>
      <c r="N179" s="160">
        <v>4.4655341626067102E-2</v>
      </c>
      <c r="O179" s="160">
        <v>0.60875808444070101</v>
      </c>
      <c r="P179" s="160">
        <v>0.65946125313538795</v>
      </c>
      <c r="Q179" s="160">
        <v>7.7482702751374602E-2</v>
      </c>
      <c r="R179" s="160">
        <v>0.173043724743251</v>
      </c>
      <c r="S179" s="160">
        <v>3.0392502235265101E-2</v>
      </c>
      <c r="T179" s="160">
        <v>7.8453967153992199</v>
      </c>
      <c r="U179" s="160">
        <v>6.7097303594059401</v>
      </c>
      <c r="V179" s="160">
        <v>0.53901258814700104</v>
      </c>
      <c r="W179" s="160"/>
      <c r="X179" s="59"/>
      <c r="Y179" s="159"/>
      <c r="Z179" s="159"/>
      <c r="AA179" s="159"/>
      <c r="AB179" s="159"/>
      <c r="AC179" s="159"/>
      <c r="AD179" s="161"/>
      <c r="AE179" s="160"/>
    </row>
    <row r="180" spans="1:31" ht="21.25" customHeight="1" x14ac:dyDescent="0.15">
      <c r="A180" s="8" t="s">
        <v>361</v>
      </c>
      <c r="B180" s="157" t="s">
        <v>884</v>
      </c>
      <c r="C180" s="158">
        <v>30</v>
      </c>
      <c r="D180" s="157" t="s">
        <v>857</v>
      </c>
      <c r="E180" s="59">
        <v>74.489999999999995</v>
      </c>
      <c r="F180" s="159">
        <v>18.172821028107698</v>
      </c>
      <c r="G180" s="160">
        <v>0.30981358368580703</v>
      </c>
      <c r="H180" s="160">
        <v>0.29010940046714601</v>
      </c>
      <c r="I180" s="160">
        <v>0.59992298415295398</v>
      </c>
      <c r="J180" s="160">
        <v>2.64366324258491</v>
      </c>
      <c r="K180" s="160">
        <v>7.2060787376666796E-2</v>
      </c>
      <c r="L180" s="160">
        <v>0.11194121877136499</v>
      </c>
      <c r="M180" s="160">
        <v>2.40065056486932E-3</v>
      </c>
      <c r="N180" s="160">
        <v>3.1665399996670101E-3</v>
      </c>
      <c r="O180" s="160">
        <v>0.88103436781772304</v>
      </c>
      <c r="P180" s="160">
        <v>1.5661833856091301</v>
      </c>
      <c r="Q180" s="160">
        <v>-7.7267028931596607E-2</v>
      </c>
      <c r="R180" s="160">
        <v>0.418415732555112</v>
      </c>
      <c r="S180" s="160">
        <v>3.3198658616475599E-2</v>
      </c>
      <c r="T180" s="160">
        <v>9.7151216095950392</v>
      </c>
      <c r="U180" s="160">
        <v>8.1549711299504004</v>
      </c>
      <c r="V180" s="160">
        <v>0.54365255688326997</v>
      </c>
      <c r="W180" s="160"/>
      <c r="X180" s="59"/>
      <c r="Y180" s="159"/>
      <c r="Z180" s="159"/>
      <c r="AA180" s="159"/>
      <c r="AB180" s="159"/>
      <c r="AC180" s="159"/>
      <c r="AD180" s="161"/>
      <c r="AE180" s="160"/>
    </row>
    <row r="181" spans="1:31" ht="21.25" customHeight="1" x14ac:dyDescent="0.15">
      <c r="A181" s="8" t="s">
        <v>324</v>
      </c>
      <c r="B181" s="157" t="s">
        <v>893</v>
      </c>
      <c r="C181" s="158">
        <v>28</v>
      </c>
      <c r="D181" s="157" t="s">
        <v>858</v>
      </c>
      <c r="E181" s="59">
        <v>73.732500000000002</v>
      </c>
      <c r="F181" s="159">
        <v>16.590954767082099</v>
      </c>
      <c r="G181" s="160">
        <v>0.205022552246682</v>
      </c>
      <c r="H181" s="160">
        <v>0.39432427133208497</v>
      </c>
      <c r="I181" s="160">
        <v>0.59934682357876701</v>
      </c>
      <c r="J181" s="160">
        <v>2.12194495077763</v>
      </c>
      <c r="K181" s="160">
        <v>6.72822583060394E-2</v>
      </c>
      <c r="L181" s="160">
        <v>0.19121886738458699</v>
      </c>
      <c r="M181" s="160">
        <v>2.46958115323066E-2</v>
      </c>
      <c r="N181" s="160">
        <v>3.8046791568783503E-2</v>
      </c>
      <c r="O181" s="160">
        <v>0.33499882852504598</v>
      </c>
      <c r="P181" s="160">
        <v>0.34336140469383902</v>
      </c>
      <c r="Q181" s="160">
        <v>8.1918946054117606E-2</v>
      </c>
      <c r="R181" s="160">
        <v>0.291920848729468</v>
      </c>
      <c r="S181" s="160">
        <v>3.6785636675172997E-2</v>
      </c>
      <c r="T181" s="160">
        <v>0.42229980744238499</v>
      </c>
      <c r="U181" s="160">
        <v>0.297877447660439</v>
      </c>
      <c r="V181" s="160">
        <v>0.58638315005115105</v>
      </c>
      <c r="W181" s="160"/>
      <c r="X181" s="59"/>
      <c r="Y181" s="159"/>
      <c r="Z181" s="159"/>
      <c r="AA181" s="159"/>
      <c r="AB181" s="159"/>
      <c r="AC181" s="159"/>
      <c r="AD181" s="161"/>
      <c r="AE181" s="160"/>
    </row>
    <row r="182" spans="1:31" ht="21.25" customHeight="1" x14ac:dyDescent="0.15">
      <c r="A182" s="8" t="s">
        <v>301</v>
      </c>
      <c r="B182" s="157" t="s">
        <v>882</v>
      </c>
      <c r="C182" s="158">
        <v>27</v>
      </c>
      <c r="D182" s="157" t="s">
        <v>859</v>
      </c>
      <c r="E182" s="59">
        <v>80.14</v>
      </c>
      <c r="F182" s="159">
        <v>15.157856458244</v>
      </c>
      <c r="G182" s="160">
        <v>0.21844946973649099</v>
      </c>
      <c r="H182" s="160">
        <v>0.38083017901178001</v>
      </c>
      <c r="I182" s="160">
        <v>0.599279648748272</v>
      </c>
      <c r="J182" s="160">
        <v>2.16068352410274</v>
      </c>
      <c r="K182" s="160">
        <v>2.61964830218041E-2</v>
      </c>
      <c r="L182" s="160">
        <v>0.106992428595306</v>
      </c>
      <c r="M182" s="160">
        <v>6.7918695594787996E-5</v>
      </c>
      <c r="N182" s="160">
        <v>1.2457538206005599E-4</v>
      </c>
      <c r="O182" s="160">
        <v>0.274005584323467</v>
      </c>
      <c r="P182" s="160">
        <v>0.62754804175660395</v>
      </c>
      <c r="Q182" s="160">
        <v>2.2912287943463699E-2</v>
      </c>
      <c r="R182" s="160">
        <v>0.32638910636900598</v>
      </c>
      <c r="S182" s="160">
        <v>3.0923630250083201E-2</v>
      </c>
      <c r="T182" s="160">
        <v>6.3769588405691302E-2</v>
      </c>
      <c r="U182" s="160">
        <v>0.121809346887516</v>
      </c>
      <c r="V182" s="160">
        <v>0.343625144227376</v>
      </c>
      <c r="W182" s="160"/>
      <c r="X182" s="59"/>
      <c r="Y182" s="159"/>
      <c r="Z182" s="159"/>
      <c r="AA182" s="159"/>
      <c r="AB182" s="159"/>
      <c r="AC182" s="159"/>
      <c r="AD182" s="161"/>
      <c r="AE182" s="160"/>
    </row>
    <row r="183" spans="1:31" ht="21.25" customHeight="1" x14ac:dyDescent="0.15">
      <c r="A183" s="8" t="s">
        <v>250</v>
      </c>
      <c r="B183" s="157" t="s">
        <v>888</v>
      </c>
      <c r="C183" s="158">
        <v>25</v>
      </c>
      <c r="D183" s="157" t="s">
        <v>860</v>
      </c>
      <c r="E183" s="59">
        <v>71.182500000000005</v>
      </c>
      <c r="F183" s="159">
        <v>22.2429457520326</v>
      </c>
      <c r="G183" s="160">
        <v>0.18583146734838499</v>
      </c>
      <c r="H183" s="160">
        <v>0.411742753852122</v>
      </c>
      <c r="I183" s="160">
        <v>0.59757422120050696</v>
      </c>
      <c r="J183" s="160">
        <v>2.7510620824846699</v>
      </c>
      <c r="K183" s="160">
        <v>4.9309458968486999E-2</v>
      </c>
      <c r="L183" s="160">
        <v>0.121594527640372</v>
      </c>
      <c r="M183" s="160">
        <v>4.2681468777687102E-4</v>
      </c>
      <c r="N183" s="160">
        <v>1.58734411246187E-3</v>
      </c>
      <c r="O183" s="160">
        <v>1.57079325134868</v>
      </c>
      <c r="P183" s="160">
        <v>1.1074112487523999</v>
      </c>
      <c r="Q183" s="160">
        <v>1.9861878228902698E-2</v>
      </c>
      <c r="R183" s="160">
        <v>0.66412848251698198</v>
      </c>
      <c r="S183" s="160">
        <v>2.5812165430210001E-2</v>
      </c>
      <c r="T183" s="160">
        <v>0</v>
      </c>
      <c r="U183" s="160">
        <v>0</v>
      </c>
      <c r="V183" s="160">
        <v>0</v>
      </c>
      <c r="W183" s="160"/>
      <c r="X183" s="59"/>
      <c r="Y183" s="159"/>
      <c r="Z183" s="159"/>
      <c r="AA183" s="159"/>
      <c r="AB183" s="159"/>
      <c r="AC183" s="159"/>
      <c r="AD183" s="161"/>
      <c r="AE183" s="160"/>
    </row>
    <row r="184" spans="1:31" ht="21.25" customHeight="1" x14ac:dyDescent="0.15">
      <c r="A184" s="8" t="s">
        <v>390</v>
      </c>
      <c r="B184" s="157" t="s">
        <v>873</v>
      </c>
      <c r="C184" s="158">
        <v>21</v>
      </c>
      <c r="D184" s="157" t="s">
        <v>857</v>
      </c>
      <c r="E184" s="59">
        <v>76.795000000000002</v>
      </c>
      <c r="F184" s="159">
        <v>16.623593486120601</v>
      </c>
      <c r="G184" s="160">
        <v>0.23633517891057201</v>
      </c>
      <c r="H184" s="160">
        <v>0.36098123079174099</v>
      </c>
      <c r="I184" s="160">
        <v>0.59731640970231303</v>
      </c>
      <c r="J184" s="160">
        <v>2.0981130171606801</v>
      </c>
      <c r="K184" s="160">
        <v>1.5856270483250001E-2</v>
      </c>
      <c r="L184" s="160">
        <v>8.5501550086383798E-2</v>
      </c>
      <c r="M184" s="160">
        <v>2.1501548547642298E-2</v>
      </c>
      <c r="N184" s="160">
        <v>3.5729737415361298E-2</v>
      </c>
      <c r="O184" s="160">
        <v>0.55869369589444096</v>
      </c>
      <c r="P184" s="160">
        <v>0.51994808575203899</v>
      </c>
      <c r="Q184" s="160">
        <v>5.9029924355734398E-2</v>
      </c>
      <c r="R184" s="160">
        <v>0.46757161106747602</v>
      </c>
      <c r="S184" s="160">
        <v>3.3902820491190401E-2</v>
      </c>
      <c r="T184" s="160">
        <v>3.96060683679555</v>
      </c>
      <c r="U184" s="160">
        <v>4.6952795477063303</v>
      </c>
      <c r="V184" s="160">
        <v>0.45756224849333799</v>
      </c>
      <c r="W184" s="160"/>
      <c r="X184" s="59"/>
      <c r="Y184" s="159"/>
      <c r="Z184" s="159"/>
      <c r="AA184" s="159"/>
      <c r="AB184" s="159"/>
      <c r="AC184" s="159"/>
      <c r="AD184" s="161"/>
      <c r="AE184" s="160"/>
    </row>
    <row r="185" spans="1:31" ht="21.25" customHeight="1" x14ac:dyDescent="0.15">
      <c r="A185" s="8" t="s">
        <v>234</v>
      </c>
      <c r="B185" s="157" t="s">
        <v>888</v>
      </c>
      <c r="C185" s="158">
        <v>26</v>
      </c>
      <c r="D185" s="157" t="s">
        <v>860</v>
      </c>
      <c r="E185" s="59">
        <v>75.357500000000002</v>
      </c>
      <c r="F185" s="159">
        <v>23.191991085681899</v>
      </c>
      <c r="G185" s="160">
        <v>0.13196953475005699</v>
      </c>
      <c r="H185" s="160">
        <v>0.46460104841323802</v>
      </c>
      <c r="I185" s="160">
        <v>0.59657058316329503</v>
      </c>
      <c r="J185" s="160">
        <v>2.2927421589764001</v>
      </c>
      <c r="K185" s="160">
        <v>4.2848126916141802E-2</v>
      </c>
      <c r="L185" s="160">
        <v>0.22216057386754101</v>
      </c>
      <c r="M185" s="160">
        <v>1.30497565339126E-4</v>
      </c>
      <c r="N185" s="160">
        <v>4.8413015061699001E-4</v>
      </c>
      <c r="O185" s="160">
        <v>1.5436794939945</v>
      </c>
      <c r="P185" s="160">
        <v>1.1135680633434399</v>
      </c>
      <c r="Q185" s="160">
        <v>1.5636160837798799E-2</v>
      </c>
      <c r="R185" s="160">
        <v>0.59551417382322003</v>
      </c>
      <c r="S185" s="160">
        <v>1.8330692381232701E-2</v>
      </c>
      <c r="T185" s="160">
        <v>0</v>
      </c>
      <c r="U185" s="160">
        <v>0</v>
      </c>
      <c r="V185" s="160">
        <v>0</v>
      </c>
      <c r="W185" s="160"/>
      <c r="X185" s="59"/>
      <c r="Y185" s="159"/>
      <c r="Z185" s="159"/>
      <c r="AA185" s="159"/>
      <c r="AB185" s="159"/>
      <c r="AC185" s="159"/>
      <c r="AD185" s="161"/>
      <c r="AE185" s="160"/>
    </row>
    <row r="186" spans="1:31" ht="21.25" customHeight="1" x14ac:dyDescent="0.15">
      <c r="A186" s="8" t="s">
        <v>364</v>
      </c>
      <c r="B186" s="157" t="s">
        <v>884</v>
      </c>
      <c r="C186" s="158">
        <v>20</v>
      </c>
      <c r="D186" s="157" t="s">
        <v>857</v>
      </c>
      <c r="E186" s="59">
        <v>80.784999999999997</v>
      </c>
      <c r="F186" s="159">
        <v>15.947180340111601</v>
      </c>
      <c r="G186" s="160">
        <v>0.23888613358443</v>
      </c>
      <c r="H186" s="160">
        <v>0.356546691864982</v>
      </c>
      <c r="I186" s="160">
        <v>0.59543282544941201</v>
      </c>
      <c r="J186" s="160">
        <v>1.7737443023781301</v>
      </c>
      <c r="K186" s="160">
        <v>5.6460674146089102E-2</v>
      </c>
      <c r="L186" s="160">
        <v>0.17279595874499301</v>
      </c>
      <c r="M186" s="160">
        <v>5.6387519961745698E-5</v>
      </c>
      <c r="N186" s="160">
        <v>1.01979460526139E-4</v>
      </c>
      <c r="O186" s="160">
        <v>0.40960657893361002</v>
      </c>
      <c r="P186" s="160">
        <v>0.34766550025364501</v>
      </c>
      <c r="Q186" s="160">
        <v>-7.2791239640390207E-2</v>
      </c>
      <c r="R186" s="160">
        <v>0.263644427790029</v>
      </c>
      <c r="S186" s="160">
        <v>2.5598293989336801E-2</v>
      </c>
      <c r="T186" s="160">
        <v>0.51702536422936096</v>
      </c>
      <c r="U186" s="160">
        <v>1.3777814824897101</v>
      </c>
      <c r="V186" s="160">
        <v>0.27286441629900798</v>
      </c>
      <c r="W186" s="160"/>
      <c r="X186" s="59"/>
      <c r="Y186" s="159"/>
      <c r="Z186" s="159"/>
      <c r="AA186" s="159"/>
      <c r="AB186" s="159"/>
      <c r="AC186" s="159"/>
      <c r="AD186" s="161"/>
      <c r="AE186" s="160"/>
    </row>
    <row r="187" spans="1:31" ht="21.25" customHeight="1" x14ac:dyDescent="0.15">
      <c r="A187" s="8" t="s">
        <v>240</v>
      </c>
      <c r="B187" s="157" t="s">
        <v>896</v>
      </c>
      <c r="C187" s="158">
        <v>31</v>
      </c>
      <c r="D187" s="157" t="s">
        <v>860</v>
      </c>
      <c r="E187" s="59">
        <v>81.204999999999998</v>
      </c>
      <c r="F187" s="159">
        <v>24.527451575266799</v>
      </c>
      <c r="G187" s="160">
        <v>0.12671824272884</v>
      </c>
      <c r="H187" s="160">
        <v>0.46828235676551599</v>
      </c>
      <c r="I187" s="160">
        <v>0.59500059949435602</v>
      </c>
      <c r="J187" s="160">
        <v>1.72957426135312</v>
      </c>
      <c r="K187" s="160">
        <v>5.9612201003807298E-2</v>
      </c>
      <c r="L187" s="160">
        <v>0.22556369290672701</v>
      </c>
      <c r="M187" s="160">
        <v>3.1526958669933898E-4</v>
      </c>
      <c r="N187" s="160">
        <v>1.22497117995866E-3</v>
      </c>
      <c r="O187" s="160">
        <v>1.34843182021154</v>
      </c>
      <c r="P187" s="160">
        <v>0.48024870682938198</v>
      </c>
      <c r="Q187" s="160">
        <v>-0.104753362313354</v>
      </c>
      <c r="R187" s="160">
        <v>0.28915429010733701</v>
      </c>
      <c r="S187" s="160">
        <v>1.3737452999928301E-2</v>
      </c>
      <c r="T187" s="160">
        <v>0</v>
      </c>
      <c r="U187" s="160">
        <v>0</v>
      </c>
      <c r="V187" s="160">
        <v>0</v>
      </c>
      <c r="W187" s="160"/>
      <c r="X187" s="59"/>
      <c r="Y187" s="159"/>
      <c r="Z187" s="159"/>
      <c r="AA187" s="159"/>
      <c r="AB187" s="159"/>
      <c r="AC187" s="159"/>
      <c r="AD187" s="161"/>
      <c r="AE187" s="160"/>
    </row>
    <row r="188" spans="1:31" ht="21.25" customHeight="1" x14ac:dyDescent="0.15">
      <c r="A188" s="8" t="s">
        <v>363</v>
      </c>
      <c r="B188" s="157" t="s">
        <v>878</v>
      </c>
      <c r="C188" s="158">
        <v>20</v>
      </c>
      <c r="D188" s="157" t="s">
        <v>857</v>
      </c>
      <c r="E188" s="59">
        <v>80.83</v>
      </c>
      <c r="F188" s="159">
        <v>16.282738376672199</v>
      </c>
      <c r="G188" s="160">
        <v>0.31425474121709901</v>
      </c>
      <c r="H188" s="160">
        <v>0.27748452786986</v>
      </c>
      <c r="I188" s="160">
        <v>0.59173926908695895</v>
      </c>
      <c r="J188" s="160">
        <v>2.0497133427751599</v>
      </c>
      <c r="K188" s="160">
        <v>4.5282216867799603E-2</v>
      </c>
      <c r="L188" s="160">
        <v>0.109551716453698</v>
      </c>
      <c r="M188" s="160">
        <v>2.2025068540325599E-3</v>
      </c>
      <c r="N188" s="160">
        <v>4.0689067324527197E-3</v>
      </c>
      <c r="O188" s="160">
        <v>0.40969840271860197</v>
      </c>
      <c r="P188" s="160">
        <v>0.39483310958901302</v>
      </c>
      <c r="Q188" s="160">
        <v>6.52706021710866E-2</v>
      </c>
      <c r="R188" s="160">
        <v>0.30364533825351298</v>
      </c>
      <c r="S188" s="160">
        <v>5.0278530825761503E-2</v>
      </c>
      <c r="T188" s="160">
        <v>1.8597850056065099</v>
      </c>
      <c r="U188" s="160">
        <v>2.4369596625188801</v>
      </c>
      <c r="V188" s="160">
        <v>0.43283582089552203</v>
      </c>
      <c r="W188" s="160"/>
      <c r="X188" s="59"/>
      <c r="Y188" s="159"/>
      <c r="Z188" s="159"/>
      <c r="AA188" s="159"/>
      <c r="AB188" s="159"/>
      <c r="AC188" s="159"/>
      <c r="AD188" s="161"/>
      <c r="AE188" s="160"/>
    </row>
    <row r="189" spans="1:31" ht="21.25" customHeight="1" x14ac:dyDescent="0.15">
      <c r="A189" s="8" t="s">
        <v>418</v>
      </c>
      <c r="B189" s="157" t="s">
        <v>897</v>
      </c>
      <c r="C189" s="158">
        <v>24</v>
      </c>
      <c r="D189" s="157" t="s">
        <v>857</v>
      </c>
      <c r="E189" s="59">
        <v>70.1697321428571</v>
      </c>
      <c r="F189" s="159">
        <v>16.462381640232898</v>
      </c>
      <c r="G189" s="160">
        <v>0.23815283764335499</v>
      </c>
      <c r="H189" s="160">
        <v>0.35094262460728298</v>
      </c>
      <c r="I189" s="160">
        <v>0.58909546225063802</v>
      </c>
      <c r="J189" s="160">
        <v>2.0070324493738498</v>
      </c>
      <c r="K189" s="160">
        <v>0.10283247944728501</v>
      </c>
      <c r="L189" s="160">
        <v>0.17391205020762701</v>
      </c>
      <c r="M189" s="160">
        <v>8.3407086937478301E-4</v>
      </c>
      <c r="N189" s="160">
        <v>1.51820442112444E-3</v>
      </c>
      <c r="O189" s="160">
        <v>0.474853789523282</v>
      </c>
      <c r="P189" s="160">
        <v>0.97646621640517095</v>
      </c>
      <c r="Q189" s="160">
        <v>1.4267656486147201E-2</v>
      </c>
      <c r="R189" s="160">
        <v>0.33290301368546998</v>
      </c>
      <c r="S189" s="160">
        <v>3.4776542963657599E-2</v>
      </c>
      <c r="T189" s="160">
        <v>5.3411211446928997</v>
      </c>
      <c r="U189" s="160">
        <v>5.8578738903319403</v>
      </c>
      <c r="V189" s="160">
        <v>0.47692861082521698</v>
      </c>
      <c r="W189" s="160"/>
      <c r="X189" s="59"/>
      <c r="Y189" s="159"/>
      <c r="Z189" s="159"/>
      <c r="AA189" s="159"/>
      <c r="AB189" s="159"/>
      <c r="AC189" s="159"/>
      <c r="AD189" s="161"/>
      <c r="AE189" s="160"/>
    </row>
    <row r="190" spans="1:31" ht="21.25" customHeight="1" x14ac:dyDescent="0.15">
      <c r="A190" s="8" t="s">
        <v>391</v>
      </c>
      <c r="B190" s="157" t="s">
        <v>878</v>
      </c>
      <c r="C190" s="158">
        <v>31</v>
      </c>
      <c r="D190" s="157" t="s">
        <v>857</v>
      </c>
      <c r="E190" s="59">
        <v>73.0667857142857</v>
      </c>
      <c r="F190" s="159">
        <v>16.814175211007701</v>
      </c>
      <c r="G190" s="160">
        <v>0.26067625049095999</v>
      </c>
      <c r="H190" s="160">
        <v>0.32735195526430699</v>
      </c>
      <c r="I190" s="160">
        <v>0.58802820575526704</v>
      </c>
      <c r="J190" s="160">
        <v>2.4264610118538301</v>
      </c>
      <c r="K190" s="160">
        <v>5.9609333268874597E-2</v>
      </c>
      <c r="L190" s="160">
        <v>0.12754752845634301</v>
      </c>
      <c r="M190" s="160">
        <v>1.23269602395889E-2</v>
      </c>
      <c r="N190" s="160">
        <v>2.46192911612578E-2</v>
      </c>
      <c r="O190" s="160">
        <v>0.35943793588651801</v>
      </c>
      <c r="P190" s="160">
        <v>1.0977807590309501</v>
      </c>
      <c r="Q190" s="160">
        <v>4.6943392885009802E-2</v>
      </c>
      <c r="R190" s="160">
        <v>0.34727152188018001</v>
      </c>
      <c r="S190" s="160">
        <v>4.1706352130417797E-2</v>
      </c>
      <c r="T190" s="160">
        <v>6.2077974164317196</v>
      </c>
      <c r="U190" s="160">
        <v>5.0087390908653697</v>
      </c>
      <c r="V190" s="160">
        <v>0.55345047131020697</v>
      </c>
      <c r="W190" s="160"/>
      <c r="X190" s="59"/>
      <c r="Y190" s="159"/>
      <c r="Z190" s="159"/>
      <c r="AA190" s="159"/>
      <c r="AB190" s="159"/>
      <c r="AC190" s="159"/>
      <c r="AD190" s="161"/>
      <c r="AE190" s="160"/>
    </row>
    <row r="191" spans="1:31" ht="21.25" customHeight="1" x14ac:dyDescent="0.15">
      <c r="A191" s="8" t="s">
        <v>355</v>
      </c>
      <c r="B191" s="157" t="s">
        <v>899</v>
      </c>
      <c r="C191" s="158">
        <v>34</v>
      </c>
      <c r="D191" s="157" t="s">
        <v>859</v>
      </c>
      <c r="E191" s="59">
        <v>66.237499999999997</v>
      </c>
      <c r="F191" s="159">
        <v>16.277828060859299</v>
      </c>
      <c r="G191" s="160">
        <v>0.234165706950413</v>
      </c>
      <c r="H191" s="160">
        <v>0.35352239654369599</v>
      </c>
      <c r="I191" s="160">
        <v>0.58768810349411005</v>
      </c>
      <c r="J191" s="160">
        <v>2.4853407083668402</v>
      </c>
      <c r="K191" s="160">
        <v>4.2371771884757999E-2</v>
      </c>
      <c r="L191" s="160">
        <v>0.13000052395728701</v>
      </c>
      <c r="M191" s="160">
        <v>9.6587949269865997E-4</v>
      </c>
      <c r="N191" s="160">
        <v>1.0490704306880599E-3</v>
      </c>
      <c r="O191" s="160">
        <v>0.49005345304393799</v>
      </c>
      <c r="P191" s="160">
        <v>0.54360127183523899</v>
      </c>
      <c r="Q191" s="160">
        <v>-5.9355471967554002E-2</v>
      </c>
      <c r="R191" s="160"/>
      <c r="S191" s="160">
        <v>2.7525158452181502E-2</v>
      </c>
      <c r="T191" s="160">
        <v>8.7041072033526706E-2</v>
      </c>
      <c r="U191" s="160">
        <v>0.232745719077813</v>
      </c>
      <c r="V191" s="160">
        <v>0.27218470072211798</v>
      </c>
      <c r="W191" s="160"/>
      <c r="X191" s="59"/>
      <c r="Y191" s="159"/>
      <c r="Z191" s="159"/>
      <c r="AA191" s="159"/>
      <c r="AB191" s="159"/>
      <c r="AC191" s="159"/>
      <c r="AD191" s="161"/>
      <c r="AE191" s="160"/>
    </row>
    <row r="192" spans="1:31" ht="21.25" customHeight="1" x14ac:dyDescent="0.15">
      <c r="A192" s="8" t="s">
        <v>351</v>
      </c>
      <c r="B192" s="157" t="s">
        <v>882</v>
      </c>
      <c r="C192" s="158">
        <v>28</v>
      </c>
      <c r="D192" s="157" t="s">
        <v>859</v>
      </c>
      <c r="E192" s="59">
        <v>71.359642857142902</v>
      </c>
      <c r="F192" s="159">
        <v>16.977162616814699</v>
      </c>
      <c r="G192" s="160">
        <v>0.29164307776628001</v>
      </c>
      <c r="H192" s="160">
        <v>0.29035461603846202</v>
      </c>
      <c r="I192" s="160">
        <v>0.58199769380474298</v>
      </c>
      <c r="J192" s="160">
        <v>2.24954275811979</v>
      </c>
      <c r="K192" s="160">
        <v>3.6848889933622397E-2</v>
      </c>
      <c r="L192" s="160">
        <v>7.39665711700873E-2</v>
      </c>
      <c r="M192" s="160">
        <v>2.5076574610530099E-2</v>
      </c>
      <c r="N192" s="160">
        <v>3.0485984450754899E-2</v>
      </c>
      <c r="O192" s="160">
        <v>0.37847945077822298</v>
      </c>
      <c r="P192" s="160">
        <v>0.63346256941409596</v>
      </c>
      <c r="Q192" s="160">
        <v>1.3133617496593E-2</v>
      </c>
      <c r="R192" s="160">
        <v>0.223201984646067</v>
      </c>
      <c r="S192" s="160">
        <v>4.1284891708456103E-2</v>
      </c>
      <c r="T192" s="160">
        <v>5.3240314501517901E-2</v>
      </c>
      <c r="U192" s="160">
        <v>0.113432299291366</v>
      </c>
      <c r="V192" s="160">
        <v>0.31943048884849801</v>
      </c>
      <c r="W192" s="160"/>
      <c r="X192" s="59"/>
      <c r="Y192" s="159"/>
      <c r="Z192" s="159"/>
      <c r="AA192" s="159"/>
      <c r="AB192" s="159"/>
      <c r="AC192" s="159"/>
      <c r="AD192" s="161"/>
      <c r="AE192" s="160"/>
    </row>
    <row r="193" spans="1:31" ht="21.25" customHeight="1" x14ac:dyDescent="0.15">
      <c r="A193" s="8" t="s">
        <v>318</v>
      </c>
      <c r="B193" s="157" t="s">
        <v>884</v>
      </c>
      <c r="C193" s="158">
        <v>26</v>
      </c>
      <c r="D193" s="157" t="s">
        <v>859</v>
      </c>
      <c r="E193" s="59">
        <v>80.34</v>
      </c>
      <c r="F193" s="159">
        <v>16.156866720063999</v>
      </c>
      <c r="G193" s="160">
        <v>0.20875524000312201</v>
      </c>
      <c r="H193" s="160">
        <v>0.37286133675302702</v>
      </c>
      <c r="I193" s="160">
        <v>0.58161657675614897</v>
      </c>
      <c r="J193" s="160">
        <v>1.64900769321944</v>
      </c>
      <c r="K193" s="160">
        <v>3.9845756588256197E-2</v>
      </c>
      <c r="L193" s="160">
        <v>0.11301509103139</v>
      </c>
      <c r="M193" s="160">
        <v>2.0159025683083899E-2</v>
      </c>
      <c r="N193" s="160">
        <v>3.0882181906292199E-2</v>
      </c>
      <c r="O193" s="160">
        <v>0.59434748745422605</v>
      </c>
      <c r="P193" s="160">
        <v>0.67503222438899302</v>
      </c>
      <c r="Q193" s="160">
        <v>-6.9261917518439298E-2</v>
      </c>
      <c r="R193" s="160">
        <v>0.21094353241791</v>
      </c>
      <c r="S193" s="160">
        <v>2.2369561285254799E-2</v>
      </c>
      <c r="T193" s="160">
        <v>4.9772802026534597</v>
      </c>
      <c r="U193" s="160">
        <v>6.4969891810103801</v>
      </c>
      <c r="V193" s="160">
        <v>0.43377752745980702</v>
      </c>
      <c r="W193" s="160"/>
      <c r="X193" s="59"/>
      <c r="Y193" s="159"/>
      <c r="Z193" s="159"/>
      <c r="AA193" s="159"/>
      <c r="AB193" s="159"/>
      <c r="AC193" s="159"/>
      <c r="AD193" s="161"/>
      <c r="AE193" s="160"/>
    </row>
    <row r="194" spans="1:31" ht="21.25" customHeight="1" x14ac:dyDescent="0.15">
      <c r="A194" s="8" t="s">
        <v>362</v>
      </c>
      <c r="B194" s="157" t="s">
        <v>899</v>
      </c>
      <c r="C194" s="158">
        <v>23</v>
      </c>
      <c r="D194" s="157" t="s">
        <v>858</v>
      </c>
      <c r="E194" s="59">
        <v>79.271071428571403</v>
      </c>
      <c r="F194" s="159">
        <v>17.166990350609701</v>
      </c>
      <c r="G194" s="160">
        <v>0.25158237950828199</v>
      </c>
      <c r="H194" s="160">
        <v>0.32629757005934601</v>
      </c>
      <c r="I194" s="160">
        <v>0.577879949567628</v>
      </c>
      <c r="J194" s="160">
        <v>1.9027769512346699</v>
      </c>
      <c r="K194" s="160">
        <v>2.0239093214164599E-2</v>
      </c>
      <c r="L194" s="160">
        <v>6.4677991525419004E-2</v>
      </c>
      <c r="M194" s="160">
        <v>3.8933598130546001E-3</v>
      </c>
      <c r="N194" s="160">
        <v>4.7752013068483503E-3</v>
      </c>
      <c r="O194" s="160">
        <v>0.53577197409151101</v>
      </c>
      <c r="P194" s="160">
        <v>0.94693585139285896</v>
      </c>
      <c r="Q194" s="160">
        <v>-6.5507714838772907E-2</v>
      </c>
      <c r="R194" s="160">
        <v>0.52713660451662103</v>
      </c>
      <c r="S194" s="160">
        <v>2.9572412416514499E-2</v>
      </c>
      <c r="T194" s="160">
        <v>0.25180035131217199</v>
      </c>
      <c r="U194" s="160">
        <v>0.48586130898633401</v>
      </c>
      <c r="V194" s="160">
        <v>0.34134938124651498</v>
      </c>
      <c r="W194" s="160"/>
      <c r="X194" s="59"/>
      <c r="Y194" s="159"/>
      <c r="Z194" s="159"/>
      <c r="AA194" s="159"/>
      <c r="AB194" s="159"/>
      <c r="AC194" s="159"/>
      <c r="AD194" s="161"/>
      <c r="AE194" s="160"/>
    </row>
    <row r="195" spans="1:31" ht="21.25" customHeight="1" x14ac:dyDescent="0.15">
      <c r="A195" s="8" t="s">
        <v>194</v>
      </c>
      <c r="B195" s="157" t="s">
        <v>890</v>
      </c>
      <c r="C195" s="158">
        <v>28</v>
      </c>
      <c r="D195" s="157" t="s">
        <v>860</v>
      </c>
      <c r="E195" s="59">
        <v>79.704999999999998</v>
      </c>
      <c r="F195" s="159">
        <v>24.778621880504801</v>
      </c>
      <c r="G195" s="160">
        <v>0.109554541018084</v>
      </c>
      <c r="H195" s="160">
        <v>0.46751217136232398</v>
      </c>
      <c r="I195" s="160">
        <v>0.57706671238040896</v>
      </c>
      <c r="J195" s="160">
        <v>2.4406424212286599</v>
      </c>
      <c r="K195" s="160">
        <v>2.2805722337106302E-2</v>
      </c>
      <c r="L195" s="160">
        <v>0.21338792503895501</v>
      </c>
      <c r="M195" s="160">
        <v>3.3539273213674799E-4</v>
      </c>
      <c r="N195" s="160">
        <v>1.23108630407583E-2</v>
      </c>
      <c r="O195" s="160">
        <v>1.7761926561244901</v>
      </c>
      <c r="P195" s="160">
        <v>1.36380753248154</v>
      </c>
      <c r="Q195" s="160">
        <v>-0.109306504471749</v>
      </c>
      <c r="R195" s="160">
        <v>0.42624899171497599</v>
      </c>
      <c r="S195" s="160">
        <v>1.28377711398868E-2</v>
      </c>
      <c r="T195" s="160">
        <v>0</v>
      </c>
      <c r="U195" s="160">
        <v>0</v>
      </c>
      <c r="V195" s="160">
        <v>0</v>
      </c>
      <c r="W195" s="160"/>
      <c r="X195" s="59"/>
      <c r="Y195" s="159"/>
      <c r="Z195" s="159"/>
      <c r="AA195" s="159"/>
      <c r="AB195" s="159"/>
      <c r="AC195" s="159"/>
      <c r="AD195" s="161"/>
      <c r="AE195" s="160"/>
    </row>
    <row r="196" spans="1:31" ht="21.25" customHeight="1" x14ac:dyDescent="0.15">
      <c r="A196" s="8" t="s">
        <v>185</v>
      </c>
      <c r="B196" s="157" t="s">
        <v>893</v>
      </c>
      <c r="C196" s="158">
        <v>38</v>
      </c>
      <c r="D196" s="157" t="s">
        <v>860</v>
      </c>
      <c r="E196" s="59">
        <v>82</v>
      </c>
      <c r="F196" s="159">
        <v>21.3844034327164</v>
      </c>
      <c r="G196" s="160">
        <v>0.130257828247032</v>
      </c>
      <c r="H196" s="160">
        <v>0.44164055899039001</v>
      </c>
      <c r="I196" s="160">
        <v>0.57189838723742203</v>
      </c>
      <c r="J196" s="160">
        <v>2.5519923225468299</v>
      </c>
      <c r="K196" s="160">
        <v>4.2898733060707801E-2</v>
      </c>
      <c r="L196" s="160">
        <v>0.220901554938955</v>
      </c>
      <c r="M196" s="160">
        <v>1.8140937022430501E-4</v>
      </c>
      <c r="N196" s="160">
        <v>3.3264151186642599E-3</v>
      </c>
      <c r="O196" s="160">
        <v>1.1927530886036299</v>
      </c>
      <c r="P196" s="160">
        <v>0.65580363050002399</v>
      </c>
      <c r="Q196" s="160">
        <v>0.10100920622932</v>
      </c>
      <c r="R196" s="160">
        <v>0.48735475660320898</v>
      </c>
      <c r="S196" s="160">
        <v>2.3371171080863201E-2</v>
      </c>
      <c r="T196" s="160">
        <v>4.0827674962184901E-3</v>
      </c>
      <c r="U196" s="160">
        <v>5.65962642688673E-3</v>
      </c>
      <c r="V196" s="160">
        <v>0.419072306913779</v>
      </c>
      <c r="W196" s="160"/>
      <c r="X196" s="59"/>
      <c r="Y196" s="159"/>
      <c r="Z196" s="159"/>
      <c r="AA196" s="159"/>
      <c r="AB196" s="159"/>
      <c r="AC196" s="159"/>
      <c r="AD196" s="161"/>
      <c r="AE196" s="160"/>
    </row>
    <row r="197" spans="1:31" ht="21.25" customHeight="1" x14ac:dyDescent="0.15">
      <c r="A197" s="8" t="s">
        <v>230</v>
      </c>
      <c r="B197" s="157" t="s">
        <v>885</v>
      </c>
      <c r="C197" s="158">
        <v>31</v>
      </c>
      <c r="D197" s="157" t="s">
        <v>860</v>
      </c>
      <c r="E197" s="59">
        <v>81.204999999999998</v>
      </c>
      <c r="F197" s="159">
        <v>23.5112300495427</v>
      </c>
      <c r="G197" s="160">
        <v>0.15055808834391601</v>
      </c>
      <c r="H197" s="160">
        <v>0.42024676748207201</v>
      </c>
      <c r="I197" s="160">
        <v>0.57080485582598794</v>
      </c>
      <c r="J197" s="160">
        <v>2.2878336662957701</v>
      </c>
      <c r="K197" s="160">
        <v>2.34936925562894E-2</v>
      </c>
      <c r="L197" s="160">
        <v>0.12917651780728701</v>
      </c>
      <c r="M197" s="160">
        <v>3.0295811166002902E-4</v>
      </c>
      <c r="N197" s="160">
        <v>3.7087568671236998E-3</v>
      </c>
      <c r="O197" s="160">
        <v>1.61896973440504</v>
      </c>
      <c r="P197" s="160">
        <v>1.47907951240418</v>
      </c>
      <c r="Q197" s="160">
        <v>-5.12987452444683E-2</v>
      </c>
      <c r="R197" s="160">
        <v>0.47811144938688899</v>
      </c>
      <c r="S197" s="160">
        <v>1.7325130499853798E-2</v>
      </c>
      <c r="T197" s="160">
        <v>0</v>
      </c>
      <c r="U197" s="160">
        <v>0</v>
      </c>
      <c r="V197" s="160">
        <v>0</v>
      </c>
      <c r="W197" s="160"/>
      <c r="X197" s="59"/>
      <c r="Y197" s="159"/>
      <c r="Z197" s="159"/>
      <c r="AA197" s="159"/>
      <c r="AB197" s="159"/>
      <c r="AC197" s="159"/>
      <c r="AD197" s="161"/>
      <c r="AE197" s="160"/>
    </row>
    <row r="198" spans="1:31" ht="21.25" customHeight="1" x14ac:dyDescent="0.15">
      <c r="A198" s="8" t="s">
        <v>395</v>
      </c>
      <c r="B198" s="157" t="s">
        <v>887</v>
      </c>
      <c r="C198" s="158">
        <v>23</v>
      </c>
      <c r="D198" s="157" t="s">
        <v>857</v>
      </c>
      <c r="E198" s="59">
        <v>76.805000000000007</v>
      </c>
      <c r="F198" s="159">
        <v>17.855118617800301</v>
      </c>
      <c r="G198" s="160">
        <v>0.24575456770295401</v>
      </c>
      <c r="H198" s="160">
        <v>0.324241880224023</v>
      </c>
      <c r="I198" s="160">
        <v>0.56999644792697701</v>
      </c>
      <c r="J198" s="160">
        <v>2.1158078453148401</v>
      </c>
      <c r="K198" s="160">
        <v>5.5307494811880603E-2</v>
      </c>
      <c r="L198" s="160">
        <v>0.146957602999782</v>
      </c>
      <c r="M198" s="160">
        <v>1.42644505856859E-3</v>
      </c>
      <c r="N198" s="160">
        <v>9.3465422471906198E-3</v>
      </c>
      <c r="O198" s="160">
        <v>0.44547752554886</v>
      </c>
      <c r="P198" s="160">
        <v>1.1287166549057699</v>
      </c>
      <c r="Q198" s="160">
        <v>-3.2996319570672603E-2</v>
      </c>
      <c r="R198" s="160">
        <v>0.45218412687100901</v>
      </c>
      <c r="S198" s="160">
        <v>3.0289249433089499E-2</v>
      </c>
      <c r="T198" s="160">
        <v>7.62749294559283</v>
      </c>
      <c r="U198" s="160">
        <v>7.6238828275027002</v>
      </c>
      <c r="V198" s="160">
        <v>0.50011835385029701</v>
      </c>
      <c r="W198" s="160"/>
      <c r="X198" s="59"/>
      <c r="Y198" s="159"/>
      <c r="Z198" s="159"/>
      <c r="AA198" s="159"/>
      <c r="AB198" s="159"/>
      <c r="AC198" s="159"/>
      <c r="AD198" s="161"/>
      <c r="AE198" s="160"/>
    </row>
    <row r="199" spans="1:31" ht="21.25" customHeight="1" x14ac:dyDescent="0.15">
      <c r="A199" s="8" t="s">
        <v>333</v>
      </c>
      <c r="B199" s="157" t="s">
        <v>891</v>
      </c>
      <c r="C199" s="158">
        <v>36</v>
      </c>
      <c r="D199" s="157" t="s">
        <v>859</v>
      </c>
      <c r="E199" s="59">
        <v>72.105714285714299</v>
      </c>
      <c r="F199" s="159">
        <v>16.587066733611501</v>
      </c>
      <c r="G199" s="160">
        <v>0.28400169174078499</v>
      </c>
      <c r="H199" s="160">
        <v>0.28542026215357702</v>
      </c>
      <c r="I199" s="160">
        <v>0.56942195389436201</v>
      </c>
      <c r="J199" s="160">
        <v>2.0464000691525901</v>
      </c>
      <c r="K199" s="160">
        <v>0.126511528257233</v>
      </c>
      <c r="L199" s="160">
        <v>0.1884325371251</v>
      </c>
      <c r="M199" s="160">
        <v>2.3472596019720099E-4</v>
      </c>
      <c r="N199" s="160">
        <v>1.06294903884286E-3</v>
      </c>
      <c r="O199" s="160">
        <v>0.56519718945750697</v>
      </c>
      <c r="P199" s="160">
        <v>1.86110623495234</v>
      </c>
      <c r="Q199" s="160">
        <v>-5.28439613115411E-2</v>
      </c>
      <c r="R199" s="160">
        <v>0.54390641501400405</v>
      </c>
      <c r="S199" s="160">
        <v>3.4933879914720099E-2</v>
      </c>
      <c r="T199" s="160">
        <v>1.56524288966684</v>
      </c>
      <c r="U199" s="160">
        <v>1.8707703142277099</v>
      </c>
      <c r="V199" s="160">
        <v>0.45554041756670799</v>
      </c>
      <c r="W199" s="160"/>
      <c r="X199" s="59"/>
      <c r="Y199" s="159"/>
      <c r="Z199" s="159"/>
      <c r="AA199" s="159"/>
      <c r="AB199" s="159"/>
      <c r="AC199" s="159"/>
      <c r="AD199" s="161"/>
      <c r="AE199" s="160"/>
    </row>
    <row r="200" spans="1:31" ht="21.25" customHeight="1" x14ac:dyDescent="0.15">
      <c r="A200" s="8" t="s">
        <v>243</v>
      </c>
      <c r="B200" s="157" t="s">
        <v>887</v>
      </c>
      <c r="C200" s="158">
        <v>24</v>
      </c>
      <c r="D200" s="157" t="s">
        <v>860</v>
      </c>
      <c r="E200" s="59">
        <v>76.38</v>
      </c>
      <c r="F200" s="159">
        <v>21.479553404335601</v>
      </c>
      <c r="G200" s="160">
        <v>0.10780402264611499</v>
      </c>
      <c r="H200" s="160">
        <v>0.46018516973470203</v>
      </c>
      <c r="I200" s="160">
        <v>0.56798919238081702</v>
      </c>
      <c r="J200" s="160">
        <v>1.7908951725323199</v>
      </c>
      <c r="K200" s="160">
        <v>2.7016583148903799E-2</v>
      </c>
      <c r="L200" s="160">
        <v>0.27177803432518</v>
      </c>
      <c r="M200" s="160">
        <v>4.9957936779792395E-4</v>
      </c>
      <c r="N200" s="160">
        <v>6.20913545993672E-3</v>
      </c>
      <c r="O200" s="160">
        <v>1.9611138608880501</v>
      </c>
      <c r="P200" s="160">
        <v>1.1933229004597501</v>
      </c>
      <c r="Q200" s="160">
        <v>-4.7310146334925599E-2</v>
      </c>
      <c r="R200" s="160">
        <v>0.77205728707157995</v>
      </c>
      <c r="S200" s="160">
        <v>1.32868453365449E-2</v>
      </c>
      <c r="T200" s="160">
        <v>0</v>
      </c>
      <c r="U200" s="160">
        <v>0</v>
      </c>
      <c r="V200" s="160">
        <v>0</v>
      </c>
      <c r="W200" s="160"/>
      <c r="X200" s="59"/>
      <c r="Y200" s="159"/>
      <c r="Z200" s="159"/>
      <c r="AA200" s="159"/>
      <c r="AB200" s="159"/>
      <c r="AC200" s="159"/>
      <c r="AD200" s="161"/>
      <c r="AE200" s="160"/>
    </row>
    <row r="201" spans="1:31" ht="21.25" customHeight="1" x14ac:dyDescent="0.15">
      <c r="A201" s="8" t="s">
        <v>313</v>
      </c>
      <c r="B201" s="157" t="s">
        <v>882</v>
      </c>
      <c r="C201" s="158">
        <v>26</v>
      </c>
      <c r="D201" s="157" t="s">
        <v>858</v>
      </c>
      <c r="E201" s="59">
        <v>79.749642857142902</v>
      </c>
      <c r="F201" s="159">
        <v>17.043815998666201</v>
      </c>
      <c r="G201" s="160">
        <v>0.24579300394825401</v>
      </c>
      <c r="H201" s="160">
        <v>0.31971516033445502</v>
      </c>
      <c r="I201" s="160">
        <v>0.565508164282709</v>
      </c>
      <c r="J201" s="160">
        <v>2.2993774902961501</v>
      </c>
      <c r="K201" s="160">
        <v>7.7223647747267296E-2</v>
      </c>
      <c r="L201" s="160">
        <v>0.14674185043599999</v>
      </c>
      <c r="M201" s="160">
        <v>7.4170830735376299E-4</v>
      </c>
      <c r="N201" s="160">
        <v>1.3581495890470599E-3</v>
      </c>
      <c r="O201" s="160">
        <v>0.34203103599676998</v>
      </c>
      <c r="P201" s="160">
        <v>0.84876956119271796</v>
      </c>
      <c r="Q201" s="160">
        <v>-4.7674064065594797E-3</v>
      </c>
      <c r="R201" s="160">
        <v>0.28158782213227301</v>
      </c>
      <c r="S201" s="160">
        <v>3.4794371354261701E-2</v>
      </c>
      <c r="T201" s="160">
        <v>4.8486031814607602E-2</v>
      </c>
      <c r="U201" s="160">
        <v>0.11201655756543499</v>
      </c>
      <c r="V201" s="160">
        <v>0.30208878250431898</v>
      </c>
      <c r="W201" s="160"/>
      <c r="X201" s="59"/>
      <c r="Y201" s="159"/>
      <c r="Z201" s="159"/>
      <c r="AA201" s="159"/>
      <c r="AB201" s="159"/>
      <c r="AC201" s="159"/>
      <c r="AD201" s="161"/>
      <c r="AE201" s="160"/>
    </row>
    <row r="202" spans="1:31" ht="21.25" customHeight="1" x14ac:dyDescent="0.15">
      <c r="A202" s="8" t="s">
        <v>440</v>
      </c>
      <c r="B202" s="157" t="s">
        <v>893</v>
      </c>
      <c r="C202" s="158">
        <v>23</v>
      </c>
      <c r="D202" s="157" t="s">
        <v>857</v>
      </c>
      <c r="E202" s="59">
        <v>79.83</v>
      </c>
      <c r="F202" s="159">
        <v>15.5134607343723</v>
      </c>
      <c r="G202" s="160">
        <v>0.23072136276524</v>
      </c>
      <c r="H202" s="160">
        <v>0.33471779384314898</v>
      </c>
      <c r="I202" s="160">
        <v>0.56543915660838895</v>
      </c>
      <c r="J202" s="160">
        <v>1.66213857435211</v>
      </c>
      <c r="K202" s="160">
        <v>2.76403947920471E-2</v>
      </c>
      <c r="L202" s="160">
        <v>0.11378531295931001</v>
      </c>
      <c r="M202" s="160">
        <v>4.2284051588740998E-3</v>
      </c>
      <c r="N202" s="160">
        <v>4.83808637280898E-3</v>
      </c>
      <c r="O202" s="160">
        <v>0.31013793751181801</v>
      </c>
      <c r="P202" s="160">
        <v>1.3313379172192801</v>
      </c>
      <c r="Q202" s="160">
        <v>8.7463313150501598E-2</v>
      </c>
      <c r="R202" s="160">
        <v>0.49789531432502099</v>
      </c>
      <c r="S202" s="160">
        <v>4.1396578722086998E-2</v>
      </c>
      <c r="T202" s="160">
        <v>4.4988097729299801</v>
      </c>
      <c r="U202" s="160">
        <v>4.3811530881090102</v>
      </c>
      <c r="V202" s="160">
        <v>0.50662484104168903</v>
      </c>
      <c r="W202" s="160"/>
      <c r="X202" s="59"/>
      <c r="Y202" s="159"/>
      <c r="Z202" s="159"/>
      <c r="AA202" s="159"/>
      <c r="AB202" s="159"/>
      <c r="AC202" s="159"/>
      <c r="AD202" s="161"/>
      <c r="AE202" s="160"/>
    </row>
    <row r="203" spans="1:31" ht="21.25" customHeight="1" x14ac:dyDescent="0.15">
      <c r="A203" s="8" t="s">
        <v>292</v>
      </c>
      <c r="B203" s="157" t="s">
        <v>901</v>
      </c>
      <c r="C203" s="158">
        <v>28</v>
      </c>
      <c r="D203" s="157" t="s">
        <v>859</v>
      </c>
      <c r="E203" s="59">
        <v>81.099999999999994</v>
      </c>
      <c r="F203" s="159">
        <v>15.2982097371024</v>
      </c>
      <c r="G203" s="160">
        <v>0.25232676887746702</v>
      </c>
      <c r="H203" s="160">
        <v>0.31240127171813997</v>
      </c>
      <c r="I203" s="160">
        <v>0.56472804059560699</v>
      </c>
      <c r="J203" s="160">
        <v>2.2912921801864901</v>
      </c>
      <c r="K203" s="160">
        <v>5.5299191203110901E-2</v>
      </c>
      <c r="L203" s="160">
        <v>0.123735036012993</v>
      </c>
      <c r="M203" s="160">
        <v>2.89970192729537E-5</v>
      </c>
      <c r="N203" s="160">
        <v>5.3181587176542297E-5</v>
      </c>
      <c r="O203" s="160">
        <v>0.434089248780888</v>
      </c>
      <c r="P203" s="160">
        <v>0.85092681854404295</v>
      </c>
      <c r="Q203" s="160">
        <v>-9.9280203053065206E-3</v>
      </c>
      <c r="R203" s="160">
        <v>0.21912246188753901</v>
      </c>
      <c r="S203" s="160">
        <v>3.54672969465172E-2</v>
      </c>
      <c r="T203" s="160">
        <v>0.214509171945026</v>
      </c>
      <c r="U203" s="160">
        <v>0.35066493341377097</v>
      </c>
      <c r="V203" s="160">
        <v>0.37954529393884101</v>
      </c>
      <c r="W203" s="160"/>
      <c r="X203" s="59"/>
      <c r="Y203" s="159"/>
      <c r="Z203" s="159"/>
      <c r="AA203" s="159"/>
      <c r="AB203" s="159"/>
      <c r="AC203" s="159"/>
      <c r="AD203" s="161"/>
      <c r="AE203" s="160"/>
    </row>
    <row r="204" spans="1:31" ht="21.25" customHeight="1" x14ac:dyDescent="0.15">
      <c r="A204" s="8" t="s">
        <v>510</v>
      </c>
      <c r="B204" s="157" t="s">
        <v>897</v>
      </c>
      <c r="C204" s="158">
        <v>22</v>
      </c>
      <c r="D204" s="157" t="s">
        <v>857</v>
      </c>
      <c r="E204" s="59">
        <v>69.352500000000006</v>
      </c>
      <c r="F204" s="159">
        <v>14.7410933225209</v>
      </c>
      <c r="G204" s="160">
        <v>0.194132591455</v>
      </c>
      <c r="H204" s="160">
        <v>0.36613450857226698</v>
      </c>
      <c r="I204" s="160">
        <v>0.56026710002726698</v>
      </c>
      <c r="J204" s="160">
        <v>1.74534441693006</v>
      </c>
      <c r="K204" s="160">
        <v>7.8123374718575195E-2</v>
      </c>
      <c r="L204" s="160">
        <v>0.15866604067607101</v>
      </c>
      <c r="M204" s="160">
        <v>8.12507533131868E-6</v>
      </c>
      <c r="N204" s="160">
        <v>1.4585304852463399E-5</v>
      </c>
      <c r="O204" s="160">
        <v>0.473252436100562</v>
      </c>
      <c r="P204" s="160">
        <v>0.90288835192677397</v>
      </c>
      <c r="Q204" s="160">
        <v>-1.2110899800326799E-2</v>
      </c>
      <c r="R204" s="160">
        <v>0.240299150820349</v>
      </c>
      <c r="S204" s="160">
        <v>2.83484357112356E-2</v>
      </c>
      <c r="T204" s="160">
        <v>0.29444496861158198</v>
      </c>
      <c r="U204" s="160">
        <v>0.35206161013681198</v>
      </c>
      <c r="V204" s="160">
        <v>0.45544001915899002</v>
      </c>
      <c r="W204" s="160"/>
      <c r="X204" s="59"/>
      <c r="Y204" s="159"/>
      <c r="Z204" s="159"/>
      <c r="AA204" s="159"/>
      <c r="AB204" s="159"/>
      <c r="AC204" s="159"/>
      <c r="AD204" s="161"/>
      <c r="AE204" s="160"/>
    </row>
    <row r="205" spans="1:31" ht="21.25" customHeight="1" x14ac:dyDescent="0.15">
      <c r="A205" s="8" t="s">
        <v>312</v>
      </c>
      <c r="B205" s="157" t="s">
        <v>894</v>
      </c>
      <c r="C205" s="158">
        <v>34</v>
      </c>
      <c r="D205" s="157" t="s">
        <v>857</v>
      </c>
      <c r="E205" s="59">
        <v>81.599999999999994</v>
      </c>
      <c r="F205" s="159">
        <v>17.7318138532363</v>
      </c>
      <c r="G205" s="160">
        <v>0.179671188739667</v>
      </c>
      <c r="H205" s="160">
        <v>0.38007041802710401</v>
      </c>
      <c r="I205" s="160">
        <v>0.55974160676677098</v>
      </c>
      <c r="J205" s="160">
        <v>2.9003818843330902</v>
      </c>
      <c r="K205" s="160">
        <v>3.3539269291612703E-2</v>
      </c>
      <c r="L205" s="160">
        <v>0.119108934753306</v>
      </c>
      <c r="M205" s="160">
        <v>8.2406201901119303E-3</v>
      </c>
      <c r="N205" s="160">
        <v>2.9064761301480901E-2</v>
      </c>
      <c r="O205" s="160">
        <v>0.38079128309377602</v>
      </c>
      <c r="P205" s="160">
        <v>1.0309539143392401</v>
      </c>
      <c r="Q205" s="160">
        <v>6.7907038321517704E-2</v>
      </c>
      <c r="R205" s="160">
        <v>0.43775308893942699</v>
      </c>
      <c r="S205" s="160">
        <v>3.0022741224711599E-2</v>
      </c>
      <c r="T205" s="160">
        <v>8.2004285102896493</v>
      </c>
      <c r="U205" s="160">
        <v>7.9004146568214999</v>
      </c>
      <c r="V205" s="160">
        <v>0.50931671249618105</v>
      </c>
      <c r="W205" s="160"/>
      <c r="X205" s="59"/>
      <c r="Y205" s="159"/>
      <c r="Z205" s="159"/>
      <c r="AA205" s="159"/>
      <c r="AB205" s="159"/>
      <c r="AC205" s="159"/>
      <c r="AD205" s="161"/>
      <c r="AE205" s="160"/>
    </row>
    <row r="206" spans="1:31" ht="21.25" customHeight="1" x14ac:dyDescent="0.15">
      <c r="A206" s="8" t="s">
        <v>406</v>
      </c>
      <c r="B206" s="157" t="s">
        <v>899</v>
      </c>
      <c r="C206" s="162">
        <v>24</v>
      </c>
      <c r="D206" s="157" t="s">
        <v>858</v>
      </c>
      <c r="E206" s="59">
        <v>74.192499999999995</v>
      </c>
      <c r="F206" s="159">
        <v>17.9930099085366</v>
      </c>
      <c r="G206" s="160">
        <v>0.21448154200972899</v>
      </c>
      <c r="H206" s="160">
        <v>0.34109406194921599</v>
      </c>
      <c r="I206" s="160">
        <v>0.55557560395894501</v>
      </c>
      <c r="J206" s="160">
        <v>1.4554358597768</v>
      </c>
      <c r="K206" s="160">
        <v>4.8517789058292099E-2</v>
      </c>
      <c r="L206" s="160">
        <v>0.117563555964229</v>
      </c>
      <c r="M206" s="160">
        <v>1.33934584437507E-2</v>
      </c>
      <c r="N206" s="160">
        <v>2.5968391650363899E-2</v>
      </c>
      <c r="O206" s="160">
        <v>0.738831564653741</v>
      </c>
      <c r="P206" s="160">
        <v>1.0783129365117501</v>
      </c>
      <c r="Q206" s="160">
        <v>-5.3430620928235903E-2</v>
      </c>
      <c r="R206" s="160">
        <v>0.24030640604459999</v>
      </c>
      <c r="S206" s="160">
        <v>2.5211370639067001E-2</v>
      </c>
      <c r="T206" s="160">
        <v>4.4451270579553199</v>
      </c>
      <c r="U206" s="160">
        <v>8.1940557049278908</v>
      </c>
      <c r="V206" s="160">
        <v>0.35169418318794099</v>
      </c>
      <c r="W206" s="160"/>
      <c r="X206" s="59"/>
      <c r="Y206" s="159"/>
      <c r="Z206" s="159"/>
      <c r="AA206" s="159"/>
      <c r="AB206" s="159"/>
      <c r="AC206" s="159"/>
      <c r="AD206" s="161"/>
      <c r="AE206" s="160"/>
    </row>
    <row r="207" spans="1:31" ht="21.25" customHeight="1" x14ac:dyDescent="0.15">
      <c r="A207" s="8" t="s">
        <v>317</v>
      </c>
      <c r="B207" s="157" t="s">
        <v>886</v>
      </c>
      <c r="C207" s="158">
        <v>30</v>
      </c>
      <c r="D207" s="157" t="s">
        <v>859</v>
      </c>
      <c r="E207" s="59">
        <v>79.599999999999994</v>
      </c>
      <c r="F207" s="159">
        <v>15.9395245149761</v>
      </c>
      <c r="G207" s="160">
        <v>0.30033823027691098</v>
      </c>
      <c r="H207" s="160">
        <v>0.25188003449549101</v>
      </c>
      <c r="I207" s="160">
        <v>0.55221826477240199</v>
      </c>
      <c r="J207" s="160">
        <v>2.2182040698224399</v>
      </c>
      <c r="K207" s="160">
        <v>4.7609338028662802E-2</v>
      </c>
      <c r="L207" s="160">
        <v>8.33385871774312E-2</v>
      </c>
      <c r="M207" s="160">
        <v>1.21664401295958E-4</v>
      </c>
      <c r="N207" s="160">
        <v>2.21873785689541E-4</v>
      </c>
      <c r="O207" s="160">
        <v>0.375048714005284</v>
      </c>
      <c r="P207" s="160">
        <v>1.8247716990241101</v>
      </c>
      <c r="Q207" s="160">
        <v>5.3379353505616997E-2</v>
      </c>
      <c r="R207" s="160">
        <v>0.35641242218916203</v>
      </c>
      <c r="S207" s="160">
        <v>4.6853769209922097E-2</v>
      </c>
      <c r="T207" s="160">
        <v>0.102619691895716</v>
      </c>
      <c r="U207" s="160">
        <v>0.11050891812072899</v>
      </c>
      <c r="V207" s="160">
        <v>0.48149186487819501</v>
      </c>
      <c r="W207" s="160"/>
      <c r="X207" s="59"/>
      <c r="Y207" s="159"/>
      <c r="Z207" s="159"/>
      <c r="AA207" s="159"/>
      <c r="AB207" s="159"/>
      <c r="AC207" s="159"/>
      <c r="AD207" s="161"/>
      <c r="AE207" s="160"/>
    </row>
    <row r="208" spans="1:31" ht="21.25" customHeight="1" x14ac:dyDescent="0.15">
      <c r="A208" s="8" t="s">
        <v>426</v>
      </c>
      <c r="B208" s="157" t="s">
        <v>892</v>
      </c>
      <c r="C208" s="162">
        <v>21</v>
      </c>
      <c r="D208" s="157" t="s">
        <v>857</v>
      </c>
      <c r="E208" s="59">
        <v>71.237499999999997</v>
      </c>
      <c r="F208" s="159">
        <v>16.834877080397501</v>
      </c>
      <c r="G208" s="160">
        <v>0.17360675825615701</v>
      </c>
      <c r="H208" s="160">
        <v>0.377934350899295</v>
      </c>
      <c r="I208" s="160">
        <v>0.55154110915545196</v>
      </c>
      <c r="J208" s="160">
        <v>1.77864036911462</v>
      </c>
      <c r="K208" s="160">
        <v>4.6526429671511098E-2</v>
      </c>
      <c r="L208" s="160">
        <v>9.4584087431931002E-2</v>
      </c>
      <c r="M208" s="160">
        <v>5.6273836443282898E-4</v>
      </c>
      <c r="N208" s="160">
        <v>9.8958135952441806E-4</v>
      </c>
      <c r="O208" s="160">
        <v>0.36646978023995003</v>
      </c>
      <c r="P208" s="160">
        <v>1.0269963193284</v>
      </c>
      <c r="Q208" s="160">
        <v>9.5631520245005094E-3</v>
      </c>
      <c r="R208" s="160">
        <v>0.58885756603214501</v>
      </c>
      <c r="S208" s="160">
        <v>2.5774324415147602E-2</v>
      </c>
      <c r="T208" s="160">
        <v>1.6029860375945399</v>
      </c>
      <c r="U208" s="160">
        <v>1.8612304948771301</v>
      </c>
      <c r="V208" s="160">
        <v>0.46272685975862698</v>
      </c>
      <c r="W208" s="160"/>
      <c r="X208" s="59"/>
      <c r="Y208" s="159"/>
      <c r="Z208" s="159"/>
      <c r="AA208" s="159"/>
      <c r="AB208" s="159"/>
      <c r="AC208" s="159"/>
      <c r="AD208" s="161"/>
      <c r="AE208" s="160"/>
    </row>
    <row r="209" spans="1:31" ht="21.25" customHeight="1" x14ac:dyDescent="0.15">
      <c r="A209" s="8" t="s">
        <v>431</v>
      </c>
      <c r="B209" s="157" t="s">
        <v>880</v>
      </c>
      <c r="C209" s="158">
        <v>23</v>
      </c>
      <c r="D209" s="157" t="s">
        <v>857</v>
      </c>
      <c r="E209" s="59">
        <v>76.497500000000002</v>
      </c>
      <c r="F209" s="159">
        <v>14.831663035055801</v>
      </c>
      <c r="G209" s="160">
        <v>0.24316653955502701</v>
      </c>
      <c r="H209" s="160">
        <v>0.308267457564744</v>
      </c>
      <c r="I209" s="160">
        <v>0.55143399711977104</v>
      </c>
      <c r="J209" s="160">
        <v>2.2966556291937299</v>
      </c>
      <c r="K209" s="160">
        <v>1.8126090364129401E-2</v>
      </c>
      <c r="L209" s="160">
        <v>5.3241727314648303E-2</v>
      </c>
      <c r="M209" s="160">
        <v>2.9512035409646299E-4</v>
      </c>
      <c r="N209" s="160">
        <v>5.3815453186143803E-4</v>
      </c>
      <c r="O209" s="160">
        <v>0.49333660148657199</v>
      </c>
      <c r="P209" s="160">
        <v>0.55476892041203496</v>
      </c>
      <c r="Q209" s="160">
        <v>6.4012374510352396E-2</v>
      </c>
      <c r="R209" s="160">
        <v>0.34163365804197099</v>
      </c>
      <c r="S209" s="160">
        <v>4.1435124257432003E-2</v>
      </c>
      <c r="T209" s="160">
        <v>3.3702278708787201</v>
      </c>
      <c r="U209" s="160">
        <v>4.7563723534078504</v>
      </c>
      <c r="V209" s="160">
        <v>0.41471559789623902</v>
      </c>
      <c r="W209" s="160"/>
      <c r="X209" s="59"/>
      <c r="Y209" s="159"/>
      <c r="Z209" s="159"/>
      <c r="AA209" s="159"/>
      <c r="AB209" s="159"/>
      <c r="AC209" s="159"/>
      <c r="AD209" s="161"/>
      <c r="AE209" s="160"/>
    </row>
    <row r="210" spans="1:31" ht="21.25" customHeight="1" x14ac:dyDescent="0.15">
      <c r="A210" s="8" t="s">
        <v>407</v>
      </c>
      <c r="B210" s="157" t="s">
        <v>879</v>
      </c>
      <c r="C210" s="158">
        <v>31</v>
      </c>
      <c r="D210" s="157" t="s">
        <v>857</v>
      </c>
      <c r="E210" s="59">
        <v>81.297857142857097</v>
      </c>
      <c r="F210" s="159">
        <v>18.719396489353102</v>
      </c>
      <c r="G210" s="160">
        <v>0.196372129343205</v>
      </c>
      <c r="H210" s="160">
        <v>0.35491038170963701</v>
      </c>
      <c r="I210" s="160">
        <v>0.55128251105284098</v>
      </c>
      <c r="J210" s="160">
        <v>1.8980887079337401</v>
      </c>
      <c r="K210" s="160">
        <v>2.2986969061615899E-2</v>
      </c>
      <c r="L210" s="160">
        <v>7.09177712424921E-2</v>
      </c>
      <c r="M210" s="160">
        <v>7.2814149953552001E-3</v>
      </c>
      <c r="N210" s="160">
        <v>2.8212937091962001E-2</v>
      </c>
      <c r="O210" s="160">
        <v>0.69950646000125005</v>
      </c>
      <c r="P210" s="160">
        <v>0.96502336079565199</v>
      </c>
      <c r="Q210" s="160">
        <v>3.5643857703028303E-2</v>
      </c>
      <c r="R210" s="160">
        <v>0.38713012257721602</v>
      </c>
      <c r="S210" s="160">
        <v>3.2967016034890197E-2</v>
      </c>
      <c r="T210" s="160">
        <v>6.8833113723059398</v>
      </c>
      <c r="U210" s="160">
        <v>6.7327507418528496</v>
      </c>
      <c r="V210" s="160">
        <v>0.50552878758890696</v>
      </c>
      <c r="W210" s="160"/>
      <c r="X210" s="59"/>
      <c r="Y210" s="159"/>
      <c r="Z210" s="159"/>
      <c r="AA210" s="159"/>
      <c r="AB210" s="159"/>
      <c r="AC210" s="159"/>
      <c r="AD210" s="161"/>
      <c r="AE210" s="160"/>
    </row>
    <row r="211" spans="1:31" ht="21.25" customHeight="1" x14ac:dyDescent="0.15">
      <c r="A211" s="8" t="s">
        <v>376</v>
      </c>
      <c r="B211" s="157" t="s">
        <v>885</v>
      </c>
      <c r="C211" s="158">
        <v>30</v>
      </c>
      <c r="D211" s="157" t="s">
        <v>858</v>
      </c>
      <c r="E211" s="59">
        <v>77.770357142857094</v>
      </c>
      <c r="F211" s="159">
        <v>16.414531949716601</v>
      </c>
      <c r="G211" s="160">
        <v>0.27279672969174601</v>
      </c>
      <c r="H211" s="160">
        <v>0.277830308836643</v>
      </c>
      <c r="I211" s="160">
        <v>0.55062703852838901</v>
      </c>
      <c r="J211" s="160">
        <v>1.8479658313410201</v>
      </c>
      <c r="K211" s="160">
        <v>4.9782584380287098E-2</v>
      </c>
      <c r="L211" s="160">
        <v>9.2406412834639406E-2</v>
      </c>
      <c r="M211" s="160">
        <v>1.74913962952984E-2</v>
      </c>
      <c r="N211" s="160">
        <v>3.2334946361232901E-2</v>
      </c>
      <c r="O211" s="160">
        <v>0.39030602356281202</v>
      </c>
      <c r="P211" s="160">
        <v>0.40028099375313803</v>
      </c>
      <c r="Q211" s="160">
        <v>-4.6984640143504001E-2</v>
      </c>
      <c r="R211" s="160">
        <v>0.22996354777813699</v>
      </c>
      <c r="S211" s="160">
        <v>3.13914648746524E-2</v>
      </c>
      <c r="T211" s="160">
        <v>0.118277264790735</v>
      </c>
      <c r="U211" s="160">
        <v>0.13941011406707399</v>
      </c>
      <c r="V211" s="160">
        <v>0.45899517979885202</v>
      </c>
      <c r="W211" s="160"/>
      <c r="X211" s="59"/>
      <c r="Y211" s="159"/>
      <c r="Z211" s="159"/>
      <c r="AA211" s="159"/>
      <c r="AB211" s="159"/>
      <c r="AC211" s="159"/>
      <c r="AD211" s="161"/>
      <c r="AE211" s="160"/>
    </row>
    <row r="212" spans="1:31" ht="21.25" customHeight="1" x14ac:dyDescent="0.15">
      <c r="A212" s="8" t="s">
        <v>455</v>
      </c>
      <c r="B212" s="157" t="s">
        <v>901</v>
      </c>
      <c r="C212" s="158">
        <v>31</v>
      </c>
      <c r="D212" s="157" t="s">
        <v>857</v>
      </c>
      <c r="E212" s="59">
        <v>80.752499999999998</v>
      </c>
      <c r="F212" s="159">
        <v>17.279618968072398</v>
      </c>
      <c r="G212" s="160">
        <v>0.195284173706084</v>
      </c>
      <c r="H212" s="160">
        <v>0.35241630391034601</v>
      </c>
      <c r="I212" s="160">
        <v>0.54770047761643004</v>
      </c>
      <c r="J212" s="160">
        <v>1.74365906972344</v>
      </c>
      <c r="K212" s="160">
        <v>1.1650110340419901E-2</v>
      </c>
      <c r="L212" s="160">
        <v>2.4759412752987101E-2</v>
      </c>
      <c r="M212" s="160">
        <v>1.2499218892237001E-2</v>
      </c>
      <c r="N212" s="160">
        <v>2.6933591710125899E-2</v>
      </c>
      <c r="O212" s="160">
        <v>0.59567575228805902</v>
      </c>
      <c r="P212" s="160">
        <v>1.3059298285497301</v>
      </c>
      <c r="Q212" s="160">
        <v>1.06253533224832E-2</v>
      </c>
      <c r="R212" s="160">
        <v>0.65552406674986696</v>
      </c>
      <c r="S212" s="160">
        <v>2.7449334086120599E-2</v>
      </c>
      <c r="T212" s="160">
        <v>5.89925250888367</v>
      </c>
      <c r="U212" s="160">
        <v>6.0390298038687398</v>
      </c>
      <c r="V212" s="160">
        <v>0.49414583726019901</v>
      </c>
      <c r="W212" s="160"/>
      <c r="X212" s="59"/>
      <c r="Y212" s="159"/>
      <c r="Z212" s="159"/>
      <c r="AA212" s="159"/>
      <c r="AB212" s="159"/>
      <c r="AC212" s="159"/>
      <c r="AD212" s="161"/>
      <c r="AE212" s="160"/>
    </row>
    <row r="213" spans="1:31" ht="21.25" customHeight="1" x14ac:dyDescent="0.15">
      <c r="A213" s="8" t="s">
        <v>261</v>
      </c>
      <c r="B213" s="157" t="s">
        <v>885</v>
      </c>
      <c r="C213" s="158">
        <v>32</v>
      </c>
      <c r="D213" s="157" t="s">
        <v>860</v>
      </c>
      <c r="E213" s="59">
        <v>76.23</v>
      </c>
      <c r="F213" s="159">
        <v>19.467656438497599</v>
      </c>
      <c r="G213" s="160">
        <v>9.8791772166630001E-2</v>
      </c>
      <c r="H213" s="160">
        <v>0.4460761071398</v>
      </c>
      <c r="I213" s="160">
        <v>0.54486787930642999</v>
      </c>
      <c r="J213" s="160">
        <v>1.91999238498863</v>
      </c>
      <c r="K213" s="160">
        <v>4.4666217144711098E-2</v>
      </c>
      <c r="L213" s="160">
        <v>0.23758047404570401</v>
      </c>
      <c r="M213" s="160">
        <v>4.20702562354301E-5</v>
      </c>
      <c r="N213" s="160">
        <v>1.5977315122068001E-4</v>
      </c>
      <c r="O213" s="160">
        <v>1.28785116142545</v>
      </c>
      <c r="P213" s="160">
        <v>0.88663009232342704</v>
      </c>
      <c r="Q213" s="160">
        <v>-5.2551679381434402E-2</v>
      </c>
      <c r="R213" s="160">
        <v>0.53676124828256699</v>
      </c>
      <c r="S213" s="160">
        <v>1.13682390891479E-2</v>
      </c>
      <c r="T213" s="160">
        <v>0</v>
      </c>
      <c r="U213" s="160">
        <v>0</v>
      </c>
      <c r="V213" s="160">
        <v>0</v>
      </c>
      <c r="W213" s="160"/>
      <c r="X213" s="59"/>
      <c r="Y213" s="159"/>
      <c r="Z213" s="159"/>
      <c r="AA213" s="159"/>
      <c r="AB213" s="159"/>
      <c r="AC213" s="159"/>
      <c r="AD213" s="161"/>
      <c r="AE213" s="160"/>
    </row>
    <row r="214" spans="1:31" ht="21.25" customHeight="1" x14ac:dyDescent="0.15">
      <c r="A214" s="8" t="s">
        <v>409</v>
      </c>
      <c r="B214" s="157" t="s">
        <v>885</v>
      </c>
      <c r="C214" s="158">
        <v>31</v>
      </c>
      <c r="D214" s="157" t="s">
        <v>857</v>
      </c>
      <c r="E214" s="59">
        <v>77.36</v>
      </c>
      <c r="F214" s="159">
        <v>15.7061840258178</v>
      </c>
      <c r="G214" s="160">
        <v>0.18508189337588801</v>
      </c>
      <c r="H214" s="160">
        <v>0.35968353996055102</v>
      </c>
      <c r="I214" s="160">
        <v>0.54476543333643901</v>
      </c>
      <c r="J214" s="160">
        <v>2.2587478588471699</v>
      </c>
      <c r="K214" s="160">
        <v>4.5458541738072303E-2</v>
      </c>
      <c r="L214" s="160">
        <v>0.126666481014924</v>
      </c>
      <c r="M214" s="160">
        <v>2.9527120827619002E-4</v>
      </c>
      <c r="N214" s="160">
        <v>1.37552614830029E-3</v>
      </c>
      <c r="O214" s="160">
        <v>0.27270050409660601</v>
      </c>
      <c r="P214" s="160">
        <v>0.68427737518528398</v>
      </c>
      <c r="Q214" s="160">
        <v>-5.1921562560659801E-2</v>
      </c>
      <c r="R214" s="160">
        <v>0.30513478661347698</v>
      </c>
      <c r="S214" s="160">
        <v>2.12978790523204E-2</v>
      </c>
      <c r="T214" s="160">
        <v>3.7378223544004499</v>
      </c>
      <c r="U214" s="160">
        <v>4.1184952418907796</v>
      </c>
      <c r="V214" s="160">
        <v>0.475772817046625</v>
      </c>
      <c r="W214" s="160"/>
      <c r="X214" s="59"/>
      <c r="Y214" s="159"/>
      <c r="Z214" s="159"/>
      <c r="AA214" s="159"/>
      <c r="AB214" s="159"/>
      <c r="AC214" s="159"/>
      <c r="AD214" s="161"/>
      <c r="AE214" s="160"/>
    </row>
    <row r="215" spans="1:31" ht="21.25" customHeight="1" x14ac:dyDescent="0.15">
      <c r="A215" s="8" t="s">
        <v>435</v>
      </c>
      <c r="B215" s="157" t="s">
        <v>894</v>
      </c>
      <c r="C215" s="158">
        <v>25</v>
      </c>
      <c r="D215" s="157" t="s">
        <v>857</v>
      </c>
      <c r="E215" s="59">
        <v>80.599999999999994</v>
      </c>
      <c r="F215" s="159">
        <v>15.6219758546452</v>
      </c>
      <c r="G215" s="160">
        <v>0.24527669909195701</v>
      </c>
      <c r="H215" s="160">
        <v>0.29769102256397301</v>
      </c>
      <c r="I215" s="160">
        <v>0.54296772165592999</v>
      </c>
      <c r="J215" s="160">
        <v>1.9428086996042899</v>
      </c>
      <c r="K215" s="160">
        <v>2.7114205437568002E-2</v>
      </c>
      <c r="L215" s="160">
        <v>6.36313527044257E-2</v>
      </c>
      <c r="M215" s="160">
        <v>1.9638418485281299E-2</v>
      </c>
      <c r="N215" s="160">
        <v>2.5082448896628699E-2</v>
      </c>
      <c r="O215" s="160">
        <v>0.29014740699396702</v>
      </c>
      <c r="P215" s="160">
        <v>1.5427687896214799</v>
      </c>
      <c r="Q215" s="160">
        <v>8.6770789181640894E-3</v>
      </c>
      <c r="R215" s="160">
        <v>0.41022800731568898</v>
      </c>
      <c r="S215" s="160">
        <v>4.0985307198913801E-2</v>
      </c>
      <c r="T215" s="160">
        <v>0.66173686679807597</v>
      </c>
      <c r="U215" s="160">
        <v>0.74263168266913704</v>
      </c>
      <c r="V215" s="160">
        <v>0.47119886517618498</v>
      </c>
      <c r="W215" s="160"/>
      <c r="X215" s="59"/>
      <c r="Y215" s="159"/>
      <c r="Z215" s="159"/>
      <c r="AA215" s="159"/>
      <c r="AB215" s="159"/>
      <c r="AC215" s="159"/>
      <c r="AD215" s="161"/>
      <c r="AE215" s="160"/>
    </row>
    <row r="216" spans="1:31" ht="21.25" customHeight="1" x14ac:dyDescent="0.15">
      <c r="A216" s="8" t="s">
        <v>344</v>
      </c>
      <c r="B216" s="157" t="s">
        <v>898</v>
      </c>
      <c r="C216" s="158">
        <v>26</v>
      </c>
      <c r="D216" s="157" t="s">
        <v>859</v>
      </c>
      <c r="E216" s="59">
        <v>74.527500000000003</v>
      </c>
      <c r="F216" s="159">
        <v>12.7138915523403</v>
      </c>
      <c r="G216" s="160">
        <v>0.27405359383505001</v>
      </c>
      <c r="H216" s="160">
        <v>0.26816446621591999</v>
      </c>
      <c r="I216" s="160">
        <v>0.54221806005096995</v>
      </c>
      <c r="J216" s="160">
        <v>2.24431860416066</v>
      </c>
      <c r="K216" s="160">
        <v>5.6237123868225498E-2</v>
      </c>
      <c r="L216" s="160">
        <v>0.123389560896891</v>
      </c>
      <c r="M216" s="160">
        <v>1.75057706866701E-5</v>
      </c>
      <c r="N216" s="160">
        <v>3.2007421939175202E-5</v>
      </c>
      <c r="O216" s="160">
        <v>0.27897996993417001</v>
      </c>
      <c r="P216" s="160">
        <v>0.72926352344644296</v>
      </c>
      <c r="Q216" s="160">
        <v>8.2040492172686594E-3</v>
      </c>
      <c r="R216" s="160">
        <v>0.237374360420085</v>
      </c>
      <c r="S216" s="160">
        <v>3.53834311700734E-2</v>
      </c>
      <c r="T216" s="160">
        <v>2.4046506187453201E-2</v>
      </c>
      <c r="U216" s="160">
        <v>6.8806144822826307E-2</v>
      </c>
      <c r="V216" s="160">
        <v>0.25897490190981198</v>
      </c>
      <c r="W216" s="160"/>
      <c r="X216" s="59"/>
      <c r="Y216" s="159"/>
      <c r="Z216" s="159"/>
      <c r="AA216" s="159"/>
      <c r="AB216" s="159"/>
      <c r="AC216" s="159"/>
      <c r="AD216" s="161"/>
      <c r="AE216" s="160"/>
    </row>
    <row r="217" spans="1:31" ht="21.25" customHeight="1" x14ac:dyDescent="0.15">
      <c r="A217" s="8" t="s">
        <v>456</v>
      </c>
      <c r="B217" s="157" t="s">
        <v>874</v>
      </c>
      <c r="C217" s="158">
        <v>28</v>
      </c>
      <c r="D217" s="157" t="s">
        <v>857</v>
      </c>
      <c r="E217" s="59">
        <v>80.007142857142895</v>
      </c>
      <c r="F217" s="159">
        <v>14.800279072387299</v>
      </c>
      <c r="G217" s="160">
        <v>0.18534919134033701</v>
      </c>
      <c r="H217" s="160">
        <v>0.35668731713684398</v>
      </c>
      <c r="I217" s="160">
        <v>0.54203650847717999</v>
      </c>
      <c r="J217" s="160">
        <v>1.7516397627134599</v>
      </c>
      <c r="K217" s="160">
        <v>3.8159193432305602E-2</v>
      </c>
      <c r="L217" s="160">
        <v>0.101523026300498</v>
      </c>
      <c r="M217" s="160">
        <v>1.6347246676587599E-4</v>
      </c>
      <c r="N217" s="160">
        <v>3.0186653867337102E-4</v>
      </c>
      <c r="O217" s="160">
        <v>0.26036830375713699</v>
      </c>
      <c r="P217" s="160">
        <v>0.37056442675745399</v>
      </c>
      <c r="Q217" s="160">
        <v>4.50343020123165E-2</v>
      </c>
      <c r="R217" s="160">
        <v>0.59559129095878705</v>
      </c>
      <c r="S217" s="160">
        <v>2.9776298323756799E-2</v>
      </c>
      <c r="T217" s="160">
        <v>4.3703657413487802</v>
      </c>
      <c r="U217" s="160">
        <v>4.3323775984636104</v>
      </c>
      <c r="V217" s="160">
        <v>0.50218253839058902</v>
      </c>
      <c r="W217" s="160"/>
      <c r="X217" s="59"/>
      <c r="Y217" s="159"/>
      <c r="Z217" s="159"/>
      <c r="AA217" s="159"/>
      <c r="AB217" s="159"/>
      <c r="AC217" s="159"/>
      <c r="AD217" s="161"/>
      <c r="AE217" s="160"/>
    </row>
    <row r="218" spans="1:31" ht="21.25" customHeight="1" x14ac:dyDescent="0.15">
      <c r="A218" s="8" t="s">
        <v>381</v>
      </c>
      <c r="B218" s="157" t="s">
        <v>898</v>
      </c>
      <c r="C218" s="158">
        <v>28</v>
      </c>
      <c r="D218" s="157" t="s">
        <v>858</v>
      </c>
      <c r="E218" s="59">
        <v>79.208571428571403</v>
      </c>
      <c r="F218" s="159">
        <v>18.2927089835242</v>
      </c>
      <c r="G218" s="160">
        <v>0.21523555581057399</v>
      </c>
      <c r="H218" s="160">
        <v>0.32545810717443302</v>
      </c>
      <c r="I218" s="160">
        <v>0.54069366298500698</v>
      </c>
      <c r="J218" s="160">
        <v>1.6544730880631</v>
      </c>
      <c r="K218" s="160">
        <v>3.9730748277895502E-2</v>
      </c>
      <c r="L218" s="160">
        <v>9.3941172797574898E-2</v>
      </c>
      <c r="M218" s="160">
        <v>5.2128646498140604E-3</v>
      </c>
      <c r="N218" s="160">
        <v>6.4159231998133798E-3</v>
      </c>
      <c r="O218" s="160">
        <v>0.88582186194200896</v>
      </c>
      <c r="P218" s="160">
        <v>0.50989504930592</v>
      </c>
      <c r="Q218" s="160">
        <v>-9.6338860312595396E-3</v>
      </c>
      <c r="R218" s="160">
        <v>0.40233817654182102</v>
      </c>
      <c r="S218" s="160">
        <v>2.7789354512022201E-2</v>
      </c>
      <c r="T218" s="160">
        <v>8.2993554436072898</v>
      </c>
      <c r="U218" s="160">
        <v>8.5564799379429406</v>
      </c>
      <c r="V218" s="160">
        <v>0.49237283443640301</v>
      </c>
      <c r="W218" s="160"/>
      <c r="X218" s="59"/>
      <c r="Y218" s="159"/>
      <c r="Z218" s="159"/>
      <c r="AA218" s="159"/>
      <c r="AB218" s="159"/>
      <c r="AC218" s="159"/>
      <c r="AD218" s="161"/>
      <c r="AE218" s="160"/>
    </row>
    <row r="219" spans="1:31" ht="21.25" customHeight="1" x14ac:dyDescent="0.15">
      <c r="A219" s="8" t="s">
        <v>566</v>
      </c>
      <c r="B219" s="157" t="s">
        <v>897</v>
      </c>
      <c r="C219" s="158">
        <v>22</v>
      </c>
      <c r="D219" s="157" t="s">
        <v>857</v>
      </c>
      <c r="E219" s="59">
        <v>71.599999999999994</v>
      </c>
      <c r="F219" s="159">
        <v>14.120485748556</v>
      </c>
      <c r="G219" s="160">
        <v>0.169218395024579</v>
      </c>
      <c r="H219" s="160">
        <v>0.370863180468266</v>
      </c>
      <c r="I219" s="160">
        <v>0.54008157549284497</v>
      </c>
      <c r="J219" s="160">
        <v>1.2474544330208199</v>
      </c>
      <c r="K219" s="160">
        <v>3.0523878983115999E-2</v>
      </c>
      <c r="L219" s="160">
        <v>0.142379381325137</v>
      </c>
      <c r="M219" s="160">
        <v>2.25028895800502E-4</v>
      </c>
      <c r="N219" s="160">
        <v>4.0097547146106699E-4</v>
      </c>
      <c r="O219" s="160">
        <v>0.410032442548598</v>
      </c>
      <c r="P219" s="160">
        <v>1.5080024516141199</v>
      </c>
      <c r="Q219" s="160">
        <v>-2.4052157956979E-3</v>
      </c>
      <c r="R219" s="160">
        <v>0.34141637685751203</v>
      </c>
      <c r="S219" s="160">
        <v>2.47103114245746E-2</v>
      </c>
      <c r="T219" s="160">
        <v>3.3932950248467901</v>
      </c>
      <c r="U219" s="160">
        <v>3.4151872508135499</v>
      </c>
      <c r="V219" s="160">
        <v>0.49839228295819898</v>
      </c>
      <c r="W219" s="160"/>
      <c r="X219" s="59"/>
      <c r="Y219" s="159"/>
      <c r="Z219" s="159"/>
      <c r="AA219" s="159"/>
      <c r="AB219" s="159"/>
      <c r="AC219" s="159"/>
      <c r="AD219" s="161"/>
      <c r="AE219" s="160"/>
    </row>
    <row r="220" spans="1:31" ht="21.25" customHeight="1" x14ac:dyDescent="0.15">
      <c r="A220" s="8" t="s">
        <v>445</v>
      </c>
      <c r="B220" s="157" t="s">
        <v>872</v>
      </c>
      <c r="C220" s="158">
        <v>26</v>
      </c>
      <c r="D220" s="157" t="s">
        <v>857</v>
      </c>
      <c r="E220" s="59">
        <v>76.066428571428602</v>
      </c>
      <c r="F220" s="159">
        <v>17.318688559845501</v>
      </c>
      <c r="G220" s="160">
        <v>0.213810875676194</v>
      </c>
      <c r="H220" s="160">
        <v>0.32466392212200401</v>
      </c>
      <c r="I220" s="160">
        <v>0.53847479779819796</v>
      </c>
      <c r="J220" s="160">
        <v>1.90937364400167</v>
      </c>
      <c r="K220" s="160">
        <v>3.2141215863387099E-2</v>
      </c>
      <c r="L220" s="160">
        <v>8.29687633291087E-2</v>
      </c>
      <c r="M220" s="160">
        <v>2.69754975635948E-2</v>
      </c>
      <c r="N220" s="160">
        <v>2.8469914533701301E-2</v>
      </c>
      <c r="O220" s="160">
        <v>0.77576468389716302</v>
      </c>
      <c r="P220" s="160">
        <v>0.77644188016537696</v>
      </c>
      <c r="Q220" s="160">
        <v>7.7642709667046202E-3</v>
      </c>
      <c r="R220" s="160">
        <v>0.45006049986289098</v>
      </c>
      <c r="S220" s="160">
        <v>3.34614797102585E-2</v>
      </c>
      <c r="T220" s="160">
        <v>6.6233739374654501</v>
      </c>
      <c r="U220" s="160">
        <v>6.9588621392586498</v>
      </c>
      <c r="V220" s="160">
        <v>0.48764974338915701</v>
      </c>
      <c r="W220" s="160"/>
      <c r="X220" s="59"/>
      <c r="Y220" s="159"/>
      <c r="Z220" s="159"/>
      <c r="AA220" s="159"/>
      <c r="AB220" s="159"/>
      <c r="AC220" s="159"/>
      <c r="AD220" s="161"/>
      <c r="AE220" s="160"/>
    </row>
    <row r="221" spans="1:31" ht="21.25" customHeight="1" x14ac:dyDescent="0.15">
      <c r="A221" s="8" t="s">
        <v>474</v>
      </c>
      <c r="B221" s="157" t="s">
        <v>899</v>
      </c>
      <c r="C221" s="158">
        <v>24</v>
      </c>
      <c r="D221" s="157" t="s">
        <v>857</v>
      </c>
      <c r="E221" s="59">
        <v>75.44</v>
      </c>
      <c r="F221" s="159">
        <v>16.125493884150501</v>
      </c>
      <c r="G221" s="160">
        <v>0.213016896597223</v>
      </c>
      <c r="H221" s="160">
        <v>0.32507506829497101</v>
      </c>
      <c r="I221" s="160">
        <v>0.53809196489219402</v>
      </c>
      <c r="J221" s="160">
        <v>1.8937381535165401</v>
      </c>
      <c r="K221" s="160">
        <v>2.44660782230623E-2</v>
      </c>
      <c r="L221" s="160">
        <v>7.9072063972419504E-2</v>
      </c>
      <c r="M221" s="160">
        <v>9.6958021397178305E-4</v>
      </c>
      <c r="N221" s="160">
        <v>1.76385038620679E-3</v>
      </c>
      <c r="O221" s="160">
        <v>0.60645110278136205</v>
      </c>
      <c r="P221" s="160">
        <v>0.99672496076632799</v>
      </c>
      <c r="Q221" s="160">
        <v>-6.7294036815689795E-2</v>
      </c>
      <c r="R221" s="160">
        <v>0.31761246797311499</v>
      </c>
      <c r="S221" s="160">
        <v>2.5039207953161599E-2</v>
      </c>
      <c r="T221" s="160">
        <v>5.3278572632842902</v>
      </c>
      <c r="U221" s="160">
        <v>6.0825971148077196</v>
      </c>
      <c r="V221" s="160">
        <v>0.46692770390579202</v>
      </c>
      <c r="W221" s="160"/>
      <c r="X221" s="59"/>
      <c r="Y221" s="159"/>
      <c r="Z221" s="159"/>
      <c r="AA221" s="159"/>
      <c r="AB221" s="159"/>
      <c r="AC221" s="159"/>
      <c r="AD221" s="161"/>
      <c r="AE221" s="160"/>
    </row>
    <row r="222" spans="1:31" ht="21.25" customHeight="1" x14ac:dyDescent="0.15">
      <c r="A222" s="8" t="s">
        <v>326</v>
      </c>
      <c r="B222" s="157" t="s">
        <v>892</v>
      </c>
      <c r="C222" s="158">
        <v>28</v>
      </c>
      <c r="D222" s="157" t="s">
        <v>858</v>
      </c>
      <c r="E222" s="59">
        <v>77.81</v>
      </c>
      <c r="F222" s="159">
        <v>16.481895358064499</v>
      </c>
      <c r="G222" s="160">
        <v>0.19291820450571501</v>
      </c>
      <c r="H222" s="160">
        <v>0.34002876378970498</v>
      </c>
      <c r="I222" s="160">
        <v>0.53294696829541999</v>
      </c>
      <c r="J222" s="160">
        <v>2.49050549055052</v>
      </c>
      <c r="K222" s="160">
        <v>3.3667027313273701E-2</v>
      </c>
      <c r="L222" s="160">
        <v>9.7482682708320001E-2</v>
      </c>
      <c r="M222" s="160">
        <v>3.0101597390056099E-2</v>
      </c>
      <c r="N222" s="160">
        <v>4.1864488224363401E-2</v>
      </c>
      <c r="O222" s="160">
        <v>0.39635316588067898</v>
      </c>
      <c r="P222" s="160">
        <v>0.96828465604155201</v>
      </c>
      <c r="Q222" s="160">
        <v>4.0597215005369501E-3</v>
      </c>
      <c r="R222" s="160">
        <v>0.29597823923245098</v>
      </c>
      <c r="S222" s="160">
        <v>2.86413757071678E-2</v>
      </c>
      <c r="T222" s="160">
        <v>0.23826985521308799</v>
      </c>
      <c r="U222" s="160">
        <v>0.39101638795829502</v>
      </c>
      <c r="V222" s="160">
        <v>0.37863509300996501</v>
      </c>
      <c r="W222" s="160"/>
      <c r="X222" s="59"/>
      <c r="Y222" s="159"/>
      <c r="Z222" s="159"/>
      <c r="AA222" s="159"/>
      <c r="AB222" s="159"/>
      <c r="AC222" s="159"/>
      <c r="AD222" s="161"/>
      <c r="AE222" s="160"/>
    </row>
    <row r="223" spans="1:31" ht="21.25" customHeight="1" x14ac:dyDescent="0.15">
      <c r="A223" s="8" t="s">
        <v>303</v>
      </c>
      <c r="B223" s="157" t="s">
        <v>873</v>
      </c>
      <c r="C223" s="158">
        <v>27</v>
      </c>
      <c r="D223" s="157" t="s">
        <v>860</v>
      </c>
      <c r="E223" s="59">
        <v>62</v>
      </c>
      <c r="F223" s="159">
        <v>21.598563653759399</v>
      </c>
      <c r="G223" s="160">
        <v>0.17232489063748199</v>
      </c>
      <c r="H223" s="160">
        <v>0.35941245967954599</v>
      </c>
      <c r="I223" s="160">
        <v>0.53173735031702796</v>
      </c>
      <c r="J223" s="160">
        <v>2.48431177496344</v>
      </c>
      <c r="K223" s="160">
        <v>5.1753562455793302E-2</v>
      </c>
      <c r="L223" s="160">
        <v>0.15410923799093901</v>
      </c>
      <c r="M223" s="160">
        <v>6.5033647606916999E-3</v>
      </c>
      <c r="N223" s="160">
        <v>1.8625711303019401E-2</v>
      </c>
      <c r="O223" s="160">
        <v>1.19241970471482</v>
      </c>
      <c r="P223" s="160">
        <v>1.11175794195932</v>
      </c>
      <c r="Q223" s="160">
        <v>3.19484621699965E-2</v>
      </c>
      <c r="R223" s="160">
        <v>0.62114029696766704</v>
      </c>
      <c r="S223" s="160">
        <v>2.47203986320516E-2</v>
      </c>
      <c r="T223" s="160">
        <v>0</v>
      </c>
      <c r="U223" s="160">
        <v>0</v>
      </c>
      <c r="V223" s="160">
        <v>0</v>
      </c>
      <c r="W223" s="160"/>
      <c r="X223" s="59"/>
      <c r="Y223" s="159"/>
      <c r="Z223" s="159"/>
      <c r="AA223" s="159"/>
      <c r="AB223" s="159"/>
      <c r="AC223" s="159"/>
      <c r="AD223" s="161"/>
      <c r="AE223" s="160"/>
    </row>
    <row r="224" spans="1:31" ht="21.25" customHeight="1" x14ac:dyDescent="0.15">
      <c r="A224" s="8" t="s">
        <v>461</v>
      </c>
      <c r="B224" s="157" t="s">
        <v>903</v>
      </c>
      <c r="C224" s="158">
        <v>24</v>
      </c>
      <c r="D224" s="157" t="s">
        <v>858</v>
      </c>
      <c r="E224" s="59">
        <v>67.034999999999997</v>
      </c>
      <c r="F224" s="159">
        <v>15.5307984366531</v>
      </c>
      <c r="G224" s="160">
        <v>0.30823675512582799</v>
      </c>
      <c r="H224" s="160">
        <v>0.221932389849196</v>
      </c>
      <c r="I224" s="160">
        <v>0.53016914497502399</v>
      </c>
      <c r="J224" s="160">
        <v>1.6130276967441299</v>
      </c>
      <c r="K224" s="160">
        <v>5.4174427828243499E-2</v>
      </c>
      <c r="L224" s="160">
        <v>8.0909528066252706E-2</v>
      </c>
      <c r="M224" s="160">
        <v>1.6117064747593501E-2</v>
      </c>
      <c r="N224" s="160">
        <v>1.8681896354421301E-2</v>
      </c>
      <c r="O224" s="160">
        <v>1.17479959744421</v>
      </c>
      <c r="P224" s="160">
        <v>1.48347726698421</v>
      </c>
      <c r="Q224" s="160">
        <v>-6.9893364716349896E-2</v>
      </c>
      <c r="R224" s="160">
        <v>0.31652925643714003</v>
      </c>
      <c r="S224" s="160">
        <v>3.3403338910947801E-2</v>
      </c>
      <c r="T224" s="160">
        <v>0</v>
      </c>
      <c r="U224" s="160">
        <v>3.1393933877372798E-2</v>
      </c>
      <c r="V224" s="160">
        <v>0</v>
      </c>
      <c r="W224" s="160"/>
      <c r="X224" s="59"/>
      <c r="Y224" s="159"/>
      <c r="Z224" s="159"/>
      <c r="AA224" s="159"/>
      <c r="AB224" s="159"/>
      <c r="AC224" s="159"/>
      <c r="AD224" s="161"/>
      <c r="AE224" s="160"/>
    </row>
    <row r="225" spans="1:31" ht="21.25" customHeight="1" x14ac:dyDescent="0.15">
      <c r="A225" s="8" t="s">
        <v>402</v>
      </c>
      <c r="B225" s="157" t="s">
        <v>899</v>
      </c>
      <c r="C225" s="158">
        <v>29</v>
      </c>
      <c r="D225" s="157" t="s">
        <v>857</v>
      </c>
      <c r="E225" s="59">
        <v>78.818214285714305</v>
      </c>
      <c r="F225" s="159">
        <v>17.653290222509799</v>
      </c>
      <c r="G225" s="160">
        <v>0.214774830373373</v>
      </c>
      <c r="H225" s="160">
        <v>0.31033110370862799</v>
      </c>
      <c r="I225" s="160">
        <v>0.52510593408200101</v>
      </c>
      <c r="J225" s="160">
        <v>2.0590077901292001</v>
      </c>
      <c r="K225" s="160">
        <v>4.8672457270641699E-2</v>
      </c>
      <c r="L225" s="160">
        <v>9.3259698274453698E-2</v>
      </c>
      <c r="M225" s="160">
        <v>2.9508226556584801E-2</v>
      </c>
      <c r="N225" s="160">
        <v>5.6495062133792198E-2</v>
      </c>
      <c r="O225" s="160">
        <v>0.68278936964708503</v>
      </c>
      <c r="P225" s="160">
        <v>1.9326181238585201</v>
      </c>
      <c r="Q225" s="160">
        <v>-7.5899868884226201E-2</v>
      </c>
      <c r="R225" s="160">
        <v>0.52206220050764396</v>
      </c>
      <c r="S225" s="160">
        <v>2.52458454081807E-2</v>
      </c>
      <c r="T225" s="160">
        <v>6.2715782953176502</v>
      </c>
      <c r="U225" s="160">
        <v>6.5811929645302403</v>
      </c>
      <c r="V225" s="160">
        <v>0.48795533418618298</v>
      </c>
      <c r="W225" s="160"/>
      <c r="X225" s="59"/>
      <c r="Y225" s="159"/>
      <c r="Z225" s="159"/>
      <c r="AA225" s="159"/>
      <c r="AB225" s="159"/>
      <c r="AC225" s="159"/>
      <c r="AD225" s="161"/>
      <c r="AE225" s="160"/>
    </row>
    <row r="226" spans="1:31" ht="21.25" customHeight="1" x14ac:dyDescent="0.15">
      <c r="A226" s="8" t="s">
        <v>594</v>
      </c>
      <c r="B226" s="157" t="s">
        <v>881</v>
      </c>
      <c r="C226" s="158">
        <v>21</v>
      </c>
      <c r="D226" s="157" t="s">
        <v>859</v>
      </c>
      <c r="E226" s="59">
        <v>50</v>
      </c>
      <c r="F226" s="159">
        <v>14.0614844163012</v>
      </c>
      <c r="G226" s="160">
        <v>0.20933412377246199</v>
      </c>
      <c r="H226" s="160">
        <v>0.314998761483752</v>
      </c>
      <c r="I226" s="160">
        <v>0.52433288525621502</v>
      </c>
      <c r="J226" s="160">
        <v>1.71131077890352</v>
      </c>
      <c r="K226" s="160">
        <v>2.8888871055080999E-2</v>
      </c>
      <c r="L226" s="160">
        <v>8.7361178869911696E-2</v>
      </c>
      <c r="M226" s="160">
        <v>7.5071081869636095E-4</v>
      </c>
      <c r="N226" s="160">
        <v>4.8821262871571302E-3</v>
      </c>
      <c r="O226" s="160">
        <v>0.29745338333659399</v>
      </c>
      <c r="P226" s="160">
        <v>0.75003101079108003</v>
      </c>
      <c r="Q226" s="160">
        <v>-1.0496265392752301E-2</v>
      </c>
      <c r="R226" s="160">
        <v>0.25271195683158298</v>
      </c>
      <c r="S226" s="160">
        <v>2.69765374648578E-2</v>
      </c>
      <c r="T226" s="160">
        <v>0.14462791163088201</v>
      </c>
      <c r="U226" s="160">
        <v>0.29956505421398799</v>
      </c>
      <c r="V226" s="160">
        <v>0.32559703271256102</v>
      </c>
      <c r="W226" s="160"/>
      <c r="X226" s="59"/>
      <c r="Y226" s="159"/>
      <c r="Z226" s="159"/>
      <c r="AA226" s="159"/>
      <c r="AB226" s="159"/>
      <c r="AC226" s="159"/>
      <c r="AD226" s="161"/>
      <c r="AE226" s="160"/>
    </row>
    <row r="227" spans="1:31" ht="21.25" customHeight="1" x14ac:dyDescent="0.15">
      <c r="A227" s="8" t="s">
        <v>414</v>
      </c>
      <c r="B227" s="157" t="s">
        <v>897</v>
      </c>
      <c r="C227" s="158">
        <v>33</v>
      </c>
      <c r="D227" s="157" t="s">
        <v>858</v>
      </c>
      <c r="E227" s="59">
        <v>75.027500000000003</v>
      </c>
      <c r="F227" s="159">
        <v>16.642927150180199</v>
      </c>
      <c r="G227" s="160">
        <v>0.18817807126508401</v>
      </c>
      <c r="H227" s="160">
        <v>0.33609912291346</v>
      </c>
      <c r="I227" s="160">
        <v>0.52427719417854401</v>
      </c>
      <c r="J227" s="160">
        <v>1.7802258580349399</v>
      </c>
      <c r="K227" s="160">
        <v>2.4600213175375099E-2</v>
      </c>
      <c r="L227" s="160">
        <v>7.0507218452343007E-2</v>
      </c>
      <c r="M227" s="160">
        <v>2.1000829273334101E-2</v>
      </c>
      <c r="N227" s="160">
        <v>2.2909412147697199E-2</v>
      </c>
      <c r="O227" s="160">
        <v>0.54735194212687599</v>
      </c>
      <c r="P227" s="160">
        <v>0.69541702477747702</v>
      </c>
      <c r="Q227" s="160">
        <v>-2.3503165442562299E-2</v>
      </c>
      <c r="R227" s="160">
        <v>0.32355671543944498</v>
      </c>
      <c r="S227" s="160">
        <v>2.7478920028526501E-2</v>
      </c>
      <c r="T227" s="160">
        <v>0.240554305184735</v>
      </c>
      <c r="U227" s="160">
        <v>0.28900110821686498</v>
      </c>
      <c r="V227" s="160">
        <v>0.45425709774078998</v>
      </c>
      <c r="W227" s="160"/>
      <c r="X227" s="59"/>
      <c r="Y227" s="159"/>
      <c r="Z227" s="159"/>
      <c r="AA227" s="159"/>
      <c r="AB227" s="159"/>
      <c r="AC227" s="159"/>
      <c r="AD227" s="161"/>
      <c r="AE227" s="160"/>
    </row>
    <row r="228" spans="1:31" ht="21.25" customHeight="1" x14ac:dyDescent="0.15">
      <c r="A228" s="8" t="s">
        <v>483</v>
      </c>
      <c r="B228" s="157" t="s">
        <v>890</v>
      </c>
      <c r="C228" s="158">
        <v>29</v>
      </c>
      <c r="D228" s="157" t="s">
        <v>857</v>
      </c>
      <c r="E228" s="59">
        <v>73.109642857142902</v>
      </c>
      <c r="F228" s="159">
        <v>16.100251273948</v>
      </c>
      <c r="G228" s="160">
        <v>0.25860912337761</v>
      </c>
      <c r="H228" s="160">
        <v>0.26504448723691798</v>
      </c>
      <c r="I228" s="160">
        <v>0.52365361061452798</v>
      </c>
      <c r="J228" s="160">
        <v>2.1661751421140001</v>
      </c>
      <c r="K228" s="160">
        <v>2.9007919290819299E-2</v>
      </c>
      <c r="L228" s="160">
        <v>7.5683320129269302E-2</v>
      </c>
      <c r="M228" s="160">
        <v>1.35223338540698E-3</v>
      </c>
      <c r="N228" s="160">
        <v>2.47760534415517E-3</v>
      </c>
      <c r="O228" s="160">
        <v>0.514013601158121</v>
      </c>
      <c r="P228" s="160">
        <v>0.57092170395066599</v>
      </c>
      <c r="Q228" s="160">
        <v>-8.9966192704997797E-2</v>
      </c>
      <c r="R228" s="160">
        <v>0.35505243779776502</v>
      </c>
      <c r="S228" s="160">
        <v>3.03042184263317E-2</v>
      </c>
      <c r="T228" s="160">
        <v>1.1386722285149899</v>
      </c>
      <c r="U228" s="160">
        <v>0.74588806128896201</v>
      </c>
      <c r="V228" s="160">
        <v>0.60421109087119895</v>
      </c>
      <c r="W228" s="160"/>
      <c r="X228" s="59"/>
      <c r="Y228" s="159"/>
      <c r="Z228" s="159"/>
      <c r="AA228" s="159"/>
      <c r="AB228" s="159"/>
      <c r="AC228" s="159"/>
      <c r="AD228" s="161"/>
      <c r="AE228" s="160"/>
    </row>
    <row r="229" spans="1:31" ht="21.25" customHeight="1" x14ac:dyDescent="0.15">
      <c r="A229" s="8" t="s">
        <v>500</v>
      </c>
      <c r="B229" s="157" t="s">
        <v>898</v>
      </c>
      <c r="C229" s="158">
        <v>29</v>
      </c>
      <c r="D229" s="157" t="s">
        <v>857</v>
      </c>
      <c r="E229" s="59">
        <v>80.5085714285714</v>
      </c>
      <c r="F229" s="159">
        <v>16.858716608083899</v>
      </c>
      <c r="G229" s="160">
        <v>0.16172252601104301</v>
      </c>
      <c r="H229" s="160">
        <v>0.35843270954086598</v>
      </c>
      <c r="I229" s="160">
        <v>0.52015523555190901</v>
      </c>
      <c r="J229" s="160">
        <v>1.60406186525977</v>
      </c>
      <c r="K229" s="160">
        <v>1.31265567319198E-2</v>
      </c>
      <c r="L229" s="160">
        <v>3.8324153735235698E-2</v>
      </c>
      <c r="M229" s="160">
        <v>1.07856471885193E-2</v>
      </c>
      <c r="N229" s="160">
        <v>1.8079001500929299E-2</v>
      </c>
      <c r="O229" s="160">
        <v>0.549442568026973</v>
      </c>
      <c r="P229" s="160">
        <v>0.51981049510279898</v>
      </c>
      <c r="Q229" s="160">
        <v>-2.5816961154186299E-2</v>
      </c>
      <c r="R229" s="160">
        <v>0.289374237544473</v>
      </c>
      <c r="S229" s="160">
        <v>2.08802146605176E-2</v>
      </c>
      <c r="T229" s="160">
        <v>6.5581304951782098</v>
      </c>
      <c r="U229" s="160">
        <v>6.1536780251885403</v>
      </c>
      <c r="V229" s="160">
        <v>0.51590853375983703</v>
      </c>
      <c r="W229" s="160"/>
      <c r="X229" s="59"/>
      <c r="Y229" s="159"/>
      <c r="Z229" s="159"/>
      <c r="AA229" s="159"/>
      <c r="AB229" s="159"/>
      <c r="AC229" s="159"/>
      <c r="AD229" s="161"/>
      <c r="AE229" s="160"/>
    </row>
    <row r="230" spans="1:31" ht="21.25" customHeight="1" x14ac:dyDescent="0.15">
      <c r="A230" s="8" t="s">
        <v>542</v>
      </c>
      <c r="B230" s="157" t="s">
        <v>871</v>
      </c>
      <c r="C230" s="158">
        <v>31</v>
      </c>
      <c r="D230" s="157" t="s">
        <v>857</v>
      </c>
      <c r="E230" s="59">
        <v>75.653571428571396</v>
      </c>
      <c r="F230" s="159">
        <v>15.568644361031099</v>
      </c>
      <c r="G230" s="160">
        <v>0.20362176606249399</v>
      </c>
      <c r="H230" s="160">
        <v>0.31641732231522901</v>
      </c>
      <c r="I230" s="160">
        <v>0.52003908837772295</v>
      </c>
      <c r="J230" s="160">
        <v>1.4219158761578701</v>
      </c>
      <c r="K230" s="160">
        <v>4.7178876173452802E-2</v>
      </c>
      <c r="L230" s="160">
        <v>0.105662763009456</v>
      </c>
      <c r="M230" s="160">
        <v>1.7657253011973801E-4</v>
      </c>
      <c r="N230" s="160">
        <v>3.2819881711375598E-4</v>
      </c>
      <c r="O230" s="160">
        <v>0.40503502891152898</v>
      </c>
      <c r="P230" s="160">
        <v>0.944059065798591</v>
      </c>
      <c r="Q230" s="160">
        <v>4.6920781614768703E-2</v>
      </c>
      <c r="R230" s="160">
        <v>0.53240596859570199</v>
      </c>
      <c r="S230" s="160">
        <v>3.2216031307270701E-2</v>
      </c>
      <c r="T230" s="160">
        <v>8.4242820153582603</v>
      </c>
      <c r="U230" s="160">
        <v>6.9709480190936697</v>
      </c>
      <c r="V230" s="160">
        <v>0.54720078858881205</v>
      </c>
      <c r="W230" s="160"/>
      <c r="X230" s="59"/>
      <c r="Y230" s="159"/>
      <c r="Z230" s="159"/>
      <c r="AA230" s="159"/>
      <c r="AB230" s="159"/>
      <c r="AC230" s="159"/>
      <c r="AD230" s="161"/>
      <c r="AE230" s="160"/>
    </row>
    <row r="231" spans="1:31" ht="21.25" customHeight="1" x14ac:dyDescent="0.15">
      <c r="A231" s="8" t="s">
        <v>270</v>
      </c>
      <c r="B231" s="157" t="s">
        <v>892</v>
      </c>
      <c r="C231" s="158">
        <v>20</v>
      </c>
      <c r="D231" s="157" t="s">
        <v>860</v>
      </c>
      <c r="E231" s="59">
        <v>74</v>
      </c>
      <c r="F231" s="159">
        <v>18</v>
      </c>
      <c r="G231" s="160">
        <v>0.15190640547914799</v>
      </c>
      <c r="H231" s="160">
        <v>0.36810287685072601</v>
      </c>
      <c r="I231" s="160">
        <v>0.52000928232987298</v>
      </c>
      <c r="J231" s="160">
        <v>2.2905653038794398</v>
      </c>
      <c r="K231" s="160">
        <v>3.5825276607396803E-2</v>
      </c>
      <c r="L231" s="160">
        <v>0.122637859273412</v>
      </c>
      <c r="M231" s="160">
        <v>0</v>
      </c>
      <c r="N231" s="160">
        <v>0</v>
      </c>
      <c r="O231" s="160">
        <v>1.19756097560976</v>
      </c>
      <c r="P231" s="160">
        <v>1.40234970807399</v>
      </c>
      <c r="Q231" s="160">
        <v>5.9756097560975602E-3</v>
      </c>
      <c r="R231" s="160">
        <v>0.53129508764866595</v>
      </c>
      <c r="S231" s="160">
        <v>2.25526069082027E-2</v>
      </c>
      <c r="T231" s="160">
        <v>0</v>
      </c>
      <c r="U231" s="160">
        <v>0</v>
      </c>
      <c r="V231" s="160">
        <v>0</v>
      </c>
      <c r="W231" s="160"/>
      <c r="X231" s="59"/>
      <c r="Y231" s="159"/>
      <c r="Z231" s="159"/>
      <c r="AA231" s="159"/>
      <c r="AB231" s="159"/>
      <c r="AC231" s="159"/>
      <c r="AD231" s="161"/>
      <c r="AE231" s="160"/>
    </row>
    <row r="232" spans="1:31" ht="21.25" customHeight="1" x14ac:dyDescent="0.15">
      <c r="A232" s="8" t="s">
        <v>386</v>
      </c>
      <c r="B232" s="157" t="s">
        <v>880</v>
      </c>
      <c r="C232" s="158">
        <v>21</v>
      </c>
      <c r="D232" s="157" t="s">
        <v>858</v>
      </c>
      <c r="E232" s="59">
        <v>81.44</v>
      </c>
      <c r="F232" s="159">
        <v>15.339075122421701</v>
      </c>
      <c r="G232" s="160">
        <v>0.24676751856999099</v>
      </c>
      <c r="H232" s="160">
        <v>0.27152461457207</v>
      </c>
      <c r="I232" s="160">
        <v>0.51829213314206102</v>
      </c>
      <c r="J232" s="160">
        <v>1.6528167143930701</v>
      </c>
      <c r="K232" s="160">
        <v>2.8761688417715599E-2</v>
      </c>
      <c r="L232" s="160">
        <v>5.6842497237101802E-2</v>
      </c>
      <c r="M232" s="160">
        <v>2.2826218624978799E-4</v>
      </c>
      <c r="N232" s="160">
        <v>4.1838856576569997E-4</v>
      </c>
      <c r="O232" s="160">
        <v>0.35329910857320401</v>
      </c>
      <c r="P232" s="160">
        <v>1.5555473235249799</v>
      </c>
      <c r="Q232" s="160">
        <v>5.1042418448224401E-2</v>
      </c>
      <c r="R232" s="160">
        <v>0.395647473592668</v>
      </c>
      <c r="S232" s="160">
        <v>4.2048724357209299E-2</v>
      </c>
      <c r="T232" s="160">
        <v>0.306003641012627</v>
      </c>
      <c r="U232" s="160">
        <v>0.56738723685250103</v>
      </c>
      <c r="V232" s="160">
        <v>0.35036276284520701</v>
      </c>
      <c r="W232" s="160"/>
      <c r="X232" s="59"/>
      <c r="Y232" s="159"/>
      <c r="Z232" s="159"/>
      <c r="AA232" s="159"/>
      <c r="AB232" s="159"/>
      <c r="AC232" s="159"/>
      <c r="AD232" s="161"/>
      <c r="AE232" s="160"/>
    </row>
    <row r="233" spans="1:31" ht="21.25" customHeight="1" x14ac:dyDescent="0.15">
      <c r="A233" s="8" t="s">
        <v>520</v>
      </c>
      <c r="B233" s="157" t="s">
        <v>901</v>
      </c>
      <c r="C233" s="158">
        <v>31</v>
      </c>
      <c r="D233" s="157" t="s">
        <v>857</v>
      </c>
      <c r="E233" s="59">
        <v>69.8</v>
      </c>
      <c r="F233" s="159">
        <v>16.214526950950599</v>
      </c>
      <c r="G233" s="160">
        <v>0.232242336886646</v>
      </c>
      <c r="H233" s="160">
        <v>0.283040404056287</v>
      </c>
      <c r="I233" s="160">
        <v>0.51528274094293303</v>
      </c>
      <c r="J233" s="160">
        <v>2.1463905813393498</v>
      </c>
      <c r="K233" s="160">
        <v>4.9105727086825E-2</v>
      </c>
      <c r="L233" s="160">
        <v>9.3990575998239095E-2</v>
      </c>
      <c r="M233" s="160">
        <v>8.07153513177566E-4</v>
      </c>
      <c r="N233" s="160">
        <v>1.4873968377278699E-3</v>
      </c>
      <c r="O233" s="160">
        <v>0.353053535051991</v>
      </c>
      <c r="P233" s="160">
        <v>0.80287211794318702</v>
      </c>
      <c r="Q233" s="160">
        <v>-1.86586657502298E-2</v>
      </c>
      <c r="R233" s="160">
        <v>0.34730626663220598</v>
      </c>
      <c r="S233" s="160">
        <v>3.26442095801249E-2</v>
      </c>
      <c r="T233" s="160">
        <v>0.85974443222963803</v>
      </c>
      <c r="U233" s="160">
        <v>0.91640049979100002</v>
      </c>
      <c r="V233" s="160">
        <v>0.48405083207458</v>
      </c>
      <c r="W233" s="160"/>
      <c r="X233" s="59"/>
      <c r="Y233" s="159"/>
      <c r="Z233" s="159"/>
      <c r="AA233" s="159"/>
      <c r="AB233" s="159"/>
      <c r="AC233" s="159"/>
      <c r="AD233" s="161"/>
      <c r="AE233" s="160"/>
    </row>
    <row r="234" spans="1:31" ht="21.25" customHeight="1" x14ac:dyDescent="0.15">
      <c r="A234" s="8" t="s">
        <v>264</v>
      </c>
      <c r="B234" s="157" t="s">
        <v>873</v>
      </c>
      <c r="C234" s="158">
        <v>27</v>
      </c>
      <c r="D234" s="157" t="s">
        <v>860</v>
      </c>
      <c r="E234" s="59">
        <v>78.613928571428602</v>
      </c>
      <c r="F234" s="159">
        <v>22.885238833841498</v>
      </c>
      <c r="G234" s="160">
        <v>0.143744829246748</v>
      </c>
      <c r="H234" s="160">
        <v>0.37062721845243501</v>
      </c>
      <c r="I234" s="160">
        <v>0.51437204769918299</v>
      </c>
      <c r="J234" s="160">
        <v>2.3908456679866998</v>
      </c>
      <c r="K234" s="160">
        <v>1.1268415718679699E-2</v>
      </c>
      <c r="L234" s="160">
        <v>5.70128223365029E-2</v>
      </c>
      <c r="M234" s="160">
        <v>3.0643946931198899E-4</v>
      </c>
      <c r="N234" s="160">
        <v>1.3815129744234E-2</v>
      </c>
      <c r="O234" s="160">
        <v>1.32681821705704</v>
      </c>
      <c r="P234" s="160">
        <v>0.86384097174743901</v>
      </c>
      <c r="Q234" s="160">
        <v>5.8044197315334098E-2</v>
      </c>
      <c r="R234" s="160">
        <v>0.42609467616214097</v>
      </c>
      <c r="S234" s="160">
        <v>2.06205236349234E-2</v>
      </c>
      <c r="T234" s="160">
        <v>0</v>
      </c>
      <c r="U234" s="160">
        <v>0</v>
      </c>
      <c r="V234" s="160">
        <v>0</v>
      </c>
      <c r="W234" s="160"/>
      <c r="X234" s="59"/>
      <c r="Y234" s="159"/>
      <c r="Z234" s="159"/>
      <c r="AA234" s="159"/>
      <c r="AB234" s="159"/>
      <c r="AC234" s="159"/>
      <c r="AD234" s="161"/>
      <c r="AE234" s="160"/>
    </row>
    <row r="235" spans="1:31" ht="21.25" customHeight="1" x14ac:dyDescent="0.15">
      <c r="A235" s="8" t="s">
        <v>257</v>
      </c>
      <c r="B235" s="157" t="s">
        <v>894</v>
      </c>
      <c r="C235" s="158">
        <v>26</v>
      </c>
      <c r="D235" s="157" t="s">
        <v>860</v>
      </c>
      <c r="E235" s="59">
        <v>79.8</v>
      </c>
      <c r="F235" s="159">
        <v>22.383958177130399</v>
      </c>
      <c r="G235" s="160">
        <v>0.10408891996491</v>
      </c>
      <c r="H235" s="160">
        <v>0.409398934676444</v>
      </c>
      <c r="I235" s="160">
        <v>0.51348785464135405</v>
      </c>
      <c r="J235" s="160">
        <v>2.19707584264374</v>
      </c>
      <c r="K235" s="160">
        <v>1.39019342401423E-2</v>
      </c>
      <c r="L235" s="160">
        <v>0.13429028596593701</v>
      </c>
      <c r="M235" s="160">
        <v>3.1179557736114898E-4</v>
      </c>
      <c r="N235" s="160">
        <v>7.8331929253565597E-3</v>
      </c>
      <c r="O235" s="160">
        <v>1.48465645111809</v>
      </c>
      <c r="P235" s="160">
        <v>1.03110515461698</v>
      </c>
      <c r="Q235" s="160">
        <v>4.1489929190875997E-2</v>
      </c>
      <c r="R235" s="160">
        <v>0.38132318295444301</v>
      </c>
      <c r="S235" s="160">
        <v>1.7393076376837398E-2</v>
      </c>
      <c r="T235" s="160">
        <v>0</v>
      </c>
      <c r="U235" s="160">
        <v>0</v>
      </c>
      <c r="V235" s="160">
        <v>0</v>
      </c>
      <c r="W235" s="160"/>
      <c r="X235" s="59"/>
      <c r="Y235" s="159"/>
      <c r="Z235" s="159"/>
      <c r="AA235" s="159"/>
      <c r="AB235" s="159"/>
      <c r="AC235" s="159"/>
      <c r="AD235" s="161"/>
      <c r="AE235" s="160"/>
    </row>
    <row r="236" spans="1:31" ht="21.25" customHeight="1" x14ac:dyDescent="0.15">
      <c r="A236" s="8" t="s">
        <v>411</v>
      </c>
      <c r="B236" s="157" t="s">
        <v>896</v>
      </c>
      <c r="C236" s="158">
        <v>30</v>
      </c>
      <c r="D236" s="157" t="s">
        <v>858</v>
      </c>
      <c r="E236" s="59">
        <v>80.930000000000007</v>
      </c>
      <c r="F236" s="159">
        <v>15.152437596701301</v>
      </c>
      <c r="G236" s="160">
        <v>0.18285903847743501</v>
      </c>
      <c r="H236" s="160">
        <v>0.327918976092057</v>
      </c>
      <c r="I236" s="160">
        <v>0.51077801456949301</v>
      </c>
      <c r="J236" s="160">
        <v>1.58319494911854</v>
      </c>
      <c r="K236" s="160">
        <v>2.7895471561449801E-2</v>
      </c>
      <c r="L236" s="160">
        <v>9.1455397681315706E-2</v>
      </c>
      <c r="M236" s="160">
        <v>1.5391803158872901E-3</v>
      </c>
      <c r="N236" s="160">
        <v>3.32801162593366E-3</v>
      </c>
      <c r="O236" s="160">
        <v>0.27224157603444099</v>
      </c>
      <c r="P236" s="160">
        <v>0.44327589612044999</v>
      </c>
      <c r="Q236" s="160">
        <v>-0.116317903474774</v>
      </c>
      <c r="R236" s="160">
        <v>0.61224672095596699</v>
      </c>
      <c r="S236" s="160">
        <v>1.9823644903845701E-2</v>
      </c>
      <c r="T236" s="160">
        <v>4.3698848038925497</v>
      </c>
      <c r="U236" s="160">
        <v>5.5869001740969599</v>
      </c>
      <c r="V236" s="160">
        <v>0.43888512341610503</v>
      </c>
      <c r="W236" s="160"/>
      <c r="X236" s="59"/>
      <c r="Y236" s="159"/>
      <c r="Z236" s="159"/>
      <c r="AA236" s="159"/>
      <c r="AB236" s="159"/>
      <c r="AC236" s="159"/>
      <c r="AD236" s="161"/>
      <c r="AE236" s="160"/>
    </row>
    <row r="237" spans="1:31" ht="21.25" customHeight="1" x14ac:dyDescent="0.15">
      <c r="A237" s="8" t="s">
        <v>392</v>
      </c>
      <c r="B237" s="157" t="s">
        <v>887</v>
      </c>
      <c r="C237" s="158">
        <v>26</v>
      </c>
      <c r="D237" s="157" t="s">
        <v>858</v>
      </c>
      <c r="E237" s="59">
        <v>78.072857142857103</v>
      </c>
      <c r="F237" s="159">
        <v>16.7469938562724</v>
      </c>
      <c r="G237" s="160">
        <v>0.25939356687905701</v>
      </c>
      <c r="H237" s="160">
        <v>0.25070950484371302</v>
      </c>
      <c r="I237" s="160">
        <v>0.51010307172277103</v>
      </c>
      <c r="J237" s="160">
        <v>1.8579164886780899</v>
      </c>
      <c r="K237" s="160">
        <v>4.6490448097543997E-2</v>
      </c>
      <c r="L237" s="160">
        <v>7.8603289721836306E-2</v>
      </c>
      <c r="M237" s="160">
        <v>5.4765546261857602E-3</v>
      </c>
      <c r="N237" s="160">
        <v>6.7005830912273004E-3</v>
      </c>
      <c r="O237" s="160">
        <v>0.66461884156819295</v>
      </c>
      <c r="P237" s="160">
        <v>2.3525659422863399</v>
      </c>
      <c r="Q237" s="160">
        <v>-3.4435368396661697E-2</v>
      </c>
      <c r="R237" s="160">
        <v>0.53810565837326096</v>
      </c>
      <c r="S237" s="160">
        <v>3.1970256024031203E-2</v>
      </c>
      <c r="T237" s="160">
        <v>0.37440672498991601</v>
      </c>
      <c r="U237" s="160">
        <v>0.58924689210144798</v>
      </c>
      <c r="V237" s="160">
        <v>0.38852832423335198</v>
      </c>
      <c r="W237" s="160"/>
      <c r="X237" s="59"/>
      <c r="Y237" s="159"/>
      <c r="Z237" s="159"/>
      <c r="AA237" s="159"/>
      <c r="AB237" s="159"/>
      <c r="AC237" s="159"/>
      <c r="AD237" s="161"/>
      <c r="AE237" s="160"/>
    </row>
    <row r="238" spans="1:31" ht="21.25" customHeight="1" x14ac:dyDescent="0.15">
      <c r="A238" s="8" t="s">
        <v>314</v>
      </c>
      <c r="B238" s="157" t="s">
        <v>884</v>
      </c>
      <c r="C238" s="158">
        <v>23</v>
      </c>
      <c r="D238" s="157" t="s">
        <v>859</v>
      </c>
      <c r="E238" s="59">
        <v>78.34</v>
      </c>
      <c r="F238" s="159">
        <v>16.1156868027497</v>
      </c>
      <c r="G238" s="160">
        <v>0.33812222979001599</v>
      </c>
      <c r="H238" s="160">
        <v>0.17103848456998999</v>
      </c>
      <c r="I238" s="160">
        <v>0.50916071436000598</v>
      </c>
      <c r="J238" s="160">
        <v>2.2032538424352901</v>
      </c>
      <c r="K238" s="160">
        <v>0.11278857101966</v>
      </c>
      <c r="L238" s="160">
        <v>0.16806723634697701</v>
      </c>
      <c r="M238" s="160">
        <v>4.2174055806832998E-4</v>
      </c>
      <c r="N238" s="160">
        <v>7.8312113142022205E-4</v>
      </c>
      <c r="O238" s="160">
        <v>0.62315306371620505</v>
      </c>
      <c r="P238" s="160">
        <v>0.69845557575634498</v>
      </c>
      <c r="Q238" s="160">
        <v>-7.3988897529869604E-2</v>
      </c>
      <c r="R238" s="160">
        <v>0.32037533112556998</v>
      </c>
      <c r="S238" s="160">
        <v>3.6232124956871198E-2</v>
      </c>
      <c r="T238" s="160">
        <v>0.15184855180203299</v>
      </c>
      <c r="U238" s="160">
        <v>0.118104429179359</v>
      </c>
      <c r="V238" s="160">
        <v>0.5625</v>
      </c>
      <c r="W238" s="160"/>
      <c r="X238" s="59"/>
      <c r="Y238" s="159"/>
      <c r="Z238" s="159"/>
      <c r="AA238" s="159"/>
      <c r="AB238" s="159"/>
      <c r="AC238" s="159"/>
      <c r="AD238" s="161"/>
      <c r="AE238" s="160"/>
    </row>
    <row r="239" spans="1:31" ht="21.25" customHeight="1" x14ac:dyDescent="0.15">
      <c r="A239" s="8" t="s">
        <v>408</v>
      </c>
      <c r="B239" s="157" t="s">
        <v>880</v>
      </c>
      <c r="C239" s="158">
        <v>22</v>
      </c>
      <c r="D239" s="157" t="s">
        <v>859</v>
      </c>
      <c r="E239" s="59">
        <v>75.496071428571398</v>
      </c>
      <c r="F239" s="159">
        <v>15.4288605306783</v>
      </c>
      <c r="G239" s="160">
        <v>0.223325417382363</v>
      </c>
      <c r="H239" s="160">
        <v>0.28446235097820199</v>
      </c>
      <c r="I239" s="160">
        <v>0.50778776836056605</v>
      </c>
      <c r="J239" s="160">
        <v>1.6009340836775601</v>
      </c>
      <c r="K239" s="160">
        <v>1.29152166631745E-2</v>
      </c>
      <c r="L239" s="160">
        <v>4.4197784943257198E-2</v>
      </c>
      <c r="M239" s="160">
        <v>1.3769725978991501E-3</v>
      </c>
      <c r="N239" s="160">
        <v>2.5104951586064099E-3</v>
      </c>
      <c r="O239" s="160">
        <v>0.35178003011126102</v>
      </c>
      <c r="P239" s="160">
        <v>0.38782682723871598</v>
      </c>
      <c r="Q239" s="160">
        <v>7.0540829227125901E-2</v>
      </c>
      <c r="R239" s="160">
        <v>0.20115276264263199</v>
      </c>
      <c r="S239" s="160">
        <v>3.8054234089995198E-2</v>
      </c>
      <c r="T239" s="160">
        <v>1.7726118117978001E-2</v>
      </c>
      <c r="U239" s="160">
        <v>5.1514571998446203E-2</v>
      </c>
      <c r="V239" s="160">
        <v>0.25600724210247799</v>
      </c>
      <c r="W239" s="160"/>
      <c r="X239" s="59"/>
      <c r="Y239" s="159"/>
      <c r="Z239" s="159"/>
      <c r="AA239" s="159"/>
      <c r="AB239" s="159"/>
      <c r="AC239" s="159"/>
      <c r="AD239" s="161"/>
      <c r="AE239" s="160"/>
    </row>
    <row r="240" spans="1:31" ht="21.25" customHeight="1" x14ac:dyDescent="0.15">
      <c r="A240" s="8" t="s">
        <v>267</v>
      </c>
      <c r="B240" s="157" t="s">
        <v>879</v>
      </c>
      <c r="C240" s="158">
        <v>29</v>
      </c>
      <c r="D240" s="157" t="s">
        <v>860</v>
      </c>
      <c r="E240" s="59">
        <v>76.862499999999997</v>
      </c>
      <c r="F240" s="159">
        <v>21.557298463204202</v>
      </c>
      <c r="G240" s="160">
        <v>9.3512378554445996E-2</v>
      </c>
      <c r="H240" s="160">
        <v>0.41174478336916498</v>
      </c>
      <c r="I240" s="160">
        <v>0.50525716192361103</v>
      </c>
      <c r="J240" s="160">
        <v>1.84276338787229</v>
      </c>
      <c r="K240" s="160">
        <v>1.5359031288270099E-2</v>
      </c>
      <c r="L240" s="160">
        <v>0.167389345853591</v>
      </c>
      <c r="M240" s="160">
        <v>3.8246608736516998E-4</v>
      </c>
      <c r="N240" s="160">
        <v>4.84151371908767E-3</v>
      </c>
      <c r="O240" s="160">
        <v>1.2669854786282599</v>
      </c>
      <c r="P240" s="160">
        <v>1.0436277815398101</v>
      </c>
      <c r="Q240" s="160">
        <v>7.9447900731708404E-2</v>
      </c>
      <c r="R240" s="160">
        <v>0.65424257532213403</v>
      </c>
      <c r="S240" s="160">
        <v>1.5698888093621501E-2</v>
      </c>
      <c r="T240" s="160">
        <v>0</v>
      </c>
      <c r="U240" s="160">
        <v>0</v>
      </c>
      <c r="V240" s="160">
        <v>0</v>
      </c>
      <c r="W240" s="160"/>
      <c r="X240" s="59"/>
      <c r="Y240" s="159"/>
      <c r="Z240" s="159"/>
      <c r="AA240" s="159"/>
      <c r="AB240" s="159"/>
      <c r="AC240" s="159"/>
      <c r="AD240" s="161"/>
      <c r="AE240" s="160"/>
    </row>
    <row r="241" spans="1:31" ht="21.25" customHeight="1" x14ac:dyDescent="0.15">
      <c r="A241" s="8" t="s">
        <v>278</v>
      </c>
      <c r="B241" s="157" t="s">
        <v>882</v>
      </c>
      <c r="C241" s="158">
        <v>25</v>
      </c>
      <c r="D241" s="157" t="s">
        <v>860</v>
      </c>
      <c r="E241" s="59">
        <v>78.284999999999997</v>
      </c>
      <c r="F241" s="159">
        <v>22.059552401887299</v>
      </c>
      <c r="G241" s="160">
        <v>8.9778448977695505E-2</v>
      </c>
      <c r="H241" s="160">
        <v>0.41342874556643899</v>
      </c>
      <c r="I241" s="160">
        <v>0.50320719454413398</v>
      </c>
      <c r="J241" s="160">
        <v>1.8373973661442899</v>
      </c>
      <c r="K241" s="160">
        <v>2.5504512492380602E-2</v>
      </c>
      <c r="L241" s="160">
        <v>0.126863214661079</v>
      </c>
      <c r="M241" s="160">
        <v>4.6609810419575703E-4</v>
      </c>
      <c r="N241" s="160">
        <v>1.7760576635603401E-3</v>
      </c>
      <c r="O241" s="160">
        <v>1.10889556072072</v>
      </c>
      <c r="P241" s="160">
        <v>1.3380538390533701</v>
      </c>
      <c r="Q241" s="160">
        <v>7.1095000896801196E-3</v>
      </c>
      <c r="R241" s="160">
        <v>0.403006762337215</v>
      </c>
      <c r="S241" s="160">
        <v>1.27090057209163E-2</v>
      </c>
      <c r="T241" s="160">
        <v>0</v>
      </c>
      <c r="U241" s="160">
        <v>0</v>
      </c>
      <c r="V241" s="160">
        <v>0</v>
      </c>
      <c r="W241" s="160"/>
      <c r="X241" s="59"/>
      <c r="Y241" s="159"/>
      <c r="Z241" s="159"/>
      <c r="AA241" s="159"/>
      <c r="AB241" s="159"/>
      <c r="AC241" s="159"/>
      <c r="AD241" s="161"/>
      <c r="AE241" s="160"/>
    </row>
    <row r="242" spans="1:31" ht="21.25" customHeight="1" x14ac:dyDescent="0.15">
      <c r="A242" s="8" t="s">
        <v>367</v>
      </c>
      <c r="B242" s="157" t="s">
        <v>871</v>
      </c>
      <c r="C242" s="158">
        <v>22</v>
      </c>
      <c r="D242" s="157" t="s">
        <v>860</v>
      </c>
      <c r="E242" s="59">
        <v>64.004999999999995</v>
      </c>
      <c r="F242" s="159">
        <v>20.4503001873904</v>
      </c>
      <c r="G242" s="160">
        <v>0.163613319999277</v>
      </c>
      <c r="H242" s="160">
        <v>0.33719810586965498</v>
      </c>
      <c r="I242" s="160">
        <v>0.50081142586893201</v>
      </c>
      <c r="J242" s="160">
        <v>1.5347505264727099</v>
      </c>
      <c r="K242" s="160">
        <v>3.4188928355079397E-2</v>
      </c>
      <c r="L242" s="160">
        <v>0.103307338402111</v>
      </c>
      <c r="M242" s="160">
        <v>9.5844657003586308E-3</v>
      </c>
      <c r="N242" s="160">
        <v>1.1334895823927899E-2</v>
      </c>
      <c r="O242" s="160">
        <v>1.2788508223094801</v>
      </c>
      <c r="P242" s="160">
        <v>1.73187404681357</v>
      </c>
      <c r="Q242" s="160">
        <v>3.9547391807559097E-2</v>
      </c>
      <c r="R242" s="160">
        <v>0.72992624758321201</v>
      </c>
      <c r="S242" s="160">
        <v>2.5886092343219799E-2</v>
      </c>
      <c r="T242" s="160">
        <v>0</v>
      </c>
      <c r="U242" s="160">
        <v>0</v>
      </c>
      <c r="V242" s="160">
        <v>0</v>
      </c>
      <c r="W242" s="160"/>
      <c r="X242" s="59"/>
      <c r="Y242" s="159"/>
      <c r="Z242" s="159"/>
      <c r="AA242" s="159"/>
      <c r="AB242" s="159"/>
      <c r="AC242" s="159"/>
      <c r="AD242" s="161"/>
      <c r="AE242" s="160"/>
    </row>
    <row r="243" spans="1:31" ht="21.25" customHeight="1" x14ac:dyDescent="0.15">
      <c r="A243" s="8" t="s">
        <v>452</v>
      </c>
      <c r="B243" s="157" t="s">
        <v>870</v>
      </c>
      <c r="C243" s="162">
        <v>29</v>
      </c>
      <c r="D243" s="157" t="s">
        <v>859</v>
      </c>
      <c r="E243" s="59">
        <v>67.662499999999994</v>
      </c>
      <c r="F243" s="159">
        <v>16.850728471946599</v>
      </c>
      <c r="G243" s="160">
        <v>0.19834262175944301</v>
      </c>
      <c r="H243" s="160">
        <v>0.29951304274051999</v>
      </c>
      <c r="I243" s="160">
        <v>0.49785566449996199</v>
      </c>
      <c r="J243" s="160">
        <v>1.73194225640418</v>
      </c>
      <c r="K243" s="160">
        <v>8.3979439092002096E-3</v>
      </c>
      <c r="L243" s="160">
        <v>5.3672995445774398E-2</v>
      </c>
      <c r="M243" s="160">
        <v>2.35728213559049E-2</v>
      </c>
      <c r="N243" s="160">
        <v>4.1770173924925998E-2</v>
      </c>
      <c r="O243" s="160">
        <v>0.48699560307408502</v>
      </c>
      <c r="P243" s="160">
        <v>0.53083328438464095</v>
      </c>
      <c r="Q243" s="160">
        <v>5.3157332498526298E-2</v>
      </c>
      <c r="R243" s="160">
        <v>0.22196238252762401</v>
      </c>
      <c r="S243" s="160">
        <v>3.1395507692919503E-2</v>
      </c>
      <c r="T243" s="160">
        <v>0.46198252019138197</v>
      </c>
      <c r="U243" s="160">
        <v>0.718382816235837</v>
      </c>
      <c r="V243" s="160">
        <v>0.39138943336791898</v>
      </c>
      <c r="W243" s="160"/>
      <c r="X243" s="59"/>
      <c r="Y243" s="159"/>
      <c r="Z243" s="159"/>
      <c r="AA243" s="159"/>
      <c r="AB243" s="159"/>
      <c r="AC243" s="159"/>
      <c r="AD243" s="161"/>
      <c r="AE243" s="160"/>
    </row>
    <row r="244" spans="1:31" ht="21.25" customHeight="1" x14ac:dyDescent="0.15">
      <c r="A244" s="8" t="s">
        <v>466</v>
      </c>
      <c r="B244" s="157" t="s">
        <v>871</v>
      </c>
      <c r="C244" s="158">
        <v>26</v>
      </c>
      <c r="D244" s="157" t="s">
        <v>857</v>
      </c>
      <c r="E244" s="59">
        <v>77.632857142857105</v>
      </c>
      <c r="F244" s="159">
        <v>14.3058122803461</v>
      </c>
      <c r="G244" s="160">
        <v>0.25962856856627198</v>
      </c>
      <c r="H244" s="160">
        <v>0.235755650969415</v>
      </c>
      <c r="I244" s="160">
        <v>0.49538421953568701</v>
      </c>
      <c r="J244" s="160">
        <v>2.1280978434252802</v>
      </c>
      <c r="K244" s="160">
        <v>3.0334487649522901E-2</v>
      </c>
      <c r="L244" s="160">
        <v>8.3547858775333397E-2</v>
      </c>
      <c r="M244" s="160">
        <v>1.7170057010547399E-5</v>
      </c>
      <c r="N244" s="160">
        <v>3.1452571296964098E-5</v>
      </c>
      <c r="O244" s="160">
        <v>0.43391068953148798</v>
      </c>
      <c r="P244" s="160">
        <v>2.3394737412650599</v>
      </c>
      <c r="Q244" s="160">
        <v>4.3856117168691103E-2</v>
      </c>
      <c r="R244" s="160">
        <v>0.39153932788463203</v>
      </c>
      <c r="S244" s="160">
        <v>4.1077151303293501E-2</v>
      </c>
      <c r="T244" s="160">
        <v>2.12144027520627</v>
      </c>
      <c r="U244" s="160">
        <v>1.82438206495356</v>
      </c>
      <c r="V244" s="160">
        <v>0.53764211673056095</v>
      </c>
      <c r="W244" s="160"/>
      <c r="X244" s="59"/>
      <c r="Y244" s="159"/>
      <c r="Z244" s="159"/>
      <c r="AA244" s="159"/>
      <c r="AB244" s="159"/>
      <c r="AC244" s="159"/>
      <c r="AD244" s="161"/>
      <c r="AE244" s="160"/>
    </row>
    <row r="245" spans="1:31" ht="21.25" customHeight="1" x14ac:dyDescent="0.15">
      <c r="A245" s="8" t="s">
        <v>509</v>
      </c>
      <c r="B245" s="157" t="s">
        <v>895</v>
      </c>
      <c r="C245" s="158">
        <v>26</v>
      </c>
      <c r="D245" s="157" t="s">
        <v>857</v>
      </c>
      <c r="E245" s="59">
        <v>77.583928571428601</v>
      </c>
      <c r="F245" s="159">
        <v>16.554576736559</v>
      </c>
      <c r="G245" s="160">
        <v>0.20846631945232</v>
      </c>
      <c r="H245" s="160">
        <v>0.28633797302289099</v>
      </c>
      <c r="I245" s="160">
        <v>0.49480429247521102</v>
      </c>
      <c r="J245" s="160">
        <v>1.6773882362176</v>
      </c>
      <c r="K245" s="160">
        <v>4.0393303386807897E-2</v>
      </c>
      <c r="L245" s="160">
        <v>9.4834911393761101E-2</v>
      </c>
      <c r="M245" s="160">
        <v>1.61010574841468E-3</v>
      </c>
      <c r="N245" s="160">
        <v>1.4980913335497999E-2</v>
      </c>
      <c r="O245" s="160">
        <v>0.57096214550278401</v>
      </c>
      <c r="P245" s="160">
        <v>1.21450230057384</v>
      </c>
      <c r="Q245" s="160">
        <v>7.0079746958368799E-2</v>
      </c>
      <c r="R245" s="160">
        <v>0.431388031324687</v>
      </c>
      <c r="S245" s="160">
        <v>3.4069084551568797E-2</v>
      </c>
      <c r="T245" s="160">
        <v>5.58564427245296</v>
      </c>
      <c r="U245" s="160">
        <v>6.0873694487376602</v>
      </c>
      <c r="V245" s="160">
        <v>0.47850918416321703</v>
      </c>
      <c r="W245" s="160"/>
      <c r="X245" s="59"/>
      <c r="Y245" s="159"/>
      <c r="Z245" s="159"/>
      <c r="AA245" s="159"/>
      <c r="AB245" s="159"/>
      <c r="AC245" s="159"/>
      <c r="AD245" s="161"/>
      <c r="AE245" s="160"/>
    </row>
    <row r="246" spans="1:31" ht="21.25" customHeight="1" x14ac:dyDescent="0.15">
      <c r="A246" s="8" t="s">
        <v>532</v>
      </c>
      <c r="B246" s="157" t="s">
        <v>903</v>
      </c>
      <c r="C246" s="158">
        <v>28</v>
      </c>
      <c r="D246" s="157" t="s">
        <v>857</v>
      </c>
      <c r="E246" s="59">
        <v>68.696428571428598</v>
      </c>
      <c r="F246" s="159">
        <v>16.360397160823201</v>
      </c>
      <c r="G246" s="160">
        <v>0.17873887701156699</v>
      </c>
      <c r="H246" s="160">
        <v>0.31308337219673699</v>
      </c>
      <c r="I246" s="160">
        <v>0.49182224920830397</v>
      </c>
      <c r="J246" s="160">
        <v>1.9421038285221</v>
      </c>
      <c r="K246" s="160">
        <v>5.86465344960823E-2</v>
      </c>
      <c r="L246" s="160">
        <v>0.16191559535627101</v>
      </c>
      <c r="M246" s="160">
        <v>3.26699119934467E-3</v>
      </c>
      <c r="N246" s="160">
        <v>6.0427227962501001E-3</v>
      </c>
      <c r="O246" s="160">
        <v>0.40221696608763202</v>
      </c>
      <c r="P246" s="160">
        <v>0.80761092940423795</v>
      </c>
      <c r="Q246" s="160">
        <v>-9.6868012037975904E-2</v>
      </c>
      <c r="R246" s="160">
        <v>0.32645167388871998</v>
      </c>
      <c r="S246" s="160">
        <v>1.93697707560616E-2</v>
      </c>
      <c r="T246" s="160">
        <v>6.6539078703204604</v>
      </c>
      <c r="U246" s="160">
        <v>6.0466211258242897</v>
      </c>
      <c r="V246" s="160">
        <v>0.52390793110588196</v>
      </c>
      <c r="W246" s="160"/>
      <c r="X246" s="59"/>
      <c r="Y246" s="159"/>
      <c r="Z246" s="159"/>
      <c r="AA246" s="159"/>
      <c r="AB246" s="159"/>
      <c r="AC246" s="159"/>
      <c r="AD246" s="161"/>
      <c r="AE246" s="160"/>
    </row>
    <row r="247" spans="1:31" ht="21.25" customHeight="1" x14ac:dyDescent="0.15">
      <c r="A247" s="8" t="s">
        <v>539</v>
      </c>
      <c r="B247" s="157" t="s">
        <v>903</v>
      </c>
      <c r="C247" s="158">
        <v>22</v>
      </c>
      <c r="D247" s="157" t="s">
        <v>857</v>
      </c>
      <c r="E247" s="59">
        <v>79.417500000000004</v>
      </c>
      <c r="F247" s="159">
        <v>15.153814580747801</v>
      </c>
      <c r="G247" s="160">
        <v>0.208035548786656</v>
      </c>
      <c r="H247" s="160">
        <v>0.28345500981371502</v>
      </c>
      <c r="I247" s="160">
        <v>0.491490558600371</v>
      </c>
      <c r="J247" s="160">
        <v>1.6006790438398399</v>
      </c>
      <c r="K247" s="160">
        <v>2.1503382638726799E-2</v>
      </c>
      <c r="L247" s="160">
        <v>4.6007012844824502E-2</v>
      </c>
      <c r="M247" s="160">
        <v>2.3802855108758899E-4</v>
      </c>
      <c r="N247" s="160">
        <v>4.3290518631736299E-4</v>
      </c>
      <c r="O247" s="160">
        <v>0.41056917152806999</v>
      </c>
      <c r="P247" s="160">
        <v>0.793128585970579</v>
      </c>
      <c r="Q247" s="160">
        <v>-7.2604233263524595E-2</v>
      </c>
      <c r="R247" s="160">
        <v>0.28449448712689401</v>
      </c>
      <c r="S247" s="160">
        <v>2.2544624630534301E-2</v>
      </c>
      <c r="T247" s="160">
        <v>2.5528490626736802</v>
      </c>
      <c r="U247" s="160">
        <v>4.0390885081683301</v>
      </c>
      <c r="V247" s="160">
        <v>0.38726839191646001</v>
      </c>
      <c r="W247" s="160"/>
      <c r="X247" s="59"/>
      <c r="Y247" s="159"/>
      <c r="Z247" s="159"/>
      <c r="AA247" s="159"/>
      <c r="AB247" s="159"/>
      <c r="AC247" s="159"/>
      <c r="AD247" s="161"/>
      <c r="AE247" s="160"/>
    </row>
    <row r="248" spans="1:31" ht="21.25" customHeight="1" x14ac:dyDescent="0.15">
      <c r="A248" s="8" t="s">
        <v>307</v>
      </c>
      <c r="B248" s="157" t="s">
        <v>890</v>
      </c>
      <c r="C248" s="158">
        <v>19</v>
      </c>
      <c r="D248" s="157" t="s">
        <v>860</v>
      </c>
      <c r="E248" s="59">
        <v>77</v>
      </c>
      <c r="F248" s="159">
        <v>20</v>
      </c>
      <c r="G248" s="160">
        <v>9.1068481171633894E-2</v>
      </c>
      <c r="H248" s="160">
        <v>0.39899201060331302</v>
      </c>
      <c r="I248" s="160">
        <v>0.49006049177494798</v>
      </c>
      <c r="J248" s="160">
        <v>1.7004374380965599</v>
      </c>
      <c r="K248" s="160">
        <v>2.0563761820841599E-2</v>
      </c>
      <c r="L248" s="160">
        <v>0.110658343051442</v>
      </c>
      <c r="M248" s="160">
        <v>0</v>
      </c>
      <c r="N248" s="160">
        <v>0</v>
      </c>
      <c r="O248" s="160">
        <v>1.2926829268292701</v>
      </c>
      <c r="P248" s="160">
        <v>1.2646341463414601</v>
      </c>
      <c r="Q248" s="160">
        <v>9.8780487804877998E-3</v>
      </c>
      <c r="R248" s="160">
        <v>0.43292682926829301</v>
      </c>
      <c r="S248" s="160">
        <v>1.06715459576025E-2</v>
      </c>
      <c r="T248" s="160">
        <v>0</v>
      </c>
      <c r="U248" s="160">
        <v>0</v>
      </c>
      <c r="V248" s="160">
        <v>0</v>
      </c>
      <c r="W248" s="160"/>
      <c r="X248" s="59"/>
      <c r="Y248" s="159"/>
      <c r="Z248" s="159"/>
      <c r="AA248" s="159"/>
      <c r="AB248" s="159"/>
      <c r="AC248" s="159"/>
      <c r="AD248" s="161"/>
      <c r="AE248" s="160"/>
    </row>
    <row r="249" spans="1:31" ht="21.25" customHeight="1" x14ac:dyDescent="0.15">
      <c r="A249" s="8" t="s">
        <v>451</v>
      </c>
      <c r="B249" s="157" t="s">
        <v>876</v>
      </c>
      <c r="C249" s="158">
        <v>32</v>
      </c>
      <c r="D249" s="157" t="s">
        <v>858</v>
      </c>
      <c r="E249" s="59">
        <v>75.338571428571399</v>
      </c>
      <c r="F249" s="159">
        <v>14.524762777318101</v>
      </c>
      <c r="G249" s="160">
        <v>0.17600424445210699</v>
      </c>
      <c r="H249" s="160">
        <v>0.31381754760173403</v>
      </c>
      <c r="I249" s="160">
        <v>0.48982179205384102</v>
      </c>
      <c r="J249" s="160">
        <v>1.5908298260787701</v>
      </c>
      <c r="K249" s="160">
        <v>2.44841096489345E-2</v>
      </c>
      <c r="L249" s="160">
        <v>7.8792179040893695E-2</v>
      </c>
      <c r="M249" s="160">
        <v>4.5688166696143797E-4</v>
      </c>
      <c r="N249" s="160">
        <v>2.1282835353595899E-3</v>
      </c>
      <c r="O249" s="160">
        <v>0.67144319619185699</v>
      </c>
      <c r="P249" s="160">
        <v>1.3336737066400099</v>
      </c>
      <c r="Q249" s="160">
        <v>8.69439647219746E-3</v>
      </c>
      <c r="R249" s="160">
        <v>0.26846579476805899</v>
      </c>
      <c r="S249" s="160">
        <v>2.5906171113445699E-2</v>
      </c>
      <c r="T249" s="160">
        <v>8.1627078046569903E-3</v>
      </c>
      <c r="U249" s="160">
        <v>0.15776268309154601</v>
      </c>
      <c r="V249" s="160">
        <v>4.9195049416898902E-2</v>
      </c>
      <c r="W249" s="160"/>
      <c r="X249" s="59"/>
      <c r="Y249" s="159"/>
      <c r="Z249" s="159"/>
      <c r="AA249" s="159"/>
      <c r="AB249" s="159"/>
      <c r="AC249" s="159"/>
      <c r="AD249" s="161"/>
      <c r="AE249" s="160"/>
    </row>
    <row r="250" spans="1:31" ht="21.25" customHeight="1" x14ac:dyDescent="0.15">
      <c r="A250" s="8" t="s">
        <v>387</v>
      </c>
      <c r="B250" s="157" t="s">
        <v>881</v>
      </c>
      <c r="C250" s="158">
        <v>28</v>
      </c>
      <c r="D250" s="157" t="s">
        <v>858</v>
      </c>
      <c r="E250" s="59">
        <v>79.412499999999994</v>
      </c>
      <c r="F250" s="159">
        <v>13.671634468597601</v>
      </c>
      <c r="G250" s="160">
        <v>0.25988531957290101</v>
      </c>
      <c r="H250" s="160">
        <v>0.22987025867868999</v>
      </c>
      <c r="I250" s="160">
        <v>0.489755578251591</v>
      </c>
      <c r="J250" s="160">
        <v>1.9345210834307001</v>
      </c>
      <c r="K250" s="160">
        <v>6.7538545635255201E-2</v>
      </c>
      <c r="L250" s="160">
        <v>0.12630755384352699</v>
      </c>
      <c r="M250" s="160">
        <v>9.8947125426818698E-5</v>
      </c>
      <c r="N250" s="160">
        <v>4.4905405426054099E-4</v>
      </c>
      <c r="O250" s="160">
        <v>0.22723275046689601</v>
      </c>
      <c r="P250" s="160">
        <v>0.349692436393298</v>
      </c>
      <c r="Q250" s="160">
        <v>-5.1676966529734102E-2</v>
      </c>
      <c r="R250" s="160">
        <v>0.12462598954227699</v>
      </c>
      <c r="S250" s="160">
        <v>3.3490985290316799E-2</v>
      </c>
      <c r="T250" s="160">
        <v>1.0924762956787499E-2</v>
      </c>
      <c r="U250" s="160">
        <v>4.92338731859105E-2</v>
      </c>
      <c r="V250" s="160">
        <v>0.18159924588173201</v>
      </c>
      <c r="W250" s="160"/>
      <c r="X250" s="59"/>
      <c r="Y250" s="159"/>
      <c r="Z250" s="159"/>
      <c r="AA250" s="159"/>
      <c r="AB250" s="159"/>
      <c r="AC250" s="159"/>
      <c r="AD250" s="161"/>
      <c r="AE250" s="160"/>
    </row>
    <row r="251" spans="1:31" ht="21.25" customHeight="1" x14ac:dyDescent="0.15">
      <c r="A251" s="8" t="s">
        <v>388</v>
      </c>
      <c r="B251" s="157" t="s">
        <v>900</v>
      </c>
      <c r="C251" s="158">
        <v>32</v>
      </c>
      <c r="D251" s="157" t="s">
        <v>859</v>
      </c>
      <c r="E251" s="59">
        <v>74.717857142857099</v>
      </c>
      <c r="F251" s="159">
        <v>15.767185415919799</v>
      </c>
      <c r="G251" s="160">
        <v>0.22313413529373299</v>
      </c>
      <c r="H251" s="160">
        <v>0.26660550381346698</v>
      </c>
      <c r="I251" s="160">
        <v>0.48973963910719998</v>
      </c>
      <c r="J251" s="160">
        <v>2.0561199430870101</v>
      </c>
      <c r="K251" s="160">
        <v>3.4353225827965198E-2</v>
      </c>
      <c r="L251" s="160">
        <v>7.8158741510768501E-2</v>
      </c>
      <c r="M251" s="160">
        <v>2.2445154220324401E-3</v>
      </c>
      <c r="N251" s="160">
        <v>2.9850002044196698E-3</v>
      </c>
      <c r="O251" s="160">
        <v>0.30449368474973398</v>
      </c>
      <c r="P251" s="160">
        <v>1.19110105624415</v>
      </c>
      <c r="Q251" s="160">
        <v>2.5196482488500399E-2</v>
      </c>
      <c r="R251" s="160">
        <v>0.476444739287188</v>
      </c>
      <c r="S251" s="160">
        <v>3.4479101022119998E-2</v>
      </c>
      <c r="T251" s="160">
        <v>0.15915707439420701</v>
      </c>
      <c r="U251" s="160">
        <v>0.29647132120748299</v>
      </c>
      <c r="V251" s="160">
        <v>0.34931333501290901</v>
      </c>
      <c r="W251" s="160"/>
      <c r="X251" s="59"/>
      <c r="Y251" s="159"/>
      <c r="Z251" s="159"/>
      <c r="AA251" s="159"/>
      <c r="AB251" s="159"/>
      <c r="AC251" s="159"/>
      <c r="AD251" s="161"/>
      <c r="AE251" s="160"/>
    </row>
    <row r="252" spans="1:31" ht="21.25" customHeight="1" x14ac:dyDescent="0.15">
      <c r="A252" s="8" t="s">
        <v>425</v>
      </c>
      <c r="B252" s="157" t="s">
        <v>887</v>
      </c>
      <c r="C252" s="158">
        <v>31</v>
      </c>
      <c r="D252" s="157" t="s">
        <v>858</v>
      </c>
      <c r="E252" s="59">
        <v>73.046785714285704</v>
      </c>
      <c r="F252" s="159">
        <v>14.687193654655101</v>
      </c>
      <c r="G252" s="160">
        <v>0.26002967867430199</v>
      </c>
      <c r="H252" s="160">
        <v>0.22893007383049099</v>
      </c>
      <c r="I252" s="160">
        <v>0.48895975250479401</v>
      </c>
      <c r="J252" s="160">
        <v>2.2658266274529502</v>
      </c>
      <c r="K252" s="160">
        <v>1.54948852245146E-2</v>
      </c>
      <c r="L252" s="160">
        <v>5.3629841135688701E-2</v>
      </c>
      <c r="M252" s="160">
        <v>1.49882036719543E-5</v>
      </c>
      <c r="N252" s="160">
        <v>2.73399955737234E-5</v>
      </c>
      <c r="O252" s="160">
        <v>0.38786409197664001</v>
      </c>
      <c r="P252" s="160">
        <v>2.1066623551057302</v>
      </c>
      <c r="Q252" s="160">
        <v>-2.26035891157635E-2</v>
      </c>
      <c r="R252" s="160">
        <v>0.42461067891969401</v>
      </c>
      <c r="S252" s="160">
        <v>3.2048656800112797E-2</v>
      </c>
      <c r="T252" s="160">
        <v>5.4850166133599998E-2</v>
      </c>
      <c r="U252" s="160">
        <v>0.14658447077905901</v>
      </c>
      <c r="V252" s="160">
        <v>0.272297589800224</v>
      </c>
      <c r="W252" s="160"/>
      <c r="X252" s="59"/>
      <c r="Y252" s="159"/>
      <c r="Z252" s="159"/>
      <c r="AA252" s="159"/>
      <c r="AB252" s="159"/>
      <c r="AC252" s="159"/>
      <c r="AD252" s="161"/>
      <c r="AE252" s="160"/>
    </row>
    <row r="253" spans="1:31" ht="21.25" customHeight="1" x14ac:dyDescent="0.15">
      <c r="A253" s="8" t="s">
        <v>365</v>
      </c>
      <c r="B253" s="157" t="s">
        <v>888</v>
      </c>
      <c r="C253" s="158">
        <v>27</v>
      </c>
      <c r="D253" s="157" t="s">
        <v>858</v>
      </c>
      <c r="E253" s="59">
        <v>81.302499999999995</v>
      </c>
      <c r="F253" s="159">
        <v>14.2950883828788</v>
      </c>
      <c r="G253" s="160">
        <v>0.218099351063654</v>
      </c>
      <c r="H253" s="160">
        <v>0.27049271241982198</v>
      </c>
      <c r="I253" s="160">
        <v>0.488592063483476</v>
      </c>
      <c r="J253" s="160">
        <v>2.03336484515911</v>
      </c>
      <c r="K253" s="160">
        <v>5.5377282013482701E-2</v>
      </c>
      <c r="L253" s="160">
        <v>0.14809172296247899</v>
      </c>
      <c r="M253" s="160">
        <v>2.9377341606132102E-4</v>
      </c>
      <c r="N253" s="160">
        <v>5.3854438775189999E-4</v>
      </c>
      <c r="O253" s="160">
        <v>0.33885594828114601</v>
      </c>
      <c r="P253" s="160">
        <v>1.0954685763796199</v>
      </c>
      <c r="Q253" s="160">
        <v>1.00186146731571E-2</v>
      </c>
      <c r="R253" s="160">
        <v>0.27812466683121301</v>
      </c>
      <c r="S253" s="160">
        <v>3.0294204798600701E-2</v>
      </c>
      <c r="T253" s="160">
        <v>0.126934269218961</v>
      </c>
      <c r="U253" s="160">
        <v>0.22367257063676299</v>
      </c>
      <c r="V253" s="160">
        <v>0.36204162266541901</v>
      </c>
      <c r="W253" s="160"/>
      <c r="X253" s="59"/>
      <c r="Y253" s="159"/>
      <c r="Z253" s="159"/>
      <c r="AA253" s="159"/>
      <c r="AB253" s="159"/>
      <c r="AC253" s="159"/>
      <c r="AD253" s="161"/>
      <c r="AE253" s="160"/>
    </row>
    <row r="254" spans="1:31" ht="21.25" customHeight="1" x14ac:dyDescent="0.15">
      <c r="A254" s="8" t="s">
        <v>540</v>
      </c>
      <c r="B254" s="157" t="s">
        <v>887</v>
      </c>
      <c r="C254" s="158">
        <v>20</v>
      </c>
      <c r="D254" s="157" t="s">
        <v>858</v>
      </c>
      <c r="E254" s="59">
        <v>61.695</v>
      </c>
      <c r="F254" s="159">
        <v>14.025948510391601</v>
      </c>
      <c r="G254" s="160">
        <v>0.196242615386618</v>
      </c>
      <c r="H254" s="160">
        <v>0.291558511357985</v>
      </c>
      <c r="I254" s="160">
        <v>0.48780112674460402</v>
      </c>
      <c r="J254" s="160">
        <v>1.6717364970439501</v>
      </c>
      <c r="K254" s="160">
        <v>8.5096133688560893E-2</v>
      </c>
      <c r="L254" s="160">
        <v>0.148742087707777</v>
      </c>
      <c r="M254" s="160">
        <v>4.40122371991929E-4</v>
      </c>
      <c r="N254" s="160">
        <v>7.9596231956648199E-4</v>
      </c>
      <c r="O254" s="160">
        <v>0.39560835706151098</v>
      </c>
      <c r="P254" s="160">
        <v>0.90002547517496301</v>
      </c>
      <c r="Q254" s="160">
        <v>-5.2897955467144903E-2</v>
      </c>
      <c r="R254" s="160">
        <v>0.34101831822197998</v>
      </c>
      <c r="S254" s="160">
        <v>2.4186901518883499E-2</v>
      </c>
      <c r="T254" s="160">
        <v>6.4829898360950197E-2</v>
      </c>
      <c r="U254" s="160">
        <v>6.4829898360950197E-2</v>
      </c>
      <c r="V254" s="160">
        <v>0.5</v>
      </c>
      <c r="W254" s="160"/>
      <c r="X254" s="59"/>
      <c r="Y254" s="159"/>
      <c r="Z254" s="159"/>
      <c r="AA254" s="159"/>
      <c r="AB254" s="159"/>
      <c r="AC254" s="159"/>
      <c r="AD254" s="161"/>
      <c r="AE254" s="160"/>
    </row>
    <row r="255" spans="1:31" ht="21.25" customHeight="1" x14ac:dyDescent="0.15">
      <c r="A255" s="8" t="s">
        <v>536</v>
      </c>
      <c r="B255" s="157" t="s">
        <v>879</v>
      </c>
      <c r="C255" s="158">
        <v>25</v>
      </c>
      <c r="D255" s="157" t="s">
        <v>857</v>
      </c>
      <c r="E255" s="59">
        <v>75.556428571428597</v>
      </c>
      <c r="F255" s="159">
        <v>15.1161716758256</v>
      </c>
      <c r="G255" s="160">
        <v>0.17133843438607299</v>
      </c>
      <c r="H255" s="160">
        <v>0.31546730667157702</v>
      </c>
      <c r="I255" s="160">
        <v>0.48680574105765001</v>
      </c>
      <c r="J255" s="160">
        <v>1.7045424428873399</v>
      </c>
      <c r="K255" s="160">
        <v>3.12566735529098E-2</v>
      </c>
      <c r="L255" s="160">
        <v>7.5329823701583198E-2</v>
      </c>
      <c r="M255" s="160">
        <v>2.6829897589620401E-3</v>
      </c>
      <c r="N255" s="160">
        <v>4.88233110462371E-3</v>
      </c>
      <c r="O255" s="160">
        <v>0.550453573953405</v>
      </c>
      <c r="P255" s="160">
        <v>1.0180029368638699</v>
      </c>
      <c r="Q255" s="160">
        <v>3.6289879518846699E-2</v>
      </c>
      <c r="R255" s="160">
        <v>0.40027977026279798</v>
      </c>
      <c r="S255" s="160">
        <v>2.8764351299193799E-2</v>
      </c>
      <c r="T255" s="160">
        <v>6.0617638869497998</v>
      </c>
      <c r="U255" s="160">
        <v>5.80086064496472</v>
      </c>
      <c r="V255" s="160">
        <v>0.510996859981666</v>
      </c>
      <c r="W255" s="160"/>
      <c r="X255" s="59"/>
      <c r="Y255" s="159"/>
      <c r="Z255" s="159"/>
      <c r="AA255" s="159"/>
      <c r="AB255" s="159"/>
      <c r="AC255" s="159"/>
      <c r="AD255" s="161"/>
      <c r="AE255" s="160"/>
    </row>
    <row r="256" spans="1:31" ht="21.25" customHeight="1" x14ac:dyDescent="0.15">
      <c r="A256" s="8" t="s">
        <v>491</v>
      </c>
      <c r="B256" s="157" t="s">
        <v>878</v>
      </c>
      <c r="C256" s="162">
        <v>28</v>
      </c>
      <c r="D256" s="157" t="s">
        <v>858</v>
      </c>
      <c r="E256" s="59">
        <v>72.327142857142903</v>
      </c>
      <c r="F256" s="159">
        <v>13.6386271776898</v>
      </c>
      <c r="G256" s="160">
        <v>0.181843554706902</v>
      </c>
      <c r="H256" s="160">
        <v>0.30427785949089398</v>
      </c>
      <c r="I256" s="160">
        <v>0.48612141419779598</v>
      </c>
      <c r="J256" s="160">
        <v>1.81806141277763</v>
      </c>
      <c r="K256" s="160">
        <v>1.2789329117968E-2</v>
      </c>
      <c r="L256" s="160">
        <v>3.14577059326124E-2</v>
      </c>
      <c r="M256" s="160">
        <v>8.6394672246569297E-5</v>
      </c>
      <c r="N256" s="160">
        <v>1.59207373799989E-4</v>
      </c>
      <c r="O256" s="160">
        <v>0.43172043053745401</v>
      </c>
      <c r="P256" s="160">
        <v>1.34938182679101</v>
      </c>
      <c r="Q256" s="160">
        <v>6.0914932235311303E-2</v>
      </c>
      <c r="R256" s="160">
        <v>0.64429046962876702</v>
      </c>
      <c r="S256" s="160">
        <v>2.9093679654242199E-2</v>
      </c>
      <c r="T256" s="160">
        <v>0.148524216767496</v>
      </c>
      <c r="U256" s="160">
        <v>0.26690675167537298</v>
      </c>
      <c r="V256" s="160">
        <v>0.35751840389800399</v>
      </c>
      <c r="W256" s="160"/>
      <c r="X256" s="59"/>
      <c r="Y256" s="159"/>
      <c r="Z256" s="159"/>
      <c r="AA256" s="159"/>
      <c r="AB256" s="159"/>
      <c r="AC256" s="159"/>
      <c r="AD256" s="161"/>
      <c r="AE256" s="160"/>
    </row>
    <row r="257" spans="1:31" ht="21.25" customHeight="1" x14ac:dyDescent="0.15">
      <c r="A257" s="8" t="s">
        <v>275</v>
      </c>
      <c r="B257" s="157" t="s">
        <v>881</v>
      </c>
      <c r="C257" s="162">
        <v>20</v>
      </c>
      <c r="D257" s="157" t="s">
        <v>860</v>
      </c>
      <c r="E257" s="59">
        <v>81.45</v>
      </c>
      <c r="F257" s="159">
        <v>23.520805503724201</v>
      </c>
      <c r="G257" s="160">
        <v>8.2315294153584101E-2</v>
      </c>
      <c r="H257" s="160">
        <v>0.40356461209753902</v>
      </c>
      <c r="I257" s="160">
        <v>0.48587990625112298</v>
      </c>
      <c r="J257" s="160">
        <v>1.6768548401073</v>
      </c>
      <c r="K257" s="160">
        <v>5.2220827901684501E-3</v>
      </c>
      <c r="L257" s="160">
        <v>0.10342862290902</v>
      </c>
      <c r="M257" s="160">
        <v>4.0760196458379999E-4</v>
      </c>
      <c r="N257" s="160">
        <v>7.6119136832060504E-3</v>
      </c>
      <c r="O257" s="160">
        <v>1.17583325626753</v>
      </c>
      <c r="P257" s="160">
        <v>0.56119835889313197</v>
      </c>
      <c r="Q257" s="160">
        <v>2.8725430830109401E-3</v>
      </c>
      <c r="R257" s="160">
        <v>0.38052458263911798</v>
      </c>
      <c r="S257" s="160">
        <v>1.0607833909958401E-2</v>
      </c>
      <c r="T257" s="160">
        <v>0</v>
      </c>
      <c r="U257" s="160">
        <v>0</v>
      </c>
      <c r="V257" s="160">
        <v>0</v>
      </c>
      <c r="W257" s="160"/>
      <c r="X257" s="59"/>
      <c r="Y257" s="159"/>
      <c r="Z257" s="159"/>
      <c r="AA257" s="159"/>
      <c r="AB257" s="159"/>
      <c r="AC257" s="159"/>
      <c r="AD257" s="161"/>
      <c r="AE257" s="160"/>
    </row>
    <row r="258" spans="1:31" ht="21.25" customHeight="1" x14ac:dyDescent="0.15">
      <c r="A258" s="8" t="s">
        <v>446</v>
      </c>
      <c r="B258" s="157" t="s">
        <v>873</v>
      </c>
      <c r="C258" s="162">
        <v>30</v>
      </c>
      <c r="D258" s="157" t="s">
        <v>857</v>
      </c>
      <c r="E258" s="59">
        <v>76.647499999999994</v>
      </c>
      <c r="F258" s="159">
        <v>15.724809358331401</v>
      </c>
      <c r="G258" s="160">
        <v>0.19967353776329999</v>
      </c>
      <c r="H258" s="160">
        <v>0.285923210276749</v>
      </c>
      <c r="I258" s="160">
        <v>0.48559674804004899</v>
      </c>
      <c r="J258" s="160">
        <v>2.39442112616074</v>
      </c>
      <c r="K258" s="160">
        <v>5.5600303864488498E-2</v>
      </c>
      <c r="L258" s="160">
        <v>9.4349690238946099E-2</v>
      </c>
      <c r="M258" s="160">
        <v>1.24313144542321E-3</v>
      </c>
      <c r="N258" s="160">
        <v>2.30137890255009E-3</v>
      </c>
      <c r="O258" s="160">
        <v>0.36669263822036102</v>
      </c>
      <c r="P258" s="160">
        <v>0.67138066882093295</v>
      </c>
      <c r="Q258" s="160">
        <v>4.9440399676166001E-2</v>
      </c>
      <c r="R258" s="160">
        <v>0.30828485367167002</v>
      </c>
      <c r="S258" s="160">
        <v>2.8643624444042799E-2</v>
      </c>
      <c r="T258" s="160">
        <v>1.6263740504697899</v>
      </c>
      <c r="U258" s="160">
        <v>1.77899241003702</v>
      </c>
      <c r="V258" s="160">
        <v>0.47759149252551902</v>
      </c>
      <c r="W258" s="160"/>
      <c r="X258" s="59"/>
      <c r="Y258" s="159"/>
      <c r="Z258" s="159"/>
      <c r="AA258" s="159"/>
      <c r="AB258" s="159"/>
      <c r="AC258" s="159"/>
      <c r="AD258" s="161"/>
      <c r="AE258" s="160"/>
    </row>
    <row r="259" spans="1:31" ht="21.25" customHeight="1" x14ac:dyDescent="0.15">
      <c r="A259" s="8" t="s">
        <v>648</v>
      </c>
      <c r="B259" s="157" t="s">
        <v>901</v>
      </c>
      <c r="C259" s="162">
        <v>19</v>
      </c>
      <c r="D259" s="157" t="s">
        <v>857</v>
      </c>
      <c r="E259" s="59">
        <v>60</v>
      </c>
      <c r="F259" s="159">
        <v>13.5</v>
      </c>
      <c r="G259" s="160">
        <v>0.220057241834682</v>
      </c>
      <c r="H259" s="160">
        <v>0.26529623987526302</v>
      </c>
      <c r="I259" s="160">
        <v>0.48535348170994502</v>
      </c>
      <c r="J259" s="160">
        <v>1.80256171954983</v>
      </c>
      <c r="K259" s="160">
        <v>4.9318375161722799E-2</v>
      </c>
      <c r="L259" s="160">
        <v>0.108775539025441</v>
      </c>
      <c r="M259" s="160">
        <v>0</v>
      </c>
      <c r="N259" s="160">
        <v>0</v>
      </c>
      <c r="O259" s="160">
        <v>0.41585365853658501</v>
      </c>
      <c r="P259" s="160">
        <v>0.60975609756097604</v>
      </c>
      <c r="Q259" s="160">
        <v>-2.8048780487804899E-3</v>
      </c>
      <c r="R259" s="160">
        <v>0.34704191138326201</v>
      </c>
      <c r="S259" s="160">
        <v>3.09314607249313E-2</v>
      </c>
      <c r="T259" s="160">
        <v>0.65062902730898797</v>
      </c>
      <c r="U259" s="160">
        <v>1.0615526235041399</v>
      </c>
      <c r="V259" s="160">
        <v>0.38</v>
      </c>
      <c r="W259" s="160"/>
      <c r="X259" s="59"/>
      <c r="Y259" s="159"/>
      <c r="Z259" s="159"/>
      <c r="AA259" s="159"/>
      <c r="AB259" s="159"/>
      <c r="AC259" s="159"/>
      <c r="AD259" s="161"/>
      <c r="AE259" s="160"/>
    </row>
    <row r="260" spans="1:31" ht="21.25" customHeight="1" x14ac:dyDescent="0.15">
      <c r="A260" s="8" t="s">
        <v>295</v>
      </c>
      <c r="B260" s="157" t="s">
        <v>876</v>
      </c>
      <c r="C260" s="158">
        <v>20</v>
      </c>
      <c r="D260" s="157" t="s">
        <v>860</v>
      </c>
      <c r="E260" s="59">
        <v>77</v>
      </c>
      <c r="F260" s="159">
        <v>20</v>
      </c>
      <c r="G260" s="160">
        <v>0.101354241388227</v>
      </c>
      <c r="H260" s="160">
        <v>0.38177151360279998</v>
      </c>
      <c r="I260" s="160">
        <v>0.483125754991027</v>
      </c>
      <c r="J260" s="160">
        <v>1.80020931219751</v>
      </c>
      <c r="K260" s="160">
        <v>2.2632919702398498E-2</v>
      </c>
      <c r="L260" s="160">
        <v>0.107884448337874</v>
      </c>
      <c r="M260" s="160">
        <v>0</v>
      </c>
      <c r="N260" s="160">
        <v>0</v>
      </c>
      <c r="O260" s="160">
        <v>1.2926829268292701</v>
      </c>
      <c r="P260" s="160">
        <v>1.3265242659688901</v>
      </c>
      <c r="Q260" s="160">
        <v>9.8780487804877998E-3</v>
      </c>
      <c r="R260" s="160">
        <v>0.47713405757359401</v>
      </c>
      <c r="S260" s="160">
        <v>1.4918392045888299E-2</v>
      </c>
      <c r="T260" s="160">
        <v>0</v>
      </c>
      <c r="U260" s="160">
        <v>0</v>
      </c>
      <c r="V260" s="160">
        <v>0</v>
      </c>
      <c r="W260" s="160"/>
      <c r="X260" s="59"/>
      <c r="Y260" s="159"/>
      <c r="Z260" s="159"/>
      <c r="AA260" s="159"/>
      <c r="AB260" s="159"/>
      <c r="AC260" s="159"/>
      <c r="AD260" s="161"/>
      <c r="AE260" s="160"/>
    </row>
    <row r="261" spans="1:31" ht="21.25" customHeight="1" x14ac:dyDescent="0.15">
      <c r="A261" s="8" t="s">
        <v>497</v>
      </c>
      <c r="B261" s="157" t="s">
        <v>900</v>
      </c>
      <c r="C261" s="158">
        <v>30</v>
      </c>
      <c r="D261" s="157" t="s">
        <v>857</v>
      </c>
      <c r="E261" s="59">
        <v>78.919642857142904</v>
      </c>
      <c r="F261" s="159">
        <v>16.541189061839301</v>
      </c>
      <c r="G261" s="160">
        <v>0.18574174793429399</v>
      </c>
      <c r="H261" s="160">
        <v>0.29458826644770097</v>
      </c>
      <c r="I261" s="160">
        <v>0.48033001438199502</v>
      </c>
      <c r="J261" s="160">
        <v>1.62293973116221</v>
      </c>
      <c r="K261" s="160">
        <v>4.7431316574216099E-2</v>
      </c>
      <c r="L261" s="160">
        <v>8.5162578902059305E-2</v>
      </c>
      <c r="M261" s="160">
        <v>2.40045355189328E-2</v>
      </c>
      <c r="N261" s="160">
        <v>3.8092147775913701E-2</v>
      </c>
      <c r="O261" s="160">
        <v>0.78391614683334898</v>
      </c>
      <c r="P261" s="160">
        <v>2.1247434346878902</v>
      </c>
      <c r="Q261" s="160">
        <v>9.5314855826487202E-3</v>
      </c>
      <c r="R261" s="160">
        <v>0.278356510194679</v>
      </c>
      <c r="S261" s="160">
        <v>2.8701159876866E-2</v>
      </c>
      <c r="T261" s="160">
        <v>9.3667012027680894</v>
      </c>
      <c r="U261" s="160">
        <v>7.2340797726358401</v>
      </c>
      <c r="V261" s="160">
        <v>0.56423256331409899</v>
      </c>
      <c r="W261" s="160"/>
      <c r="X261" s="59"/>
      <c r="Y261" s="159"/>
      <c r="Z261" s="159"/>
      <c r="AA261" s="159"/>
      <c r="AB261" s="159"/>
      <c r="AC261" s="159"/>
      <c r="AD261" s="161"/>
      <c r="AE261" s="160"/>
    </row>
    <row r="262" spans="1:31" ht="21.25" customHeight="1" x14ac:dyDescent="0.15">
      <c r="A262" s="8" t="s">
        <v>374</v>
      </c>
      <c r="B262" s="157" t="s">
        <v>890</v>
      </c>
      <c r="C262" s="158">
        <v>25</v>
      </c>
      <c r="D262" s="157" t="s">
        <v>859</v>
      </c>
      <c r="E262" s="59">
        <v>79.42</v>
      </c>
      <c r="F262" s="159">
        <v>15.9991238602388</v>
      </c>
      <c r="G262" s="160">
        <v>0.23551529693800899</v>
      </c>
      <c r="H262" s="160">
        <v>0.24422295578869899</v>
      </c>
      <c r="I262" s="160">
        <v>0.479738252726707</v>
      </c>
      <c r="J262" s="160">
        <v>1.6925571657601</v>
      </c>
      <c r="K262" s="160">
        <v>7.2901695301570105E-2</v>
      </c>
      <c r="L262" s="160">
        <v>0.151165398466763</v>
      </c>
      <c r="M262" s="160">
        <v>4.6074608540103799E-5</v>
      </c>
      <c r="N262" s="160">
        <v>5.6848655616227603E-5</v>
      </c>
      <c r="O262" s="160">
        <v>0.44517751003382799</v>
      </c>
      <c r="P262" s="160">
        <v>1.1703534706736001</v>
      </c>
      <c r="Q262" s="160">
        <v>-7.5251784368065497E-2</v>
      </c>
      <c r="R262" s="160">
        <v>0.23779714975741201</v>
      </c>
      <c r="S262" s="160">
        <v>2.7598048003629399E-2</v>
      </c>
      <c r="T262" s="160">
        <v>0.112528069819993</v>
      </c>
      <c r="U262" s="160">
        <v>0.117664303555073</v>
      </c>
      <c r="V262" s="160">
        <v>0.48884360576379599</v>
      </c>
      <c r="W262" s="160"/>
      <c r="X262" s="59"/>
      <c r="Y262" s="159"/>
      <c r="Z262" s="159"/>
      <c r="AA262" s="159"/>
      <c r="AB262" s="159"/>
      <c r="AC262" s="159"/>
      <c r="AD262" s="161"/>
      <c r="AE262" s="160"/>
    </row>
    <row r="263" spans="1:31" ht="21.25" customHeight="1" x14ac:dyDescent="0.15">
      <c r="A263" s="8" t="s">
        <v>531</v>
      </c>
      <c r="B263" s="157" t="s">
        <v>902</v>
      </c>
      <c r="C263" s="162">
        <v>31</v>
      </c>
      <c r="D263" s="157" t="s">
        <v>857</v>
      </c>
      <c r="E263" s="59">
        <v>80.490357142857107</v>
      </c>
      <c r="F263" s="159">
        <v>16.121150196768699</v>
      </c>
      <c r="G263" s="160">
        <v>0.124980674984248</v>
      </c>
      <c r="H263" s="160">
        <v>0.35234574919904299</v>
      </c>
      <c r="I263" s="160">
        <v>0.47732642418329002</v>
      </c>
      <c r="J263" s="160">
        <v>1.3576020971593901</v>
      </c>
      <c r="K263" s="160">
        <v>1.7417765735613801E-2</v>
      </c>
      <c r="L263" s="160">
        <v>0.104284604061665</v>
      </c>
      <c r="M263" s="160">
        <v>7.3703026281522895E-4</v>
      </c>
      <c r="N263" s="160">
        <v>1.4276393135220201E-3</v>
      </c>
      <c r="O263" s="160">
        <v>0.61755466800199799</v>
      </c>
      <c r="P263" s="160">
        <v>0.95453171007978499</v>
      </c>
      <c r="Q263" s="160">
        <v>-6.9588706313254501E-3</v>
      </c>
      <c r="R263" s="160">
        <v>0.286103244133387</v>
      </c>
      <c r="S263" s="160">
        <v>1.51753714729494E-2</v>
      </c>
      <c r="T263" s="160">
        <v>2.82820723457833</v>
      </c>
      <c r="U263" s="160">
        <v>3.2053455922388898</v>
      </c>
      <c r="V263" s="160">
        <v>0.46874657697664401</v>
      </c>
      <c r="W263" s="160"/>
      <c r="X263" s="59"/>
      <c r="Y263" s="159"/>
      <c r="Z263" s="159"/>
      <c r="AA263" s="159"/>
      <c r="AB263" s="159"/>
      <c r="AC263" s="159"/>
      <c r="AD263" s="161"/>
      <c r="AE263" s="160"/>
    </row>
    <row r="264" spans="1:31" ht="21.25" customHeight="1" x14ac:dyDescent="0.15">
      <c r="A264" s="8" t="s">
        <v>300</v>
      </c>
      <c r="B264" s="157" t="s">
        <v>893</v>
      </c>
      <c r="C264" s="158">
        <v>32</v>
      </c>
      <c r="D264" s="157" t="s">
        <v>860</v>
      </c>
      <c r="E264" s="59">
        <v>76.7</v>
      </c>
      <c r="F264" s="159">
        <v>21.484203889340598</v>
      </c>
      <c r="G264" s="160">
        <v>0.124173269954663</v>
      </c>
      <c r="H264" s="160">
        <v>0.35227444261938201</v>
      </c>
      <c r="I264" s="160">
        <v>0.476447712574045</v>
      </c>
      <c r="J264" s="160">
        <v>1.75996752565337</v>
      </c>
      <c r="K264" s="160">
        <v>2.16162385043485E-2</v>
      </c>
      <c r="L264" s="160">
        <v>0.11069584542709</v>
      </c>
      <c r="M264" s="160">
        <v>4.7255720071961998E-4</v>
      </c>
      <c r="N264" s="160">
        <v>1.8265758783075701E-3</v>
      </c>
      <c r="O264" s="160">
        <v>1.3178222151444601</v>
      </c>
      <c r="P264" s="160">
        <v>1.80125394457051</v>
      </c>
      <c r="Q264" s="160">
        <v>7.6787227110841696E-2</v>
      </c>
      <c r="R264" s="160">
        <v>0.45128800863527602</v>
      </c>
      <c r="S264" s="160">
        <v>2.22794650796489E-2</v>
      </c>
      <c r="T264" s="160">
        <v>0</v>
      </c>
      <c r="U264" s="160">
        <v>0</v>
      </c>
      <c r="V264" s="160">
        <v>0</v>
      </c>
      <c r="W264" s="160"/>
      <c r="X264" s="59"/>
      <c r="Y264" s="159"/>
      <c r="Z264" s="159"/>
      <c r="AA264" s="159"/>
      <c r="AB264" s="159"/>
      <c r="AC264" s="159"/>
      <c r="AD264" s="161"/>
      <c r="AE264" s="160"/>
    </row>
    <row r="265" spans="1:31" ht="21.25" customHeight="1" x14ac:dyDescent="0.15">
      <c r="A265" s="8" t="s">
        <v>400</v>
      </c>
      <c r="B265" s="157" t="s">
        <v>886</v>
      </c>
      <c r="C265" s="158">
        <v>29</v>
      </c>
      <c r="D265" s="157" t="s">
        <v>858</v>
      </c>
      <c r="E265" s="59">
        <v>76.7</v>
      </c>
      <c r="F265" s="159">
        <v>16.158772970752398</v>
      </c>
      <c r="G265" s="160">
        <v>0.18724237547419101</v>
      </c>
      <c r="H265" s="160">
        <v>0.287992626912078</v>
      </c>
      <c r="I265" s="160">
        <v>0.47523500238626998</v>
      </c>
      <c r="J265" s="160">
        <v>2.1420056962067702</v>
      </c>
      <c r="K265" s="160">
        <v>4.1229356007555902E-2</v>
      </c>
      <c r="L265" s="160">
        <v>6.5855369550680901E-2</v>
      </c>
      <c r="M265" s="160">
        <v>4.4769099746796203E-3</v>
      </c>
      <c r="N265" s="160">
        <v>8.9080155930076795E-3</v>
      </c>
      <c r="O265" s="160">
        <v>0.57141481320699805</v>
      </c>
      <c r="P265" s="160">
        <v>0.59629774067508201</v>
      </c>
      <c r="Q265" s="160">
        <v>2.5397679533332201E-2</v>
      </c>
      <c r="R265" s="160">
        <v>0.21212247457432301</v>
      </c>
      <c r="S265" s="160">
        <v>2.9210437308286201E-2</v>
      </c>
      <c r="T265" s="160">
        <v>0.102949815230131</v>
      </c>
      <c r="U265" s="160">
        <v>0.12544889140808299</v>
      </c>
      <c r="V265" s="160">
        <v>0.45074605169811699</v>
      </c>
      <c r="W265" s="160"/>
      <c r="X265" s="59"/>
      <c r="Y265" s="159"/>
      <c r="Z265" s="159"/>
      <c r="AA265" s="159"/>
      <c r="AB265" s="159"/>
      <c r="AC265" s="159"/>
      <c r="AD265" s="161"/>
      <c r="AE265" s="160"/>
    </row>
    <row r="266" spans="1:31" ht="21.25" customHeight="1" x14ac:dyDescent="0.15">
      <c r="A266" s="8" t="s">
        <v>556</v>
      </c>
      <c r="B266" s="157" t="s">
        <v>875</v>
      </c>
      <c r="C266" s="158">
        <v>30</v>
      </c>
      <c r="D266" s="157" t="s">
        <v>857</v>
      </c>
      <c r="E266" s="59">
        <v>75.787142857142896</v>
      </c>
      <c r="F266" s="159">
        <v>15.839862500000001</v>
      </c>
      <c r="G266" s="160">
        <v>0.18962194964856299</v>
      </c>
      <c r="H266" s="160">
        <v>0.28373672775480002</v>
      </c>
      <c r="I266" s="160">
        <v>0.47335867740336302</v>
      </c>
      <c r="J266" s="160">
        <v>1.6501027157624499</v>
      </c>
      <c r="K266" s="160">
        <v>1.85576173989799E-2</v>
      </c>
      <c r="L266" s="160">
        <v>3.4061659979252902E-2</v>
      </c>
      <c r="M266" s="160">
        <v>1.4634422610874101E-2</v>
      </c>
      <c r="N266" s="160">
        <v>3.3369378845539498E-2</v>
      </c>
      <c r="O266" s="160">
        <v>0.61003670939030197</v>
      </c>
      <c r="P266" s="160">
        <v>0.61258119573788195</v>
      </c>
      <c r="Q266" s="160">
        <v>2.5288219204133398E-2</v>
      </c>
      <c r="R266" s="160">
        <v>0.16859683305815101</v>
      </c>
      <c r="S266" s="160">
        <v>3.0448812981256301E-2</v>
      </c>
      <c r="T266" s="160">
        <v>6.0252602117472298</v>
      </c>
      <c r="U266" s="160">
        <v>6.0671504436640404</v>
      </c>
      <c r="V266" s="160">
        <v>0.49826791228355899</v>
      </c>
      <c r="W266" s="160"/>
      <c r="X266" s="59"/>
      <c r="Y266" s="159"/>
      <c r="Z266" s="159"/>
      <c r="AA266" s="159"/>
      <c r="AB266" s="159"/>
      <c r="AC266" s="159"/>
      <c r="AD266" s="161"/>
      <c r="AE266" s="160"/>
    </row>
    <row r="267" spans="1:31" ht="21.25" customHeight="1" x14ac:dyDescent="0.15">
      <c r="A267" s="8" t="s">
        <v>289</v>
      </c>
      <c r="B267" s="157" t="s">
        <v>874</v>
      </c>
      <c r="C267" s="158">
        <v>31</v>
      </c>
      <c r="D267" s="157" t="s">
        <v>860</v>
      </c>
      <c r="E267" s="59">
        <v>77.828214285714296</v>
      </c>
      <c r="F267" s="159">
        <v>19.168837382777301</v>
      </c>
      <c r="G267" s="160">
        <v>9.7282606523332704E-2</v>
      </c>
      <c r="H267" s="160">
        <v>0.373875542682372</v>
      </c>
      <c r="I267" s="160">
        <v>0.47115814920570498</v>
      </c>
      <c r="J267" s="160">
        <v>1.5611354460386799</v>
      </c>
      <c r="K267" s="160">
        <v>1.8719755664632999E-2</v>
      </c>
      <c r="L267" s="160">
        <v>0.157038208053145</v>
      </c>
      <c r="M267" s="160">
        <v>4.9299880311082802E-5</v>
      </c>
      <c r="N267" s="160">
        <v>1.85783617611682E-4</v>
      </c>
      <c r="O267" s="160">
        <v>1.14666762197567</v>
      </c>
      <c r="P267" s="160">
        <v>0.89352036742790597</v>
      </c>
      <c r="Q267" s="160">
        <v>1.6881444408825701E-2</v>
      </c>
      <c r="R267" s="160">
        <v>0.43671151154711102</v>
      </c>
      <c r="S267" s="160">
        <v>1.56284248806485E-2</v>
      </c>
      <c r="T267" s="160">
        <v>0</v>
      </c>
      <c r="U267" s="160">
        <v>0</v>
      </c>
      <c r="V267" s="160">
        <v>0</v>
      </c>
      <c r="W267" s="160"/>
      <c r="X267" s="59"/>
      <c r="Y267" s="159"/>
      <c r="Z267" s="159"/>
      <c r="AA267" s="159"/>
      <c r="AB267" s="159"/>
      <c r="AC267" s="159"/>
      <c r="AD267" s="161"/>
      <c r="AE267" s="160"/>
    </row>
    <row r="268" spans="1:31" ht="21.25" customHeight="1" x14ac:dyDescent="0.15">
      <c r="A268" s="8" t="s">
        <v>434</v>
      </c>
      <c r="B268" s="157" t="s">
        <v>904</v>
      </c>
      <c r="C268" s="158">
        <v>32</v>
      </c>
      <c r="D268" s="157" t="s">
        <v>858</v>
      </c>
      <c r="E268" s="59">
        <v>80.326428571428593</v>
      </c>
      <c r="F268" s="159">
        <v>14.4734531789996</v>
      </c>
      <c r="G268" s="160">
        <v>0.198660675514929</v>
      </c>
      <c r="H268" s="160">
        <v>0.27240656897037102</v>
      </c>
      <c r="I268" s="160">
        <v>0.47106724448530002</v>
      </c>
      <c r="J268" s="160">
        <v>1.7510618975766601</v>
      </c>
      <c r="K268" s="160">
        <v>1.92505522820649E-2</v>
      </c>
      <c r="L268" s="160">
        <v>6.0650215582967702E-2</v>
      </c>
      <c r="M268" s="160">
        <v>0</v>
      </c>
      <c r="N268" s="160">
        <v>0</v>
      </c>
      <c r="O268" s="160">
        <v>0.36164557204379</v>
      </c>
      <c r="P268" s="160">
        <v>0.86536572306991599</v>
      </c>
      <c r="Q268" s="160">
        <v>2.3572841464131002E-2</v>
      </c>
      <c r="R268" s="160">
        <v>0.306891420537791</v>
      </c>
      <c r="S268" s="160"/>
      <c r="T268" s="160">
        <v>0.20859076770760501</v>
      </c>
      <c r="U268" s="160">
        <v>0.31533472319998501</v>
      </c>
      <c r="V268" s="160">
        <v>0.39813059552850799</v>
      </c>
      <c r="W268" s="160"/>
      <c r="X268" s="59"/>
      <c r="Y268" s="159"/>
      <c r="Z268" s="159"/>
      <c r="AA268" s="159"/>
      <c r="AB268" s="159"/>
      <c r="AC268" s="159"/>
      <c r="AD268" s="161"/>
      <c r="AE268" s="160"/>
    </row>
    <row r="269" spans="1:31" ht="21.25" customHeight="1" x14ac:dyDescent="0.15">
      <c r="A269" s="8" t="s">
        <v>403</v>
      </c>
      <c r="B269" s="157" t="s">
        <v>872</v>
      </c>
      <c r="C269" s="158">
        <v>31</v>
      </c>
      <c r="D269" s="157" t="s">
        <v>858</v>
      </c>
      <c r="E269" s="59">
        <v>80.078214285714296</v>
      </c>
      <c r="F269" s="159">
        <v>15.7947745426829</v>
      </c>
      <c r="G269" s="160">
        <v>0.206241630513501</v>
      </c>
      <c r="H269" s="160">
        <v>0.26332311478006698</v>
      </c>
      <c r="I269" s="160">
        <v>0.46956474529356801</v>
      </c>
      <c r="J269" s="160">
        <v>1.8765717340285</v>
      </c>
      <c r="K269" s="160">
        <v>2.4898178478201801E-2</v>
      </c>
      <c r="L269" s="160">
        <v>7.7309225147427094E-2</v>
      </c>
      <c r="M269" s="160">
        <v>9.7007833102519397E-3</v>
      </c>
      <c r="N269" s="160">
        <v>1.1248203706477E-2</v>
      </c>
      <c r="O269" s="160">
        <v>0.51449564093546696</v>
      </c>
      <c r="P269" s="160">
        <v>0.73009084370653698</v>
      </c>
      <c r="Q269" s="160">
        <v>1.2037596530869801E-3</v>
      </c>
      <c r="R269" s="160">
        <v>0.28070886845051601</v>
      </c>
      <c r="S269" s="160">
        <v>3.2276890092764098E-2</v>
      </c>
      <c r="T269" s="160">
        <v>0.195319638328774</v>
      </c>
      <c r="U269" s="160">
        <v>0.24668615197250601</v>
      </c>
      <c r="V269" s="160">
        <v>0.44189384531736697</v>
      </c>
      <c r="W269" s="160"/>
      <c r="X269" s="59"/>
      <c r="Y269" s="159"/>
      <c r="Z269" s="159"/>
      <c r="AA269" s="159"/>
      <c r="AB269" s="159"/>
      <c r="AC269" s="159"/>
      <c r="AD269" s="161"/>
      <c r="AE269" s="160"/>
    </row>
    <row r="270" spans="1:31" ht="21.25" customHeight="1" x14ac:dyDescent="0.15">
      <c r="A270" s="8" t="s">
        <v>282</v>
      </c>
      <c r="B270" s="157" t="s">
        <v>897</v>
      </c>
      <c r="C270" s="158">
        <v>32</v>
      </c>
      <c r="D270" s="157" t="s">
        <v>860</v>
      </c>
      <c r="E270" s="59">
        <v>81.325000000000003</v>
      </c>
      <c r="F270" s="159">
        <v>18.225764967494701</v>
      </c>
      <c r="G270" s="160">
        <v>9.7085938353849599E-2</v>
      </c>
      <c r="H270" s="160">
        <v>0.37126952560037702</v>
      </c>
      <c r="I270" s="160">
        <v>0.468355463954227</v>
      </c>
      <c r="J270" s="160">
        <v>1.772617131671</v>
      </c>
      <c r="K270" s="160">
        <v>2.6210729707187401E-2</v>
      </c>
      <c r="L270" s="160">
        <v>0.18692183444444899</v>
      </c>
      <c r="M270" s="160">
        <v>1.7367595155643801E-4</v>
      </c>
      <c r="N270" s="160">
        <v>4.9027499810891098E-3</v>
      </c>
      <c r="O270" s="160">
        <v>1.0349700831148401</v>
      </c>
      <c r="P270" s="160">
        <v>0.72953183725189297</v>
      </c>
      <c r="Q270" s="160">
        <v>-2.21432656102406E-2</v>
      </c>
      <c r="R270" s="160">
        <v>0.31895199219903297</v>
      </c>
      <c r="S270" s="160">
        <v>1.4177086192799599E-2</v>
      </c>
      <c r="T270" s="160">
        <v>0</v>
      </c>
      <c r="U270" s="160">
        <v>0</v>
      </c>
      <c r="V270" s="160">
        <v>0</v>
      </c>
      <c r="W270" s="160"/>
      <c r="X270" s="59"/>
      <c r="Y270" s="159"/>
      <c r="Z270" s="159"/>
      <c r="AA270" s="159"/>
      <c r="AB270" s="159"/>
      <c r="AC270" s="159"/>
      <c r="AD270" s="161"/>
      <c r="AE270" s="160"/>
    </row>
    <row r="271" spans="1:31" ht="21.25" customHeight="1" x14ac:dyDescent="0.15">
      <c r="A271" s="8" t="s">
        <v>562</v>
      </c>
      <c r="B271" s="157" t="s">
        <v>890</v>
      </c>
      <c r="C271" s="158">
        <v>33</v>
      </c>
      <c r="D271" s="157" t="s">
        <v>857</v>
      </c>
      <c r="E271" s="59">
        <v>69.568571428571403</v>
      </c>
      <c r="F271" s="159">
        <v>15.7077322791556</v>
      </c>
      <c r="G271" s="160">
        <v>0.17733354699559101</v>
      </c>
      <c r="H271" s="160">
        <v>0.29081012767933301</v>
      </c>
      <c r="I271" s="160">
        <v>0.46814367467492402</v>
      </c>
      <c r="J271" s="160">
        <v>1.98189264315265</v>
      </c>
      <c r="K271" s="160">
        <v>4.1723675541012702E-2</v>
      </c>
      <c r="L271" s="160">
        <v>0.11080375269314501</v>
      </c>
      <c r="M271" s="160">
        <v>2.6717799952497798E-4</v>
      </c>
      <c r="N271" s="160">
        <v>5.0204507704078999E-4</v>
      </c>
      <c r="O271" s="160">
        <v>0.41724424700255203</v>
      </c>
      <c r="P271" s="160">
        <v>1.00068392080979</v>
      </c>
      <c r="Q271" s="160">
        <v>-9.7144115025198305E-2</v>
      </c>
      <c r="R271" s="160">
        <v>0.34849931078502699</v>
      </c>
      <c r="S271" s="160">
        <v>2.0780220250094399E-2</v>
      </c>
      <c r="T271" s="160">
        <v>1.3765035254225999</v>
      </c>
      <c r="U271" s="160">
        <v>1.1786309203799299</v>
      </c>
      <c r="V271" s="160">
        <v>0.53872058579299498</v>
      </c>
      <c r="W271" s="160"/>
      <c r="X271" s="59"/>
      <c r="Y271" s="159"/>
      <c r="Z271" s="159"/>
      <c r="AA271" s="159"/>
      <c r="AB271" s="159"/>
      <c r="AC271" s="159"/>
      <c r="AD271" s="161"/>
      <c r="AE271" s="160"/>
    </row>
    <row r="272" spans="1:31" ht="21.25" customHeight="1" x14ac:dyDescent="0.15">
      <c r="A272" s="8" t="s">
        <v>430</v>
      </c>
      <c r="B272" s="157" t="s">
        <v>885</v>
      </c>
      <c r="C272" s="158">
        <v>27</v>
      </c>
      <c r="D272" s="157" t="s">
        <v>859</v>
      </c>
      <c r="E272" s="59">
        <v>76.434642857142904</v>
      </c>
      <c r="F272" s="159">
        <v>13.9940849690036</v>
      </c>
      <c r="G272" s="160">
        <v>0.18823626162965601</v>
      </c>
      <c r="H272" s="160">
        <v>0.27587863242356497</v>
      </c>
      <c r="I272" s="160">
        <v>0.46411489405322098</v>
      </c>
      <c r="J272" s="160">
        <v>1.6869779795178199</v>
      </c>
      <c r="K272" s="160">
        <v>2.1763251210131299E-2</v>
      </c>
      <c r="L272" s="160">
        <v>6.4646593655247095E-2</v>
      </c>
      <c r="M272" s="160">
        <v>1.03895962370372E-2</v>
      </c>
      <c r="N272" s="160">
        <v>1.20085609649223E-2</v>
      </c>
      <c r="O272" s="160">
        <v>0.31498589043951702</v>
      </c>
      <c r="P272" s="160">
        <v>1.44491034359346</v>
      </c>
      <c r="Q272" s="160">
        <v>-5.3785740256492097E-2</v>
      </c>
      <c r="R272" s="160">
        <v>0.25173047420653399</v>
      </c>
      <c r="S272" s="160">
        <v>2.1660860823956001E-2</v>
      </c>
      <c r="T272" s="160">
        <v>0.30037516918874302</v>
      </c>
      <c r="U272" s="160">
        <v>0.60141556441205202</v>
      </c>
      <c r="V272" s="160">
        <v>0.33308744257036599</v>
      </c>
      <c r="W272" s="160"/>
      <c r="X272" s="59"/>
      <c r="Y272" s="159"/>
      <c r="Z272" s="159"/>
      <c r="AA272" s="159"/>
      <c r="AB272" s="159"/>
      <c r="AC272" s="159"/>
      <c r="AD272" s="161"/>
      <c r="AE272" s="160"/>
    </row>
    <row r="273" spans="1:31" ht="21.25" customHeight="1" x14ac:dyDescent="0.15">
      <c r="A273" s="8" t="s">
        <v>405</v>
      </c>
      <c r="B273" s="157" t="s">
        <v>896</v>
      </c>
      <c r="C273" s="158">
        <v>29</v>
      </c>
      <c r="D273" s="157" t="s">
        <v>857</v>
      </c>
      <c r="E273" s="59">
        <v>80.34</v>
      </c>
      <c r="F273" s="159">
        <v>15.2412928125782</v>
      </c>
      <c r="G273" s="160">
        <v>0.24964373090928699</v>
      </c>
      <c r="H273" s="160">
        <v>0.21428246307464999</v>
      </c>
      <c r="I273" s="160">
        <v>0.46392619398393697</v>
      </c>
      <c r="J273" s="160">
        <v>2.5396717998937302</v>
      </c>
      <c r="K273" s="160">
        <v>4.2520701518162E-2</v>
      </c>
      <c r="L273" s="160">
        <v>8.3786941902871601E-2</v>
      </c>
      <c r="M273" s="160">
        <v>1.7225483335371701E-3</v>
      </c>
      <c r="N273" s="160">
        <v>3.14838208932704E-3</v>
      </c>
      <c r="O273" s="160">
        <v>0.710532397086024</v>
      </c>
      <c r="P273" s="160">
        <v>1.01088008688646</v>
      </c>
      <c r="Q273" s="160">
        <v>-0.12763514312237401</v>
      </c>
      <c r="R273" s="160">
        <v>0.404472714436523</v>
      </c>
      <c r="S273" s="160">
        <v>2.7063735625119802E-2</v>
      </c>
      <c r="T273" s="160">
        <v>9.2019715248113698E-2</v>
      </c>
      <c r="U273" s="160">
        <v>0.14201819444594899</v>
      </c>
      <c r="V273" s="160">
        <v>0.39318294787542402</v>
      </c>
      <c r="W273" s="160"/>
      <c r="X273" s="59"/>
      <c r="Y273" s="159"/>
      <c r="Z273" s="159"/>
      <c r="AA273" s="159"/>
      <c r="AB273" s="159"/>
      <c r="AC273" s="159"/>
      <c r="AD273" s="161"/>
      <c r="AE273" s="160"/>
    </row>
    <row r="274" spans="1:31" ht="21.25" customHeight="1" x14ac:dyDescent="0.15">
      <c r="A274" s="8" t="s">
        <v>447</v>
      </c>
      <c r="B274" s="157" t="s">
        <v>872</v>
      </c>
      <c r="C274" s="158">
        <v>26</v>
      </c>
      <c r="D274" s="157" t="s">
        <v>858</v>
      </c>
      <c r="E274" s="59">
        <v>74.823928571428596</v>
      </c>
      <c r="F274" s="159">
        <v>16.8118233024544</v>
      </c>
      <c r="G274" s="160">
        <v>0.21838986816786701</v>
      </c>
      <c r="H274" s="160">
        <v>0.24424883102672601</v>
      </c>
      <c r="I274" s="160">
        <v>0.46263869919459299</v>
      </c>
      <c r="J274" s="160">
        <v>1.77561162493304</v>
      </c>
      <c r="K274" s="160">
        <v>2.9745006293006498E-2</v>
      </c>
      <c r="L274" s="160">
        <v>6.1272100764492E-2</v>
      </c>
      <c r="M274" s="160">
        <v>7.0374962364900401E-3</v>
      </c>
      <c r="N274" s="160">
        <v>1.63467791299521E-2</v>
      </c>
      <c r="O274" s="160">
        <v>0.81901305313977801</v>
      </c>
      <c r="P274" s="160">
        <v>3.8662648391619401</v>
      </c>
      <c r="Q274" s="160">
        <v>-5.2932432203647799E-6</v>
      </c>
      <c r="R274" s="160">
        <v>1.2470330876261</v>
      </c>
      <c r="S274" s="160">
        <v>3.4178093698527298E-2</v>
      </c>
      <c r="T274" s="160">
        <v>0.145837831677396</v>
      </c>
      <c r="U274" s="160">
        <v>0.200246360706794</v>
      </c>
      <c r="V274" s="160">
        <v>0.42139408527362299</v>
      </c>
      <c r="W274" s="160"/>
      <c r="X274" s="59"/>
      <c r="Y274" s="159"/>
      <c r="Z274" s="159"/>
      <c r="AA274" s="159"/>
      <c r="AB274" s="159"/>
      <c r="AC274" s="159"/>
      <c r="AD274" s="161"/>
      <c r="AE274" s="160"/>
    </row>
    <row r="275" spans="1:31" ht="21.25" customHeight="1" x14ac:dyDescent="0.15">
      <c r="A275" s="8" t="s">
        <v>349</v>
      </c>
      <c r="B275" s="157" t="s">
        <v>899</v>
      </c>
      <c r="C275" s="158">
        <v>22</v>
      </c>
      <c r="D275" s="157" t="s">
        <v>860</v>
      </c>
      <c r="E275" s="59">
        <v>70.41</v>
      </c>
      <c r="F275" s="159">
        <v>21.6064706247023</v>
      </c>
      <c r="G275" s="160">
        <v>7.7924963247384502E-2</v>
      </c>
      <c r="H275" s="160">
        <v>0.38362099106878</v>
      </c>
      <c r="I275" s="160">
        <v>0.46154595431616502</v>
      </c>
      <c r="J275" s="160">
        <v>1.1634035389449</v>
      </c>
      <c r="K275" s="160">
        <v>1.9916245610368501E-2</v>
      </c>
      <c r="L275" s="160">
        <v>0.151531062665543</v>
      </c>
      <c r="M275" s="160">
        <v>1.7984500773753201E-4</v>
      </c>
      <c r="N275" s="160">
        <v>3.3627893165362301E-3</v>
      </c>
      <c r="O275" s="160">
        <v>1.3901657873245701</v>
      </c>
      <c r="P275" s="160">
        <v>1.07117240525449</v>
      </c>
      <c r="Q275" s="160">
        <v>-5.9444170413823397E-2</v>
      </c>
      <c r="R275" s="160">
        <v>0.38063001144132202</v>
      </c>
      <c r="S275" s="160">
        <v>9.1597398641248204E-3</v>
      </c>
      <c r="T275" s="160">
        <v>0</v>
      </c>
      <c r="U275" s="160">
        <v>0</v>
      </c>
      <c r="V275" s="160">
        <v>0</v>
      </c>
      <c r="W275" s="160"/>
      <c r="X275" s="59"/>
      <c r="Y275" s="159"/>
      <c r="Z275" s="159"/>
      <c r="AA275" s="159"/>
      <c r="AB275" s="159"/>
      <c r="AC275" s="159"/>
      <c r="AD275" s="161"/>
      <c r="AE275" s="160"/>
    </row>
    <row r="276" spans="1:31" ht="21.25" customHeight="1" x14ac:dyDescent="0.15">
      <c r="A276" s="8" t="s">
        <v>369</v>
      </c>
      <c r="B276" s="157" t="s">
        <v>903</v>
      </c>
      <c r="C276" s="158">
        <v>29</v>
      </c>
      <c r="D276" s="157" t="s">
        <v>859</v>
      </c>
      <c r="E276" s="59">
        <v>77.349285714285699</v>
      </c>
      <c r="F276" s="159">
        <v>16.739677973027099</v>
      </c>
      <c r="G276" s="160">
        <v>0.27532739024387198</v>
      </c>
      <c r="H276" s="160">
        <v>0.18547058863844901</v>
      </c>
      <c r="I276" s="160">
        <v>0.46079797888232099</v>
      </c>
      <c r="J276" s="160">
        <v>2.2603114841440699</v>
      </c>
      <c r="K276" s="160">
        <v>3.39777749997437E-2</v>
      </c>
      <c r="L276" s="160">
        <v>4.8958241826761999E-2</v>
      </c>
      <c r="M276" s="160">
        <v>1.5945181179770999E-2</v>
      </c>
      <c r="N276" s="160">
        <v>1.7786398274506302E-2</v>
      </c>
      <c r="O276" s="160">
        <v>0.63805307925631205</v>
      </c>
      <c r="P276" s="160">
        <v>1.9096761142957701</v>
      </c>
      <c r="Q276" s="160">
        <v>-0.10181760445714701</v>
      </c>
      <c r="R276" s="160">
        <v>0.69462091124158498</v>
      </c>
      <c r="S276" s="160">
        <v>2.9836980745623701E-2</v>
      </c>
      <c r="T276" s="160">
        <v>0.27661435859838901</v>
      </c>
      <c r="U276" s="160">
        <v>0.30341343955503303</v>
      </c>
      <c r="V276" s="160">
        <v>0.47689845121047603</v>
      </c>
      <c r="W276" s="160"/>
      <c r="X276" s="59"/>
      <c r="Y276" s="159"/>
      <c r="Z276" s="159"/>
      <c r="AA276" s="159"/>
      <c r="AB276" s="159"/>
      <c r="AC276" s="159"/>
      <c r="AD276" s="161"/>
      <c r="AE276" s="160"/>
    </row>
    <row r="277" spans="1:31" ht="21.25" customHeight="1" x14ac:dyDescent="0.15">
      <c r="A277" s="8" t="s">
        <v>368</v>
      </c>
      <c r="B277" s="157" t="s">
        <v>875</v>
      </c>
      <c r="C277" s="158">
        <v>23</v>
      </c>
      <c r="D277" s="157" t="s">
        <v>860</v>
      </c>
      <c r="E277" s="59">
        <v>64.63</v>
      </c>
      <c r="F277" s="159">
        <v>16.1527448932349</v>
      </c>
      <c r="G277" s="160">
        <v>5.9399887341587597E-2</v>
      </c>
      <c r="H277" s="160">
        <v>0.40015322183700702</v>
      </c>
      <c r="I277" s="160">
        <v>0.45955310917859499</v>
      </c>
      <c r="J277" s="160">
        <v>1.2619123635427201</v>
      </c>
      <c r="K277" s="160">
        <v>7.0930642994811496E-3</v>
      </c>
      <c r="L277" s="160">
        <v>0.28179376004745699</v>
      </c>
      <c r="M277" s="160">
        <v>6.8933924456702296E-5</v>
      </c>
      <c r="N277" s="160">
        <v>2.5021774836244602E-4</v>
      </c>
      <c r="O277" s="160">
        <v>0.74857010339684105</v>
      </c>
      <c r="P277" s="160">
        <v>0.70218680286847601</v>
      </c>
      <c r="Q277" s="160">
        <v>2.42696001948591E-3</v>
      </c>
      <c r="R277" s="160">
        <v>0.34853823653235499</v>
      </c>
      <c r="S277" s="160">
        <v>9.5382209924735895E-3</v>
      </c>
      <c r="T277" s="160">
        <v>0</v>
      </c>
      <c r="U277" s="160">
        <v>0</v>
      </c>
      <c r="V277" s="160">
        <v>0</v>
      </c>
      <c r="W277" s="160"/>
      <c r="X277" s="59"/>
      <c r="Y277" s="159"/>
      <c r="Z277" s="159"/>
      <c r="AA277" s="159"/>
      <c r="AB277" s="159"/>
      <c r="AC277" s="159"/>
      <c r="AD277" s="161"/>
      <c r="AE277" s="160"/>
    </row>
    <row r="278" spans="1:31" ht="21.25" customHeight="1" x14ac:dyDescent="0.15">
      <c r="A278" s="8" t="s">
        <v>535</v>
      </c>
      <c r="B278" s="157" t="s">
        <v>894</v>
      </c>
      <c r="C278" s="158">
        <v>25</v>
      </c>
      <c r="D278" s="157" t="s">
        <v>857</v>
      </c>
      <c r="E278" s="59">
        <v>79.669642857142904</v>
      </c>
      <c r="F278" s="159">
        <v>14.463996465955301</v>
      </c>
      <c r="G278" s="160">
        <v>0.21659815143417599</v>
      </c>
      <c r="H278" s="160">
        <v>0.241209315345528</v>
      </c>
      <c r="I278" s="160">
        <v>0.45780746677970402</v>
      </c>
      <c r="J278" s="160">
        <v>1.7805405296605701</v>
      </c>
      <c r="K278" s="160">
        <v>1.07040090047598E-3</v>
      </c>
      <c r="L278" s="160">
        <v>2.0856503643133001E-3</v>
      </c>
      <c r="M278" s="160">
        <v>2.56287135611768E-2</v>
      </c>
      <c r="N278" s="160">
        <v>4.4047265810471997E-2</v>
      </c>
      <c r="O278" s="160">
        <v>0.49656221244940901</v>
      </c>
      <c r="P278" s="160">
        <v>0.41045685107295599</v>
      </c>
      <c r="Q278" s="160">
        <v>-1.6011974035608199E-3</v>
      </c>
      <c r="R278" s="160">
        <v>0.19669209702551299</v>
      </c>
      <c r="S278" s="160">
        <v>3.6193172071018E-2</v>
      </c>
      <c r="T278" s="160">
        <v>0.47451090566871801</v>
      </c>
      <c r="U278" s="160">
        <v>0.88385183953385404</v>
      </c>
      <c r="V278" s="160">
        <v>0.349325618171275</v>
      </c>
      <c r="W278" s="160"/>
      <c r="X278" s="59"/>
      <c r="Y278" s="159"/>
      <c r="Z278" s="159"/>
      <c r="AA278" s="159"/>
      <c r="AB278" s="159"/>
      <c r="AC278" s="159"/>
      <c r="AD278" s="161"/>
      <c r="AE278" s="160"/>
    </row>
    <row r="279" spans="1:31" ht="21.25" customHeight="1" x14ac:dyDescent="0.15">
      <c r="A279" s="8" t="s">
        <v>458</v>
      </c>
      <c r="B279" s="157" t="s">
        <v>900</v>
      </c>
      <c r="C279" s="158">
        <v>27</v>
      </c>
      <c r="D279" s="157" t="s">
        <v>858</v>
      </c>
      <c r="E279" s="59">
        <v>78.364999999999995</v>
      </c>
      <c r="F279" s="159">
        <v>14.714846547559301</v>
      </c>
      <c r="G279" s="160">
        <v>0.22376618164078499</v>
      </c>
      <c r="H279" s="160">
        <v>0.23069088567026</v>
      </c>
      <c r="I279" s="160">
        <v>0.45445706731104502</v>
      </c>
      <c r="J279" s="160">
        <v>1.92324198022974</v>
      </c>
      <c r="K279" s="160">
        <v>1.1571251180414899E-2</v>
      </c>
      <c r="L279" s="160">
        <v>3.2876817522642002E-2</v>
      </c>
      <c r="M279" s="160">
        <v>5.2297651476478704E-3</v>
      </c>
      <c r="N279" s="160">
        <v>8.1851491732679808E-3</v>
      </c>
      <c r="O279" s="160">
        <v>0.16010007449879601</v>
      </c>
      <c r="P279" s="160">
        <v>0.79584122197578899</v>
      </c>
      <c r="Q279" s="160">
        <v>2.3352483059385198E-2</v>
      </c>
      <c r="R279" s="160">
        <v>0.36910099353496001</v>
      </c>
      <c r="S279" s="160">
        <v>3.4576765997593198E-2</v>
      </c>
      <c r="T279" s="160">
        <v>0.64478460516569802</v>
      </c>
      <c r="U279" s="160">
        <v>0.73662224053398195</v>
      </c>
      <c r="V279" s="160">
        <v>0.46675938169331699</v>
      </c>
      <c r="W279" s="160"/>
      <c r="X279" s="59"/>
      <c r="Y279" s="159"/>
      <c r="Z279" s="159"/>
      <c r="AA279" s="159"/>
      <c r="AB279" s="159"/>
      <c r="AC279" s="159"/>
      <c r="AD279" s="161"/>
      <c r="AE279" s="160"/>
    </row>
    <row r="280" spans="1:31" ht="21.25" customHeight="1" x14ac:dyDescent="0.15">
      <c r="A280" s="8" t="s">
        <v>269</v>
      </c>
      <c r="B280" s="157" t="s">
        <v>870</v>
      </c>
      <c r="C280" s="158">
        <v>28</v>
      </c>
      <c r="D280" s="157" t="s">
        <v>860</v>
      </c>
      <c r="E280" s="59">
        <v>80.517499999999998</v>
      </c>
      <c r="F280" s="159">
        <v>21.811385729283899</v>
      </c>
      <c r="G280" s="160">
        <v>0.13985408328094101</v>
      </c>
      <c r="H280" s="160">
        <v>0.314369953669899</v>
      </c>
      <c r="I280" s="160">
        <v>0.45422403695084002</v>
      </c>
      <c r="J280" s="160">
        <v>2.26735245334973</v>
      </c>
      <c r="K280" s="160">
        <v>3.1896066399979398E-3</v>
      </c>
      <c r="L280" s="160">
        <v>3.8582131543416498E-2</v>
      </c>
      <c r="M280" s="160">
        <v>1.8043047035558001E-2</v>
      </c>
      <c r="N280" s="160">
        <v>2.2731895969397301E-2</v>
      </c>
      <c r="O280" s="160">
        <v>1.78918261387299</v>
      </c>
      <c r="P280" s="160">
        <v>1.81351911493476</v>
      </c>
      <c r="Q280" s="160">
        <v>7.8483809367511204E-2</v>
      </c>
      <c r="R280" s="160">
        <v>0.68430728844528799</v>
      </c>
      <c r="S280" s="160">
        <v>2.2137399962668301E-2</v>
      </c>
      <c r="T280" s="160">
        <v>0</v>
      </c>
      <c r="U280" s="160">
        <v>0</v>
      </c>
      <c r="V280" s="160">
        <v>0</v>
      </c>
      <c r="W280" s="160"/>
      <c r="X280" s="59"/>
      <c r="Y280" s="159"/>
      <c r="Z280" s="159"/>
      <c r="AA280" s="159"/>
      <c r="AB280" s="159"/>
      <c r="AC280" s="159"/>
      <c r="AD280" s="161"/>
      <c r="AE280" s="160"/>
    </row>
    <row r="281" spans="1:31" ht="21.25" customHeight="1" x14ac:dyDescent="0.15">
      <c r="A281" s="8" t="s">
        <v>573</v>
      </c>
      <c r="B281" s="157" t="s">
        <v>871</v>
      </c>
      <c r="C281" s="158">
        <v>28</v>
      </c>
      <c r="D281" s="157" t="s">
        <v>858</v>
      </c>
      <c r="E281" s="59">
        <v>69.412857142857106</v>
      </c>
      <c r="F281" s="159">
        <v>14.166713070516201</v>
      </c>
      <c r="G281" s="160">
        <v>8.8387218640359602E-2</v>
      </c>
      <c r="H281" s="160">
        <v>0.36165770148418802</v>
      </c>
      <c r="I281" s="160">
        <v>0.450044920124548</v>
      </c>
      <c r="J281" s="160">
        <v>1.31695559084817</v>
      </c>
      <c r="K281" s="160">
        <v>6.7484489673453399E-3</v>
      </c>
      <c r="L281" s="160">
        <v>8.1912875300801796E-2</v>
      </c>
      <c r="M281" s="160">
        <v>7.4757314126055899E-5</v>
      </c>
      <c r="N281" s="160">
        <v>1.41773475955891E-4</v>
      </c>
      <c r="O281" s="160">
        <v>0.371594597735659</v>
      </c>
      <c r="P281" s="160">
        <v>0.65760068324999799</v>
      </c>
      <c r="Q281" s="160">
        <v>3.7049694171735002E-2</v>
      </c>
      <c r="R281" s="160">
        <v>0.33379510132237</v>
      </c>
      <c r="S281" s="160">
        <v>1.39841896961373E-2</v>
      </c>
      <c r="T281" s="160">
        <v>2.3037439667836801</v>
      </c>
      <c r="U281" s="160">
        <v>2.7337846604534599</v>
      </c>
      <c r="V281" s="160">
        <v>0.45731630274569401</v>
      </c>
      <c r="W281" s="160"/>
      <c r="X281" s="59"/>
      <c r="Y281" s="159"/>
      <c r="Z281" s="159"/>
      <c r="AA281" s="159"/>
      <c r="AB281" s="159"/>
      <c r="AC281" s="159"/>
      <c r="AD281" s="161"/>
      <c r="AE281" s="160"/>
    </row>
    <row r="282" spans="1:31" ht="21.25" customHeight="1" x14ac:dyDescent="0.15">
      <c r="A282" s="8" t="s">
        <v>423</v>
      </c>
      <c r="B282" s="157" t="s">
        <v>879</v>
      </c>
      <c r="C282" s="158">
        <v>34</v>
      </c>
      <c r="D282" s="157" t="s">
        <v>858</v>
      </c>
      <c r="E282" s="59">
        <v>78.302499999999995</v>
      </c>
      <c r="F282" s="159">
        <v>15.3075794547175</v>
      </c>
      <c r="G282" s="160">
        <v>0.21269475745320399</v>
      </c>
      <c r="H282" s="160">
        <v>0.23594327417667599</v>
      </c>
      <c r="I282" s="160">
        <v>0.44863803162987897</v>
      </c>
      <c r="J282" s="160">
        <v>2.0176894564372301</v>
      </c>
      <c r="K282" s="160">
        <v>6.2684767716029405E-2</v>
      </c>
      <c r="L282" s="160">
        <v>8.8738461348277897E-2</v>
      </c>
      <c r="M282" s="160">
        <v>3.00588910988977E-5</v>
      </c>
      <c r="N282" s="160">
        <v>5.5262194497872398E-5</v>
      </c>
      <c r="O282" s="160">
        <v>0.33399164611090099</v>
      </c>
      <c r="P282" s="160">
        <v>0.46045280943101102</v>
      </c>
      <c r="Q282" s="160">
        <v>4.9314019047678202E-2</v>
      </c>
      <c r="R282" s="160">
        <v>0.34979763534451302</v>
      </c>
      <c r="S282" s="160">
        <v>3.57072640753512E-2</v>
      </c>
      <c r="T282" s="160">
        <v>0.11509279896904</v>
      </c>
      <c r="U282" s="160">
        <v>0.13264864537537099</v>
      </c>
      <c r="V282" s="160">
        <v>0.46456820849497399</v>
      </c>
      <c r="W282" s="160"/>
      <c r="X282" s="59"/>
      <c r="Y282" s="159"/>
      <c r="Z282" s="159"/>
      <c r="AA282" s="159"/>
      <c r="AB282" s="159"/>
      <c r="AC282" s="159"/>
      <c r="AD282" s="161"/>
      <c r="AE282" s="160"/>
    </row>
    <row r="283" spans="1:31" ht="21.25" customHeight="1" x14ac:dyDescent="0.15">
      <c r="A283" s="8" t="s">
        <v>599</v>
      </c>
      <c r="B283" s="157" t="s">
        <v>890</v>
      </c>
      <c r="C283" s="158">
        <v>24</v>
      </c>
      <c r="D283" s="157" t="s">
        <v>857</v>
      </c>
      <c r="E283" s="59">
        <v>73.375</v>
      </c>
      <c r="F283" s="159">
        <v>14.2358377558798</v>
      </c>
      <c r="G283" s="160">
        <v>0.226794008034617</v>
      </c>
      <c r="H283" s="160">
        <v>0.22150036522041999</v>
      </c>
      <c r="I283" s="160">
        <v>0.44829437325503702</v>
      </c>
      <c r="J283" s="160">
        <v>1.74276357327883</v>
      </c>
      <c r="K283" s="160">
        <v>6.5867035157780003E-3</v>
      </c>
      <c r="L283" s="160">
        <v>1.67262135326284E-2</v>
      </c>
      <c r="M283" s="160">
        <v>3.5434284282912201E-3</v>
      </c>
      <c r="N283" s="160">
        <v>6.5043623090314797E-3</v>
      </c>
      <c r="O283" s="160">
        <v>0.53525881249861995</v>
      </c>
      <c r="P283" s="160">
        <v>0.74295844228710095</v>
      </c>
      <c r="Q283" s="160">
        <v>-6.6388336493578906E-2</v>
      </c>
      <c r="R283" s="160">
        <v>0.30052550720036297</v>
      </c>
      <c r="S283" s="160">
        <v>2.6576073834908301E-2</v>
      </c>
      <c r="T283" s="160">
        <v>6.1454683469091202</v>
      </c>
      <c r="U283" s="160">
        <v>5.6566242738595198</v>
      </c>
      <c r="V283" s="160">
        <v>0.52071005917159796</v>
      </c>
      <c r="W283" s="160"/>
      <c r="X283" s="59"/>
      <c r="Y283" s="159"/>
      <c r="Z283" s="159"/>
      <c r="AA283" s="159"/>
      <c r="AB283" s="159"/>
      <c r="AC283" s="159"/>
      <c r="AD283" s="161"/>
      <c r="AE283" s="160"/>
    </row>
    <row r="284" spans="1:31" ht="21.25" customHeight="1" x14ac:dyDescent="0.15">
      <c r="A284" s="8" t="s">
        <v>415</v>
      </c>
      <c r="B284" s="157" t="s">
        <v>901</v>
      </c>
      <c r="C284" s="158">
        <v>24</v>
      </c>
      <c r="D284" s="157" t="s">
        <v>859</v>
      </c>
      <c r="E284" s="59">
        <v>73</v>
      </c>
      <c r="F284" s="159">
        <v>14.1531691711759</v>
      </c>
      <c r="G284" s="160">
        <v>0.23220296147456701</v>
      </c>
      <c r="H284" s="160">
        <v>0.21605144779838401</v>
      </c>
      <c r="I284" s="160">
        <v>0.44825440927295102</v>
      </c>
      <c r="J284" s="160">
        <v>1.83537870876498</v>
      </c>
      <c r="K284" s="160">
        <v>5.21027590253045E-2</v>
      </c>
      <c r="L284" s="160">
        <v>0.11821352006076701</v>
      </c>
      <c r="M284" s="160">
        <v>7.2896671868107597E-4</v>
      </c>
      <c r="N284" s="160">
        <v>1.3389947700588501E-3</v>
      </c>
      <c r="O284" s="160">
        <v>0.69842740840819095</v>
      </c>
      <c r="P284" s="160">
        <v>1.7408684808344499</v>
      </c>
      <c r="Q284" s="160">
        <v>6.9705271237885703E-3</v>
      </c>
      <c r="R284" s="160">
        <v>0.23603896085583401</v>
      </c>
      <c r="S284" s="160">
        <v>3.2638674933766001E-2</v>
      </c>
      <c r="T284" s="160">
        <v>2.1147789242712801E-2</v>
      </c>
      <c r="U284" s="160">
        <v>0.13544757067475899</v>
      </c>
      <c r="V284" s="160">
        <v>0.135047355514608</v>
      </c>
      <c r="W284" s="160"/>
      <c r="X284" s="59"/>
      <c r="Y284" s="159"/>
      <c r="Z284" s="159"/>
      <c r="AA284" s="159"/>
      <c r="AB284" s="159"/>
      <c r="AC284" s="159"/>
      <c r="AD284" s="161"/>
      <c r="AE284" s="160"/>
    </row>
    <row r="285" spans="1:31" ht="21.25" customHeight="1" x14ac:dyDescent="0.15">
      <c r="A285" s="8" t="s">
        <v>290</v>
      </c>
      <c r="B285" s="157" t="s">
        <v>894</v>
      </c>
      <c r="C285" s="162">
        <v>29</v>
      </c>
      <c r="D285" s="157" t="s">
        <v>860</v>
      </c>
      <c r="E285" s="59">
        <v>80.8</v>
      </c>
      <c r="F285" s="159">
        <v>20.613531413824902</v>
      </c>
      <c r="G285" s="160">
        <v>7.3132894643654398E-2</v>
      </c>
      <c r="H285" s="160">
        <v>0.37448208069264499</v>
      </c>
      <c r="I285" s="160">
        <v>0.44761497533630001</v>
      </c>
      <c r="J285" s="160">
        <v>1.9763076130425501</v>
      </c>
      <c r="K285" s="160">
        <v>3.4762887948538699E-3</v>
      </c>
      <c r="L285" s="160">
        <v>3.1020133836826998E-2</v>
      </c>
      <c r="M285" s="160">
        <v>2.59666976123301E-3</v>
      </c>
      <c r="N285" s="160">
        <v>1.2890904010081699E-2</v>
      </c>
      <c r="O285" s="160">
        <v>1.50509458630837</v>
      </c>
      <c r="P285" s="160">
        <v>2.0726144078476501</v>
      </c>
      <c r="Q285" s="160">
        <v>6.5650505589047101E-2</v>
      </c>
      <c r="R285" s="160">
        <v>0.55193900740011104</v>
      </c>
      <c r="S285" s="160">
        <v>1.2220378716823001E-2</v>
      </c>
      <c r="T285" s="160">
        <v>0</v>
      </c>
      <c r="U285" s="160">
        <v>0</v>
      </c>
      <c r="V285" s="160">
        <v>0</v>
      </c>
      <c r="W285" s="160"/>
      <c r="X285" s="59"/>
      <c r="Y285" s="159"/>
      <c r="Z285" s="159"/>
      <c r="AA285" s="159"/>
      <c r="AB285" s="159"/>
      <c r="AC285" s="159"/>
      <c r="AD285" s="161"/>
      <c r="AE285" s="160"/>
    </row>
    <row r="286" spans="1:31" ht="21.25" customHeight="1" x14ac:dyDescent="0.15">
      <c r="A286" s="8" t="s">
        <v>603</v>
      </c>
      <c r="B286" s="157" t="s">
        <v>903</v>
      </c>
      <c r="C286" s="162">
        <v>27</v>
      </c>
      <c r="D286" s="157" t="s">
        <v>857</v>
      </c>
      <c r="E286" s="59">
        <v>75.260000000000005</v>
      </c>
      <c r="F286" s="159">
        <v>15.5573909713075</v>
      </c>
      <c r="G286" s="160">
        <v>0.17124102699615101</v>
      </c>
      <c r="H286" s="160">
        <v>0.26842666493078399</v>
      </c>
      <c r="I286" s="160">
        <v>0.439667691926935</v>
      </c>
      <c r="J286" s="160">
        <v>1.3213867270117801</v>
      </c>
      <c r="K286" s="160">
        <v>1.66539833484021E-2</v>
      </c>
      <c r="L286" s="160">
        <v>4.60053501224841E-2</v>
      </c>
      <c r="M286" s="160">
        <v>8.8623261142312601E-3</v>
      </c>
      <c r="N286" s="160">
        <v>1.02098945747741E-2</v>
      </c>
      <c r="O286" s="160">
        <v>0.88804409612978896</v>
      </c>
      <c r="P286" s="160">
        <v>0.42444199876388</v>
      </c>
      <c r="Q286" s="160">
        <v>-0.108369868118666</v>
      </c>
      <c r="R286" s="160">
        <v>0.19669103563944099</v>
      </c>
      <c r="S286" s="160">
        <v>1.8557235518120399E-2</v>
      </c>
      <c r="T286" s="160">
        <v>7.4530734099359401</v>
      </c>
      <c r="U286" s="160">
        <v>6.4682792085977203</v>
      </c>
      <c r="V286" s="160">
        <v>0.535369918007362</v>
      </c>
      <c r="W286" s="160"/>
      <c r="X286" s="59"/>
      <c r="Y286" s="159"/>
      <c r="Z286" s="159"/>
      <c r="AA286" s="159"/>
      <c r="AB286" s="159"/>
      <c r="AC286" s="159"/>
      <c r="AD286" s="161"/>
      <c r="AE286" s="160"/>
    </row>
    <row r="287" spans="1:31" ht="21.25" customHeight="1" x14ac:dyDescent="0.15">
      <c r="A287" s="8" t="s">
        <v>575</v>
      </c>
      <c r="B287" s="157" t="s">
        <v>901</v>
      </c>
      <c r="C287" s="162">
        <v>28</v>
      </c>
      <c r="D287" s="157" t="s">
        <v>857</v>
      </c>
      <c r="E287" s="59">
        <v>81.754999999999995</v>
      </c>
      <c r="F287" s="159">
        <v>17.704137305832401</v>
      </c>
      <c r="G287" s="160">
        <v>0.160493593102363</v>
      </c>
      <c r="H287" s="160">
        <v>0.278526184810094</v>
      </c>
      <c r="I287" s="160">
        <v>0.439019777912457</v>
      </c>
      <c r="J287" s="160">
        <v>1.2273228122472899</v>
      </c>
      <c r="K287" s="160">
        <v>3.3938999297191103E-2</v>
      </c>
      <c r="L287" s="160">
        <v>8.4526428387417599E-2</v>
      </c>
      <c r="M287" s="160">
        <v>3.9749800546782597E-3</v>
      </c>
      <c r="N287" s="160">
        <v>1.00111993113447E-2</v>
      </c>
      <c r="O287" s="160">
        <v>0.69507752541892198</v>
      </c>
      <c r="P287" s="160">
        <v>0.577096669276143</v>
      </c>
      <c r="Q287" s="160">
        <v>-1.4820300037593E-2</v>
      </c>
      <c r="R287" s="160">
        <v>0.28094220132595399</v>
      </c>
      <c r="S287" s="160">
        <v>2.2559136115039999E-2</v>
      </c>
      <c r="T287" s="160">
        <v>7.22475980369427</v>
      </c>
      <c r="U287" s="160">
        <v>8.2697989406524002</v>
      </c>
      <c r="V287" s="160">
        <v>0.46627722175891501</v>
      </c>
      <c r="W287" s="160"/>
      <c r="X287" s="59"/>
      <c r="Y287" s="159"/>
      <c r="Z287" s="159"/>
      <c r="AA287" s="159"/>
      <c r="AB287" s="159"/>
      <c r="AC287" s="159"/>
      <c r="AD287" s="161"/>
      <c r="AE287" s="160"/>
    </row>
    <row r="288" spans="1:31" ht="21.25" customHeight="1" x14ac:dyDescent="0.15">
      <c r="A288" s="8" t="s">
        <v>543</v>
      </c>
      <c r="B288" s="157" t="s">
        <v>895</v>
      </c>
      <c r="C288" s="158">
        <v>22</v>
      </c>
      <c r="D288" s="157" t="s">
        <v>858</v>
      </c>
      <c r="E288" s="59">
        <v>67.45</v>
      </c>
      <c r="F288" s="159">
        <v>13.4822938528963</v>
      </c>
      <c r="G288" s="160">
        <v>0.24670161451877301</v>
      </c>
      <c r="H288" s="160">
        <v>0.191433265183024</v>
      </c>
      <c r="I288" s="160">
        <v>0.43813487970179799</v>
      </c>
      <c r="J288" s="160">
        <v>1.8167278511026199</v>
      </c>
      <c r="K288" s="160">
        <v>3.3171498172874299E-2</v>
      </c>
      <c r="L288" s="160">
        <v>6.18940656169076E-2</v>
      </c>
      <c r="M288" s="160">
        <v>1.35301745228954E-5</v>
      </c>
      <c r="N288" s="160">
        <v>2.5019511627983702E-5</v>
      </c>
      <c r="O288" s="160">
        <v>0.47289371486903897</v>
      </c>
      <c r="P288" s="160">
        <v>0.59531412831291797</v>
      </c>
      <c r="Q288" s="160">
        <v>6.3414541703613395E-2</v>
      </c>
      <c r="R288" s="160">
        <v>0.35253919377299803</v>
      </c>
      <c r="S288" s="160">
        <v>4.0317775006197001E-2</v>
      </c>
      <c r="T288" s="160">
        <v>0</v>
      </c>
      <c r="U288" s="160">
        <v>5.2089973437118998E-2</v>
      </c>
      <c r="V288" s="160">
        <v>0</v>
      </c>
      <c r="W288" s="160"/>
      <c r="X288" s="59"/>
      <c r="Y288" s="159"/>
      <c r="Z288" s="159"/>
      <c r="AA288" s="159"/>
      <c r="AB288" s="159"/>
      <c r="AC288" s="159"/>
      <c r="AD288" s="161"/>
      <c r="AE288" s="160"/>
    </row>
    <row r="289" spans="1:31" ht="21.25" customHeight="1" x14ac:dyDescent="0.15">
      <c r="A289" s="8" t="s">
        <v>529</v>
      </c>
      <c r="B289" s="157" t="s">
        <v>894</v>
      </c>
      <c r="C289" s="158">
        <v>22</v>
      </c>
      <c r="D289" s="157" t="s">
        <v>858</v>
      </c>
      <c r="E289" s="59">
        <v>62.884999999999998</v>
      </c>
      <c r="F289" s="159">
        <v>14.563637588937301</v>
      </c>
      <c r="G289" s="160">
        <v>0.18441282157397301</v>
      </c>
      <c r="H289" s="160">
        <v>0.253204645989901</v>
      </c>
      <c r="I289" s="160">
        <v>0.43761746756387399</v>
      </c>
      <c r="J289" s="160">
        <v>1.9661435586652201</v>
      </c>
      <c r="K289" s="160">
        <v>7.2536497574946304E-2</v>
      </c>
      <c r="L289" s="160">
        <v>0.13827339960541299</v>
      </c>
      <c r="M289" s="160">
        <v>1.09470135071013E-4</v>
      </c>
      <c r="N289" s="160">
        <v>1.9906589661847801E-4</v>
      </c>
      <c r="O289" s="160">
        <v>0.52929773568463701</v>
      </c>
      <c r="P289" s="160">
        <v>0.82301467737940603</v>
      </c>
      <c r="Q289" s="160">
        <v>2.0477127386088499E-2</v>
      </c>
      <c r="R289" s="160">
        <v>0.26063835543101499</v>
      </c>
      <c r="S289" s="160">
        <v>3.0815059773754101E-2</v>
      </c>
      <c r="T289" s="160">
        <v>8.5560247856753494E-2</v>
      </c>
      <c r="U289" s="160">
        <v>0.25668074357026099</v>
      </c>
      <c r="V289" s="160">
        <v>0.25</v>
      </c>
      <c r="W289" s="160"/>
      <c r="X289" s="59"/>
      <c r="Y289" s="159"/>
      <c r="Z289" s="159"/>
      <c r="AA289" s="159"/>
      <c r="AB289" s="159"/>
      <c r="AC289" s="159"/>
      <c r="AD289" s="161"/>
      <c r="AE289" s="160"/>
    </row>
    <row r="290" spans="1:31" ht="21.25" customHeight="1" x14ac:dyDescent="0.15">
      <c r="A290" s="8" t="s">
        <v>477</v>
      </c>
      <c r="B290" s="157" t="s">
        <v>902</v>
      </c>
      <c r="C290" s="158">
        <v>27</v>
      </c>
      <c r="D290" s="157" t="s">
        <v>859</v>
      </c>
      <c r="E290" s="59">
        <v>71.721071428571406</v>
      </c>
      <c r="F290" s="159">
        <v>14.3090425424712</v>
      </c>
      <c r="G290" s="160">
        <v>0.19348332807049401</v>
      </c>
      <c r="H290" s="160">
        <v>0.24412079885066301</v>
      </c>
      <c r="I290" s="160">
        <v>0.43760412692115702</v>
      </c>
      <c r="J290" s="160">
        <v>1.80109493144441</v>
      </c>
      <c r="K290" s="160">
        <v>1.8203399601958398E-2</v>
      </c>
      <c r="L290" s="160">
        <v>4.5908517056968801E-2</v>
      </c>
      <c r="M290" s="160">
        <v>6.9243488619846801E-6</v>
      </c>
      <c r="N290" s="160">
        <v>1.27099806652145E-5</v>
      </c>
      <c r="O290" s="160">
        <v>0.398198906199561</v>
      </c>
      <c r="P290" s="160">
        <v>1.0377345347665501</v>
      </c>
      <c r="Q290" s="160">
        <v>6.5640272909337303E-3</v>
      </c>
      <c r="R290" s="160">
        <v>0.44763199129424402</v>
      </c>
      <c r="S290" s="160">
        <v>2.34930830519385E-2</v>
      </c>
      <c r="T290" s="160">
        <v>3.3920187081285399E-2</v>
      </c>
      <c r="U290" s="160">
        <v>6.0489497559760901E-2</v>
      </c>
      <c r="V290" s="160">
        <v>0.35928715587021398</v>
      </c>
      <c r="W290" s="160"/>
      <c r="X290" s="59"/>
      <c r="Y290" s="159"/>
      <c r="Z290" s="159"/>
      <c r="AA290" s="159"/>
      <c r="AB290" s="159"/>
      <c r="AC290" s="159"/>
      <c r="AD290" s="161"/>
      <c r="AE290" s="160"/>
    </row>
    <row r="291" spans="1:31" ht="21.25" customHeight="1" x14ac:dyDescent="0.15">
      <c r="A291" s="8" t="s">
        <v>443</v>
      </c>
      <c r="B291" s="157" t="s">
        <v>876</v>
      </c>
      <c r="C291" s="158">
        <v>32</v>
      </c>
      <c r="D291" s="157" t="s">
        <v>858</v>
      </c>
      <c r="E291" s="59">
        <v>80.392857142857096</v>
      </c>
      <c r="F291" s="159">
        <v>15.2022447143314</v>
      </c>
      <c r="G291" s="160">
        <v>0.16505562467668899</v>
      </c>
      <c r="H291" s="160">
        <v>0.27201972106545602</v>
      </c>
      <c r="I291" s="160">
        <v>0.43707534574214502</v>
      </c>
      <c r="J291" s="160">
        <v>1.7630163353999799</v>
      </c>
      <c r="K291" s="160">
        <v>1.2088638083865301E-2</v>
      </c>
      <c r="L291" s="160">
        <v>3.4799393463992398E-2</v>
      </c>
      <c r="M291" s="160">
        <v>2.0703805365845401E-2</v>
      </c>
      <c r="N291" s="160">
        <v>2.9938934557493999E-2</v>
      </c>
      <c r="O291" s="160">
        <v>0.586197582223417</v>
      </c>
      <c r="P291" s="160">
        <v>1.19882564506158</v>
      </c>
      <c r="Q291" s="160">
        <v>1.07014549008422E-2</v>
      </c>
      <c r="R291" s="160">
        <v>0.48803732581367898</v>
      </c>
      <c r="S291" s="160">
        <v>2.4294637151631299E-2</v>
      </c>
      <c r="T291" s="160">
        <v>6.2768232678445504</v>
      </c>
      <c r="U291" s="160">
        <v>5.2918995490313501</v>
      </c>
      <c r="V291" s="160">
        <v>0.54256838608737501</v>
      </c>
      <c r="W291" s="160"/>
      <c r="X291" s="59"/>
      <c r="Y291" s="159"/>
      <c r="Z291" s="159"/>
      <c r="AA291" s="159"/>
      <c r="AB291" s="159"/>
      <c r="AC291" s="159"/>
      <c r="AD291" s="161"/>
      <c r="AE291" s="160"/>
    </row>
    <row r="292" spans="1:31" ht="21.25" customHeight="1" x14ac:dyDescent="0.15">
      <c r="A292" s="8" t="s">
        <v>462</v>
      </c>
      <c r="B292" s="157" t="s">
        <v>881</v>
      </c>
      <c r="C292" s="158">
        <v>21</v>
      </c>
      <c r="D292" s="157" t="s">
        <v>859</v>
      </c>
      <c r="E292" s="59">
        <v>76.7</v>
      </c>
      <c r="F292" s="159">
        <v>13.5183494978545</v>
      </c>
      <c r="G292" s="160">
        <v>0.17068091103779401</v>
      </c>
      <c r="H292" s="160">
        <v>0.26604534319325901</v>
      </c>
      <c r="I292" s="160">
        <v>0.43672625423105199</v>
      </c>
      <c r="J292" s="160">
        <v>1.59580255690004</v>
      </c>
      <c r="K292" s="160">
        <v>2.87358843754974E-2</v>
      </c>
      <c r="L292" s="160">
        <v>7.1067174941723904E-2</v>
      </c>
      <c r="M292" s="160">
        <v>5.43574013996184E-4</v>
      </c>
      <c r="N292" s="160">
        <v>9.8111089008592108E-4</v>
      </c>
      <c r="O292" s="160">
        <v>0.19459460526765601</v>
      </c>
      <c r="P292" s="160">
        <v>0.45251372480750102</v>
      </c>
      <c r="Q292" s="160">
        <v>-3.56570243059013E-2</v>
      </c>
      <c r="R292" s="160">
        <v>0.33203297541592702</v>
      </c>
      <c r="S292" s="160">
        <v>2.1995362763463699E-2</v>
      </c>
      <c r="T292" s="160">
        <v>6.2331606747193902E-2</v>
      </c>
      <c r="U292" s="160">
        <v>5.2721317329292597E-2</v>
      </c>
      <c r="V292" s="160">
        <v>0.541764646553061</v>
      </c>
      <c r="W292" s="160"/>
      <c r="X292" s="59"/>
      <c r="Y292" s="159"/>
      <c r="Z292" s="159"/>
      <c r="AA292" s="159"/>
      <c r="AB292" s="159"/>
      <c r="AC292" s="159"/>
      <c r="AD292" s="161"/>
      <c r="AE292" s="160"/>
    </row>
    <row r="293" spans="1:31" ht="21.25" customHeight="1" x14ac:dyDescent="0.15">
      <c r="A293" s="8" t="s">
        <v>471</v>
      </c>
      <c r="B293" s="157" t="s">
        <v>875</v>
      </c>
      <c r="C293" s="158">
        <v>32</v>
      </c>
      <c r="D293" s="157" t="s">
        <v>858</v>
      </c>
      <c r="E293" s="59">
        <v>76.958928571428601</v>
      </c>
      <c r="F293" s="159">
        <v>16.187360942794601</v>
      </c>
      <c r="G293" s="160">
        <v>0.17363788419110099</v>
      </c>
      <c r="H293" s="160">
        <v>0.26277441263415502</v>
      </c>
      <c r="I293" s="160">
        <v>0.43641229682525601</v>
      </c>
      <c r="J293" s="160">
        <v>1.64382806702196</v>
      </c>
      <c r="K293" s="160">
        <v>2.96387017514851E-2</v>
      </c>
      <c r="L293" s="160">
        <v>0.10139462543132501</v>
      </c>
      <c r="M293" s="160">
        <v>8.7174291998995505E-3</v>
      </c>
      <c r="N293" s="160">
        <v>1.02690353024856E-2</v>
      </c>
      <c r="O293" s="160">
        <v>0.35317612208594901</v>
      </c>
      <c r="P293" s="160">
        <v>0.42433365802677098</v>
      </c>
      <c r="Q293" s="160">
        <v>2.8348963355668898E-2</v>
      </c>
      <c r="R293" s="160">
        <v>0.146485899402928</v>
      </c>
      <c r="S293" s="160">
        <v>2.7882149044426E-2</v>
      </c>
      <c r="T293" s="160">
        <v>0.37033739630763701</v>
      </c>
      <c r="U293" s="160">
        <v>0.50078048452400004</v>
      </c>
      <c r="V293" s="160">
        <v>0.42512891131804598</v>
      </c>
      <c r="W293" s="160"/>
      <c r="X293" s="59"/>
      <c r="Y293" s="159"/>
      <c r="Z293" s="159"/>
      <c r="AA293" s="159"/>
      <c r="AB293" s="159"/>
      <c r="AC293" s="159"/>
      <c r="AD293" s="161"/>
      <c r="AE293" s="160"/>
    </row>
    <row r="294" spans="1:31" ht="21.25" customHeight="1" x14ac:dyDescent="0.15">
      <c r="A294" s="8" t="s">
        <v>593</v>
      </c>
      <c r="B294" s="157" t="s">
        <v>873</v>
      </c>
      <c r="C294" s="162">
        <v>24</v>
      </c>
      <c r="D294" s="157" t="s">
        <v>857</v>
      </c>
      <c r="E294" s="59">
        <v>79.722857142857094</v>
      </c>
      <c r="F294" s="159">
        <v>14.9668237148669</v>
      </c>
      <c r="G294" s="160">
        <v>0.16873072884007301</v>
      </c>
      <c r="H294" s="160">
        <v>0.267443796799746</v>
      </c>
      <c r="I294" s="160">
        <v>0.43617452563982001</v>
      </c>
      <c r="J294" s="160">
        <v>1.4157419655939401</v>
      </c>
      <c r="K294" s="160">
        <v>9.93072451585926E-3</v>
      </c>
      <c r="L294" s="160">
        <v>2.6815168453512301E-2</v>
      </c>
      <c r="M294" s="160">
        <v>8.7699934226362197E-3</v>
      </c>
      <c r="N294" s="160">
        <v>1.3729005666988399E-2</v>
      </c>
      <c r="O294" s="160">
        <v>0.61240103981530403</v>
      </c>
      <c r="P294" s="160">
        <v>0.95819844893862405</v>
      </c>
      <c r="Q294" s="160">
        <v>5.73142967025599E-2</v>
      </c>
      <c r="R294" s="160">
        <v>0.291704796482879</v>
      </c>
      <c r="S294" s="160">
        <v>2.4204807923992201E-2</v>
      </c>
      <c r="T294" s="160">
        <v>2.5440222070738301</v>
      </c>
      <c r="U294" s="160">
        <v>3.5049383228939099</v>
      </c>
      <c r="V294" s="160">
        <v>0.42057179815775603</v>
      </c>
      <c r="W294" s="160"/>
      <c r="X294" s="59"/>
      <c r="Y294" s="159"/>
      <c r="Z294" s="159"/>
      <c r="AA294" s="159"/>
      <c r="AB294" s="159"/>
      <c r="AC294" s="159"/>
      <c r="AD294" s="161"/>
      <c r="AE294" s="160"/>
    </row>
    <row r="295" spans="1:31" ht="21.25" customHeight="1" x14ac:dyDescent="0.15">
      <c r="A295" s="8" t="s">
        <v>309</v>
      </c>
      <c r="B295" s="157" t="s">
        <v>884</v>
      </c>
      <c r="C295" s="158">
        <v>29</v>
      </c>
      <c r="D295" s="157" t="s">
        <v>860</v>
      </c>
      <c r="E295" s="59">
        <v>81.577500000000001</v>
      </c>
      <c r="F295" s="159">
        <v>20.9404606966404</v>
      </c>
      <c r="G295" s="160">
        <v>9.2622873383600396E-2</v>
      </c>
      <c r="H295" s="160">
        <v>0.34305170841532401</v>
      </c>
      <c r="I295" s="160">
        <v>0.43567458179892399</v>
      </c>
      <c r="J295" s="160">
        <v>1.5257163929738</v>
      </c>
      <c r="K295" s="160">
        <v>2.1060811927497199E-2</v>
      </c>
      <c r="L295" s="160">
        <v>8.5997768406462005E-2</v>
      </c>
      <c r="M295" s="160">
        <v>3.3249881828625702E-3</v>
      </c>
      <c r="N295" s="160">
        <v>6.8643622628694603E-3</v>
      </c>
      <c r="O295" s="160">
        <v>1.33307085194227</v>
      </c>
      <c r="P295" s="160">
        <v>0.79897995764451202</v>
      </c>
      <c r="Q295" s="160">
        <v>-3.3571906147647101E-2</v>
      </c>
      <c r="R295" s="160">
        <v>0.50781920483997001</v>
      </c>
      <c r="S295" s="160">
        <v>9.9251786088811796E-3</v>
      </c>
      <c r="T295" s="160">
        <v>0</v>
      </c>
      <c r="U295" s="160">
        <v>0</v>
      </c>
      <c r="V295" s="160">
        <v>0</v>
      </c>
      <c r="W295" s="160"/>
      <c r="X295" s="59"/>
      <c r="Y295" s="159"/>
      <c r="Z295" s="159"/>
      <c r="AA295" s="159"/>
      <c r="AB295" s="159"/>
      <c r="AC295" s="159"/>
      <c r="AD295" s="161"/>
      <c r="AE295" s="160"/>
    </row>
    <row r="296" spans="1:31" ht="21.25" customHeight="1" x14ac:dyDescent="0.15">
      <c r="A296" s="8" t="s">
        <v>433</v>
      </c>
      <c r="B296" s="157" t="s">
        <v>872</v>
      </c>
      <c r="C296" s="162">
        <v>28</v>
      </c>
      <c r="D296" s="157" t="s">
        <v>858</v>
      </c>
      <c r="E296" s="59">
        <v>81.400000000000006</v>
      </c>
      <c r="F296" s="159">
        <v>16.317860285823201</v>
      </c>
      <c r="G296" s="160">
        <v>0.20613075188193999</v>
      </c>
      <c r="H296" s="160">
        <v>0.22662126345650899</v>
      </c>
      <c r="I296" s="160">
        <v>0.43275201533844898</v>
      </c>
      <c r="J296" s="160">
        <v>1.73170501261134</v>
      </c>
      <c r="K296" s="160">
        <v>4.91043050704306E-2</v>
      </c>
      <c r="L296" s="160">
        <v>7.0811604620435203E-2</v>
      </c>
      <c r="M296" s="160">
        <v>5.3250821665882103E-3</v>
      </c>
      <c r="N296" s="160">
        <v>1.39079728089324E-2</v>
      </c>
      <c r="O296" s="160">
        <v>0.58227324894159505</v>
      </c>
      <c r="P296" s="160">
        <v>1.3134685103182899</v>
      </c>
      <c r="Q296" s="160">
        <v>-2.8420762557066501E-3</v>
      </c>
      <c r="R296" s="160">
        <v>0.387657351699984</v>
      </c>
      <c r="S296" s="160">
        <v>3.2259537546648002E-2</v>
      </c>
      <c r="T296" s="160">
        <v>5.7502785673050099</v>
      </c>
      <c r="U296" s="160">
        <v>5.2647317044562598</v>
      </c>
      <c r="V296" s="160">
        <v>0.52204023649862297</v>
      </c>
      <c r="W296" s="160"/>
      <c r="X296" s="59"/>
      <c r="Y296" s="159"/>
      <c r="Z296" s="159"/>
      <c r="AA296" s="159"/>
      <c r="AB296" s="159"/>
      <c r="AC296" s="159"/>
      <c r="AD296" s="161"/>
      <c r="AE296" s="160"/>
    </row>
    <row r="297" spans="1:31" ht="21.25" customHeight="1" x14ac:dyDescent="0.15">
      <c r="A297" s="8" t="s">
        <v>298</v>
      </c>
      <c r="B297" s="157" t="s">
        <v>886</v>
      </c>
      <c r="C297" s="158">
        <v>28</v>
      </c>
      <c r="D297" s="157" t="s">
        <v>860</v>
      </c>
      <c r="E297" s="59">
        <v>81.049642857142899</v>
      </c>
      <c r="F297" s="159">
        <v>21.7701031971798</v>
      </c>
      <c r="G297" s="160">
        <v>7.7405661488179997E-2</v>
      </c>
      <c r="H297" s="160">
        <v>0.35513987283971499</v>
      </c>
      <c r="I297" s="160">
        <v>0.432545534327895</v>
      </c>
      <c r="J297" s="160">
        <v>1.7376246192157201</v>
      </c>
      <c r="K297" s="160">
        <v>1.2519595454875699E-2</v>
      </c>
      <c r="L297" s="160">
        <v>8.5028876785857702E-2</v>
      </c>
      <c r="M297" s="160">
        <v>4.3087365391016502E-4</v>
      </c>
      <c r="N297" s="160">
        <v>8.2802797878532303E-3</v>
      </c>
      <c r="O297" s="160">
        <v>1.5238047356786599</v>
      </c>
      <c r="P297" s="160">
        <v>2.0788819796996298</v>
      </c>
      <c r="Q297" s="160">
        <v>-6.2114740065785396E-3</v>
      </c>
      <c r="R297" s="160">
        <v>0.53070584997105097</v>
      </c>
      <c r="S297" s="160">
        <v>1.20755422829944E-2</v>
      </c>
      <c r="T297" s="160">
        <v>0</v>
      </c>
      <c r="U297" s="160">
        <v>0</v>
      </c>
      <c r="V297" s="160">
        <v>0</v>
      </c>
      <c r="W297" s="160"/>
      <c r="X297" s="59"/>
      <c r="Y297" s="159"/>
      <c r="Z297" s="159"/>
      <c r="AA297" s="159"/>
      <c r="AB297" s="159"/>
      <c r="AC297" s="159"/>
      <c r="AD297" s="161"/>
      <c r="AE297" s="160"/>
    </row>
    <row r="298" spans="1:31" ht="21.25" customHeight="1" x14ac:dyDescent="0.15">
      <c r="A298" s="8" t="s">
        <v>327</v>
      </c>
      <c r="B298" s="157" t="s">
        <v>887</v>
      </c>
      <c r="C298" s="158">
        <v>23</v>
      </c>
      <c r="D298" s="157" t="s">
        <v>860</v>
      </c>
      <c r="E298" s="59">
        <v>77.517499999999998</v>
      </c>
      <c r="F298" s="159">
        <v>22.409793154380399</v>
      </c>
      <c r="G298" s="160">
        <v>9.9912368466525903E-2</v>
      </c>
      <c r="H298" s="160">
        <v>0.33238064093685099</v>
      </c>
      <c r="I298" s="160">
        <v>0.432293009403377</v>
      </c>
      <c r="J298" s="160">
        <v>1.2742265180474901</v>
      </c>
      <c r="K298" s="160">
        <v>3.4126815357490903E-2</v>
      </c>
      <c r="L298" s="160">
        <v>0.124345889703274</v>
      </c>
      <c r="M298" s="160">
        <v>3.9769371166083401E-4</v>
      </c>
      <c r="N298" s="160">
        <v>2.1022564815877201E-3</v>
      </c>
      <c r="O298" s="160">
        <v>1.7302906137827201</v>
      </c>
      <c r="P298" s="160">
        <v>1.17104137596284</v>
      </c>
      <c r="Q298" s="160">
        <v>-6.4168878902482102E-2</v>
      </c>
      <c r="R298" s="160">
        <v>0.47436152826260197</v>
      </c>
      <c r="S298" s="160">
        <v>1.23141989921882E-2</v>
      </c>
      <c r="T298" s="160">
        <v>0</v>
      </c>
      <c r="U298" s="160">
        <v>0</v>
      </c>
      <c r="V298" s="160">
        <v>0</v>
      </c>
      <c r="W298" s="160"/>
      <c r="X298" s="59"/>
      <c r="Y298" s="159"/>
      <c r="Z298" s="159"/>
      <c r="AA298" s="159"/>
      <c r="AB298" s="159"/>
      <c r="AC298" s="159"/>
      <c r="AD298" s="161"/>
      <c r="AE298" s="160"/>
    </row>
    <row r="299" spans="1:31" ht="21.25" customHeight="1" x14ac:dyDescent="0.15">
      <c r="A299" s="8" t="s">
        <v>342</v>
      </c>
      <c r="B299" s="157" t="s">
        <v>871</v>
      </c>
      <c r="C299" s="158">
        <v>25</v>
      </c>
      <c r="D299" s="157" t="s">
        <v>860</v>
      </c>
      <c r="E299" s="59">
        <v>77.731071428571397</v>
      </c>
      <c r="F299" s="159">
        <v>20.311455675405298</v>
      </c>
      <c r="G299" s="160">
        <v>7.7459735462924506E-2</v>
      </c>
      <c r="H299" s="160">
        <v>0.35446186523245699</v>
      </c>
      <c r="I299" s="160">
        <v>0.43192160069538199</v>
      </c>
      <c r="J299" s="160">
        <v>1.3988736268869</v>
      </c>
      <c r="K299" s="160">
        <v>4.9795431833683399E-3</v>
      </c>
      <c r="L299" s="160">
        <v>7.4558558179264101E-2</v>
      </c>
      <c r="M299" s="160">
        <v>4.2009531980456201E-4</v>
      </c>
      <c r="N299" s="160">
        <v>7.9398125965119502E-3</v>
      </c>
      <c r="O299" s="160">
        <v>1.43622397455901</v>
      </c>
      <c r="P299" s="160">
        <v>0.99639355405288799</v>
      </c>
      <c r="Q299" s="160">
        <v>3.7537683311713498E-2</v>
      </c>
      <c r="R299" s="160">
        <v>0.281260120541307</v>
      </c>
      <c r="S299" s="160">
        <v>1.22552972159205E-2</v>
      </c>
      <c r="T299" s="160">
        <v>0</v>
      </c>
      <c r="U299" s="160">
        <v>0</v>
      </c>
      <c r="V299" s="160">
        <v>0</v>
      </c>
      <c r="W299" s="160"/>
      <c r="X299" s="59"/>
      <c r="Y299" s="159"/>
      <c r="Z299" s="159"/>
      <c r="AA299" s="159"/>
      <c r="AB299" s="159"/>
      <c r="AC299" s="159"/>
      <c r="AD299" s="161"/>
      <c r="AE299" s="160"/>
    </row>
    <row r="300" spans="1:31" ht="21.25" customHeight="1" x14ac:dyDescent="0.15">
      <c r="A300" s="8" t="s">
        <v>495</v>
      </c>
      <c r="B300" s="157" t="s">
        <v>891</v>
      </c>
      <c r="C300" s="158">
        <v>28</v>
      </c>
      <c r="D300" s="157" t="s">
        <v>859</v>
      </c>
      <c r="E300" s="59">
        <v>72.099999999999994</v>
      </c>
      <c r="F300" s="159">
        <v>14.067539616892301</v>
      </c>
      <c r="G300" s="160">
        <v>0.18032938262356801</v>
      </c>
      <c r="H300" s="160">
        <v>0.25060297909307599</v>
      </c>
      <c r="I300" s="160">
        <v>0.43093236171664401</v>
      </c>
      <c r="J300" s="160">
        <v>1.7931378038555399</v>
      </c>
      <c r="K300" s="160">
        <v>1.0666830962187301E-2</v>
      </c>
      <c r="L300" s="160">
        <v>2.5041173562935601E-2</v>
      </c>
      <c r="M300" s="160">
        <v>7.87041969640409E-5</v>
      </c>
      <c r="N300" s="160">
        <v>1.4490921523876299E-4</v>
      </c>
      <c r="O300" s="160">
        <v>0.391684509093434</v>
      </c>
      <c r="P300" s="160">
        <v>1.04385364880175</v>
      </c>
      <c r="Q300" s="160">
        <v>-2.8582955500677201E-2</v>
      </c>
      <c r="R300" s="160">
        <v>0.39143022924183501</v>
      </c>
      <c r="S300" s="160">
        <v>2.21815756063071E-2</v>
      </c>
      <c r="T300" s="160">
        <v>0.160151060437391</v>
      </c>
      <c r="U300" s="160">
        <v>0.12914377379547201</v>
      </c>
      <c r="V300" s="160">
        <v>0.55359115160860395</v>
      </c>
      <c r="W300" s="160"/>
      <c r="X300" s="59"/>
      <c r="Y300" s="159"/>
      <c r="Z300" s="159"/>
      <c r="AA300" s="159"/>
      <c r="AB300" s="159"/>
      <c r="AC300" s="159"/>
      <c r="AD300" s="161"/>
      <c r="AE300" s="160"/>
    </row>
    <row r="301" spans="1:31" ht="21.25" customHeight="1" x14ac:dyDescent="0.15">
      <c r="A301" s="8" t="s">
        <v>614</v>
      </c>
      <c r="B301" s="157" t="s">
        <v>898</v>
      </c>
      <c r="C301" s="158">
        <v>24</v>
      </c>
      <c r="D301" s="157" t="s">
        <v>857</v>
      </c>
      <c r="E301" s="59">
        <v>74.797142857142902</v>
      </c>
      <c r="F301" s="159">
        <v>14.8967493167466</v>
      </c>
      <c r="G301" s="160">
        <v>0.18720585021612901</v>
      </c>
      <c r="H301" s="160">
        <v>0.24351037894112801</v>
      </c>
      <c r="I301" s="160">
        <v>0.43071622915725699</v>
      </c>
      <c r="J301" s="160">
        <v>1.54862762840165</v>
      </c>
      <c r="K301" s="160">
        <v>1.6664552777017299E-3</v>
      </c>
      <c r="L301" s="160">
        <v>9.0931878148815693E-3</v>
      </c>
      <c r="M301" s="160">
        <v>2.4195860781043902E-3</v>
      </c>
      <c r="N301" s="160">
        <v>4.1022330580434297E-3</v>
      </c>
      <c r="O301" s="160">
        <v>0.81898863268252098</v>
      </c>
      <c r="P301" s="160">
        <v>1.8784131225374401</v>
      </c>
      <c r="Q301" s="160">
        <v>-3.6064950044565898E-2</v>
      </c>
      <c r="R301" s="160">
        <v>0.64907442445775498</v>
      </c>
      <c r="S301" s="160">
        <v>2.41704012089854E-2</v>
      </c>
      <c r="T301" s="160">
        <v>3.8457748018093199</v>
      </c>
      <c r="U301" s="160">
        <v>3.9215612724894502</v>
      </c>
      <c r="V301" s="160">
        <v>0.49512146314031003</v>
      </c>
      <c r="W301" s="160"/>
      <c r="X301" s="59"/>
      <c r="Y301" s="159"/>
      <c r="Z301" s="159"/>
      <c r="AA301" s="159"/>
      <c r="AB301" s="159"/>
      <c r="AC301" s="159"/>
      <c r="AD301" s="161"/>
      <c r="AE301" s="160"/>
    </row>
    <row r="302" spans="1:31" ht="21.25" customHeight="1" x14ac:dyDescent="0.15">
      <c r="A302" s="8" t="s">
        <v>325</v>
      </c>
      <c r="B302" s="157" t="s">
        <v>878</v>
      </c>
      <c r="C302" s="158">
        <v>22</v>
      </c>
      <c r="D302" s="157" t="s">
        <v>860</v>
      </c>
      <c r="E302" s="59">
        <v>73.674999999999997</v>
      </c>
      <c r="F302" s="159">
        <v>20.3589067745283</v>
      </c>
      <c r="G302" s="160">
        <v>8.7746518982699598E-2</v>
      </c>
      <c r="H302" s="160">
        <v>0.34204072053817602</v>
      </c>
      <c r="I302" s="160">
        <v>0.429787239520876</v>
      </c>
      <c r="J302" s="160">
        <v>1.7711046345125201</v>
      </c>
      <c r="K302" s="160">
        <v>2.1708073825401301E-2</v>
      </c>
      <c r="L302" s="160">
        <v>0.11705622329712501</v>
      </c>
      <c r="M302" s="160">
        <v>2.2006800034358301E-4</v>
      </c>
      <c r="N302" s="160">
        <v>8.1065574511045096E-4</v>
      </c>
      <c r="O302" s="160">
        <v>1.31211333096876</v>
      </c>
      <c r="P302" s="160">
        <v>0.95785607446997301</v>
      </c>
      <c r="Q302" s="160">
        <v>6.5028589171150397E-2</v>
      </c>
      <c r="R302" s="160">
        <v>0.41776595815145601</v>
      </c>
      <c r="S302" s="160">
        <v>1.4038820997380399E-2</v>
      </c>
      <c r="T302" s="160">
        <v>0</v>
      </c>
      <c r="U302" s="160">
        <v>0</v>
      </c>
      <c r="V302" s="160">
        <v>0</v>
      </c>
      <c r="W302" s="160"/>
      <c r="X302" s="59"/>
      <c r="Y302" s="159"/>
      <c r="Z302" s="159"/>
      <c r="AA302" s="159"/>
      <c r="AB302" s="159"/>
      <c r="AC302" s="159"/>
      <c r="AD302" s="161"/>
      <c r="AE302" s="160"/>
    </row>
    <row r="303" spans="1:31" ht="21.25" customHeight="1" x14ac:dyDescent="0.15">
      <c r="A303" s="8" t="s">
        <v>675</v>
      </c>
      <c r="B303" s="157" t="s">
        <v>904</v>
      </c>
      <c r="C303" s="162">
        <v>35</v>
      </c>
      <c r="D303" s="157" t="s">
        <v>857</v>
      </c>
      <c r="E303" s="59">
        <v>67.17</v>
      </c>
      <c r="F303" s="159">
        <v>14.94949830102</v>
      </c>
      <c r="G303" s="160">
        <v>0.15383980799937799</v>
      </c>
      <c r="H303" s="160">
        <v>0.27554481552177701</v>
      </c>
      <c r="I303" s="160">
        <v>0.42938462352115497</v>
      </c>
      <c r="J303" s="160">
        <v>1.4776958780622</v>
      </c>
      <c r="K303" s="160">
        <v>5.2813571529885403E-2</v>
      </c>
      <c r="L303" s="160">
        <v>8.4965027005970598E-2</v>
      </c>
      <c r="M303" s="160">
        <v>0</v>
      </c>
      <c r="N303" s="160">
        <v>0</v>
      </c>
      <c r="O303" s="160">
        <v>0.331533224616334</v>
      </c>
      <c r="P303" s="160">
        <v>0.35576564863325699</v>
      </c>
      <c r="Q303" s="160">
        <v>-1.70675535352145E-2</v>
      </c>
      <c r="R303" s="160">
        <v>0.47027294466420899</v>
      </c>
      <c r="S303" s="160"/>
      <c r="T303" s="160">
        <v>9.2820465766246496</v>
      </c>
      <c r="U303" s="160">
        <v>5.9449735578759002</v>
      </c>
      <c r="V303" s="160">
        <v>0.60957734964793897</v>
      </c>
      <c r="W303" s="160"/>
      <c r="X303" s="59"/>
      <c r="Y303" s="159"/>
      <c r="Z303" s="159"/>
      <c r="AA303" s="159"/>
      <c r="AB303" s="159"/>
      <c r="AC303" s="159"/>
      <c r="AD303" s="161"/>
      <c r="AE303" s="160"/>
    </row>
    <row r="304" spans="1:31" ht="21.25" customHeight="1" x14ac:dyDescent="0.15">
      <c r="A304" s="8" t="s">
        <v>688</v>
      </c>
      <c r="B304" s="157" t="s">
        <v>898</v>
      </c>
      <c r="C304" s="158">
        <v>27</v>
      </c>
      <c r="D304" s="157" t="s">
        <v>857</v>
      </c>
      <c r="E304" s="59">
        <v>65.062857142857098</v>
      </c>
      <c r="F304" s="159">
        <v>13.8175776355259</v>
      </c>
      <c r="G304" s="160">
        <v>0.212994798742241</v>
      </c>
      <c r="H304" s="160">
        <v>0.215212625560355</v>
      </c>
      <c r="I304" s="160">
        <v>0.42820742430259601</v>
      </c>
      <c r="J304" s="160">
        <v>1.41763830139172</v>
      </c>
      <c r="K304" s="160">
        <v>4.6271337675106203E-2</v>
      </c>
      <c r="L304" s="160">
        <v>9.98665005399057E-2</v>
      </c>
      <c r="M304" s="160">
        <v>1.6432743142783901E-4</v>
      </c>
      <c r="N304" s="160">
        <v>3.0122217096934998E-4</v>
      </c>
      <c r="O304" s="160">
        <v>0.408493281100824</v>
      </c>
      <c r="P304" s="160">
        <v>1.33123741057496</v>
      </c>
      <c r="Q304" s="160">
        <v>-3.05180700294252E-2</v>
      </c>
      <c r="R304" s="160">
        <v>0.41757471739593499</v>
      </c>
      <c r="S304" s="160">
        <v>2.75000473280268E-2</v>
      </c>
      <c r="T304" s="160">
        <v>0.72512496805173798</v>
      </c>
      <c r="U304" s="160">
        <v>0.87880311975520098</v>
      </c>
      <c r="V304" s="160">
        <v>0.452093191436784</v>
      </c>
      <c r="W304" s="160"/>
      <c r="X304" s="59"/>
      <c r="Y304" s="159"/>
      <c r="Z304" s="159"/>
      <c r="AA304" s="159"/>
      <c r="AB304" s="159"/>
      <c r="AC304" s="159"/>
      <c r="AD304" s="161"/>
      <c r="AE304" s="160"/>
    </row>
    <row r="305" spans="1:31" ht="21.25" customHeight="1" x14ac:dyDescent="0.15">
      <c r="A305" s="8" t="s">
        <v>450</v>
      </c>
      <c r="B305" s="157" t="s">
        <v>893</v>
      </c>
      <c r="C305" s="162">
        <v>30</v>
      </c>
      <c r="D305" s="157" t="s">
        <v>859</v>
      </c>
      <c r="E305" s="59">
        <v>70.344999999999999</v>
      </c>
      <c r="F305" s="159">
        <v>12.339441786388001</v>
      </c>
      <c r="G305" s="160">
        <v>0.159770231549104</v>
      </c>
      <c r="H305" s="160">
        <v>0.26626661856235501</v>
      </c>
      <c r="I305" s="160">
        <v>0.42603685011145898</v>
      </c>
      <c r="J305" s="160">
        <v>1.6957121453291599</v>
      </c>
      <c r="K305" s="160">
        <v>8.5513366140558697E-2</v>
      </c>
      <c r="L305" s="160">
        <v>0.18541980608523001</v>
      </c>
      <c r="M305" s="160">
        <v>7.4239632100447903E-5</v>
      </c>
      <c r="N305" s="160">
        <v>1.3786370816229999E-4</v>
      </c>
      <c r="O305" s="160">
        <v>0.25957940537081198</v>
      </c>
      <c r="P305" s="160">
        <v>1.3201186499920701</v>
      </c>
      <c r="Q305" s="160">
        <v>9.4137933536573806E-2</v>
      </c>
      <c r="R305" s="160">
        <v>0.37036249360604001</v>
      </c>
      <c r="S305" s="160">
        <v>2.86663570659394E-2</v>
      </c>
      <c r="T305" s="160">
        <v>0.64574678045200995</v>
      </c>
      <c r="U305" s="160">
        <v>0.724383004356009</v>
      </c>
      <c r="V305" s="160">
        <v>0.47130336674090401</v>
      </c>
      <c r="W305" s="160"/>
      <c r="X305" s="59"/>
      <c r="Y305" s="159"/>
      <c r="Z305" s="159"/>
      <c r="AA305" s="159"/>
      <c r="AB305" s="159"/>
      <c r="AC305" s="159"/>
      <c r="AD305" s="161"/>
      <c r="AE305" s="160"/>
    </row>
    <row r="306" spans="1:31" ht="21.25" customHeight="1" x14ac:dyDescent="0.15">
      <c r="A306" s="8" t="s">
        <v>608</v>
      </c>
      <c r="B306" s="157" t="s">
        <v>874</v>
      </c>
      <c r="C306" s="162">
        <v>31</v>
      </c>
      <c r="D306" s="157" t="s">
        <v>857</v>
      </c>
      <c r="E306" s="59">
        <v>77.207499999999996</v>
      </c>
      <c r="F306" s="159">
        <v>14.326361312907199</v>
      </c>
      <c r="G306" s="160">
        <v>0.19660830523852099</v>
      </c>
      <c r="H306" s="160">
        <v>0.22711276275527301</v>
      </c>
      <c r="I306" s="160">
        <v>0.423721067993794</v>
      </c>
      <c r="J306" s="160">
        <v>1.4232277097461301</v>
      </c>
      <c r="K306" s="160">
        <v>2.0111170512486599E-2</v>
      </c>
      <c r="L306" s="160">
        <v>4.7924754027706497E-2</v>
      </c>
      <c r="M306" s="160">
        <v>1.2088251003275499E-2</v>
      </c>
      <c r="N306" s="160">
        <v>2.8911164656055002E-2</v>
      </c>
      <c r="O306" s="160">
        <v>0.29374774534484499</v>
      </c>
      <c r="P306" s="160">
        <v>0.74568866332703798</v>
      </c>
      <c r="Q306" s="160">
        <v>5.5648519388309801E-2</v>
      </c>
      <c r="R306" s="160">
        <v>0.17446470138022799</v>
      </c>
      <c r="S306" s="160">
        <v>3.1585071978872899E-2</v>
      </c>
      <c r="T306" s="160">
        <v>0.97703950314886301</v>
      </c>
      <c r="U306" s="160">
        <v>1.1133370855653599</v>
      </c>
      <c r="V306" s="160">
        <v>0.46739879714680299</v>
      </c>
      <c r="W306" s="160"/>
      <c r="X306" s="59"/>
      <c r="Y306" s="159"/>
      <c r="Z306" s="159"/>
      <c r="AA306" s="159"/>
      <c r="AB306" s="159"/>
      <c r="AC306" s="159"/>
      <c r="AD306" s="161"/>
      <c r="AE306" s="160"/>
    </row>
    <row r="307" spans="1:31" ht="21.25" customHeight="1" x14ac:dyDescent="0.15">
      <c r="A307" s="8" t="s">
        <v>505</v>
      </c>
      <c r="B307" s="157" t="s">
        <v>894</v>
      </c>
      <c r="C307" s="158">
        <v>31</v>
      </c>
      <c r="D307" s="157" t="s">
        <v>857</v>
      </c>
      <c r="E307" s="59">
        <v>81.746071428571398</v>
      </c>
      <c r="F307" s="159">
        <v>14.708450076719499</v>
      </c>
      <c r="G307" s="160">
        <v>0.193400989359576</v>
      </c>
      <c r="H307" s="160">
        <v>0.22971477970610901</v>
      </c>
      <c r="I307" s="160">
        <v>0.42311576906568399</v>
      </c>
      <c r="J307" s="160">
        <v>2.24321236811004</v>
      </c>
      <c r="K307" s="160">
        <v>7.1804536736651096E-4</v>
      </c>
      <c r="L307" s="160">
        <v>1.5422390005444999E-3</v>
      </c>
      <c r="M307" s="160">
        <v>1.3679188102647699E-2</v>
      </c>
      <c r="N307" s="160">
        <v>1.76132015636839E-2</v>
      </c>
      <c r="O307" s="160">
        <v>0.48484711357589799</v>
      </c>
      <c r="P307" s="160">
        <v>1.46026371462126</v>
      </c>
      <c r="Q307" s="160">
        <v>4.45109206971313E-2</v>
      </c>
      <c r="R307" s="160">
        <v>0.61762243623040203</v>
      </c>
      <c r="S307" s="160">
        <v>3.2316966881979603E-2</v>
      </c>
      <c r="T307" s="160">
        <v>0.124255809252611</v>
      </c>
      <c r="U307" s="160">
        <v>0.296651825704495</v>
      </c>
      <c r="V307" s="160">
        <v>0.29520920727720501</v>
      </c>
      <c r="W307" s="160"/>
      <c r="X307" s="59"/>
      <c r="Y307" s="159"/>
      <c r="Z307" s="159"/>
      <c r="AA307" s="159"/>
      <c r="AB307" s="159"/>
      <c r="AC307" s="159"/>
      <c r="AD307" s="161"/>
      <c r="AE307" s="160"/>
    </row>
    <row r="308" spans="1:31" ht="21.25" customHeight="1" x14ac:dyDescent="0.15">
      <c r="A308" s="8" t="s">
        <v>726</v>
      </c>
      <c r="B308" s="157" t="s">
        <v>894</v>
      </c>
      <c r="C308" s="158">
        <v>24</v>
      </c>
      <c r="D308" s="157" t="s">
        <v>857</v>
      </c>
      <c r="E308" s="59">
        <v>60.099285714285699</v>
      </c>
      <c r="F308" s="159">
        <v>12.123398372696</v>
      </c>
      <c r="G308" s="160">
        <v>0.157818320529272</v>
      </c>
      <c r="H308" s="160">
        <v>0.264680152422205</v>
      </c>
      <c r="I308" s="160">
        <v>0.42249847295147702</v>
      </c>
      <c r="J308" s="160">
        <v>1.44961155449128</v>
      </c>
      <c r="K308" s="160">
        <v>2.3178031030296201E-2</v>
      </c>
      <c r="L308" s="160">
        <v>6.5822777848905695E-2</v>
      </c>
      <c r="M308" s="160">
        <v>8.92523557681101E-5</v>
      </c>
      <c r="N308" s="160">
        <v>1.6199311074703899E-4</v>
      </c>
      <c r="O308" s="160">
        <v>0.26777738124086697</v>
      </c>
      <c r="P308" s="160">
        <v>0.89237164045100104</v>
      </c>
      <c r="Q308" s="160">
        <v>3.2258607246371203E-2</v>
      </c>
      <c r="R308" s="160">
        <v>0.28288317126749002</v>
      </c>
      <c r="S308" s="160">
        <v>2.6371165187948901E-2</v>
      </c>
      <c r="T308" s="160">
        <v>2.24568733489127</v>
      </c>
      <c r="U308" s="160">
        <v>2.5073885075317999</v>
      </c>
      <c r="V308" s="160">
        <v>0.472470334861402</v>
      </c>
      <c r="W308" s="160"/>
      <c r="X308" s="59"/>
      <c r="Y308" s="159"/>
      <c r="Z308" s="159"/>
      <c r="AA308" s="159"/>
      <c r="AB308" s="159"/>
      <c r="AC308" s="159"/>
      <c r="AD308" s="161"/>
      <c r="AE308" s="160"/>
    </row>
    <row r="309" spans="1:31" ht="21.25" customHeight="1" x14ac:dyDescent="0.15">
      <c r="A309" s="8" t="s">
        <v>454</v>
      </c>
      <c r="B309" s="157" t="s">
        <v>902</v>
      </c>
      <c r="C309" s="158">
        <v>33</v>
      </c>
      <c r="D309" s="157" t="s">
        <v>858</v>
      </c>
      <c r="E309" s="59">
        <v>76.719285714285704</v>
      </c>
      <c r="F309" s="159">
        <v>14.6197749865649</v>
      </c>
      <c r="G309" s="160">
        <v>0.18459402794284599</v>
      </c>
      <c r="H309" s="160">
        <v>0.23779106408159101</v>
      </c>
      <c r="I309" s="160">
        <v>0.42238509202443802</v>
      </c>
      <c r="J309" s="160">
        <v>1.9338855047735499</v>
      </c>
      <c r="K309" s="160">
        <v>2.5226378201189802E-2</v>
      </c>
      <c r="L309" s="160">
        <v>9.6709131890893293E-2</v>
      </c>
      <c r="M309" s="160">
        <v>1.27343322436782E-4</v>
      </c>
      <c r="N309" s="160">
        <v>2.3600921883186099E-4</v>
      </c>
      <c r="O309" s="160">
        <v>0.36905426511564299</v>
      </c>
      <c r="P309" s="160">
        <v>0.46899195630524398</v>
      </c>
      <c r="Q309" s="160">
        <v>-9.3220162715863305E-3</v>
      </c>
      <c r="R309" s="160">
        <v>0.36667910806394399</v>
      </c>
      <c r="S309" s="160">
        <v>2.24137287310518E-2</v>
      </c>
      <c r="T309" s="160">
        <v>0.206104720309082</v>
      </c>
      <c r="U309" s="160">
        <v>0.137236664017723</v>
      </c>
      <c r="V309" s="160">
        <v>0.60029093408938905</v>
      </c>
      <c r="W309" s="160"/>
      <c r="X309" s="59"/>
      <c r="Y309" s="159"/>
      <c r="Z309" s="159"/>
      <c r="AA309" s="159"/>
      <c r="AB309" s="159"/>
      <c r="AC309" s="159"/>
      <c r="AD309" s="161"/>
      <c r="AE309" s="160"/>
    </row>
    <row r="310" spans="1:31" ht="21.25" customHeight="1" x14ac:dyDescent="0.15">
      <c r="A310" s="8" t="s">
        <v>421</v>
      </c>
      <c r="B310" s="157" t="s">
        <v>903</v>
      </c>
      <c r="C310" s="158">
        <v>21</v>
      </c>
      <c r="D310" s="157" t="s">
        <v>860</v>
      </c>
      <c r="E310" s="59">
        <v>66.260000000000005</v>
      </c>
      <c r="F310" s="159">
        <v>20.604517182303201</v>
      </c>
      <c r="G310" s="160">
        <v>9.2679929993021701E-2</v>
      </c>
      <c r="H310" s="160">
        <v>0.32849133351856602</v>
      </c>
      <c r="I310" s="160">
        <v>0.42117126351158801</v>
      </c>
      <c r="J310" s="160">
        <v>1.25791943851628</v>
      </c>
      <c r="K310" s="160">
        <v>4.6906736822799498E-3</v>
      </c>
      <c r="L310" s="160">
        <v>3.1648719955670701E-2</v>
      </c>
      <c r="M310" s="160">
        <v>7.9826632422002805E-4</v>
      </c>
      <c r="N310" s="160">
        <v>3.0454936015296302E-3</v>
      </c>
      <c r="O310" s="160">
        <v>1.66752673407549</v>
      </c>
      <c r="P310" s="160">
        <v>1.7586112111141501</v>
      </c>
      <c r="Q310" s="160">
        <v>-0.117350515449357</v>
      </c>
      <c r="R310" s="160">
        <v>0.57964518765002804</v>
      </c>
      <c r="S310" s="160">
        <v>1.00436403521574E-2</v>
      </c>
      <c r="T310" s="160">
        <v>0</v>
      </c>
      <c r="U310" s="160">
        <v>0</v>
      </c>
      <c r="V310" s="160">
        <v>0</v>
      </c>
      <c r="W310" s="160"/>
      <c r="X310" s="59"/>
      <c r="Y310" s="159"/>
      <c r="Z310" s="159"/>
      <c r="AA310" s="159"/>
      <c r="AB310" s="159"/>
      <c r="AC310" s="159"/>
      <c r="AD310" s="161"/>
      <c r="AE310" s="160"/>
    </row>
    <row r="311" spans="1:31" ht="21.25" customHeight="1" x14ac:dyDescent="0.15">
      <c r="A311" s="8" t="s">
        <v>350</v>
      </c>
      <c r="B311" s="157" t="s">
        <v>880</v>
      </c>
      <c r="C311" s="158">
        <v>23</v>
      </c>
      <c r="D311" s="157" t="s">
        <v>860</v>
      </c>
      <c r="E311" s="59">
        <v>81.0582142857143</v>
      </c>
      <c r="F311" s="159">
        <v>22.101937710086101</v>
      </c>
      <c r="G311" s="160">
        <v>0.106268897920804</v>
      </c>
      <c r="H311" s="160">
        <v>0.314639365547145</v>
      </c>
      <c r="I311" s="160">
        <v>0.42090826346794902</v>
      </c>
      <c r="J311" s="160">
        <v>1.4171426973709</v>
      </c>
      <c r="K311" s="160">
        <v>3.7870083777859602E-3</v>
      </c>
      <c r="L311" s="160">
        <v>1.6345342646448002E-2</v>
      </c>
      <c r="M311" s="160">
        <v>3.4831006403378002E-4</v>
      </c>
      <c r="N311" s="160">
        <v>1.1172976531812E-2</v>
      </c>
      <c r="O311" s="160">
        <v>1.3837905452513199</v>
      </c>
      <c r="P311" s="160">
        <v>1.8759964426120099</v>
      </c>
      <c r="Q311" s="160">
        <v>5.2943131322868799E-2</v>
      </c>
      <c r="R311" s="160">
        <v>0.42488428128587702</v>
      </c>
      <c r="S311" s="160">
        <v>1.8108021761984401E-2</v>
      </c>
      <c r="T311" s="160">
        <v>0</v>
      </c>
      <c r="U311" s="160">
        <v>0</v>
      </c>
      <c r="V311" s="160">
        <v>0</v>
      </c>
      <c r="W311" s="160"/>
      <c r="X311" s="59"/>
      <c r="Y311" s="159"/>
      <c r="Z311" s="159"/>
      <c r="AA311" s="159"/>
      <c r="AB311" s="159"/>
      <c r="AC311" s="159"/>
      <c r="AD311" s="161"/>
      <c r="AE311" s="160"/>
    </row>
    <row r="312" spans="1:31" ht="21.25" customHeight="1" x14ac:dyDescent="0.15">
      <c r="A312" s="8" t="s">
        <v>584</v>
      </c>
      <c r="B312" s="157" t="s">
        <v>890</v>
      </c>
      <c r="C312" s="158">
        <v>23</v>
      </c>
      <c r="D312" s="157" t="s">
        <v>857</v>
      </c>
      <c r="E312" s="59">
        <v>77.544642857142904</v>
      </c>
      <c r="F312" s="159">
        <v>16.711378292876802</v>
      </c>
      <c r="G312" s="160">
        <v>0.15621960077002001</v>
      </c>
      <c r="H312" s="160">
        <v>0.26380381600251801</v>
      </c>
      <c r="I312" s="160">
        <v>0.42002341677253802</v>
      </c>
      <c r="J312" s="160">
        <v>1.6128512690057599</v>
      </c>
      <c r="K312" s="160">
        <v>2.12167401267866E-2</v>
      </c>
      <c r="L312" s="160">
        <v>7.8376255782735604E-2</v>
      </c>
      <c r="M312" s="160">
        <v>3.2575312095769501E-3</v>
      </c>
      <c r="N312" s="160">
        <v>5.8817711676606797E-3</v>
      </c>
      <c r="O312" s="160">
        <v>0.48273702518192002</v>
      </c>
      <c r="P312" s="160">
        <v>0.59498771721118204</v>
      </c>
      <c r="Q312" s="160">
        <v>-0.117750490766552</v>
      </c>
      <c r="R312" s="160">
        <v>0.26003183651900702</v>
      </c>
      <c r="S312" s="160">
        <v>1.8306055263550999E-2</v>
      </c>
      <c r="T312" s="160">
        <v>1.2484910275791701</v>
      </c>
      <c r="U312" s="160">
        <v>1.6340781472338</v>
      </c>
      <c r="V312" s="160">
        <v>0.43311745594454798</v>
      </c>
      <c r="W312" s="160"/>
      <c r="X312" s="59"/>
      <c r="Y312" s="159"/>
      <c r="Z312" s="159"/>
      <c r="AA312" s="159"/>
      <c r="AB312" s="159"/>
      <c r="AC312" s="159"/>
      <c r="AD312" s="161"/>
      <c r="AE312" s="160"/>
    </row>
    <row r="313" spans="1:31" ht="21.25" customHeight="1" x14ac:dyDescent="0.15">
      <c r="A313" s="8" t="s">
        <v>396</v>
      </c>
      <c r="B313" s="157" t="s">
        <v>891</v>
      </c>
      <c r="C313" s="158">
        <v>23</v>
      </c>
      <c r="D313" s="157" t="s">
        <v>860</v>
      </c>
      <c r="E313" s="59">
        <v>72.599999999999994</v>
      </c>
      <c r="F313" s="159">
        <v>18.639695703996701</v>
      </c>
      <c r="G313" s="160">
        <v>9.7064620544201605E-2</v>
      </c>
      <c r="H313" s="160">
        <v>0.32268470446632203</v>
      </c>
      <c r="I313" s="160">
        <v>0.41974932501052298</v>
      </c>
      <c r="J313" s="160">
        <v>1.1417199501978099</v>
      </c>
      <c r="K313" s="160">
        <v>1.6584906422392801E-3</v>
      </c>
      <c r="L313" s="160">
        <v>7.7477676084877198E-2</v>
      </c>
      <c r="M313" s="160">
        <v>1.2101420446422E-4</v>
      </c>
      <c r="N313" s="160">
        <v>4.4819784540566703E-4</v>
      </c>
      <c r="O313" s="160">
        <v>1.17922551133099</v>
      </c>
      <c r="P313" s="160">
        <v>1.7781932565776499</v>
      </c>
      <c r="Q313" s="160">
        <v>-1.7157621470796799E-2</v>
      </c>
      <c r="R313" s="160">
        <v>0.39641557104554098</v>
      </c>
      <c r="S313" s="160">
        <v>1.1939519716501999E-2</v>
      </c>
      <c r="T313" s="160">
        <v>0</v>
      </c>
      <c r="U313" s="160">
        <v>0</v>
      </c>
      <c r="V313" s="160">
        <v>0</v>
      </c>
      <c r="W313" s="160"/>
      <c r="X313" s="59"/>
      <c r="Y313" s="159"/>
      <c r="Z313" s="159"/>
      <c r="AA313" s="159"/>
      <c r="AB313" s="159"/>
      <c r="AC313" s="159"/>
      <c r="AD313" s="161"/>
      <c r="AE313" s="160"/>
    </row>
    <row r="314" spans="1:31" ht="21.25" customHeight="1" x14ac:dyDescent="0.15">
      <c r="A314" s="8" t="s">
        <v>586</v>
      </c>
      <c r="B314" s="157" t="s">
        <v>887</v>
      </c>
      <c r="C314" s="162">
        <v>29</v>
      </c>
      <c r="D314" s="157" t="s">
        <v>857</v>
      </c>
      <c r="E314" s="59">
        <v>82</v>
      </c>
      <c r="F314" s="159">
        <v>14.1200300412202</v>
      </c>
      <c r="G314" s="160">
        <v>0.124256390116583</v>
      </c>
      <c r="H314" s="160">
        <v>0.29497924924343399</v>
      </c>
      <c r="I314" s="160">
        <v>0.41923563936001701</v>
      </c>
      <c r="J314" s="160">
        <v>1.4643061650421301</v>
      </c>
      <c r="K314" s="160">
        <v>8.5626546388623808E-3</v>
      </c>
      <c r="L314" s="160">
        <v>1.83188502254234E-2</v>
      </c>
      <c r="M314" s="160">
        <v>9.7084656294287603E-3</v>
      </c>
      <c r="N314" s="160">
        <v>2.82067680051101E-2</v>
      </c>
      <c r="O314" s="160">
        <v>0.59764296912167603</v>
      </c>
      <c r="P314" s="160">
        <v>0.78638881275634498</v>
      </c>
      <c r="Q314" s="160">
        <v>-2.6283316736196601E-2</v>
      </c>
      <c r="R314" s="160">
        <v>0.29563984853749098</v>
      </c>
      <c r="S314" s="160">
        <v>1.5314599557903701E-2</v>
      </c>
      <c r="T314" s="160">
        <v>0.92063506623632996</v>
      </c>
      <c r="U314" s="160">
        <v>1.20532034201199</v>
      </c>
      <c r="V314" s="160">
        <v>0.43304533230774001</v>
      </c>
      <c r="W314" s="160"/>
      <c r="X314" s="59"/>
      <c r="Y314" s="159"/>
      <c r="Z314" s="159"/>
      <c r="AA314" s="159"/>
      <c r="AB314" s="159"/>
      <c r="AC314" s="159"/>
      <c r="AD314" s="161"/>
      <c r="AE314" s="160"/>
    </row>
    <row r="315" spans="1:31" ht="21.25" customHeight="1" x14ac:dyDescent="0.15">
      <c r="A315" s="8" t="s">
        <v>444</v>
      </c>
      <c r="B315" s="157" t="s">
        <v>874</v>
      </c>
      <c r="C315" s="162">
        <v>20</v>
      </c>
      <c r="D315" s="157" t="s">
        <v>858</v>
      </c>
      <c r="E315" s="59">
        <v>74</v>
      </c>
      <c r="F315" s="159">
        <v>15</v>
      </c>
      <c r="G315" s="160">
        <v>0.17685234445457901</v>
      </c>
      <c r="H315" s="160">
        <v>0.236869892257285</v>
      </c>
      <c r="I315" s="160">
        <v>0.41372223671186298</v>
      </c>
      <c r="J315" s="160">
        <v>1.59949870186335</v>
      </c>
      <c r="K315" s="160">
        <v>3.4249905837631101E-2</v>
      </c>
      <c r="L315" s="160">
        <v>8.0123041026208805E-2</v>
      </c>
      <c r="M315" s="160">
        <v>0</v>
      </c>
      <c r="N315" s="160">
        <v>0</v>
      </c>
      <c r="O315" s="160">
        <v>0.42682926829268297</v>
      </c>
      <c r="P315" s="160">
        <v>1.1830924032672601</v>
      </c>
      <c r="Q315" s="160">
        <v>1.21951219512195E-4</v>
      </c>
      <c r="R315" s="160">
        <v>0.40406689838350401</v>
      </c>
      <c r="S315" s="160">
        <v>2.84112821299876E-2</v>
      </c>
      <c r="T315" s="160">
        <v>0</v>
      </c>
      <c r="U315" s="160">
        <v>0</v>
      </c>
      <c r="V315" s="160">
        <v>0</v>
      </c>
      <c r="W315" s="160"/>
      <c r="X315" s="59"/>
      <c r="Y315" s="159"/>
      <c r="Z315" s="159"/>
      <c r="AA315" s="159"/>
      <c r="AB315" s="159"/>
      <c r="AC315" s="159"/>
      <c r="AD315" s="161"/>
      <c r="AE315" s="160"/>
    </row>
    <row r="316" spans="1:31" ht="21.25" customHeight="1" x14ac:dyDescent="0.15">
      <c r="A316" s="8" t="s">
        <v>357</v>
      </c>
      <c r="B316" s="157" t="s">
        <v>887</v>
      </c>
      <c r="C316" s="158">
        <v>24</v>
      </c>
      <c r="D316" s="157" t="s">
        <v>860</v>
      </c>
      <c r="E316" s="59">
        <v>76.307500000000005</v>
      </c>
      <c r="F316" s="159">
        <v>18.735645757788902</v>
      </c>
      <c r="G316" s="160">
        <v>5.8265659957528498E-2</v>
      </c>
      <c r="H316" s="160">
        <v>0.354988669777905</v>
      </c>
      <c r="I316" s="160">
        <v>0.41325432973543302</v>
      </c>
      <c r="J316" s="160">
        <v>1.32418622146915</v>
      </c>
      <c r="K316" s="160">
        <v>1.29888369716279E-2</v>
      </c>
      <c r="L316" s="160">
        <v>0.12432231956611001</v>
      </c>
      <c r="M316" s="160">
        <v>2.7094248251092898E-4</v>
      </c>
      <c r="N316" s="160">
        <v>9.8847820157682001E-4</v>
      </c>
      <c r="O316" s="160">
        <v>1.27143801781524</v>
      </c>
      <c r="P316" s="160">
        <v>0.906645810897312</v>
      </c>
      <c r="Q316" s="160">
        <v>-3.0303329170742899E-2</v>
      </c>
      <c r="R316" s="160">
        <v>0.63588314155919601</v>
      </c>
      <c r="S316" s="160">
        <v>7.1812423440703503E-3</v>
      </c>
      <c r="T316" s="160">
        <v>0</v>
      </c>
      <c r="U316" s="160">
        <v>0</v>
      </c>
      <c r="V316" s="160">
        <v>0</v>
      </c>
      <c r="W316" s="160"/>
      <c r="X316" s="59"/>
      <c r="Y316" s="159"/>
      <c r="Z316" s="159"/>
      <c r="AA316" s="159"/>
      <c r="AB316" s="159"/>
      <c r="AC316" s="159"/>
      <c r="AD316" s="161"/>
      <c r="AE316" s="160"/>
    </row>
    <row r="317" spans="1:31" ht="21.25" customHeight="1" x14ac:dyDescent="0.15">
      <c r="A317" s="8" t="s">
        <v>329</v>
      </c>
      <c r="B317" s="157" t="s">
        <v>898</v>
      </c>
      <c r="C317" s="158">
        <v>30</v>
      </c>
      <c r="D317" s="157" t="s">
        <v>860</v>
      </c>
      <c r="E317" s="59">
        <v>78.591071428571396</v>
      </c>
      <c r="F317" s="159">
        <v>17.5118288729951</v>
      </c>
      <c r="G317" s="160">
        <v>0.12354926412985</v>
      </c>
      <c r="H317" s="160">
        <v>0.28933694082285399</v>
      </c>
      <c r="I317" s="160">
        <v>0.41288620495270401</v>
      </c>
      <c r="J317" s="160">
        <v>1.5618111663979299</v>
      </c>
      <c r="K317" s="160">
        <v>3.3018028473429502E-2</v>
      </c>
      <c r="L317" s="160">
        <v>0.122865929825691</v>
      </c>
      <c r="M317" s="160">
        <v>3.31586421401779E-3</v>
      </c>
      <c r="N317" s="160">
        <v>3.6335342616818701E-3</v>
      </c>
      <c r="O317" s="160">
        <v>1.06982236544901</v>
      </c>
      <c r="P317" s="160">
        <v>0.69199714110826804</v>
      </c>
      <c r="Q317" s="160">
        <v>-2.81624284820629E-2</v>
      </c>
      <c r="R317" s="160">
        <v>0.26132717830505903</v>
      </c>
      <c r="S317" s="160">
        <v>1.5951613048661498E-2</v>
      </c>
      <c r="T317" s="160">
        <v>0</v>
      </c>
      <c r="U317" s="160">
        <v>0</v>
      </c>
      <c r="V317" s="160">
        <v>0</v>
      </c>
      <c r="W317" s="160"/>
      <c r="X317" s="59"/>
      <c r="Y317" s="159"/>
      <c r="Z317" s="159"/>
      <c r="AA317" s="159"/>
      <c r="AB317" s="159"/>
      <c r="AC317" s="159"/>
      <c r="AD317" s="161"/>
      <c r="AE317" s="160"/>
    </row>
    <row r="318" spans="1:31" ht="21.25" customHeight="1" x14ac:dyDescent="0.15">
      <c r="A318" s="8" t="s">
        <v>288</v>
      </c>
      <c r="B318" s="157" t="s">
        <v>888</v>
      </c>
      <c r="C318" s="158">
        <v>21</v>
      </c>
      <c r="D318" s="157" t="s">
        <v>860</v>
      </c>
      <c r="E318" s="59">
        <v>79.954999999999998</v>
      </c>
      <c r="F318" s="159">
        <v>21.968369312902801</v>
      </c>
      <c r="G318" s="160">
        <v>6.3698829770174603E-2</v>
      </c>
      <c r="H318" s="160">
        <v>0.34727251008418902</v>
      </c>
      <c r="I318" s="160">
        <v>0.41097133985436302</v>
      </c>
      <c r="J318" s="160">
        <v>1.6956581468724301</v>
      </c>
      <c r="K318" s="160">
        <v>2.1112314212788402E-2</v>
      </c>
      <c r="L318" s="160">
        <v>0.15457518064154099</v>
      </c>
      <c r="M318" s="160">
        <v>5.2143897085598202E-4</v>
      </c>
      <c r="N318" s="160">
        <v>2.69438610176589E-3</v>
      </c>
      <c r="O318" s="160">
        <v>1.8895661004149</v>
      </c>
      <c r="P318" s="160">
        <v>0.866278439581745</v>
      </c>
      <c r="Q318" s="160">
        <v>2.74056191725676E-3</v>
      </c>
      <c r="R318" s="160">
        <v>0.25501245211178503</v>
      </c>
      <c r="S318" s="160">
        <v>8.8478273093333497E-3</v>
      </c>
      <c r="T318" s="160">
        <v>0</v>
      </c>
      <c r="U318" s="160">
        <v>0</v>
      </c>
      <c r="V318" s="160">
        <v>0</v>
      </c>
      <c r="W318" s="160"/>
      <c r="X318" s="59"/>
      <c r="Y318" s="159"/>
      <c r="Z318" s="159"/>
      <c r="AA318" s="159"/>
      <c r="AB318" s="159"/>
      <c r="AC318" s="159"/>
      <c r="AD318" s="161"/>
      <c r="AE318" s="160"/>
    </row>
    <row r="319" spans="1:31" ht="21.25" customHeight="1" x14ac:dyDescent="0.15">
      <c r="A319" s="8" t="s">
        <v>306</v>
      </c>
      <c r="B319" s="157" t="s">
        <v>875</v>
      </c>
      <c r="C319" s="158">
        <v>33</v>
      </c>
      <c r="D319" s="157" t="s">
        <v>860</v>
      </c>
      <c r="E319" s="59">
        <v>79.400000000000006</v>
      </c>
      <c r="F319" s="159">
        <v>21.423531844077999</v>
      </c>
      <c r="G319" s="160">
        <v>0.120141755115903</v>
      </c>
      <c r="H319" s="160">
        <v>0.29044000166234002</v>
      </c>
      <c r="I319" s="160">
        <v>0.41058175677824399</v>
      </c>
      <c r="J319" s="160">
        <v>1.7587991571974499</v>
      </c>
      <c r="K319" s="160">
        <v>7.5077222494495197E-3</v>
      </c>
      <c r="L319" s="160">
        <v>5.3070632558713998E-2</v>
      </c>
      <c r="M319" s="160">
        <v>3.2677992130420997E-4</v>
      </c>
      <c r="N319" s="160">
        <v>8.2619209829202407E-3</v>
      </c>
      <c r="O319" s="160">
        <v>1.9971408527835901</v>
      </c>
      <c r="P319" s="160">
        <v>0.98291458288933997</v>
      </c>
      <c r="Q319" s="160">
        <v>7.0109269651029593E-2</v>
      </c>
      <c r="R319" s="160">
        <v>0.20933595199487201</v>
      </c>
      <c r="S319" s="160">
        <v>1.9291932392552301E-2</v>
      </c>
      <c r="T319" s="160">
        <v>0</v>
      </c>
      <c r="U319" s="160">
        <v>0</v>
      </c>
      <c r="V319" s="160">
        <v>0</v>
      </c>
      <c r="W319" s="160"/>
      <c r="X319" s="59"/>
      <c r="Y319" s="159"/>
      <c r="Z319" s="159"/>
      <c r="AA319" s="159"/>
      <c r="AB319" s="159"/>
      <c r="AC319" s="159"/>
      <c r="AD319" s="161"/>
      <c r="AE319" s="160"/>
    </row>
    <row r="320" spans="1:31" ht="21.25" customHeight="1" x14ac:dyDescent="0.15">
      <c r="A320" s="8" t="s">
        <v>330</v>
      </c>
      <c r="B320" s="157" t="s">
        <v>898</v>
      </c>
      <c r="C320" s="158">
        <v>35</v>
      </c>
      <c r="D320" s="157" t="s">
        <v>860</v>
      </c>
      <c r="E320" s="59">
        <v>76.231071428571397</v>
      </c>
      <c r="F320" s="159">
        <v>19.9386875110429</v>
      </c>
      <c r="G320" s="160">
        <v>8.6276270726754506E-2</v>
      </c>
      <c r="H320" s="160">
        <v>0.321992200427477</v>
      </c>
      <c r="I320" s="160">
        <v>0.40826847115423198</v>
      </c>
      <c r="J320" s="160">
        <v>1.6612074407047099</v>
      </c>
      <c r="K320" s="160">
        <v>1.91890741092096E-2</v>
      </c>
      <c r="L320" s="160">
        <v>9.2586618308890895E-2</v>
      </c>
      <c r="M320" s="160">
        <v>3.0653894873263799E-4</v>
      </c>
      <c r="N320" s="160">
        <v>5.6597414545041099E-3</v>
      </c>
      <c r="O320" s="160">
        <v>1.5401136571155201</v>
      </c>
      <c r="P320" s="160">
        <v>2.2369132669707401</v>
      </c>
      <c r="Q320" s="160">
        <v>-9.9949095306637297E-3</v>
      </c>
      <c r="R320" s="160">
        <v>0.41486846393656002</v>
      </c>
      <c r="S320" s="160">
        <v>1.1139246320951901E-2</v>
      </c>
      <c r="T320" s="160">
        <v>0</v>
      </c>
      <c r="U320" s="160">
        <v>0</v>
      </c>
      <c r="V320" s="160">
        <v>0</v>
      </c>
      <c r="W320" s="160"/>
      <c r="X320" s="59"/>
      <c r="Y320" s="159"/>
      <c r="Z320" s="159"/>
      <c r="AA320" s="159"/>
      <c r="AB320" s="159"/>
      <c r="AC320" s="159"/>
      <c r="AD320" s="161"/>
      <c r="AE320" s="160"/>
    </row>
    <row r="321" spans="1:31" ht="21.25" customHeight="1" x14ac:dyDescent="0.15">
      <c r="A321" s="8" t="s">
        <v>649</v>
      </c>
      <c r="B321" s="157" t="s">
        <v>888</v>
      </c>
      <c r="C321" s="162">
        <v>22</v>
      </c>
      <c r="D321" s="157" t="s">
        <v>857</v>
      </c>
      <c r="E321" s="59">
        <v>70.867500000000007</v>
      </c>
      <c r="F321" s="159">
        <v>14.4655959686337</v>
      </c>
      <c r="G321" s="160">
        <v>0.20531091729888301</v>
      </c>
      <c r="H321" s="160">
        <v>0.20076738976230599</v>
      </c>
      <c r="I321" s="160">
        <v>0.40607830706118903</v>
      </c>
      <c r="J321" s="160">
        <v>1.61645124596196</v>
      </c>
      <c r="K321" s="160">
        <v>2.5740222731894299E-2</v>
      </c>
      <c r="L321" s="160">
        <v>5.2575594355015097E-2</v>
      </c>
      <c r="M321" s="160">
        <v>1.71886414174745E-3</v>
      </c>
      <c r="N321" s="160">
        <v>3.16742843103761E-3</v>
      </c>
      <c r="O321" s="160">
        <v>0.56146629165730499</v>
      </c>
      <c r="P321" s="160">
        <v>0.86994122629455695</v>
      </c>
      <c r="Q321" s="160">
        <v>-7.4716070483072097E-3</v>
      </c>
      <c r="R321" s="160">
        <v>0.28429180619369399</v>
      </c>
      <c r="S321" s="160">
        <v>2.8517879332092402E-2</v>
      </c>
      <c r="T321" s="160">
        <v>4.8469142903784501</v>
      </c>
      <c r="U321" s="160">
        <v>4.7148786492988704</v>
      </c>
      <c r="V321" s="160">
        <v>0.50690433488324604</v>
      </c>
      <c r="W321" s="160"/>
      <c r="X321" s="59"/>
      <c r="Y321" s="159"/>
      <c r="Z321" s="159"/>
      <c r="AA321" s="159"/>
      <c r="AB321" s="159"/>
      <c r="AC321" s="159"/>
      <c r="AD321" s="161"/>
      <c r="AE321" s="160"/>
    </row>
    <row r="322" spans="1:31" ht="21.25" customHeight="1" x14ac:dyDescent="0.15">
      <c r="A322" s="8" t="s">
        <v>582</v>
      </c>
      <c r="B322" s="157" t="s">
        <v>890</v>
      </c>
      <c r="C322" s="158">
        <v>27</v>
      </c>
      <c r="D322" s="157" t="s">
        <v>857</v>
      </c>
      <c r="E322" s="59">
        <v>78.098928571428601</v>
      </c>
      <c r="F322" s="159">
        <v>13.1853251012783</v>
      </c>
      <c r="G322" s="160">
        <v>0.19339933151944799</v>
      </c>
      <c r="H322" s="160">
        <v>0.21231742040384899</v>
      </c>
      <c r="I322" s="160">
        <v>0.40571675192329598</v>
      </c>
      <c r="J322" s="160">
        <v>1.94551417681385</v>
      </c>
      <c r="K322" s="160">
        <v>1.07866338544621E-2</v>
      </c>
      <c r="L322" s="160">
        <v>3.6237832817129299E-2</v>
      </c>
      <c r="M322" s="160">
        <v>2.9805556224321802E-3</v>
      </c>
      <c r="N322" s="160">
        <v>5.4662408295276599E-3</v>
      </c>
      <c r="O322" s="160">
        <v>0.26463826720851102</v>
      </c>
      <c r="P322" s="160">
        <v>1.0838329406415601</v>
      </c>
      <c r="Q322" s="160">
        <v>-6.35709424855328E-2</v>
      </c>
      <c r="R322" s="160">
        <v>0.42630251400873798</v>
      </c>
      <c r="S322" s="160">
        <v>2.26628338139261E-2</v>
      </c>
      <c r="T322" s="160">
        <v>0.79955217948280399</v>
      </c>
      <c r="U322" s="160">
        <v>1.1426701689897201</v>
      </c>
      <c r="V322" s="160">
        <v>0.41166871553693002</v>
      </c>
      <c r="W322" s="160"/>
      <c r="X322" s="59"/>
      <c r="Y322" s="159"/>
      <c r="Z322" s="159"/>
      <c r="AA322" s="159"/>
      <c r="AB322" s="159"/>
      <c r="AC322" s="159"/>
      <c r="AD322" s="161"/>
      <c r="AE322" s="160"/>
    </row>
    <row r="323" spans="1:31" ht="21.25" customHeight="1" x14ac:dyDescent="0.15">
      <c r="A323" s="8" t="s">
        <v>332</v>
      </c>
      <c r="B323" s="157" t="s">
        <v>896</v>
      </c>
      <c r="C323" s="158">
        <v>21</v>
      </c>
      <c r="D323" s="157" t="s">
        <v>860</v>
      </c>
      <c r="E323" s="59">
        <v>72.946785714285696</v>
      </c>
      <c r="F323" s="159">
        <v>21.8423006121808</v>
      </c>
      <c r="G323" s="160">
        <v>7.31518327343465E-2</v>
      </c>
      <c r="H323" s="160">
        <v>0.33146011142207299</v>
      </c>
      <c r="I323" s="160">
        <v>0.40461194415641999</v>
      </c>
      <c r="J323" s="160">
        <v>1.6500565983423501</v>
      </c>
      <c r="K323" s="160">
        <v>6.0589488384666596E-3</v>
      </c>
      <c r="L323" s="160">
        <v>0.128892508777398</v>
      </c>
      <c r="M323" s="160">
        <v>1.61123635449279E-3</v>
      </c>
      <c r="N323" s="160">
        <v>6.0857532251334901E-3</v>
      </c>
      <c r="O323" s="160">
        <v>1.32465873974313</v>
      </c>
      <c r="P323" s="160">
        <v>1.0586977837467899</v>
      </c>
      <c r="Q323" s="160">
        <v>-0.117901231633166</v>
      </c>
      <c r="R323" s="160">
        <v>0.33025055848524398</v>
      </c>
      <c r="S323" s="160">
        <v>7.9303487990840908E-3</v>
      </c>
      <c r="T323" s="160">
        <v>0</v>
      </c>
      <c r="U323" s="160">
        <v>0</v>
      </c>
      <c r="V323" s="160">
        <v>0</v>
      </c>
      <c r="W323" s="160"/>
      <c r="X323" s="59"/>
      <c r="Y323" s="159"/>
      <c r="Z323" s="159"/>
      <c r="AA323" s="159"/>
      <c r="AB323" s="159"/>
      <c r="AC323" s="159"/>
      <c r="AD323" s="161"/>
      <c r="AE323" s="160"/>
    </row>
    <row r="324" spans="1:31" ht="21.25" customHeight="1" x14ac:dyDescent="0.15">
      <c r="A324" s="8" t="s">
        <v>308</v>
      </c>
      <c r="B324" s="157" t="s">
        <v>870</v>
      </c>
      <c r="C324" s="162">
        <v>33</v>
      </c>
      <c r="D324" s="157" t="s">
        <v>860</v>
      </c>
      <c r="E324" s="59">
        <v>79.323571428571398</v>
      </c>
      <c r="F324" s="159">
        <v>22.213327102383701</v>
      </c>
      <c r="G324" s="160">
        <v>9.5508696186406103E-2</v>
      </c>
      <c r="H324" s="160">
        <v>0.30611247926452101</v>
      </c>
      <c r="I324" s="160">
        <v>0.40162117545092701</v>
      </c>
      <c r="J324" s="160">
        <v>1.8626740291703501</v>
      </c>
      <c r="K324" s="160">
        <v>1.32954866943728E-3</v>
      </c>
      <c r="L324" s="160">
        <v>4.4279185115525199E-2</v>
      </c>
      <c r="M324" s="160">
        <v>2.4737977079593998E-4</v>
      </c>
      <c r="N324" s="160">
        <v>1.0960932727989E-2</v>
      </c>
      <c r="O324" s="160">
        <v>1.3529289340771999</v>
      </c>
      <c r="P324" s="160">
        <v>1.1188113040122001</v>
      </c>
      <c r="Q324" s="160">
        <v>0.109876271276031</v>
      </c>
      <c r="R324" s="160">
        <v>0.43808182645468902</v>
      </c>
      <c r="S324" s="160">
        <v>1.5118001260958301E-2</v>
      </c>
      <c r="T324" s="160">
        <v>0</v>
      </c>
      <c r="U324" s="160">
        <v>0</v>
      </c>
      <c r="V324" s="160">
        <v>0</v>
      </c>
      <c r="W324" s="160"/>
      <c r="X324" s="59"/>
      <c r="Y324" s="159"/>
      <c r="Z324" s="159"/>
      <c r="AA324" s="159"/>
      <c r="AB324" s="159"/>
      <c r="AC324" s="159"/>
      <c r="AD324" s="161"/>
      <c r="AE324" s="160"/>
    </row>
    <row r="325" spans="1:31" ht="21.25" customHeight="1" x14ac:dyDescent="0.15">
      <c r="A325" s="8" t="s">
        <v>358</v>
      </c>
      <c r="B325" s="157" t="s">
        <v>901</v>
      </c>
      <c r="C325" s="158">
        <v>33</v>
      </c>
      <c r="D325" s="157" t="s">
        <v>860</v>
      </c>
      <c r="E325" s="59">
        <v>77.868214285714302</v>
      </c>
      <c r="F325" s="159">
        <v>17.458222504210799</v>
      </c>
      <c r="G325" s="160">
        <v>6.5685156063757993E-2</v>
      </c>
      <c r="H325" s="160">
        <v>0.33273312729591997</v>
      </c>
      <c r="I325" s="160">
        <v>0.39841828335967799</v>
      </c>
      <c r="J325" s="160">
        <v>1.3182447975686</v>
      </c>
      <c r="K325" s="160">
        <v>1.6170880611268701E-2</v>
      </c>
      <c r="L325" s="160">
        <v>0.13674111646054299</v>
      </c>
      <c r="M325" s="160">
        <v>5.7479016032827203E-5</v>
      </c>
      <c r="N325" s="160">
        <v>2.22929792675576E-4</v>
      </c>
      <c r="O325" s="160">
        <v>1.0668340397195</v>
      </c>
      <c r="P325" s="160">
        <v>0.65229531099956495</v>
      </c>
      <c r="Q325" s="160">
        <v>-3.7575410412883001E-3</v>
      </c>
      <c r="R325" s="160">
        <v>0.38766784643574898</v>
      </c>
      <c r="S325" s="160">
        <v>9.2327696560127806E-3</v>
      </c>
      <c r="T325" s="160">
        <v>0</v>
      </c>
      <c r="U325" s="160">
        <v>0</v>
      </c>
      <c r="V325" s="160">
        <v>0</v>
      </c>
      <c r="W325" s="160"/>
      <c r="X325" s="59"/>
      <c r="Y325" s="159"/>
      <c r="Z325" s="159"/>
      <c r="AA325" s="159"/>
      <c r="AB325" s="159"/>
      <c r="AC325" s="159"/>
      <c r="AD325" s="161"/>
      <c r="AE325" s="160"/>
    </row>
    <row r="326" spans="1:31" ht="21.25" customHeight="1" x14ac:dyDescent="0.15">
      <c r="A326" s="8" t="s">
        <v>668</v>
      </c>
      <c r="B326" s="157" t="s">
        <v>870</v>
      </c>
      <c r="C326" s="158">
        <v>23</v>
      </c>
      <c r="D326" s="157" t="s">
        <v>857</v>
      </c>
      <c r="E326" s="59">
        <v>74.28</v>
      </c>
      <c r="F326" s="159">
        <v>14.364570120730001</v>
      </c>
      <c r="G326" s="160">
        <v>0.17698282021797901</v>
      </c>
      <c r="H326" s="160">
        <v>0.218333410995359</v>
      </c>
      <c r="I326" s="160">
        <v>0.39531623121333798</v>
      </c>
      <c r="J326" s="160">
        <v>1.36842168074898</v>
      </c>
      <c r="K326" s="160">
        <v>1.38857133460513E-2</v>
      </c>
      <c r="L326" s="160">
        <v>3.5042408017290402E-2</v>
      </c>
      <c r="M326" s="160">
        <v>1.7919262273764999E-2</v>
      </c>
      <c r="N326" s="160">
        <v>2.7625503398747302E-2</v>
      </c>
      <c r="O326" s="160">
        <v>0.39349821634131499</v>
      </c>
      <c r="P326" s="160">
        <v>0.77767683401287802</v>
      </c>
      <c r="Q326" s="160">
        <v>6.4581321093127406E-2</v>
      </c>
      <c r="R326" s="160">
        <v>0.27932396815247201</v>
      </c>
      <c r="S326" s="160">
        <v>2.8014480419681301E-2</v>
      </c>
      <c r="T326" s="160">
        <v>4.8551759583505598</v>
      </c>
      <c r="U326" s="160">
        <v>5.3091190010110498</v>
      </c>
      <c r="V326" s="160">
        <v>0.47766972306119498</v>
      </c>
      <c r="W326" s="160"/>
      <c r="X326" s="59"/>
      <c r="Y326" s="159"/>
      <c r="Z326" s="159"/>
      <c r="AA326" s="159"/>
      <c r="AB326" s="159"/>
      <c r="AC326" s="159"/>
      <c r="AD326" s="161"/>
      <c r="AE326" s="160"/>
    </row>
    <row r="327" spans="1:31" ht="21.25" customHeight="1" x14ac:dyDescent="0.15">
      <c r="A327" s="8" t="s">
        <v>371</v>
      </c>
      <c r="B327" s="157" t="s">
        <v>875</v>
      </c>
      <c r="C327" s="158">
        <v>20</v>
      </c>
      <c r="D327" s="157" t="s">
        <v>860</v>
      </c>
      <c r="E327" s="59">
        <v>74</v>
      </c>
      <c r="F327" s="159">
        <v>20</v>
      </c>
      <c r="G327" s="160">
        <v>7.7316917280436298E-2</v>
      </c>
      <c r="H327" s="160">
        <v>0.31782779452183302</v>
      </c>
      <c r="I327" s="160">
        <v>0.39514471180227001</v>
      </c>
      <c r="J327" s="160">
        <v>1.5670472683519401</v>
      </c>
      <c r="K327" s="160">
        <v>1.4223456836766801E-2</v>
      </c>
      <c r="L327" s="160">
        <v>7.2692031062371196E-2</v>
      </c>
      <c r="M327" s="160">
        <v>0</v>
      </c>
      <c r="N327" s="160">
        <v>0</v>
      </c>
      <c r="O327" s="160">
        <v>1.2926829268292701</v>
      </c>
      <c r="P327" s="160">
        <v>1.31795062491404</v>
      </c>
      <c r="Q327" s="160">
        <v>9.8780487804877998E-3</v>
      </c>
      <c r="R327" s="160">
        <v>0.47101002824870403</v>
      </c>
      <c r="S327" s="160">
        <v>1.2415273437080701E-2</v>
      </c>
      <c r="T327" s="160">
        <v>0</v>
      </c>
      <c r="U327" s="160">
        <v>0</v>
      </c>
      <c r="V327" s="160">
        <v>0</v>
      </c>
      <c r="W327" s="160"/>
      <c r="X327" s="59"/>
      <c r="Y327" s="159"/>
      <c r="Z327" s="159"/>
      <c r="AA327" s="159"/>
      <c r="AB327" s="159"/>
      <c r="AC327" s="159"/>
      <c r="AD327" s="161"/>
      <c r="AE327" s="160"/>
    </row>
    <row r="328" spans="1:31" ht="21.25" customHeight="1" x14ac:dyDescent="0.15">
      <c r="A328" s="8" t="s">
        <v>441</v>
      </c>
      <c r="B328" s="157" t="s">
        <v>904</v>
      </c>
      <c r="C328" s="162">
        <v>35</v>
      </c>
      <c r="D328" s="157" t="s">
        <v>859</v>
      </c>
      <c r="E328" s="59">
        <v>82.03</v>
      </c>
      <c r="F328" s="159">
        <v>12.596116615853701</v>
      </c>
      <c r="G328" s="160">
        <v>0.118341877110403</v>
      </c>
      <c r="H328" s="160">
        <v>0.27642704348033298</v>
      </c>
      <c r="I328" s="160">
        <v>0.39476892059073698</v>
      </c>
      <c r="J328" s="160">
        <v>1.65059260019633</v>
      </c>
      <c r="K328" s="160">
        <v>1.64766299036837E-2</v>
      </c>
      <c r="L328" s="160">
        <v>7.67276221880593E-2</v>
      </c>
      <c r="M328" s="160">
        <v>0</v>
      </c>
      <c r="N328" s="160">
        <v>0</v>
      </c>
      <c r="O328" s="160">
        <v>0.302275564445248</v>
      </c>
      <c r="P328" s="160">
        <v>0.25365503113292298</v>
      </c>
      <c r="Q328" s="160">
        <v>-1.16621981532364E-2</v>
      </c>
      <c r="R328" s="160">
        <v>0.29057269999070001</v>
      </c>
      <c r="S328" s="160"/>
      <c r="T328" s="160">
        <v>4.3875209561678202E-2</v>
      </c>
      <c r="U328" s="160">
        <v>8.2163852415435501E-2</v>
      </c>
      <c r="V328" s="160">
        <v>0.34810802995062801</v>
      </c>
      <c r="W328" s="160"/>
      <c r="X328" s="59"/>
      <c r="Y328" s="159"/>
      <c r="Z328" s="159"/>
      <c r="AA328" s="159"/>
      <c r="AB328" s="159"/>
      <c r="AC328" s="159"/>
      <c r="AD328" s="161"/>
      <c r="AE328" s="160"/>
    </row>
    <row r="329" spans="1:31" ht="21.25" customHeight="1" x14ac:dyDescent="0.15">
      <c r="A329" s="8" t="s">
        <v>337</v>
      </c>
      <c r="B329" s="157" t="s">
        <v>885</v>
      </c>
      <c r="C329" s="158">
        <v>30</v>
      </c>
      <c r="D329" s="157" t="s">
        <v>860</v>
      </c>
      <c r="E329" s="59">
        <v>78.44</v>
      </c>
      <c r="F329" s="159">
        <v>23.0827304398059</v>
      </c>
      <c r="G329" s="160">
        <v>6.5753090428509006E-2</v>
      </c>
      <c r="H329" s="160">
        <v>0.32782269524675101</v>
      </c>
      <c r="I329" s="160">
        <v>0.39357578567526003</v>
      </c>
      <c r="J329" s="160">
        <v>1.7004166776793701</v>
      </c>
      <c r="K329" s="160">
        <v>1.2597309054503301E-3</v>
      </c>
      <c r="L329" s="160">
        <v>2.03975217444065E-2</v>
      </c>
      <c r="M329" s="160">
        <v>3.0578453198568697E-4</v>
      </c>
      <c r="N329" s="160">
        <v>7.9265802231358994E-3</v>
      </c>
      <c r="O329" s="160">
        <v>1.8654506980450201</v>
      </c>
      <c r="P329" s="160">
        <v>1.2870617891296601</v>
      </c>
      <c r="Q329" s="160">
        <v>-7.9024070647279093E-2</v>
      </c>
      <c r="R329" s="160">
        <v>0.37228467841725998</v>
      </c>
      <c r="S329" s="160">
        <v>7.5663877309627304E-3</v>
      </c>
      <c r="T329" s="160">
        <v>0</v>
      </c>
      <c r="U329" s="160">
        <v>0</v>
      </c>
      <c r="V329" s="160">
        <v>0</v>
      </c>
      <c r="W329" s="160"/>
      <c r="X329" s="59"/>
      <c r="Y329" s="159"/>
      <c r="Z329" s="159"/>
      <c r="AA329" s="159"/>
      <c r="AB329" s="159"/>
      <c r="AC329" s="159"/>
      <c r="AD329" s="161"/>
      <c r="AE329" s="160"/>
    </row>
    <row r="330" spans="1:31" ht="21.25" customHeight="1" x14ac:dyDescent="0.15">
      <c r="A330" s="8" t="s">
        <v>549</v>
      </c>
      <c r="B330" s="157" t="s">
        <v>901</v>
      </c>
      <c r="C330" s="158">
        <v>24</v>
      </c>
      <c r="D330" s="157" t="s">
        <v>859</v>
      </c>
      <c r="E330" s="59">
        <v>76.2</v>
      </c>
      <c r="F330" s="159">
        <v>13.4132314240788</v>
      </c>
      <c r="G330" s="160">
        <v>0.16882067985282101</v>
      </c>
      <c r="H330" s="160">
        <v>0.22129206285238501</v>
      </c>
      <c r="I330" s="160">
        <v>0.39011274270520602</v>
      </c>
      <c r="J330" s="160">
        <v>1.28493101910365</v>
      </c>
      <c r="K330" s="160">
        <v>1.08289955996114E-2</v>
      </c>
      <c r="L330" s="160">
        <v>2.3587565109862801E-2</v>
      </c>
      <c r="M330" s="160">
        <v>5.2362800266708498E-3</v>
      </c>
      <c r="N330" s="160">
        <v>1.1450174683734901E-2</v>
      </c>
      <c r="O330" s="160">
        <v>0.37029092496256699</v>
      </c>
      <c r="P330" s="160">
        <v>1.10457828342857</v>
      </c>
      <c r="Q330" s="160">
        <v>8.9732008537053503E-4</v>
      </c>
      <c r="R330" s="160">
        <v>0.33468020794418701</v>
      </c>
      <c r="S330" s="160">
        <v>2.37295995573127E-2</v>
      </c>
      <c r="T330" s="160">
        <v>4.3242538595989297E-2</v>
      </c>
      <c r="U330" s="160">
        <v>9.3356214766553799E-2</v>
      </c>
      <c r="V330" s="160">
        <v>0.316566129130186</v>
      </c>
      <c r="W330" s="160"/>
      <c r="X330" s="59"/>
      <c r="Y330" s="159"/>
      <c r="Z330" s="159"/>
      <c r="AA330" s="159"/>
      <c r="AB330" s="159"/>
      <c r="AC330" s="159"/>
      <c r="AD330" s="161"/>
      <c r="AE330" s="160"/>
    </row>
    <row r="331" spans="1:31" ht="21.25" customHeight="1" x14ac:dyDescent="0.15">
      <c r="A331" s="8" t="s">
        <v>610</v>
      </c>
      <c r="B331" s="157" t="s">
        <v>902</v>
      </c>
      <c r="C331" s="158">
        <v>23</v>
      </c>
      <c r="D331" s="157" t="s">
        <v>858</v>
      </c>
      <c r="E331" s="59">
        <v>65.917500000000004</v>
      </c>
      <c r="F331" s="159">
        <v>12.9291446136325</v>
      </c>
      <c r="G331" s="160">
        <v>0.12708402040292599</v>
      </c>
      <c r="H331" s="160">
        <v>0.26280584276077801</v>
      </c>
      <c r="I331" s="160">
        <v>0.389889863163704</v>
      </c>
      <c r="J331" s="160">
        <v>1.68148110940139</v>
      </c>
      <c r="K331" s="160">
        <v>8.4976627551161706E-3</v>
      </c>
      <c r="L331" s="160">
        <v>2.3127289791485001E-2</v>
      </c>
      <c r="M331" s="160">
        <v>8.5595982234917299E-5</v>
      </c>
      <c r="N331" s="160">
        <v>1.53269771969022E-4</v>
      </c>
      <c r="O331" s="160">
        <v>0.33739749295042398</v>
      </c>
      <c r="P331" s="160">
        <v>0.86548012349090997</v>
      </c>
      <c r="Q331" s="160">
        <v>-3.5599089873670502E-3</v>
      </c>
      <c r="R331" s="160">
        <v>0.22960275453505999</v>
      </c>
      <c r="S331" s="160">
        <v>1.54307633410793E-2</v>
      </c>
      <c r="T331" s="160">
        <v>0.110519355074139</v>
      </c>
      <c r="U331" s="160">
        <v>0.135284030406459</v>
      </c>
      <c r="V331" s="160">
        <v>0.44962503204766602</v>
      </c>
      <c r="W331" s="160"/>
      <c r="X331" s="59"/>
      <c r="Y331" s="159"/>
      <c r="Z331" s="159"/>
      <c r="AA331" s="159"/>
      <c r="AB331" s="159"/>
      <c r="AC331" s="159"/>
      <c r="AD331" s="161"/>
      <c r="AE331" s="160"/>
    </row>
    <row r="332" spans="1:31" ht="21.25" customHeight="1" x14ac:dyDescent="0.15">
      <c r="A332" s="8" t="s">
        <v>616</v>
      </c>
      <c r="B332" s="157" t="s">
        <v>891</v>
      </c>
      <c r="C332" s="158">
        <v>27</v>
      </c>
      <c r="D332" s="157" t="s">
        <v>858</v>
      </c>
      <c r="E332" s="59">
        <v>74.834999999999994</v>
      </c>
      <c r="F332" s="159">
        <v>12.3635814012576</v>
      </c>
      <c r="G332" s="160">
        <v>0.14418971907299999</v>
      </c>
      <c r="H332" s="160">
        <v>0.245223546294979</v>
      </c>
      <c r="I332" s="160">
        <v>0.38941326536797899</v>
      </c>
      <c r="J332" s="160">
        <v>1.21672230171411</v>
      </c>
      <c r="K332" s="160">
        <v>6.1575947596111099E-3</v>
      </c>
      <c r="L332" s="160">
        <v>1.6993604625076202E-2</v>
      </c>
      <c r="M332" s="160">
        <v>1.0321136215251499E-5</v>
      </c>
      <c r="N332" s="160">
        <v>1.89780403387805E-5</v>
      </c>
      <c r="O332" s="160">
        <v>0.25768173566622798</v>
      </c>
      <c r="P332" s="160">
        <v>0.66133913917078302</v>
      </c>
      <c r="Q332" s="160">
        <v>-3.3121679483123702E-2</v>
      </c>
      <c r="R332" s="160">
        <v>0.22455390074233</v>
      </c>
      <c r="S332" s="160">
        <v>1.7736184246504E-2</v>
      </c>
      <c r="T332" s="160">
        <v>0</v>
      </c>
      <c r="U332" s="160">
        <v>4.8407614189865502E-3</v>
      </c>
      <c r="V332" s="160">
        <v>0</v>
      </c>
      <c r="W332" s="160"/>
      <c r="X332" s="59"/>
      <c r="Y332" s="159"/>
      <c r="Z332" s="159"/>
      <c r="AA332" s="159"/>
      <c r="AB332" s="159"/>
      <c r="AC332" s="159"/>
      <c r="AD332" s="161"/>
      <c r="AE332" s="160"/>
    </row>
    <row r="333" spans="1:31" ht="21.25" customHeight="1" x14ac:dyDescent="0.15">
      <c r="A333" s="8" t="s">
        <v>416</v>
      </c>
      <c r="B333" s="157" t="s">
        <v>893</v>
      </c>
      <c r="C333" s="162">
        <v>27</v>
      </c>
      <c r="D333" s="157" t="s">
        <v>860</v>
      </c>
      <c r="E333" s="59">
        <v>66.400000000000006</v>
      </c>
      <c r="F333" s="159">
        <v>16.0190706365964</v>
      </c>
      <c r="G333" s="160">
        <v>9.5727521449174999E-2</v>
      </c>
      <c r="H333" s="160">
        <v>0.29354290431943197</v>
      </c>
      <c r="I333" s="160">
        <v>0.38927042576860699</v>
      </c>
      <c r="J333" s="160">
        <v>1.66669018578451</v>
      </c>
      <c r="K333" s="160">
        <v>1.0826391698797001E-2</v>
      </c>
      <c r="L333" s="160">
        <v>6.6664184836820004E-2</v>
      </c>
      <c r="M333" s="160">
        <v>4.8092022209016798E-5</v>
      </c>
      <c r="N333" s="160">
        <v>1.78822537295349E-4</v>
      </c>
      <c r="O333" s="160">
        <v>0.90907915051164501</v>
      </c>
      <c r="P333" s="160">
        <v>0.72613383058652003</v>
      </c>
      <c r="Q333" s="160">
        <v>5.7960223019646803E-2</v>
      </c>
      <c r="R333" s="160">
        <v>0.45154952143513799</v>
      </c>
      <c r="S333" s="160">
        <v>1.1252353004366699E-2</v>
      </c>
      <c r="T333" s="160">
        <v>0</v>
      </c>
      <c r="U333" s="160">
        <v>0</v>
      </c>
      <c r="V333" s="160">
        <v>0</v>
      </c>
      <c r="W333" s="160"/>
      <c r="X333" s="59"/>
      <c r="Y333" s="159"/>
      <c r="Z333" s="159"/>
      <c r="AA333" s="159"/>
      <c r="AB333" s="159"/>
      <c r="AC333" s="159"/>
      <c r="AD333" s="161"/>
      <c r="AE333" s="160"/>
    </row>
    <row r="334" spans="1:31" ht="21.25" customHeight="1" x14ac:dyDescent="0.15">
      <c r="A334" s="8" t="s">
        <v>671</v>
      </c>
      <c r="B334" s="157" t="s">
        <v>892</v>
      </c>
      <c r="C334" s="158">
        <v>25</v>
      </c>
      <c r="D334" s="157" t="s">
        <v>857</v>
      </c>
      <c r="E334" s="59">
        <v>78.006071428571403</v>
      </c>
      <c r="F334" s="159">
        <v>12.907922936210801</v>
      </c>
      <c r="G334" s="160">
        <v>0.14084238735589399</v>
      </c>
      <c r="H334" s="160">
        <v>0.24752815979317999</v>
      </c>
      <c r="I334" s="160">
        <v>0.38837054714907399</v>
      </c>
      <c r="J334" s="160">
        <v>1.3205569502585499</v>
      </c>
      <c r="K334" s="160">
        <v>6.9806302822696597E-4</v>
      </c>
      <c r="L334" s="160">
        <v>1.7590801283261801E-3</v>
      </c>
      <c r="M334" s="160">
        <v>5.3116853206471E-3</v>
      </c>
      <c r="N334" s="160">
        <v>2.7885767402182599E-2</v>
      </c>
      <c r="O334" s="160">
        <v>0.42123385319843798</v>
      </c>
      <c r="P334" s="160">
        <v>1.1815566807944999</v>
      </c>
      <c r="Q334" s="160">
        <v>8.6414673740617294E-3</v>
      </c>
      <c r="R334" s="160">
        <v>0.52988016723193698</v>
      </c>
      <c r="S334" s="160">
        <v>2.0910000391565601E-2</v>
      </c>
      <c r="T334" s="160">
        <v>5.0076310220211999</v>
      </c>
      <c r="U334" s="160">
        <v>4.7372789252404504</v>
      </c>
      <c r="V334" s="160">
        <v>0.51387145177553495</v>
      </c>
      <c r="W334" s="160"/>
      <c r="X334" s="59"/>
      <c r="Y334" s="159"/>
      <c r="Z334" s="159"/>
      <c r="AA334" s="159"/>
      <c r="AB334" s="159"/>
      <c r="AC334" s="159"/>
      <c r="AD334" s="161"/>
      <c r="AE334" s="160"/>
    </row>
    <row r="335" spans="1:31" ht="21.25" customHeight="1" x14ac:dyDescent="0.15">
      <c r="A335" s="8" t="s">
        <v>641</v>
      </c>
      <c r="B335" s="157" t="s">
        <v>903</v>
      </c>
      <c r="C335" s="158">
        <v>19</v>
      </c>
      <c r="D335" s="157" t="s">
        <v>858</v>
      </c>
      <c r="E335" s="59">
        <v>64.185000000000002</v>
      </c>
      <c r="F335" s="159">
        <v>13.636793699976399</v>
      </c>
      <c r="G335" s="160">
        <v>0.15845044443449799</v>
      </c>
      <c r="H335" s="160">
        <v>0.22849522689358001</v>
      </c>
      <c r="I335" s="160">
        <v>0.386945671328078</v>
      </c>
      <c r="J335" s="160">
        <v>1.3224001715649401</v>
      </c>
      <c r="K335" s="160">
        <v>2.5677538855933501E-2</v>
      </c>
      <c r="L335" s="160">
        <v>5.7701916148299802E-2</v>
      </c>
      <c r="M335" s="160">
        <v>1.69736236070061E-5</v>
      </c>
      <c r="N335" s="160">
        <v>3.0736897639031497E-5</v>
      </c>
      <c r="O335" s="160">
        <v>0.60821700736784901</v>
      </c>
      <c r="P335" s="160">
        <v>1.3696949408149099</v>
      </c>
      <c r="Q335" s="160">
        <v>-0.10212115583074401</v>
      </c>
      <c r="R335" s="160">
        <v>0.48913417668832798</v>
      </c>
      <c r="S335" s="160">
        <v>1.71711316318367E-2</v>
      </c>
      <c r="T335" s="160">
        <v>0.14312335957153999</v>
      </c>
      <c r="U335" s="160">
        <v>0.14312335957153999</v>
      </c>
      <c r="V335" s="160">
        <v>0.5</v>
      </c>
      <c r="W335" s="160"/>
      <c r="X335" s="59"/>
      <c r="Y335" s="159"/>
      <c r="Z335" s="159"/>
      <c r="AA335" s="159"/>
      <c r="AB335" s="159"/>
      <c r="AC335" s="159"/>
      <c r="AD335" s="161"/>
      <c r="AE335" s="160"/>
    </row>
    <row r="336" spans="1:31" ht="21.25" customHeight="1" x14ac:dyDescent="0.15">
      <c r="A336" s="8" t="s">
        <v>595</v>
      </c>
      <c r="B336" s="157" t="s">
        <v>901</v>
      </c>
      <c r="C336" s="158">
        <v>31</v>
      </c>
      <c r="D336" s="157" t="s">
        <v>858</v>
      </c>
      <c r="E336" s="59">
        <v>71.2</v>
      </c>
      <c r="F336" s="159">
        <v>14.182909283536601</v>
      </c>
      <c r="G336" s="160">
        <v>0.17739964173911299</v>
      </c>
      <c r="H336" s="160">
        <v>0.20847725203935899</v>
      </c>
      <c r="I336" s="160">
        <v>0.38587689377847201</v>
      </c>
      <c r="J336" s="160">
        <v>1.4099179542714999</v>
      </c>
      <c r="K336" s="160">
        <v>1.39059477835098E-3</v>
      </c>
      <c r="L336" s="160">
        <v>2.39623890190794E-3</v>
      </c>
      <c r="M336" s="160">
        <v>1.6886681364117601E-2</v>
      </c>
      <c r="N336" s="160">
        <v>2.1339568830647599E-2</v>
      </c>
      <c r="O336" s="160">
        <v>0.79403888387302402</v>
      </c>
      <c r="P336" s="160">
        <v>2.31616633531184</v>
      </c>
      <c r="Q336" s="160">
        <v>1.1365810754612999E-2</v>
      </c>
      <c r="R336" s="160">
        <v>0.39601231070502402</v>
      </c>
      <c r="S336" s="160">
        <v>2.4935466814550701E-2</v>
      </c>
      <c r="T336" s="160">
        <v>6.3778513472852294E-2</v>
      </c>
      <c r="U336" s="160">
        <v>0.22670186075599999</v>
      </c>
      <c r="V336" s="160">
        <v>0.219562211878056</v>
      </c>
      <c r="W336" s="160"/>
      <c r="X336" s="59"/>
      <c r="Y336" s="159"/>
      <c r="Z336" s="159"/>
      <c r="AA336" s="159"/>
      <c r="AB336" s="159"/>
      <c r="AC336" s="159"/>
      <c r="AD336" s="161"/>
      <c r="AE336" s="160"/>
    </row>
    <row r="337" spans="1:31" ht="21.25" customHeight="1" x14ac:dyDescent="0.15">
      <c r="A337" s="8" t="s">
        <v>538</v>
      </c>
      <c r="B337" s="157" t="s">
        <v>895</v>
      </c>
      <c r="C337" s="158">
        <v>28</v>
      </c>
      <c r="D337" s="157" t="s">
        <v>858</v>
      </c>
      <c r="E337" s="59">
        <v>74.216785714285706</v>
      </c>
      <c r="F337" s="159">
        <v>12.603615948252401</v>
      </c>
      <c r="G337" s="160">
        <v>0.20081913095378001</v>
      </c>
      <c r="H337" s="160">
        <v>0.183441327860661</v>
      </c>
      <c r="I337" s="160">
        <v>0.38426045881444099</v>
      </c>
      <c r="J337" s="160">
        <v>1.9339439882801199</v>
      </c>
      <c r="K337" s="160">
        <v>5.0838318627352604E-3</v>
      </c>
      <c r="L337" s="160">
        <v>1.28773810528985E-2</v>
      </c>
      <c r="M337" s="160">
        <v>8.5304275807675202E-4</v>
      </c>
      <c r="N337" s="160">
        <v>1.5619197139815999E-3</v>
      </c>
      <c r="O337" s="160">
        <v>0.39118214538412599</v>
      </c>
      <c r="P337" s="160">
        <v>2.28688247883629</v>
      </c>
      <c r="Q337" s="160">
        <v>8.5062136123656498E-2</v>
      </c>
      <c r="R337" s="160">
        <v>0.42329978788957601</v>
      </c>
      <c r="S337" s="160">
        <v>3.2819325299220603E-2</v>
      </c>
      <c r="T337" s="160">
        <v>4.6146895725361299E-2</v>
      </c>
      <c r="U337" s="160">
        <v>0.101066568608041</v>
      </c>
      <c r="V337" s="160">
        <v>0.31346925999139502</v>
      </c>
      <c r="W337" s="160"/>
      <c r="X337" s="59"/>
      <c r="Y337" s="159"/>
      <c r="Z337" s="159"/>
      <c r="AA337" s="159"/>
      <c r="AB337" s="159"/>
      <c r="AC337" s="159"/>
      <c r="AD337" s="161"/>
      <c r="AE337" s="160"/>
    </row>
    <row r="338" spans="1:31" ht="21.25" customHeight="1" x14ac:dyDescent="0.15">
      <c r="A338" s="8" t="s">
        <v>512</v>
      </c>
      <c r="B338" s="157" t="s">
        <v>900</v>
      </c>
      <c r="C338" s="158">
        <v>23</v>
      </c>
      <c r="D338" s="157" t="s">
        <v>859</v>
      </c>
      <c r="E338" s="59">
        <v>70.692857142857093</v>
      </c>
      <c r="F338" s="159">
        <v>12.059634716664901</v>
      </c>
      <c r="G338" s="160">
        <v>0.18090476702094099</v>
      </c>
      <c r="H338" s="160">
        <v>0.202581859263854</v>
      </c>
      <c r="I338" s="160">
        <v>0.38348662628479502</v>
      </c>
      <c r="J338" s="160">
        <v>1.8694406659769101</v>
      </c>
      <c r="K338" s="160">
        <v>3.4510851264710998E-2</v>
      </c>
      <c r="L338" s="160">
        <v>6.4319151036014599E-2</v>
      </c>
      <c r="M338" s="160">
        <v>3.6494399072072302E-6</v>
      </c>
      <c r="N338" s="160">
        <v>6.68278825628784E-6</v>
      </c>
      <c r="O338" s="160">
        <v>0.36635197060874902</v>
      </c>
      <c r="P338" s="160">
        <v>1.3940438051760999</v>
      </c>
      <c r="Q338" s="160">
        <v>1.9288367316268901E-2</v>
      </c>
      <c r="R338" s="160">
        <v>0.60611784428173199</v>
      </c>
      <c r="S338" s="160">
        <v>2.79537406022041E-2</v>
      </c>
      <c r="T338" s="160">
        <v>0.17147932657773901</v>
      </c>
      <c r="U338" s="160">
        <v>0.25367662305189398</v>
      </c>
      <c r="V338" s="160">
        <v>0.40333276936879198</v>
      </c>
      <c r="W338" s="160"/>
      <c r="X338" s="59"/>
      <c r="Y338" s="159"/>
      <c r="Z338" s="159"/>
      <c r="AA338" s="159"/>
      <c r="AB338" s="159"/>
      <c r="AC338" s="159"/>
      <c r="AD338" s="161"/>
      <c r="AE338" s="160"/>
    </row>
    <row r="339" spans="1:31" ht="21.25" customHeight="1" x14ac:dyDescent="0.15">
      <c r="A339" s="8" t="s">
        <v>492</v>
      </c>
      <c r="B339" s="157" t="s">
        <v>903</v>
      </c>
      <c r="C339" s="158">
        <v>31</v>
      </c>
      <c r="D339" s="157" t="s">
        <v>859</v>
      </c>
      <c r="E339" s="59">
        <v>67.392499999999998</v>
      </c>
      <c r="F339" s="159">
        <v>13.6606361414098</v>
      </c>
      <c r="G339" s="160">
        <v>0.16833179053234101</v>
      </c>
      <c r="H339" s="160">
        <v>0.21514113403467799</v>
      </c>
      <c r="I339" s="160">
        <v>0.38347292456701998</v>
      </c>
      <c r="J339" s="160">
        <v>2.3285243855492599</v>
      </c>
      <c r="K339" s="160">
        <v>2.4916743821833499E-2</v>
      </c>
      <c r="L339" s="160">
        <v>4.9454616701250398E-2</v>
      </c>
      <c r="M339" s="160">
        <v>3.9077171132608402E-5</v>
      </c>
      <c r="N339" s="160">
        <v>7.2286837083556095E-5</v>
      </c>
      <c r="O339" s="160">
        <v>0.41095929443271201</v>
      </c>
      <c r="P339" s="160">
        <v>0.767927103651318</v>
      </c>
      <c r="Q339" s="160">
        <v>-6.20492834086874E-2</v>
      </c>
      <c r="R339" s="160">
        <v>0.64086583819125897</v>
      </c>
      <c r="S339" s="160">
        <v>1.82419641886741E-2</v>
      </c>
      <c r="T339" s="160">
        <v>0.22199579107138501</v>
      </c>
      <c r="U339" s="160">
        <v>0.33225430489076802</v>
      </c>
      <c r="V339" s="160">
        <v>0.40053360872407401</v>
      </c>
      <c r="W339" s="160"/>
      <c r="X339" s="59"/>
      <c r="Y339" s="159"/>
      <c r="Z339" s="159"/>
      <c r="AA339" s="159"/>
      <c r="AB339" s="159"/>
      <c r="AC339" s="159"/>
      <c r="AD339" s="161"/>
      <c r="AE339" s="160"/>
    </row>
    <row r="340" spans="1:31" ht="21.25" customHeight="1" x14ac:dyDescent="0.15">
      <c r="A340" s="8" t="s">
        <v>621</v>
      </c>
      <c r="B340" s="157" t="s">
        <v>882</v>
      </c>
      <c r="C340" s="158">
        <v>29</v>
      </c>
      <c r="D340" s="157" t="s">
        <v>858</v>
      </c>
      <c r="E340" s="59">
        <v>57.8642857142857</v>
      </c>
      <c r="F340" s="159">
        <v>14.582448275862101</v>
      </c>
      <c r="G340" s="160">
        <v>0.16362017743831</v>
      </c>
      <c r="H340" s="160">
        <v>0.21879335855599599</v>
      </c>
      <c r="I340" s="160">
        <v>0.382413535994306</v>
      </c>
      <c r="J340" s="160">
        <v>2.1459245278196599</v>
      </c>
      <c r="K340" s="160">
        <v>4.4172434243181496E-3</v>
      </c>
      <c r="L340" s="160">
        <v>1.5910123219872799E-2</v>
      </c>
      <c r="M340" s="160">
        <v>3.18901785867798E-3</v>
      </c>
      <c r="N340" s="160">
        <v>2.11892127698327E-2</v>
      </c>
      <c r="O340" s="160">
        <v>0.41182416622518297</v>
      </c>
      <c r="P340" s="160">
        <v>1.59816530058779</v>
      </c>
      <c r="Q340" s="160">
        <v>3.2138820486312799E-3</v>
      </c>
      <c r="R340" s="160">
        <v>0.43510182758640498</v>
      </c>
      <c r="S340" s="160">
        <v>2.31620148799568E-2</v>
      </c>
      <c r="T340" s="160">
        <v>4.7876270073166999E-2</v>
      </c>
      <c r="U340" s="160">
        <v>0.10833173901496999</v>
      </c>
      <c r="V340" s="160">
        <v>0.306490495286664</v>
      </c>
      <c r="W340" s="160"/>
      <c r="X340" s="59"/>
      <c r="Y340" s="159"/>
      <c r="Z340" s="159"/>
      <c r="AA340" s="159"/>
      <c r="AB340" s="159"/>
      <c r="AC340" s="159"/>
      <c r="AD340" s="161"/>
      <c r="AE340" s="160"/>
    </row>
    <row r="341" spans="1:31" ht="21.25" customHeight="1" x14ac:dyDescent="0.15">
      <c r="A341" s="8" t="s">
        <v>343</v>
      </c>
      <c r="B341" s="157" t="s">
        <v>893</v>
      </c>
      <c r="C341" s="158">
        <v>29</v>
      </c>
      <c r="D341" s="157" t="s">
        <v>860</v>
      </c>
      <c r="E341" s="59">
        <v>79.966785714285706</v>
      </c>
      <c r="F341" s="159">
        <v>21.899566867578599</v>
      </c>
      <c r="G341" s="160">
        <v>6.6585629063748E-2</v>
      </c>
      <c r="H341" s="160">
        <v>0.31573812057491701</v>
      </c>
      <c r="I341" s="160">
        <v>0.382323749638665</v>
      </c>
      <c r="J341" s="160">
        <v>1.78718390717943</v>
      </c>
      <c r="K341" s="160">
        <v>7.3861683441865103E-4</v>
      </c>
      <c r="L341" s="160">
        <v>4.72595086755537E-3</v>
      </c>
      <c r="M341" s="160">
        <v>2.7834874077118E-4</v>
      </c>
      <c r="N341" s="160">
        <v>1.55315494666904E-2</v>
      </c>
      <c r="O341" s="160">
        <v>1.4377326674050099</v>
      </c>
      <c r="P341" s="160">
        <v>0.64143149556791601</v>
      </c>
      <c r="Q341" s="160">
        <v>0.11428255885659699</v>
      </c>
      <c r="R341" s="160">
        <v>0.15620662511769301</v>
      </c>
      <c r="S341" s="160">
        <v>1.19469528190235E-2</v>
      </c>
      <c r="T341" s="160">
        <v>0</v>
      </c>
      <c r="U341" s="160">
        <v>0</v>
      </c>
      <c r="V341" s="160">
        <v>0</v>
      </c>
      <c r="W341" s="160"/>
      <c r="X341" s="59"/>
      <c r="Y341" s="159"/>
      <c r="Z341" s="159"/>
      <c r="AA341" s="159"/>
      <c r="AB341" s="159"/>
      <c r="AC341" s="159"/>
      <c r="AD341" s="161"/>
      <c r="AE341" s="160"/>
    </row>
    <row r="342" spans="1:31" ht="21.25" customHeight="1" x14ac:dyDescent="0.15">
      <c r="A342" s="8" t="s">
        <v>476</v>
      </c>
      <c r="B342" s="157" t="s">
        <v>878</v>
      </c>
      <c r="C342" s="162">
        <v>34</v>
      </c>
      <c r="D342" s="157" t="s">
        <v>859</v>
      </c>
      <c r="E342" s="59">
        <v>79.736071428571407</v>
      </c>
      <c r="F342" s="159">
        <v>13.7212905977057</v>
      </c>
      <c r="G342" s="160">
        <v>0.131820133710735</v>
      </c>
      <c r="H342" s="160">
        <v>0.24993510500094401</v>
      </c>
      <c r="I342" s="160">
        <v>0.38175523871167899</v>
      </c>
      <c r="J342" s="160">
        <v>1.5394676544546799</v>
      </c>
      <c r="K342" s="160">
        <v>1.84230507421126E-2</v>
      </c>
      <c r="L342" s="160">
        <v>6.7945640482726097E-2</v>
      </c>
      <c r="M342" s="160">
        <v>9.5033682806400005E-4</v>
      </c>
      <c r="N342" s="160">
        <v>1.8151501279112801E-3</v>
      </c>
      <c r="O342" s="160">
        <v>0.46707070138110901</v>
      </c>
      <c r="P342" s="160">
        <v>0.63999900548586497</v>
      </c>
      <c r="Q342" s="160">
        <v>5.7867354746881497E-2</v>
      </c>
      <c r="R342" s="160">
        <v>0.21511850327561499</v>
      </c>
      <c r="S342" s="160">
        <v>2.10902869136111E-2</v>
      </c>
      <c r="T342" s="160">
        <v>1.53136452116576E-2</v>
      </c>
      <c r="U342" s="160">
        <v>6.8865642686658401E-2</v>
      </c>
      <c r="V342" s="160">
        <v>0.18191702013630301</v>
      </c>
      <c r="W342" s="160"/>
      <c r="X342" s="59"/>
      <c r="Y342" s="159"/>
      <c r="Z342" s="159"/>
      <c r="AA342" s="159"/>
      <c r="AB342" s="159"/>
      <c r="AC342" s="159"/>
      <c r="AD342" s="161"/>
      <c r="AE342" s="160"/>
    </row>
    <row r="343" spans="1:31" ht="21.25" customHeight="1" x14ac:dyDescent="0.15">
      <c r="A343" s="8" t="s">
        <v>564</v>
      </c>
      <c r="B343" s="157" t="s">
        <v>904</v>
      </c>
      <c r="C343" s="158">
        <v>33</v>
      </c>
      <c r="D343" s="157" t="s">
        <v>859</v>
      </c>
      <c r="E343" s="59">
        <v>77.442142857142898</v>
      </c>
      <c r="F343" s="159">
        <v>13.1155186302065</v>
      </c>
      <c r="G343" s="160">
        <v>0.12073455120957</v>
      </c>
      <c r="H343" s="160">
        <v>0.26008367082225398</v>
      </c>
      <c r="I343" s="160">
        <v>0.38081822203182403</v>
      </c>
      <c r="J343" s="160">
        <v>1.07481704070138</v>
      </c>
      <c r="K343" s="160">
        <v>7.4380873189305403E-3</v>
      </c>
      <c r="L343" s="160">
        <v>5.5221103516018499E-2</v>
      </c>
      <c r="M343" s="160">
        <v>0</v>
      </c>
      <c r="N343" s="160">
        <v>0</v>
      </c>
      <c r="O343" s="160">
        <v>0.35309896248330702</v>
      </c>
      <c r="P343" s="160">
        <v>0.35555208248846598</v>
      </c>
      <c r="Q343" s="160">
        <v>-7.2239160350481002E-3</v>
      </c>
      <c r="R343" s="160">
        <v>0.10003430801877</v>
      </c>
      <c r="S343" s="160"/>
      <c r="T343" s="160">
        <v>0.47501415524305901</v>
      </c>
      <c r="U343" s="160">
        <v>0.68140690740911503</v>
      </c>
      <c r="V343" s="160">
        <v>0.41076228251468</v>
      </c>
      <c r="W343" s="160"/>
      <c r="X343" s="59"/>
      <c r="Y343" s="159"/>
      <c r="Z343" s="159"/>
      <c r="AA343" s="159"/>
      <c r="AB343" s="159"/>
      <c r="AC343" s="159"/>
      <c r="AD343" s="161"/>
      <c r="AE343" s="160"/>
    </row>
    <row r="344" spans="1:31" ht="21.25" customHeight="1" x14ac:dyDescent="0.15">
      <c r="A344" s="8" t="s">
        <v>642</v>
      </c>
      <c r="B344" s="157" t="s">
        <v>902</v>
      </c>
      <c r="C344" s="158">
        <v>25</v>
      </c>
      <c r="D344" s="157" t="s">
        <v>857</v>
      </c>
      <c r="E344" s="59">
        <v>70.341785714285706</v>
      </c>
      <c r="F344" s="159">
        <v>15.359567736059001</v>
      </c>
      <c r="G344" s="160">
        <v>0.18322063402616101</v>
      </c>
      <c r="H344" s="160">
        <v>0.19651518323182701</v>
      </c>
      <c r="I344" s="160">
        <v>0.379735817257988</v>
      </c>
      <c r="J344" s="160">
        <v>1.78122634139443</v>
      </c>
      <c r="K344" s="160">
        <v>2.0101631425552401E-2</v>
      </c>
      <c r="L344" s="160">
        <v>5.1937316724017003E-2</v>
      </c>
      <c r="M344" s="160">
        <v>3.59454357876667E-3</v>
      </c>
      <c r="N344" s="160">
        <v>6.1297158370245703E-3</v>
      </c>
      <c r="O344" s="160">
        <v>0.74256716666796196</v>
      </c>
      <c r="P344" s="160">
        <v>2.17672237311782</v>
      </c>
      <c r="Q344" s="160">
        <v>-1.2749612084892401E-2</v>
      </c>
      <c r="R344" s="160">
        <v>0.78552116522427595</v>
      </c>
      <c r="S344" s="160">
        <v>2.2246968847037699E-2</v>
      </c>
      <c r="T344" s="160">
        <v>0.33870899075490002</v>
      </c>
      <c r="U344" s="160">
        <v>0.47846105618308998</v>
      </c>
      <c r="V344" s="160">
        <v>0.41449021782439599</v>
      </c>
      <c r="W344" s="160"/>
      <c r="X344" s="59"/>
      <c r="Y344" s="159"/>
      <c r="Z344" s="159"/>
      <c r="AA344" s="159"/>
      <c r="AB344" s="159"/>
      <c r="AC344" s="159"/>
      <c r="AD344" s="161"/>
      <c r="AE344" s="160"/>
    </row>
    <row r="345" spans="1:31" ht="21.25" customHeight="1" x14ac:dyDescent="0.15">
      <c r="A345" s="8" t="s">
        <v>339</v>
      </c>
      <c r="B345" s="157" t="s">
        <v>893</v>
      </c>
      <c r="C345" s="158">
        <v>28</v>
      </c>
      <c r="D345" s="157" t="s">
        <v>860</v>
      </c>
      <c r="E345" s="59">
        <v>80.233571428571395</v>
      </c>
      <c r="F345" s="159">
        <v>21.342498913871999</v>
      </c>
      <c r="G345" s="160">
        <v>7.3453583058543798E-2</v>
      </c>
      <c r="H345" s="160">
        <v>0.30567111271077202</v>
      </c>
      <c r="I345" s="160">
        <v>0.37912469576931601</v>
      </c>
      <c r="J345" s="160">
        <v>1.7744951012675001</v>
      </c>
      <c r="K345" s="160">
        <v>7.0389543239699004E-3</v>
      </c>
      <c r="L345" s="160">
        <v>3.0545701881048701E-2</v>
      </c>
      <c r="M345" s="160">
        <v>2.6815593658486501E-4</v>
      </c>
      <c r="N345" s="160">
        <v>1.2188167202822099E-2</v>
      </c>
      <c r="O345" s="160">
        <v>1.3847898390051301</v>
      </c>
      <c r="P345" s="160">
        <v>0.59356877326298696</v>
      </c>
      <c r="Q345" s="160">
        <v>8.9776332500762099E-2</v>
      </c>
      <c r="R345" s="160">
        <v>0.40585499184479901</v>
      </c>
      <c r="S345" s="160">
        <v>1.31792175508095E-2</v>
      </c>
      <c r="T345" s="160">
        <v>0</v>
      </c>
      <c r="U345" s="160">
        <v>0</v>
      </c>
      <c r="V345" s="160">
        <v>0</v>
      </c>
      <c r="W345" s="160"/>
      <c r="X345" s="59"/>
      <c r="Y345" s="159"/>
      <c r="Z345" s="159"/>
      <c r="AA345" s="159"/>
      <c r="AB345" s="159"/>
      <c r="AC345" s="159"/>
      <c r="AD345" s="161"/>
      <c r="AE345" s="160"/>
    </row>
    <row r="346" spans="1:31" ht="21.25" customHeight="1" x14ac:dyDescent="0.15">
      <c r="A346" s="8" t="s">
        <v>637</v>
      </c>
      <c r="B346" s="157" t="s">
        <v>884</v>
      </c>
      <c r="C346" s="162">
        <v>23</v>
      </c>
      <c r="D346" s="157" t="s">
        <v>905</v>
      </c>
      <c r="E346" s="59">
        <v>72.12</v>
      </c>
      <c r="F346" s="159">
        <v>11.6997632043796</v>
      </c>
      <c r="G346" s="160">
        <v>0.17572595001409999</v>
      </c>
      <c r="H346" s="160">
        <v>0.202683651760212</v>
      </c>
      <c r="I346" s="160">
        <v>0.37840960177431199</v>
      </c>
      <c r="J346" s="160">
        <v>1.2493616882612699</v>
      </c>
      <c r="K346" s="160">
        <v>3.2483844288241099E-3</v>
      </c>
      <c r="L346" s="160">
        <v>8.2215653220977705E-3</v>
      </c>
      <c r="M346" s="160">
        <v>0</v>
      </c>
      <c r="N346" s="160">
        <v>0</v>
      </c>
      <c r="O346" s="160">
        <v>0.32982461123740198</v>
      </c>
      <c r="P346" s="160">
        <v>0.83622828518302295</v>
      </c>
      <c r="Q346" s="160">
        <v>-5.8407349042593398E-2</v>
      </c>
      <c r="R346" s="160"/>
      <c r="S346" s="160">
        <v>1.8830245450084299E-2</v>
      </c>
      <c r="T346" s="160">
        <v>1.3185672509000199</v>
      </c>
      <c r="U346" s="160">
        <v>2.39243653396665</v>
      </c>
      <c r="V346" s="160">
        <v>0.35531282837196099</v>
      </c>
      <c r="W346" s="160"/>
      <c r="X346" s="59"/>
      <c r="Y346" s="159"/>
      <c r="Z346" s="159"/>
      <c r="AA346" s="159"/>
      <c r="AB346" s="159"/>
      <c r="AC346" s="159"/>
      <c r="AD346" s="161"/>
      <c r="AE346" s="160"/>
    </row>
    <row r="347" spans="1:31" ht="21.25" customHeight="1" x14ac:dyDescent="0.15">
      <c r="A347" s="8" t="s">
        <v>634</v>
      </c>
      <c r="B347" s="157" t="s">
        <v>894</v>
      </c>
      <c r="C347" s="162">
        <v>25</v>
      </c>
      <c r="D347" s="157" t="s">
        <v>859</v>
      </c>
      <c r="E347" s="59">
        <v>59.204999999999998</v>
      </c>
      <c r="F347" s="159">
        <v>11.295290191850301</v>
      </c>
      <c r="G347" s="160">
        <v>0.20303823286994899</v>
      </c>
      <c r="H347" s="160">
        <v>0.17475923938539401</v>
      </c>
      <c r="I347" s="160">
        <v>0.37779747225534299</v>
      </c>
      <c r="J347" s="160">
        <v>1.6615653372147099</v>
      </c>
      <c r="K347" s="160">
        <v>2.3981097582745099E-3</v>
      </c>
      <c r="L347" s="160">
        <v>6.0875054944817897E-3</v>
      </c>
      <c r="M347" s="160">
        <v>0</v>
      </c>
      <c r="N347" s="160">
        <v>0</v>
      </c>
      <c r="O347" s="160">
        <v>0.26499247428279499</v>
      </c>
      <c r="P347" s="160">
        <v>1.8141582744267599</v>
      </c>
      <c r="Q347" s="160">
        <v>2.3542431671604101E-2</v>
      </c>
      <c r="R347" s="160">
        <v>0.243269918117374</v>
      </c>
      <c r="S347" s="160">
        <v>3.3927333407971098E-2</v>
      </c>
      <c r="T347" s="160">
        <v>3.9710856064044397E-2</v>
      </c>
      <c r="U347" s="160">
        <v>0.24561840734324999</v>
      </c>
      <c r="V347" s="160">
        <v>0.139175546138634</v>
      </c>
      <c r="W347" s="160"/>
      <c r="X347" s="59"/>
      <c r="Y347" s="159"/>
      <c r="Z347" s="159"/>
      <c r="AA347" s="159"/>
      <c r="AB347" s="159"/>
      <c r="AC347" s="159"/>
      <c r="AD347" s="161"/>
      <c r="AE347" s="160"/>
    </row>
    <row r="348" spans="1:31" ht="21.25" customHeight="1" x14ac:dyDescent="0.15">
      <c r="A348" s="8" t="s">
        <v>623</v>
      </c>
      <c r="B348" s="157" t="s">
        <v>897</v>
      </c>
      <c r="C348" s="158">
        <v>28</v>
      </c>
      <c r="D348" s="157" t="s">
        <v>859</v>
      </c>
      <c r="E348" s="59">
        <v>57.535357142857102</v>
      </c>
      <c r="F348" s="159">
        <v>13.202479897980201</v>
      </c>
      <c r="G348" s="160">
        <v>0.17109706283294099</v>
      </c>
      <c r="H348" s="160">
        <v>0.20389053024273801</v>
      </c>
      <c r="I348" s="160">
        <v>0.37498759307567903</v>
      </c>
      <c r="J348" s="160">
        <v>1.6658283982134101</v>
      </c>
      <c r="K348" s="160">
        <v>1.47453938898978E-2</v>
      </c>
      <c r="L348" s="160">
        <v>3.3643532537338802E-2</v>
      </c>
      <c r="M348" s="160">
        <v>2.7800039274674602E-4</v>
      </c>
      <c r="N348" s="160">
        <v>5.1113926534851299E-4</v>
      </c>
      <c r="O348" s="160">
        <v>0.46427318236875598</v>
      </c>
      <c r="P348" s="160">
        <v>2.4449193773076998</v>
      </c>
      <c r="Q348" s="160">
        <v>-5.6587014801469E-3</v>
      </c>
      <c r="R348" s="160">
        <v>0.50941881457249305</v>
      </c>
      <c r="S348" s="160">
        <v>2.4984646059418501E-2</v>
      </c>
      <c r="T348" s="160">
        <v>0.18521106971871101</v>
      </c>
      <c r="U348" s="160">
        <v>0.10482878130852</v>
      </c>
      <c r="V348" s="160">
        <v>0.63857111035863301</v>
      </c>
      <c r="W348" s="160"/>
      <c r="X348" s="59"/>
      <c r="Y348" s="159"/>
      <c r="Z348" s="159"/>
      <c r="AA348" s="159"/>
      <c r="AB348" s="159"/>
      <c r="AC348" s="159"/>
      <c r="AD348" s="161"/>
      <c r="AE348" s="160"/>
    </row>
    <row r="349" spans="1:31" ht="21.25" customHeight="1" x14ac:dyDescent="0.15">
      <c r="A349" s="8" t="s">
        <v>600</v>
      </c>
      <c r="B349" s="157" t="s">
        <v>875</v>
      </c>
      <c r="C349" s="158">
        <v>32</v>
      </c>
      <c r="D349" s="157" t="s">
        <v>858</v>
      </c>
      <c r="E349" s="59">
        <v>75.423214285714295</v>
      </c>
      <c r="F349" s="159">
        <v>14.1025034171213</v>
      </c>
      <c r="G349" s="160">
        <v>0.16420241922466999</v>
      </c>
      <c r="H349" s="160">
        <v>0.21067341753611299</v>
      </c>
      <c r="I349" s="160">
        <v>0.37487583676078301</v>
      </c>
      <c r="J349" s="160">
        <v>1.21265497545106</v>
      </c>
      <c r="K349" s="160">
        <v>1.3470363048905899E-2</v>
      </c>
      <c r="L349" s="160">
        <v>3.2258125649082599E-2</v>
      </c>
      <c r="M349" s="160">
        <v>2.66530685279691E-3</v>
      </c>
      <c r="N349" s="160">
        <v>3.5658565345722398E-3</v>
      </c>
      <c r="O349" s="160">
        <v>0.54764756197680697</v>
      </c>
      <c r="P349" s="160">
        <v>2.9926074536444398</v>
      </c>
      <c r="Q349" s="160">
        <v>3.2980660753015097E-2</v>
      </c>
      <c r="R349" s="160">
        <v>0.90351896753549099</v>
      </c>
      <c r="S349" s="160">
        <v>2.6367035901213799E-2</v>
      </c>
      <c r="T349" s="160">
        <v>0.10611220245045599</v>
      </c>
      <c r="U349" s="160">
        <v>0.107677019771104</v>
      </c>
      <c r="V349" s="160">
        <v>0.49634028014979698</v>
      </c>
      <c r="W349" s="160"/>
      <c r="X349" s="59"/>
      <c r="Y349" s="159"/>
      <c r="Z349" s="159"/>
      <c r="AA349" s="159"/>
      <c r="AB349" s="159"/>
      <c r="AC349" s="159"/>
      <c r="AD349" s="161"/>
      <c r="AE349" s="160"/>
    </row>
    <row r="350" spans="1:31" ht="21.25" customHeight="1" x14ac:dyDescent="0.15">
      <c r="A350" s="8" t="s">
        <v>429</v>
      </c>
      <c r="B350" s="157" t="s">
        <v>884</v>
      </c>
      <c r="C350" s="158">
        <v>23</v>
      </c>
      <c r="D350" s="157" t="s">
        <v>860</v>
      </c>
      <c r="E350" s="59">
        <v>72.099999999999994</v>
      </c>
      <c r="F350" s="159">
        <v>16.758948498417599</v>
      </c>
      <c r="G350" s="160">
        <v>0.112326229082809</v>
      </c>
      <c r="H350" s="160">
        <v>0.25935698917528299</v>
      </c>
      <c r="I350" s="160">
        <v>0.37168321825809297</v>
      </c>
      <c r="J350" s="160">
        <v>1.2028942039429</v>
      </c>
      <c r="K350" s="160">
        <v>1.12578999362461E-2</v>
      </c>
      <c r="L350" s="160">
        <v>7.4235234265713504E-2</v>
      </c>
      <c r="M350" s="160">
        <v>4.3093267943937602E-5</v>
      </c>
      <c r="N350" s="160">
        <v>1.6076616157835401E-4</v>
      </c>
      <c r="O350" s="160">
        <v>1.01536355724487</v>
      </c>
      <c r="P350" s="160">
        <v>0.75635575758887896</v>
      </c>
      <c r="Q350" s="160">
        <v>-6.9089380499236699E-2</v>
      </c>
      <c r="R350" s="160">
        <v>0.27959567363656102</v>
      </c>
      <c r="S350" s="160">
        <v>1.20365288333452E-2</v>
      </c>
      <c r="T350" s="160">
        <v>0</v>
      </c>
      <c r="U350" s="160">
        <v>0</v>
      </c>
      <c r="V350" s="160">
        <v>0</v>
      </c>
      <c r="W350" s="160"/>
      <c r="X350" s="59"/>
      <c r="Y350" s="159"/>
      <c r="Z350" s="159"/>
      <c r="AA350" s="159"/>
      <c r="AB350" s="159"/>
      <c r="AC350" s="159"/>
      <c r="AD350" s="161"/>
      <c r="AE350" s="160"/>
    </row>
    <row r="351" spans="1:31" ht="21.25" customHeight="1" x14ac:dyDescent="0.15">
      <c r="A351" s="8" t="s">
        <v>692</v>
      </c>
      <c r="B351" s="157" t="s">
        <v>886</v>
      </c>
      <c r="C351" s="158">
        <v>27</v>
      </c>
      <c r="D351" s="157" t="s">
        <v>857</v>
      </c>
      <c r="E351" s="59">
        <v>72.827500000000001</v>
      </c>
      <c r="F351" s="159">
        <v>15.556299816925399</v>
      </c>
      <c r="G351" s="160">
        <v>0.13654707373314801</v>
      </c>
      <c r="H351" s="160">
        <v>0.233914368604874</v>
      </c>
      <c r="I351" s="160">
        <v>0.37046144233802197</v>
      </c>
      <c r="J351" s="160">
        <v>1.60647541955267</v>
      </c>
      <c r="K351" s="160">
        <v>1.082139884813E-3</v>
      </c>
      <c r="L351" s="160">
        <v>1.9222801523314399E-3</v>
      </c>
      <c r="M351" s="160">
        <v>1.93972293808145E-3</v>
      </c>
      <c r="N351" s="160">
        <v>8.5528519080833396E-3</v>
      </c>
      <c r="O351" s="160">
        <v>0.35770381378138</v>
      </c>
      <c r="P351" s="160">
        <v>1.07660801986985</v>
      </c>
      <c r="Q351" s="160">
        <v>2.6867875864462602E-2</v>
      </c>
      <c r="R351" s="160">
        <v>0.287748845481541</v>
      </c>
      <c r="S351" s="160">
        <v>2.1301800550281001E-2</v>
      </c>
      <c r="T351" s="160">
        <v>8.6128910712854098E-2</v>
      </c>
      <c r="U351" s="160">
        <v>0.173449065219796</v>
      </c>
      <c r="V351" s="160">
        <v>0.33180361470728598</v>
      </c>
      <c r="W351" s="160"/>
      <c r="X351" s="59"/>
      <c r="Y351" s="159"/>
      <c r="Z351" s="159"/>
      <c r="AA351" s="159"/>
      <c r="AB351" s="159"/>
      <c r="AC351" s="159"/>
      <c r="AD351" s="161"/>
      <c r="AE351" s="160"/>
    </row>
    <row r="352" spans="1:31" ht="21.25" customHeight="1" x14ac:dyDescent="0.15">
      <c r="A352" s="8" t="s">
        <v>602</v>
      </c>
      <c r="B352" s="157" t="s">
        <v>876</v>
      </c>
      <c r="C352" s="162">
        <v>21</v>
      </c>
      <c r="D352" s="157" t="s">
        <v>859</v>
      </c>
      <c r="E352" s="59">
        <v>61</v>
      </c>
      <c r="F352" s="159">
        <v>13.626346150504</v>
      </c>
      <c r="G352" s="160">
        <v>0.16662254379910499</v>
      </c>
      <c r="H352" s="160">
        <v>0.203154778875384</v>
      </c>
      <c r="I352" s="160">
        <v>0.36977732267448898</v>
      </c>
      <c r="J352" s="160">
        <v>1.4622040513116299</v>
      </c>
      <c r="K352" s="160">
        <v>5.2932277610350097E-2</v>
      </c>
      <c r="L352" s="160">
        <v>9.4796428891056994E-2</v>
      </c>
      <c r="M352" s="160">
        <v>0</v>
      </c>
      <c r="N352" s="160">
        <v>0</v>
      </c>
      <c r="O352" s="160">
        <v>0.366772131616391</v>
      </c>
      <c r="P352" s="160">
        <v>0.96054290155323996</v>
      </c>
      <c r="Q352" s="160">
        <v>-1.45824001958291E-2</v>
      </c>
      <c r="R352" s="160">
        <v>0.38506504185023999</v>
      </c>
      <c r="S352" s="160">
        <v>2.45252729242663E-2</v>
      </c>
      <c r="T352" s="160">
        <v>0</v>
      </c>
      <c r="U352" s="160">
        <v>0</v>
      </c>
      <c r="V352" s="160">
        <v>0</v>
      </c>
      <c r="W352" s="160"/>
      <c r="X352" s="59"/>
      <c r="Y352" s="159"/>
      <c r="Z352" s="159"/>
      <c r="AA352" s="159"/>
      <c r="AB352" s="159"/>
      <c r="AC352" s="159"/>
      <c r="AD352" s="161"/>
      <c r="AE352" s="160"/>
    </row>
    <row r="353" spans="1:31" ht="21.25" customHeight="1" x14ac:dyDescent="0.15">
      <c r="A353" s="8" t="s">
        <v>651</v>
      </c>
      <c r="B353" s="157" t="s">
        <v>893</v>
      </c>
      <c r="C353" s="162">
        <v>34</v>
      </c>
      <c r="D353" s="157" t="s">
        <v>857</v>
      </c>
      <c r="E353" s="59">
        <v>80.863214285714307</v>
      </c>
      <c r="F353" s="159">
        <v>15.255839681364201</v>
      </c>
      <c r="G353" s="160">
        <v>0.169116639571746</v>
      </c>
      <c r="H353" s="160">
        <v>0.19829504701700201</v>
      </c>
      <c r="I353" s="160">
        <v>0.36741168658874901</v>
      </c>
      <c r="J353" s="160">
        <v>1.5117468939985399</v>
      </c>
      <c r="K353" s="160">
        <v>3.3761790337826E-3</v>
      </c>
      <c r="L353" s="160">
        <v>7.0120644498062896E-3</v>
      </c>
      <c r="M353" s="160">
        <v>8.6393757482920101E-4</v>
      </c>
      <c r="N353" s="160">
        <v>3.8153393098070902E-3</v>
      </c>
      <c r="O353" s="160">
        <v>0.44262318156476099</v>
      </c>
      <c r="P353" s="160">
        <v>1.9077408160496101</v>
      </c>
      <c r="Q353" s="160">
        <v>8.4836710480572994E-2</v>
      </c>
      <c r="R353" s="160">
        <v>0.34524457520373503</v>
      </c>
      <c r="S353" s="160">
        <v>3.0343311947103799E-2</v>
      </c>
      <c r="T353" s="160">
        <v>9.4997424501698795</v>
      </c>
      <c r="U353" s="160">
        <v>7.2504265953670703</v>
      </c>
      <c r="V353" s="160">
        <v>0.56714307923364304</v>
      </c>
      <c r="W353" s="160"/>
      <c r="X353" s="59"/>
      <c r="Y353" s="159"/>
      <c r="Z353" s="159"/>
      <c r="AA353" s="159"/>
      <c r="AB353" s="159"/>
      <c r="AC353" s="159"/>
      <c r="AD353" s="161"/>
      <c r="AE353" s="160"/>
    </row>
    <row r="354" spans="1:31" ht="21.25" customHeight="1" x14ac:dyDescent="0.15">
      <c r="A354" s="8" t="s">
        <v>589</v>
      </c>
      <c r="B354" s="157" t="s">
        <v>898</v>
      </c>
      <c r="C354" s="158">
        <v>23</v>
      </c>
      <c r="D354" s="157" t="s">
        <v>858</v>
      </c>
      <c r="E354" s="59">
        <v>75.805000000000007</v>
      </c>
      <c r="F354" s="159">
        <v>12.5984188545316</v>
      </c>
      <c r="G354" s="160">
        <v>0.181329176255662</v>
      </c>
      <c r="H354" s="160">
        <v>0.18542018009130601</v>
      </c>
      <c r="I354" s="160">
        <v>0.36674935634696798</v>
      </c>
      <c r="J354" s="160">
        <v>1.3639103399375401</v>
      </c>
      <c r="K354" s="160">
        <v>2.9063187648491799E-2</v>
      </c>
      <c r="L354" s="160">
        <v>5.6370782923958002E-2</v>
      </c>
      <c r="M354" s="160">
        <v>5.5798523947410398E-5</v>
      </c>
      <c r="N354" s="160">
        <v>1.02513471107124E-4</v>
      </c>
      <c r="O354" s="160">
        <v>0.40565405675592198</v>
      </c>
      <c r="P354" s="160">
        <v>0.52337190304352899</v>
      </c>
      <c r="Q354" s="160">
        <v>-3.3420509652684102E-2</v>
      </c>
      <c r="R354" s="160">
        <v>0.25961430778793798</v>
      </c>
      <c r="S354" s="160">
        <v>2.3411655864035399E-2</v>
      </c>
      <c r="T354" s="160">
        <v>4.1909978225804299E-2</v>
      </c>
      <c r="U354" s="160">
        <v>4.1909978225804299E-2</v>
      </c>
      <c r="V354" s="160">
        <v>0.5</v>
      </c>
      <c r="W354" s="160"/>
      <c r="X354" s="59"/>
      <c r="Y354" s="159"/>
      <c r="Z354" s="159"/>
      <c r="AA354" s="159"/>
      <c r="AB354" s="159"/>
      <c r="AC354" s="159"/>
      <c r="AD354" s="161"/>
      <c r="AE354" s="160"/>
    </row>
    <row r="355" spans="1:31" ht="21.25" customHeight="1" x14ac:dyDescent="0.15">
      <c r="A355" s="8" t="s">
        <v>679</v>
      </c>
      <c r="B355" s="157" t="s">
        <v>879</v>
      </c>
      <c r="C355" s="162">
        <v>25</v>
      </c>
      <c r="D355" s="157" t="s">
        <v>857</v>
      </c>
      <c r="E355" s="59">
        <v>76.422499999999999</v>
      </c>
      <c r="F355" s="159">
        <v>12.4100397600268</v>
      </c>
      <c r="G355" s="160">
        <v>0.185138989036644</v>
      </c>
      <c r="H355" s="160">
        <v>0.180426673443183</v>
      </c>
      <c r="I355" s="160">
        <v>0.36556566247982702</v>
      </c>
      <c r="J355" s="160">
        <v>1.5515733678533701</v>
      </c>
      <c r="K355" s="160">
        <v>7.4518987337317396E-4</v>
      </c>
      <c r="L355" s="160">
        <v>1.89243015174444E-3</v>
      </c>
      <c r="M355" s="160">
        <v>1.07828809808088E-3</v>
      </c>
      <c r="N355" s="160">
        <v>7.1149966680798997E-3</v>
      </c>
      <c r="O355" s="160">
        <v>0.44687990699469898</v>
      </c>
      <c r="P355" s="160">
        <v>1.5348023833691</v>
      </c>
      <c r="Q355" s="160">
        <v>6.8887077342393396E-2</v>
      </c>
      <c r="R355" s="160">
        <v>0.69073332039972102</v>
      </c>
      <c r="S355" s="160">
        <v>3.1081192838659798E-2</v>
      </c>
      <c r="T355" s="160">
        <v>0.420849880161343</v>
      </c>
      <c r="U355" s="160">
        <v>0.678562878190484</v>
      </c>
      <c r="V355" s="160">
        <v>0.38279515765512401</v>
      </c>
      <c r="W355" s="160"/>
      <c r="X355" s="59"/>
      <c r="Y355" s="159"/>
      <c r="Z355" s="159"/>
      <c r="AA355" s="159"/>
      <c r="AB355" s="159"/>
      <c r="AC355" s="159"/>
      <c r="AD355" s="161"/>
      <c r="AE355" s="160"/>
    </row>
    <row r="356" spans="1:31" ht="21.25" customHeight="1" x14ac:dyDescent="0.15">
      <c r="A356" s="8" t="s">
        <v>774</v>
      </c>
      <c r="B356" s="157" t="s">
        <v>898</v>
      </c>
      <c r="C356" s="158">
        <v>24</v>
      </c>
      <c r="D356" s="157" t="s">
        <v>857</v>
      </c>
      <c r="E356" s="59">
        <v>63.910357142857102</v>
      </c>
      <c r="F356" s="159">
        <v>11.2179535886427</v>
      </c>
      <c r="G356" s="160">
        <v>0.17493762211925501</v>
      </c>
      <c r="H356" s="160">
        <v>0.19039763981045901</v>
      </c>
      <c r="I356" s="160">
        <v>0.365335261929713</v>
      </c>
      <c r="J356" s="160">
        <v>1.1021061951976201</v>
      </c>
      <c r="K356" s="160">
        <v>8.4710900661081104E-4</v>
      </c>
      <c r="L356" s="160">
        <v>2.1465856268459401E-3</v>
      </c>
      <c r="M356" s="160">
        <v>7.4007860458971998E-6</v>
      </c>
      <c r="N356" s="160">
        <v>1.35562105236021E-5</v>
      </c>
      <c r="O356" s="160">
        <v>0.314154398164044</v>
      </c>
      <c r="P356" s="160">
        <v>2.6176395222015398</v>
      </c>
      <c r="Q356" s="160">
        <v>-2.0754421411283301E-2</v>
      </c>
      <c r="R356" s="160">
        <v>0.69118827312972397</v>
      </c>
      <c r="S356" s="160">
        <v>2.2586433641292099E-2</v>
      </c>
      <c r="T356" s="160">
        <v>7.9236986837531803E-2</v>
      </c>
      <c r="U356" s="160">
        <v>0.10661364478201101</v>
      </c>
      <c r="V356" s="160">
        <v>0.426347686564439</v>
      </c>
      <c r="W356" s="160"/>
      <c r="X356" s="59"/>
      <c r="Y356" s="159"/>
      <c r="Z356" s="159"/>
      <c r="AA356" s="159"/>
      <c r="AB356" s="159"/>
      <c r="AC356" s="159"/>
      <c r="AD356" s="161"/>
      <c r="AE356" s="160"/>
    </row>
    <row r="357" spans="1:31" ht="21.25" customHeight="1" x14ac:dyDescent="0.15">
      <c r="A357" s="8" t="s">
        <v>347</v>
      </c>
      <c r="B357" s="157" t="s">
        <v>893</v>
      </c>
      <c r="C357" s="158">
        <v>29</v>
      </c>
      <c r="D357" s="157" t="s">
        <v>860</v>
      </c>
      <c r="E357" s="59">
        <v>80.599999999999994</v>
      </c>
      <c r="F357" s="159">
        <v>19.164236317819601</v>
      </c>
      <c r="G357" s="160">
        <v>0.121007361624446</v>
      </c>
      <c r="H357" s="160">
        <v>0.24411112699957799</v>
      </c>
      <c r="I357" s="160">
        <v>0.36511848862402402</v>
      </c>
      <c r="J357" s="160">
        <v>1.9449352631155099</v>
      </c>
      <c r="K357" s="160">
        <v>1.67789363189896E-2</v>
      </c>
      <c r="L357" s="160">
        <v>3.5593145643243E-2</v>
      </c>
      <c r="M357" s="160">
        <v>5.1079480005926502E-3</v>
      </c>
      <c r="N357" s="160">
        <v>7.9202356482701505E-3</v>
      </c>
      <c r="O357" s="160">
        <v>0.87451267228316099</v>
      </c>
      <c r="P357" s="160">
        <v>0.98176691103890001</v>
      </c>
      <c r="Q357" s="160">
        <v>7.9856136406986203E-2</v>
      </c>
      <c r="R357" s="160">
        <v>0.49338111377184402</v>
      </c>
      <c r="S357" s="160">
        <v>2.1711430235159399E-2</v>
      </c>
      <c r="T357" s="160">
        <v>0</v>
      </c>
      <c r="U357" s="160">
        <v>0</v>
      </c>
      <c r="V357" s="160">
        <v>0</v>
      </c>
      <c r="W357" s="160"/>
      <c r="X357" s="59"/>
      <c r="Y357" s="159"/>
      <c r="Z357" s="159"/>
      <c r="AA357" s="159"/>
      <c r="AB357" s="159"/>
      <c r="AC357" s="159"/>
      <c r="AD357" s="161"/>
      <c r="AE357" s="160"/>
    </row>
    <row r="358" spans="1:31" ht="21.25" customHeight="1" x14ac:dyDescent="0.15">
      <c r="A358" s="8" t="s">
        <v>305</v>
      </c>
      <c r="B358" s="157" t="s">
        <v>880</v>
      </c>
      <c r="C358" s="158">
        <v>29</v>
      </c>
      <c r="D358" s="157" t="s">
        <v>860</v>
      </c>
      <c r="E358" s="59">
        <v>78.510000000000005</v>
      </c>
      <c r="F358" s="159">
        <v>20.673119645579199</v>
      </c>
      <c r="G358" s="160">
        <v>9.0822587652212794E-2</v>
      </c>
      <c r="H358" s="160">
        <v>0.27383594511466097</v>
      </c>
      <c r="I358" s="160">
        <v>0.36465853276687399</v>
      </c>
      <c r="J358" s="160">
        <v>2.1551956882871499</v>
      </c>
      <c r="K358" s="160">
        <v>6.2842086362685E-3</v>
      </c>
      <c r="L358" s="160">
        <v>1.9878753571398702E-2</v>
      </c>
      <c r="M358" s="160">
        <v>2.9888656689196701E-4</v>
      </c>
      <c r="N358" s="160">
        <v>1.0996207490536401E-2</v>
      </c>
      <c r="O358" s="160">
        <v>2.1680737107446002</v>
      </c>
      <c r="P358" s="160">
        <v>2.3968356430074</v>
      </c>
      <c r="Q358" s="160">
        <v>4.3746633447479297E-2</v>
      </c>
      <c r="R358" s="160">
        <v>0.77672961606692703</v>
      </c>
      <c r="S358" s="160">
        <v>1.54759993362465E-2</v>
      </c>
      <c r="T358" s="160">
        <v>0</v>
      </c>
      <c r="U358" s="160">
        <v>9.06326148912261E-3</v>
      </c>
      <c r="V358" s="160">
        <v>0</v>
      </c>
      <c r="W358" s="160"/>
      <c r="X358" s="59"/>
      <c r="Y358" s="159"/>
      <c r="Z358" s="159"/>
      <c r="AA358" s="159"/>
      <c r="AB358" s="159"/>
      <c r="AC358" s="159"/>
      <c r="AD358" s="161"/>
      <c r="AE358" s="160"/>
    </row>
    <row r="359" spans="1:31" ht="21.25" customHeight="1" x14ac:dyDescent="0.15">
      <c r="A359" s="8" t="s">
        <v>565</v>
      </c>
      <c r="B359" s="157" t="s">
        <v>884</v>
      </c>
      <c r="C359" s="158">
        <v>22</v>
      </c>
      <c r="D359" s="157" t="s">
        <v>859</v>
      </c>
      <c r="E359" s="59">
        <v>70</v>
      </c>
      <c r="F359" s="159">
        <v>13.252333333333301</v>
      </c>
      <c r="G359" s="160">
        <v>0.14569184593781201</v>
      </c>
      <c r="H359" s="160">
        <v>0.21795434511898701</v>
      </c>
      <c r="I359" s="160">
        <v>0.36364619105679902</v>
      </c>
      <c r="J359" s="160">
        <v>1.5317657229506301</v>
      </c>
      <c r="K359" s="160">
        <v>2.4106391903581E-2</v>
      </c>
      <c r="L359" s="160">
        <v>5.6868096184837902E-2</v>
      </c>
      <c r="M359" s="160">
        <v>0</v>
      </c>
      <c r="N359" s="160">
        <v>0</v>
      </c>
      <c r="O359" s="160">
        <v>0.43821017257142902</v>
      </c>
      <c r="P359" s="160">
        <v>1.00904055858552</v>
      </c>
      <c r="Q359" s="160">
        <v>-2.6354765798336701E-2</v>
      </c>
      <c r="R359" s="160">
        <v>0.31168652878070702</v>
      </c>
      <c r="S359" s="160">
        <v>1.5611884407878999E-2</v>
      </c>
      <c r="T359" s="160">
        <v>1.2830022874159901E-2</v>
      </c>
      <c r="U359" s="160">
        <v>8.7907646140907805E-2</v>
      </c>
      <c r="V359" s="160">
        <v>0.12736072811294499</v>
      </c>
      <c r="W359" s="160"/>
      <c r="X359" s="59"/>
      <c r="Y359" s="159"/>
      <c r="Z359" s="159"/>
      <c r="AA359" s="159"/>
      <c r="AB359" s="159"/>
      <c r="AC359" s="159"/>
      <c r="AD359" s="161"/>
      <c r="AE359" s="160"/>
    </row>
    <row r="360" spans="1:31" ht="21.25" customHeight="1" x14ac:dyDescent="0.15">
      <c r="A360" s="8" t="s">
        <v>354</v>
      </c>
      <c r="B360" s="157" t="s">
        <v>902</v>
      </c>
      <c r="C360" s="158">
        <v>24</v>
      </c>
      <c r="D360" s="157" t="s">
        <v>860</v>
      </c>
      <c r="E360" s="59">
        <v>76.599999999999994</v>
      </c>
      <c r="F360" s="159">
        <v>25.8324009612213</v>
      </c>
      <c r="G360" s="160">
        <v>6.7755700138892802E-2</v>
      </c>
      <c r="H360" s="160">
        <v>0.29554349453044798</v>
      </c>
      <c r="I360" s="160">
        <v>0.36329919466934002</v>
      </c>
      <c r="J360" s="160">
        <v>1.2813166440364401</v>
      </c>
      <c r="K360" s="160">
        <v>1.04432988051603E-2</v>
      </c>
      <c r="L360" s="160">
        <v>0.11444625371651999</v>
      </c>
      <c r="M360" s="160">
        <v>3.6893162935156302E-4</v>
      </c>
      <c r="N360" s="160">
        <v>1.9393735976593501E-3</v>
      </c>
      <c r="O360" s="160">
        <v>2.2322443947849901</v>
      </c>
      <c r="P360" s="160">
        <v>1.9808705177472301</v>
      </c>
      <c r="Q360" s="160">
        <v>-2.59546687170602E-2</v>
      </c>
      <c r="R360" s="160">
        <v>0.41452280117912399</v>
      </c>
      <c r="S360" s="160">
        <v>8.22701524973409E-3</v>
      </c>
      <c r="T360" s="160">
        <v>0</v>
      </c>
      <c r="U360" s="160">
        <v>1.22283446225289E-2</v>
      </c>
      <c r="V360" s="160">
        <v>0</v>
      </c>
      <c r="W360" s="160"/>
      <c r="X360" s="59"/>
      <c r="Y360" s="159"/>
      <c r="Z360" s="159"/>
      <c r="AA360" s="159"/>
      <c r="AB360" s="159"/>
      <c r="AC360" s="159"/>
      <c r="AD360" s="161"/>
      <c r="AE360" s="160"/>
    </row>
    <row r="361" spans="1:31" ht="21.25" customHeight="1" x14ac:dyDescent="0.15">
      <c r="A361" s="8" t="s">
        <v>752</v>
      </c>
      <c r="B361" s="157" t="s">
        <v>888</v>
      </c>
      <c r="C361" s="158">
        <v>21</v>
      </c>
      <c r="D361" s="157" t="s">
        <v>857</v>
      </c>
      <c r="E361" s="59">
        <v>63</v>
      </c>
      <c r="F361" s="159">
        <v>12.1263973818598</v>
      </c>
      <c r="G361" s="160">
        <v>0.13712790261586699</v>
      </c>
      <c r="H361" s="160">
        <v>0.22315418578653201</v>
      </c>
      <c r="I361" s="160">
        <v>0.360282088402399</v>
      </c>
      <c r="J361" s="160">
        <v>1.3577727046222601</v>
      </c>
      <c r="K361" s="160">
        <v>5.02012217006259E-3</v>
      </c>
      <c r="L361" s="160">
        <v>2.7807989476891001E-2</v>
      </c>
      <c r="M361" s="160">
        <v>1.94742844001598E-3</v>
      </c>
      <c r="N361" s="160">
        <v>3.5038964559345599E-3</v>
      </c>
      <c r="O361" s="160">
        <v>0.286807499406938</v>
      </c>
      <c r="P361" s="160">
        <v>1.4308593327639101</v>
      </c>
      <c r="Q361" s="160">
        <v>2.92758299187722E-2</v>
      </c>
      <c r="R361" s="160">
        <v>0.38781405423634102</v>
      </c>
      <c r="S361" s="160">
        <v>1.90471945248257E-2</v>
      </c>
      <c r="T361" s="160">
        <v>2.02083124993207</v>
      </c>
      <c r="U361" s="160">
        <v>3.1017409882678302</v>
      </c>
      <c r="V361" s="160">
        <v>0.394495412844037</v>
      </c>
      <c r="W361" s="160"/>
      <c r="X361" s="59"/>
      <c r="Y361" s="159"/>
      <c r="Z361" s="159"/>
      <c r="AA361" s="159"/>
      <c r="AB361" s="159"/>
      <c r="AC361" s="159"/>
      <c r="AD361" s="161"/>
      <c r="AE361" s="160"/>
    </row>
    <row r="362" spans="1:31" ht="21.25" customHeight="1" x14ac:dyDescent="0.15">
      <c r="A362" s="8" t="s">
        <v>674</v>
      </c>
      <c r="B362" s="157" t="s">
        <v>885</v>
      </c>
      <c r="C362" s="162">
        <v>27</v>
      </c>
      <c r="D362" s="157" t="s">
        <v>858</v>
      </c>
      <c r="E362" s="59">
        <v>71.511428571428596</v>
      </c>
      <c r="F362" s="159">
        <v>12.129291720730899</v>
      </c>
      <c r="G362" s="160">
        <v>0.13474782142182801</v>
      </c>
      <c r="H362" s="160">
        <v>0.22302401960379101</v>
      </c>
      <c r="I362" s="160">
        <v>0.35777184102561999</v>
      </c>
      <c r="J362" s="160">
        <v>1.0512409668262199</v>
      </c>
      <c r="K362" s="160">
        <v>4.5538281075970504E-3</v>
      </c>
      <c r="L362" s="160">
        <v>1.6326148986041102E-2</v>
      </c>
      <c r="M362" s="160">
        <v>3.2623170852778901E-5</v>
      </c>
      <c r="N362" s="160">
        <v>6.0025186173620102E-5</v>
      </c>
      <c r="O362" s="160">
        <v>0.48923772851699598</v>
      </c>
      <c r="P362" s="160">
        <v>2.9639498052983999</v>
      </c>
      <c r="Q362" s="160">
        <v>-4.1223670729950597E-2</v>
      </c>
      <c r="R362" s="160">
        <v>0.43076528360382998</v>
      </c>
      <c r="S362" s="160">
        <v>1.5505799896791199E-2</v>
      </c>
      <c r="T362" s="160">
        <v>4.1141456422479301E-2</v>
      </c>
      <c r="U362" s="160">
        <v>7.00508291433483E-2</v>
      </c>
      <c r="V362" s="160">
        <v>0.370002794826291</v>
      </c>
      <c r="W362" s="160"/>
      <c r="X362" s="59"/>
      <c r="Y362" s="159"/>
      <c r="Z362" s="159"/>
      <c r="AA362" s="159"/>
      <c r="AB362" s="159"/>
      <c r="AC362" s="159"/>
      <c r="AD362" s="161"/>
      <c r="AE362" s="160"/>
    </row>
    <row r="363" spans="1:31" ht="21.25" customHeight="1" x14ac:dyDescent="0.15">
      <c r="A363" s="8" t="s">
        <v>570</v>
      </c>
      <c r="B363" s="157" t="s">
        <v>871</v>
      </c>
      <c r="C363" s="158">
        <v>27</v>
      </c>
      <c r="D363" s="157" t="s">
        <v>858</v>
      </c>
      <c r="E363" s="59">
        <v>72.293571428571397</v>
      </c>
      <c r="F363" s="159">
        <v>12.344037980147499</v>
      </c>
      <c r="G363" s="160">
        <v>0.16956223299217599</v>
      </c>
      <c r="H363" s="160">
        <v>0.18696806868747601</v>
      </c>
      <c r="I363" s="160">
        <v>0.356530301679651</v>
      </c>
      <c r="J363" s="160">
        <v>2.03772115198587</v>
      </c>
      <c r="K363" s="160">
        <v>5.6436690614234102E-3</v>
      </c>
      <c r="L363" s="160">
        <v>9.2217231183276595E-3</v>
      </c>
      <c r="M363" s="160">
        <v>1.68400836332452E-4</v>
      </c>
      <c r="N363" s="160">
        <v>3.0905993896168801E-4</v>
      </c>
      <c r="O363" s="160">
        <v>0.31382341354634602</v>
      </c>
      <c r="P363" s="160">
        <v>1.364864130233</v>
      </c>
      <c r="Q363" s="160">
        <v>3.5488171342667303E-2</v>
      </c>
      <c r="R363" s="160">
        <v>0.55763669195579302</v>
      </c>
      <c r="S363" s="160">
        <v>2.6827300009421001E-2</v>
      </c>
      <c r="T363" s="160">
        <v>2.5466471509553501E-2</v>
      </c>
      <c r="U363" s="160">
        <v>8.81994443732073E-2</v>
      </c>
      <c r="V363" s="160">
        <v>0.22404668375540601</v>
      </c>
      <c r="W363" s="160"/>
      <c r="X363" s="59"/>
      <c r="Y363" s="159"/>
      <c r="Z363" s="159"/>
      <c r="AA363" s="159"/>
      <c r="AB363" s="159"/>
      <c r="AC363" s="159"/>
      <c r="AD363" s="161"/>
      <c r="AE363" s="160"/>
    </row>
    <row r="364" spans="1:31" ht="21.25" customHeight="1" x14ac:dyDescent="0.15">
      <c r="A364" s="8" t="s">
        <v>561</v>
      </c>
      <c r="B364" s="157" t="s">
        <v>870</v>
      </c>
      <c r="C364" s="158">
        <v>27</v>
      </c>
      <c r="D364" s="157" t="s">
        <v>858</v>
      </c>
      <c r="E364" s="59">
        <v>78.928214285714304</v>
      </c>
      <c r="F364" s="159">
        <v>12.301779787211</v>
      </c>
      <c r="G364" s="160">
        <v>0.15957619687174401</v>
      </c>
      <c r="H364" s="160">
        <v>0.19585583135642901</v>
      </c>
      <c r="I364" s="160">
        <v>0.35543202822817299</v>
      </c>
      <c r="J364" s="160">
        <v>1.72529498684317</v>
      </c>
      <c r="K364" s="160">
        <v>6.2434821745297802E-3</v>
      </c>
      <c r="L364" s="160">
        <v>1.2416334375549599E-2</v>
      </c>
      <c r="M364" s="160">
        <v>3.4135191610349101E-3</v>
      </c>
      <c r="N364" s="160">
        <v>3.9471978430866304E-3</v>
      </c>
      <c r="O364" s="160">
        <v>0.29039214416317299</v>
      </c>
      <c r="P364" s="160">
        <v>1.40769651619516</v>
      </c>
      <c r="Q364" s="160">
        <v>7.4632823737717804E-2</v>
      </c>
      <c r="R364" s="160">
        <v>0.33721701806522902</v>
      </c>
      <c r="S364" s="160">
        <v>2.52591988149172E-2</v>
      </c>
      <c r="T364" s="160">
        <v>0.132143568103291</v>
      </c>
      <c r="U364" s="160">
        <v>0.13009485175376001</v>
      </c>
      <c r="V364" s="160">
        <v>0.50390620937742303</v>
      </c>
      <c r="W364" s="160"/>
      <c r="X364" s="59"/>
      <c r="Y364" s="159"/>
      <c r="Z364" s="159"/>
      <c r="AA364" s="159"/>
      <c r="AB364" s="159"/>
      <c r="AC364" s="159"/>
      <c r="AD364" s="161"/>
      <c r="AE364" s="160"/>
    </row>
    <row r="365" spans="1:31" ht="21.25" customHeight="1" x14ac:dyDescent="0.15">
      <c r="A365" s="8" t="s">
        <v>646</v>
      </c>
      <c r="B365" s="157" t="s">
        <v>904</v>
      </c>
      <c r="C365" s="158">
        <v>27</v>
      </c>
      <c r="D365" s="157" t="s">
        <v>857</v>
      </c>
      <c r="E365" s="59">
        <v>81.351071428571402</v>
      </c>
      <c r="F365" s="159">
        <v>14.3398719128334</v>
      </c>
      <c r="G365" s="160">
        <v>0.180108506036079</v>
      </c>
      <c r="H365" s="160">
        <v>0.17515877265445601</v>
      </c>
      <c r="I365" s="160">
        <v>0.35526727869053498</v>
      </c>
      <c r="J365" s="160">
        <v>1.5073470668822899</v>
      </c>
      <c r="K365" s="160">
        <v>4.4194163288608198E-4</v>
      </c>
      <c r="L365" s="160">
        <v>1.76083952494832E-3</v>
      </c>
      <c r="M365" s="160">
        <v>2.18541492674738E-2</v>
      </c>
      <c r="N365" s="160">
        <v>2.3257195250514801E-2</v>
      </c>
      <c r="O365" s="160">
        <v>0.47328137442073798</v>
      </c>
      <c r="P365" s="160">
        <v>0.514409277591384</v>
      </c>
      <c r="Q365" s="160">
        <v>7.4085420100141099E-3</v>
      </c>
      <c r="R365" s="160">
        <v>0.19808548376505</v>
      </c>
      <c r="S365" s="160"/>
      <c r="T365" s="160">
        <v>3.3801900650683399</v>
      </c>
      <c r="U365" s="160">
        <v>3.8053986089832401</v>
      </c>
      <c r="V365" s="160">
        <v>0.47041240716641602</v>
      </c>
      <c r="W365" s="160"/>
      <c r="X365" s="59"/>
      <c r="Y365" s="159"/>
      <c r="Z365" s="159"/>
      <c r="AA365" s="159"/>
      <c r="AB365" s="159"/>
      <c r="AC365" s="159"/>
      <c r="AD365" s="161"/>
      <c r="AE365" s="160"/>
    </row>
    <row r="366" spans="1:31" ht="21.25" customHeight="1" x14ac:dyDescent="0.15">
      <c r="A366" s="8" t="s">
        <v>560</v>
      </c>
      <c r="B366" s="157" t="s">
        <v>893</v>
      </c>
      <c r="C366" s="158">
        <v>31</v>
      </c>
      <c r="D366" s="157" t="s">
        <v>858</v>
      </c>
      <c r="E366" s="59">
        <v>77.110357142857097</v>
      </c>
      <c r="F366" s="159">
        <v>14.9683511553716</v>
      </c>
      <c r="G366" s="160">
        <v>0.13251662960168001</v>
      </c>
      <c r="H366" s="160">
        <v>0.22221220743681</v>
      </c>
      <c r="I366" s="160">
        <v>0.35472883703849001</v>
      </c>
      <c r="J366" s="160">
        <v>1.82630317709361</v>
      </c>
      <c r="K366" s="160">
        <v>6.48302516861017E-4</v>
      </c>
      <c r="L366" s="160">
        <v>1.68989954789289E-3</v>
      </c>
      <c r="M366" s="160">
        <v>1.89065334370988E-3</v>
      </c>
      <c r="N366" s="160">
        <v>5.9819498011503E-3</v>
      </c>
      <c r="O366" s="160">
        <v>0.38201437755694401</v>
      </c>
      <c r="P366" s="160">
        <v>1.13248470988771</v>
      </c>
      <c r="Q366" s="160">
        <v>7.8879653245667397E-2</v>
      </c>
      <c r="R366" s="160">
        <v>0.597583747909471</v>
      </c>
      <c r="S366" s="160">
        <v>2.37764506222744E-2</v>
      </c>
      <c r="T366" s="160">
        <v>0.512282330754537</v>
      </c>
      <c r="U366" s="160">
        <v>0.61682610610131505</v>
      </c>
      <c r="V366" s="160">
        <v>0.45370516598126998</v>
      </c>
      <c r="W366" s="160"/>
      <c r="X366" s="59"/>
      <c r="Y366" s="159"/>
      <c r="Z366" s="159"/>
      <c r="AA366" s="159"/>
      <c r="AB366" s="159"/>
      <c r="AC366" s="159"/>
      <c r="AD366" s="161"/>
      <c r="AE366" s="160"/>
    </row>
    <row r="367" spans="1:31" ht="21.25" customHeight="1" x14ac:dyDescent="0.15">
      <c r="A367" s="8" t="s">
        <v>530</v>
      </c>
      <c r="B367" s="157" t="s">
        <v>892</v>
      </c>
      <c r="C367" s="162">
        <v>22</v>
      </c>
      <c r="D367" s="157" t="s">
        <v>859</v>
      </c>
      <c r="E367" s="59">
        <v>69.086428571428598</v>
      </c>
      <c r="F367" s="159">
        <v>10.8245709484702</v>
      </c>
      <c r="G367" s="160">
        <v>0.16167727508197299</v>
      </c>
      <c r="H367" s="160">
        <v>0.19282013537779999</v>
      </c>
      <c r="I367" s="160">
        <v>0.35449741045977301</v>
      </c>
      <c r="J367" s="160">
        <v>1.82940609231746</v>
      </c>
      <c r="K367" s="160">
        <v>6.5002414041454903E-2</v>
      </c>
      <c r="L367" s="160">
        <v>0.10519698165996</v>
      </c>
      <c r="M367" s="160">
        <v>1.16293402943738E-5</v>
      </c>
      <c r="N367" s="160">
        <v>2.1251713080957001E-5</v>
      </c>
      <c r="O367" s="160">
        <v>0.20307382761216999</v>
      </c>
      <c r="P367" s="160">
        <v>0.72877675049860502</v>
      </c>
      <c r="Q367" s="160">
        <v>2.7269059516478E-3</v>
      </c>
      <c r="R367" s="160">
        <v>0.25285841492073502</v>
      </c>
      <c r="S367" s="160">
        <v>2.4003227641467801E-2</v>
      </c>
      <c r="T367" s="160">
        <v>0</v>
      </c>
      <c r="U367" s="160">
        <v>0</v>
      </c>
      <c r="V367" s="160">
        <v>0</v>
      </c>
      <c r="W367" s="160"/>
      <c r="X367" s="59"/>
      <c r="Y367" s="159"/>
      <c r="Z367" s="159"/>
      <c r="AA367" s="159"/>
      <c r="AB367" s="159"/>
      <c r="AC367" s="159"/>
      <c r="AD367" s="161"/>
      <c r="AE367" s="160"/>
    </row>
    <row r="368" spans="1:31" ht="21.25" customHeight="1" x14ac:dyDescent="0.15">
      <c r="A368" s="8" t="s">
        <v>742</v>
      </c>
      <c r="B368" s="157" t="s">
        <v>881</v>
      </c>
      <c r="C368" s="158">
        <v>22</v>
      </c>
      <c r="D368" s="157" t="s">
        <v>857</v>
      </c>
      <c r="E368" s="59">
        <v>69.5582142857143</v>
      </c>
      <c r="F368" s="159">
        <v>13.128460192060899</v>
      </c>
      <c r="G368" s="160">
        <v>0.13403327542538301</v>
      </c>
      <c r="H368" s="160">
        <v>0.21860269932614401</v>
      </c>
      <c r="I368" s="160">
        <v>0.35263597475152703</v>
      </c>
      <c r="J368" s="160">
        <v>1.04379827816885</v>
      </c>
      <c r="K368" s="160">
        <v>1.0174851466562799E-2</v>
      </c>
      <c r="L368" s="160">
        <v>5.7112418209387998E-2</v>
      </c>
      <c r="M368" s="160">
        <v>8.96891778541716E-3</v>
      </c>
      <c r="N368" s="160">
        <v>1.0179320223161E-2</v>
      </c>
      <c r="O368" s="160">
        <v>0.26492021931531201</v>
      </c>
      <c r="P368" s="160">
        <v>1.0642564948305</v>
      </c>
      <c r="Q368" s="160">
        <v>-4.8252289524116802E-2</v>
      </c>
      <c r="R368" s="160">
        <v>0.47570480294937001</v>
      </c>
      <c r="S368" s="160">
        <v>1.7272643422343401E-2</v>
      </c>
      <c r="T368" s="160">
        <v>2.6889829696385998</v>
      </c>
      <c r="U368" s="160">
        <v>3.7796590781950901</v>
      </c>
      <c r="V368" s="160">
        <v>0.41569512577050499</v>
      </c>
      <c r="W368" s="160"/>
      <c r="X368" s="59"/>
      <c r="Y368" s="159"/>
      <c r="Z368" s="159"/>
      <c r="AA368" s="159"/>
      <c r="AB368" s="159"/>
      <c r="AC368" s="159"/>
      <c r="AD368" s="161"/>
      <c r="AE368" s="160"/>
    </row>
    <row r="369" spans="1:31" ht="21.25" customHeight="1" x14ac:dyDescent="0.15">
      <c r="A369" s="8" t="s">
        <v>449</v>
      </c>
      <c r="B369" s="157" t="s">
        <v>880</v>
      </c>
      <c r="C369" s="158">
        <v>31</v>
      </c>
      <c r="D369" s="157" t="s">
        <v>860</v>
      </c>
      <c r="E369" s="59">
        <v>68.67</v>
      </c>
      <c r="F369" s="159">
        <v>15.9357560849304</v>
      </c>
      <c r="G369" s="160">
        <v>5.99293958338874E-2</v>
      </c>
      <c r="H369" s="160">
        <v>0.291281328093282</v>
      </c>
      <c r="I369" s="160">
        <v>0.35121072392717001</v>
      </c>
      <c r="J369" s="160">
        <v>1.33203945815905</v>
      </c>
      <c r="K369" s="160">
        <v>1.1292875530130801E-3</v>
      </c>
      <c r="L369" s="160">
        <v>7.8454867423321001E-2</v>
      </c>
      <c r="M369" s="160">
        <v>1.2807074895240499E-4</v>
      </c>
      <c r="N369" s="160">
        <v>4.8897752423839101E-4</v>
      </c>
      <c r="O369" s="160">
        <v>0.86173149351865097</v>
      </c>
      <c r="P369" s="160">
        <v>0.79383827608840596</v>
      </c>
      <c r="Q369" s="160">
        <v>7.3440172738239107E-2</v>
      </c>
      <c r="R369" s="160">
        <v>0.25788551483751598</v>
      </c>
      <c r="S369" s="160">
        <v>1.02118571395306E-2</v>
      </c>
      <c r="T369" s="160">
        <v>0</v>
      </c>
      <c r="U369" s="160">
        <v>0</v>
      </c>
      <c r="V369" s="160">
        <v>0</v>
      </c>
      <c r="W369" s="160"/>
      <c r="X369" s="59"/>
      <c r="Y369" s="159"/>
      <c r="Z369" s="159"/>
      <c r="AA369" s="159"/>
      <c r="AB369" s="159"/>
      <c r="AC369" s="159"/>
      <c r="AD369" s="161"/>
      <c r="AE369" s="160"/>
    </row>
    <row r="370" spans="1:31" ht="21.25" customHeight="1" x14ac:dyDescent="0.15">
      <c r="A370" s="8" t="s">
        <v>776</v>
      </c>
      <c r="B370" s="157" t="s">
        <v>891</v>
      </c>
      <c r="C370" s="158">
        <v>27</v>
      </c>
      <c r="D370" s="157" t="s">
        <v>857</v>
      </c>
      <c r="E370" s="59">
        <v>58.89</v>
      </c>
      <c r="F370" s="159">
        <v>12.0083198812089</v>
      </c>
      <c r="G370" s="160">
        <v>0.16078045445305</v>
      </c>
      <c r="H370" s="160">
        <v>0.189798942488839</v>
      </c>
      <c r="I370" s="160">
        <v>0.350579396941889</v>
      </c>
      <c r="J370" s="160">
        <v>1.34860937916612</v>
      </c>
      <c r="K370" s="160">
        <v>1.25073217683339E-3</v>
      </c>
      <c r="L370" s="160">
        <v>2.4701935644828002E-3</v>
      </c>
      <c r="M370" s="160">
        <v>0</v>
      </c>
      <c r="N370" s="160">
        <v>0</v>
      </c>
      <c r="O370" s="160">
        <v>0.42243940723612</v>
      </c>
      <c r="P370" s="160">
        <v>0.82973554853271003</v>
      </c>
      <c r="Q370" s="160">
        <v>-2.90971540221956E-2</v>
      </c>
      <c r="R370" s="160">
        <v>0.23035507486284101</v>
      </c>
      <c r="S370" s="160">
        <v>1.97769423628062E-2</v>
      </c>
      <c r="T370" s="160">
        <v>8.1098994501275196E-2</v>
      </c>
      <c r="U370" s="160">
        <v>0.13312527849324901</v>
      </c>
      <c r="V370" s="160">
        <v>0.37857052035998001</v>
      </c>
      <c r="W370" s="160"/>
      <c r="X370" s="59"/>
      <c r="Y370" s="159"/>
      <c r="Z370" s="159"/>
      <c r="AA370" s="159"/>
      <c r="AB370" s="159"/>
      <c r="AC370" s="159"/>
      <c r="AD370" s="161"/>
      <c r="AE370" s="160"/>
    </row>
    <row r="371" spans="1:31" ht="21.25" customHeight="1" x14ac:dyDescent="0.15">
      <c r="A371" s="8" t="s">
        <v>640</v>
      </c>
      <c r="B371" s="157" t="s">
        <v>886</v>
      </c>
      <c r="C371" s="162">
        <v>30</v>
      </c>
      <c r="D371" s="157" t="s">
        <v>857</v>
      </c>
      <c r="E371" s="59">
        <v>81.031785714285704</v>
      </c>
      <c r="F371" s="159">
        <v>14.8754127210366</v>
      </c>
      <c r="G371" s="160">
        <v>0.15246397171918999</v>
      </c>
      <c r="H371" s="160">
        <v>0.19648925057099501</v>
      </c>
      <c r="I371" s="160">
        <v>0.34895322229018499</v>
      </c>
      <c r="J371" s="160">
        <v>1.44530550214284</v>
      </c>
      <c r="K371" s="160">
        <v>2.7464140750422198E-3</v>
      </c>
      <c r="L371" s="160">
        <v>1.5205337003026301E-2</v>
      </c>
      <c r="M371" s="160">
        <v>2.8917570181653401E-2</v>
      </c>
      <c r="N371" s="160">
        <v>4.2571945118971999E-2</v>
      </c>
      <c r="O371" s="160">
        <v>0.54914230967761102</v>
      </c>
      <c r="P371" s="160">
        <v>2.12573004538628</v>
      </c>
      <c r="Q371" s="160">
        <v>1.4767267888745E-2</v>
      </c>
      <c r="R371" s="160">
        <v>0.489040751743816</v>
      </c>
      <c r="S371" s="160">
        <v>2.37848899128584E-2</v>
      </c>
      <c r="T371" s="160">
        <v>6.9444542564904799</v>
      </c>
      <c r="U371" s="160">
        <v>6.5713848336896099</v>
      </c>
      <c r="V371" s="160">
        <v>0.51380119355933696</v>
      </c>
      <c r="W371" s="160"/>
      <c r="X371" s="59"/>
      <c r="Y371" s="159"/>
      <c r="Z371" s="159"/>
      <c r="AA371" s="159"/>
      <c r="AB371" s="159"/>
      <c r="AC371" s="159"/>
      <c r="AD371" s="161"/>
      <c r="AE371" s="160"/>
    </row>
    <row r="372" spans="1:31" ht="21.25" customHeight="1" x14ac:dyDescent="0.15">
      <c r="A372" s="8" t="s">
        <v>652</v>
      </c>
      <c r="B372" s="157" t="s">
        <v>884</v>
      </c>
      <c r="C372" s="158">
        <v>20</v>
      </c>
      <c r="D372" s="157" t="s">
        <v>857</v>
      </c>
      <c r="E372" s="59">
        <v>77.422499999999999</v>
      </c>
      <c r="F372" s="159">
        <v>14.0638927704063</v>
      </c>
      <c r="G372" s="160">
        <v>0.15112729822169399</v>
      </c>
      <c r="H372" s="160">
        <v>0.19746189385582599</v>
      </c>
      <c r="I372" s="160">
        <v>0.34858919207751998</v>
      </c>
      <c r="J372" s="160">
        <v>1.62826751178505</v>
      </c>
      <c r="K372" s="160">
        <v>1.5809213221519899E-2</v>
      </c>
      <c r="L372" s="160">
        <v>3.5183572781484901E-2</v>
      </c>
      <c r="M372" s="160">
        <v>1.81683475535393E-3</v>
      </c>
      <c r="N372" s="160">
        <v>3.3123257595037599E-3</v>
      </c>
      <c r="O372" s="160">
        <v>0.57254067877486003</v>
      </c>
      <c r="P372" s="160">
        <v>1.5093552926759</v>
      </c>
      <c r="Q372" s="160">
        <v>-9.6074232439817706E-2</v>
      </c>
      <c r="R372" s="160">
        <v>0.40311945741198302</v>
      </c>
      <c r="S372" s="160">
        <v>1.61943305442038E-2</v>
      </c>
      <c r="T372" s="160">
        <v>5.08971498919521</v>
      </c>
      <c r="U372" s="160">
        <v>6.1311047593344004</v>
      </c>
      <c r="V372" s="160">
        <v>0.45359564659811702</v>
      </c>
      <c r="W372" s="160"/>
      <c r="X372" s="59"/>
      <c r="Y372" s="159"/>
      <c r="Z372" s="159"/>
      <c r="AA372" s="159"/>
      <c r="AB372" s="159"/>
      <c r="AC372" s="159"/>
      <c r="AD372" s="161"/>
      <c r="AE372" s="160"/>
    </row>
    <row r="373" spans="1:31" ht="21.25" customHeight="1" x14ac:dyDescent="0.15">
      <c r="A373" s="8" t="s">
        <v>727</v>
      </c>
      <c r="B373" s="157" t="s">
        <v>895</v>
      </c>
      <c r="C373" s="158">
        <v>27</v>
      </c>
      <c r="D373" s="157" t="s">
        <v>857</v>
      </c>
      <c r="E373" s="59">
        <v>71.253214285714293</v>
      </c>
      <c r="F373" s="159">
        <v>12.1030655044139</v>
      </c>
      <c r="G373" s="160">
        <v>0.18880859932417199</v>
      </c>
      <c r="H373" s="160">
        <v>0.15725580861691299</v>
      </c>
      <c r="I373" s="160">
        <v>0.34606440794108501</v>
      </c>
      <c r="J373" s="160">
        <v>1.3605241575228399</v>
      </c>
      <c r="K373" s="160">
        <v>8.3397549267898198E-3</v>
      </c>
      <c r="L373" s="160">
        <v>2.0448406611359899E-2</v>
      </c>
      <c r="M373" s="160">
        <v>0</v>
      </c>
      <c r="N373" s="160">
        <v>0</v>
      </c>
      <c r="O373" s="160">
        <v>0.38509506235771301</v>
      </c>
      <c r="P373" s="160">
        <v>0.88398174592634104</v>
      </c>
      <c r="Q373" s="160">
        <v>5.7951837759991298E-2</v>
      </c>
      <c r="R373" s="160">
        <v>0.23164846936383801</v>
      </c>
      <c r="S373" s="160">
        <v>3.0856476726494501E-2</v>
      </c>
      <c r="T373" s="160">
        <v>0.64229955146515405</v>
      </c>
      <c r="U373" s="160">
        <v>0.73655337896218698</v>
      </c>
      <c r="V373" s="160">
        <v>0.465821653122998</v>
      </c>
      <c r="W373" s="160"/>
      <c r="X373" s="59"/>
      <c r="Y373" s="159"/>
      <c r="Z373" s="159"/>
      <c r="AA373" s="159"/>
      <c r="AB373" s="159"/>
      <c r="AC373" s="159"/>
      <c r="AD373" s="161"/>
      <c r="AE373" s="160"/>
    </row>
    <row r="374" spans="1:31" ht="21.25" customHeight="1" x14ac:dyDescent="0.15">
      <c r="A374" s="8" t="s">
        <v>720</v>
      </c>
      <c r="B374" s="157" t="s">
        <v>874</v>
      </c>
      <c r="C374" s="158">
        <v>21</v>
      </c>
      <c r="D374" s="157" t="s">
        <v>858</v>
      </c>
      <c r="E374" s="59">
        <v>52.916071428571399</v>
      </c>
      <c r="F374" s="159">
        <v>12.007596562474101</v>
      </c>
      <c r="G374" s="160">
        <v>0.15149407747632801</v>
      </c>
      <c r="H374" s="160">
        <v>0.19451276502378001</v>
      </c>
      <c r="I374" s="160">
        <v>0.34600684250010899</v>
      </c>
      <c r="J374" s="160">
        <v>1.6027326688936201</v>
      </c>
      <c r="K374" s="160">
        <v>6.8108111958193702E-3</v>
      </c>
      <c r="L374" s="160">
        <v>1.7178682510051699E-2</v>
      </c>
      <c r="M374" s="160">
        <v>1.97903045526133E-4</v>
      </c>
      <c r="N374" s="160">
        <v>3.6082367657799998E-4</v>
      </c>
      <c r="O374" s="160">
        <v>0.44332473530479</v>
      </c>
      <c r="P374" s="160">
        <v>1.30236206509426</v>
      </c>
      <c r="Q374" s="160">
        <v>4.6988653460406198E-2</v>
      </c>
      <c r="R374" s="160">
        <v>0.24597806232029901</v>
      </c>
      <c r="S374" s="160">
        <v>2.43374832800567E-2</v>
      </c>
      <c r="T374" s="160">
        <v>7.0978000122329896E-2</v>
      </c>
      <c r="U374" s="160">
        <v>0.112746566174139</v>
      </c>
      <c r="V374" s="160">
        <v>0.38632830411908903</v>
      </c>
      <c r="W374" s="160"/>
      <c r="X374" s="59"/>
      <c r="Y374" s="159"/>
      <c r="Z374" s="159"/>
      <c r="AA374" s="159"/>
      <c r="AB374" s="159"/>
      <c r="AC374" s="159"/>
      <c r="AD374" s="161"/>
      <c r="AE374" s="160"/>
    </row>
    <row r="375" spans="1:31" ht="21.25" customHeight="1" x14ac:dyDescent="0.15">
      <c r="A375" s="8" t="s">
        <v>348</v>
      </c>
      <c r="B375" s="157" t="s">
        <v>901</v>
      </c>
      <c r="C375" s="158">
        <v>30</v>
      </c>
      <c r="D375" s="157" t="s">
        <v>860</v>
      </c>
      <c r="E375" s="59">
        <v>82.03</v>
      </c>
      <c r="F375" s="159">
        <v>23.771965354420701</v>
      </c>
      <c r="G375" s="160">
        <v>9.49639587522733E-2</v>
      </c>
      <c r="H375" s="160">
        <v>0.25060481474568203</v>
      </c>
      <c r="I375" s="160">
        <v>0.34556877349795501</v>
      </c>
      <c r="J375" s="160">
        <v>1.65298936303594</v>
      </c>
      <c r="K375" s="160">
        <v>4.3842367327908799E-4</v>
      </c>
      <c r="L375" s="160">
        <v>4.0142331117787103E-3</v>
      </c>
      <c r="M375" s="160">
        <v>3.20522310509263E-4</v>
      </c>
      <c r="N375" s="160">
        <v>1.7139752324074301E-3</v>
      </c>
      <c r="O375" s="160">
        <v>2.0282048808712698</v>
      </c>
      <c r="P375" s="160">
        <v>2.4273106780199001</v>
      </c>
      <c r="Q375" s="160">
        <v>1.81459820372059E-3</v>
      </c>
      <c r="R375" s="160">
        <v>0.622924887323968</v>
      </c>
      <c r="S375" s="160">
        <v>1.33482267429156E-2</v>
      </c>
      <c r="T375" s="160">
        <v>3.0393067049727201E-4</v>
      </c>
      <c r="U375" s="160">
        <v>1.6219237257009799E-3</v>
      </c>
      <c r="V375" s="160">
        <v>0.15781601719073299</v>
      </c>
      <c r="W375" s="160"/>
      <c r="X375" s="59"/>
      <c r="Y375" s="159"/>
      <c r="Z375" s="159"/>
      <c r="AA375" s="159"/>
      <c r="AB375" s="159"/>
      <c r="AC375" s="159"/>
      <c r="AD375" s="161"/>
      <c r="AE375" s="160"/>
    </row>
    <row r="376" spans="1:31" ht="21.25" customHeight="1" x14ac:dyDescent="0.15">
      <c r="A376" s="8" t="s">
        <v>366</v>
      </c>
      <c r="B376" s="157" t="s">
        <v>899</v>
      </c>
      <c r="C376" s="162">
        <v>27</v>
      </c>
      <c r="D376" s="157" t="s">
        <v>860</v>
      </c>
      <c r="E376" s="59">
        <v>81.4310714285714</v>
      </c>
      <c r="F376" s="159">
        <v>21.562490076345298</v>
      </c>
      <c r="G376" s="160">
        <v>8.4980307453087101E-2</v>
      </c>
      <c r="H376" s="160">
        <v>0.26046964625949098</v>
      </c>
      <c r="I376" s="160">
        <v>0.34544995371257797</v>
      </c>
      <c r="J376" s="160">
        <v>1.5126517017352901</v>
      </c>
      <c r="K376" s="160">
        <v>1.28161623618737E-3</v>
      </c>
      <c r="L376" s="160">
        <v>1.3026180642067901E-2</v>
      </c>
      <c r="M376" s="160">
        <v>5.9945714715151999E-3</v>
      </c>
      <c r="N376" s="160">
        <v>7.1450396237402103E-3</v>
      </c>
      <c r="O376" s="160">
        <v>1.69204022654893</v>
      </c>
      <c r="P376" s="160">
        <v>0.85734603439457002</v>
      </c>
      <c r="Q376" s="160">
        <v>-7.1318392941431302E-2</v>
      </c>
      <c r="R376" s="160">
        <v>0.468120458276445</v>
      </c>
      <c r="S376" s="160">
        <v>9.9890648311566702E-3</v>
      </c>
      <c r="T376" s="160">
        <v>0</v>
      </c>
      <c r="U376" s="160">
        <v>0</v>
      </c>
      <c r="V376" s="160">
        <v>0</v>
      </c>
      <c r="W376" s="160"/>
      <c r="X376" s="59"/>
      <c r="Y376" s="159"/>
      <c r="Z376" s="159"/>
      <c r="AA376" s="159"/>
      <c r="AB376" s="159"/>
      <c r="AC376" s="159"/>
      <c r="AD376" s="161"/>
      <c r="AE376" s="160"/>
    </row>
    <row r="377" spans="1:31" ht="21.25" customHeight="1" x14ac:dyDescent="0.15">
      <c r="A377" s="8" t="s">
        <v>733</v>
      </c>
      <c r="B377" s="157" t="s">
        <v>878</v>
      </c>
      <c r="C377" s="158">
        <v>23</v>
      </c>
      <c r="D377" s="157" t="s">
        <v>857</v>
      </c>
      <c r="E377" s="59">
        <v>71.862142857142899</v>
      </c>
      <c r="F377" s="159">
        <v>13.871401620919199</v>
      </c>
      <c r="G377" s="160">
        <v>0.11957154141253</v>
      </c>
      <c r="H377" s="160">
        <v>0.22573772577769399</v>
      </c>
      <c r="I377" s="160">
        <v>0.34530926719022298</v>
      </c>
      <c r="J377" s="160">
        <v>1.1230954769278201</v>
      </c>
      <c r="K377" s="160">
        <v>9.3286819862976802E-4</v>
      </c>
      <c r="L377" s="160">
        <v>1.9285951929595699E-3</v>
      </c>
      <c r="M377" s="160">
        <v>1.84826342990259E-3</v>
      </c>
      <c r="N377" s="160">
        <v>4.0014694690620502E-2</v>
      </c>
      <c r="O377" s="160">
        <v>0.47085691145596098</v>
      </c>
      <c r="P377" s="160">
        <v>1.4669546357849499</v>
      </c>
      <c r="Q377" s="160">
        <v>4.8100428508588498E-2</v>
      </c>
      <c r="R377" s="160">
        <v>0.58917791039557399</v>
      </c>
      <c r="S377" s="160">
        <v>1.9130598976836E-2</v>
      </c>
      <c r="T377" s="160">
        <v>1.2452026710899999</v>
      </c>
      <c r="U377" s="160">
        <v>1.2537251791646</v>
      </c>
      <c r="V377" s="160">
        <v>0.49829476707906301</v>
      </c>
      <c r="W377" s="160"/>
      <c r="X377" s="59"/>
      <c r="Y377" s="159"/>
      <c r="Z377" s="159"/>
      <c r="AA377" s="159"/>
      <c r="AB377" s="159"/>
      <c r="AC377" s="159"/>
      <c r="AD377" s="161"/>
      <c r="AE377" s="160"/>
    </row>
    <row r="378" spans="1:31" ht="21.25" customHeight="1" x14ac:dyDescent="0.15">
      <c r="A378" s="8" t="s">
        <v>590</v>
      </c>
      <c r="B378" s="157" t="s">
        <v>893</v>
      </c>
      <c r="C378" s="162">
        <v>31</v>
      </c>
      <c r="D378" s="157" t="s">
        <v>859</v>
      </c>
      <c r="E378" s="59">
        <v>80.210714285714303</v>
      </c>
      <c r="F378" s="159">
        <v>14.1055636656672</v>
      </c>
      <c r="G378" s="160">
        <v>0.124652637075878</v>
      </c>
      <c r="H378" s="160">
        <v>0.22044921401878401</v>
      </c>
      <c r="I378" s="160">
        <v>0.34510185109466202</v>
      </c>
      <c r="J378" s="160">
        <v>1.0063463198254901</v>
      </c>
      <c r="K378" s="160">
        <v>2.3367588713839901E-3</v>
      </c>
      <c r="L378" s="160">
        <v>6.3938389031797998E-3</v>
      </c>
      <c r="M378" s="160">
        <v>1.1090493743956399E-3</v>
      </c>
      <c r="N378" s="160">
        <v>2.1501745514262E-2</v>
      </c>
      <c r="O378" s="160">
        <v>0.46985240736870898</v>
      </c>
      <c r="P378" s="160">
        <v>1.2549633827439399</v>
      </c>
      <c r="Q378" s="160">
        <v>8.4239086821565598E-2</v>
      </c>
      <c r="R378" s="160">
        <v>0.19183972151363299</v>
      </c>
      <c r="S378" s="160">
        <v>2.2365474275036299E-2</v>
      </c>
      <c r="T378" s="160">
        <v>0.13776648922245399</v>
      </c>
      <c r="U378" s="160">
        <v>0.210017226572528</v>
      </c>
      <c r="V378" s="160">
        <v>0.396126911541962</v>
      </c>
      <c r="W378" s="160"/>
      <c r="X378" s="59"/>
      <c r="Y378" s="159"/>
      <c r="Z378" s="159"/>
      <c r="AA378" s="159"/>
      <c r="AB378" s="159"/>
      <c r="AC378" s="159"/>
      <c r="AD378" s="161"/>
      <c r="AE378" s="160"/>
    </row>
    <row r="379" spans="1:31" ht="21.25" customHeight="1" x14ac:dyDescent="0.15">
      <c r="A379" s="8" t="s">
        <v>665</v>
      </c>
      <c r="B379" s="157" t="s">
        <v>872</v>
      </c>
      <c r="C379" s="158">
        <v>26</v>
      </c>
      <c r="D379" s="157" t="s">
        <v>857</v>
      </c>
      <c r="E379" s="59">
        <v>68.2</v>
      </c>
      <c r="F379" s="159">
        <v>13.026067839193001</v>
      </c>
      <c r="G379" s="160">
        <v>0.12676846465880201</v>
      </c>
      <c r="H379" s="160">
        <v>0.21744737880065701</v>
      </c>
      <c r="I379" s="160">
        <v>0.34421584345945999</v>
      </c>
      <c r="J379" s="160">
        <v>2.2510232150896101</v>
      </c>
      <c r="K379" s="160">
        <v>5.4719667468443303E-3</v>
      </c>
      <c r="L379" s="160">
        <v>1.38786290508568E-2</v>
      </c>
      <c r="M379" s="160">
        <v>3.9621675457165599E-4</v>
      </c>
      <c r="N379" s="160">
        <v>7.2641949795596201E-4</v>
      </c>
      <c r="O379" s="160">
        <v>0.385839801974449</v>
      </c>
      <c r="P379" s="160">
        <v>1.84874927444473</v>
      </c>
      <c r="Q379" s="160">
        <v>1.44186545551073E-2</v>
      </c>
      <c r="R379" s="160">
        <v>0.71445005825583396</v>
      </c>
      <c r="S379" s="160">
        <v>1.98393107678266E-2</v>
      </c>
      <c r="T379" s="160">
        <v>0.23409773968102099</v>
      </c>
      <c r="U379" s="160">
        <v>0.43401810761183002</v>
      </c>
      <c r="V379" s="160">
        <v>0.35038495289337201</v>
      </c>
      <c r="W379" s="160"/>
      <c r="X379" s="59"/>
      <c r="Y379" s="159"/>
      <c r="Z379" s="159"/>
      <c r="AA379" s="159"/>
      <c r="AB379" s="159"/>
      <c r="AC379" s="159"/>
      <c r="AD379" s="161"/>
      <c r="AE379" s="160"/>
    </row>
    <row r="380" spans="1:31" ht="21.25" customHeight="1" x14ac:dyDescent="0.15">
      <c r="A380" s="8" t="s">
        <v>627</v>
      </c>
      <c r="B380" s="157" t="s">
        <v>900</v>
      </c>
      <c r="C380" s="158">
        <v>28</v>
      </c>
      <c r="D380" s="157" t="s">
        <v>859</v>
      </c>
      <c r="E380" s="59">
        <v>68.209999999999994</v>
      </c>
      <c r="F380" s="159">
        <v>12.514266451203101</v>
      </c>
      <c r="G380" s="160">
        <v>0.169685099130995</v>
      </c>
      <c r="H380" s="160">
        <v>0.173775726264493</v>
      </c>
      <c r="I380" s="160">
        <v>0.343460825395488</v>
      </c>
      <c r="J380" s="160">
        <v>1.2809744862052701</v>
      </c>
      <c r="K380" s="160">
        <v>3.4033953544544099E-3</v>
      </c>
      <c r="L380" s="160">
        <v>1.21716009433461E-2</v>
      </c>
      <c r="M380" s="160">
        <v>3.1981303031539798E-6</v>
      </c>
      <c r="N380" s="160">
        <v>5.8699132243319404E-6</v>
      </c>
      <c r="O380" s="160">
        <v>0.453290487688643</v>
      </c>
      <c r="P380" s="160">
        <v>0.99619548671320002</v>
      </c>
      <c r="Q380" s="160">
        <v>1.6091804692988699E-2</v>
      </c>
      <c r="R380" s="160">
        <v>0.236220049143193</v>
      </c>
      <c r="S380" s="160">
        <v>2.6220056681082599E-2</v>
      </c>
      <c r="T380" s="160">
        <v>5.77882720857468E-2</v>
      </c>
      <c r="U380" s="160">
        <v>0.140626437477334</v>
      </c>
      <c r="V380" s="160">
        <v>0.29124993914513497</v>
      </c>
      <c r="W380" s="160"/>
      <c r="X380" s="59"/>
      <c r="Y380" s="159"/>
      <c r="Z380" s="159"/>
      <c r="AA380" s="159"/>
      <c r="AB380" s="159"/>
      <c r="AC380" s="159"/>
      <c r="AD380" s="161"/>
      <c r="AE380" s="160"/>
    </row>
    <row r="381" spans="1:31" ht="21.25" customHeight="1" x14ac:dyDescent="0.15">
      <c r="A381" s="8" t="s">
        <v>508</v>
      </c>
      <c r="B381" s="157" t="s">
        <v>904</v>
      </c>
      <c r="C381" s="162">
        <v>39</v>
      </c>
      <c r="D381" s="157" t="s">
        <v>858</v>
      </c>
      <c r="E381" s="59">
        <v>80.419285714285706</v>
      </c>
      <c r="F381" s="159">
        <v>13.7538688371612</v>
      </c>
      <c r="G381" s="160">
        <v>0.175821594750767</v>
      </c>
      <c r="H381" s="160">
        <v>0.16668689846317999</v>
      </c>
      <c r="I381" s="160">
        <v>0.342508493213948</v>
      </c>
      <c r="J381" s="160">
        <v>1.8947027006683701</v>
      </c>
      <c r="K381" s="160">
        <v>2.0502567635436501E-2</v>
      </c>
      <c r="L381" s="160">
        <v>4.5855854569196497E-2</v>
      </c>
      <c r="M381" s="160">
        <v>0</v>
      </c>
      <c r="N381" s="160">
        <v>0</v>
      </c>
      <c r="O381" s="160">
        <v>0.68149151588304602</v>
      </c>
      <c r="P381" s="160">
        <v>0.93630598406712895</v>
      </c>
      <c r="Q381" s="160">
        <v>6.3346935733290498E-3</v>
      </c>
      <c r="R381" s="160">
        <v>0.26961602569529802</v>
      </c>
      <c r="S381" s="160"/>
      <c r="T381" s="160">
        <v>0.18822930786381001</v>
      </c>
      <c r="U381" s="160">
        <v>0.30476724664275201</v>
      </c>
      <c r="V381" s="160">
        <v>0.38180653828748801</v>
      </c>
      <c r="W381" s="160"/>
      <c r="X381" s="59"/>
      <c r="Y381" s="159"/>
      <c r="Z381" s="159"/>
      <c r="AA381" s="159"/>
      <c r="AB381" s="159"/>
      <c r="AC381" s="159"/>
      <c r="AD381" s="161"/>
      <c r="AE381" s="160"/>
    </row>
    <row r="382" spans="1:31" ht="21.25" customHeight="1" x14ac:dyDescent="0.15">
      <c r="A382" s="8" t="s">
        <v>723</v>
      </c>
      <c r="B382" s="157" t="s">
        <v>882</v>
      </c>
      <c r="C382" s="158">
        <v>22</v>
      </c>
      <c r="D382" s="157" t="s">
        <v>858</v>
      </c>
      <c r="E382" s="59">
        <v>55</v>
      </c>
      <c r="F382" s="159">
        <v>12.055199999999999</v>
      </c>
      <c r="G382" s="160">
        <v>0.157398094622233</v>
      </c>
      <c r="H382" s="160">
        <v>0.18510241415640899</v>
      </c>
      <c r="I382" s="160">
        <v>0.34250050877864102</v>
      </c>
      <c r="J382" s="160">
        <v>1.50224049006821</v>
      </c>
      <c r="K382" s="160">
        <v>4.0338829559498001E-3</v>
      </c>
      <c r="L382" s="160">
        <v>9.6897337983329508E-3</v>
      </c>
      <c r="M382" s="160">
        <v>0</v>
      </c>
      <c r="N382" s="160">
        <v>0</v>
      </c>
      <c r="O382" s="160">
        <v>0.31121544944707003</v>
      </c>
      <c r="P382" s="160">
        <v>0.86616516258294896</v>
      </c>
      <c r="Q382" s="160">
        <v>-7.5343246977480104E-4</v>
      </c>
      <c r="R382" s="160">
        <v>0.291880518681359</v>
      </c>
      <c r="S382" s="160">
        <v>2.2281219020750399E-2</v>
      </c>
      <c r="T382" s="160">
        <v>1.3640998618951501E-2</v>
      </c>
      <c r="U382" s="160">
        <v>3.5578570169946103E-2</v>
      </c>
      <c r="V382" s="160">
        <v>0.27714583761303502</v>
      </c>
      <c r="W382" s="160"/>
      <c r="X382" s="59"/>
      <c r="Y382" s="159"/>
      <c r="Z382" s="159"/>
      <c r="AA382" s="159"/>
      <c r="AB382" s="159"/>
      <c r="AC382" s="159"/>
      <c r="AD382" s="161"/>
      <c r="AE382" s="160"/>
    </row>
    <row r="383" spans="1:31" ht="21.25" customHeight="1" x14ac:dyDescent="0.15">
      <c r="A383" s="8" t="s">
        <v>382</v>
      </c>
      <c r="B383" s="157" t="s">
        <v>900</v>
      </c>
      <c r="C383" s="162">
        <v>29</v>
      </c>
      <c r="D383" s="157" t="s">
        <v>860</v>
      </c>
      <c r="E383" s="59">
        <v>77.752499999999998</v>
      </c>
      <c r="F383" s="159">
        <v>21.800020605478402</v>
      </c>
      <c r="G383" s="160">
        <v>6.9117370621284896E-2</v>
      </c>
      <c r="H383" s="160">
        <v>0.27323561165973198</v>
      </c>
      <c r="I383" s="160">
        <v>0.34235298228101702</v>
      </c>
      <c r="J383" s="160">
        <v>1.5424447550790901</v>
      </c>
      <c r="K383" s="160">
        <v>4.4342831316705999E-4</v>
      </c>
      <c r="L383" s="160">
        <v>3.0576727814082198E-3</v>
      </c>
      <c r="M383" s="160">
        <v>2.87266060578134E-3</v>
      </c>
      <c r="N383" s="160">
        <v>2.2995613732070201E-2</v>
      </c>
      <c r="O383" s="160">
        <v>1.7470842676362699</v>
      </c>
      <c r="P383" s="160">
        <v>1.24493181452649</v>
      </c>
      <c r="Q383" s="160">
        <v>3.0277090251805701E-2</v>
      </c>
      <c r="R383" s="160">
        <v>0.49618014749744999</v>
      </c>
      <c r="S383" s="160">
        <v>1.0680144483037E-2</v>
      </c>
      <c r="T383" s="160">
        <v>0</v>
      </c>
      <c r="U383" s="160">
        <v>0</v>
      </c>
      <c r="V383" s="160">
        <v>0</v>
      </c>
      <c r="W383" s="160"/>
      <c r="X383" s="59"/>
      <c r="Y383" s="159"/>
      <c r="Z383" s="159"/>
      <c r="AA383" s="159"/>
      <c r="AB383" s="159"/>
      <c r="AC383" s="159"/>
      <c r="AD383" s="161"/>
      <c r="AE383" s="160"/>
    </row>
    <row r="384" spans="1:31" ht="21.25" customHeight="1" x14ac:dyDescent="0.15">
      <c r="A384" s="8" t="s">
        <v>389</v>
      </c>
      <c r="B384" s="157" t="s">
        <v>892</v>
      </c>
      <c r="C384" s="158">
        <v>27</v>
      </c>
      <c r="D384" s="157" t="s">
        <v>860</v>
      </c>
      <c r="E384" s="59">
        <v>79.833571428571403</v>
      </c>
      <c r="F384" s="159">
        <v>21.9373527078676</v>
      </c>
      <c r="G384" s="160">
        <v>7.2801251381280602E-2</v>
      </c>
      <c r="H384" s="160">
        <v>0.26902313417193402</v>
      </c>
      <c r="I384" s="160">
        <v>0.34182438555321498</v>
      </c>
      <c r="J384" s="160">
        <v>1.2962606151068199</v>
      </c>
      <c r="K384" s="160">
        <v>1.0168389356338E-3</v>
      </c>
      <c r="L384" s="160">
        <v>6.9417841917051E-3</v>
      </c>
      <c r="M384" s="160">
        <v>7.1584026660124799E-3</v>
      </c>
      <c r="N384" s="160">
        <v>1.9638338767427599E-2</v>
      </c>
      <c r="O384" s="160">
        <v>1.6530372830451701</v>
      </c>
      <c r="P384" s="160">
        <v>1.1826600721876901</v>
      </c>
      <c r="Q384" s="160">
        <v>-9.7110047958234099E-4</v>
      </c>
      <c r="R384" s="160">
        <v>0.59874809675034002</v>
      </c>
      <c r="S384" s="160">
        <v>1.0808352680378899E-2</v>
      </c>
      <c r="T384" s="160">
        <v>0</v>
      </c>
      <c r="U384" s="160">
        <v>0</v>
      </c>
      <c r="V384" s="160">
        <v>0</v>
      </c>
      <c r="W384" s="160"/>
      <c r="X384" s="59"/>
      <c r="Y384" s="159"/>
      <c r="Z384" s="159"/>
      <c r="AA384" s="159"/>
      <c r="AB384" s="159"/>
      <c r="AC384" s="159"/>
      <c r="AD384" s="161"/>
      <c r="AE384" s="160"/>
    </row>
    <row r="385" spans="1:31" ht="21.25" customHeight="1" x14ac:dyDescent="0.15">
      <c r="A385" s="8" t="s">
        <v>709</v>
      </c>
      <c r="B385" s="157" t="s">
        <v>870</v>
      </c>
      <c r="C385" s="158">
        <v>30</v>
      </c>
      <c r="D385" s="157" t="s">
        <v>857</v>
      </c>
      <c r="E385" s="59">
        <v>77.127499999999998</v>
      </c>
      <c r="F385" s="159">
        <v>13.8719586680853</v>
      </c>
      <c r="G385" s="160">
        <v>0.13227124589939601</v>
      </c>
      <c r="H385" s="160">
        <v>0.20898078864730499</v>
      </c>
      <c r="I385" s="160">
        <v>0.341252034546701</v>
      </c>
      <c r="J385" s="160">
        <v>1.23204352257998</v>
      </c>
      <c r="K385" s="160">
        <v>9.0600664126544298E-4</v>
      </c>
      <c r="L385" s="160">
        <v>1.9250574538144001E-3</v>
      </c>
      <c r="M385" s="160">
        <v>2.7174606418470901E-2</v>
      </c>
      <c r="N385" s="160">
        <v>3.9081030325043301E-2</v>
      </c>
      <c r="O385" s="160">
        <v>0.39326039070205199</v>
      </c>
      <c r="P385" s="160">
        <v>0.40566686498108301</v>
      </c>
      <c r="Q385" s="160">
        <v>4.9819219079684299E-2</v>
      </c>
      <c r="R385" s="160">
        <v>0.324972178800078</v>
      </c>
      <c r="S385" s="160">
        <v>2.0937118211652599E-2</v>
      </c>
      <c r="T385" s="160">
        <v>0.31801767201346098</v>
      </c>
      <c r="U385" s="160">
        <v>0.47535609146058799</v>
      </c>
      <c r="V385" s="160">
        <v>0.40084218391709298</v>
      </c>
      <c r="W385" s="160"/>
      <c r="X385" s="59"/>
      <c r="Y385" s="159"/>
      <c r="Z385" s="159"/>
      <c r="AA385" s="159"/>
      <c r="AB385" s="159"/>
      <c r="AC385" s="159"/>
      <c r="AD385" s="161"/>
      <c r="AE385" s="160"/>
    </row>
    <row r="386" spans="1:31" ht="21.25" customHeight="1" x14ac:dyDescent="0.15">
      <c r="A386" s="8" t="s">
        <v>359</v>
      </c>
      <c r="B386" s="157" t="s">
        <v>883</v>
      </c>
      <c r="C386" s="158">
        <v>28</v>
      </c>
      <c r="D386" s="157" t="s">
        <v>860</v>
      </c>
      <c r="E386" s="59">
        <v>80.0646428571429</v>
      </c>
      <c r="F386" s="159">
        <v>20.0840416037368</v>
      </c>
      <c r="G386" s="160">
        <v>7.9051533591254497E-2</v>
      </c>
      <c r="H386" s="160">
        <v>0.261139234011043</v>
      </c>
      <c r="I386" s="160">
        <v>0.34019076760229799</v>
      </c>
      <c r="J386" s="160">
        <v>1.69756608388801</v>
      </c>
      <c r="K386" s="160">
        <v>3.05857552697229E-4</v>
      </c>
      <c r="L386" s="160">
        <v>2.0902841352575001E-3</v>
      </c>
      <c r="M386" s="160">
        <v>3.0574602452142902E-4</v>
      </c>
      <c r="N386" s="160">
        <v>1.38686815017746E-2</v>
      </c>
      <c r="O386" s="160">
        <v>1.85927231213987</v>
      </c>
      <c r="P386" s="160">
        <v>1.20416885262644</v>
      </c>
      <c r="Q386" s="160">
        <v>2.5914430711287701E-2</v>
      </c>
      <c r="R386" s="160">
        <v>0.42545231414307699</v>
      </c>
      <c r="S386" s="160">
        <v>1.2581001208074399E-2</v>
      </c>
      <c r="T386" s="160">
        <v>0</v>
      </c>
      <c r="U386" s="160">
        <v>0</v>
      </c>
      <c r="V386" s="160">
        <v>0</v>
      </c>
      <c r="W386" s="160"/>
      <c r="X386" s="59"/>
      <c r="Y386" s="159"/>
      <c r="Z386" s="159"/>
      <c r="AA386" s="159"/>
      <c r="AB386" s="159"/>
      <c r="AC386" s="159"/>
      <c r="AD386" s="161"/>
      <c r="AE386" s="160"/>
    </row>
    <row r="387" spans="1:31" ht="21.25" customHeight="1" x14ac:dyDescent="0.15">
      <c r="A387" s="8" t="s">
        <v>694</v>
      </c>
      <c r="B387" s="157" t="s">
        <v>897</v>
      </c>
      <c r="C387" s="158">
        <v>29</v>
      </c>
      <c r="D387" s="157" t="s">
        <v>857</v>
      </c>
      <c r="E387" s="59">
        <v>81.324642857142905</v>
      </c>
      <c r="F387" s="159">
        <v>15.499616902972599</v>
      </c>
      <c r="G387" s="160">
        <v>0.12583106349843001</v>
      </c>
      <c r="H387" s="160">
        <v>0.21373165286934301</v>
      </c>
      <c r="I387" s="160">
        <v>0.33956271636777302</v>
      </c>
      <c r="J387" s="160">
        <v>1.1171190216190401</v>
      </c>
      <c r="K387" s="160">
        <v>5.3053828417449003E-3</v>
      </c>
      <c r="L387" s="160">
        <v>2.3824917469625902E-2</v>
      </c>
      <c r="M387" s="160">
        <v>6.5927938545148499E-3</v>
      </c>
      <c r="N387" s="160">
        <v>9.7747436544283698E-3</v>
      </c>
      <c r="O387" s="160">
        <v>0.73728073626080703</v>
      </c>
      <c r="P387" s="160">
        <v>1.92895338216811</v>
      </c>
      <c r="Q387" s="160">
        <v>-2.7453231908204302E-2</v>
      </c>
      <c r="R387" s="160">
        <v>0.31789862909080002</v>
      </c>
      <c r="S387" s="160">
        <v>1.8374626266133801E-2</v>
      </c>
      <c r="T387" s="160">
        <v>7.3248922494166298</v>
      </c>
      <c r="U387" s="160">
        <v>6.1513080769584301</v>
      </c>
      <c r="V387" s="160">
        <v>0.54354284382969997</v>
      </c>
      <c r="W387" s="160"/>
      <c r="X387" s="59"/>
      <c r="Y387" s="159"/>
      <c r="Z387" s="159"/>
      <c r="AA387" s="159"/>
      <c r="AB387" s="159"/>
      <c r="AC387" s="159"/>
      <c r="AD387" s="161"/>
      <c r="AE387" s="160"/>
    </row>
    <row r="388" spans="1:31" ht="21.25" customHeight="1" x14ac:dyDescent="0.15">
      <c r="A388" s="8" t="s">
        <v>606</v>
      </c>
      <c r="B388" s="157" t="s">
        <v>874</v>
      </c>
      <c r="C388" s="158">
        <v>24</v>
      </c>
      <c r="D388" s="157" t="s">
        <v>860</v>
      </c>
      <c r="E388" s="59">
        <v>50</v>
      </c>
      <c r="F388" s="159">
        <v>16.4168791263522</v>
      </c>
      <c r="G388" s="160">
        <v>5.4968855080849803E-2</v>
      </c>
      <c r="H388" s="160">
        <v>0.283684965436799</v>
      </c>
      <c r="I388" s="160">
        <v>0.33865382051764897</v>
      </c>
      <c r="J388" s="160">
        <v>0.95560796542995396</v>
      </c>
      <c r="K388" s="160">
        <v>1.97321455691563E-3</v>
      </c>
      <c r="L388" s="160">
        <v>3.9084931376783698E-2</v>
      </c>
      <c r="M388" s="160">
        <v>7.9682261234793401E-5</v>
      </c>
      <c r="N388" s="160">
        <v>2.9219853242564602E-4</v>
      </c>
      <c r="O388" s="160">
        <v>0.99754110374712301</v>
      </c>
      <c r="P388" s="160">
        <v>1.1421331969716</v>
      </c>
      <c r="Q388" s="160">
        <v>5.2773827527470202E-2</v>
      </c>
      <c r="R388" s="160">
        <v>0.34110028353316202</v>
      </c>
      <c r="S388" s="160">
        <v>8.8307319582383009E-3</v>
      </c>
      <c r="T388" s="160">
        <v>0</v>
      </c>
      <c r="U388" s="160">
        <v>0</v>
      </c>
      <c r="V388" s="160">
        <v>0</v>
      </c>
      <c r="W388" s="160"/>
      <c r="X388" s="59"/>
      <c r="Y388" s="159"/>
      <c r="Z388" s="159"/>
      <c r="AA388" s="159"/>
      <c r="AB388" s="159"/>
      <c r="AC388" s="159"/>
      <c r="AD388" s="161"/>
      <c r="AE388" s="160"/>
    </row>
    <row r="389" spans="1:31" ht="21.25" customHeight="1" x14ac:dyDescent="0.15">
      <c r="A389" s="8" t="s">
        <v>750</v>
      </c>
      <c r="B389" s="157" t="s">
        <v>895</v>
      </c>
      <c r="C389" s="158">
        <v>25</v>
      </c>
      <c r="D389" s="157" t="s">
        <v>857</v>
      </c>
      <c r="E389" s="59">
        <v>70.197500000000005</v>
      </c>
      <c r="F389" s="159">
        <v>13.173532965387899</v>
      </c>
      <c r="G389" s="160">
        <v>0.14310799779901501</v>
      </c>
      <c r="H389" s="160">
        <v>0.194352780977849</v>
      </c>
      <c r="I389" s="160">
        <v>0.33746077877686298</v>
      </c>
      <c r="J389" s="160">
        <v>1.05536165018643</v>
      </c>
      <c r="K389" s="160">
        <v>4.6148963039261602E-4</v>
      </c>
      <c r="L389" s="160">
        <v>9.0908433688052705E-4</v>
      </c>
      <c r="M389" s="160">
        <v>1.72579350724984E-3</v>
      </c>
      <c r="N389" s="160">
        <v>1.25296569418026E-2</v>
      </c>
      <c r="O389" s="160">
        <v>0.66759893223289801</v>
      </c>
      <c r="P389" s="160">
        <v>1.7179297018498001</v>
      </c>
      <c r="Q389" s="160">
        <v>5.5736601662226597E-2</v>
      </c>
      <c r="R389" s="160">
        <v>0.50571197006534796</v>
      </c>
      <c r="S389" s="160">
        <v>2.33877515074346E-2</v>
      </c>
      <c r="T389" s="160">
        <v>2.4101377108082902</v>
      </c>
      <c r="U389" s="160">
        <v>2.4605390956333699</v>
      </c>
      <c r="V389" s="160">
        <v>0.49482603888248</v>
      </c>
      <c r="W389" s="160"/>
      <c r="X389" s="59"/>
      <c r="Y389" s="159"/>
      <c r="Z389" s="159"/>
      <c r="AA389" s="159"/>
      <c r="AB389" s="159"/>
      <c r="AC389" s="159"/>
      <c r="AD389" s="161"/>
      <c r="AE389" s="160"/>
    </row>
    <row r="390" spans="1:31" ht="21.25" customHeight="1" x14ac:dyDescent="0.15">
      <c r="A390" s="8" t="s">
        <v>424</v>
      </c>
      <c r="B390" s="157" t="s">
        <v>902</v>
      </c>
      <c r="C390" s="158">
        <v>29</v>
      </c>
      <c r="D390" s="157" t="s">
        <v>860</v>
      </c>
      <c r="E390" s="59">
        <v>73.8</v>
      </c>
      <c r="F390" s="159">
        <v>22.920313332288799</v>
      </c>
      <c r="G390" s="160">
        <v>3.3248182980543398E-2</v>
      </c>
      <c r="H390" s="160">
        <v>0.303467709511757</v>
      </c>
      <c r="I390" s="160">
        <v>0.33671589249230099</v>
      </c>
      <c r="J390" s="160">
        <v>1.1532994085388699</v>
      </c>
      <c r="K390" s="160">
        <v>7.1571288656897001E-3</v>
      </c>
      <c r="L390" s="160">
        <v>5.5154799299697299E-2</v>
      </c>
      <c r="M390" s="160">
        <v>2.8758641217558999E-4</v>
      </c>
      <c r="N390" s="160">
        <v>9.7560393949572208E-3</v>
      </c>
      <c r="O390" s="160">
        <v>1.64451290084409</v>
      </c>
      <c r="P390" s="160">
        <v>1.46307639360213</v>
      </c>
      <c r="Q390" s="160">
        <v>-1.09656966440226E-2</v>
      </c>
      <c r="R390" s="160">
        <v>0.54635818403878</v>
      </c>
      <c r="S390" s="160">
        <v>4.0370523490446102E-3</v>
      </c>
      <c r="T390" s="160">
        <v>0</v>
      </c>
      <c r="U390" s="160">
        <v>0</v>
      </c>
      <c r="V390" s="160">
        <v>0</v>
      </c>
      <c r="W390" s="160"/>
      <c r="X390" s="59"/>
      <c r="Y390" s="159"/>
      <c r="Z390" s="159"/>
      <c r="AA390" s="159"/>
      <c r="AB390" s="159"/>
      <c r="AC390" s="159"/>
      <c r="AD390" s="161"/>
      <c r="AE390" s="160"/>
    </row>
    <row r="391" spans="1:31" ht="21.25" customHeight="1" x14ac:dyDescent="0.15">
      <c r="A391" s="8" t="s">
        <v>588</v>
      </c>
      <c r="B391" s="157" t="s">
        <v>888</v>
      </c>
      <c r="C391" s="158">
        <v>26</v>
      </c>
      <c r="D391" s="157" t="s">
        <v>859</v>
      </c>
      <c r="E391" s="59">
        <v>75.627499999999998</v>
      </c>
      <c r="F391" s="159">
        <v>13.527295133384101</v>
      </c>
      <c r="G391" s="160">
        <v>0.120709349494345</v>
      </c>
      <c r="H391" s="160">
        <v>0.214739376464573</v>
      </c>
      <c r="I391" s="160">
        <v>0.335448725958918</v>
      </c>
      <c r="J391" s="160">
        <v>1.19574956856298</v>
      </c>
      <c r="K391" s="160">
        <v>2.6178176035107398E-3</v>
      </c>
      <c r="L391" s="160">
        <v>6.9986846370949504E-3</v>
      </c>
      <c r="M391" s="160">
        <v>2.21577348795929E-2</v>
      </c>
      <c r="N391" s="160">
        <v>4.4846181588287702E-2</v>
      </c>
      <c r="O391" s="160">
        <v>0.47944169210085902</v>
      </c>
      <c r="P391" s="160">
        <v>1.47624193087822</v>
      </c>
      <c r="Q391" s="160">
        <v>1.6021954813070598E-2</v>
      </c>
      <c r="R391" s="160">
        <v>0.375644127668262</v>
      </c>
      <c r="S391" s="160">
        <v>1.6766642068642802E-2</v>
      </c>
      <c r="T391" s="160">
        <v>0.19227097521231001</v>
      </c>
      <c r="U391" s="160">
        <v>0.31743268322123303</v>
      </c>
      <c r="V391" s="160">
        <v>0.37722110098877898</v>
      </c>
      <c r="W391" s="160"/>
      <c r="X391" s="59"/>
      <c r="Y391" s="159"/>
      <c r="Z391" s="159"/>
      <c r="AA391" s="159"/>
      <c r="AB391" s="159"/>
      <c r="AC391" s="159"/>
      <c r="AD391" s="161"/>
      <c r="AE391" s="160"/>
    </row>
    <row r="392" spans="1:31" ht="21.25" customHeight="1" x14ac:dyDescent="0.15">
      <c r="A392" s="8" t="s">
        <v>755</v>
      </c>
      <c r="B392" s="157" t="s">
        <v>895</v>
      </c>
      <c r="C392" s="158">
        <v>23</v>
      </c>
      <c r="D392" s="157" t="s">
        <v>857</v>
      </c>
      <c r="E392" s="59">
        <v>67.45</v>
      </c>
      <c r="F392" s="159">
        <v>11.811131444220999</v>
      </c>
      <c r="G392" s="160">
        <v>0.209647475150051</v>
      </c>
      <c r="H392" s="160">
        <v>0.125375295971037</v>
      </c>
      <c r="I392" s="160">
        <v>0.33502277112108803</v>
      </c>
      <c r="J392" s="160">
        <v>1.29747137028537</v>
      </c>
      <c r="K392" s="160">
        <v>3.0950993319192798E-3</v>
      </c>
      <c r="L392" s="160">
        <v>7.9541048464007603E-3</v>
      </c>
      <c r="M392" s="160">
        <v>9.5076739921249402E-5</v>
      </c>
      <c r="N392" s="160">
        <v>1.76621081350085E-4</v>
      </c>
      <c r="O392" s="160">
        <v>0.31339889938472898</v>
      </c>
      <c r="P392" s="160">
        <v>2.4664671932469502</v>
      </c>
      <c r="Q392" s="160">
        <v>3.0995784063719601E-2</v>
      </c>
      <c r="R392" s="160">
        <v>0.30179397033095401</v>
      </c>
      <c r="S392" s="160">
        <v>3.4262117620125397E-2</v>
      </c>
      <c r="T392" s="160">
        <v>0.170120208187162</v>
      </c>
      <c r="U392" s="160">
        <v>0.227967686692329</v>
      </c>
      <c r="V392" s="160">
        <v>0.427343333910368</v>
      </c>
      <c r="W392" s="160"/>
      <c r="X392" s="59"/>
      <c r="Y392" s="159"/>
      <c r="Z392" s="159"/>
      <c r="AA392" s="159"/>
      <c r="AB392" s="159"/>
      <c r="AC392" s="159"/>
      <c r="AD392" s="161"/>
      <c r="AE392" s="160"/>
    </row>
    <row r="393" spans="1:31" ht="21.25" customHeight="1" x14ac:dyDescent="0.15">
      <c r="A393" s="8" t="s">
        <v>601</v>
      </c>
      <c r="B393" s="157" t="s">
        <v>884</v>
      </c>
      <c r="C393" s="162">
        <v>28</v>
      </c>
      <c r="D393" s="157" t="s">
        <v>858</v>
      </c>
      <c r="E393" s="59">
        <v>78.192499999999995</v>
      </c>
      <c r="F393" s="159">
        <v>13.371833133198599</v>
      </c>
      <c r="G393" s="160">
        <v>0.14497149423929501</v>
      </c>
      <c r="H393" s="160">
        <v>0.18852104947745499</v>
      </c>
      <c r="I393" s="160">
        <v>0.33349254371675002</v>
      </c>
      <c r="J393" s="160">
        <v>1.3630666039135999</v>
      </c>
      <c r="K393" s="160">
        <v>2.09041591763388E-4</v>
      </c>
      <c r="L393" s="160">
        <v>5.3347940186511096E-4</v>
      </c>
      <c r="M393" s="160">
        <v>1.17585780145522E-2</v>
      </c>
      <c r="N393" s="160">
        <v>2.7662257982068401E-2</v>
      </c>
      <c r="O393" s="160">
        <v>0.40502934845098798</v>
      </c>
      <c r="P393" s="160">
        <v>1.5359104653945399</v>
      </c>
      <c r="Q393" s="160">
        <v>-7.77229855058163E-2</v>
      </c>
      <c r="R393" s="160">
        <v>0.17937832757202399</v>
      </c>
      <c r="S393" s="160">
        <v>1.55346937636266E-2</v>
      </c>
      <c r="T393" s="160">
        <v>6.1692037928141097E-2</v>
      </c>
      <c r="U393" s="160">
        <v>0.108687261915542</v>
      </c>
      <c r="V393" s="160">
        <v>0.36208646229173003</v>
      </c>
      <c r="W393" s="160"/>
      <c r="X393" s="59"/>
      <c r="Y393" s="159"/>
      <c r="Z393" s="159"/>
      <c r="AA393" s="159"/>
      <c r="AB393" s="159"/>
      <c r="AC393" s="159"/>
      <c r="AD393" s="161"/>
      <c r="AE393" s="160"/>
    </row>
    <row r="394" spans="1:31" ht="21.25" customHeight="1" x14ac:dyDescent="0.15">
      <c r="A394" s="8" t="s">
        <v>704</v>
      </c>
      <c r="B394" s="157" t="s">
        <v>880</v>
      </c>
      <c r="C394" s="158">
        <v>30</v>
      </c>
      <c r="D394" s="157" t="s">
        <v>857</v>
      </c>
      <c r="E394" s="59">
        <v>81.471071428571406</v>
      </c>
      <c r="F394" s="159">
        <v>13.6422595058278</v>
      </c>
      <c r="G394" s="160">
        <v>0.117050252414092</v>
      </c>
      <c r="H394" s="160">
        <v>0.215327264464309</v>
      </c>
      <c r="I394" s="160">
        <v>0.332377516878401</v>
      </c>
      <c r="J394" s="160">
        <v>1.1178882101432499</v>
      </c>
      <c r="K394" s="160">
        <v>2.5319453863271802E-3</v>
      </c>
      <c r="L394" s="160">
        <v>4.5873733553059102E-3</v>
      </c>
      <c r="M394" s="160">
        <v>4.4077118567521101E-3</v>
      </c>
      <c r="N394" s="160">
        <v>1.7407013736085698E-2</v>
      </c>
      <c r="O394" s="160">
        <v>0.668640962716465</v>
      </c>
      <c r="P394" s="160">
        <v>1.41801836305427</v>
      </c>
      <c r="Q394" s="160">
        <v>4.9304049850242802E-2</v>
      </c>
      <c r="R394" s="160">
        <v>0.626518859688448</v>
      </c>
      <c r="S394" s="160">
        <v>1.9945144434825399E-2</v>
      </c>
      <c r="T394" s="160">
        <v>3.3145865507174901</v>
      </c>
      <c r="U394" s="160">
        <v>3.5894045846471201</v>
      </c>
      <c r="V394" s="160">
        <v>0.48009716202256397</v>
      </c>
      <c r="W394" s="160"/>
      <c r="X394" s="59"/>
      <c r="Y394" s="159"/>
      <c r="Z394" s="159"/>
      <c r="AA394" s="159"/>
      <c r="AB394" s="159"/>
      <c r="AC394" s="159"/>
      <c r="AD394" s="161"/>
      <c r="AE394" s="160"/>
    </row>
    <row r="395" spans="1:31" ht="21.25" customHeight="1" x14ac:dyDescent="0.15">
      <c r="A395" s="8" t="s">
        <v>380</v>
      </c>
      <c r="B395" s="157" t="s">
        <v>875</v>
      </c>
      <c r="C395" s="162">
        <v>30</v>
      </c>
      <c r="D395" s="157" t="s">
        <v>860</v>
      </c>
      <c r="E395" s="59">
        <v>77.3</v>
      </c>
      <c r="F395" s="159">
        <v>22.577507709603701</v>
      </c>
      <c r="G395" s="160">
        <v>7.6894427775606705E-2</v>
      </c>
      <c r="H395" s="160">
        <v>0.25406785729290099</v>
      </c>
      <c r="I395" s="160">
        <v>0.330962285068509</v>
      </c>
      <c r="J395" s="160">
        <v>1.54034421613094</v>
      </c>
      <c r="K395" s="160">
        <v>2.8062177160283301E-3</v>
      </c>
      <c r="L395" s="160">
        <v>1.51036130294207E-2</v>
      </c>
      <c r="M395" s="160">
        <v>3.5204199501380902E-4</v>
      </c>
      <c r="N395" s="160">
        <v>2.0180815198475099E-2</v>
      </c>
      <c r="O395" s="160">
        <v>1.9470780862743799</v>
      </c>
      <c r="P395" s="160">
        <v>0.82765629939297003</v>
      </c>
      <c r="Q395" s="160">
        <v>4.0447642025303203E-2</v>
      </c>
      <c r="R395" s="160">
        <v>0.39535165175549802</v>
      </c>
      <c r="S395" s="160">
        <v>1.23474315867943E-2</v>
      </c>
      <c r="T395" s="160">
        <v>0</v>
      </c>
      <c r="U395" s="160">
        <v>0</v>
      </c>
      <c r="V395" s="160">
        <v>0</v>
      </c>
      <c r="W395" s="160"/>
      <c r="X395" s="59"/>
      <c r="Y395" s="159"/>
      <c r="Z395" s="159"/>
      <c r="AA395" s="159"/>
      <c r="AB395" s="159"/>
      <c r="AC395" s="159"/>
      <c r="AD395" s="161"/>
      <c r="AE395" s="160"/>
    </row>
    <row r="396" spans="1:31" ht="21.25" customHeight="1" x14ac:dyDescent="0.15">
      <c r="A396" s="8" t="s">
        <v>611</v>
      </c>
      <c r="B396" s="157" t="s">
        <v>883</v>
      </c>
      <c r="C396" s="158">
        <v>38</v>
      </c>
      <c r="D396" s="157" t="s">
        <v>857</v>
      </c>
      <c r="E396" s="59">
        <v>80.379642857142898</v>
      </c>
      <c r="F396" s="159">
        <v>13.1988288162821</v>
      </c>
      <c r="G396" s="160">
        <v>0.143456718364943</v>
      </c>
      <c r="H396" s="160">
        <v>0.18719203204100501</v>
      </c>
      <c r="I396" s="160">
        <v>0.33064875040594799</v>
      </c>
      <c r="J396" s="160">
        <v>1.74954383318774</v>
      </c>
      <c r="K396" s="160">
        <v>2.19634806309543E-2</v>
      </c>
      <c r="L396" s="160">
        <v>5.0513784501392101E-2</v>
      </c>
      <c r="M396" s="160">
        <v>3.71885648168363E-3</v>
      </c>
      <c r="N396" s="160">
        <v>9.4909756865352597E-3</v>
      </c>
      <c r="O396" s="160">
        <v>0.59527297334374796</v>
      </c>
      <c r="P396" s="160">
        <v>1.02671164743777</v>
      </c>
      <c r="Q396" s="160">
        <v>8.9364266827677999E-4</v>
      </c>
      <c r="R396" s="160">
        <v>0.355484069930455</v>
      </c>
      <c r="S396" s="160">
        <v>2.2831045332881501E-2</v>
      </c>
      <c r="T396" s="160">
        <v>5.9679538644103696</v>
      </c>
      <c r="U396" s="160">
        <v>4.6079433008775501</v>
      </c>
      <c r="V396" s="160">
        <v>0.56429764502611801</v>
      </c>
      <c r="W396" s="160"/>
      <c r="X396" s="59"/>
      <c r="Y396" s="159"/>
      <c r="Z396" s="159"/>
      <c r="AA396" s="159"/>
      <c r="AB396" s="159"/>
      <c r="AC396" s="159"/>
      <c r="AD396" s="161"/>
      <c r="AE396" s="160"/>
    </row>
    <row r="397" spans="1:31" ht="21.25" customHeight="1" x14ac:dyDescent="0.15">
      <c r="A397" s="8" t="s">
        <v>571</v>
      </c>
      <c r="B397" s="157" t="s">
        <v>894</v>
      </c>
      <c r="C397" s="158">
        <v>26</v>
      </c>
      <c r="D397" s="157" t="s">
        <v>860</v>
      </c>
      <c r="E397" s="59">
        <v>52.4</v>
      </c>
      <c r="F397" s="159">
        <v>15.760745007622001</v>
      </c>
      <c r="G397" s="160">
        <v>8.5620390009837302E-2</v>
      </c>
      <c r="H397" s="160">
        <v>0.24441562785698001</v>
      </c>
      <c r="I397" s="160">
        <v>0.33003601786681802</v>
      </c>
      <c r="J397" s="160">
        <v>1.45892984932393</v>
      </c>
      <c r="K397" s="160">
        <v>8.0080651928406601E-3</v>
      </c>
      <c r="L397" s="160">
        <v>3.3449110781049E-2</v>
      </c>
      <c r="M397" s="160">
        <v>0</v>
      </c>
      <c r="N397" s="160">
        <v>0</v>
      </c>
      <c r="O397" s="160">
        <v>1.0074930567743801</v>
      </c>
      <c r="P397" s="160">
        <v>0.85818283621938196</v>
      </c>
      <c r="Q397" s="160">
        <v>4.4828404694374303E-2</v>
      </c>
      <c r="R397" s="160"/>
      <c r="S397" s="160">
        <v>1.4307017340152399E-2</v>
      </c>
      <c r="T397" s="160">
        <v>0</v>
      </c>
      <c r="U397" s="160">
        <v>0</v>
      </c>
      <c r="V397" s="160">
        <v>0</v>
      </c>
      <c r="W397" s="160"/>
      <c r="X397" s="59"/>
      <c r="Y397" s="159"/>
      <c r="Z397" s="159"/>
      <c r="AA397" s="159"/>
      <c r="AB397" s="159"/>
      <c r="AC397" s="159"/>
      <c r="AD397" s="161"/>
      <c r="AE397" s="160"/>
    </row>
    <row r="398" spans="1:31" ht="21.25" customHeight="1" x14ac:dyDescent="0.15">
      <c r="A398" s="8" t="s">
        <v>360</v>
      </c>
      <c r="B398" s="157" t="s">
        <v>884</v>
      </c>
      <c r="C398" s="158">
        <v>26</v>
      </c>
      <c r="D398" s="157" t="s">
        <v>860</v>
      </c>
      <c r="E398" s="59">
        <v>81.617500000000007</v>
      </c>
      <c r="F398" s="159">
        <v>21.6247563504729</v>
      </c>
      <c r="G398" s="160">
        <v>8.8547397246724294E-2</v>
      </c>
      <c r="H398" s="160">
        <v>0.240355458604538</v>
      </c>
      <c r="I398" s="160">
        <v>0.328902855851262</v>
      </c>
      <c r="J398" s="160">
        <v>1.5089474512487</v>
      </c>
      <c r="K398" s="160">
        <v>2.4388737368035399E-3</v>
      </c>
      <c r="L398" s="160">
        <v>3.4862124792013401E-2</v>
      </c>
      <c r="M398" s="160">
        <v>2.9897638876716002E-4</v>
      </c>
      <c r="N398" s="160">
        <v>2.0369869386012599E-2</v>
      </c>
      <c r="O398" s="160">
        <v>1.8709368879397801</v>
      </c>
      <c r="P398" s="160">
        <v>1.1351878553941901</v>
      </c>
      <c r="Q398" s="160">
        <v>-8.2470067780264902E-2</v>
      </c>
      <c r="R398" s="160">
        <v>0.37006057380986701</v>
      </c>
      <c r="S398" s="160">
        <v>9.4884632803985108E-3</v>
      </c>
      <c r="T398" s="160">
        <v>0</v>
      </c>
      <c r="U398" s="160">
        <v>0</v>
      </c>
      <c r="V398" s="160">
        <v>0</v>
      </c>
      <c r="W398" s="160"/>
      <c r="X398" s="59"/>
      <c r="Y398" s="159"/>
      <c r="Z398" s="159"/>
      <c r="AA398" s="159"/>
      <c r="AB398" s="159"/>
      <c r="AC398" s="159"/>
      <c r="AD398" s="161"/>
      <c r="AE398" s="160"/>
    </row>
    <row r="399" spans="1:31" ht="21.25" customHeight="1" x14ac:dyDescent="0.15">
      <c r="A399" s="8" t="s">
        <v>681</v>
      </c>
      <c r="B399" s="157" t="s">
        <v>890</v>
      </c>
      <c r="C399" s="158">
        <v>28</v>
      </c>
      <c r="D399" s="157" t="s">
        <v>857</v>
      </c>
      <c r="E399" s="59">
        <v>77.837857142857104</v>
      </c>
      <c r="F399" s="159">
        <v>15.3935684739105</v>
      </c>
      <c r="G399" s="160">
        <v>0.11041060249271401</v>
      </c>
      <c r="H399" s="160">
        <v>0.217987893661859</v>
      </c>
      <c r="I399" s="160">
        <v>0.32839849615457301</v>
      </c>
      <c r="J399" s="160">
        <v>1.3600044339011299</v>
      </c>
      <c r="K399" s="160">
        <v>3.9993195678489999E-3</v>
      </c>
      <c r="L399" s="160">
        <v>7.9199412159017095E-3</v>
      </c>
      <c r="M399" s="160">
        <v>1.26922123716112E-3</v>
      </c>
      <c r="N399" s="160">
        <v>3.72937742781487E-2</v>
      </c>
      <c r="O399" s="160">
        <v>0.93370696094425198</v>
      </c>
      <c r="P399" s="160">
        <v>1.43927019114067</v>
      </c>
      <c r="Q399" s="160">
        <v>-0.10452192005243</v>
      </c>
      <c r="R399" s="160">
        <v>0.35601795951382598</v>
      </c>
      <c r="S399" s="160">
        <v>1.29380857520504E-2</v>
      </c>
      <c r="T399" s="160">
        <v>4.000851169043</v>
      </c>
      <c r="U399" s="160">
        <v>4.6853623000926001</v>
      </c>
      <c r="V399" s="160">
        <v>0.46059784084965</v>
      </c>
      <c r="W399" s="160"/>
      <c r="X399" s="59"/>
      <c r="Y399" s="159"/>
      <c r="Z399" s="159"/>
      <c r="AA399" s="159"/>
      <c r="AB399" s="159"/>
      <c r="AC399" s="159"/>
      <c r="AD399" s="161"/>
      <c r="AE399" s="160"/>
    </row>
    <row r="400" spans="1:31" ht="21.25" customHeight="1" x14ac:dyDescent="0.15">
      <c r="A400" s="8" t="s">
        <v>730</v>
      </c>
      <c r="B400" s="157" t="s">
        <v>903</v>
      </c>
      <c r="C400" s="158">
        <v>27</v>
      </c>
      <c r="D400" s="157" t="s">
        <v>857</v>
      </c>
      <c r="E400" s="59">
        <v>74.367142857142895</v>
      </c>
      <c r="F400" s="159">
        <v>13.537480911322101</v>
      </c>
      <c r="G400" s="160">
        <v>9.1056604738040905E-2</v>
      </c>
      <c r="H400" s="160">
        <v>0.23671128293772301</v>
      </c>
      <c r="I400" s="160">
        <v>0.32776788767576498</v>
      </c>
      <c r="J400" s="160">
        <v>1.1659198858259601</v>
      </c>
      <c r="K400" s="160">
        <v>1.2513703506945399E-3</v>
      </c>
      <c r="L400" s="160">
        <v>2.2343102404260001E-3</v>
      </c>
      <c r="M400" s="160">
        <v>4.1535904122102802E-3</v>
      </c>
      <c r="N400" s="160">
        <v>3.0477256508352198E-2</v>
      </c>
      <c r="O400" s="160">
        <v>0.61585725457617402</v>
      </c>
      <c r="P400" s="160">
        <v>0.82107086363743398</v>
      </c>
      <c r="Q400" s="160">
        <v>-8.7784552615093298E-2</v>
      </c>
      <c r="R400" s="160">
        <v>0.37760995516190599</v>
      </c>
      <c r="S400" s="160">
        <v>9.8677220596335401E-3</v>
      </c>
      <c r="T400" s="160">
        <v>5.6201187712395999</v>
      </c>
      <c r="U400" s="160">
        <v>5.4675656505402097</v>
      </c>
      <c r="V400" s="160">
        <v>0.50687939496184298</v>
      </c>
      <c r="W400" s="160"/>
      <c r="X400" s="59"/>
      <c r="Y400" s="159"/>
      <c r="Z400" s="159"/>
      <c r="AA400" s="159"/>
      <c r="AB400" s="159"/>
      <c r="AC400" s="159"/>
      <c r="AD400" s="161"/>
      <c r="AE400" s="160"/>
    </row>
    <row r="401" spans="1:31" ht="21.25" customHeight="1" x14ac:dyDescent="0.15">
      <c r="A401" s="8" t="s">
        <v>687</v>
      </c>
      <c r="B401" s="157" t="s">
        <v>902</v>
      </c>
      <c r="C401" s="158">
        <v>28</v>
      </c>
      <c r="D401" s="157" t="s">
        <v>857</v>
      </c>
      <c r="E401" s="59">
        <v>78.6314285714286</v>
      </c>
      <c r="F401" s="159">
        <v>13.615360583741699</v>
      </c>
      <c r="G401" s="160">
        <v>0.16619463303145399</v>
      </c>
      <c r="H401" s="160">
        <v>0.161126699179161</v>
      </c>
      <c r="I401" s="160">
        <v>0.32732133221061499</v>
      </c>
      <c r="J401" s="160">
        <v>1.50794469950318</v>
      </c>
      <c r="K401" s="160">
        <v>3.2489143626414502E-3</v>
      </c>
      <c r="L401" s="160">
        <v>7.6351378070328201E-3</v>
      </c>
      <c r="M401" s="160">
        <v>1.26315449556395E-2</v>
      </c>
      <c r="N401" s="160">
        <v>1.40030796944696E-2</v>
      </c>
      <c r="O401" s="160">
        <v>0.54711067468904795</v>
      </c>
      <c r="P401" s="160">
        <v>1.3368076026659801</v>
      </c>
      <c r="Q401" s="160">
        <v>-3.9556405986187603E-3</v>
      </c>
      <c r="R401" s="160">
        <v>0.299138561258462</v>
      </c>
      <c r="S401" s="160">
        <v>2.0179642119717199E-2</v>
      </c>
      <c r="T401" s="160">
        <v>5.4857573651389302</v>
      </c>
      <c r="U401" s="160">
        <v>4.6483232821896099</v>
      </c>
      <c r="V401" s="160">
        <v>0.54131771356931502</v>
      </c>
      <c r="W401" s="160"/>
      <c r="X401" s="59"/>
      <c r="Y401" s="159"/>
      <c r="Z401" s="159"/>
      <c r="AA401" s="159"/>
      <c r="AB401" s="159"/>
      <c r="AC401" s="159"/>
      <c r="AD401" s="161"/>
      <c r="AE401" s="160"/>
    </row>
    <row r="402" spans="1:31" ht="21.25" customHeight="1" x14ac:dyDescent="0.15">
      <c r="A402" s="8" t="s">
        <v>714</v>
      </c>
      <c r="B402" s="157" t="s">
        <v>874</v>
      </c>
      <c r="C402" s="158">
        <v>28</v>
      </c>
      <c r="D402" s="157" t="s">
        <v>857</v>
      </c>
      <c r="E402" s="59">
        <v>73.103571428571399</v>
      </c>
      <c r="F402" s="159">
        <v>13.7581917839745</v>
      </c>
      <c r="G402" s="160">
        <v>0.135153271934779</v>
      </c>
      <c r="H402" s="160">
        <v>0.19132082034398801</v>
      </c>
      <c r="I402" s="160">
        <v>0.326474092278767</v>
      </c>
      <c r="J402" s="160">
        <v>1.41116308995896</v>
      </c>
      <c r="K402" s="160">
        <v>2.2176447636022799E-3</v>
      </c>
      <c r="L402" s="160">
        <v>5.6738768399978799E-3</v>
      </c>
      <c r="M402" s="160">
        <v>3.4813169969407101E-2</v>
      </c>
      <c r="N402" s="160">
        <v>4.5267167720417702E-2</v>
      </c>
      <c r="O402" s="160">
        <v>0.47453820375567302</v>
      </c>
      <c r="P402" s="160">
        <v>1.8317196526259001</v>
      </c>
      <c r="Q402" s="160">
        <v>2.6212643525734498E-2</v>
      </c>
      <c r="R402" s="160">
        <v>0.53015653601646495</v>
      </c>
      <c r="S402" s="160">
        <v>2.1712337213127202E-2</v>
      </c>
      <c r="T402" s="160">
        <v>2.9584589076688399</v>
      </c>
      <c r="U402" s="160">
        <v>3.2266642162502701</v>
      </c>
      <c r="V402" s="160">
        <v>0.478318514990896</v>
      </c>
      <c r="W402" s="160"/>
      <c r="X402" s="59"/>
      <c r="Y402" s="159"/>
      <c r="Z402" s="159"/>
      <c r="AA402" s="159"/>
      <c r="AB402" s="159"/>
      <c r="AC402" s="159"/>
      <c r="AD402" s="161"/>
      <c r="AE402" s="160"/>
    </row>
    <row r="403" spans="1:31" ht="21.25" customHeight="1" x14ac:dyDescent="0.15">
      <c r="A403" s="8" t="s">
        <v>397</v>
      </c>
      <c r="B403" s="157" t="s">
        <v>872</v>
      </c>
      <c r="C403" s="158">
        <v>25</v>
      </c>
      <c r="D403" s="157" t="s">
        <v>860</v>
      </c>
      <c r="E403" s="59">
        <v>78.2</v>
      </c>
      <c r="F403" s="159">
        <v>17.1333307564481</v>
      </c>
      <c r="G403" s="160">
        <v>7.9193570514931297E-2</v>
      </c>
      <c r="H403" s="160">
        <v>0.247130663856648</v>
      </c>
      <c r="I403" s="160">
        <v>0.32632423437157898</v>
      </c>
      <c r="J403" s="160">
        <v>1.7017184957324401</v>
      </c>
      <c r="K403" s="160">
        <v>2.9086172147930702E-4</v>
      </c>
      <c r="L403" s="160">
        <v>1.9747147844309302E-3</v>
      </c>
      <c r="M403" s="160">
        <v>6.6515590474393294E-5</v>
      </c>
      <c r="N403" s="160">
        <v>2.4738247137631302E-4</v>
      </c>
      <c r="O403" s="160">
        <v>1.1357913114727001</v>
      </c>
      <c r="P403" s="160">
        <v>1.2446360877976299</v>
      </c>
      <c r="Q403" s="160">
        <v>5.9380204655554098E-3</v>
      </c>
      <c r="R403" s="160">
        <v>0.38155260174099298</v>
      </c>
      <c r="S403" s="160">
        <v>1.23938225527007E-2</v>
      </c>
      <c r="T403" s="160">
        <v>0</v>
      </c>
      <c r="U403" s="160">
        <v>0</v>
      </c>
      <c r="V403" s="160">
        <v>0</v>
      </c>
      <c r="W403" s="160"/>
      <c r="X403" s="59"/>
      <c r="Y403" s="159"/>
      <c r="Z403" s="159"/>
      <c r="AA403" s="159"/>
      <c r="AB403" s="159"/>
      <c r="AC403" s="159"/>
      <c r="AD403" s="161"/>
      <c r="AE403" s="160"/>
    </row>
    <row r="404" spans="1:31" ht="21.25" customHeight="1" x14ac:dyDescent="0.15">
      <c r="A404" s="8" t="s">
        <v>428</v>
      </c>
      <c r="B404" s="157" t="s">
        <v>874</v>
      </c>
      <c r="C404" s="162">
        <v>24</v>
      </c>
      <c r="D404" s="157" t="s">
        <v>860</v>
      </c>
      <c r="E404" s="59">
        <v>74.680000000000007</v>
      </c>
      <c r="F404" s="159">
        <v>18.9095921721681</v>
      </c>
      <c r="G404" s="160">
        <v>8.6198311163590904E-2</v>
      </c>
      <c r="H404" s="160">
        <v>0.23861372407055101</v>
      </c>
      <c r="I404" s="160">
        <v>0.32481203523414298</v>
      </c>
      <c r="J404" s="160">
        <v>1.3410568172997199</v>
      </c>
      <c r="K404" s="160">
        <v>2.91009827041096E-3</v>
      </c>
      <c r="L404" s="160">
        <v>1.31242975578685E-2</v>
      </c>
      <c r="M404" s="160">
        <v>9.8900281625981107E-3</v>
      </c>
      <c r="N404" s="160">
        <v>2.1158521676280601E-2</v>
      </c>
      <c r="O404" s="160">
        <v>1.4177163833016699</v>
      </c>
      <c r="P404" s="160">
        <v>1.6389728866973201</v>
      </c>
      <c r="Q404" s="160">
        <v>9.2703029115094607E-2</v>
      </c>
      <c r="R404" s="160">
        <v>0.41908581911446202</v>
      </c>
      <c r="S404" s="160">
        <v>1.38477357772671E-2</v>
      </c>
      <c r="T404" s="160">
        <v>0</v>
      </c>
      <c r="U404" s="160">
        <v>0</v>
      </c>
      <c r="V404" s="160">
        <v>0</v>
      </c>
      <c r="W404" s="160"/>
      <c r="X404" s="59"/>
      <c r="Y404" s="159"/>
      <c r="Z404" s="159"/>
      <c r="AA404" s="159"/>
      <c r="AB404" s="159"/>
      <c r="AC404" s="159"/>
      <c r="AD404" s="161"/>
      <c r="AE404" s="160"/>
    </row>
    <row r="405" spans="1:31" ht="21.25" customHeight="1" x14ac:dyDescent="0.15">
      <c r="A405" s="8" t="s">
        <v>657</v>
      </c>
      <c r="B405" s="157" t="s">
        <v>897</v>
      </c>
      <c r="C405" s="158">
        <v>26</v>
      </c>
      <c r="D405" s="157" t="s">
        <v>857</v>
      </c>
      <c r="E405" s="59">
        <v>79.256785714285698</v>
      </c>
      <c r="F405" s="159">
        <v>14.772821523994301</v>
      </c>
      <c r="G405" s="160">
        <v>0.17726192223361101</v>
      </c>
      <c r="H405" s="160">
        <v>0.147099855339238</v>
      </c>
      <c r="I405" s="160">
        <v>0.32436177757284901</v>
      </c>
      <c r="J405" s="160">
        <v>1.7323212786879401</v>
      </c>
      <c r="K405" s="160">
        <v>2.3747729802995401E-3</v>
      </c>
      <c r="L405" s="160">
        <v>1.09969867006754E-2</v>
      </c>
      <c r="M405" s="160">
        <v>1.6516134574775999E-2</v>
      </c>
      <c r="N405" s="160">
        <v>1.80603977368149E-2</v>
      </c>
      <c r="O405" s="160">
        <v>0.41783869688159397</v>
      </c>
      <c r="P405" s="160">
        <v>2.0726387645066602</v>
      </c>
      <c r="Q405" s="160">
        <v>-2.6173536091201599E-2</v>
      </c>
      <c r="R405" s="160">
        <v>0.499228789976433</v>
      </c>
      <c r="S405" s="160">
        <v>2.58848767681257E-2</v>
      </c>
      <c r="T405" s="160">
        <v>0.16196438984320699</v>
      </c>
      <c r="U405" s="160">
        <v>0.28345556851318199</v>
      </c>
      <c r="V405" s="160">
        <v>0.36362176145150799</v>
      </c>
      <c r="W405" s="160"/>
      <c r="X405" s="59"/>
      <c r="Y405" s="159"/>
      <c r="Z405" s="159"/>
      <c r="AA405" s="159"/>
      <c r="AB405" s="159"/>
      <c r="AC405" s="159"/>
      <c r="AD405" s="161"/>
      <c r="AE405" s="160"/>
    </row>
    <row r="406" spans="1:31" ht="21.25" customHeight="1" x14ac:dyDescent="0.15">
      <c r="A406" s="8" t="s">
        <v>401</v>
      </c>
      <c r="B406" s="157" t="s">
        <v>891</v>
      </c>
      <c r="C406" s="158">
        <v>32</v>
      </c>
      <c r="D406" s="157" t="s">
        <v>860</v>
      </c>
      <c r="E406" s="59">
        <v>79.55</v>
      </c>
      <c r="F406" s="159">
        <v>20.778134799549601</v>
      </c>
      <c r="G406" s="160">
        <v>6.0254636195578297E-2</v>
      </c>
      <c r="H406" s="160">
        <v>0.26129358935430202</v>
      </c>
      <c r="I406" s="160">
        <v>0.32154822554988</v>
      </c>
      <c r="J406" s="160">
        <v>1.38344473924504</v>
      </c>
      <c r="K406" s="160">
        <v>1.7343885940928399E-4</v>
      </c>
      <c r="L406" s="160">
        <v>1.2267058976298899E-3</v>
      </c>
      <c r="M406" s="160">
        <v>2.9340751677648801E-4</v>
      </c>
      <c r="N406" s="160">
        <v>7.6973519248316798E-3</v>
      </c>
      <c r="O406" s="160">
        <v>1.6104346146442201</v>
      </c>
      <c r="P406" s="160">
        <v>1.54859188974743</v>
      </c>
      <c r="Q406" s="160">
        <v>-2.5140746263802E-2</v>
      </c>
      <c r="R406" s="160">
        <v>0.30762588300973298</v>
      </c>
      <c r="S406" s="160">
        <v>7.4116749525657702E-3</v>
      </c>
      <c r="T406" s="160">
        <v>0</v>
      </c>
      <c r="U406" s="160">
        <v>0</v>
      </c>
      <c r="V406" s="160">
        <v>0</v>
      </c>
      <c r="W406" s="160"/>
      <c r="X406" s="59"/>
      <c r="Y406" s="159"/>
      <c r="Z406" s="159"/>
      <c r="AA406" s="159"/>
      <c r="AB406" s="159"/>
      <c r="AC406" s="159"/>
      <c r="AD406" s="161"/>
      <c r="AE406" s="160"/>
    </row>
    <row r="407" spans="1:31" ht="21.25" customHeight="1" x14ac:dyDescent="0.15">
      <c r="A407" s="8" t="s">
        <v>740</v>
      </c>
      <c r="B407" s="157" t="s">
        <v>887</v>
      </c>
      <c r="C407" s="158">
        <v>23</v>
      </c>
      <c r="D407" s="157" t="s">
        <v>857</v>
      </c>
      <c r="E407" s="59">
        <v>77</v>
      </c>
      <c r="F407" s="159">
        <v>13.0415059605106</v>
      </c>
      <c r="G407" s="160">
        <v>0.15161760457769799</v>
      </c>
      <c r="H407" s="160">
        <v>0.16910892296708399</v>
      </c>
      <c r="I407" s="160">
        <v>0.32072652754478198</v>
      </c>
      <c r="J407" s="160">
        <v>1.0329626893591199</v>
      </c>
      <c r="K407" s="160">
        <v>1.29579639982811E-3</v>
      </c>
      <c r="L407" s="160">
        <v>4.6370923271944796E-3</v>
      </c>
      <c r="M407" s="160">
        <v>2.3667547629633002E-3</v>
      </c>
      <c r="N407" s="160">
        <v>4.03339790526565E-3</v>
      </c>
      <c r="O407" s="160">
        <v>0.57894787306552598</v>
      </c>
      <c r="P407" s="160">
        <v>3.1110394345227599</v>
      </c>
      <c r="Q407" s="160">
        <v>-6.1003303255851501E-2</v>
      </c>
      <c r="R407" s="160">
        <v>0.59510218238567203</v>
      </c>
      <c r="S407" s="160">
        <v>1.8686869124859E-2</v>
      </c>
      <c r="T407" s="160">
        <v>4.1185643081626298</v>
      </c>
      <c r="U407" s="160">
        <v>5.4347760899932798</v>
      </c>
      <c r="V407" s="160">
        <v>0.43111248385513801</v>
      </c>
      <c r="W407" s="160"/>
      <c r="X407" s="59"/>
      <c r="Y407" s="159"/>
      <c r="Z407" s="159"/>
      <c r="AA407" s="159"/>
      <c r="AB407" s="159"/>
      <c r="AC407" s="159"/>
      <c r="AD407" s="161"/>
      <c r="AE407" s="160"/>
    </row>
    <row r="408" spans="1:31" ht="21.25" customHeight="1" x14ac:dyDescent="0.15">
      <c r="A408" s="8" t="s">
        <v>580</v>
      </c>
      <c r="B408" s="157" t="s">
        <v>904</v>
      </c>
      <c r="C408" s="158">
        <v>23</v>
      </c>
      <c r="D408" s="157" t="s">
        <v>859</v>
      </c>
      <c r="E408" s="59">
        <v>70.674999999999997</v>
      </c>
      <c r="F408" s="159">
        <v>13.413834057611099</v>
      </c>
      <c r="G408" s="160">
        <v>0.12641073118267601</v>
      </c>
      <c r="H408" s="160">
        <v>0.19194106140657599</v>
      </c>
      <c r="I408" s="160">
        <v>0.318351792589251</v>
      </c>
      <c r="J408" s="160">
        <v>1.7167054586173001</v>
      </c>
      <c r="K408" s="160">
        <v>1.7883279656260399E-2</v>
      </c>
      <c r="L408" s="160">
        <v>3.7832452813522301E-2</v>
      </c>
      <c r="M408" s="160">
        <v>3.4715420538604098E-4</v>
      </c>
      <c r="N408" s="160">
        <v>6.2995770228755602E-4</v>
      </c>
      <c r="O408" s="160">
        <v>0.47515885638934402</v>
      </c>
      <c r="P408" s="160">
        <v>0.80786719245217598</v>
      </c>
      <c r="Q408" s="160">
        <v>-2.9413496317355599E-3</v>
      </c>
      <c r="R408" s="160">
        <v>0.191784182546962</v>
      </c>
      <c r="S408" s="160"/>
      <c r="T408" s="160">
        <v>7.9966829768396197E-2</v>
      </c>
      <c r="U408" s="160">
        <v>0.112111758136066</v>
      </c>
      <c r="V408" s="160">
        <v>0.41632349883877201</v>
      </c>
      <c r="W408" s="160"/>
      <c r="X408" s="59"/>
      <c r="Y408" s="159"/>
      <c r="Z408" s="159"/>
      <c r="AA408" s="159"/>
      <c r="AB408" s="159"/>
      <c r="AC408" s="159"/>
      <c r="AD408" s="161"/>
      <c r="AE408" s="160"/>
    </row>
    <row r="409" spans="1:31" ht="21.25" customHeight="1" x14ac:dyDescent="0.15">
      <c r="A409" s="8" t="s">
        <v>353</v>
      </c>
      <c r="B409" s="157" t="s">
        <v>879</v>
      </c>
      <c r="C409" s="158">
        <v>34</v>
      </c>
      <c r="D409" s="157" t="s">
        <v>860</v>
      </c>
      <c r="E409" s="59">
        <v>80.641071428571394</v>
      </c>
      <c r="F409" s="159">
        <v>17.535369512403499</v>
      </c>
      <c r="G409" s="160">
        <v>5.58607842480221E-2</v>
      </c>
      <c r="H409" s="160">
        <v>0.262285831561761</v>
      </c>
      <c r="I409" s="160">
        <v>0.31814661580978298</v>
      </c>
      <c r="J409" s="160">
        <v>1.6988035577674001</v>
      </c>
      <c r="K409" s="160">
        <v>1.2637789134746001E-2</v>
      </c>
      <c r="L409" s="160">
        <v>0.118625633680188</v>
      </c>
      <c r="M409" s="160">
        <v>1.1308126567204E-4</v>
      </c>
      <c r="N409" s="160">
        <v>4.4464401250488201E-4</v>
      </c>
      <c r="O409" s="160">
        <v>1.2727960063738399</v>
      </c>
      <c r="P409" s="160">
        <v>0.99475160585422295</v>
      </c>
      <c r="Q409" s="160">
        <v>2.9016356785932299E-2</v>
      </c>
      <c r="R409" s="160">
        <v>0.45444011444809801</v>
      </c>
      <c r="S409" s="160">
        <v>9.3779263696200706E-3</v>
      </c>
      <c r="T409" s="160">
        <v>0</v>
      </c>
      <c r="U409" s="160">
        <v>1.7638430371070199E-3</v>
      </c>
      <c r="V409" s="160">
        <v>0</v>
      </c>
      <c r="W409" s="160"/>
      <c r="X409" s="59"/>
      <c r="Y409" s="159"/>
      <c r="Z409" s="159"/>
      <c r="AA409" s="159"/>
      <c r="AB409" s="159"/>
      <c r="AC409" s="159"/>
      <c r="AD409" s="161"/>
      <c r="AE409" s="160"/>
    </row>
    <row r="410" spans="1:31" ht="21.25" customHeight="1" x14ac:dyDescent="0.15">
      <c r="A410" s="8" t="s">
        <v>432</v>
      </c>
      <c r="B410" s="157" t="s">
        <v>879</v>
      </c>
      <c r="C410" s="158">
        <v>29</v>
      </c>
      <c r="D410" s="157" t="s">
        <v>860</v>
      </c>
      <c r="E410" s="59">
        <v>76.767857142857096</v>
      </c>
      <c r="F410" s="159">
        <v>17.3033809175813</v>
      </c>
      <c r="G410" s="160">
        <v>6.0003921386163402E-2</v>
      </c>
      <c r="H410" s="160">
        <v>0.25671481968875098</v>
      </c>
      <c r="I410" s="160">
        <v>0.31671874107491499</v>
      </c>
      <c r="J410" s="160">
        <v>1.41184792303202</v>
      </c>
      <c r="K410" s="160">
        <v>2.03895022262478E-3</v>
      </c>
      <c r="L410" s="160">
        <v>2.3230876755545998E-2</v>
      </c>
      <c r="M410" s="160">
        <v>1.3062598932163299E-4</v>
      </c>
      <c r="N410" s="160">
        <v>4.9265730750153299E-4</v>
      </c>
      <c r="O410" s="160">
        <v>1.09567979200066</v>
      </c>
      <c r="P410" s="160">
        <v>0.79255579772582396</v>
      </c>
      <c r="Q410" s="160">
        <v>9.0926479170493402E-2</v>
      </c>
      <c r="R410" s="160">
        <v>0.382635786906666</v>
      </c>
      <c r="S410" s="160">
        <v>1.00734775607422E-2</v>
      </c>
      <c r="T410" s="160">
        <v>0</v>
      </c>
      <c r="U410" s="160">
        <v>0</v>
      </c>
      <c r="V410" s="160">
        <v>0</v>
      </c>
      <c r="W410" s="160"/>
      <c r="X410" s="59"/>
      <c r="Y410" s="159"/>
      <c r="Z410" s="159"/>
      <c r="AA410" s="159"/>
      <c r="AB410" s="159"/>
      <c r="AC410" s="159"/>
      <c r="AD410" s="161"/>
      <c r="AE410" s="160"/>
    </row>
    <row r="411" spans="1:31" ht="21.25" customHeight="1" x14ac:dyDescent="0.15">
      <c r="A411" s="8" t="s">
        <v>736</v>
      </c>
      <c r="B411" s="157" t="s">
        <v>896</v>
      </c>
      <c r="C411" s="158">
        <v>23</v>
      </c>
      <c r="D411" s="157" t="s">
        <v>857</v>
      </c>
      <c r="E411" s="59">
        <v>75.831071428571406</v>
      </c>
      <c r="F411" s="159">
        <v>14.3119135291102</v>
      </c>
      <c r="G411" s="160">
        <v>0.14242899990647601</v>
      </c>
      <c r="H411" s="160">
        <v>0.17408590873938501</v>
      </c>
      <c r="I411" s="160">
        <v>0.31651490864586102</v>
      </c>
      <c r="J411" s="160">
        <v>1.0606290742622999</v>
      </c>
      <c r="K411" s="160">
        <v>2.1443930515981599E-3</v>
      </c>
      <c r="L411" s="160">
        <v>5.4367927556932998E-3</v>
      </c>
      <c r="M411" s="160">
        <v>1.58952953344954E-2</v>
      </c>
      <c r="N411" s="160">
        <v>1.7470870532214099E-2</v>
      </c>
      <c r="O411" s="160">
        <v>0.65337183085609996</v>
      </c>
      <c r="P411" s="160">
        <v>0.52758012200520699</v>
      </c>
      <c r="Q411" s="160">
        <v>-0.115359014547571</v>
      </c>
      <c r="R411" s="160">
        <v>0.15959048622276101</v>
      </c>
      <c r="S411" s="160">
        <v>1.5440647296766001E-2</v>
      </c>
      <c r="T411" s="160">
        <v>4.5392786186243503</v>
      </c>
      <c r="U411" s="160">
        <v>5.2998623874164998</v>
      </c>
      <c r="V411" s="160">
        <v>0.46134907669657499</v>
      </c>
      <c r="W411" s="160"/>
      <c r="X411" s="59"/>
      <c r="Y411" s="159"/>
      <c r="Z411" s="159"/>
      <c r="AA411" s="159"/>
      <c r="AB411" s="159"/>
      <c r="AC411" s="159"/>
      <c r="AD411" s="161"/>
      <c r="AE411" s="160"/>
    </row>
    <row r="412" spans="1:31" ht="21.25" customHeight="1" x14ac:dyDescent="0.15">
      <c r="A412" s="8" t="s">
        <v>612</v>
      </c>
      <c r="B412" s="157" t="s">
        <v>899</v>
      </c>
      <c r="C412" s="158">
        <v>25</v>
      </c>
      <c r="D412" s="157" t="s">
        <v>859</v>
      </c>
      <c r="E412" s="59">
        <v>66.2</v>
      </c>
      <c r="F412" s="159">
        <v>12.9229472122967</v>
      </c>
      <c r="G412" s="160">
        <v>0.16386024802965701</v>
      </c>
      <c r="H412" s="160">
        <v>0.151933558911618</v>
      </c>
      <c r="I412" s="160">
        <v>0.31579380694127601</v>
      </c>
      <c r="J412" s="160">
        <v>1.5095107271647701</v>
      </c>
      <c r="K412" s="160">
        <v>4.7508764779177698E-3</v>
      </c>
      <c r="L412" s="160">
        <v>1.01902042699989E-2</v>
      </c>
      <c r="M412" s="160">
        <v>8.4690663858649602E-5</v>
      </c>
      <c r="N412" s="160">
        <v>1.55931601666939E-4</v>
      </c>
      <c r="O412" s="160">
        <v>0.89777066953989004</v>
      </c>
      <c r="P412" s="160">
        <v>2.6702779466896698</v>
      </c>
      <c r="Q412" s="160">
        <v>-6.7604587428301596E-2</v>
      </c>
      <c r="R412" s="160">
        <v>0.37979025593283999</v>
      </c>
      <c r="S412" s="160">
        <v>1.9261058118920701E-2</v>
      </c>
      <c r="T412" s="160">
        <v>1.43398316468552E-2</v>
      </c>
      <c r="U412" s="160">
        <v>8.4299226413452694E-2</v>
      </c>
      <c r="V412" s="160">
        <v>0.14537681045258799</v>
      </c>
      <c r="W412" s="160"/>
      <c r="X412" s="59"/>
      <c r="Y412" s="159"/>
      <c r="Z412" s="159"/>
      <c r="AA412" s="159"/>
      <c r="AB412" s="159"/>
      <c r="AC412" s="159"/>
      <c r="AD412" s="161"/>
      <c r="AE412" s="160"/>
    </row>
    <row r="413" spans="1:31" ht="21.25" customHeight="1" x14ac:dyDescent="0.15">
      <c r="A413" s="8" t="s">
        <v>419</v>
      </c>
      <c r="B413" s="157" t="s">
        <v>883</v>
      </c>
      <c r="C413" s="158">
        <v>27</v>
      </c>
      <c r="D413" s="157" t="s">
        <v>860</v>
      </c>
      <c r="E413" s="59">
        <v>76.852142857142894</v>
      </c>
      <c r="F413" s="159">
        <v>19.897084429174502</v>
      </c>
      <c r="G413" s="160">
        <v>3.6187918576720199E-2</v>
      </c>
      <c r="H413" s="160">
        <v>0.27936666885155198</v>
      </c>
      <c r="I413" s="160">
        <v>0.31555458742827303</v>
      </c>
      <c r="J413" s="160">
        <v>1.3684621577145899</v>
      </c>
      <c r="K413" s="160">
        <v>4.29656917597477E-4</v>
      </c>
      <c r="L413" s="160">
        <v>2.9361842328671198E-3</v>
      </c>
      <c r="M413" s="160">
        <v>5.1126677076704602E-4</v>
      </c>
      <c r="N413" s="160">
        <v>2.7289977260982002E-3</v>
      </c>
      <c r="O413" s="160">
        <v>1.72027853882941</v>
      </c>
      <c r="P413" s="160">
        <v>1.8437362437162099</v>
      </c>
      <c r="Q413" s="160">
        <v>3.7674939252529897E-2</v>
      </c>
      <c r="R413" s="160">
        <v>0.63186431081575201</v>
      </c>
      <c r="S413" s="160">
        <v>5.7592841865092203E-3</v>
      </c>
      <c r="T413" s="160">
        <v>0</v>
      </c>
      <c r="U413" s="160">
        <v>0</v>
      </c>
      <c r="V413" s="160">
        <v>0</v>
      </c>
      <c r="W413" s="160"/>
      <c r="X413" s="59"/>
      <c r="Y413" s="159"/>
      <c r="Z413" s="159"/>
      <c r="AA413" s="159"/>
      <c r="AB413" s="159"/>
      <c r="AC413" s="159"/>
      <c r="AD413" s="161"/>
      <c r="AE413" s="160"/>
    </row>
    <row r="414" spans="1:31" ht="21.25" customHeight="1" x14ac:dyDescent="0.15">
      <c r="A414" s="8" t="s">
        <v>404</v>
      </c>
      <c r="B414" s="157" t="s">
        <v>887</v>
      </c>
      <c r="C414" s="158">
        <v>29</v>
      </c>
      <c r="D414" s="157" t="s">
        <v>860</v>
      </c>
      <c r="E414" s="59">
        <v>77.327857142857098</v>
      </c>
      <c r="F414" s="159">
        <v>21.6868044566707</v>
      </c>
      <c r="G414" s="160">
        <v>8.3540448518038907E-2</v>
      </c>
      <c r="H414" s="160">
        <v>0.23140088199533501</v>
      </c>
      <c r="I414" s="160">
        <v>0.31494133051337397</v>
      </c>
      <c r="J414" s="160">
        <v>1.4935411965532299</v>
      </c>
      <c r="K414" s="160">
        <v>4.1935525593657401E-3</v>
      </c>
      <c r="L414" s="160">
        <v>2.28443904939645E-2</v>
      </c>
      <c r="M414" s="160">
        <v>3.9047039209034502E-4</v>
      </c>
      <c r="N414" s="160">
        <v>1.5116530749904899E-3</v>
      </c>
      <c r="O414" s="160">
        <v>1.48663188603345</v>
      </c>
      <c r="P414" s="160">
        <v>1.40268874628273</v>
      </c>
      <c r="Q414" s="160">
        <v>-4.1827709703437903E-2</v>
      </c>
      <c r="R414" s="160">
        <v>0.75543834559482703</v>
      </c>
      <c r="S414" s="160">
        <v>1.0296359927574401E-2</v>
      </c>
      <c r="T414" s="160">
        <v>0</v>
      </c>
      <c r="U414" s="160">
        <v>0</v>
      </c>
      <c r="V414" s="160">
        <v>0</v>
      </c>
      <c r="W414" s="160"/>
      <c r="X414" s="59"/>
      <c r="Y414" s="159"/>
      <c r="Z414" s="159"/>
      <c r="AA414" s="159"/>
      <c r="AB414" s="159"/>
      <c r="AC414" s="159"/>
      <c r="AD414" s="161"/>
      <c r="AE414" s="160"/>
    </row>
    <row r="415" spans="1:31" ht="21.25" customHeight="1" x14ac:dyDescent="0.15">
      <c r="A415" s="8" t="s">
        <v>631</v>
      </c>
      <c r="B415" s="157" t="s">
        <v>884</v>
      </c>
      <c r="C415" s="158">
        <v>24</v>
      </c>
      <c r="D415" s="157" t="s">
        <v>859</v>
      </c>
      <c r="E415" s="59">
        <v>68.31</v>
      </c>
      <c r="F415" s="159">
        <v>11.274184679877999</v>
      </c>
      <c r="G415" s="160">
        <v>0.120766209492344</v>
      </c>
      <c r="H415" s="160">
        <v>0.19346348282522999</v>
      </c>
      <c r="I415" s="160">
        <v>0.31422969231757403</v>
      </c>
      <c r="J415" s="160">
        <v>1.40450994246202</v>
      </c>
      <c r="K415" s="160">
        <v>1.3401928539868799E-2</v>
      </c>
      <c r="L415" s="160">
        <v>2.73129636254805E-2</v>
      </c>
      <c r="M415" s="160">
        <v>0</v>
      </c>
      <c r="N415" s="160">
        <v>0</v>
      </c>
      <c r="O415" s="160">
        <v>0.34822893314459302</v>
      </c>
      <c r="P415" s="160">
        <v>0.70217305472877101</v>
      </c>
      <c r="Q415" s="160">
        <v>-6.1653890597679402E-2</v>
      </c>
      <c r="R415" s="160">
        <v>0.153592212569577</v>
      </c>
      <c r="S415" s="160">
        <v>1.2940930845072401E-2</v>
      </c>
      <c r="T415" s="160">
        <v>9.5936743190071505E-2</v>
      </c>
      <c r="U415" s="160">
        <v>0.15284322271430201</v>
      </c>
      <c r="V415" s="160">
        <v>0.38562889435778602</v>
      </c>
      <c r="W415" s="160"/>
      <c r="X415" s="59"/>
      <c r="Y415" s="159"/>
      <c r="Z415" s="159"/>
      <c r="AA415" s="159"/>
      <c r="AB415" s="159"/>
      <c r="AC415" s="159"/>
      <c r="AD415" s="161"/>
      <c r="AE415" s="160"/>
    </row>
    <row r="416" spans="1:31" ht="21.25" customHeight="1" x14ac:dyDescent="0.15">
      <c r="A416" s="8" t="s">
        <v>377</v>
      </c>
      <c r="B416" s="157" t="s">
        <v>900</v>
      </c>
      <c r="C416" s="158">
        <v>28</v>
      </c>
      <c r="D416" s="157" t="s">
        <v>860</v>
      </c>
      <c r="E416" s="59">
        <v>78.454999999999998</v>
      </c>
      <c r="F416" s="159">
        <v>20.772920297141798</v>
      </c>
      <c r="G416" s="160">
        <v>5.99551848008563E-2</v>
      </c>
      <c r="H416" s="160">
        <v>0.253973873088635</v>
      </c>
      <c r="I416" s="160">
        <v>0.31392905788949099</v>
      </c>
      <c r="J416" s="160">
        <v>1.6650639328783401</v>
      </c>
      <c r="K416" s="160">
        <v>9.1595668246716305E-3</v>
      </c>
      <c r="L416" s="160">
        <v>4.0814523477547E-2</v>
      </c>
      <c r="M416" s="160">
        <v>4.0813708229355097E-4</v>
      </c>
      <c r="N416" s="160">
        <v>5.1807488608014499E-3</v>
      </c>
      <c r="O416" s="160">
        <v>1.7142652099667799</v>
      </c>
      <c r="P416" s="160">
        <v>1.6587663353683499</v>
      </c>
      <c r="Q416" s="160">
        <v>1.37983693486923E-2</v>
      </c>
      <c r="R416" s="160">
        <v>0.18392846962248199</v>
      </c>
      <c r="S416" s="160">
        <v>9.2643865127464507E-3</v>
      </c>
      <c r="T416" s="160">
        <v>0</v>
      </c>
      <c r="U416" s="160">
        <v>0</v>
      </c>
      <c r="V416" s="160">
        <v>0</v>
      </c>
      <c r="W416" s="160"/>
      <c r="X416" s="59"/>
      <c r="Y416" s="159"/>
      <c r="Z416" s="159"/>
      <c r="AA416" s="159"/>
      <c r="AB416" s="159"/>
      <c r="AC416" s="159"/>
      <c r="AD416" s="161"/>
      <c r="AE416" s="160"/>
    </row>
    <row r="417" spans="1:31" ht="21.25" customHeight="1" x14ac:dyDescent="0.15">
      <c r="A417" s="8" t="s">
        <v>660</v>
      </c>
      <c r="B417" s="157" t="s">
        <v>882</v>
      </c>
      <c r="C417" s="158">
        <v>22</v>
      </c>
      <c r="D417" s="157" t="s">
        <v>859</v>
      </c>
      <c r="E417" s="59">
        <v>65.784999999999997</v>
      </c>
      <c r="F417" s="159">
        <v>12.542656149552499</v>
      </c>
      <c r="G417" s="160">
        <v>0.156661804142293</v>
      </c>
      <c r="H417" s="160">
        <v>0.156601003789787</v>
      </c>
      <c r="I417" s="160">
        <v>0.313262807932079</v>
      </c>
      <c r="J417" s="160">
        <v>1.2874233890019899</v>
      </c>
      <c r="K417" s="160">
        <v>1.16905193948933E-2</v>
      </c>
      <c r="L417" s="160">
        <v>2.3357533108883399E-2</v>
      </c>
      <c r="M417" s="160">
        <v>1.0559017272338199E-4</v>
      </c>
      <c r="N417" s="160">
        <v>1.9481656988742601E-4</v>
      </c>
      <c r="O417" s="160">
        <v>0.40919348087542901</v>
      </c>
      <c r="P417" s="160">
        <v>1.2705794002933199</v>
      </c>
      <c r="Q417" s="160">
        <v>3.7695597944742E-3</v>
      </c>
      <c r="R417" s="160">
        <v>0.30013291651747398</v>
      </c>
      <c r="S417" s="160">
        <v>2.2176989998881801E-2</v>
      </c>
      <c r="T417" s="160">
        <v>0.15918739323236999</v>
      </c>
      <c r="U417" s="160">
        <v>0.21370927707367399</v>
      </c>
      <c r="V417" s="160">
        <v>0.42689411278926598</v>
      </c>
      <c r="W417" s="160"/>
      <c r="X417" s="59"/>
      <c r="Y417" s="159"/>
      <c r="Z417" s="159"/>
      <c r="AA417" s="159"/>
      <c r="AB417" s="159"/>
      <c r="AC417" s="159"/>
      <c r="AD417" s="161"/>
      <c r="AE417" s="160"/>
    </row>
    <row r="418" spans="1:31" ht="21.25" customHeight="1" x14ac:dyDescent="0.15">
      <c r="A418" s="8" t="s">
        <v>713</v>
      </c>
      <c r="B418" s="157" t="s">
        <v>887</v>
      </c>
      <c r="C418" s="158">
        <v>27</v>
      </c>
      <c r="D418" s="157" t="s">
        <v>858</v>
      </c>
      <c r="E418" s="59">
        <v>61.64</v>
      </c>
      <c r="F418" s="159">
        <v>11.993778312674801</v>
      </c>
      <c r="G418" s="160">
        <v>0.16346534634361601</v>
      </c>
      <c r="H418" s="160">
        <v>0.14943157635450199</v>
      </c>
      <c r="I418" s="160">
        <v>0.31289692269811797</v>
      </c>
      <c r="J418" s="160">
        <v>1.47819932877684</v>
      </c>
      <c r="K418" s="160">
        <v>3.7294796140112901E-3</v>
      </c>
      <c r="L418" s="160">
        <v>9.4699153215469494E-3</v>
      </c>
      <c r="M418" s="160">
        <v>2.0205176281507699E-5</v>
      </c>
      <c r="N418" s="160">
        <v>3.7086174688782798E-5</v>
      </c>
      <c r="O418" s="160">
        <v>0.314385174539483</v>
      </c>
      <c r="P418" s="160">
        <v>1.4462792171982899</v>
      </c>
      <c r="Q418" s="160">
        <v>-2.7564132314760501E-2</v>
      </c>
      <c r="R418" s="160">
        <v>0.366100459797082</v>
      </c>
      <c r="S418" s="160">
        <v>2.0147103247548901E-2</v>
      </c>
      <c r="T418" s="160">
        <v>0</v>
      </c>
      <c r="U418" s="160">
        <v>0.10349604155888401</v>
      </c>
      <c r="V418" s="160">
        <v>0</v>
      </c>
      <c r="W418" s="160"/>
      <c r="X418" s="59"/>
      <c r="Y418" s="159"/>
      <c r="Z418" s="159"/>
      <c r="AA418" s="159"/>
      <c r="AB418" s="159"/>
      <c r="AC418" s="159"/>
      <c r="AD418" s="161"/>
      <c r="AE418" s="160"/>
    </row>
    <row r="419" spans="1:31" ht="21.25" customHeight="1" x14ac:dyDescent="0.15">
      <c r="A419" s="8" t="s">
        <v>457</v>
      </c>
      <c r="B419" s="157" t="s">
        <v>884</v>
      </c>
      <c r="C419" s="158">
        <v>19</v>
      </c>
      <c r="D419" s="157" t="s">
        <v>860</v>
      </c>
      <c r="E419" s="59">
        <v>72</v>
      </c>
      <c r="F419" s="159">
        <v>16</v>
      </c>
      <c r="G419" s="160">
        <v>5.8168080929036498E-2</v>
      </c>
      <c r="H419" s="160">
        <v>0.25441175489854501</v>
      </c>
      <c r="I419" s="160">
        <v>0.31257983582757998</v>
      </c>
      <c r="J419" s="160">
        <v>1.3813035557433699</v>
      </c>
      <c r="K419" s="160">
        <v>7.3814735508662896E-3</v>
      </c>
      <c r="L419" s="160">
        <v>3.96660806724956E-2</v>
      </c>
      <c r="M419" s="160">
        <v>0</v>
      </c>
      <c r="N419" s="160">
        <v>0</v>
      </c>
      <c r="O419" s="160">
        <v>1.10243902439024</v>
      </c>
      <c r="P419" s="160">
        <v>1.23034065217306</v>
      </c>
      <c r="Q419" s="160">
        <v>2.0731707317073202E-3</v>
      </c>
      <c r="R419" s="160">
        <v>0.40843147629086202</v>
      </c>
      <c r="S419" s="160">
        <v>6.2331103696763902E-3</v>
      </c>
      <c r="T419" s="160">
        <v>0</v>
      </c>
      <c r="U419" s="160">
        <v>0</v>
      </c>
      <c r="V419" s="160">
        <v>0</v>
      </c>
      <c r="W419" s="160"/>
      <c r="X419" s="59"/>
      <c r="Y419" s="159"/>
      <c r="Z419" s="159"/>
      <c r="AA419" s="159"/>
      <c r="AB419" s="159"/>
      <c r="AC419" s="159"/>
      <c r="AD419" s="161"/>
      <c r="AE419" s="160"/>
    </row>
    <row r="420" spans="1:31" ht="21.25" customHeight="1" x14ac:dyDescent="0.15">
      <c r="A420" s="8" t="s">
        <v>581</v>
      </c>
      <c r="B420" s="157" t="s">
        <v>871</v>
      </c>
      <c r="C420" s="158">
        <v>27</v>
      </c>
      <c r="D420" s="157" t="s">
        <v>859</v>
      </c>
      <c r="E420" s="59">
        <v>76.913928571428599</v>
      </c>
      <c r="F420" s="159">
        <v>13.8369740966699</v>
      </c>
      <c r="G420" s="160">
        <v>0.113651639637238</v>
      </c>
      <c r="H420" s="160">
        <v>0.19884142118436701</v>
      </c>
      <c r="I420" s="160">
        <v>0.312493060821605</v>
      </c>
      <c r="J420" s="160">
        <v>1.3601746242711801</v>
      </c>
      <c r="K420" s="160">
        <v>7.7685854694445095E-4</v>
      </c>
      <c r="L420" s="160">
        <v>1.9869105080091102E-3</v>
      </c>
      <c r="M420" s="160">
        <v>1.7555934135708499E-2</v>
      </c>
      <c r="N420" s="160">
        <v>3.6164121473044798E-2</v>
      </c>
      <c r="O420" s="160">
        <v>0.61936441563417</v>
      </c>
      <c r="P420" s="160">
        <v>1.34694555086567</v>
      </c>
      <c r="Q420" s="160">
        <v>5.3540023482860001E-2</v>
      </c>
      <c r="R420" s="160">
        <v>0.42442421698292998</v>
      </c>
      <c r="S420" s="160">
        <v>1.7981401750302901E-2</v>
      </c>
      <c r="T420" s="160">
        <v>3.5376261253624301E-2</v>
      </c>
      <c r="U420" s="160">
        <v>0.13072009596221301</v>
      </c>
      <c r="V420" s="160">
        <v>0.21298637638183601</v>
      </c>
      <c r="W420" s="160"/>
      <c r="X420" s="59"/>
      <c r="Y420" s="159"/>
      <c r="Z420" s="159"/>
      <c r="AA420" s="159"/>
      <c r="AB420" s="159"/>
      <c r="AC420" s="159"/>
      <c r="AD420" s="161"/>
      <c r="AE420" s="160"/>
    </row>
    <row r="421" spans="1:31" ht="21.25" customHeight="1" x14ac:dyDescent="0.15">
      <c r="A421" s="8" t="s">
        <v>553</v>
      </c>
      <c r="B421" s="157" t="s">
        <v>885</v>
      </c>
      <c r="C421" s="158">
        <v>29</v>
      </c>
      <c r="D421" s="157" t="s">
        <v>860</v>
      </c>
      <c r="E421" s="59">
        <v>62.17</v>
      </c>
      <c r="F421" s="159">
        <v>15.495330844450001</v>
      </c>
      <c r="G421" s="160">
        <v>0.108496279824103</v>
      </c>
      <c r="H421" s="160">
        <v>0.20343323729247101</v>
      </c>
      <c r="I421" s="160">
        <v>0.31192951711657302</v>
      </c>
      <c r="J421" s="160">
        <v>1.1892863099825299</v>
      </c>
      <c r="K421" s="160">
        <v>2.6331118988940001E-4</v>
      </c>
      <c r="L421" s="160">
        <v>1.7845875127150399E-3</v>
      </c>
      <c r="M421" s="160">
        <v>5.5303355314358701E-4</v>
      </c>
      <c r="N421" s="160">
        <v>2.0532776550751699E-3</v>
      </c>
      <c r="O421" s="160">
        <v>1.0956046247995399</v>
      </c>
      <c r="P421" s="160">
        <v>0.69197371893176796</v>
      </c>
      <c r="Q421" s="160">
        <v>-2.5942492520298899E-2</v>
      </c>
      <c r="R421" s="160">
        <v>0.25641891290586499</v>
      </c>
      <c r="S421" s="160">
        <v>1.24849632947482E-2</v>
      </c>
      <c r="T421" s="160">
        <v>0</v>
      </c>
      <c r="U421" s="160">
        <v>0</v>
      </c>
      <c r="V421" s="160">
        <v>0</v>
      </c>
      <c r="W421" s="160"/>
      <c r="X421" s="59"/>
      <c r="Y421" s="159"/>
      <c r="Z421" s="159"/>
      <c r="AA421" s="159"/>
      <c r="AB421" s="159"/>
      <c r="AC421" s="159"/>
      <c r="AD421" s="161"/>
      <c r="AE421" s="160"/>
    </row>
    <row r="422" spans="1:31" ht="21.25" customHeight="1" x14ac:dyDescent="0.15">
      <c r="A422" s="8" t="s">
        <v>747</v>
      </c>
      <c r="B422" s="157" t="s">
        <v>886</v>
      </c>
      <c r="C422" s="158">
        <v>24</v>
      </c>
      <c r="D422" s="157" t="s">
        <v>857</v>
      </c>
      <c r="E422" s="59">
        <v>64.869642857142907</v>
      </c>
      <c r="F422" s="159">
        <v>12.8830622816856</v>
      </c>
      <c r="G422" s="160">
        <v>0.124904933611466</v>
      </c>
      <c r="H422" s="160">
        <v>0.186875090698533</v>
      </c>
      <c r="I422" s="160">
        <v>0.31178002430999902</v>
      </c>
      <c r="J422" s="160">
        <v>1.52391259084134</v>
      </c>
      <c r="K422" s="160">
        <v>8.0977758779977199E-4</v>
      </c>
      <c r="L422" s="160">
        <v>2.0411984629125999E-3</v>
      </c>
      <c r="M422" s="160">
        <v>1.98267034823074E-3</v>
      </c>
      <c r="N422" s="160">
        <v>2.2358283999477601E-2</v>
      </c>
      <c r="O422" s="160">
        <v>0.55679190617721297</v>
      </c>
      <c r="P422" s="160">
        <v>1.66722223848238</v>
      </c>
      <c r="Q422" s="160">
        <v>1.5677545729439999E-2</v>
      </c>
      <c r="R422" s="160">
        <v>0.39084315680859499</v>
      </c>
      <c r="S422" s="160">
        <v>1.9485587722936602E-2</v>
      </c>
      <c r="T422" s="160">
        <v>0.26665899220977701</v>
      </c>
      <c r="U422" s="160">
        <v>0.30084343423807403</v>
      </c>
      <c r="V422" s="160">
        <v>0.46988167765002598</v>
      </c>
      <c r="W422" s="160"/>
      <c r="X422" s="59"/>
      <c r="Y422" s="159"/>
      <c r="Z422" s="159"/>
      <c r="AA422" s="159"/>
      <c r="AB422" s="159"/>
      <c r="AC422" s="159"/>
      <c r="AD422" s="161"/>
      <c r="AE422" s="160"/>
    </row>
    <row r="423" spans="1:31" ht="21.25" customHeight="1" x14ac:dyDescent="0.15">
      <c r="A423" s="8" t="s">
        <v>691</v>
      </c>
      <c r="B423" s="157" t="s">
        <v>887</v>
      </c>
      <c r="C423" s="158">
        <v>31</v>
      </c>
      <c r="D423" s="157" t="s">
        <v>857</v>
      </c>
      <c r="E423" s="59">
        <v>76.125357142857098</v>
      </c>
      <c r="F423" s="159">
        <v>14.4269870293751</v>
      </c>
      <c r="G423" s="160">
        <v>0.16064800905872401</v>
      </c>
      <c r="H423" s="160">
        <v>0.15104044773297601</v>
      </c>
      <c r="I423" s="160">
        <v>0.31168845679169999</v>
      </c>
      <c r="J423" s="160">
        <v>1.6909784807819599</v>
      </c>
      <c r="K423" s="160">
        <v>4.7033002775750199E-3</v>
      </c>
      <c r="L423" s="160">
        <v>8.1471016308210503E-3</v>
      </c>
      <c r="M423" s="160">
        <v>1.1730271714827E-2</v>
      </c>
      <c r="N423" s="160">
        <v>1.34943993595794E-2</v>
      </c>
      <c r="O423" s="160">
        <v>0.50075056682432995</v>
      </c>
      <c r="P423" s="160">
        <v>1.8853651229768</v>
      </c>
      <c r="Q423" s="160">
        <v>-2.40316230999017E-2</v>
      </c>
      <c r="R423" s="160">
        <v>0.41039842604745702</v>
      </c>
      <c r="S423" s="160">
        <v>1.9799866439066199E-2</v>
      </c>
      <c r="T423" s="160">
        <v>5.8091473169163699</v>
      </c>
      <c r="U423" s="160">
        <v>5.9581568116148702</v>
      </c>
      <c r="V423" s="160">
        <v>0.49366849479409602</v>
      </c>
      <c r="W423" s="160"/>
      <c r="X423" s="59"/>
      <c r="Y423" s="159"/>
      <c r="Z423" s="159"/>
      <c r="AA423" s="159"/>
      <c r="AB423" s="159"/>
      <c r="AC423" s="159"/>
      <c r="AD423" s="161"/>
      <c r="AE423" s="160"/>
    </row>
    <row r="424" spans="1:31" ht="21.25" customHeight="1" x14ac:dyDescent="0.15">
      <c r="A424" s="8" t="s">
        <v>708</v>
      </c>
      <c r="B424" s="157" t="s">
        <v>874</v>
      </c>
      <c r="C424" s="162">
        <v>28</v>
      </c>
      <c r="D424" s="157" t="s">
        <v>857</v>
      </c>
      <c r="E424" s="59">
        <v>82.03</v>
      </c>
      <c r="F424" s="159">
        <v>14.881329360046401</v>
      </c>
      <c r="G424" s="160">
        <v>9.6389128383245995E-2</v>
      </c>
      <c r="H424" s="160">
        <v>0.214561733168982</v>
      </c>
      <c r="I424" s="160">
        <v>0.31095086155222801</v>
      </c>
      <c r="J424" s="160">
        <v>1.26880839433349</v>
      </c>
      <c r="K424" s="160">
        <v>6.84298936174333E-4</v>
      </c>
      <c r="L424" s="160">
        <v>1.7792300906381499E-3</v>
      </c>
      <c r="M424" s="160">
        <v>7.7894477150652602E-3</v>
      </c>
      <c r="N424" s="160">
        <v>2.86376429352533E-2</v>
      </c>
      <c r="O424" s="160">
        <v>0.35549289349400498</v>
      </c>
      <c r="P424" s="160">
        <v>0.91529766376803401</v>
      </c>
      <c r="Q424" s="160">
        <v>4.1927716833856203E-2</v>
      </c>
      <c r="R424" s="160">
        <v>0.224336625901882</v>
      </c>
      <c r="S424" s="160">
        <v>1.54848878549265E-2</v>
      </c>
      <c r="T424" s="160">
        <v>7.14993231363691</v>
      </c>
      <c r="U424" s="160">
        <v>6.5350758073752404</v>
      </c>
      <c r="V424" s="160">
        <v>0.52246460143920603</v>
      </c>
      <c r="W424" s="160"/>
      <c r="X424" s="59"/>
      <c r="Y424" s="159"/>
      <c r="Z424" s="159"/>
      <c r="AA424" s="159"/>
      <c r="AB424" s="159"/>
      <c r="AC424" s="159"/>
      <c r="AD424" s="161"/>
      <c r="AE424" s="160"/>
    </row>
    <row r="425" spans="1:31" ht="21.25" customHeight="1" x14ac:dyDescent="0.15">
      <c r="A425" s="8" t="s">
        <v>718</v>
      </c>
      <c r="B425" s="157" t="s">
        <v>880</v>
      </c>
      <c r="C425" s="162">
        <v>31</v>
      </c>
      <c r="D425" s="157" t="s">
        <v>859</v>
      </c>
      <c r="E425" s="59">
        <v>53</v>
      </c>
      <c r="F425" s="159">
        <v>12.2179199110123</v>
      </c>
      <c r="G425" s="160">
        <v>0.12892861916354001</v>
      </c>
      <c r="H425" s="160">
        <v>0.18039145722153499</v>
      </c>
      <c r="I425" s="160">
        <v>0.30932007638507603</v>
      </c>
      <c r="J425" s="160">
        <v>1.3074719647327699</v>
      </c>
      <c r="K425" s="160">
        <v>3.2182482940886999E-3</v>
      </c>
      <c r="L425" s="160">
        <v>8.2876995312971095E-3</v>
      </c>
      <c r="M425" s="160">
        <v>3.2578603446471602E-3</v>
      </c>
      <c r="N425" s="160">
        <v>6.0645481827782902E-3</v>
      </c>
      <c r="O425" s="160">
        <v>0.61978951703221696</v>
      </c>
      <c r="P425" s="160">
        <v>1.2184919386356601</v>
      </c>
      <c r="Q425" s="160">
        <v>-5.11003597005538E-4</v>
      </c>
      <c r="R425" s="160">
        <v>0.35595621067208899</v>
      </c>
      <c r="S425" s="160">
        <v>2.19691959475844E-2</v>
      </c>
      <c r="T425" s="160">
        <v>3.0010646372159102</v>
      </c>
      <c r="U425" s="160">
        <v>3.3095790223931099</v>
      </c>
      <c r="V425" s="160">
        <v>0.47555602868596197</v>
      </c>
      <c r="W425" s="160"/>
      <c r="X425" s="59"/>
      <c r="Y425" s="159"/>
      <c r="Z425" s="159"/>
      <c r="AA425" s="159"/>
      <c r="AB425" s="159"/>
      <c r="AC425" s="159"/>
      <c r="AD425" s="161"/>
      <c r="AE425" s="160"/>
    </row>
    <row r="426" spans="1:31" ht="21.25" customHeight="1" x14ac:dyDescent="0.15">
      <c r="A426" s="8" t="s">
        <v>759</v>
      </c>
      <c r="B426" s="157" t="s">
        <v>887</v>
      </c>
      <c r="C426" s="158">
        <v>29</v>
      </c>
      <c r="D426" s="157" t="s">
        <v>857</v>
      </c>
      <c r="E426" s="59">
        <v>72.400000000000006</v>
      </c>
      <c r="F426" s="159">
        <v>12.9131321669377</v>
      </c>
      <c r="G426" s="160">
        <v>0.14461890101889099</v>
      </c>
      <c r="H426" s="160">
        <v>0.16342003628081</v>
      </c>
      <c r="I426" s="160">
        <v>0.308038937299701</v>
      </c>
      <c r="J426" s="160">
        <v>0.91380669503657896</v>
      </c>
      <c r="K426" s="160">
        <v>9.5225664365489598E-3</v>
      </c>
      <c r="L426" s="160">
        <v>3.2660282236339599E-2</v>
      </c>
      <c r="M426" s="160">
        <v>1.29902164348754E-3</v>
      </c>
      <c r="N426" s="160">
        <v>2.3938987219459399E-3</v>
      </c>
      <c r="O426" s="160">
        <v>0.58179191360678195</v>
      </c>
      <c r="P426" s="160">
        <v>0.60344024048141998</v>
      </c>
      <c r="Q426" s="160">
        <v>-6.5160993253954899E-2</v>
      </c>
      <c r="R426" s="160">
        <v>0.27951886951688798</v>
      </c>
      <c r="S426" s="160">
        <v>1.7824278940748398E-2</v>
      </c>
      <c r="T426" s="160">
        <v>4.6805449449889496</v>
      </c>
      <c r="U426" s="160">
        <v>5.8423646700185596</v>
      </c>
      <c r="V426" s="160">
        <v>0.44479569969067101</v>
      </c>
      <c r="W426" s="160"/>
      <c r="X426" s="59"/>
      <c r="Y426" s="159"/>
      <c r="Z426" s="159"/>
      <c r="AA426" s="159"/>
      <c r="AB426" s="159"/>
      <c r="AC426" s="159"/>
      <c r="AD426" s="161"/>
      <c r="AE426" s="160"/>
    </row>
    <row r="427" spans="1:31" ht="21.25" customHeight="1" x14ac:dyDescent="0.15">
      <c r="A427" s="8" t="s">
        <v>617</v>
      </c>
      <c r="B427" s="157" t="s">
        <v>904</v>
      </c>
      <c r="C427" s="158">
        <v>27</v>
      </c>
      <c r="D427" s="157" t="s">
        <v>858</v>
      </c>
      <c r="E427" s="59">
        <v>77.172499999999999</v>
      </c>
      <c r="F427" s="159">
        <v>12.0108789345748</v>
      </c>
      <c r="G427" s="160">
        <v>0.159077440770763</v>
      </c>
      <c r="H427" s="160">
        <v>0.14873145562232401</v>
      </c>
      <c r="I427" s="160">
        <v>0.30780889639308801</v>
      </c>
      <c r="J427" s="160">
        <v>1.43195927310216</v>
      </c>
      <c r="K427" s="160">
        <v>1.6536068046332002E-2</v>
      </c>
      <c r="L427" s="160">
        <v>4.0230125503741603E-2</v>
      </c>
      <c r="M427" s="160">
        <v>0</v>
      </c>
      <c r="N427" s="160">
        <v>0</v>
      </c>
      <c r="O427" s="160">
        <v>0.41022565521579601</v>
      </c>
      <c r="P427" s="160">
        <v>2.5157566335450601</v>
      </c>
      <c r="Q427" s="160">
        <v>-1.52396091759906E-2</v>
      </c>
      <c r="R427" s="160">
        <v>0.55640680812636301</v>
      </c>
      <c r="S427" s="160"/>
      <c r="T427" s="160">
        <v>9.7743603005178807E-3</v>
      </c>
      <c r="U427" s="160">
        <v>0.11358974782975299</v>
      </c>
      <c r="V427" s="160">
        <v>7.9231799659235505E-2</v>
      </c>
      <c r="W427" s="160"/>
      <c r="X427" s="59"/>
      <c r="Y427" s="159"/>
      <c r="Z427" s="159"/>
      <c r="AA427" s="159"/>
      <c r="AB427" s="159"/>
      <c r="AC427" s="159"/>
      <c r="AD427" s="161"/>
      <c r="AE427" s="160"/>
    </row>
    <row r="428" spans="1:31" ht="21.25" customHeight="1" x14ac:dyDescent="0.15">
      <c r="A428" s="8" t="s">
        <v>765</v>
      </c>
      <c r="B428" s="157" t="s">
        <v>883</v>
      </c>
      <c r="C428" s="158">
        <v>28</v>
      </c>
      <c r="D428" s="157" t="s">
        <v>858</v>
      </c>
      <c r="E428" s="59">
        <v>50</v>
      </c>
      <c r="F428" s="159">
        <v>11.755641362842301</v>
      </c>
      <c r="G428" s="160">
        <v>0.109743584888608</v>
      </c>
      <c r="H428" s="160">
        <v>0.19794252417351299</v>
      </c>
      <c r="I428" s="160">
        <v>0.30768610906212202</v>
      </c>
      <c r="J428" s="160">
        <v>1.25268917658378</v>
      </c>
      <c r="K428" s="160">
        <v>1.3878602923722101E-2</v>
      </c>
      <c r="L428" s="160">
        <v>2.52355014967337E-2</v>
      </c>
      <c r="M428" s="160">
        <v>4.1867310821429498E-5</v>
      </c>
      <c r="N428" s="160">
        <v>7.770679108545E-5</v>
      </c>
      <c r="O428" s="160">
        <v>0.31374739316419098</v>
      </c>
      <c r="P428" s="160">
        <v>0.90860664635793298</v>
      </c>
      <c r="Q428" s="160">
        <v>2.6389716116823999E-2</v>
      </c>
      <c r="R428" s="160">
        <v>0.31287088942418501</v>
      </c>
      <c r="S428" s="160">
        <v>1.7465621618436799E-2</v>
      </c>
      <c r="T428" s="160">
        <v>0.162735987415322</v>
      </c>
      <c r="U428" s="160">
        <v>0.3188416365183</v>
      </c>
      <c r="V428" s="160">
        <v>0.337922651152398</v>
      </c>
      <c r="W428" s="160"/>
      <c r="X428" s="59"/>
      <c r="Y428" s="159"/>
      <c r="Z428" s="159"/>
      <c r="AA428" s="159"/>
      <c r="AB428" s="159"/>
      <c r="AC428" s="159"/>
      <c r="AD428" s="161"/>
      <c r="AE428" s="160"/>
    </row>
    <row r="429" spans="1:31" ht="21.25" customHeight="1" x14ac:dyDescent="0.15">
      <c r="A429" s="8" t="s">
        <v>524</v>
      </c>
      <c r="B429" s="157" t="s">
        <v>900</v>
      </c>
      <c r="C429" s="158">
        <v>27</v>
      </c>
      <c r="D429" s="157" t="s">
        <v>860</v>
      </c>
      <c r="E429" s="59">
        <v>65.991785714285697</v>
      </c>
      <c r="F429" s="159">
        <v>16.645277334815098</v>
      </c>
      <c r="G429" s="160">
        <v>6.6764128821011695E-2</v>
      </c>
      <c r="H429" s="160">
        <v>0.240865226880741</v>
      </c>
      <c r="I429" s="160">
        <v>0.30762935570175398</v>
      </c>
      <c r="J429" s="160">
        <v>1.1894390093657801</v>
      </c>
      <c r="K429" s="160">
        <v>1.38459404692552E-3</v>
      </c>
      <c r="L429" s="160">
        <v>2.5026975456675E-2</v>
      </c>
      <c r="M429" s="160">
        <v>3.6469126351638698E-4</v>
      </c>
      <c r="N429" s="160">
        <v>1.3604829213940399E-3</v>
      </c>
      <c r="O429" s="160">
        <v>1.0615017544333401</v>
      </c>
      <c r="P429" s="160">
        <v>0.80247290941906502</v>
      </c>
      <c r="Q429" s="160">
        <v>1.4402435661168E-2</v>
      </c>
      <c r="R429" s="160">
        <v>0.33649118774278403</v>
      </c>
      <c r="S429" s="160">
        <v>1.0316517189282601E-2</v>
      </c>
      <c r="T429" s="160">
        <v>0</v>
      </c>
      <c r="U429" s="160">
        <v>0</v>
      </c>
      <c r="V429" s="160">
        <v>0</v>
      </c>
      <c r="W429" s="160"/>
      <c r="X429" s="59"/>
      <c r="Y429" s="159"/>
      <c r="Z429" s="159"/>
      <c r="AA429" s="159"/>
      <c r="AB429" s="159"/>
      <c r="AC429" s="159"/>
      <c r="AD429" s="161"/>
      <c r="AE429" s="160"/>
    </row>
    <row r="430" spans="1:31" ht="21.25" customHeight="1" x14ac:dyDescent="0.15">
      <c r="A430" s="8" t="s">
        <v>724</v>
      </c>
      <c r="B430" s="157" t="s">
        <v>873</v>
      </c>
      <c r="C430" s="158">
        <v>30</v>
      </c>
      <c r="D430" s="157" t="s">
        <v>857</v>
      </c>
      <c r="E430" s="59">
        <v>78.986785714285702</v>
      </c>
      <c r="F430" s="159">
        <v>11.3859451406717</v>
      </c>
      <c r="G430" s="160">
        <v>0.103175554987808</v>
      </c>
      <c r="H430" s="160">
        <v>0.20171450633073801</v>
      </c>
      <c r="I430" s="160">
        <v>0.30489006131854501</v>
      </c>
      <c r="J430" s="160">
        <v>1.31421402485368</v>
      </c>
      <c r="K430" s="160">
        <v>7.85467612667596E-4</v>
      </c>
      <c r="L430" s="160">
        <v>1.7503489275868199E-3</v>
      </c>
      <c r="M430" s="160">
        <v>1.49107433060894E-4</v>
      </c>
      <c r="N430" s="160">
        <v>2.8084016189479599E-4</v>
      </c>
      <c r="O430" s="160">
        <v>0.449792808204037</v>
      </c>
      <c r="P430" s="160">
        <v>1.12805079628771</v>
      </c>
      <c r="Q430" s="160">
        <v>2.58892573315362E-2</v>
      </c>
      <c r="R430" s="160">
        <v>0.430828437855513</v>
      </c>
      <c r="S430" s="160">
        <v>1.4800768704663301E-2</v>
      </c>
      <c r="T430" s="160">
        <v>0.76084462148031495</v>
      </c>
      <c r="U430" s="160">
        <v>0.78615914596096503</v>
      </c>
      <c r="V430" s="160">
        <v>0.49181820852236202</v>
      </c>
      <c r="W430" s="160"/>
      <c r="X430" s="59"/>
      <c r="Y430" s="159"/>
      <c r="Z430" s="159"/>
      <c r="AA430" s="159"/>
      <c r="AB430" s="159"/>
      <c r="AC430" s="159"/>
      <c r="AD430" s="161"/>
      <c r="AE430" s="160"/>
    </row>
    <row r="431" spans="1:31" ht="21.25" customHeight="1" x14ac:dyDescent="0.15">
      <c r="A431" s="8" t="s">
        <v>801</v>
      </c>
      <c r="B431" s="157" t="s">
        <v>883</v>
      </c>
      <c r="C431" s="162">
        <v>29</v>
      </c>
      <c r="D431" s="157" t="s">
        <v>857</v>
      </c>
      <c r="E431" s="59">
        <v>55</v>
      </c>
      <c r="F431" s="159">
        <v>11.0089701779689</v>
      </c>
      <c r="G431" s="160">
        <v>0.113653292404609</v>
      </c>
      <c r="H431" s="160">
        <v>0.190648796118252</v>
      </c>
      <c r="I431" s="160">
        <v>0.304302088522862</v>
      </c>
      <c r="J431" s="160">
        <v>1.21329598084626</v>
      </c>
      <c r="K431" s="160">
        <v>1.0161015776230899E-3</v>
      </c>
      <c r="L431" s="160">
        <v>2.0327392062345902E-3</v>
      </c>
      <c r="M431" s="160">
        <v>1.1442784605662001E-3</v>
      </c>
      <c r="N431" s="160">
        <v>7.6482870385827899E-3</v>
      </c>
      <c r="O431" s="160">
        <v>0.25448047841494498</v>
      </c>
      <c r="P431" s="160">
        <v>0.56258100398822797</v>
      </c>
      <c r="Q431" s="160">
        <v>8.8141687291016704E-3</v>
      </c>
      <c r="R431" s="160">
        <v>0.27356780092178901</v>
      </c>
      <c r="S431" s="160">
        <v>1.8087849078771201E-2</v>
      </c>
      <c r="T431" s="160">
        <v>9.0658208113865602E-2</v>
      </c>
      <c r="U431" s="160">
        <v>0.177183440664648</v>
      </c>
      <c r="V431" s="160">
        <v>0.33847688933857201</v>
      </c>
      <c r="W431" s="160"/>
      <c r="X431" s="59"/>
      <c r="Y431" s="159"/>
      <c r="Z431" s="159"/>
      <c r="AA431" s="159"/>
      <c r="AB431" s="159"/>
      <c r="AC431" s="159"/>
      <c r="AD431" s="161"/>
      <c r="AE431" s="160"/>
    </row>
    <row r="432" spans="1:31" ht="21.25" customHeight="1" x14ac:dyDescent="0.15">
      <c r="A432" s="8" t="s">
        <v>732</v>
      </c>
      <c r="B432" s="157" t="s">
        <v>882</v>
      </c>
      <c r="C432" s="158">
        <v>29</v>
      </c>
      <c r="D432" s="157" t="s">
        <v>857</v>
      </c>
      <c r="E432" s="59">
        <v>74.416428571428597</v>
      </c>
      <c r="F432" s="159">
        <v>12.968644329933699</v>
      </c>
      <c r="G432" s="160">
        <v>9.2172995956363302E-2</v>
      </c>
      <c r="H432" s="160">
        <v>0.209029702468361</v>
      </c>
      <c r="I432" s="160">
        <v>0.30120269842472402</v>
      </c>
      <c r="J432" s="160">
        <v>1.2841127388287801</v>
      </c>
      <c r="K432" s="160">
        <v>7.0967940819314796E-4</v>
      </c>
      <c r="L432" s="160">
        <v>1.85917638907424E-3</v>
      </c>
      <c r="M432" s="160">
        <v>1.2782772133252599E-2</v>
      </c>
      <c r="N432" s="160">
        <v>2.6410432774911501E-2</v>
      </c>
      <c r="O432" s="160">
        <v>0.62861943355168703</v>
      </c>
      <c r="P432" s="160">
        <v>1.20074377666532</v>
      </c>
      <c r="Q432" s="160">
        <v>-6.5552449234431596E-3</v>
      </c>
      <c r="R432" s="160">
        <v>0.21519392038379501</v>
      </c>
      <c r="S432" s="160">
        <v>1.3047976950620399E-2</v>
      </c>
      <c r="T432" s="160">
        <v>4.6863944197786704</v>
      </c>
      <c r="U432" s="160">
        <v>4.3619190353148296</v>
      </c>
      <c r="V432" s="160">
        <v>0.51793015825955901</v>
      </c>
      <c r="W432" s="160"/>
      <c r="X432" s="59"/>
      <c r="Y432" s="159"/>
      <c r="Z432" s="159"/>
      <c r="AA432" s="159"/>
      <c r="AB432" s="159"/>
      <c r="AC432" s="159"/>
      <c r="AD432" s="161"/>
      <c r="AE432" s="160"/>
    </row>
    <row r="433" spans="1:31" ht="21.25" customHeight="1" x14ac:dyDescent="0.15">
      <c r="A433" s="8" t="s">
        <v>684</v>
      </c>
      <c r="B433" s="157" t="s">
        <v>885</v>
      </c>
      <c r="C433" s="158">
        <v>21</v>
      </c>
      <c r="D433" s="157" t="s">
        <v>858</v>
      </c>
      <c r="E433" s="59">
        <v>70.77</v>
      </c>
      <c r="F433" s="159">
        <v>12.1848979404717</v>
      </c>
      <c r="G433" s="160">
        <v>0.15088816901752</v>
      </c>
      <c r="H433" s="160">
        <v>0.14906056265144599</v>
      </c>
      <c r="I433" s="160">
        <v>0.29994873166896602</v>
      </c>
      <c r="J433" s="160">
        <v>1.2575182283944299</v>
      </c>
      <c r="K433" s="160">
        <v>1.60115627844696E-2</v>
      </c>
      <c r="L433" s="160">
        <v>3.67581225130598E-2</v>
      </c>
      <c r="M433" s="160">
        <v>8.7052784247998297E-4</v>
      </c>
      <c r="N433" s="160">
        <v>1.61046350395339E-3</v>
      </c>
      <c r="O433" s="160">
        <v>0.45411202337597201</v>
      </c>
      <c r="P433" s="160">
        <v>1.41194928831971</v>
      </c>
      <c r="Q433" s="160">
        <v>-7.6559710375780202E-2</v>
      </c>
      <c r="R433" s="160">
        <v>0.417927995477272</v>
      </c>
      <c r="S433" s="160">
        <v>1.7363113784634902E-2</v>
      </c>
      <c r="T433" s="160">
        <v>0.157892396066527</v>
      </c>
      <c r="U433" s="160">
        <v>0.27542616394138197</v>
      </c>
      <c r="V433" s="160">
        <v>0.364379490376883</v>
      </c>
      <c r="W433" s="160"/>
      <c r="X433" s="59"/>
      <c r="Y433" s="159"/>
      <c r="Z433" s="159"/>
      <c r="AA433" s="159"/>
      <c r="AB433" s="159"/>
      <c r="AC433" s="159"/>
      <c r="AD433" s="161"/>
      <c r="AE433" s="160"/>
    </row>
    <row r="434" spans="1:31" ht="21.25" customHeight="1" x14ac:dyDescent="0.15">
      <c r="A434" s="8" t="s">
        <v>702</v>
      </c>
      <c r="B434" s="157" t="s">
        <v>904</v>
      </c>
      <c r="C434" s="158">
        <v>25</v>
      </c>
      <c r="D434" s="157" t="s">
        <v>857</v>
      </c>
      <c r="E434" s="59">
        <v>71.172857142857097</v>
      </c>
      <c r="F434" s="159">
        <v>12.192987920428999</v>
      </c>
      <c r="G434" s="160">
        <v>0.14920831964110701</v>
      </c>
      <c r="H434" s="160">
        <v>0.14932048811890999</v>
      </c>
      <c r="I434" s="160">
        <v>0.298528807760017</v>
      </c>
      <c r="J434" s="160">
        <v>1.9308376878984801</v>
      </c>
      <c r="K434" s="160">
        <v>1.1827896476444E-3</v>
      </c>
      <c r="L434" s="160">
        <v>5.1177647819975903E-3</v>
      </c>
      <c r="M434" s="160">
        <v>0</v>
      </c>
      <c r="N434" s="160">
        <v>0</v>
      </c>
      <c r="O434" s="160">
        <v>0.58317449473766003</v>
      </c>
      <c r="P434" s="160">
        <v>1.5893754357009899</v>
      </c>
      <c r="Q434" s="160">
        <v>-1.2930365841002E-2</v>
      </c>
      <c r="R434" s="160">
        <v>0.37798987732307199</v>
      </c>
      <c r="S434" s="160"/>
      <c r="T434" s="160">
        <v>0.17231591823869</v>
      </c>
      <c r="U434" s="160">
        <v>0.36614497822096098</v>
      </c>
      <c r="V434" s="160">
        <v>0.320015658280216</v>
      </c>
      <c r="W434" s="160"/>
      <c r="X434" s="59"/>
      <c r="Y434" s="159"/>
      <c r="Z434" s="159"/>
      <c r="AA434" s="159"/>
      <c r="AB434" s="159"/>
      <c r="AC434" s="159"/>
      <c r="AD434" s="161"/>
      <c r="AE434" s="160"/>
    </row>
    <row r="435" spans="1:31" ht="21.25" customHeight="1" x14ac:dyDescent="0.15">
      <c r="A435" s="8" t="s">
        <v>769</v>
      </c>
      <c r="B435" s="157" t="s">
        <v>891</v>
      </c>
      <c r="C435" s="158">
        <v>22</v>
      </c>
      <c r="D435" s="157" t="s">
        <v>857</v>
      </c>
      <c r="E435" s="59">
        <v>67.432500000000005</v>
      </c>
      <c r="F435" s="159">
        <v>11.7348036727292</v>
      </c>
      <c r="G435" s="160">
        <v>0.103170764890508</v>
      </c>
      <c r="H435" s="160">
        <v>0.194617969196411</v>
      </c>
      <c r="I435" s="160">
        <v>0.29778873408692003</v>
      </c>
      <c r="J435" s="160">
        <v>1.3586395531339599</v>
      </c>
      <c r="K435" s="160">
        <v>6.6064909326007698E-4</v>
      </c>
      <c r="L435" s="160">
        <v>2.0114594157013901E-3</v>
      </c>
      <c r="M435" s="160">
        <v>2.7051835842648001E-3</v>
      </c>
      <c r="N435" s="160">
        <v>4.8270114640748003E-3</v>
      </c>
      <c r="O435" s="160">
        <v>0.32762564220631801</v>
      </c>
      <c r="P435" s="160">
        <v>0.79768382340992094</v>
      </c>
      <c r="Q435" s="160">
        <v>-2.9654698017002001E-2</v>
      </c>
      <c r="R435" s="160">
        <v>0.202927166386105</v>
      </c>
      <c r="S435" s="160">
        <v>1.2690611416091201E-2</v>
      </c>
      <c r="T435" s="160">
        <v>0.51678315224058202</v>
      </c>
      <c r="U435" s="160">
        <v>0.89031287946186799</v>
      </c>
      <c r="V435" s="160">
        <v>0.367269284112275</v>
      </c>
      <c r="W435" s="160"/>
      <c r="X435" s="59"/>
      <c r="Y435" s="159"/>
      <c r="Z435" s="159"/>
      <c r="AA435" s="159"/>
      <c r="AB435" s="159"/>
      <c r="AC435" s="159"/>
      <c r="AD435" s="161"/>
      <c r="AE435" s="160"/>
    </row>
    <row r="436" spans="1:31" ht="21.25" customHeight="1" x14ac:dyDescent="0.15">
      <c r="A436" s="8" t="s">
        <v>576</v>
      </c>
      <c r="B436" s="157" t="s">
        <v>881</v>
      </c>
      <c r="C436" s="158">
        <v>35</v>
      </c>
      <c r="D436" s="157" t="s">
        <v>859</v>
      </c>
      <c r="E436" s="59">
        <v>76.612499999999997</v>
      </c>
      <c r="F436" s="159">
        <v>12.672771507114</v>
      </c>
      <c r="G436" s="160">
        <v>0.12019094408934899</v>
      </c>
      <c r="H436" s="160">
        <v>0.177272031036946</v>
      </c>
      <c r="I436" s="160">
        <v>0.29746297512629499</v>
      </c>
      <c r="J436" s="160">
        <v>1.64999285061798</v>
      </c>
      <c r="K436" s="160">
        <v>6.167172838847E-3</v>
      </c>
      <c r="L436" s="160">
        <v>1.55174741126859E-2</v>
      </c>
      <c r="M436" s="160">
        <v>1.44567526596222E-2</v>
      </c>
      <c r="N436" s="160">
        <v>1.7889566893587599E-2</v>
      </c>
      <c r="O436" s="160">
        <v>0.302205107611205</v>
      </c>
      <c r="P436" s="160">
        <v>0.90416080900197204</v>
      </c>
      <c r="Q436" s="160">
        <v>-2.8542774709054902E-2</v>
      </c>
      <c r="R436" s="160">
        <v>0.36228225811637998</v>
      </c>
      <c r="S436" s="160">
        <v>1.54888053974766E-2</v>
      </c>
      <c r="T436" s="160">
        <v>1.6956063238925201</v>
      </c>
      <c r="U436" s="160">
        <v>1.76858479304255</v>
      </c>
      <c r="V436" s="160">
        <v>0.48946673744510399</v>
      </c>
      <c r="W436" s="160"/>
      <c r="X436" s="59"/>
      <c r="Y436" s="159"/>
      <c r="Z436" s="159"/>
      <c r="AA436" s="159"/>
      <c r="AB436" s="159"/>
      <c r="AC436" s="159"/>
      <c r="AD436" s="161"/>
      <c r="AE436" s="160"/>
    </row>
    <row r="437" spans="1:31" ht="21.25" customHeight="1" x14ac:dyDescent="0.15">
      <c r="A437" s="8" t="s">
        <v>526</v>
      </c>
      <c r="B437" s="157" t="s">
        <v>890</v>
      </c>
      <c r="C437" s="158">
        <v>22</v>
      </c>
      <c r="D437" s="157" t="s">
        <v>860</v>
      </c>
      <c r="E437" s="59">
        <v>61.64</v>
      </c>
      <c r="F437" s="159">
        <v>20.799675665832201</v>
      </c>
      <c r="G437" s="160">
        <v>7.1764213226146206E-2</v>
      </c>
      <c r="H437" s="160">
        <v>0.225686451044422</v>
      </c>
      <c r="I437" s="160">
        <v>0.29745066427056799</v>
      </c>
      <c r="J437" s="160">
        <v>1.2726732538421299</v>
      </c>
      <c r="K437" s="160">
        <v>3.7322651058323698E-4</v>
      </c>
      <c r="L437" s="160">
        <v>2.5365394674020502E-3</v>
      </c>
      <c r="M437" s="160">
        <v>1.6118212043669501E-3</v>
      </c>
      <c r="N437" s="160">
        <v>8.5561840386081996E-3</v>
      </c>
      <c r="O437" s="160">
        <v>1.70836624557606</v>
      </c>
      <c r="P437" s="160">
        <v>1.4866051129701701</v>
      </c>
      <c r="Q437" s="160">
        <v>-7.1570658939416998E-2</v>
      </c>
      <c r="R437" s="160">
        <v>0.38864661894118402</v>
      </c>
      <c r="S437" s="160">
        <v>8.4094418804532608E-3</v>
      </c>
      <c r="T437" s="160">
        <v>0</v>
      </c>
      <c r="U437" s="160">
        <v>0</v>
      </c>
      <c r="V437" s="160">
        <v>0</v>
      </c>
      <c r="W437" s="160"/>
      <c r="X437" s="59"/>
      <c r="Y437" s="159"/>
      <c r="Z437" s="159"/>
      <c r="AA437" s="159"/>
      <c r="AB437" s="159"/>
      <c r="AC437" s="159"/>
      <c r="AD437" s="161"/>
      <c r="AE437" s="160"/>
    </row>
    <row r="438" spans="1:31" ht="21.25" customHeight="1" x14ac:dyDescent="0.15">
      <c r="A438" s="8" t="s">
        <v>738</v>
      </c>
      <c r="B438" s="157" t="s">
        <v>891</v>
      </c>
      <c r="C438" s="158">
        <v>33</v>
      </c>
      <c r="D438" s="157" t="s">
        <v>857</v>
      </c>
      <c r="E438" s="59">
        <v>76.537499999999994</v>
      </c>
      <c r="F438" s="159">
        <v>13.377314962247899</v>
      </c>
      <c r="G438" s="160">
        <v>0.14493135270382601</v>
      </c>
      <c r="H438" s="160">
        <v>0.15237541605764299</v>
      </c>
      <c r="I438" s="160">
        <v>0.297306768761468</v>
      </c>
      <c r="J438" s="160">
        <v>1.08337972849083</v>
      </c>
      <c r="K438" s="160">
        <v>3.1944969879067802E-4</v>
      </c>
      <c r="L438" s="160">
        <v>1.00301796821068E-3</v>
      </c>
      <c r="M438" s="160">
        <v>5.15791108050571E-3</v>
      </c>
      <c r="N438" s="160">
        <v>1.3602520746651799E-2</v>
      </c>
      <c r="O438" s="160">
        <v>0.847429998285394</v>
      </c>
      <c r="P438" s="160">
        <v>1.9844859977195399</v>
      </c>
      <c r="Q438" s="160">
        <v>-2.8907839652394601E-2</v>
      </c>
      <c r="R438" s="160">
        <v>0.47109857396781002</v>
      </c>
      <c r="S438" s="160">
        <v>1.7827409548864599E-2</v>
      </c>
      <c r="T438" s="160">
        <v>6.9990752576286797</v>
      </c>
      <c r="U438" s="160">
        <v>6.1893644750057302</v>
      </c>
      <c r="V438" s="160">
        <v>0.53069774738475495</v>
      </c>
      <c r="W438" s="160"/>
      <c r="X438" s="59"/>
      <c r="Y438" s="159"/>
      <c r="Z438" s="159"/>
      <c r="AA438" s="159"/>
      <c r="AB438" s="159"/>
      <c r="AC438" s="159"/>
      <c r="AD438" s="161"/>
      <c r="AE438" s="160"/>
    </row>
    <row r="439" spans="1:31" ht="21.25" customHeight="1" x14ac:dyDescent="0.15">
      <c r="A439" s="8" t="s">
        <v>743</v>
      </c>
      <c r="B439" s="157" t="s">
        <v>876</v>
      </c>
      <c r="C439" s="162">
        <v>25</v>
      </c>
      <c r="D439" s="157" t="s">
        <v>857</v>
      </c>
      <c r="E439" s="59">
        <v>78</v>
      </c>
      <c r="F439" s="159">
        <v>12.2412363922256</v>
      </c>
      <c r="G439" s="160">
        <v>8.1451515143871098E-2</v>
      </c>
      <c r="H439" s="160">
        <v>0.214608155732887</v>
      </c>
      <c r="I439" s="160">
        <v>0.296059670876757</v>
      </c>
      <c r="J439" s="160">
        <v>1.0837403412792399</v>
      </c>
      <c r="K439" s="160">
        <v>6.5078126898729599E-4</v>
      </c>
      <c r="L439" s="160">
        <v>1.62413845079906E-3</v>
      </c>
      <c r="M439" s="160">
        <v>1.11023888947266E-3</v>
      </c>
      <c r="N439" s="160">
        <v>1.0168709537619801E-2</v>
      </c>
      <c r="O439" s="160">
        <v>0.547777337225544</v>
      </c>
      <c r="P439" s="160">
        <v>1.6501353883732</v>
      </c>
      <c r="Q439" s="160">
        <v>-7.8866415489788205E-3</v>
      </c>
      <c r="R439" s="160">
        <v>0.49525821607918702</v>
      </c>
      <c r="S439" s="160">
        <v>1.19888977412742E-2</v>
      </c>
      <c r="T439" s="160">
        <v>6.9316547414579297</v>
      </c>
      <c r="U439" s="160">
        <v>5.0926325975826501</v>
      </c>
      <c r="V439" s="160">
        <v>0.57647114926737997</v>
      </c>
      <c r="W439" s="160"/>
      <c r="X439" s="59"/>
      <c r="Y439" s="159"/>
      <c r="Z439" s="159"/>
      <c r="AA439" s="159"/>
      <c r="AB439" s="159"/>
      <c r="AC439" s="159"/>
      <c r="AD439" s="161"/>
      <c r="AE439" s="160"/>
    </row>
    <row r="440" spans="1:31" ht="21.25" customHeight="1" x14ac:dyDescent="0.15">
      <c r="A440" s="8" t="s">
        <v>398</v>
      </c>
      <c r="B440" s="157" t="s">
        <v>899</v>
      </c>
      <c r="C440" s="158">
        <v>28</v>
      </c>
      <c r="D440" s="157" t="s">
        <v>860</v>
      </c>
      <c r="E440" s="59">
        <v>77.385000000000005</v>
      </c>
      <c r="F440" s="159">
        <v>20.747243389522801</v>
      </c>
      <c r="G440" s="160">
        <v>5.0958239072398499E-2</v>
      </c>
      <c r="H440" s="160">
        <v>0.24412143894631699</v>
      </c>
      <c r="I440" s="160">
        <v>0.29507967801871599</v>
      </c>
      <c r="J440" s="160">
        <v>1.3550965979538501</v>
      </c>
      <c r="K440" s="160">
        <v>8.3889292693571198E-3</v>
      </c>
      <c r="L440" s="160">
        <v>5.36388780992679E-2</v>
      </c>
      <c r="M440" s="160">
        <v>6.1311541222554599E-3</v>
      </c>
      <c r="N440" s="160">
        <v>1.9188197320499398E-2</v>
      </c>
      <c r="O440" s="160">
        <v>1.8734970995937399</v>
      </c>
      <c r="P440" s="160">
        <v>2.4663771397944299</v>
      </c>
      <c r="Q440" s="160">
        <v>-7.4821654975465696E-2</v>
      </c>
      <c r="R440" s="160">
        <v>0.54119747059650403</v>
      </c>
      <c r="S440" s="160">
        <v>5.9899189474782099E-3</v>
      </c>
      <c r="T440" s="160">
        <v>0</v>
      </c>
      <c r="U440" s="160">
        <v>0</v>
      </c>
      <c r="V440" s="160">
        <v>0</v>
      </c>
      <c r="W440" s="160"/>
      <c r="X440" s="59"/>
      <c r="Y440" s="159"/>
      <c r="Z440" s="159"/>
      <c r="AA440" s="159"/>
      <c r="AB440" s="159"/>
      <c r="AC440" s="159"/>
      <c r="AD440" s="161"/>
      <c r="AE440" s="160"/>
    </row>
    <row r="441" spans="1:31" ht="21.25" customHeight="1" x14ac:dyDescent="0.15">
      <c r="A441" s="8" t="s">
        <v>480</v>
      </c>
      <c r="B441" s="157" t="s">
        <v>884</v>
      </c>
      <c r="C441" s="158">
        <v>25</v>
      </c>
      <c r="D441" s="157" t="s">
        <v>860</v>
      </c>
      <c r="E441" s="59">
        <v>74.3</v>
      </c>
      <c r="F441" s="159">
        <v>17.7037000463034</v>
      </c>
      <c r="G441" s="160">
        <v>6.4705466909161097E-2</v>
      </c>
      <c r="H441" s="160">
        <v>0.23020246488976501</v>
      </c>
      <c r="I441" s="160">
        <v>0.29490793179892599</v>
      </c>
      <c r="J441" s="160">
        <v>1.2117631173540899</v>
      </c>
      <c r="K441" s="160">
        <v>3.4357920339969099E-3</v>
      </c>
      <c r="L441" s="160">
        <v>1.7870238307116301E-2</v>
      </c>
      <c r="M441" s="160">
        <v>3.9002549937493898E-4</v>
      </c>
      <c r="N441" s="160">
        <v>4.8599463298558401E-3</v>
      </c>
      <c r="O441" s="160">
        <v>1.20509217294797</v>
      </c>
      <c r="P441" s="160">
        <v>0.98526431174513396</v>
      </c>
      <c r="Q441" s="160">
        <v>-7.0330690622981196E-2</v>
      </c>
      <c r="R441" s="160">
        <v>0.37160139285576199</v>
      </c>
      <c r="S441" s="160">
        <v>6.9336362885734498E-3</v>
      </c>
      <c r="T441" s="160">
        <v>0</v>
      </c>
      <c r="U441" s="160">
        <v>0</v>
      </c>
      <c r="V441" s="160">
        <v>0</v>
      </c>
      <c r="W441" s="160"/>
      <c r="X441" s="59"/>
      <c r="Y441" s="159"/>
      <c r="Z441" s="159"/>
      <c r="AA441" s="159"/>
      <c r="AB441" s="159"/>
      <c r="AC441" s="159"/>
      <c r="AD441" s="161"/>
      <c r="AE441" s="160"/>
    </row>
    <row r="442" spans="1:31" ht="21.25" customHeight="1" x14ac:dyDescent="0.15">
      <c r="A442" s="8" t="s">
        <v>438</v>
      </c>
      <c r="B442" s="157" t="s">
        <v>872</v>
      </c>
      <c r="C442" s="162">
        <v>26</v>
      </c>
      <c r="D442" s="157" t="s">
        <v>860</v>
      </c>
      <c r="E442" s="59">
        <v>75.3</v>
      </c>
      <c r="F442" s="159">
        <v>20.100372894526998</v>
      </c>
      <c r="G442" s="160">
        <v>5.0246719254048E-2</v>
      </c>
      <c r="H442" s="160">
        <v>0.24436092253316599</v>
      </c>
      <c r="I442" s="160">
        <v>0.29460764178721299</v>
      </c>
      <c r="J442" s="160">
        <v>1.4444583221479399</v>
      </c>
      <c r="K442" s="160">
        <v>2.8119002340438998E-4</v>
      </c>
      <c r="L442" s="160">
        <v>1.90767816871737E-3</v>
      </c>
      <c r="M442" s="160">
        <v>3.6859059218836699E-4</v>
      </c>
      <c r="N442" s="160">
        <v>9.2752475797665893E-3</v>
      </c>
      <c r="O442" s="160">
        <v>1.5076379300779801</v>
      </c>
      <c r="P442" s="160">
        <v>2.7171788478641798</v>
      </c>
      <c r="Q442" s="160">
        <v>8.6133636922618802E-4</v>
      </c>
      <c r="R442" s="160">
        <v>0.70729890891413505</v>
      </c>
      <c r="S442" s="160">
        <v>7.8636298154106804E-3</v>
      </c>
      <c r="T442" s="160">
        <v>0</v>
      </c>
      <c r="U442" s="160">
        <v>0</v>
      </c>
      <c r="V442" s="160">
        <v>0</v>
      </c>
      <c r="W442" s="160"/>
      <c r="X442" s="59"/>
      <c r="Y442" s="159"/>
      <c r="Z442" s="159"/>
      <c r="AA442" s="159"/>
      <c r="AB442" s="159"/>
      <c r="AC442" s="159"/>
      <c r="AD442" s="161"/>
      <c r="AE442" s="160"/>
    </row>
    <row r="443" spans="1:31" ht="21.25" customHeight="1" x14ac:dyDescent="0.15">
      <c r="A443" s="8" t="s">
        <v>502</v>
      </c>
      <c r="B443" s="157" t="s">
        <v>883</v>
      </c>
      <c r="C443" s="158">
        <v>24</v>
      </c>
      <c r="D443" s="157" t="s">
        <v>860</v>
      </c>
      <c r="E443" s="59">
        <v>68.330357142857096</v>
      </c>
      <c r="F443" s="159">
        <v>16.901523157703799</v>
      </c>
      <c r="G443" s="160">
        <v>6.5352283634101796E-2</v>
      </c>
      <c r="H443" s="160">
        <v>0.22908042531540901</v>
      </c>
      <c r="I443" s="160">
        <v>0.29443270894951101</v>
      </c>
      <c r="J443" s="160">
        <v>1.49901877334032</v>
      </c>
      <c r="K443" s="160">
        <v>6.4529294784155698E-3</v>
      </c>
      <c r="L443" s="160">
        <v>2.5137443072062698E-2</v>
      </c>
      <c r="M443" s="160">
        <v>1.5458636123361999E-4</v>
      </c>
      <c r="N443" s="160">
        <v>5.73359883217279E-4</v>
      </c>
      <c r="O443" s="160">
        <v>0.75906567411209602</v>
      </c>
      <c r="P443" s="160">
        <v>1.30736876098809</v>
      </c>
      <c r="Q443" s="160">
        <v>4.3894536933852799E-2</v>
      </c>
      <c r="R443" s="160">
        <v>0.55756802020023799</v>
      </c>
      <c r="S443" s="160">
        <v>1.0400774305054299E-2</v>
      </c>
      <c r="T443" s="160">
        <v>0</v>
      </c>
      <c r="U443" s="160">
        <v>0</v>
      </c>
      <c r="V443" s="160">
        <v>0</v>
      </c>
      <c r="W443" s="160"/>
      <c r="X443" s="59"/>
      <c r="Y443" s="159"/>
      <c r="Z443" s="159"/>
      <c r="AA443" s="159"/>
      <c r="AB443" s="159"/>
      <c r="AC443" s="159"/>
      <c r="AD443" s="161"/>
      <c r="AE443" s="160"/>
    </row>
    <row r="444" spans="1:31" ht="21.25" customHeight="1" x14ac:dyDescent="0.15">
      <c r="A444" s="8" t="s">
        <v>661</v>
      </c>
      <c r="B444" s="157" t="s">
        <v>904</v>
      </c>
      <c r="C444" s="158">
        <v>28</v>
      </c>
      <c r="D444" s="157" t="s">
        <v>858</v>
      </c>
      <c r="E444" s="59">
        <v>76.283928571428604</v>
      </c>
      <c r="F444" s="159">
        <v>10.2182777321764</v>
      </c>
      <c r="G444" s="160">
        <v>0.12750982030337099</v>
      </c>
      <c r="H444" s="160">
        <v>0.16652318370475899</v>
      </c>
      <c r="I444" s="160">
        <v>0.29403300400812898</v>
      </c>
      <c r="J444" s="160">
        <v>1.3469656537060499</v>
      </c>
      <c r="K444" s="160">
        <v>5.7461599617694599E-3</v>
      </c>
      <c r="L444" s="160">
        <v>1.02253101359194E-2</v>
      </c>
      <c r="M444" s="160">
        <v>0</v>
      </c>
      <c r="N444" s="160">
        <v>0</v>
      </c>
      <c r="O444" s="160">
        <v>0.39480463986954401</v>
      </c>
      <c r="P444" s="160">
        <v>1.0771939717915999</v>
      </c>
      <c r="Q444" s="160">
        <v>5.59168635883179E-3</v>
      </c>
      <c r="R444" s="160">
        <v>0.16536514721283299</v>
      </c>
      <c r="S444" s="160"/>
      <c r="T444" s="160">
        <v>1.28217212055557E-2</v>
      </c>
      <c r="U444" s="160">
        <v>5.9327705057629999E-2</v>
      </c>
      <c r="V444" s="160">
        <v>0.17771064677333501</v>
      </c>
      <c r="W444" s="160"/>
      <c r="X444" s="59"/>
      <c r="Y444" s="159"/>
      <c r="Z444" s="159"/>
      <c r="AA444" s="159"/>
      <c r="AB444" s="159"/>
      <c r="AC444" s="159"/>
      <c r="AD444" s="161"/>
      <c r="AE444" s="160"/>
    </row>
    <row r="445" spans="1:31" ht="21.25" customHeight="1" x14ac:dyDescent="0.15">
      <c r="A445" s="8" t="s">
        <v>817</v>
      </c>
      <c r="B445" s="157" t="s">
        <v>879</v>
      </c>
      <c r="C445" s="158">
        <v>23</v>
      </c>
      <c r="D445" s="157" t="s">
        <v>857</v>
      </c>
      <c r="E445" s="59">
        <v>52.082500000000003</v>
      </c>
      <c r="F445" s="159">
        <v>10.4881712267675</v>
      </c>
      <c r="G445" s="160">
        <v>0.146793794098876</v>
      </c>
      <c r="H445" s="160">
        <v>0.14681725646193999</v>
      </c>
      <c r="I445" s="160">
        <v>0.29361105056081599</v>
      </c>
      <c r="J445" s="160">
        <v>0.96744499970308795</v>
      </c>
      <c r="K445" s="160">
        <v>2.0287162288723301E-4</v>
      </c>
      <c r="L445" s="160">
        <v>5.1618263582267696E-4</v>
      </c>
      <c r="M445" s="160">
        <v>1.7999496875812299E-3</v>
      </c>
      <c r="N445" s="160">
        <v>3.3105030409944299E-3</v>
      </c>
      <c r="O445" s="160">
        <v>0.36601216009656201</v>
      </c>
      <c r="P445" s="160">
        <v>1.89551213387979</v>
      </c>
      <c r="Q445" s="160">
        <v>3.7243834914334799E-2</v>
      </c>
      <c r="R445" s="160">
        <v>0.345535925874148</v>
      </c>
      <c r="S445" s="160">
        <v>2.4643789218286302E-2</v>
      </c>
      <c r="T445" s="160">
        <v>0</v>
      </c>
      <c r="U445" s="160">
        <v>0.20582193448986999</v>
      </c>
      <c r="V445" s="160">
        <v>0</v>
      </c>
      <c r="W445" s="160"/>
      <c r="X445" s="59"/>
      <c r="Y445" s="159"/>
      <c r="Z445" s="159"/>
      <c r="AA445" s="159"/>
      <c r="AB445" s="159"/>
      <c r="AC445" s="159"/>
      <c r="AD445" s="161"/>
      <c r="AE445" s="160"/>
    </row>
    <row r="446" spans="1:31" ht="21.25" customHeight="1" x14ac:dyDescent="0.15">
      <c r="A446" s="8" t="s">
        <v>459</v>
      </c>
      <c r="B446" s="157" t="s">
        <v>876</v>
      </c>
      <c r="C446" s="158">
        <v>26</v>
      </c>
      <c r="D446" s="157" t="s">
        <v>860</v>
      </c>
      <c r="E446" s="59">
        <v>78.111785714285702</v>
      </c>
      <c r="F446" s="159">
        <v>21.100371022637201</v>
      </c>
      <c r="G446" s="160">
        <v>4.5111692492409899E-2</v>
      </c>
      <c r="H446" s="160">
        <v>0.247812984255393</v>
      </c>
      <c r="I446" s="160">
        <v>0.29292467674780198</v>
      </c>
      <c r="J446" s="160">
        <v>1.10994638137959</v>
      </c>
      <c r="K446" s="160">
        <v>1.3223046652213299E-3</v>
      </c>
      <c r="L446" s="160">
        <v>8.9363021572958397E-3</v>
      </c>
      <c r="M446" s="160">
        <v>3.9865761329287098E-4</v>
      </c>
      <c r="N446" s="160">
        <v>2.1797754896118699E-2</v>
      </c>
      <c r="O446" s="160">
        <v>1.35348882596829</v>
      </c>
      <c r="P446" s="160">
        <v>0.96645791472426101</v>
      </c>
      <c r="Q446" s="160">
        <v>-3.53601621620173E-3</v>
      </c>
      <c r="R446" s="160">
        <v>0.31205900866360398</v>
      </c>
      <c r="S446" s="160">
        <v>6.6400172823304999E-3</v>
      </c>
      <c r="T446" s="160">
        <v>0</v>
      </c>
      <c r="U446" s="160">
        <v>0</v>
      </c>
      <c r="V446" s="160">
        <v>0</v>
      </c>
      <c r="W446" s="160"/>
      <c r="X446" s="59"/>
      <c r="Y446" s="159"/>
      <c r="Z446" s="159"/>
      <c r="AA446" s="159"/>
      <c r="AB446" s="159"/>
      <c r="AC446" s="159"/>
      <c r="AD446" s="161"/>
      <c r="AE446" s="160"/>
    </row>
    <row r="447" spans="1:31" ht="21.25" customHeight="1" x14ac:dyDescent="0.15">
      <c r="A447" s="8" t="s">
        <v>737</v>
      </c>
      <c r="B447" s="157" t="s">
        <v>881</v>
      </c>
      <c r="C447" s="162">
        <v>25</v>
      </c>
      <c r="D447" s="157" t="s">
        <v>857</v>
      </c>
      <c r="E447" s="59">
        <v>78.2</v>
      </c>
      <c r="F447" s="159">
        <v>11.7994350472961</v>
      </c>
      <c r="G447" s="160">
        <v>0.10260308052038999</v>
      </c>
      <c r="H447" s="160">
        <v>0.18989097942170499</v>
      </c>
      <c r="I447" s="160">
        <v>0.29249405994209499</v>
      </c>
      <c r="J447" s="160">
        <v>1.2604966027837701</v>
      </c>
      <c r="K447" s="160">
        <v>5.7564144848498797E-4</v>
      </c>
      <c r="L447" s="160">
        <v>1.4501835980476701E-3</v>
      </c>
      <c r="M447" s="160">
        <v>8.8869291563531698E-4</v>
      </c>
      <c r="N447" s="160">
        <v>4.01766189982728E-3</v>
      </c>
      <c r="O447" s="160">
        <v>0.41186131555932298</v>
      </c>
      <c r="P447" s="160">
        <v>0.88070783869956704</v>
      </c>
      <c r="Q447" s="160">
        <v>-3.1274336605424599E-2</v>
      </c>
      <c r="R447" s="160">
        <v>0.38101206135206001</v>
      </c>
      <c r="S447" s="160">
        <v>1.3222286915231699E-2</v>
      </c>
      <c r="T447" s="160">
        <v>2.2556170014925701</v>
      </c>
      <c r="U447" s="160">
        <v>3.2451728697454398</v>
      </c>
      <c r="V447" s="160">
        <v>0.41005329312550498</v>
      </c>
      <c r="W447" s="160"/>
      <c r="X447" s="59"/>
      <c r="Y447" s="159"/>
      <c r="Z447" s="159"/>
      <c r="AA447" s="159"/>
      <c r="AB447" s="159"/>
      <c r="AC447" s="159"/>
      <c r="AD447" s="161"/>
      <c r="AE447" s="160"/>
    </row>
    <row r="448" spans="1:31" ht="21.25" customHeight="1" x14ac:dyDescent="0.15">
      <c r="A448" s="8" t="s">
        <v>772</v>
      </c>
      <c r="B448" s="157" t="s">
        <v>878</v>
      </c>
      <c r="C448" s="158">
        <v>25</v>
      </c>
      <c r="D448" s="157" t="s">
        <v>857</v>
      </c>
      <c r="E448" s="59">
        <v>75.037499999999994</v>
      </c>
      <c r="F448" s="159">
        <v>11.7777591183489</v>
      </c>
      <c r="G448" s="160">
        <v>0.116910712006407</v>
      </c>
      <c r="H448" s="160">
        <v>0.175423298246663</v>
      </c>
      <c r="I448" s="160">
        <v>0.29233401025306999</v>
      </c>
      <c r="J448" s="160">
        <v>1.00726356741651</v>
      </c>
      <c r="K448" s="160">
        <v>6.5585889345207203E-4</v>
      </c>
      <c r="L448" s="160">
        <v>4.8538849869616098E-3</v>
      </c>
      <c r="M448" s="160">
        <v>1.00088465596246E-2</v>
      </c>
      <c r="N448" s="160">
        <v>1.1523794404696299E-2</v>
      </c>
      <c r="O448" s="160">
        <v>0.28220439999966002</v>
      </c>
      <c r="P448" s="160">
        <v>0.73761762913184603</v>
      </c>
      <c r="Q448" s="160">
        <v>5.1410981827563797E-2</v>
      </c>
      <c r="R448" s="160">
        <v>0.22841009643146201</v>
      </c>
      <c r="S448" s="160">
        <v>1.8704885134620899E-2</v>
      </c>
      <c r="T448" s="160">
        <v>3.7261551773982902</v>
      </c>
      <c r="U448" s="160">
        <v>3.7864551638327901</v>
      </c>
      <c r="V448" s="160">
        <v>0.49598674870014497</v>
      </c>
      <c r="W448" s="160"/>
      <c r="X448" s="59"/>
      <c r="Y448" s="159"/>
      <c r="Z448" s="159"/>
      <c r="AA448" s="159"/>
      <c r="AB448" s="159"/>
      <c r="AC448" s="159"/>
      <c r="AD448" s="161"/>
      <c r="AE448" s="160"/>
    </row>
    <row r="449" spans="1:31" ht="21.25" customHeight="1" x14ac:dyDescent="0.15">
      <c r="A449" s="8" t="s">
        <v>725</v>
      </c>
      <c r="B449" s="157" t="s">
        <v>886</v>
      </c>
      <c r="C449" s="158">
        <v>30</v>
      </c>
      <c r="D449" s="157" t="s">
        <v>857</v>
      </c>
      <c r="E449" s="59">
        <v>79.740714285714304</v>
      </c>
      <c r="F449" s="159">
        <v>11.935810243902401</v>
      </c>
      <c r="G449" s="160">
        <v>0.12149459194286499</v>
      </c>
      <c r="H449" s="160">
        <v>0.16889397685669499</v>
      </c>
      <c r="I449" s="160">
        <v>0.29038856879955999</v>
      </c>
      <c r="J449" s="160">
        <v>1.28067493998133</v>
      </c>
      <c r="K449" s="160">
        <v>3.1444609209429499E-3</v>
      </c>
      <c r="L449" s="160">
        <v>1.6574185485308E-2</v>
      </c>
      <c r="M449" s="160">
        <v>1.7581813151013701E-3</v>
      </c>
      <c r="N449" s="160">
        <v>3.51015317186956E-3</v>
      </c>
      <c r="O449" s="160">
        <v>0.46332262343892899</v>
      </c>
      <c r="P449" s="160">
        <v>1.23903867920046</v>
      </c>
      <c r="Q449" s="160">
        <v>2.7326443319402299E-2</v>
      </c>
      <c r="R449" s="160">
        <v>0.41268117813838501</v>
      </c>
      <c r="S449" s="160">
        <v>1.89535630076005E-2</v>
      </c>
      <c r="T449" s="160">
        <v>1.02380559023754</v>
      </c>
      <c r="U449" s="160">
        <v>1.47530508924691</v>
      </c>
      <c r="V449" s="160">
        <v>0.40966796654590099</v>
      </c>
      <c r="W449" s="160"/>
      <c r="X449" s="59"/>
      <c r="Y449" s="159"/>
      <c r="Z449" s="159"/>
      <c r="AA449" s="159"/>
      <c r="AB449" s="159"/>
      <c r="AC449" s="159"/>
      <c r="AD449" s="161"/>
      <c r="AE449" s="160"/>
    </row>
    <row r="450" spans="1:31" ht="21.25" customHeight="1" x14ac:dyDescent="0.15">
      <c r="A450" s="8" t="s">
        <v>511</v>
      </c>
      <c r="B450" s="157" t="s">
        <v>897</v>
      </c>
      <c r="C450" s="158">
        <v>26</v>
      </c>
      <c r="D450" s="157" t="s">
        <v>860</v>
      </c>
      <c r="E450" s="59">
        <v>69.0021428571429</v>
      </c>
      <c r="F450" s="159">
        <v>18.313071734465002</v>
      </c>
      <c r="G450" s="160">
        <v>4.3978184598233702E-2</v>
      </c>
      <c r="H450" s="160">
        <v>0.24446869544198199</v>
      </c>
      <c r="I450" s="160">
        <v>0.28844688004021601</v>
      </c>
      <c r="J450" s="160">
        <v>1.18047009406409</v>
      </c>
      <c r="K450" s="160">
        <v>4.1160047762298299E-3</v>
      </c>
      <c r="L450" s="160">
        <v>2.0026006060327201E-2</v>
      </c>
      <c r="M450" s="160">
        <v>3.6917426111836098E-4</v>
      </c>
      <c r="N450" s="160">
        <v>4.6141102116027703E-3</v>
      </c>
      <c r="O450" s="160">
        <v>1.4354367163589401</v>
      </c>
      <c r="P450" s="160">
        <v>1.3070956688704101</v>
      </c>
      <c r="Q450" s="160">
        <v>-1.0481420134359499E-2</v>
      </c>
      <c r="R450" s="160">
        <v>0.56175205163461095</v>
      </c>
      <c r="S450" s="160">
        <v>6.4219651601821201E-3</v>
      </c>
      <c r="T450" s="160">
        <v>0</v>
      </c>
      <c r="U450" s="160">
        <v>3.19511466759649E-3</v>
      </c>
      <c r="V450" s="160">
        <v>0</v>
      </c>
      <c r="W450" s="160"/>
      <c r="X450" s="59"/>
      <c r="Y450" s="159"/>
      <c r="Z450" s="159"/>
      <c r="AA450" s="159"/>
      <c r="AB450" s="159"/>
      <c r="AC450" s="159"/>
      <c r="AD450" s="161"/>
      <c r="AE450" s="160"/>
    </row>
    <row r="451" spans="1:31" ht="21.25" customHeight="1" x14ac:dyDescent="0.15">
      <c r="A451" s="8" t="s">
        <v>753</v>
      </c>
      <c r="B451" s="157" t="s">
        <v>874</v>
      </c>
      <c r="C451" s="162">
        <v>24</v>
      </c>
      <c r="D451" s="157" t="s">
        <v>859</v>
      </c>
      <c r="E451" s="59">
        <v>54.567500000000003</v>
      </c>
      <c r="F451" s="159">
        <v>10.123286374526201</v>
      </c>
      <c r="G451" s="160">
        <v>0.108721063151931</v>
      </c>
      <c r="H451" s="160">
        <v>0.17938595802249099</v>
      </c>
      <c r="I451" s="160">
        <v>0.288107021174422</v>
      </c>
      <c r="J451" s="160">
        <v>0.82342745890888303</v>
      </c>
      <c r="K451" s="160">
        <v>1.3671638526842301E-3</v>
      </c>
      <c r="L451" s="160">
        <v>2.3882269942366498E-3</v>
      </c>
      <c r="M451" s="160">
        <v>1.6846719278632799E-3</v>
      </c>
      <c r="N451" s="160">
        <v>3.05924336469123E-3</v>
      </c>
      <c r="O451" s="160">
        <v>0.45806668569901698</v>
      </c>
      <c r="P451" s="160">
        <v>0.95944645585356003</v>
      </c>
      <c r="Q451" s="160">
        <v>5.1650407250589503E-2</v>
      </c>
      <c r="R451" s="160">
        <v>0.34440763801016699</v>
      </c>
      <c r="S451" s="160">
        <v>1.7466009897737101E-2</v>
      </c>
      <c r="T451" s="160">
        <v>2.4420035608926298</v>
      </c>
      <c r="U451" s="160">
        <v>3.3085209534674398</v>
      </c>
      <c r="V451" s="160">
        <v>0.42465753424657499</v>
      </c>
      <c r="W451" s="160"/>
      <c r="X451" s="59"/>
      <c r="Y451" s="159"/>
      <c r="Z451" s="159"/>
      <c r="AA451" s="159"/>
      <c r="AB451" s="159"/>
      <c r="AC451" s="159"/>
      <c r="AD451" s="161"/>
      <c r="AE451" s="160"/>
    </row>
    <row r="452" spans="1:31" ht="21.25" customHeight="1" x14ac:dyDescent="0.15">
      <c r="A452" s="8" t="s">
        <v>705</v>
      </c>
      <c r="B452" s="157" t="s">
        <v>887</v>
      </c>
      <c r="C452" s="158">
        <v>28</v>
      </c>
      <c r="D452" s="157" t="s">
        <v>858</v>
      </c>
      <c r="E452" s="59">
        <v>62</v>
      </c>
      <c r="F452" s="159">
        <v>13.5060416666667</v>
      </c>
      <c r="G452" s="160">
        <v>0.136872132233294</v>
      </c>
      <c r="H452" s="160">
        <v>0.15000215318190699</v>
      </c>
      <c r="I452" s="160">
        <v>0.28687428541520099</v>
      </c>
      <c r="J452" s="160">
        <v>1.3220332676836</v>
      </c>
      <c r="K452" s="160">
        <v>2.56563097770145E-2</v>
      </c>
      <c r="L452" s="160">
        <v>5.381312152513E-2</v>
      </c>
      <c r="M452" s="160">
        <v>6.7411122354192003E-4</v>
      </c>
      <c r="N452" s="160">
        <v>2.36137421884282E-3</v>
      </c>
      <c r="O452" s="160">
        <v>0.80933137792433396</v>
      </c>
      <c r="P452" s="160">
        <v>1.64229373871755</v>
      </c>
      <c r="Q452" s="160">
        <v>-6.6387367493786504E-3</v>
      </c>
      <c r="R452" s="160">
        <v>0.45288909518367798</v>
      </c>
      <c r="S452" s="160">
        <v>1.6869489720590099E-2</v>
      </c>
      <c r="T452" s="160">
        <v>0.18779897188306999</v>
      </c>
      <c r="U452" s="160">
        <v>0.50943318844206198</v>
      </c>
      <c r="V452" s="160">
        <v>0.26934926781847801</v>
      </c>
      <c r="W452" s="160"/>
      <c r="X452" s="59"/>
      <c r="Y452" s="159"/>
      <c r="Z452" s="159"/>
      <c r="AA452" s="159"/>
      <c r="AB452" s="159"/>
      <c r="AC452" s="159"/>
      <c r="AD452" s="161"/>
      <c r="AE452" s="160"/>
    </row>
    <row r="453" spans="1:31" ht="21.25" customHeight="1" x14ac:dyDescent="0.15">
      <c r="A453" s="8" t="s">
        <v>678</v>
      </c>
      <c r="B453" s="157" t="s">
        <v>881</v>
      </c>
      <c r="C453" s="158">
        <v>26</v>
      </c>
      <c r="D453" s="157" t="s">
        <v>858</v>
      </c>
      <c r="E453" s="59">
        <v>75.73</v>
      </c>
      <c r="F453" s="159">
        <v>11.514842945408899</v>
      </c>
      <c r="G453" s="160">
        <v>0.10640392714505</v>
      </c>
      <c r="H453" s="160">
        <v>0.17984319094660201</v>
      </c>
      <c r="I453" s="160">
        <v>0.28624711809165199</v>
      </c>
      <c r="J453" s="160">
        <v>1.3050772941981801</v>
      </c>
      <c r="K453" s="160">
        <v>1.3425000728450201E-3</v>
      </c>
      <c r="L453" s="160">
        <v>3.4558411068905202E-3</v>
      </c>
      <c r="M453" s="160">
        <v>3.605638286395E-4</v>
      </c>
      <c r="N453" s="160">
        <v>6.6152854854927402E-4</v>
      </c>
      <c r="O453" s="160">
        <v>0.46102063574585</v>
      </c>
      <c r="P453" s="160">
        <v>1.59492774070554</v>
      </c>
      <c r="Q453" s="160">
        <v>-1.51744058756256E-2</v>
      </c>
      <c r="R453" s="160">
        <v>0.54145584090491305</v>
      </c>
      <c r="S453" s="160">
        <v>1.37120956455072E-2</v>
      </c>
      <c r="T453" s="160">
        <v>9.0620432365284304E-2</v>
      </c>
      <c r="U453" s="160">
        <v>0.20442822083107301</v>
      </c>
      <c r="V453" s="160">
        <v>0.30713725137723502</v>
      </c>
      <c r="W453" s="160"/>
      <c r="X453" s="59"/>
      <c r="Y453" s="159"/>
      <c r="Z453" s="159"/>
      <c r="AA453" s="159"/>
      <c r="AB453" s="159"/>
      <c r="AC453" s="159"/>
      <c r="AD453" s="161"/>
      <c r="AE453" s="160"/>
    </row>
    <row r="454" spans="1:31" ht="21.25" customHeight="1" x14ac:dyDescent="0.15">
      <c r="A454" s="8" t="s">
        <v>544</v>
      </c>
      <c r="B454" s="157" t="s">
        <v>896</v>
      </c>
      <c r="C454" s="158">
        <v>32</v>
      </c>
      <c r="D454" s="157" t="s">
        <v>859</v>
      </c>
      <c r="E454" s="59">
        <v>76.547142857142902</v>
      </c>
      <c r="F454" s="159">
        <v>14.861785868267299</v>
      </c>
      <c r="G454" s="160">
        <v>9.9122794822673901E-2</v>
      </c>
      <c r="H454" s="160">
        <v>0.186816444414488</v>
      </c>
      <c r="I454" s="160">
        <v>0.28593923923716202</v>
      </c>
      <c r="J454" s="160">
        <v>1.70360197093985</v>
      </c>
      <c r="K454" s="160">
        <v>2.5249408206245199E-2</v>
      </c>
      <c r="L454" s="160">
        <v>6.1615570878091198E-2</v>
      </c>
      <c r="M454" s="160">
        <v>3.1907335938939799E-3</v>
      </c>
      <c r="N454" s="160">
        <v>4.4576225494667599E-3</v>
      </c>
      <c r="O454" s="160">
        <v>0.61612003663655002</v>
      </c>
      <c r="P454" s="160">
        <v>0.389991973632349</v>
      </c>
      <c r="Q454" s="160">
        <v>-0.119950118032459</v>
      </c>
      <c r="R454" s="160">
        <v>0.406463367704266</v>
      </c>
      <c r="S454" s="160">
        <v>1.07458461052989E-2</v>
      </c>
      <c r="T454" s="160">
        <v>0.20494997096256801</v>
      </c>
      <c r="U454" s="160">
        <v>0.37354967256924598</v>
      </c>
      <c r="V454" s="160">
        <v>0.35427847407359198</v>
      </c>
      <c r="W454" s="160"/>
      <c r="X454" s="59"/>
      <c r="Y454" s="159"/>
      <c r="Z454" s="159"/>
      <c r="AA454" s="159"/>
      <c r="AB454" s="159"/>
      <c r="AC454" s="159"/>
      <c r="AD454" s="161"/>
      <c r="AE454" s="160"/>
    </row>
    <row r="455" spans="1:31" ht="21.25" customHeight="1" x14ac:dyDescent="0.15">
      <c r="A455" s="8" t="s">
        <v>644</v>
      </c>
      <c r="B455" s="157" t="s">
        <v>891</v>
      </c>
      <c r="C455" s="162">
        <v>27</v>
      </c>
      <c r="D455" s="157" t="s">
        <v>859</v>
      </c>
      <c r="E455" s="59">
        <v>74.903928571428594</v>
      </c>
      <c r="F455" s="159">
        <v>11.6591043865379</v>
      </c>
      <c r="G455" s="160">
        <v>0.112945820860842</v>
      </c>
      <c r="H455" s="160">
        <v>0.17292503190826</v>
      </c>
      <c r="I455" s="160">
        <v>0.28587085276910201</v>
      </c>
      <c r="J455" s="160">
        <v>1.28146278521701</v>
      </c>
      <c r="K455" s="160">
        <v>3.1143777861667598E-4</v>
      </c>
      <c r="L455" s="160">
        <v>7.94335769436578E-4</v>
      </c>
      <c r="M455" s="160">
        <v>2.4803530277222401E-3</v>
      </c>
      <c r="N455" s="160">
        <v>4.5729648422610202E-3</v>
      </c>
      <c r="O455" s="160">
        <v>0.26420911781779999</v>
      </c>
      <c r="P455" s="160">
        <v>2.0450797653386101</v>
      </c>
      <c r="Q455" s="160">
        <v>-2.9385955078331701E-2</v>
      </c>
      <c r="R455" s="160">
        <v>0.65970773241056102</v>
      </c>
      <c r="S455" s="160">
        <v>1.38930008431901E-2</v>
      </c>
      <c r="T455" s="160">
        <v>8.6985338340381205E-2</v>
      </c>
      <c r="U455" s="160">
        <v>0.14578680111423201</v>
      </c>
      <c r="V455" s="160">
        <v>0.37369308261799999</v>
      </c>
      <c r="W455" s="160"/>
      <c r="X455" s="59"/>
      <c r="Y455" s="159"/>
      <c r="Z455" s="159"/>
      <c r="AA455" s="159"/>
      <c r="AB455" s="159"/>
      <c r="AC455" s="159"/>
      <c r="AD455" s="161"/>
      <c r="AE455" s="160"/>
    </row>
    <row r="456" spans="1:31" ht="21.25" customHeight="1" x14ac:dyDescent="0.15">
      <c r="A456" s="8" t="s">
        <v>427</v>
      </c>
      <c r="B456" s="157" t="s">
        <v>886</v>
      </c>
      <c r="C456" s="158">
        <v>32</v>
      </c>
      <c r="D456" s="157" t="s">
        <v>860</v>
      </c>
      <c r="E456" s="59">
        <v>79.097142857142899</v>
      </c>
      <c r="F456" s="159">
        <v>17.7943389967472</v>
      </c>
      <c r="G456" s="160">
        <v>6.6115735103431106E-2</v>
      </c>
      <c r="H456" s="160">
        <v>0.218857532423513</v>
      </c>
      <c r="I456" s="160">
        <v>0.28497326752694502</v>
      </c>
      <c r="J456" s="160">
        <v>1.34289607437917</v>
      </c>
      <c r="K456" s="160">
        <v>1.41155422746018E-2</v>
      </c>
      <c r="L456" s="160">
        <v>6.5393671280136095E-2</v>
      </c>
      <c r="M456" s="160">
        <v>2.2505027805731499E-4</v>
      </c>
      <c r="N456" s="160">
        <v>2.8672614300137198E-3</v>
      </c>
      <c r="O456" s="160">
        <v>1.17812580466785</v>
      </c>
      <c r="P456" s="160">
        <v>0.73011678365709598</v>
      </c>
      <c r="Q456" s="160">
        <v>2.4975865265935201E-2</v>
      </c>
      <c r="R456" s="160">
        <v>0.15517331193095499</v>
      </c>
      <c r="S456" s="160">
        <v>1.0314275977535E-2</v>
      </c>
      <c r="T456" s="160">
        <v>0</v>
      </c>
      <c r="U456" s="160">
        <v>0</v>
      </c>
      <c r="V456" s="160">
        <v>0</v>
      </c>
      <c r="W456" s="160"/>
      <c r="X456" s="59"/>
      <c r="Y456" s="159"/>
      <c r="Z456" s="159"/>
      <c r="AA456" s="159"/>
      <c r="AB456" s="159"/>
      <c r="AC456" s="159"/>
      <c r="AD456" s="161"/>
      <c r="AE456" s="160"/>
    </row>
    <row r="457" spans="1:31" ht="21.25" customHeight="1" x14ac:dyDescent="0.15">
      <c r="A457" s="8" t="s">
        <v>579</v>
      </c>
      <c r="B457" s="157" t="s">
        <v>890</v>
      </c>
      <c r="C457" s="158">
        <v>38</v>
      </c>
      <c r="D457" s="157" t="s">
        <v>859</v>
      </c>
      <c r="E457" s="59">
        <v>80.827500000000001</v>
      </c>
      <c r="F457" s="159">
        <v>11.9615654222525</v>
      </c>
      <c r="G457" s="160">
        <v>0.12682762167981301</v>
      </c>
      <c r="H457" s="160">
        <v>0.156743156976205</v>
      </c>
      <c r="I457" s="160">
        <v>0.28357077865601799</v>
      </c>
      <c r="J457" s="160">
        <v>1.4075826497897801</v>
      </c>
      <c r="K457" s="160">
        <v>2.6871827421333701E-2</v>
      </c>
      <c r="L457" s="160">
        <v>5.6138501370042102E-2</v>
      </c>
      <c r="M457" s="160">
        <v>1.6966421361012599E-5</v>
      </c>
      <c r="N457" s="160">
        <v>3.13647161900244E-5</v>
      </c>
      <c r="O457" s="160">
        <v>0.34759620160385202</v>
      </c>
      <c r="P457" s="160">
        <v>0.86343583255541101</v>
      </c>
      <c r="Q457" s="160">
        <v>-7.0243449288493506E-2</v>
      </c>
      <c r="R457" s="160">
        <v>0.65199148230714898</v>
      </c>
      <c r="S457" s="160">
        <v>1.4861857538820199E-2</v>
      </c>
      <c r="T457" s="160">
        <v>3.8566044411045002E-3</v>
      </c>
      <c r="U457" s="160">
        <v>1.5040315912849499E-2</v>
      </c>
      <c r="V457" s="160">
        <v>0.204086399734311</v>
      </c>
      <c r="W457" s="160"/>
      <c r="X457" s="59"/>
      <c r="Y457" s="159"/>
      <c r="Z457" s="159"/>
      <c r="AA457" s="159"/>
      <c r="AB457" s="159"/>
      <c r="AC457" s="159"/>
      <c r="AD457" s="161"/>
      <c r="AE457" s="160"/>
    </row>
    <row r="458" spans="1:31" ht="21.25" customHeight="1" x14ac:dyDescent="0.15">
      <c r="A458" s="8" t="s">
        <v>385</v>
      </c>
      <c r="B458" s="157" t="s">
        <v>878</v>
      </c>
      <c r="C458" s="158">
        <v>29</v>
      </c>
      <c r="D458" s="157" t="s">
        <v>860</v>
      </c>
      <c r="E458" s="59">
        <v>81.204999999999998</v>
      </c>
      <c r="F458" s="159">
        <v>20.837838780110499</v>
      </c>
      <c r="G458" s="160">
        <v>7.2787530480777698E-2</v>
      </c>
      <c r="H458" s="160">
        <v>0.208824941253521</v>
      </c>
      <c r="I458" s="160">
        <v>0.28161247173429899</v>
      </c>
      <c r="J458" s="160">
        <v>1.51620950981598</v>
      </c>
      <c r="K458" s="160">
        <v>1.12005172542437E-4</v>
      </c>
      <c r="L458" s="160">
        <v>1.9311386070213199E-3</v>
      </c>
      <c r="M458" s="160">
        <v>6.26191209947672E-3</v>
      </c>
      <c r="N458" s="160">
        <v>2.85470593545444E-2</v>
      </c>
      <c r="O458" s="160">
        <v>1.8655105323572401</v>
      </c>
      <c r="P458" s="160">
        <v>1.2996975787917</v>
      </c>
      <c r="Q458" s="160">
        <v>6.3346092728423994E-2</v>
      </c>
      <c r="R458" s="160">
        <v>0.21957176432604</v>
      </c>
      <c r="S458" s="160">
        <v>1.1645488882156999E-2</v>
      </c>
      <c r="T458" s="160">
        <v>0</v>
      </c>
      <c r="U458" s="160">
        <v>1.91093924844835E-3</v>
      </c>
      <c r="V458" s="160">
        <v>0</v>
      </c>
      <c r="W458" s="160"/>
      <c r="X458" s="59"/>
      <c r="Y458" s="159"/>
      <c r="Z458" s="159"/>
      <c r="AA458" s="159"/>
      <c r="AB458" s="159"/>
      <c r="AC458" s="159"/>
      <c r="AD458" s="161"/>
      <c r="AE458" s="160"/>
    </row>
    <row r="459" spans="1:31" ht="21.25" customHeight="1" x14ac:dyDescent="0.15">
      <c r="A459" s="8" t="s">
        <v>394</v>
      </c>
      <c r="B459" s="157" t="s">
        <v>898</v>
      </c>
      <c r="C459" s="158">
        <v>27</v>
      </c>
      <c r="D459" s="157" t="s">
        <v>860</v>
      </c>
      <c r="E459" s="59">
        <v>69.709285714285699</v>
      </c>
      <c r="F459" s="159">
        <v>20.133092868455002</v>
      </c>
      <c r="G459" s="160">
        <v>0.1071303778463</v>
      </c>
      <c r="H459" s="160">
        <v>0.17426778834519299</v>
      </c>
      <c r="I459" s="160">
        <v>0.28139816619149299</v>
      </c>
      <c r="J459" s="160">
        <v>2.16066569804511</v>
      </c>
      <c r="K459" s="160">
        <v>1.1113743436933601E-3</v>
      </c>
      <c r="L459" s="160">
        <v>1.7597054612633299E-2</v>
      </c>
      <c r="M459" s="160">
        <v>5.9529021704858196E-4</v>
      </c>
      <c r="N459" s="160">
        <v>2.3003397188753501E-3</v>
      </c>
      <c r="O459" s="160">
        <v>1.8420194380016199</v>
      </c>
      <c r="P459" s="160">
        <v>1.09041177839889</v>
      </c>
      <c r="Q459" s="160">
        <v>-1.24326510755862E-2</v>
      </c>
      <c r="R459" s="160">
        <v>0.56724929467417196</v>
      </c>
      <c r="S459" s="160">
        <v>1.38317483733859E-2</v>
      </c>
      <c r="T459" s="160">
        <v>0</v>
      </c>
      <c r="U459" s="160">
        <v>0</v>
      </c>
      <c r="V459" s="160">
        <v>0</v>
      </c>
      <c r="W459" s="160"/>
      <c r="X459" s="59"/>
      <c r="Y459" s="159"/>
      <c r="Z459" s="159"/>
      <c r="AA459" s="159"/>
      <c r="AB459" s="159"/>
      <c r="AC459" s="159"/>
      <c r="AD459" s="161"/>
      <c r="AE459" s="160"/>
    </row>
    <row r="460" spans="1:31" ht="21.25" customHeight="1" x14ac:dyDescent="0.15">
      <c r="A460" s="8" t="s">
        <v>664</v>
      </c>
      <c r="B460" s="157" t="s">
        <v>895</v>
      </c>
      <c r="C460" s="158">
        <v>26</v>
      </c>
      <c r="D460" s="157" t="s">
        <v>859</v>
      </c>
      <c r="E460" s="59">
        <v>78.165357142857104</v>
      </c>
      <c r="F460" s="159">
        <v>11.4904814081791</v>
      </c>
      <c r="G460" s="160">
        <v>9.9089376046804997E-2</v>
      </c>
      <c r="H460" s="160">
        <v>0.182049082685976</v>
      </c>
      <c r="I460" s="160">
        <v>0.28113845873277998</v>
      </c>
      <c r="J460" s="160">
        <v>0.97837530510674997</v>
      </c>
      <c r="K460" s="160">
        <v>5.3177619896315398E-4</v>
      </c>
      <c r="L460" s="160">
        <v>1.0494027545326001E-3</v>
      </c>
      <c r="M460" s="160">
        <v>1.28450744043285E-3</v>
      </c>
      <c r="N460" s="160">
        <v>1.5849140053935599E-3</v>
      </c>
      <c r="O460" s="160">
        <v>0.45259318387340403</v>
      </c>
      <c r="P460" s="160">
        <v>3.2167001408804099</v>
      </c>
      <c r="Q460" s="160">
        <v>5.6273504884152802E-2</v>
      </c>
      <c r="R460" s="160">
        <v>0.67678936274025103</v>
      </c>
      <c r="S460" s="160">
        <v>1.61939076756854E-2</v>
      </c>
      <c r="T460" s="160">
        <v>0.34762728880380001</v>
      </c>
      <c r="U460" s="160">
        <v>0.56774218950542199</v>
      </c>
      <c r="V460" s="160">
        <v>0.37976718367964601</v>
      </c>
      <c r="W460" s="160"/>
      <c r="X460" s="59"/>
      <c r="Y460" s="159"/>
      <c r="Z460" s="159"/>
      <c r="AA460" s="159"/>
      <c r="AB460" s="159"/>
      <c r="AC460" s="159"/>
      <c r="AD460" s="161"/>
      <c r="AE460" s="160"/>
    </row>
    <row r="461" spans="1:31" ht="21.25" customHeight="1" x14ac:dyDescent="0.15">
      <c r="A461" s="8" t="s">
        <v>448</v>
      </c>
      <c r="B461" s="157" t="s">
        <v>882</v>
      </c>
      <c r="C461" s="158">
        <v>29</v>
      </c>
      <c r="D461" s="157" t="s">
        <v>860</v>
      </c>
      <c r="E461" s="59">
        <v>77.966428571428594</v>
      </c>
      <c r="F461" s="159">
        <v>18.804233642347299</v>
      </c>
      <c r="G461" s="160">
        <v>7.6820819213882605E-2</v>
      </c>
      <c r="H461" s="160">
        <v>0.204081838992165</v>
      </c>
      <c r="I461" s="160">
        <v>0.28090265820604798</v>
      </c>
      <c r="J461" s="160">
        <v>1.2909895247233001</v>
      </c>
      <c r="K461" s="160">
        <v>5.1280184120567804E-4</v>
      </c>
      <c r="L461" s="160">
        <v>5.8720300452777697E-3</v>
      </c>
      <c r="M461" s="160">
        <v>5.3583583700866303E-3</v>
      </c>
      <c r="N461" s="160">
        <v>1.2348394027981499E-2</v>
      </c>
      <c r="O461" s="160">
        <v>1.4320639492624601</v>
      </c>
      <c r="P461" s="160">
        <v>1.9130039851291301</v>
      </c>
      <c r="Q461" s="160">
        <v>1.8860104139427101E-2</v>
      </c>
      <c r="R461" s="160">
        <v>0.82627213346017303</v>
      </c>
      <c r="S461" s="160">
        <v>1.0874728200275199E-2</v>
      </c>
      <c r="T461" s="160">
        <v>0</v>
      </c>
      <c r="U461" s="160">
        <v>0</v>
      </c>
      <c r="V461" s="160">
        <v>0</v>
      </c>
      <c r="W461" s="160"/>
      <c r="X461" s="59"/>
      <c r="Y461" s="159"/>
      <c r="Z461" s="159"/>
      <c r="AA461" s="159"/>
      <c r="AB461" s="159"/>
      <c r="AC461" s="159"/>
      <c r="AD461" s="161"/>
      <c r="AE461" s="160"/>
    </row>
    <row r="462" spans="1:31" ht="21.25" customHeight="1" x14ac:dyDescent="0.15">
      <c r="A462" s="8" t="s">
        <v>467</v>
      </c>
      <c r="B462" s="157" t="s">
        <v>874</v>
      </c>
      <c r="C462" s="158">
        <v>29</v>
      </c>
      <c r="D462" s="157" t="s">
        <v>860</v>
      </c>
      <c r="E462" s="59">
        <v>73.706071428571406</v>
      </c>
      <c r="F462" s="159">
        <v>19.327457144327798</v>
      </c>
      <c r="G462" s="160">
        <v>4.5081846886856097E-2</v>
      </c>
      <c r="H462" s="160">
        <v>0.23568540820728801</v>
      </c>
      <c r="I462" s="160">
        <v>0.28076725509414402</v>
      </c>
      <c r="J462" s="160">
        <v>1.1794202248074499</v>
      </c>
      <c r="K462" s="160">
        <v>2.6622627567103E-4</v>
      </c>
      <c r="L462" s="160">
        <v>1.8575421518321801E-3</v>
      </c>
      <c r="M462" s="160">
        <v>4.1016903370978301E-4</v>
      </c>
      <c r="N462" s="160">
        <v>2.2353459389137299E-3</v>
      </c>
      <c r="O462" s="160">
        <v>1.9754958981863</v>
      </c>
      <c r="P462" s="160">
        <v>1.97707923906587</v>
      </c>
      <c r="Q462" s="160">
        <v>7.2355834817611195E-2</v>
      </c>
      <c r="R462" s="160">
        <v>0.52486366436460097</v>
      </c>
      <c r="S462" s="160">
        <v>7.24238671980017E-3</v>
      </c>
      <c r="T462" s="160">
        <v>0</v>
      </c>
      <c r="U462" s="160">
        <v>0</v>
      </c>
      <c r="V462" s="160">
        <v>0</v>
      </c>
      <c r="W462" s="160"/>
      <c r="X462" s="59"/>
      <c r="Y462" s="159"/>
      <c r="Z462" s="159"/>
      <c r="AA462" s="159"/>
      <c r="AB462" s="159"/>
      <c r="AC462" s="159"/>
      <c r="AD462" s="161"/>
      <c r="AE462" s="160"/>
    </row>
    <row r="463" spans="1:31" ht="21.25" customHeight="1" x14ac:dyDescent="0.15">
      <c r="A463" s="8" t="s">
        <v>643</v>
      </c>
      <c r="B463" s="157" t="s">
        <v>892</v>
      </c>
      <c r="C463" s="158">
        <v>25</v>
      </c>
      <c r="D463" s="157" t="s">
        <v>859</v>
      </c>
      <c r="E463" s="59">
        <v>72.424642857142899</v>
      </c>
      <c r="F463" s="159">
        <v>10.693561218536001</v>
      </c>
      <c r="G463" s="160">
        <v>0.15925851461273</v>
      </c>
      <c r="H463" s="160">
        <v>0.120116917902568</v>
      </c>
      <c r="I463" s="160">
        <v>0.279375432515299</v>
      </c>
      <c r="J463" s="160">
        <v>1.40963920159515</v>
      </c>
      <c r="K463" s="160">
        <v>1.15553826537498E-3</v>
      </c>
      <c r="L463" s="160">
        <v>2.46080723846589E-3</v>
      </c>
      <c r="M463" s="160">
        <v>1.96295205656949E-3</v>
      </c>
      <c r="N463" s="160">
        <v>3.6175825741553498E-3</v>
      </c>
      <c r="O463" s="160">
        <v>0.34547450903666699</v>
      </c>
      <c r="P463" s="160">
        <v>2.2675168444937199</v>
      </c>
      <c r="Q463" s="160">
        <v>1.06317005496561E-3</v>
      </c>
      <c r="R463" s="160">
        <v>0.321220134282865</v>
      </c>
      <c r="S463" s="160">
        <v>2.3644129195975201E-2</v>
      </c>
      <c r="T463" s="160">
        <v>7.1333505927285601E-2</v>
      </c>
      <c r="U463" s="160">
        <v>0.108235016865454</v>
      </c>
      <c r="V463" s="160">
        <v>0.39724950017893601</v>
      </c>
      <c r="W463" s="160"/>
      <c r="X463" s="59"/>
      <c r="Y463" s="159"/>
      <c r="Z463" s="159"/>
      <c r="AA463" s="159"/>
      <c r="AB463" s="159"/>
      <c r="AC463" s="159"/>
      <c r="AD463" s="161"/>
      <c r="AE463" s="160"/>
    </row>
    <row r="464" spans="1:31" ht="21.25" customHeight="1" x14ac:dyDescent="0.15">
      <c r="A464" s="8" t="s">
        <v>420</v>
      </c>
      <c r="B464" s="157" t="s">
        <v>900</v>
      </c>
      <c r="C464" s="158">
        <v>30</v>
      </c>
      <c r="D464" s="157" t="s">
        <v>860</v>
      </c>
      <c r="E464" s="59">
        <v>79.142499999999998</v>
      </c>
      <c r="F464" s="159">
        <v>20.1785387060396</v>
      </c>
      <c r="G464" s="160">
        <v>5.5275362655046699E-2</v>
      </c>
      <c r="H464" s="160">
        <v>0.223901942048056</v>
      </c>
      <c r="I464" s="160">
        <v>0.27917730470310198</v>
      </c>
      <c r="J464" s="160">
        <v>1.3746048110923299</v>
      </c>
      <c r="K464" s="160">
        <v>2.4079731219655101E-4</v>
      </c>
      <c r="L464" s="160">
        <v>1.6785520533492001E-3</v>
      </c>
      <c r="M464" s="160">
        <v>3.3543654416438298E-4</v>
      </c>
      <c r="N464" s="160">
        <v>5.7387306572662597E-3</v>
      </c>
      <c r="O464" s="160">
        <v>1.93071519077885</v>
      </c>
      <c r="P464" s="160">
        <v>1.3165665890339799</v>
      </c>
      <c r="Q464" s="160">
        <v>2.9046932409590902E-3</v>
      </c>
      <c r="R464" s="160">
        <v>0.67115439995413195</v>
      </c>
      <c r="S464" s="160">
        <v>8.5412517027429607E-3</v>
      </c>
      <c r="T464" s="160">
        <v>0</v>
      </c>
      <c r="U464" s="160">
        <v>0</v>
      </c>
      <c r="V464" s="160">
        <v>0</v>
      </c>
      <c r="W464" s="160"/>
      <c r="X464" s="59"/>
      <c r="Y464" s="159"/>
      <c r="Z464" s="159"/>
      <c r="AA464" s="159"/>
      <c r="AB464" s="159"/>
      <c r="AC464" s="159"/>
      <c r="AD464" s="161"/>
      <c r="AE464" s="160"/>
    </row>
    <row r="465" spans="1:31" ht="21.25" customHeight="1" x14ac:dyDescent="0.15">
      <c r="A465" s="8" t="s">
        <v>439</v>
      </c>
      <c r="B465" s="157" t="s">
        <v>897</v>
      </c>
      <c r="C465" s="158">
        <v>34</v>
      </c>
      <c r="D465" s="157" t="s">
        <v>860</v>
      </c>
      <c r="E465" s="59">
        <v>77.686428571428607</v>
      </c>
      <c r="F465" s="159">
        <v>21.193434124012398</v>
      </c>
      <c r="G465" s="160">
        <v>4.39779112984056E-2</v>
      </c>
      <c r="H465" s="160">
        <v>0.234953390682477</v>
      </c>
      <c r="I465" s="160">
        <v>0.27893130198088301</v>
      </c>
      <c r="J465" s="160">
        <v>1.2050903270014299</v>
      </c>
      <c r="K465" s="160">
        <v>1.5570899118978E-4</v>
      </c>
      <c r="L465" s="160">
        <v>1.5554562237804E-3</v>
      </c>
      <c r="M465" s="160">
        <v>2.5808915422813702E-4</v>
      </c>
      <c r="N465" s="160">
        <v>1.5057453861127799E-3</v>
      </c>
      <c r="O465" s="160">
        <v>2.06802070636616</v>
      </c>
      <c r="P465" s="160">
        <v>1.15008436379306</v>
      </c>
      <c r="Q465" s="160">
        <v>-5.7891663955694497E-3</v>
      </c>
      <c r="R465" s="160">
        <v>0.30516357013358503</v>
      </c>
      <c r="S465" s="160">
        <v>6.42192525125932E-3</v>
      </c>
      <c r="T465" s="160">
        <v>0</v>
      </c>
      <c r="U465" s="160">
        <v>2.0968594057868199E-3</v>
      </c>
      <c r="V465" s="160">
        <v>0</v>
      </c>
      <c r="W465" s="160"/>
      <c r="X465" s="59"/>
      <c r="Y465" s="159"/>
      <c r="Z465" s="159"/>
      <c r="AA465" s="159"/>
      <c r="AB465" s="159"/>
      <c r="AC465" s="159"/>
      <c r="AD465" s="161"/>
      <c r="AE465" s="160"/>
    </row>
    <row r="466" spans="1:31" ht="21.25" customHeight="1" x14ac:dyDescent="0.15">
      <c r="A466" s="8" t="s">
        <v>806</v>
      </c>
      <c r="B466" s="157" t="s">
        <v>882</v>
      </c>
      <c r="C466" s="158">
        <v>23</v>
      </c>
      <c r="D466" s="157" t="s">
        <v>857</v>
      </c>
      <c r="E466" s="59">
        <v>60.07</v>
      </c>
      <c r="F466" s="159">
        <v>12.424576644996399</v>
      </c>
      <c r="G466" s="160">
        <v>9.1432153698415897E-2</v>
      </c>
      <c r="H466" s="160">
        <v>0.187025814156285</v>
      </c>
      <c r="I466" s="160">
        <v>0.27845796785470101</v>
      </c>
      <c r="J466" s="160">
        <v>0.83499518140046203</v>
      </c>
      <c r="K466" s="160">
        <v>8.8651787531689305E-4</v>
      </c>
      <c r="L466" s="160">
        <v>2.1865750631611799E-3</v>
      </c>
      <c r="M466" s="160">
        <v>2.0126029450695001E-3</v>
      </c>
      <c r="N466" s="160">
        <v>2.2207694508622599E-2</v>
      </c>
      <c r="O466" s="160">
        <v>0.55287958020030503</v>
      </c>
      <c r="P466" s="160">
        <v>0.78625469939673798</v>
      </c>
      <c r="Q466" s="160">
        <v>-1.9689822773934398E-2</v>
      </c>
      <c r="R466" s="160">
        <v>0.28038826663986499</v>
      </c>
      <c r="S466" s="160">
        <v>1.29431035806551E-2</v>
      </c>
      <c r="T466" s="160">
        <v>2.6035871175043002</v>
      </c>
      <c r="U466" s="160">
        <v>4.2146465493301797</v>
      </c>
      <c r="V466" s="160">
        <v>0.38185654008438802</v>
      </c>
      <c r="W466" s="160"/>
      <c r="X466" s="59"/>
      <c r="Y466" s="159"/>
      <c r="Z466" s="159"/>
      <c r="AA466" s="159"/>
      <c r="AB466" s="159"/>
      <c r="AC466" s="159"/>
      <c r="AD466" s="161"/>
      <c r="AE466" s="160"/>
    </row>
    <row r="467" spans="1:31" ht="21.25" customHeight="1" x14ac:dyDescent="0.15">
      <c r="A467" s="8" t="s">
        <v>639</v>
      </c>
      <c r="B467" s="157" t="s">
        <v>876</v>
      </c>
      <c r="C467" s="158">
        <v>25</v>
      </c>
      <c r="D467" s="157" t="s">
        <v>859</v>
      </c>
      <c r="E467" s="59">
        <v>72</v>
      </c>
      <c r="F467" s="159">
        <v>11.973523432279</v>
      </c>
      <c r="G467" s="160">
        <v>0.13106373001281499</v>
      </c>
      <c r="H467" s="160">
        <v>0.146912633364885</v>
      </c>
      <c r="I467" s="160">
        <v>0.27797636337769999</v>
      </c>
      <c r="J467" s="160">
        <v>1.27074785250171</v>
      </c>
      <c r="K467" s="160">
        <v>6.2907800630166797E-3</v>
      </c>
      <c r="L467" s="160">
        <v>1.12155272886812E-2</v>
      </c>
      <c r="M467" s="160">
        <v>2.6643847794718799E-3</v>
      </c>
      <c r="N467" s="160">
        <v>4.8976632408476196E-3</v>
      </c>
      <c r="O467" s="160">
        <v>0.73589518774180895</v>
      </c>
      <c r="P467" s="160">
        <v>2.36645963175383</v>
      </c>
      <c r="Q467" s="160">
        <v>7.5720312151461699E-3</v>
      </c>
      <c r="R467" s="160">
        <v>0.53434178545502597</v>
      </c>
      <c r="S467" s="160">
        <v>1.9291349632209302E-2</v>
      </c>
      <c r="T467" s="160">
        <v>0.30943920628494898</v>
      </c>
      <c r="U467" s="160">
        <v>0.47646132020823401</v>
      </c>
      <c r="V467" s="160">
        <v>0.39373838781571702</v>
      </c>
      <c r="W467" s="160"/>
      <c r="X467" s="59"/>
      <c r="Y467" s="159"/>
      <c r="Z467" s="159"/>
      <c r="AA467" s="159"/>
      <c r="AB467" s="159"/>
      <c r="AC467" s="159"/>
      <c r="AD467" s="161"/>
      <c r="AE467" s="160"/>
    </row>
    <row r="468" spans="1:31" ht="21.25" customHeight="1" x14ac:dyDescent="0.15">
      <c r="A468" s="8" t="s">
        <v>745</v>
      </c>
      <c r="B468" s="157" t="s">
        <v>883</v>
      </c>
      <c r="C468" s="158">
        <v>31</v>
      </c>
      <c r="D468" s="157" t="s">
        <v>857</v>
      </c>
      <c r="E468" s="59">
        <v>70.421071428571395</v>
      </c>
      <c r="F468" s="159">
        <v>13.708700866103401</v>
      </c>
      <c r="G468" s="160">
        <v>0.137607573671506</v>
      </c>
      <c r="H468" s="160">
        <v>0.13892942521506199</v>
      </c>
      <c r="I468" s="160">
        <v>0.27653699888656802</v>
      </c>
      <c r="J468" s="160">
        <v>1.28986320931688</v>
      </c>
      <c r="K468" s="160">
        <v>8.3855104621543305E-4</v>
      </c>
      <c r="L468" s="160">
        <v>2.0209311498036501E-3</v>
      </c>
      <c r="M468" s="160">
        <v>1.3563769464337799E-3</v>
      </c>
      <c r="N468" s="160">
        <v>2.4165821911162198E-2</v>
      </c>
      <c r="O468" s="160">
        <v>0.96473229217186596</v>
      </c>
      <c r="P468" s="160">
        <v>2.65043784221873</v>
      </c>
      <c r="Q468" s="160">
        <v>1.46822465380348E-2</v>
      </c>
      <c r="R468" s="160">
        <v>0.30065236823000902</v>
      </c>
      <c r="S468" s="160">
        <v>2.1900157681355E-2</v>
      </c>
      <c r="T468" s="160">
        <v>4.3601663456401702</v>
      </c>
      <c r="U468" s="160">
        <v>3.8459358272967399</v>
      </c>
      <c r="V468" s="160">
        <v>0.53133220300615602</v>
      </c>
      <c r="W468" s="160"/>
      <c r="X468" s="59"/>
      <c r="Y468" s="159"/>
      <c r="Z468" s="159"/>
      <c r="AA468" s="159"/>
      <c r="AB468" s="159"/>
      <c r="AC468" s="159"/>
      <c r="AD468" s="161"/>
      <c r="AE468" s="160"/>
    </row>
    <row r="469" spans="1:31" ht="21.25" customHeight="1" x14ac:dyDescent="0.15">
      <c r="A469" s="8" t="s">
        <v>399</v>
      </c>
      <c r="B469" s="157" t="s">
        <v>892</v>
      </c>
      <c r="C469" s="158">
        <v>28</v>
      </c>
      <c r="D469" s="157" t="s">
        <v>860</v>
      </c>
      <c r="E469" s="59">
        <v>78.210357142857106</v>
      </c>
      <c r="F469" s="159">
        <v>18.755442891387201</v>
      </c>
      <c r="G469" s="160">
        <v>6.6055959442998399E-2</v>
      </c>
      <c r="H469" s="160">
        <v>0.20871345987567799</v>
      </c>
      <c r="I469" s="160">
        <v>0.27476941931867699</v>
      </c>
      <c r="J469" s="160">
        <v>1.66016045632288</v>
      </c>
      <c r="K469" s="160">
        <v>1.6703880134950099E-4</v>
      </c>
      <c r="L469" s="160">
        <v>2.2020687102253201E-3</v>
      </c>
      <c r="M469" s="160">
        <v>6.2371311000971796E-3</v>
      </c>
      <c r="N469" s="160">
        <v>2.2299794568377201E-2</v>
      </c>
      <c r="O469" s="160">
        <v>1.6663052120364901</v>
      </c>
      <c r="P469" s="160">
        <v>1.5041379233128001</v>
      </c>
      <c r="Q469" s="160">
        <v>6.7245632254216703E-3</v>
      </c>
      <c r="R469" s="160">
        <v>0.31699641553545499</v>
      </c>
      <c r="S469" s="160">
        <v>9.8069207981267194E-3</v>
      </c>
      <c r="T469" s="160">
        <v>0</v>
      </c>
      <c r="U469" s="160">
        <v>0</v>
      </c>
      <c r="V469" s="160">
        <v>0</v>
      </c>
      <c r="W469" s="160"/>
      <c r="X469" s="59"/>
      <c r="Y469" s="159"/>
      <c r="Z469" s="159"/>
      <c r="AA469" s="159"/>
      <c r="AB469" s="159"/>
      <c r="AC469" s="159"/>
      <c r="AD469" s="161"/>
      <c r="AE469" s="160"/>
    </row>
    <row r="470" spans="1:31" ht="21.25" customHeight="1" x14ac:dyDescent="0.15">
      <c r="A470" s="8" t="s">
        <v>719</v>
      </c>
      <c r="B470" s="157" t="s">
        <v>883</v>
      </c>
      <c r="C470" s="158">
        <v>34</v>
      </c>
      <c r="D470" s="157" t="s">
        <v>857</v>
      </c>
      <c r="E470" s="59">
        <v>79.252857142857096</v>
      </c>
      <c r="F470" s="159">
        <v>14.0217364908505</v>
      </c>
      <c r="G470" s="160">
        <v>0.116701264800712</v>
      </c>
      <c r="H470" s="160">
        <v>0.157672963492623</v>
      </c>
      <c r="I470" s="160">
        <v>0.27437422829333502</v>
      </c>
      <c r="J470" s="160">
        <v>1.50667851882285</v>
      </c>
      <c r="K470" s="160">
        <v>3.3795836662530397E-4</v>
      </c>
      <c r="L470" s="160">
        <v>1.7860324781524E-3</v>
      </c>
      <c r="M470" s="160">
        <v>7.1706408856854397E-3</v>
      </c>
      <c r="N470" s="160">
        <v>8.4515928508133494E-3</v>
      </c>
      <c r="O470" s="160">
        <v>0.48011043225532901</v>
      </c>
      <c r="P470" s="160">
        <v>1.11422473595326</v>
      </c>
      <c r="Q470" s="160">
        <v>1.7450064289879899E-2</v>
      </c>
      <c r="R470" s="160">
        <v>0.46414426759584798</v>
      </c>
      <c r="S470" s="160">
        <v>1.8572931943776998E-2</v>
      </c>
      <c r="T470" s="160">
        <v>6.0867926781476802</v>
      </c>
      <c r="U470" s="160">
        <v>5.7096596725990603</v>
      </c>
      <c r="V470" s="160">
        <v>0.51598501796706497</v>
      </c>
      <c r="W470" s="160"/>
      <c r="X470" s="59"/>
      <c r="Y470" s="159"/>
      <c r="Z470" s="159"/>
      <c r="AA470" s="159"/>
      <c r="AB470" s="159"/>
      <c r="AC470" s="159"/>
      <c r="AD470" s="161"/>
      <c r="AE470" s="160"/>
    </row>
    <row r="471" spans="1:31" ht="21.25" customHeight="1" x14ac:dyDescent="0.15">
      <c r="A471" s="8" t="s">
        <v>669</v>
      </c>
      <c r="B471" s="157" t="s">
        <v>898</v>
      </c>
      <c r="C471" s="162">
        <v>26</v>
      </c>
      <c r="D471" s="157" t="s">
        <v>859</v>
      </c>
      <c r="E471" s="59">
        <v>70</v>
      </c>
      <c r="F471" s="159">
        <v>12.5239868422081</v>
      </c>
      <c r="G471" s="160">
        <v>0.123463741711051</v>
      </c>
      <c r="H471" s="160">
        <v>0.150848099015891</v>
      </c>
      <c r="I471" s="160">
        <v>0.27431184072694298</v>
      </c>
      <c r="J471" s="160">
        <v>1.32960772303515</v>
      </c>
      <c r="K471" s="160">
        <v>1.3781796159448899E-3</v>
      </c>
      <c r="L471" s="160">
        <v>3.9453941611003402E-3</v>
      </c>
      <c r="M471" s="160">
        <v>4.52032285737833E-3</v>
      </c>
      <c r="N471" s="160">
        <v>5.2375200233513997E-3</v>
      </c>
      <c r="O471" s="160">
        <v>0.39829367354396999</v>
      </c>
      <c r="P471" s="160">
        <v>1.5207166498642799</v>
      </c>
      <c r="Q471" s="160">
        <v>-3.9581323297849497E-2</v>
      </c>
      <c r="R471" s="160">
        <v>0.226734050820635</v>
      </c>
      <c r="S471" s="160">
        <v>1.5940571133185401E-2</v>
      </c>
      <c r="T471" s="160">
        <v>0.24123499199652099</v>
      </c>
      <c r="U471" s="160">
        <v>0.61119930923246202</v>
      </c>
      <c r="V471" s="160">
        <v>0.28299540697590903</v>
      </c>
      <c r="W471" s="160"/>
      <c r="X471" s="59"/>
      <c r="Y471" s="159"/>
      <c r="Z471" s="159"/>
      <c r="AA471" s="159"/>
      <c r="AB471" s="159"/>
      <c r="AC471" s="159"/>
      <c r="AD471" s="161"/>
      <c r="AE471" s="160"/>
    </row>
    <row r="472" spans="1:31" ht="21.25" customHeight="1" x14ac:dyDescent="0.15">
      <c r="A472" s="8" t="s">
        <v>716</v>
      </c>
      <c r="B472" s="157" t="s">
        <v>896</v>
      </c>
      <c r="C472" s="158">
        <v>25</v>
      </c>
      <c r="D472" s="157" t="s">
        <v>858</v>
      </c>
      <c r="E472" s="59">
        <v>67.258214285714303</v>
      </c>
      <c r="F472" s="159">
        <v>11.6205540656557</v>
      </c>
      <c r="G472" s="160">
        <v>0.12699526438733899</v>
      </c>
      <c r="H472" s="160">
        <v>0.14588522750744401</v>
      </c>
      <c r="I472" s="160">
        <v>0.27288049189478297</v>
      </c>
      <c r="J472" s="160">
        <v>1.39386636673001</v>
      </c>
      <c r="K472" s="160">
        <v>6.2462608876280197E-3</v>
      </c>
      <c r="L472" s="160">
        <v>1.19046559727096E-2</v>
      </c>
      <c r="M472" s="160">
        <v>4.5174548573496698E-4</v>
      </c>
      <c r="N472" s="160">
        <v>8.29988209134093E-4</v>
      </c>
      <c r="O472" s="160">
        <v>0.26749078789424402</v>
      </c>
      <c r="P472" s="160">
        <v>1.4392407514804599</v>
      </c>
      <c r="Q472" s="160">
        <v>-0.11736699418527601</v>
      </c>
      <c r="R472" s="160">
        <v>0.67157336725720995</v>
      </c>
      <c r="S472" s="160">
        <v>1.37674847611937E-2</v>
      </c>
      <c r="T472" s="160">
        <v>0.13126896835134899</v>
      </c>
      <c r="U472" s="160">
        <v>0.14875593783126501</v>
      </c>
      <c r="V472" s="160">
        <v>0.46877604617692198</v>
      </c>
      <c r="W472" s="160"/>
      <c r="X472" s="59"/>
      <c r="Y472" s="159"/>
      <c r="Z472" s="159"/>
      <c r="AA472" s="159"/>
      <c r="AB472" s="159"/>
      <c r="AC472" s="159"/>
      <c r="AD472" s="161"/>
      <c r="AE472" s="160"/>
    </row>
    <row r="473" spans="1:31" ht="21.25" customHeight="1" x14ac:dyDescent="0.15">
      <c r="A473" s="8" t="s">
        <v>789</v>
      </c>
      <c r="B473" s="157" t="s">
        <v>882</v>
      </c>
      <c r="C473" s="158">
        <v>27</v>
      </c>
      <c r="D473" s="157" t="s">
        <v>857</v>
      </c>
      <c r="E473" s="59">
        <v>67.904642857142903</v>
      </c>
      <c r="F473" s="159">
        <v>11.2480436828014</v>
      </c>
      <c r="G473" s="160">
        <v>0.120243081338783</v>
      </c>
      <c r="H473" s="160">
        <v>0.15213488782241699</v>
      </c>
      <c r="I473" s="160">
        <v>0.2723779691612</v>
      </c>
      <c r="J473" s="160">
        <v>0.95669544863265199</v>
      </c>
      <c r="K473" s="160">
        <v>2.9779575850861001E-3</v>
      </c>
      <c r="L473" s="160">
        <v>5.2739678301010704E-3</v>
      </c>
      <c r="M473" s="160">
        <v>7.9411383296723401E-3</v>
      </c>
      <c r="N473" s="160">
        <v>9.2056865260981592E-3</v>
      </c>
      <c r="O473" s="160">
        <v>0.39018051768788498</v>
      </c>
      <c r="P473" s="160">
        <v>2.5958330473000499</v>
      </c>
      <c r="Q473" s="160">
        <v>-4.7361147708994897E-3</v>
      </c>
      <c r="R473" s="160">
        <v>0.52308516791661797</v>
      </c>
      <c r="S473" s="160">
        <v>1.7021568383464299E-2</v>
      </c>
      <c r="T473" s="160">
        <v>0.43919532474522599</v>
      </c>
      <c r="U473" s="160">
        <v>0.37879864615036601</v>
      </c>
      <c r="V473" s="160">
        <v>0.53691755730713597</v>
      </c>
      <c r="W473" s="160"/>
      <c r="X473" s="59"/>
      <c r="Y473" s="159"/>
      <c r="Z473" s="159"/>
      <c r="AA473" s="159"/>
      <c r="AB473" s="159"/>
      <c r="AC473" s="159"/>
      <c r="AD473" s="161"/>
      <c r="AE473" s="160"/>
    </row>
    <row r="474" spans="1:31" ht="21.25" customHeight="1" x14ac:dyDescent="0.15">
      <c r="A474" s="8" t="s">
        <v>494</v>
      </c>
      <c r="B474" s="157" t="s">
        <v>881</v>
      </c>
      <c r="C474" s="158">
        <v>23</v>
      </c>
      <c r="D474" s="157" t="s">
        <v>860</v>
      </c>
      <c r="E474" s="59">
        <v>68.4375</v>
      </c>
      <c r="F474" s="159">
        <v>22.196301809173999</v>
      </c>
      <c r="G474" s="160">
        <v>4.3966512107485103E-2</v>
      </c>
      <c r="H474" s="160">
        <v>0.22746594854906699</v>
      </c>
      <c r="I474" s="160">
        <v>0.27143246065655202</v>
      </c>
      <c r="J474" s="160">
        <v>1.4003683592644001</v>
      </c>
      <c r="K474" s="160">
        <v>3.5296088336752099E-4</v>
      </c>
      <c r="L474" s="160">
        <v>2.3405413606407402E-3</v>
      </c>
      <c r="M474" s="160">
        <v>5.6188587577575501E-4</v>
      </c>
      <c r="N474" s="160">
        <v>1.38201870345294E-2</v>
      </c>
      <c r="O474" s="160">
        <v>1.6604240325427799</v>
      </c>
      <c r="P474" s="160">
        <v>1.8517510897713001</v>
      </c>
      <c r="Q474" s="160">
        <v>-2.2590883212525399E-2</v>
      </c>
      <c r="R474" s="160">
        <v>0.42423656760809603</v>
      </c>
      <c r="S474" s="160">
        <v>5.6658906808519103E-3</v>
      </c>
      <c r="T474" s="160">
        <v>0</v>
      </c>
      <c r="U474" s="160">
        <v>0</v>
      </c>
      <c r="V474" s="160">
        <v>0</v>
      </c>
      <c r="W474" s="160"/>
      <c r="X474" s="59"/>
      <c r="Y474" s="159"/>
      <c r="Z474" s="159"/>
      <c r="AA474" s="159"/>
      <c r="AB474" s="159"/>
      <c r="AC474" s="159"/>
      <c r="AD474" s="161"/>
      <c r="AE474" s="160"/>
    </row>
    <row r="475" spans="1:31" ht="21.25" customHeight="1" x14ac:dyDescent="0.15">
      <c r="A475" s="8" t="s">
        <v>731</v>
      </c>
      <c r="B475" s="157" t="s">
        <v>878</v>
      </c>
      <c r="C475" s="158">
        <v>33</v>
      </c>
      <c r="D475" s="157" t="s">
        <v>857</v>
      </c>
      <c r="E475" s="59">
        <v>77.442142857142898</v>
      </c>
      <c r="F475" s="159">
        <v>10.7256716758765</v>
      </c>
      <c r="G475" s="160">
        <v>0.13294147670162401</v>
      </c>
      <c r="H475" s="160">
        <v>0.134212501707691</v>
      </c>
      <c r="I475" s="160">
        <v>0.26715397840931598</v>
      </c>
      <c r="J475" s="160">
        <v>1.5946536868479899</v>
      </c>
      <c r="K475" s="160">
        <v>6.2091264053641801E-4</v>
      </c>
      <c r="L475" s="160">
        <v>2.0753195616464801E-3</v>
      </c>
      <c r="M475" s="160">
        <v>1.59823868135651E-5</v>
      </c>
      <c r="N475" s="160">
        <v>2.9309847696221001E-5</v>
      </c>
      <c r="O475" s="160">
        <v>0.32645088686453999</v>
      </c>
      <c r="P475" s="160">
        <v>0.97770591296523301</v>
      </c>
      <c r="Q475" s="160">
        <v>6.1352882515403398E-2</v>
      </c>
      <c r="R475" s="160">
        <v>0.27800618304394398</v>
      </c>
      <c r="S475" s="160">
        <v>2.1269693842891801E-2</v>
      </c>
      <c r="T475" s="160">
        <v>5.0892707746122E-2</v>
      </c>
      <c r="U475" s="160">
        <v>0.108809736567118</v>
      </c>
      <c r="V475" s="160">
        <v>0.31867206519582802</v>
      </c>
      <c r="W475" s="160"/>
      <c r="X475" s="59"/>
      <c r="Y475" s="159"/>
      <c r="Z475" s="159"/>
      <c r="AA475" s="159"/>
      <c r="AB475" s="159"/>
      <c r="AC475" s="159"/>
      <c r="AD475" s="161"/>
      <c r="AE475" s="160"/>
    </row>
    <row r="476" spans="1:31" ht="21.25" customHeight="1" x14ac:dyDescent="0.15">
      <c r="A476" s="8" t="s">
        <v>814</v>
      </c>
      <c r="B476" s="157" t="s">
        <v>875</v>
      </c>
      <c r="C476" s="158">
        <v>21</v>
      </c>
      <c r="D476" s="157" t="s">
        <v>857</v>
      </c>
      <c r="E476" s="59">
        <v>51.647500000000001</v>
      </c>
      <c r="F476" s="159">
        <v>12.886467260524</v>
      </c>
      <c r="G476" s="160">
        <v>0.1051824948617</v>
      </c>
      <c r="H476" s="160">
        <v>0.16186539439498401</v>
      </c>
      <c r="I476" s="160">
        <v>0.26704788925668399</v>
      </c>
      <c r="J476" s="160">
        <v>1.0783759704787399</v>
      </c>
      <c r="K476" s="160">
        <v>1.3297479334261701E-2</v>
      </c>
      <c r="L476" s="160">
        <v>3.3124852402357102E-2</v>
      </c>
      <c r="M476" s="160">
        <v>1.1378604950557001E-3</v>
      </c>
      <c r="N476" s="160">
        <v>2.0489208652104498E-3</v>
      </c>
      <c r="O476" s="160">
        <v>0.44518057639266001</v>
      </c>
      <c r="P476" s="160">
        <v>0.83949418476886095</v>
      </c>
      <c r="Q476" s="160">
        <v>3.47825358904929E-3</v>
      </c>
      <c r="R476" s="160">
        <v>0.39337288396671599</v>
      </c>
      <c r="S476" s="160">
        <v>1.68898280018824E-2</v>
      </c>
      <c r="T476" s="160">
        <v>3.63139969085206</v>
      </c>
      <c r="U476" s="160">
        <v>4.3066243725416804</v>
      </c>
      <c r="V476" s="160">
        <v>0.45746896984078</v>
      </c>
      <c r="W476" s="160"/>
      <c r="X476" s="59"/>
      <c r="Y476" s="159"/>
      <c r="Z476" s="159"/>
      <c r="AA476" s="159"/>
      <c r="AB476" s="159"/>
      <c r="AC476" s="159"/>
      <c r="AD476" s="161"/>
      <c r="AE476" s="160"/>
    </row>
    <row r="477" spans="1:31" ht="21.25" customHeight="1" x14ac:dyDescent="0.15">
      <c r="A477" s="8" t="s">
        <v>442</v>
      </c>
      <c r="B477" s="157" t="s">
        <v>891</v>
      </c>
      <c r="C477" s="158">
        <v>23</v>
      </c>
      <c r="D477" s="157" t="s">
        <v>860</v>
      </c>
      <c r="E477" s="59">
        <v>77.454999999999998</v>
      </c>
      <c r="F477" s="159">
        <v>20.271129452243301</v>
      </c>
      <c r="G477" s="160">
        <v>9.5399484243980995E-2</v>
      </c>
      <c r="H477" s="160">
        <v>0.17044648063401599</v>
      </c>
      <c r="I477" s="160">
        <v>0.265845964877996</v>
      </c>
      <c r="J477" s="160">
        <v>1.34763722930839</v>
      </c>
      <c r="K477" s="160">
        <v>3.1837917153701699E-4</v>
      </c>
      <c r="L477" s="160">
        <v>2.2028586334577401E-3</v>
      </c>
      <c r="M477" s="160">
        <v>5.0184832575399102E-3</v>
      </c>
      <c r="N477" s="160">
        <v>1.1299816274054301E-2</v>
      </c>
      <c r="O477" s="160">
        <v>1.7836741903564799</v>
      </c>
      <c r="P477" s="160">
        <v>2.88413790996771</v>
      </c>
      <c r="Q477" s="160">
        <v>-5.8216210315989399E-2</v>
      </c>
      <c r="R477" s="160">
        <v>0.42874121726521702</v>
      </c>
      <c r="S477" s="160">
        <v>1.1734698149429601E-2</v>
      </c>
      <c r="T477" s="160">
        <v>0</v>
      </c>
      <c r="U477" s="160">
        <v>0</v>
      </c>
      <c r="V477" s="160">
        <v>0</v>
      </c>
      <c r="W477" s="160"/>
      <c r="X477" s="59"/>
      <c r="Y477" s="159"/>
      <c r="Z477" s="159"/>
      <c r="AA477" s="159"/>
      <c r="AB477" s="159"/>
      <c r="AC477" s="159"/>
      <c r="AD477" s="161"/>
      <c r="AE477" s="160"/>
    </row>
    <row r="478" spans="1:31" ht="21.25" customHeight="1" x14ac:dyDescent="0.15">
      <c r="A478" s="8" t="s">
        <v>766</v>
      </c>
      <c r="B478" s="157" t="s">
        <v>899</v>
      </c>
      <c r="C478" s="158">
        <v>24</v>
      </c>
      <c r="D478" s="157" t="s">
        <v>857</v>
      </c>
      <c r="E478" s="59">
        <v>70.545000000000002</v>
      </c>
      <c r="F478" s="159">
        <v>11.034029760081101</v>
      </c>
      <c r="G478" s="160">
        <v>0.126942610269805</v>
      </c>
      <c r="H478" s="160">
        <v>0.13789495177804101</v>
      </c>
      <c r="I478" s="160">
        <v>0.26483756204784598</v>
      </c>
      <c r="J478" s="160">
        <v>1.1907206110556801</v>
      </c>
      <c r="K478" s="160">
        <v>1.21566816266131E-3</v>
      </c>
      <c r="L478" s="160">
        <v>2.0876743581019499E-3</v>
      </c>
      <c r="M478" s="160">
        <v>2.4117413482412899E-2</v>
      </c>
      <c r="N478" s="160">
        <v>3.7148993656871999E-2</v>
      </c>
      <c r="O478" s="160">
        <v>0.62358412969493004</v>
      </c>
      <c r="P478" s="160">
        <v>1.0396952613694299</v>
      </c>
      <c r="Q478" s="160">
        <v>-7.4050233563622295E-2</v>
      </c>
      <c r="R478" s="160">
        <v>0.17305156691686099</v>
      </c>
      <c r="S478" s="160">
        <v>1.4921550672446699E-2</v>
      </c>
      <c r="T478" s="160">
        <v>3.3726136791400698</v>
      </c>
      <c r="U478" s="160">
        <v>3.9886944562404998</v>
      </c>
      <c r="V478" s="160">
        <v>0.45815412384795001</v>
      </c>
      <c r="W478" s="160"/>
      <c r="X478" s="59"/>
      <c r="Y478" s="159"/>
      <c r="Z478" s="159"/>
      <c r="AA478" s="159"/>
      <c r="AB478" s="159"/>
      <c r="AC478" s="159"/>
      <c r="AD478" s="161"/>
      <c r="AE478" s="160"/>
    </row>
    <row r="479" spans="1:31" ht="21.25" customHeight="1" x14ac:dyDescent="0.15">
      <c r="A479" s="8" t="s">
        <v>507</v>
      </c>
      <c r="B479" s="157" t="s">
        <v>888</v>
      </c>
      <c r="C479" s="158">
        <v>23</v>
      </c>
      <c r="D479" s="157" t="s">
        <v>860</v>
      </c>
      <c r="E479" s="59">
        <v>72.815357142857096</v>
      </c>
      <c r="F479" s="159">
        <v>17.526048239679302</v>
      </c>
      <c r="G479" s="160">
        <v>3.2229963468882197E-2</v>
      </c>
      <c r="H479" s="160">
        <v>0.231512544468778</v>
      </c>
      <c r="I479" s="160">
        <v>0.26374250793766002</v>
      </c>
      <c r="J479" s="160">
        <v>1.2295992083182801</v>
      </c>
      <c r="K479" s="160">
        <v>1.4398397524632101E-3</v>
      </c>
      <c r="L479" s="160">
        <v>1.48912719668288E-2</v>
      </c>
      <c r="M479" s="160">
        <v>4.75028814794493E-4</v>
      </c>
      <c r="N479" s="160">
        <v>1.6926731795497299E-3</v>
      </c>
      <c r="O479" s="160">
        <v>1.36682546699776</v>
      </c>
      <c r="P479" s="160">
        <v>0.90047207903304805</v>
      </c>
      <c r="Q479" s="160">
        <v>1.9074800114437601E-2</v>
      </c>
      <c r="R479" s="160">
        <v>0.55432926044920705</v>
      </c>
      <c r="S479" s="160">
        <v>4.4767722105361696E-3</v>
      </c>
      <c r="T479" s="160">
        <v>0</v>
      </c>
      <c r="U479" s="160">
        <v>0</v>
      </c>
      <c r="V479" s="160">
        <v>0</v>
      </c>
      <c r="W479" s="160"/>
      <c r="X479" s="59"/>
      <c r="Y479" s="159"/>
      <c r="Z479" s="159"/>
      <c r="AA479" s="159"/>
      <c r="AB479" s="159"/>
      <c r="AC479" s="159"/>
      <c r="AD479" s="161"/>
      <c r="AE479" s="160"/>
    </row>
    <row r="480" spans="1:31" ht="21.25" customHeight="1" x14ac:dyDescent="0.15">
      <c r="A480" s="8" t="s">
        <v>490</v>
      </c>
      <c r="B480" s="157" t="s">
        <v>874</v>
      </c>
      <c r="C480" s="158">
        <v>33</v>
      </c>
      <c r="D480" s="157" t="s">
        <v>860</v>
      </c>
      <c r="E480" s="59">
        <v>77.77</v>
      </c>
      <c r="F480" s="159">
        <v>21.296945505239499</v>
      </c>
      <c r="G480" s="160">
        <v>3.5817853830212E-2</v>
      </c>
      <c r="H480" s="160">
        <v>0.22581768678303199</v>
      </c>
      <c r="I480" s="160">
        <v>0.26163554061324401</v>
      </c>
      <c r="J480" s="160">
        <v>0.99324996826921297</v>
      </c>
      <c r="K480" s="160">
        <v>1.61099647758024E-4</v>
      </c>
      <c r="L480" s="160">
        <v>2.5563179431052998E-3</v>
      </c>
      <c r="M480" s="160">
        <v>3.3757376124102001E-4</v>
      </c>
      <c r="N480" s="160">
        <v>1.80975119981935E-2</v>
      </c>
      <c r="O480" s="160">
        <v>1.72726623517206</v>
      </c>
      <c r="P480" s="160">
        <v>0.95140934877877803</v>
      </c>
      <c r="Q480" s="160">
        <v>8.0018509083336506E-2</v>
      </c>
      <c r="R480" s="160">
        <v>0.34956341737978303</v>
      </c>
      <c r="S480" s="160">
        <v>5.7541286975823199E-3</v>
      </c>
      <c r="T480" s="160">
        <v>0</v>
      </c>
      <c r="U480" s="160">
        <v>0</v>
      </c>
      <c r="V480" s="160">
        <v>0</v>
      </c>
      <c r="W480" s="160"/>
      <c r="X480" s="59"/>
      <c r="Y480" s="159"/>
      <c r="Z480" s="159"/>
      <c r="AA480" s="159"/>
      <c r="AB480" s="159"/>
      <c r="AC480" s="159"/>
      <c r="AD480" s="161"/>
      <c r="AE480" s="160"/>
    </row>
    <row r="481" spans="1:31" ht="21.25" customHeight="1" x14ac:dyDescent="0.15">
      <c r="A481" s="8" t="s">
        <v>503</v>
      </c>
      <c r="B481" s="157" t="s">
        <v>880</v>
      </c>
      <c r="C481" s="158">
        <v>25</v>
      </c>
      <c r="D481" s="157" t="s">
        <v>860</v>
      </c>
      <c r="E481" s="59">
        <v>75.23</v>
      </c>
      <c r="F481" s="159">
        <v>18.951672197110899</v>
      </c>
      <c r="G481" s="160">
        <v>3.5376826488184999E-2</v>
      </c>
      <c r="H481" s="160">
        <v>0.22567685787497699</v>
      </c>
      <c r="I481" s="160">
        <v>0.26105368436316201</v>
      </c>
      <c r="J481" s="160">
        <v>1.1173125149352601</v>
      </c>
      <c r="K481" s="160">
        <v>1.82875495270999E-4</v>
      </c>
      <c r="L481" s="160">
        <v>1.2203427323436E-3</v>
      </c>
      <c r="M481" s="160">
        <v>3.4175016291951798E-4</v>
      </c>
      <c r="N481" s="160">
        <v>8.4588455819704506E-3</v>
      </c>
      <c r="O481" s="160">
        <v>1.51920520355509</v>
      </c>
      <c r="P481" s="160">
        <v>1.3274585405089501</v>
      </c>
      <c r="Q481" s="160">
        <v>8.8751706456189794E-2</v>
      </c>
      <c r="R481" s="160">
        <v>0.62308131200561001</v>
      </c>
      <c r="S481" s="160">
        <v>6.02814517183951E-3</v>
      </c>
      <c r="T481" s="160">
        <v>0</v>
      </c>
      <c r="U481" s="160">
        <v>0</v>
      </c>
      <c r="V481" s="160">
        <v>0</v>
      </c>
      <c r="W481" s="160"/>
      <c r="X481" s="59"/>
      <c r="Y481" s="159"/>
      <c r="Z481" s="159"/>
      <c r="AA481" s="159"/>
      <c r="AB481" s="159"/>
      <c r="AC481" s="159"/>
      <c r="AD481" s="161"/>
      <c r="AE481" s="160"/>
    </row>
    <row r="482" spans="1:31" ht="21.25" customHeight="1" x14ac:dyDescent="0.15">
      <c r="A482" s="8" t="s">
        <v>468</v>
      </c>
      <c r="B482" s="157" t="s">
        <v>886</v>
      </c>
      <c r="C482" s="158">
        <v>30</v>
      </c>
      <c r="D482" s="157" t="s">
        <v>860</v>
      </c>
      <c r="E482" s="59">
        <v>78.599999999999994</v>
      </c>
      <c r="F482" s="159">
        <v>19.380017271341501</v>
      </c>
      <c r="G482" s="160">
        <v>3.5238583629950603E-2</v>
      </c>
      <c r="H482" s="160">
        <v>0.225708212981826</v>
      </c>
      <c r="I482" s="160">
        <v>0.260946796611777</v>
      </c>
      <c r="J482" s="160">
        <v>1.1818502358613301</v>
      </c>
      <c r="K482" s="160">
        <v>2.83973836491176E-4</v>
      </c>
      <c r="L482" s="160">
        <v>2.03900113827221E-3</v>
      </c>
      <c r="M482" s="160">
        <v>8.7495659659187295E-3</v>
      </c>
      <c r="N482" s="160">
        <v>2.7406713101658899E-2</v>
      </c>
      <c r="O482" s="160">
        <v>1.4130718036416301</v>
      </c>
      <c r="P482" s="160">
        <v>1.57125304544802</v>
      </c>
      <c r="Q482" s="160">
        <v>3.4240190009222099E-2</v>
      </c>
      <c r="R482" s="160">
        <v>0.52318400620421801</v>
      </c>
      <c r="S482" s="160">
        <v>5.4973369962257896E-3</v>
      </c>
      <c r="T482" s="160">
        <v>0</v>
      </c>
      <c r="U482" s="160">
        <v>0</v>
      </c>
      <c r="V482" s="160">
        <v>0</v>
      </c>
      <c r="W482" s="160"/>
      <c r="X482" s="59"/>
      <c r="Y482" s="159"/>
      <c r="Z482" s="159"/>
      <c r="AA482" s="159"/>
      <c r="AB482" s="159"/>
      <c r="AC482" s="159"/>
      <c r="AD482" s="161"/>
      <c r="AE482" s="160"/>
    </row>
    <row r="483" spans="1:31" ht="21.25" customHeight="1" x14ac:dyDescent="0.15">
      <c r="A483" s="8" t="s">
        <v>685</v>
      </c>
      <c r="B483" s="157" t="s">
        <v>904</v>
      </c>
      <c r="C483" s="158">
        <v>28</v>
      </c>
      <c r="D483" s="157" t="s">
        <v>858</v>
      </c>
      <c r="E483" s="59">
        <v>70.494285714285695</v>
      </c>
      <c r="F483" s="159">
        <v>10.853233615277</v>
      </c>
      <c r="G483" s="160">
        <v>0.111156713461461</v>
      </c>
      <c r="H483" s="160">
        <v>0.14956759999809099</v>
      </c>
      <c r="I483" s="160">
        <v>0.26072431345955199</v>
      </c>
      <c r="J483" s="160">
        <v>1.5396627496402899</v>
      </c>
      <c r="K483" s="160">
        <v>6.1084138501653904E-4</v>
      </c>
      <c r="L483" s="160">
        <v>1.5608755808670001E-3</v>
      </c>
      <c r="M483" s="160">
        <v>0</v>
      </c>
      <c r="N483" s="160">
        <v>0</v>
      </c>
      <c r="O483" s="160">
        <v>0.73760139722088203</v>
      </c>
      <c r="P483" s="160">
        <v>1.89201507517449</v>
      </c>
      <c r="Q483" s="160">
        <v>-1.1707987102656801E-3</v>
      </c>
      <c r="R483" s="160">
        <v>0.222974774733739</v>
      </c>
      <c r="S483" s="160"/>
      <c r="T483" s="160">
        <v>0.30838244006721199</v>
      </c>
      <c r="U483" s="160">
        <v>0.34442801111648003</v>
      </c>
      <c r="V483" s="160">
        <v>0.47239200828976502</v>
      </c>
      <c r="W483" s="160"/>
      <c r="X483" s="59"/>
      <c r="Y483" s="159"/>
      <c r="Z483" s="159"/>
      <c r="AA483" s="159"/>
      <c r="AB483" s="159"/>
      <c r="AC483" s="159"/>
      <c r="AD483" s="161"/>
      <c r="AE483" s="160"/>
    </row>
    <row r="484" spans="1:31" ht="21.25" customHeight="1" x14ac:dyDescent="0.15">
      <c r="A484" s="8" t="s">
        <v>739</v>
      </c>
      <c r="B484" s="157" t="s">
        <v>884</v>
      </c>
      <c r="C484" s="158">
        <v>30</v>
      </c>
      <c r="D484" s="157" t="s">
        <v>857</v>
      </c>
      <c r="E484" s="59">
        <v>78.072142857142893</v>
      </c>
      <c r="F484" s="159">
        <v>13.590176092618499</v>
      </c>
      <c r="G484" s="160">
        <v>0.12362391300778</v>
      </c>
      <c r="H484" s="160">
        <v>0.13663098302714499</v>
      </c>
      <c r="I484" s="160">
        <v>0.26025489603492602</v>
      </c>
      <c r="J484" s="160">
        <v>1.33818505953888</v>
      </c>
      <c r="K484" s="160">
        <v>1.1562768611333601E-3</v>
      </c>
      <c r="L484" s="160">
        <v>2.0567881237369798E-3</v>
      </c>
      <c r="M484" s="160">
        <v>7.2013924212404601E-3</v>
      </c>
      <c r="N484" s="160">
        <v>1.1979210690651099E-2</v>
      </c>
      <c r="O484" s="160">
        <v>0.56913431697941597</v>
      </c>
      <c r="P484" s="160">
        <v>2.2797245199864999</v>
      </c>
      <c r="Q484" s="160">
        <v>-8.8403583397438201E-2</v>
      </c>
      <c r="R484" s="160">
        <v>0.51914837334377995</v>
      </c>
      <c r="S484" s="160">
        <v>1.32471534525754E-2</v>
      </c>
      <c r="T484" s="160">
        <v>7.0343503854422398</v>
      </c>
      <c r="U484" s="160">
        <v>6.8170437455791699</v>
      </c>
      <c r="V484" s="160">
        <v>0.50784421545613201</v>
      </c>
      <c r="W484" s="160"/>
      <c r="X484" s="59"/>
      <c r="Y484" s="159"/>
      <c r="Z484" s="159"/>
      <c r="AA484" s="159"/>
      <c r="AB484" s="159"/>
      <c r="AC484" s="159"/>
      <c r="AD484" s="161"/>
      <c r="AE484" s="160"/>
    </row>
    <row r="485" spans="1:31" ht="21.25" customHeight="1" x14ac:dyDescent="0.15">
      <c r="A485" s="8" t="s">
        <v>472</v>
      </c>
      <c r="B485" s="157" t="s">
        <v>892</v>
      </c>
      <c r="C485" s="158">
        <v>24</v>
      </c>
      <c r="D485" s="157" t="s">
        <v>860</v>
      </c>
      <c r="E485" s="59">
        <v>77.412142857142896</v>
      </c>
      <c r="F485" s="159">
        <v>21.577976981670201</v>
      </c>
      <c r="G485" s="160">
        <v>5.4435682584324803E-2</v>
      </c>
      <c r="H485" s="160">
        <v>0.205192756826095</v>
      </c>
      <c r="I485" s="160">
        <v>0.25962843941042002</v>
      </c>
      <c r="J485" s="160">
        <v>1.1949160805269801</v>
      </c>
      <c r="K485" s="160">
        <v>1.19281072126553E-3</v>
      </c>
      <c r="L485" s="160">
        <v>2.8051394617224601E-3</v>
      </c>
      <c r="M485" s="160">
        <v>3.5955725516583002E-4</v>
      </c>
      <c r="N485" s="160">
        <v>1.3984512518271E-2</v>
      </c>
      <c r="O485" s="160">
        <v>1.59636020442424</v>
      </c>
      <c r="P485" s="160">
        <v>1.93218512440901</v>
      </c>
      <c r="Q485" s="160">
        <v>6.3851738145052003E-3</v>
      </c>
      <c r="R485" s="160">
        <v>0.39065756605531998</v>
      </c>
      <c r="S485" s="160">
        <v>8.0817299786117101E-3</v>
      </c>
      <c r="T485" s="160">
        <v>0</v>
      </c>
      <c r="U485" s="160">
        <v>0</v>
      </c>
      <c r="V485" s="160">
        <v>0</v>
      </c>
      <c r="W485" s="160"/>
      <c r="X485" s="59"/>
      <c r="Y485" s="159"/>
      <c r="Z485" s="159"/>
      <c r="AA485" s="159"/>
      <c r="AB485" s="159"/>
      <c r="AC485" s="159"/>
      <c r="AD485" s="161"/>
      <c r="AE485" s="160"/>
    </row>
    <row r="486" spans="1:31" ht="21.25" customHeight="1" x14ac:dyDescent="0.15">
      <c r="A486" s="8" t="s">
        <v>533</v>
      </c>
      <c r="B486" s="157" t="s">
        <v>888</v>
      </c>
      <c r="C486" s="158">
        <v>27</v>
      </c>
      <c r="D486" s="157" t="s">
        <v>860</v>
      </c>
      <c r="E486" s="59">
        <v>75.427142857142897</v>
      </c>
      <c r="F486" s="159">
        <v>19.1066687682261</v>
      </c>
      <c r="G486" s="160">
        <v>6.5936785466803496E-2</v>
      </c>
      <c r="H486" s="160">
        <v>0.193561909767588</v>
      </c>
      <c r="I486" s="160">
        <v>0.25949869523439101</v>
      </c>
      <c r="J486" s="160">
        <v>0.93859514930201704</v>
      </c>
      <c r="K486" s="160">
        <v>2.58910251084226E-4</v>
      </c>
      <c r="L486" s="160">
        <v>1.77112450409272E-3</v>
      </c>
      <c r="M486" s="160">
        <v>3.4286208797461E-4</v>
      </c>
      <c r="N486" s="160">
        <v>1.2848338709121299E-3</v>
      </c>
      <c r="O486" s="160">
        <v>1.33644954008511</v>
      </c>
      <c r="P486" s="160">
        <v>1.9647837028472399</v>
      </c>
      <c r="Q486" s="160">
        <v>2.2175043736911801E-2</v>
      </c>
      <c r="R486" s="160">
        <v>0.63343313208903196</v>
      </c>
      <c r="S486" s="160">
        <v>9.1586814584778999E-3</v>
      </c>
      <c r="T486" s="160">
        <v>0</v>
      </c>
      <c r="U486" s="160">
        <v>0</v>
      </c>
      <c r="V486" s="160">
        <v>0</v>
      </c>
      <c r="W486" s="160"/>
      <c r="X486" s="59"/>
      <c r="Y486" s="159"/>
      <c r="Z486" s="159"/>
      <c r="AA486" s="159"/>
      <c r="AB486" s="159"/>
      <c r="AC486" s="159"/>
      <c r="AD486" s="161"/>
      <c r="AE486" s="160"/>
    </row>
    <row r="487" spans="1:31" ht="21.25" customHeight="1" x14ac:dyDescent="0.15">
      <c r="A487" s="8" t="s">
        <v>488</v>
      </c>
      <c r="B487" s="157" t="s">
        <v>873</v>
      </c>
      <c r="C487" s="158">
        <v>32</v>
      </c>
      <c r="D487" s="157" t="s">
        <v>860</v>
      </c>
      <c r="E487" s="59">
        <v>75.1832142857143</v>
      </c>
      <c r="F487" s="159">
        <v>17.101886266569998</v>
      </c>
      <c r="G487" s="160">
        <v>3.1572820672914899E-2</v>
      </c>
      <c r="H487" s="160">
        <v>0.22757318662741499</v>
      </c>
      <c r="I487" s="160">
        <v>0.259146007300329</v>
      </c>
      <c r="J487" s="160">
        <v>1.41696812048937</v>
      </c>
      <c r="K487" s="160">
        <v>5.6009566611470501E-3</v>
      </c>
      <c r="L487" s="160">
        <v>3.67586892428204E-2</v>
      </c>
      <c r="M487" s="160">
        <v>1.91800521316818E-4</v>
      </c>
      <c r="N487" s="160">
        <v>4.0065476701429603E-3</v>
      </c>
      <c r="O487" s="160">
        <v>0.83034844083745396</v>
      </c>
      <c r="P487" s="160">
        <v>1.09752131107827</v>
      </c>
      <c r="Q487" s="160">
        <v>2.33979173274055E-5</v>
      </c>
      <c r="R487" s="160">
        <v>0.45322911306312202</v>
      </c>
      <c r="S487" s="160">
        <v>4.5291931425892997E-3</v>
      </c>
      <c r="T487" s="160">
        <v>0</v>
      </c>
      <c r="U487" s="160">
        <v>0</v>
      </c>
      <c r="V487" s="160">
        <v>0</v>
      </c>
      <c r="W487" s="160"/>
      <c r="X487" s="59"/>
      <c r="Y487" s="159"/>
      <c r="Z487" s="159"/>
      <c r="AA487" s="159"/>
      <c r="AB487" s="159"/>
      <c r="AC487" s="159"/>
      <c r="AD487" s="161"/>
      <c r="AE487" s="160"/>
    </row>
    <row r="488" spans="1:31" ht="21.25" customHeight="1" x14ac:dyDescent="0.15">
      <c r="A488" s="8" t="s">
        <v>686</v>
      </c>
      <c r="B488" s="157" t="s">
        <v>896</v>
      </c>
      <c r="C488" s="158">
        <v>29</v>
      </c>
      <c r="D488" s="157" t="s">
        <v>858</v>
      </c>
      <c r="E488" s="59">
        <v>75.530357142857099</v>
      </c>
      <c r="F488" s="159">
        <v>13.2202528699822</v>
      </c>
      <c r="G488" s="160">
        <v>0.149170187644418</v>
      </c>
      <c r="H488" s="160">
        <v>0.109929756234564</v>
      </c>
      <c r="I488" s="160">
        <v>0.259099943878982</v>
      </c>
      <c r="J488" s="160">
        <v>1.27899485752677</v>
      </c>
      <c r="K488" s="160">
        <v>2.21100412382076E-4</v>
      </c>
      <c r="L488" s="160">
        <v>5.5922147121458704E-4</v>
      </c>
      <c r="M488" s="160">
        <v>1.9562266088825098E-2</v>
      </c>
      <c r="N488" s="160">
        <v>2.0943948726324099E-2</v>
      </c>
      <c r="O488" s="160">
        <v>0.61153195656120596</v>
      </c>
      <c r="P488" s="160">
        <v>1.2179016047654401</v>
      </c>
      <c r="Q488" s="160">
        <v>-0.103898800493019</v>
      </c>
      <c r="R488" s="160">
        <v>0.25222952134744803</v>
      </c>
      <c r="S488" s="160">
        <v>1.6171455645425398E-2</v>
      </c>
      <c r="T488" s="160">
        <v>8.0909394667453297E-2</v>
      </c>
      <c r="U488" s="160">
        <v>0.185100714459034</v>
      </c>
      <c r="V488" s="160">
        <v>0.30415909731077501</v>
      </c>
      <c r="W488" s="160"/>
      <c r="X488" s="59"/>
      <c r="Y488" s="159"/>
      <c r="Z488" s="159"/>
      <c r="AA488" s="159"/>
      <c r="AB488" s="159"/>
      <c r="AC488" s="159"/>
      <c r="AD488" s="161"/>
      <c r="AE488" s="160"/>
    </row>
    <row r="489" spans="1:31" ht="21.25" customHeight="1" x14ac:dyDescent="0.15">
      <c r="A489" s="8" t="s">
        <v>463</v>
      </c>
      <c r="B489" s="157" t="s">
        <v>881</v>
      </c>
      <c r="C489" s="158">
        <v>28</v>
      </c>
      <c r="D489" s="157" t="s">
        <v>860</v>
      </c>
      <c r="E489" s="59">
        <v>77.48</v>
      </c>
      <c r="F489" s="159">
        <v>18.658760376882</v>
      </c>
      <c r="G489" s="160">
        <v>5.3604539846593802E-2</v>
      </c>
      <c r="H489" s="160">
        <v>0.2054588853929</v>
      </c>
      <c r="I489" s="160">
        <v>0.25906342523949399</v>
      </c>
      <c r="J489" s="160">
        <v>1.32948937553407</v>
      </c>
      <c r="K489" s="160">
        <v>2.8557641318072998E-4</v>
      </c>
      <c r="L489" s="160">
        <v>1.9630954507981599E-3</v>
      </c>
      <c r="M489" s="160">
        <v>5.4230396496174104E-3</v>
      </c>
      <c r="N489" s="160">
        <v>8.2720495596491205E-3</v>
      </c>
      <c r="O489" s="160">
        <v>1.5025078682117201</v>
      </c>
      <c r="P489" s="160">
        <v>2.4976567873165001</v>
      </c>
      <c r="Q489" s="160">
        <v>-1.8646912601279601E-2</v>
      </c>
      <c r="R489" s="160">
        <v>0.714965376621577</v>
      </c>
      <c r="S489" s="160">
        <v>6.9079271520486102E-3</v>
      </c>
      <c r="T489" s="160">
        <v>0</v>
      </c>
      <c r="U489" s="160">
        <v>0</v>
      </c>
      <c r="V489" s="160">
        <v>0</v>
      </c>
      <c r="W489" s="160"/>
      <c r="X489" s="59"/>
      <c r="Y489" s="159"/>
      <c r="Z489" s="159"/>
      <c r="AA489" s="159"/>
      <c r="AB489" s="159"/>
      <c r="AC489" s="159"/>
      <c r="AD489" s="161"/>
      <c r="AE489" s="160"/>
    </row>
    <row r="490" spans="1:31" ht="21.25" customHeight="1" x14ac:dyDescent="0.15">
      <c r="A490" s="8" t="s">
        <v>650</v>
      </c>
      <c r="B490" s="157" t="s">
        <v>903</v>
      </c>
      <c r="C490" s="158">
        <v>30</v>
      </c>
      <c r="D490" s="157" t="s">
        <v>859</v>
      </c>
      <c r="E490" s="59">
        <v>69.886071428571398</v>
      </c>
      <c r="F490" s="159">
        <v>13.191452451224499</v>
      </c>
      <c r="G490" s="160">
        <v>0.120831082023905</v>
      </c>
      <c r="H490" s="160">
        <v>0.13633652984377401</v>
      </c>
      <c r="I490" s="160">
        <v>0.257167611867679</v>
      </c>
      <c r="J490" s="160">
        <v>1.4616875368114901</v>
      </c>
      <c r="K490" s="160">
        <v>3.1579392661962601E-3</v>
      </c>
      <c r="L490" s="160">
        <v>9.3675209080925394E-3</v>
      </c>
      <c r="M490" s="160">
        <v>1.6555399552634499E-2</v>
      </c>
      <c r="N490" s="160">
        <v>2.0924785619619999E-2</v>
      </c>
      <c r="O490" s="160">
        <v>0.49398624099803501</v>
      </c>
      <c r="P490" s="160">
        <v>1.1963131735729</v>
      </c>
      <c r="Q490" s="160">
        <v>-9.8980839997497794E-2</v>
      </c>
      <c r="R490" s="160">
        <v>0.31968643208144099</v>
      </c>
      <c r="S490" s="160">
        <v>1.30943552859989E-2</v>
      </c>
      <c r="T490" s="160">
        <v>6.1608954106607099E-2</v>
      </c>
      <c r="U490" s="160">
        <v>0.178312159809076</v>
      </c>
      <c r="V490" s="160">
        <v>0.25678837973492802</v>
      </c>
      <c r="W490" s="160"/>
      <c r="X490" s="59"/>
      <c r="Y490" s="159"/>
      <c r="Z490" s="159"/>
      <c r="AA490" s="159"/>
      <c r="AB490" s="159"/>
      <c r="AC490" s="159"/>
      <c r="AD490" s="161"/>
      <c r="AE490" s="160"/>
    </row>
    <row r="491" spans="1:31" ht="21.25" customHeight="1" x14ac:dyDescent="0.15">
      <c r="A491" s="8" t="s">
        <v>485</v>
      </c>
      <c r="B491" s="157" t="s">
        <v>901</v>
      </c>
      <c r="C491" s="158">
        <v>30</v>
      </c>
      <c r="D491" s="157" t="s">
        <v>860</v>
      </c>
      <c r="E491" s="59">
        <v>79.412499999999994</v>
      </c>
      <c r="F491" s="159">
        <v>19.178648669969501</v>
      </c>
      <c r="G491" s="160">
        <v>6.6906462450139301E-2</v>
      </c>
      <c r="H491" s="160">
        <v>0.18944342555022101</v>
      </c>
      <c r="I491" s="160">
        <v>0.25634988800036002</v>
      </c>
      <c r="J491" s="160">
        <v>1.1328174758015499</v>
      </c>
      <c r="K491" s="160">
        <v>2.5124364204357098E-4</v>
      </c>
      <c r="L491" s="160">
        <v>1.7269470990722701E-3</v>
      </c>
      <c r="M491" s="160">
        <v>3.5643897865083002E-4</v>
      </c>
      <c r="N491" s="160">
        <v>6.0130031673310703E-3</v>
      </c>
      <c r="O491" s="160">
        <v>1.4866825471179399</v>
      </c>
      <c r="P491" s="160">
        <v>1.8341346422372899</v>
      </c>
      <c r="Q491" s="160">
        <v>3.2038843702930203E-4</v>
      </c>
      <c r="R491" s="160">
        <v>0.66929996918590595</v>
      </c>
      <c r="S491" s="160">
        <v>9.4044376738816795E-3</v>
      </c>
      <c r="T491" s="160">
        <v>0</v>
      </c>
      <c r="U491" s="160">
        <v>0</v>
      </c>
      <c r="V491" s="160">
        <v>0</v>
      </c>
      <c r="W491" s="160"/>
      <c r="X491" s="59"/>
      <c r="Y491" s="159"/>
      <c r="Z491" s="159"/>
      <c r="AA491" s="159"/>
      <c r="AB491" s="159"/>
      <c r="AC491" s="159"/>
      <c r="AD491" s="161"/>
      <c r="AE491" s="160"/>
    </row>
    <row r="492" spans="1:31" ht="21.25" customHeight="1" x14ac:dyDescent="0.15">
      <c r="A492" s="8" t="s">
        <v>487</v>
      </c>
      <c r="B492" s="157" t="s">
        <v>870</v>
      </c>
      <c r="C492" s="162">
        <v>29</v>
      </c>
      <c r="D492" s="157" t="s">
        <v>860</v>
      </c>
      <c r="E492" s="59">
        <v>80.685714285714297</v>
      </c>
      <c r="F492" s="159">
        <v>18.929549623939</v>
      </c>
      <c r="G492" s="160">
        <v>4.1731067340090397E-2</v>
      </c>
      <c r="H492" s="160">
        <v>0.21407592070363399</v>
      </c>
      <c r="I492" s="160">
        <v>0.25580698804372398</v>
      </c>
      <c r="J492" s="160">
        <v>1.10429247366966</v>
      </c>
      <c r="K492" s="160">
        <v>2.78138540060182E-4</v>
      </c>
      <c r="L492" s="160">
        <v>1.9443768498047199E-3</v>
      </c>
      <c r="M492" s="160">
        <v>2.78382634581599E-4</v>
      </c>
      <c r="N492" s="160">
        <v>1.1288555886502599E-2</v>
      </c>
      <c r="O492" s="160">
        <v>1.3658408315869801</v>
      </c>
      <c r="P492" s="160">
        <v>1.5336089020242001</v>
      </c>
      <c r="Q492" s="160">
        <v>5.5772525953254E-2</v>
      </c>
      <c r="R492" s="160">
        <v>0.26659185575787803</v>
      </c>
      <c r="S492" s="160">
        <v>6.6055799509324399E-3</v>
      </c>
      <c r="T492" s="160">
        <v>0</v>
      </c>
      <c r="U492" s="160">
        <v>0</v>
      </c>
      <c r="V492" s="160">
        <v>0</v>
      </c>
      <c r="W492" s="160"/>
      <c r="X492" s="59"/>
      <c r="Y492" s="159"/>
      <c r="Z492" s="159"/>
      <c r="AA492" s="159"/>
      <c r="AB492" s="159"/>
      <c r="AC492" s="159"/>
      <c r="AD492" s="161"/>
      <c r="AE492" s="160"/>
    </row>
    <row r="493" spans="1:31" ht="21.25" customHeight="1" x14ac:dyDescent="0.15">
      <c r="A493" s="8" t="s">
        <v>620</v>
      </c>
      <c r="B493" s="157" t="s">
        <v>899</v>
      </c>
      <c r="C493" s="158">
        <v>31</v>
      </c>
      <c r="D493" s="157" t="s">
        <v>859</v>
      </c>
      <c r="E493" s="59">
        <v>81.56</v>
      </c>
      <c r="F493" s="159">
        <v>11.7869071393692</v>
      </c>
      <c r="G493" s="160">
        <v>0.129325636713741</v>
      </c>
      <c r="H493" s="160">
        <v>0.123904230591162</v>
      </c>
      <c r="I493" s="160">
        <v>0.25322986730490399</v>
      </c>
      <c r="J493" s="160">
        <v>1.13370866230984</v>
      </c>
      <c r="K493" s="160">
        <v>1.11545804487293E-4</v>
      </c>
      <c r="L493" s="160">
        <v>2.8314444331146201E-4</v>
      </c>
      <c r="M493" s="160">
        <v>1.2461406166121001E-3</v>
      </c>
      <c r="N493" s="160">
        <v>1.36668352152491E-2</v>
      </c>
      <c r="O493" s="160">
        <v>0.84733944825971697</v>
      </c>
      <c r="P493" s="160">
        <v>2.8610791319581801</v>
      </c>
      <c r="Q493" s="160">
        <v>-5.6020216220194999E-2</v>
      </c>
      <c r="R493" s="160">
        <v>0.61925593557545</v>
      </c>
      <c r="S493" s="160">
        <v>1.5201665046662E-2</v>
      </c>
      <c r="T493" s="160">
        <v>6.4955300752167294E-2</v>
      </c>
      <c r="U493" s="160">
        <v>0.14320643227961699</v>
      </c>
      <c r="V493" s="160">
        <v>0.31204246720144901</v>
      </c>
      <c r="W493" s="160"/>
      <c r="X493" s="59"/>
      <c r="Y493" s="159"/>
      <c r="Z493" s="159"/>
      <c r="AA493" s="159"/>
      <c r="AB493" s="159"/>
      <c r="AC493" s="159"/>
      <c r="AD493" s="161"/>
      <c r="AE493" s="160"/>
    </row>
    <row r="494" spans="1:31" ht="21.25" customHeight="1" x14ac:dyDescent="0.15">
      <c r="A494" s="8" t="s">
        <v>470</v>
      </c>
      <c r="B494" s="157" t="s">
        <v>895</v>
      </c>
      <c r="C494" s="158">
        <v>24</v>
      </c>
      <c r="D494" s="157" t="s">
        <v>860</v>
      </c>
      <c r="E494" s="59">
        <v>77.141785714285703</v>
      </c>
      <c r="F494" s="159">
        <v>17.250053396232701</v>
      </c>
      <c r="G494" s="160">
        <v>5.7840965068760998E-2</v>
      </c>
      <c r="H494" s="160">
        <v>0.195126660548189</v>
      </c>
      <c r="I494" s="160">
        <v>0.25296762561695002</v>
      </c>
      <c r="J494" s="160">
        <v>1.36861260839655</v>
      </c>
      <c r="K494" s="160">
        <v>2.1122787069978999E-4</v>
      </c>
      <c r="L494" s="160">
        <v>1.4338475551462801E-3</v>
      </c>
      <c r="M494" s="160">
        <v>3.1929412874003298E-4</v>
      </c>
      <c r="N494" s="160">
        <v>1.18732703682512E-3</v>
      </c>
      <c r="O494" s="160">
        <v>1.4624121962971799</v>
      </c>
      <c r="P494" s="160">
        <v>1.3437682373336099</v>
      </c>
      <c r="Q494" s="160">
        <v>5.2953201202707599E-2</v>
      </c>
      <c r="R494" s="160">
        <v>0.48707242930037797</v>
      </c>
      <c r="S494" s="160">
        <v>9.4527918689650201E-3</v>
      </c>
      <c r="T494" s="160">
        <v>0</v>
      </c>
      <c r="U494" s="160">
        <v>0</v>
      </c>
      <c r="V494" s="160">
        <v>0</v>
      </c>
      <c r="W494" s="160"/>
      <c r="X494" s="59"/>
      <c r="Y494" s="159"/>
      <c r="Z494" s="159"/>
      <c r="AA494" s="159"/>
      <c r="AB494" s="159"/>
      <c r="AC494" s="159"/>
      <c r="AD494" s="161"/>
      <c r="AE494" s="160"/>
    </row>
    <row r="495" spans="1:31" ht="21.25" customHeight="1" x14ac:dyDescent="0.15">
      <c r="A495" s="8" t="s">
        <v>519</v>
      </c>
      <c r="B495" s="157" t="s">
        <v>898</v>
      </c>
      <c r="C495" s="158">
        <v>31</v>
      </c>
      <c r="D495" s="157" t="s">
        <v>860</v>
      </c>
      <c r="E495" s="59">
        <v>79.741071428571402</v>
      </c>
      <c r="F495" s="159">
        <v>18.589297127749902</v>
      </c>
      <c r="G495" s="160">
        <v>2.9830202258672701E-2</v>
      </c>
      <c r="H495" s="160">
        <v>0.22304426798426299</v>
      </c>
      <c r="I495" s="160">
        <v>0.25287447024293702</v>
      </c>
      <c r="J495" s="160">
        <v>0.82477211471115097</v>
      </c>
      <c r="K495" s="160">
        <v>2.5353128143081098E-4</v>
      </c>
      <c r="L495" s="160">
        <v>1.8802139208237199E-3</v>
      </c>
      <c r="M495" s="160">
        <v>2.6923230561024299E-3</v>
      </c>
      <c r="N495" s="160">
        <v>1.11141887178075E-2</v>
      </c>
      <c r="O495" s="160">
        <v>1.50137449573209</v>
      </c>
      <c r="P495" s="160">
        <v>1.6603917474986301</v>
      </c>
      <c r="Q495" s="160">
        <v>-2.1045442550623399E-2</v>
      </c>
      <c r="R495" s="160">
        <v>0.46848222471981499</v>
      </c>
      <c r="S495" s="160">
        <v>3.85141786917928E-3</v>
      </c>
      <c r="T495" s="160">
        <v>0</v>
      </c>
      <c r="U495" s="160">
        <v>0</v>
      </c>
      <c r="V495" s="160">
        <v>0</v>
      </c>
      <c r="W495" s="160"/>
      <c r="X495" s="59"/>
      <c r="Y495" s="159"/>
      <c r="Z495" s="159"/>
      <c r="AA495" s="159"/>
      <c r="AB495" s="159"/>
      <c r="AC495" s="159"/>
      <c r="AD495" s="161"/>
      <c r="AE495" s="160"/>
    </row>
    <row r="496" spans="1:31" ht="21.25" customHeight="1" x14ac:dyDescent="0.15">
      <c r="A496" s="8" t="s">
        <v>706</v>
      </c>
      <c r="B496" s="157" t="s">
        <v>890</v>
      </c>
      <c r="C496" s="158">
        <v>35</v>
      </c>
      <c r="D496" s="157" t="s">
        <v>858</v>
      </c>
      <c r="E496" s="59">
        <v>74.625</v>
      </c>
      <c r="F496" s="159">
        <v>11.926720266768299</v>
      </c>
      <c r="G496" s="160">
        <v>7.8073814270535599E-2</v>
      </c>
      <c r="H496" s="160">
        <v>0.17430866468485701</v>
      </c>
      <c r="I496" s="160">
        <v>0.25238247895539301</v>
      </c>
      <c r="J496" s="160">
        <v>1.1549342354073899</v>
      </c>
      <c r="K496" s="160">
        <v>1.8312510176639301E-3</v>
      </c>
      <c r="L496" s="160">
        <v>5.2481724590049796E-3</v>
      </c>
      <c r="M496" s="160">
        <v>2.0286747876222199E-3</v>
      </c>
      <c r="N496" s="160">
        <v>1.4885714840327E-2</v>
      </c>
      <c r="O496" s="160">
        <v>0.52631039458231799</v>
      </c>
      <c r="P496" s="160">
        <v>2.3075491682300102</v>
      </c>
      <c r="Q496" s="160">
        <v>-6.9208114450143202E-2</v>
      </c>
      <c r="R496" s="160">
        <v>0.60962577839272303</v>
      </c>
      <c r="S496" s="160">
        <v>9.1488107230327E-3</v>
      </c>
      <c r="T496" s="160">
        <v>0.77887198767269505</v>
      </c>
      <c r="U496" s="160">
        <v>0.69118100037155406</v>
      </c>
      <c r="V496" s="160">
        <v>0.52982579131987795</v>
      </c>
      <c r="W496" s="160"/>
      <c r="X496" s="59"/>
      <c r="Y496" s="159"/>
      <c r="Z496" s="159"/>
      <c r="AA496" s="159"/>
      <c r="AB496" s="159"/>
      <c r="AC496" s="159"/>
      <c r="AD496" s="161"/>
      <c r="AE496" s="160"/>
    </row>
    <row r="497" spans="1:31" ht="21.25" customHeight="1" x14ac:dyDescent="0.15">
      <c r="A497" s="8" t="s">
        <v>493</v>
      </c>
      <c r="B497" s="157" t="s">
        <v>894</v>
      </c>
      <c r="C497" s="158">
        <v>33</v>
      </c>
      <c r="D497" s="157" t="s">
        <v>860</v>
      </c>
      <c r="E497" s="59">
        <v>74.900000000000006</v>
      </c>
      <c r="F497" s="159">
        <v>19.8791305522983</v>
      </c>
      <c r="G497" s="160">
        <v>4.2148932747798198E-2</v>
      </c>
      <c r="H497" s="160">
        <v>0.209947421086634</v>
      </c>
      <c r="I497" s="160">
        <v>0.25209635383443302</v>
      </c>
      <c r="J497" s="160">
        <v>1.1545987878497801</v>
      </c>
      <c r="K497" s="160">
        <v>8.3209079922502997E-4</v>
      </c>
      <c r="L497" s="160">
        <v>9.0871626707582694E-3</v>
      </c>
      <c r="M497" s="160">
        <v>2.5545279235107698E-4</v>
      </c>
      <c r="N497" s="160">
        <v>1.4626764830142E-3</v>
      </c>
      <c r="O497" s="160">
        <v>1.8618828415747199</v>
      </c>
      <c r="P497" s="160">
        <v>0.89664575562316995</v>
      </c>
      <c r="Q497" s="160">
        <v>5.5472479237667197E-2</v>
      </c>
      <c r="R497" s="160">
        <v>0.29637048794024301</v>
      </c>
      <c r="S497" s="160">
        <v>7.0430129040802598E-3</v>
      </c>
      <c r="T497" s="160">
        <v>0</v>
      </c>
      <c r="U497" s="160">
        <v>0</v>
      </c>
      <c r="V497" s="160">
        <v>0</v>
      </c>
      <c r="W497" s="160"/>
      <c r="X497" s="59"/>
      <c r="Y497" s="159"/>
      <c r="Z497" s="159"/>
      <c r="AA497" s="159"/>
      <c r="AB497" s="159"/>
      <c r="AC497" s="159"/>
      <c r="AD497" s="161"/>
      <c r="AE497" s="160"/>
    </row>
    <row r="498" spans="1:31" ht="21.25" customHeight="1" x14ac:dyDescent="0.15">
      <c r="A498" s="8" t="s">
        <v>683</v>
      </c>
      <c r="B498" s="157" t="s">
        <v>885</v>
      </c>
      <c r="C498" s="158">
        <v>24</v>
      </c>
      <c r="D498" s="157" t="s">
        <v>859</v>
      </c>
      <c r="E498" s="59">
        <v>68.997500000000002</v>
      </c>
      <c r="F498" s="159">
        <v>11.864781613754801</v>
      </c>
      <c r="G498" s="160">
        <v>0.13099025224514299</v>
      </c>
      <c r="H498" s="160">
        <v>0.12077697870626899</v>
      </c>
      <c r="I498" s="160">
        <v>0.25176723095141201</v>
      </c>
      <c r="J498" s="160">
        <v>1.26334836499495</v>
      </c>
      <c r="K498" s="160">
        <v>7.9654358567699598E-4</v>
      </c>
      <c r="L498" s="160">
        <v>2.0372325408533499E-3</v>
      </c>
      <c r="M498" s="160">
        <v>1.1163382869924601E-2</v>
      </c>
      <c r="N498" s="160">
        <v>1.29953870211816E-2</v>
      </c>
      <c r="O498" s="160">
        <v>0.63301706915587097</v>
      </c>
      <c r="P498" s="160">
        <v>1.82913447293095</v>
      </c>
      <c r="Q498" s="160">
        <v>-4.996339878166E-2</v>
      </c>
      <c r="R498" s="160">
        <v>0.27239277488900399</v>
      </c>
      <c r="S498" s="160">
        <v>1.50734061472133E-2</v>
      </c>
      <c r="T498" s="160">
        <v>3.0748163475698399E-2</v>
      </c>
      <c r="U498" s="160">
        <v>8.3483589793873506E-2</v>
      </c>
      <c r="V498" s="160">
        <v>0.26917352308457299</v>
      </c>
      <c r="W498" s="160"/>
      <c r="X498" s="59"/>
      <c r="Y498" s="159"/>
      <c r="Z498" s="159"/>
      <c r="AA498" s="159"/>
      <c r="AB498" s="159"/>
      <c r="AC498" s="159"/>
      <c r="AD498" s="161"/>
      <c r="AE498" s="160"/>
    </row>
    <row r="499" spans="1:31" ht="21.25" customHeight="1" x14ac:dyDescent="0.15">
      <c r="A499" s="8" t="s">
        <v>696</v>
      </c>
      <c r="B499" s="157" t="s">
        <v>873</v>
      </c>
      <c r="C499" s="158">
        <v>28</v>
      </c>
      <c r="D499" s="157" t="s">
        <v>858</v>
      </c>
      <c r="E499" s="59">
        <v>72</v>
      </c>
      <c r="F499" s="159">
        <v>11.205898509527501</v>
      </c>
      <c r="G499" s="160">
        <v>0.134990301719879</v>
      </c>
      <c r="H499" s="160">
        <v>0.116688012592814</v>
      </c>
      <c r="I499" s="160">
        <v>0.251678314312693</v>
      </c>
      <c r="J499" s="160">
        <v>1.57678848235285</v>
      </c>
      <c r="K499" s="160">
        <v>7.2567410518514005E-4</v>
      </c>
      <c r="L499" s="160">
        <v>1.8423897034839901E-3</v>
      </c>
      <c r="M499" s="160">
        <v>6.8198174444603001E-4</v>
      </c>
      <c r="N499" s="160">
        <v>3.10715814520909E-3</v>
      </c>
      <c r="O499" s="160">
        <v>0.27262694148962002</v>
      </c>
      <c r="P499" s="160">
        <v>1.8787656646528501</v>
      </c>
      <c r="Q499" s="160">
        <v>3.5962916603301101E-2</v>
      </c>
      <c r="R499" s="160">
        <v>0.77361041281996801</v>
      </c>
      <c r="S499" s="160">
        <v>1.9364666692267801E-2</v>
      </c>
      <c r="T499" s="160">
        <v>0.10333613464215199</v>
      </c>
      <c r="U499" s="160">
        <v>0.21203584320768901</v>
      </c>
      <c r="V499" s="160">
        <v>0.32766428820557397</v>
      </c>
      <c r="W499" s="160"/>
      <c r="X499" s="59"/>
      <c r="Y499" s="159"/>
      <c r="Z499" s="159"/>
      <c r="AA499" s="159"/>
      <c r="AB499" s="159"/>
      <c r="AC499" s="159"/>
      <c r="AD499" s="161"/>
      <c r="AE499" s="160"/>
    </row>
    <row r="500" spans="1:31" ht="21.25" customHeight="1" x14ac:dyDescent="0.15">
      <c r="A500" s="8" t="s">
        <v>504</v>
      </c>
      <c r="B500" s="157" t="s">
        <v>895</v>
      </c>
      <c r="C500" s="158">
        <v>26</v>
      </c>
      <c r="D500" s="157" t="s">
        <v>860</v>
      </c>
      <c r="E500" s="59">
        <v>74.052857142857107</v>
      </c>
      <c r="F500" s="159">
        <v>17.367332460815401</v>
      </c>
      <c r="G500" s="160">
        <v>8.2456983160795999E-2</v>
      </c>
      <c r="H500" s="160">
        <v>0.169017139932537</v>
      </c>
      <c r="I500" s="160">
        <v>0.251474123093333</v>
      </c>
      <c r="J500" s="160">
        <v>1.19326627448161</v>
      </c>
      <c r="K500" s="160">
        <v>1.02382005954865E-4</v>
      </c>
      <c r="L500" s="160">
        <v>7.0065311634063903E-4</v>
      </c>
      <c r="M500" s="160">
        <v>4.47731307214438E-3</v>
      </c>
      <c r="N500" s="160">
        <v>5.8867107129824603E-3</v>
      </c>
      <c r="O500" s="160">
        <v>1.60489056348793</v>
      </c>
      <c r="P500" s="160">
        <v>1.5007817064139899</v>
      </c>
      <c r="Q500" s="160">
        <v>6.4030780140680199E-2</v>
      </c>
      <c r="R500" s="160">
        <v>0.44073636935856603</v>
      </c>
      <c r="S500" s="160">
        <v>1.3475720867298001E-2</v>
      </c>
      <c r="T500" s="160">
        <v>0</v>
      </c>
      <c r="U500" s="160">
        <v>0</v>
      </c>
      <c r="V500" s="160">
        <v>0</v>
      </c>
      <c r="W500" s="160"/>
      <c r="X500" s="59"/>
      <c r="Y500" s="159"/>
      <c r="Z500" s="159"/>
      <c r="AA500" s="159"/>
      <c r="AB500" s="159"/>
      <c r="AC500" s="159"/>
      <c r="AD500" s="161"/>
      <c r="AE500" s="160"/>
    </row>
    <row r="501" spans="1:31" ht="21.25" customHeight="1" x14ac:dyDescent="0.15">
      <c r="A501" s="8" t="s">
        <v>722</v>
      </c>
      <c r="B501" s="157" t="s">
        <v>890</v>
      </c>
      <c r="C501" s="158">
        <v>25</v>
      </c>
      <c r="D501" s="157" t="s">
        <v>858</v>
      </c>
      <c r="E501" s="59">
        <v>72.207499999999996</v>
      </c>
      <c r="F501" s="159">
        <v>12.2772769974769</v>
      </c>
      <c r="G501" s="160">
        <v>9.04528891919021E-2</v>
      </c>
      <c r="H501" s="160">
        <v>0.15993308392410399</v>
      </c>
      <c r="I501" s="160">
        <v>0.25038597311600602</v>
      </c>
      <c r="J501" s="160">
        <v>1.1153344534296099</v>
      </c>
      <c r="K501" s="160">
        <v>2.8755749025364298E-3</v>
      </c>
      <c r="L501" s="160">
        <v>7.2584702029673803E-3</v>
      </c>
      <c r="M501" s="160">
        <v>2.8972758502408698E-3</v>
      </c>
      <c r="N501" s="160">
        <v>1.9001909057406199E-2</v>
      </c>
      <c r="O501" s="160">
        <v>0.35641964260862702</v>
      </c>
      <c r="P501" s="160">
        <v>1.78744454558068</v>
      </c>
      <c r="Q501" s="160">
        <v>-9.0052716300327795E-2</v>
      </c>
      <c r="R501" s="160">
        <v>0.40016615812438699</v>
      </c>
      <c r="S501" s="160">
        <v>1.05994099340484E-2</v>
      </c>
      <c r="T501" s="160">
        <v>7.5983325426484102E-2</v>
      </c>
      <c r="U501" s="160">
        <v>0.206585905980149</v>
      </c>
      <c r="V501" s="160">
        <v>0.26890162473896501</v>
      </c>
      <c r="W501" s="160"/>
      <c r="X501" s="59"/>
      <c r="Y501" s="159"/>
      <c r="Z501" s="159"/>
      <c r="AA501" s="159"/>
      <c r="AB501" s="159"/>
      <c r="AC501" s="159"/>
      <c r="AD501" s="161"/>
      <c r="AE501" s="160"/>
    </row>
    <row r="502" spans="1:31" ht="21.25" customHeight="1" x14ac:dyDescent="0.15">
      <c r="A502" s="8" t="s">
        <v>541</v>
      </c>
      <c r="B502" s="157" t="s">
        <v>871</v>
      </c>
      <c r="C502" s="158">
        <v>31</v>
      </c>
      <c r="D502" s="157" t="s">
        <v>860</v>
      </c>
      <c r="E502" s="59">
        <v>67.680357142857105</v>
      </c>
      <c r="F502" s="159">
        <v>17.488209394454302</v>
      </c>
      <c r="G502" s="160">
        <v>6.4922956401554294E-2</v>
      </c>
      <c r="H502" s="160">
        <v>0.18544017727471501</v>
      </c>
      <c r="I502" s="160">
        <v>0.25036313367627</v>
      </c>
      <c r="J502" s="160">
        <v>1.29987140790443</v>
      </c>
      <c r="K502" s="160">
        <v>1.2040880593926401E-4</v>
      </c>
      <c r="L502" s="160">
        <v>8.2850685272419097E-4</v>
      </c>
      <c r="M502" s="160">
        <v>5.4315577445402405E-4</v>
      </c>
      <c r="N502" s="160">
        <v>2.11325162209196E-3</v>
      </c>
      <c r="O502" s="160">
        <v>1.2765947699308799</v>
      </c>
      <c r="P502" s="160">
        <v>2.0384497765857899</v>
      </c>
      <c r="Q502" s="160">
        <v>5.0805106804953801E-2</v>
      </c>
      <c r="R502" s="160">
        <v>0.97209238111829899</v>
      </c>
      <c r="S502" s="160">
        <v>1.02717898800226E-2</v>
      </c>
      <c r="T502" s="160">
        <v>0</v>
      </c>
      <c r="U502" s="160">
        <v>0</v>
      </c>
      <c r="V502" s="160">
        <v>0</v>
      </c>
      <c r="W502" s="160"/>
      <c r="X502" s="59"/>
      <c r="Y502" s="159"/>
      <c r="Z502" s="159"/>
      <c r="AA502" s="159"/>
      <c r="AB502" s="159"/>
      <c r="AC502" s="159"/>
      <c r="AD502" s="161"/>
      <c r="AE502" s="160"/>
    </row>
    <row r="503" spans="1:31" ht="21.25" customHeight="1" x14ac:dyDescent="0.15">
      <c r="A503" s="8" t="s">
        <v>465</v>
      </c>
      <c r="B503" s="157" t="s">
        <v>894</v>
      </c>
      <c r="C503" s="158">
        <v>28</v>
      </c>
      <c r="D503" s="157" t="s">
        <v>860</v>
      </c>
      <c r="E503" s="59">
        <v>80.783571428571406</v>
      </c>
      <c r="F503" s="159">
        <v>18.471598978658498</v>
      </c>
      <c r="G503" s="160">
        <v>8.9101921027391298E-2</v>
      </c>
      <c r="H503" s="160">
        <v>0.159503922808299</v>
      </c>
      <c r="I503" s="160">
        <v>0.24860584383569001</v>
      </c>
      <c r="J503" s="160">
        <v>1.44857623717746</v>
      </c>
      <c r="K503" s="160">
        <v>4.3031013999427799E-4</v>
      </c>
      <c r="L503" s="160">
        <v>4.3713850251021202E-3</v>
      </c>
      <c r="M503" s="160">
        <v>3.40180140073806E-4</v>
      </c>
      <c r="N503" s="160">
        <v>1.8118676778769399E-3</v>
      </c>
      <c r="O503" s="160">
        <v>1.0214200633897601</v>
      </c>
      <c r="P503" s="160">
        <v>2.1078097020739501</v>
      </c>
      <c r="Q503" s="160">
        <v>3.4634920859197102E-2</v>
      </c>
      <c r="R503" s="160">
        <v>0.78544142960973695</v>
      </c>
      <c r="S503" s="160">
        <v>1.4888775080717599E-2</v>
      </c>
      <c r="T503" s="160">
        <v>0</v>
      </c>
      <c r="U503" s="160">
        <v>0</v>
      </c>
      <c r="V503" s="160">
        <v>0</v>
      </c>
      <c r="W503" s="160"/>
      <c r="X503" s="59"/>
      <c r="Y503" s="159"/>
      <c r="Z503" s="159"/>
      <c r="AA503" s="159"/>
      <c r="AB503" s="159"/>
      <c r="AC503" s="159"/>
      <c r="AD503" s="161"/>
      <c r="AE503" s="160"/>
    </row>
    <row r="504" spans="1:31" ht="21.25" customHeight="1" x14ac:dyDescent="0.15">
      <c r="A504" s="8" t="s">
        <v>514</v>
      </c>
      <c r="B504" s="157" t="s">
        <v>899</v>
      </c>
      <c r="C504" s="158">
        <v>28</v>
      </c>
      <c r="D504" s="157" t="s">
        <v>860</v>
      </c>
      <c r="E504" s="59">
        <v>68.132142857142895</v>
      </c>
      <c r="F504" s="159">
        <v>16.2295943765264</v>
      </c>
      <c r="G504" s="160">
        <v>6.0344532450895001E-2</v>
      </c>
      <c r="H504" s="160">
        <v>0.1879622911394</v>
      </c>
      <c r="I504" s="160">
        <v>0.24830682359029499</v>
      </c>
      <c r="J504" s="160">
        <v>1.5149611157498799</v>
      </c>
      <c r="K504" s="160">
        <v>2.8376520538562599E-4</v>
      </c>
      <c r="L504" s="160">
        <v>4.0330913081009501E-3</v>
      </c>
      <c r="M504" s="160">
        <v>2.0416542253121999E-4</v>
      </c>
      <c r="N504" s="160">
        <v>7.6516857388425998E-4</v>
      </c>
      <c r="O504" s="160">
        <v>1.41752410294261</v>
      </c>
      <c r="P504" s="160">
        <v>1.19895880290829</v>
      </c>
      <c r="Q504" s="160">
        <v>-6.9804142337931793E-2</v>
      </c>
      <c r="R504" s="160">
        <v>0.47387670211357003</v>
      </c>
      <c r="S504" s="160">
        <v>7.0932368324342901E-3</v>
      </c>
      <c r="T504" s="160">
        <v>0</v>
      </c>
      <c r="U504" s="160">
        <v>0</v>
      </c>
      <c r="V504" s="160">
        <v>0</v>
      </c>
      <c r="W504" s="160"/>
      <c r="X504" s="59"/>
      <c r="Y504" s="159"/>
      <c r="Z504" s="159"/>
      <c r="AA504" s="159"/>
      <c r="AB504" s="159"/>
      <c r="AC504" s="159"/>
      <c r="AD504" s="161"/>
      <c r="AE504" s="160"/>
    </row>
    <row r="505" spans="1:31" ht="21.25" customHeight="1" x14ac:dyDescent="0.15">
      <c r="A505" s="8" t="s">
        <v>506</v>
      </c>
      <c r="B505" s="157" t="s">
        <v>886</v>
      </c>
      <c r="C505" s="158">
        <v>32</v>
      </c>
      <c r="D505" s="157" t="s">
        <v>860</v>
      </c>
      <c r="E505" s="59">
        <v>81.617500000000007</v>
      </c>
      <c r="F505" s="159">
        <v>18.554670965402401</v>
      </c>
      <c r="G505" s="160">
        <v>2.8625883013491601E-2</v>
      </c>
      <c r="H505" s="160">
        <v>0.21956681986377899</v>
      </c>
      <c r="I505" s="160">
        <v>0.24819270287727099</v>
      </c>
      <c r="J505" s="160">
        <v>0.98787498925252304</v>
      </c>
      <c r="K505" s="160">
        <v>2.4048935467372299E-4</v>
      </c>
      <c r="L505" s="160">
        <v>2.2879958849045001E-3</v>
      </c>
      <c r="M505" s="160">
        <v>2.7132393238205998E-4</v>
      </c>
      <c r="N505" s="160">
        <v>9.7551004654446802E-3</v>
      </c>
      <c r="O505" s="160">
        <v>1.32713165697862</v>
      </c>
      <c r="P505" s="160">
        <v>2.1917301695150102</v>
      </c>
      <c r="Q505" s="160">
        <v>1.5656562738751E-2</v>
      </c>
      <c r="R505" s="160">
        <v>0.76250002310258702</v>
      </c>
      <c r="S505" s="160">
        <v>4.46573356614559E-3</v>
      </c>
      <c r="T505" s="160">
        <v>0</v>
      </c>
      <c r="U505" s="160">
        <v>0</v>
      </c>
      <c r="V505" s="160">
        <v>0</v>
      </c>
      <c r="W505" s="160"/>
      <c r="X505" s="59"/>
      <c r="Y505" s="159"/>
      <c r="Z505" s="159"/>
      <c r="AA505" s="159"/>
      <c r="AB505" s="159"/>
      <c r="AC505" s="159"/>
      <c r="AD505" s="161"/>
      <c r="AE505" s="160"/>
    </row>
    <row r="506" spans="1:31" ht="21.25" customHeight="1" x14ac:dyDescent="0.15">
      <c r="A506" s="8" t="s">
        <v>537</v>
      </c>
      <c r="B506" s="157" t="s">
        <v>873</v>
      </c>
      <c r="C506" s="158">
        <v>30</v>
      </c>
      <c r="D506" s="157" t="s">
        <v>860</v>
      </c>
      <c r="E506" s="59">
        <v>67.453571428571394</v>
      </c>
      <c r="F506" s="159">
        <v>16.152891650609799</v>
      </c>
      <c r="G506" s="160">
        <v>2.9000431336058501E-2</v>
      </c>
      <c r="H506" s="160">
        <v>0.21866051081113699</v>
      </c>
      <c r="I506" s="160">
        <v>0.247660942147195</v>
      </c>
      <c r="J506" s="160">
        <v>1.4238659014300901</v>
      </c>
      <c r="K506" s="160">
        <v>9.8873266373170499E-4</v>
      </c>
      <c r="L506" s="160">
        <v>2.1487142939922699E-2</v>
      </c>
      <c r="M506" s="160">
        <v>1.1265741451620701E-3</v>
      </c>
      <c r="N506" s="160">
        <v>1.5442507290900501E-3</v>
      </c>
      <c r="O506" s="160">
        <v>0.89274267692409004</v>
      </c>
      <c r="P506" s="160">
        <v>1.31594480259063</v>
      </c>
      <c r="Q506" s="160">
        <v>3.7773554364282799E-2</v>
      </c>
      <c r="R506" s="160">
        <v>0.37514557481594502</v>
      </c>
      <c r="S506" s="160">
        <v>4.1601780246415202E-3</v>
      </c>
      <c r="T506" s="160">
        <v>0</v>
      </c>
      <c r="U506" s="160">
        <v>0</v>
      </c>
      <c r="V506" s="160">
        <v>0</v>
      </c>
      <c r="W506" s="160"/>
      <c r="X506" s="59"/>
      <c r="Y506" s="159"/>
      <c r="Z506" s="159"/>
      <c r="AA506" s="159"/>
      <c r="AB506" s="159"/>
      <c r="AC506" s="159"/>
      <c r="AD506" s="161"/>
      <c r="AE506" s="160"/>
    </row>
    <row r="507" spans="1:31" ht="21.25" customHeight="1" x14ac:dyDescent="0.15">
      <c r="A507" s="8" t="s">
        <v>703</v>
      </c>
      <c r="B507" s="157" t="s">
        <v>902</v>
      </c>
      <c r="C507" s="158">
        <v>27</v>
      </c>
      <c r="D507" s="157" t="s">
        <v>858</v>
      </c>
      <c r="E507" s="59">
        <v>79.141428571428605</v>
      </c>
      <c r="F507" s="159">
        <v>11.2311320841553</v>
      </c>
      <c r="G507" s="160">
        <v>0.113200984904195</v>
      </c>
      <c r="H507" s="160">
        <v>0.13440744128453799</v>
      </c>
      <c r="I507" s="160">
        <v>0.24760842618873299</v>
      </c>
      <c r="J507" s="160">
        <v>1.15357849782377</v>
      </c>
      <c r="K507" s="160">
        <v>1.1461875933726101E-3</v>
      </c>
      <c r="L507" s="160">
        <v>4.7972693273136803E-3</v>
      </c>
      <c r="M507" s="160">
        <v>7.2192480007669997E-4</v>
      </c>
      <c r="N507" s="160">
        <v>1.3302556357270899E-3</v>
      </c>
      <c r="O507" s="160">
        <v>0.41661566125872401</v>
      </c>
      <c r="P507" s="160">
        <v>1.0381094724539499</v>
      </c>
      <c r="Q507" s="160">
        <v>-1.2376252389637001E-2</v>
      </c>
      <c r="R507" s="160">
        <v>0.23892514640439799</v>
      </c>
      <c r="S507" s="160">
        <v>1.37450609643563E-2</v>
      </c>
      <c r="T507" s="160">
        <v>0.109442365495227</v>
      </c>
      <c r="U507" s="160">
        <v>0.134199425815167</v>
      </c>
      <c r="V507" s="160">
        <v>0.44919373193985501</v>
      </c>
      <c r="W507" s="160"/>
      <c r="X507" s="59"/>
      <c r="Y507" s="159"/>
      <c r="Z507" s="159"/>
      <c r="AA507" s="159"/>
      <c r="AB507" s="159"/>
      <c r="AC507" s="159"/>
      <c r="AD507" s="161"/>
      <c r="AE507" s="160"/>
    </row>
    <row r="508" spans="1:31" ht="21.25" customHeight="1" x14ac:dyDescent="0.15">
      <c r="A508" s="8" t="s">
        <v>464</v>
      </c>
      <c r="B508" s="157" t="s">
        <v>895</v>
      </c>
      <c r="C508" s="158">
        <v>36</v>
      </c>
      <c r="D508" s="157" t="s">
        <v>860</v>
      </c>
      <c r="E508" s="59">
        <v>73.003214285714293</v>
      </c>
      <c r="F508" s="159">
        <v>19.539667494803201</v>
      </c>
      <c r="G508" s="160">
        <v>6.1129784117585101E-2</v>
      </c>
      <c r="H508" s="160">
        <v>0.18643879793881099</v>
      </c>
      <c r="I508" s="160">
        <v>0.24756858205639601</v>
      </c>
      <c r="J508" s="160">
        <v>1.1169564720909699</v>
      </c>
      <c r="K508" s="160">
        <v>1.41199392386235E-3</v>
      </c>
      <c r="L508" s="160">
        <v>5.3759946912961499E-3</v>
      </c>
      <c r="M508" s="160">
        <v>4.4877432273725498E-4</v>
      </c>
      <c r="N508" s="160">
        <v>1.7961326559306E-3</v>
      </c>
      <c r="O508" s="160">
        <v>2.7639727358361998</v>
      </c>
      <c r="P508" s="160">
        <v>0.89576029616313702</v>
      </c>
      <c r="Q508" s="160">
        <v>7.9698809323746303E-2</v>
      </c>
      <c r="R508" s="160">
        <v>0.33352096996612801</v>
      </c>
      <c r="S508" s="160">
        <v>9.9902746361744607E-3</v>
      </c>
      <c r="T508" s="160">
        <v>0</v>
      </c>
      <c r="U508" s="160">
        <v>0</v>
      </c>
      <c r="V508" s="160">
        <v>0</v>
      </c>
      <c r="W508" s="160"/>
      <c r="X508" s="59"/>
      <c r="Y508" s="159"/>
      <c r="Z508" s="159"/>
      <c r="AA508" s="159"/>
      <c r="AB508" s="159"/>
      <c r="AC508" s="159"/>
      <c r="AD508" s="161"/>
      <c r="AE508" s="160"/>
    </row>
    <row r="509" spans="1:31" ht="21.25" customHeight="1" x14ac:dyDescent="0.15">
      <c r="A509" s="8" t="s">
        <v>813</v>
      </c>
      <c r="B509" s="157" t="s">
        <v>885</v>
      </c>
      <c r="C509" s="162">
        <v>22</v>
      </c>
      <c r="D509" s="157" t="s">
        <v>857</v>
      </c>
      <c r="E509" s="59">
        <v>59.62</v>
      </c>
      <c r="F509" s="159">
        <v>9.6253540182709099</v>
      </c>
      <c r="G509" s="160">
        <v>0.107217295073873</v>
      </c>
      <c r="H509" s="160">
        <v>0.13995341135637099</v>
      </c>
      <c r="I509" s="160">
        <v>0.247170706430244</v>
      </c>
      <c r="J509" s="160">
        <v>0.97173724571515996</v>
      </c>
      <c r="K509" s="160">
        <v>8.2100218033304096E-4</v>
      </c>
      <c r="L509" s="160">
        <v>2.07126274243129E-3</v>
      </c>
      <c r="M509" s="160">
        <v>6.7069486776785996E-4</v>
      </c>
      <c r="N509" s="160">
        <v>1.2231153134607401E-3</v>
      </c>
      <c r="O509" s="160">
        <v>0.42478083559355201</v>
      </c>
      <c r="P509" s="160">
        <v>1.18963938112603</v>
      </c>
      <c r="Q509" s="160">
        <v>-4.22897708545837E-2</v>
      </c>
      <c r="R509" s="160">
        <v>0.25532386657106498</v>
      </c>
      <c r="S509" s="160">
        <v>1.2337787025782599E-2</v>
      </c>
      <c r="T509" s="160">
        <v>1.8566210392996201</v>
      </c>
      <c r="U509" s="160">
        <v>3.39796680777479</v>
      </c>
      <c r="V509" s="160">
        <v>0.353333333333333</v>
      </c>
      <c r="W509" s="160"/>
      <c r="X509" s="59"/>
      <c r="Y509" s="159"/>
      <c r="Z509" s="159"/>
      <c r="AA509" s="159"/>
      <c r="AB509" s="159"/>
      <c r="AC509" s="159"/>
      <c r="AD509" s="161"/>
      <c r="AE509" s="160"/>
    </row>
    <row r="510" spans="1:31" ht="21.25" customHeight="1" x14ac:dyDescent="0.15">
      <c r="A510" s="8" t="s">
        <v>478</v>
      </c>
      <c r="B510" s="157" t="s">
        <v>874</v>
      </c>
      <c r="C510" s="158">
        <v>39</v>
      </c>
      <c r="D510" s="157" t="s">
        <v>860</v>
      </c>
      <c r="E510" s="59">
        <v>74</v>
      </c>
      <c r="F510" s="159">
        <v>17.422282885063201</v>
      </c>
      <c r="G510" s="160">
        <v>5.7636219322015098E-2</v>
      </c>
      <c r="H510" s="160">
        <v>0.189157767805648</v>
      </c>
      <c r="I510" s="160">
        <v>0.24679398712766201</v>
      </c>
      <c r="J510" s="160">
        <v>1.3503758916230999</v>
      </c>
      <c r="K510" s="160">
        <v>6.8007771002057799E-4</v>
      </c>
      <c r="L510" s="160">
        <v>4.2736219363420499E-3</v>
      </c>
      <c r="M510" s="160">
        <v>1.08763106066916E-2</v>
      </c>
      <c r="N510" s="160">
        <v>1.2860161814331E-2</v>
      </c>
      <c r="O510" s="160">
        <v>1.6800328266762401</v>
      </c>
      <c r="P510" s="160">
        <v>0.89710735161595001</v>
      </c>
      <c r="Q510" s="160">
        <v>7.7543630287180199E-2</v>
      </c>
      <c r="R510" s="160">
        <v>0.48575417402069099</v>
      </c>
      <c r="S510" s="160">
        <v>9.2592433146068496E-3</v>
      </c>
      <c r="T510" s="160">
        <v>0</v>
      </c>
      <c r="U510" s="160">
        <v>0</v>
      </c>
      <c r="V510" s="160">
        <v>0</v>
      </c>
      <c r="W510" s="160"/>
      <c r="X510" s="59"/>
      <c r="Y510" s="159"/>
      <c r="Z510" s="159"/>
      <c r="AA510" s="159"/>
      <c r="AB510" s="159"/>
      <c r="AC510" s="159"/>
      <c r="AD510" s="161"/>
      <c r="AE510" s="160"/>
    </row>
    <row r="511" spans="1:31" ht="21.25" customHeight="1" x14ac:dyDescent="0.15">
      <c r="A511" s="8" t="s">
        <v>469</v>
      </c>
      <c r="B511" s="157" t="s">
        <v>876</v>
      </c>
      <c r="C511" s="158">
        <v>26</v>
      </c>
      <c r="D511" s="157" t="s">
        <v>860</v>
      </c>
      <c r="E511" s="59">
        <v>78.825000000000003</v>
      </c>
      <c r="F511" s="159">
        <v>20.484557164634101</v>
      </c>
      <c r="G511" s="160">
        <v>3.7845050913505401E-2</v>
      </c>
      <c r="H511" s="160">
        <v>0.20855211601493401</v>
      </c>
      <c r="I511" s="160">
        <v>0.24639716692843899</v>
      </c>
      <c r="J511" s="160">
        <v>1.16585586600778</v>
      </c>
      <c r="K511" s="160">
        <v>2.4238341916877799E-3</v>
      </c>
      <c r="L511" s="160">
        <v>5.7064000003195598E-3</v>
      </c>
      <c r="M511" s="160">
        <v>3.8373919816400497E-4</v>
      </c>
      <c r="N511" s="160">
        <v>6.3875491330541599E-3</v>
      </c>
      <c r="O511" s="160">
        <v>1.8010306452324001</v>
      </c>
      <c r="P511" s="160">
        <v>1.37440264865644</v>
      </c>
      <c r="Q511" s="160">
        <v>9.0775706317589803E-3</v>
      </c>
      <c r="R511" s="160">
        <v>0.55557772953066697</v>
      </c>
      <c r="S511" s="160">
        <v>5.57043591655609E-3</v>
      </c>
      <c r="T511" s="160">
        <v>0</v>
      </c>
      <c r="U511" s="160">
        <v>0</v>
      </c>
      <c r="V511" s="160">
        <v>0</v>
      </c>
      <c r="W511" s="160"/>
      <c r="X511" s="59"/>
      <c r="Y511" s="159"/>
      <c r="Z511" s="159"/>
      <c r="AA511" s="159"/>
      <c r="AB511" s="159"/>
      <c r="AC511" s="159"/>
      <c r="AD511" s="161"/>
      <c r="AE511" s="160"/>
    </row>
    <row r="512" spans="1:31" ht="21.25" customHeight="1" x14ac:dyDescent="0.15">
      <c r="A512" s="8" t="s">
        <v>413</v>
      </c>
      <c r="B512" s="157" t="s">
        <v>896</v>
      </c>
      <c r="C512" s="158">
        <v>33</v>
      </c>
      <c r="D512" s="157" t="s">
        <v>860</v>
      </c>
      <c r="E512" s="59">
        <v>79.274642857142894</v>
      </c>
      <c r="F512" s="159">
        <v>20.005505301360301</v>
      </c>
      <c r="G512" s="160">
        <v>3.7550854750459897E-2</v>
      </c>
      <c r="H512" s="160">
        <v>0.20821774953139899</v>
      </c>
      <c r="I512" s="160">
        <v>0.24576860428185901</v>
      </c>
      <c r="J512" s="160">
        <v>1.6557455855807399</v>
      </c>
      <c r="K512" s="160">
        <v>6.4400082569718395E-4</v>
      </c>
      <c r="L512" s="160">
        <v>4.8011298258355904E-3</v>
      </c>
      <c r="M512" s="160">
        <v>3.1851993846956301E-3</v>
      </c>
      <c r="N512" s="160">
        <v>4.7591350533616201E-3</v>
      </c>
      <c r="O512" s="160">
        <v>1.8381289923217801</v>
      </c>
      <c r="P512" s="160">
        <v>4.2306898371802104</v>
      </c>
      <c r="Q512" s="160">
        <v>-5.51268208339167E-2</v>
      </c>
      <c r="R512" s="160">
        <v>1.1007228230752599</v>
      </c>
      <c r="S512" s="160">
        <v>4.0708669180761501E-3</v>
      </c>
      <c r="T512" s="160">
        <v>0</v>
      </c>
      <c r="U512" s="160">
        <v>0</v>
      </c>
      <c r="V512" s="160">
        <v>0</v>
      </c>
      <c r="W512" s="160"/>
      <c r="X512" s="59"/>
      <c r="Y512" s="159"/>
      <c r="Z512" s="159"/>
      <c r="AA512" s="159"/>
      <c r="AB512" s="159"/>
      <c r="AC512" s="159"/>
      <c r="AD512" s="161"/>
      <c r="AE512" s="160"/>
    </row>
    <row r="513" spans="1:31" ht="21.25" customHeight="1" x14ac:dyDescent="0.15">
      <c r="A513" s="8" t="s">
        <v>800</v>
      </c>
      <c r="B513" s="157" t="s">
        <v>893</v>
      </c>
      <c r="C513" s="158">
        <v>23</v>
      </c>
      <c r="D513" s="157" t="s">
        <v>857</v>
      </c>
      <c r="E513" s="59">
        <v>55.02</v>
      </c>
      <c r="F513" s="159">
        <v>10.370621475443301</v>
      </c>
      <c r="G513" s="160">
        <v>0.10185333093144799</v>
      </c>
      <c r="H513" s="160">
        <v>0.143700083438872</v>
      </c>
      <c r="I513" s="160">
        <v>0.24555341437032099</v>
      </c>
      <c r="J513" s="160">
        <v>1.54050425505463</v>
      </c>
      <c r="K513" s="160">
        <v>4.7847155410880504E-3</v>
      </c>
      <c r="L513" s="160">
        <v>1.6974676872171999E-2</v>
      </c>
      <c r="M513" s="160">
        <v>1.3437897355991701E-3</v>
      </c>
      <c r="N513" s="160">
        <v>2.4466786655627602E-3</v>
      </c>
      <c r="O513" s="160">
        <v>0.41534381682436999</v>
      </c>
      <c r="P513" s="160">
        <v>0.75467988847762801</v>
      </c>
      <c r="Q513" s="160">
        <v>8.3547674247347894E-2</v>
      </c>
      <c r="R513" s="160">
        <v>0.309156317434368</v>
      </c>
      <c r="S513" s="160">
        <v>1.8274768237654001E-2</v>
      </c>
      <c r="T513" s="160">
        <v>1.7618920970505501</v>
      </c>
      <c r="U513" s="160">
        <v>1.4530980256799599</v>
      </c>
      <c r="V513" s="160">
        <v>0.54802410887476005</v>
      </c>
      <c r="W513" s="160"/>
      <c r="X513" s="59"/>
      <c r="Y513" s="159"/>
      <c r="Z513" s="159"/>
      <c r="AA513" s="159"/>
      <c r="AB513" s="159"/>
      <c r="AC513" s="159"/>
      <c r="AD513" s="161"/>
      <c r="AE513" s="160"/>
    </row>
    <row r="514" spans="1:31" ht="21.25" customHeight="1" x14ac:dyDescent="0.15">
      <c r="A514" s="8" t="s">
        <v>534</v>
      </c>
      <c r="B514" s="157" t="s">
        <v>903</v>
      </c>
      <c r="C514" s="158">
        <v>23</v>
      </c>
      <c r="D514" s="157" t="s">
        <v>860</v>
      </c>
      <c r="E514" s="59">
        <v>74.974999999999994</v>
      </c>
      <c r="F514" s="159">
        <v>17.2095682109073</v>
      </c>
      <c r="G514" s="160">
        <v>6.2698414850325096E-2</v>
      </c>
      <c r="H514" s="160">
        <v>0.181611346111723</v>
      </c>
      <c r="I514" s="160">
        <v>0.24430976096204901</v>
      </c>
      <c r="J514" s="160">
        <v>1.04723601792829</v>
      </c>
      <c r="K514" s="160">
        <v>3.2221580859779299E-4</v>
      </c>
      <c r="L514" s="160">
        <v>3.27291350814593E-3</v>
      </c>
      <c r="M514" s="160">
        <v>3.6888949209041102E-4</v>
      </c>
      <c r="N514" s="160">
        <v>1.37783611335628E-3</v>
      </c>
      <c r="O514" s="160">
        <v>1.31404134333995</v>
      </c>
      <c r="P514" s="160">
        <v>0.94089301220499999</v>
      </c>
      <c r="Q514" s="160">
        <v>-8.2538167842424598E-2</v>
      </c>
      <c r="R514" s="160">
        <v>0.418075501166351</v>
      </c>
      <c r="S514" s="160">
        <v>6.7945706201379798E-3</v>
      </c>
      <c r="T514" s="160">
        <v>0</v>
      </c>
      <c r="U514" s="160">
        <v>0</v>
      </c>
      <c r="V514" s="160">
        <v>0</v>
      </c>
      <c r="W514" s="160"/>
      <c r="X514" s="59"/>
      <c r="Y514" s="159"/>
      <c r="Z514" s="159"/>
      <c r="AA514" s="159"/>
      <c r="AB514" s="159"/>
      <c r="AC514" s="159"/>
      <c r="AD514" s="161"/>
      <c r="AE514" s="160"/>
    </row>
    <row r="515" spans="1:31" ht="21.25" customHeight="1" x14ac:dyDescent="0.15">
      <c r="A515" s="8" t="s">
        <v>515</v>
      </c>
      <c r="B515" s="157" t="s">
        <v>876</v>
      </c>
      <c r="C515" s="158">
        <v>30</v>
      </c>
      <c r="D515" s="157" t="s">
        <v>860</v>
      </c>
      <c r="E515" s="59">
        <v>78.676071428571404</v>
      </c>
      <c r="F515" s="159">
        <v>16.7621423012504</v>
      </c>
      <c r="G515" s="160">
        <v>5.787297730688E-2</v>
      </c>
      <c r="H515" s="160">
        <v>0.18546690364802201</v>
      </c>
      <c r="I515" s="160">
        <v>0.243339880954902</v>
      </c>
      <c r="J515" s="160">
        <v>1.21090727870996</v>
      </c>
      <c r="K515" s="160">
        <v>2.03719642396126E-3</v>
      </c>
      <c r="L515" s="160">
        <v>8.2327453485469392E-3</v>
      </c>
      <c r="M515" s="160">
        <v>2.2747882952399599E-4</v>
      </c>
      <c r="N515" s="160">
        <v>8.5880336246720696E-4</v>
      </c>
      <c r="O515" s="160">
        <v>0.97836762389339604</v>
      </c>
      <c r="P515" s="160">
        <v>1.35261365191396</v>
      </c>
      <c r="Q515" s="160">
        <v>9.2659777584607993E-3</v>
      </c>
      <c r="R515" s="160">
        <v>0.472720140195799</v>
      </c>
      <c r="S515" s="160">
        <v>8.5183585067720394E-3</v>
      </c>
      <c r="T515" s="160">
        <v>0</v>
      </c>
      <c r="U515" s="160">
        <v>0</v>
      </c>
      <c r="V515" s="160">
        <v>0</v>
      </c>
      <c r="W515" s="160"/>
      <c r="X515" s="59"/>
      <c r="Y515" s="159"/>
      <c r="Z515" s="159"/>
      <c r="AA515" s="159"/>
      <c r="AB515" s="159"/>
      <c r="AC515" s="159"/>
      <c r="AD515" s="161"/>
      <c r="AE515" s="160"/>
    </row>
    <row r="516" spans="1:31" ht="21.25" customHeight="1" x14ac:dyDescent="0.15">
      <c r="A516" s="8" t="s">
        <v>518</v>
      </c>
      <c r="B516" s="157" t="s">
        <v>897</v>
      </c>
      <c r="C516" s="158">
        <v>33</v>
      </c>
      <c r="D516" s="157" t="s">
        <v>860</v>
      </c>
      <c r="E516" s="59">
        <v>75.064285714285703</v>
      </c>
      <c r="F516" s="159">
        <v>16.643245714830201</v>
      </c>
      <c r="G516" s="160">
        <v>5.6366366780360097E-2</v>
      </c>
      <c r="H516" s="160">
        <v>0.18666981508209299</v>
      </c>
      <c r="I516" s="160">
        <v>0.24303618186245199</v>
      </c>
      <c r="J516" s="160">
        <v>1.17294175489181</v>
      </c>
      <c r="K516" s="160">
        <v>2.8081942732482897E-4</v>
      </c>
      <c r="L516" s="160">
        <v>1.9622711353124399E-3</v>
      </c>
      <c r="M516" s="160">
        <v>4.4687827534414798E-4</v>
      </c>
      <c r="N516" s="160">
        <v>1.7656721346121301E-3</v>
      </c>
      <c r="O516" s="160">
        <v>1.3884550487315599</v>
      </c>
      <c r="P516" s="160">
        <v>3.5966247895333798</v>
      </c>
      <c r="Q516" s="160">
        <v>-1.0560054326009699E-2</v>
      </c>
      <c r="R516" s="160">
        <v>0.95651466102517202</v>
      </c>
      <c r="S516" s="160">
        <v>8.2309637602471196E-3</v>
      </c>
      <c r="T516" s="160">
        <v>0</v>
      </c>
      <c r="U516" s="160">
        <v>0</v>
      </c>
      <c r="V516" s="160">
        <v>0</v>
      </c>
      <c r="W516" s="160"/>
      <c r="X516" s="59"/>
      <c r="Y516" s="159"/>
      <c r="Z516" s="159"/>
      <c r="AA516" s="159"/>
      <c r="AB516" s="159"/>
      <c r="AC516" s="159"/>
      <c r="AD516" s="161"/>
      <c r="AE516" s="160"/>
    </row>
    <row r="517" spans="1:31" ht="21.25" customHeight="1" x14ac:dyDescent="0.15">
      <c r="A517" s="8" t="s">
        <v>798</v>
      </c>
      <c r="B517" s="157" t="s">
        <v>888</v>
      </c>
      <c r="C517" s="158">
        <v>27</v>
      </c>
      <c r="D517" s="157" t="s">
        <v>857</v>
      </c>
      <c r="E517" s="59">
        <v>60.83</v>
      </c>
      <c r="F517" s="159">
        <v>10.75</v>
      </c>
      <c r="G517" s="160">
        <v>0.10317819633928201</v>
      </c>
      <c r="H517" s="160">
        <v>0.139824257192776</v>
      </c>
      <c r="I517" s="160">
        <v>0.24300245353205699</v>
      </c>
      <c r="J517" s="160">
        <v>1.12993310226814</v>
      </c>
      <c r="K517" s="160">
        <v>2.7498777005636198E-2</v>
      </c>
      <c r="L517" s="160">
        <v>5.4553181309616797E-2</v>
      </c>
      <c r="M517" s="160">
        <v>0</v>
      </c>
      <c r="N517" s="160">
        <v>0</v>
      </c>
      <c r="O517" s="160">
        <v>0.48650973838357803</v>
      </c>
      <c r="P517" s="160">
        <v>1.1249767179582</v>
      </c>
      <c r="Q517" s="160">
        <v>-1.72429486504848E-4</v>
      </c>
      <c r="R517" s="160">
        <v>0.24122271662856201</v>
      </c>
      <c r="S517" s="160">
        <v>1.4331548422352699E-2</v>
      </c>
      <c r="T517" s="160">
        <v>6.7426159618524495E-2</v>
      </c>
      <c r="U517" s="160">
        <v>9.6978824733628996E-2</v>
      </c>
      <c r="V517" s="160">
        <v>0.41012235659533602</v>
      </c>
      <c r="W517" s="160"/>
      <c r="X517" s="59"/>
      <c r="Y517" s="159"/>
      <c r="Z517" s="159"/>
      <c r="AA517" s="159"/>
      <c r="AB517" s="159"/>
      <c r="AC517" s="159"/>
      <c r="AD517" s="161"/>
      <c r="AE517" s="160"/>
    </row>
    <row r="518" spans="1:31" ht="21.25" customHeight="1" x14ac:dyDescent="0.15">
      <c r="A518" s="8" t="s">
        <v>636</v>
      </c>
      <c r="B518" s="157" t="s">
        <v>890</v>
      </c>
      <c r="C518" s="158">
        <v>24</v>
      </c>
      <c r="D518" s="157" t="s">
        <v>860</v>
      </c>
      <c r="E518" s="59">
        <v>51.017499999999998</v>
      </c>
      <c r="F518" s="159">
        <v>16.195173332137699</v>
      </c>
      <c r="G518" s="160">
        <v>5.82308495397812E-2</v>
      </c>
      <c r="H518" s="160">
        <v>0.18444275775739799</v>
      </c>
      <c r="I518" s="160">
        <v>0.24267360729717899</v>
      </c>
      <c r="J518" s="160">
        <v>1.14681937609142</v>
      </c>
      <c r="K518" s="160">
        <v>4.0592629243123403E-3</v>
      </c>
      <c r="L518" s="160">
        <v>2.7597184682522102E-2</v>
      </c>
      <c r="M518" s="160">
        <v>4.74169779113224E-4</v>
      </c>
      <c r="N518" s="160">
        <v>1.76595297398216E-3</v>
      </c>
      <c r="O518" s="160">
        <v>1.15128545383523</v>
      </c>
      <c r="P518" s="160">
        <v>1.11786394048991</v>
      </c>
      <c r="Q518" s="160">
        <v>-7.2510317306805502E-2</v>
      </c>
      <c r="R518" s="160">
        <v>0.35126015016822598</v>
      </c>
      <c r="S518" s="160">
        <v>6.8235813205543196E-3</v>
      </c>
      <c r="T518" s="160">
        <v>0</v>
      </c>
      <c r="U518" s="160">
        <v>0</v>
      </c>
      <c r="V518" s="160">
        <v>0</v>
      </c>
      <c r="W518" s="160"/>
      <c r="X518" s="59"/>
      <c r="Y518" s="159"/>
      <c r="Z518" s="159"/>
      <c r="AA518" s="159"/>
      <c r="AB518" s="159"/>
      <c r="AC518" s="159"/>
      <c r="AD518" s="161"/>
      <c r="AE518" s="160"/>
    </row>
    <row r="519" spans="1:31" ht="21.25" customHeight="1" x14ac:dyDescent="0.15">
      <c r="A519" s="8" t="s">
        <v>804</v>
      </c>
      <c r="B519" s="157" t="s">
        <v>892</v>
      </c>
      <c r="C519" s="158">
        <v>23</v>
      </c>
      <c r="D519" s="157" t="s">
        <v>857</v>
      </c>
      <c r="E519" s="59">
        <v>62.106071428571397</v>
      </c>
      <c r="F519" s="159">
        <v>10.404411525343001</v>
      </c>
      <c r="G519" s="160">
        <v>0.13255992494525601</v>
      </c>
      <c r="H519" s="160">
        <v>0.10985636699725</v>
      </c>
      <c r="I519" s="160">
        <v>0.242416291942506</v>
      </c>
      <c r="J519" s="160">
        <v>1.0760780280569799</v>
      </c>
      <c r="K519" s="160">
        <v>2.4227153407330999E-3</v>
      </c>
      <c r="L519" s="160">
        <v>7.1063936009686801E-3</v>
      </c>
      <c r="M519" s="160">
        <v>7.1706472960136696E-4</v>
      </c>
      <c r="N519" s="160">
        <v>1.3297371863548501E-3</v>
      </c>
      <c r="O519" s="160">
        <v>0.54488643026449002</v>
      </c>
      <c r="P519" s="160">
        <v>1.3819642873833</v>
      </c>
      <c r="Q519" s="160">
        <v>-1.0482179664621101E-2</v>
      </c>
      <c r="R519" s="160">
        <v>0.16887995789268201</v>
      </c>
      <c r="S519" s="160">
        <v>1.9680354292114399E-2</v>
      </c>
      <c r="T519" s="160">
        <v>0.96997032771625102</v>
      </c>
      <c r="U519" s="160">
        <v>0.83308102275395102</v>
      </c>
      <c r="V519" s="160">
        <v>0.53796045656897196</v>
      </c>
      <c r="W519" s="160"/>
      <c r="X519" s="59"/>
      <c r="Y519" s="159"/>
      <c r="Z519" s="159"/>
      <c r="AA519" s="159"/>
      <c r="AB519" s="159"/>
      <c r="AC519" s="159"/>
      <c r="AD519" s="161"/>
      <c r="AE519" s="160"/>
    </row>
    <row r="520" spans="1:31" ht="21.25" customHeight="1" x14ac:dyDescent="0.15">
      <c r="A520" s="8" t="s">
        <v>558</v>
      </c>
      <c r="B520" s="157" t="s">
        <v>880</v>
      </c>
      <c r="C520" s="158">
        <v>21</v>
      </c>
      <c r="D520" s="157" t="s">
        <v>860</v>
      </c>
      <c r="E520" s="59">
        <v>72.290000000000006</v>
      </c>
      <c r="F520" s="159">
        <v>15.7607254043516</v>
      </c>
      <c r="G520" s="160">
        <v>5.9214626455060197E-2</v>
      </c>
      <c r="H520" s="160">
        <v>0.182866621178565</v>
      </c>
      <c r="I520" s="160">
        <v>0.24208124763362401</v>
      </c>
      <c r="J520" s="160">
        <v>0.93386564039529996</v>
      </c>
      <c r="K520" s="160">
        <v>3.2409741857611498E-4</v>
      </c>
      <c r="L520" s="160">
        <v>2.9456078645098702E-3</v>
      </c>
      <c r="M520" s="160">
        <v>3.9478847440220998E-4</v>
      </c>
      <c r="N520" s="160">
        <v>1.4697215474423499E-3</v>
      </c>
      <c r="O520" s="160">
        <v>1.4409419190109101</v>
      </c>
      <c r="P520" s="160">
        <v>1.6142651537227699</v>
      </c>
      <c r="Q520" s="160">
        <v>4.4294267036145099E-2</v>
      </c>
      <c r="R520" s="160">
        <v>0.27289426952425699</v>
      </c>
      <c r="S520" s="160">
        <v>1.00900617721198E-2</v>
      </c>
      <c r="T520" s="160">
        <v>0</v>
      </c>
      <c r="U520" s="160">
        <v>0</v>
      </c>
      <c r="V520" s="160">
        <v>0</v>
      </c>
      <c r="W520" s="160"/>
      <c r="X520" s="59"/>
      <c r="Y520" s="159"/>
      <c r="Z520" s="159"/>
      <c r="AA520" s="159"/>
      <c r="AB520" s="159"/>
      <c r="AC520" s="159"/>
      <c r="AD520" s="161"/>
      <c r="AE520" s="160"/>
    </row>
    <row r="521" spans="1:31" ht="21.25" customHeight="1" x14ac:dyDescent="0.15">
      <c r="A521" s="8" t="s">
        <v>598</v>
      </c>
      <c r="B521" s="157" t="s">
        <v>904</v>
      </c>
      <c r="C521" s="158">
        <v>26</v>
      </c>
      <c r="D521" s="157" t="s">
        <v>860</v>
      </c>
      <c r="E521" s="59">
        <v>60</v>
      </c>
      <c r="F521" s="159">
        <v>15.832389442261601</v>
      </c>
      <c r="G521" s="160">
        <v>6.1284800924293503E-2</v>
      </c>
      <c r="H521" s="160">
        <v>0.179650933928616</v>
      </c>
      <c r="I521" s="160">
        <v>0.24093573485291001</v>
      </c>
      <c r="J521" s="160">
        <v>1.2375780987273699</v>
      </c>
      <c r="K521" s="160">
        <v>1.8202055244572599E-4</v>
      </c>
      <c r="L521" s="160">
        <v>1.6602108334217601E-3</v>
      </c>
      <c r="M521" s="160">
        <v>0</v>
      </c>
      <c r="N521" s="160">
        <v>0</v>
      </c>
      <c r="O521" s="160">
        <v>0.98894694978458897</v>
      </c>
      <c r="P521" s="160">
        <v>0.83554700944063498</v>
      </c>
      <c r="Q521" s="160">
        <v>5.67597324141394E-3</v>
      </c>
      <c r="R521" s="160">
        <v>0.35858515684120101</v>
      </c>
      <c r="S521" s="160"/>
      <c r="T521" s="160">
        <v>0</v>
      </c>
      <c r="U521" s="160">
        <v>0</v>
      </c>
      <c r="V521" s="160">
        <v>0</v>
      </c>
      <c r="W521" s="160"/>
      <c r="X521" s="59"/>
      <c r="Y521" s="159"/>
      <c r="Z521" s="159"/>
      <c r="AA521" s="159"/>
      <c r="AB521" s="159"/>
      <c r="AC521" s="159"/>
      <c r="AD521" s="161"/>
      <c r="AE521" s="160"/>
    </row>
    <row r="522" spans="1:31" ht="21.25" customHeight="1" x14ac:dyDescent="0.15">
      <c r="A522" s="8" t="s">
        <v>735</v>
      </c>
      <c r="B522" s="157" t="s">
        <v>876</v>
      </c>
      <c r="C522" s="158">
        <v>30</v>
      </c>
      <c r="D522" s="157" t="s">
        <v>858</v>
      </c>
      <c r="E522" s="59">
        <v>70</v>
      </c>
      <c r="F522" s="159">
        <v>12.553484848484899</v>
      </c>
      <c r="G522" s="160">
        <v>8.3233789207331502E-2</v>
      </c>
      <c r="H522" s="160">
        <v>0.15694210248448201</v>
      </c>
      <c r="I522" s="160">
        <v>0.240175891691813</v>
      </c>
      <c r="J522" s="160">
        <v>1.09864833669609</v>
      </c>
      <c r="K522" s="160">
        <v>4.8161254547845599E-4</v>
      </c>
      <c r="L522" s="160">
        <v>1.448552172617E-3</v>
      </c>
      <c r="M522" s="160">
        <v>8.9237252996816098E-3</v>
      </c>
      <c r="N522" s="160">
        <v>1.52867610241849E-2</v>
      </c>
      <c r="O522" s="160">
        <v>0.47188634324816697</v>
      </c>
      <c r="P522" s="160">
        <v>1.1383696693840599</v>
      </c>
      <c r="Q522" s="160">
        <v>-2.7866294515745899E-3</v>
      </c>
      <c r="R522" s="160">
        <v>0.42430968758857401</v>
      </c>
      <c r="S522" s="160">
        <v>1.22512317378366E-2</v>
      </c>
      <c r="T522" s="160">
        <v>5.0201423171717696</v>
      </c>
      <c r="U522" s="160">
        <v>3.9653894141383699</v>
      </c>
      <c r="V522" s="160">
        <v>0.55869173547949902</v>
      </c>
      <c r="W522" s="160"/>
      <c r="X522" s="59"/>
      <c r="Y522" s="159"/>
      <c r="Z522" s="159"/>
      <c r="AA522" s="159"/>
      <c r="AB522" s="159"/>
      <c r="AC522" s="159"/>
      <c r="AD522" s="161"/>
      <c r="AE522" s="160"/>
    </row>
    <row r="523" spans="1:31" ht="21.25" customHeight="1" x14ac:dyDescent="0.15">
      <c r="A523" s="8" t="s">
        <v>489</v>
      </c>
      <c r="B523" s="157" t="s">
        <v>897</v>
      </c>
      <c r="C523" s="158">
        <v>25</v>
      </c>
      <c r="D523" s="157" t="s">
        <v>860</v>
      </c>
      <c r="E523" s="59">
        <v>76.9546428571429</v>
      </c>
      <c r="F523" s="159">
        <v>17.832198404279101</v>
      </c>
      <c r="G523" s="160">
        <v>3.8521456312399498E-2</v>
      </c>
      <c r="H523" s="160">
        <v>0.20097540544812201</v>
      </c>
      <c r="I523" s="160">
        <v>0.23949686176052201</v>
      </c>
      <c r="J523" s="160">
        <v>1.2971314334146</v>
      </c>
      <c r="K523" s="160">
        <v>1.5957097879091501E-3</v>
      </c>
      <c r="L523" s="160">
        <v>6.96040286239916E-3</v>
      </c>
      <c r="M523" s="160">
        <v>3.4804170182735101E-4</v>
      </c>
      <c r="N523" s="160">
        <v>1.28203867213821E-3</v>
      </c>
      <c r="O523" s="160">
        <v>1.5177482423833</v>
      </c>
      <c r="P523" s="160">
        <v>1.338474399733</v>
      </c>
      <c r="Q523" s="160">
        <v>-1.3112127340824E-2</v>
      </c>
      <c r="R523" s="160">
        <v>0.51325169619747002</v>
      </c>
      <c r="S523" s="160">
        <v>5.62514011475688E-3</v>
      </c>
      <c r="T523" s="160">
        <v>0</v>
      </c>
      <c r="U523" s="160">
        <v>0</v>
      </c>
      <c r="V523" s="160">
        <v>0</v>
      </c>
      <c r="W523" s="160"/>
      <c r="X523" s="59"/>
      <c r="Y523" s="159"/>
      <c r="Z523" s="159"/>
      <c r="AA523" s="159"/>
      <c r="AB523" s="159"/>
      <c r="AC523" s="159"/>
      <c r="AD523" s="161"/>
      <c r="AE523" s="160"/>
    </row>
    <row r="524" spans="1:31" ht="21.25" customHeight="1" x14ac:dyDescent="0.15">
      <c r="A524" s="8" t="s">
        <v>698</v>
      </c>
      <c r="B524" s="157" t="s">
        <v>883</v>
      </c>
      <c r="C524" s="158">
        <v>30</v>
      </c>
      <c r="D524" s="157" t="s">
        <v>858</v>
      </c>
      <c r="E524" s="59">
        <v>76.102500000000006</v>
      </c>
      <c r="F524" s="159">
        <v>13.102413782124</v>
      </c>
      <c r="G524" s="160">
        <v>0.11018757256039199</v>
      </c>
      <c r="H524" s="160">
        <v>0.12904876862222001</v>
      </c>
      <c r="I524" s="160">
        <v>0.239236341182611</v>
      </c>
      <c r="J524" s="160">
        <v>1.31283819978811</v>
      </c>
      <c r="K524" s="160">
        <v>2.5756188585254101E-3</v>
      </c>
      <c r="L524" s="160">
        <v>9.3123704012380206E-3</v>
      </c>
      <c r="M524" s="160">
        <v>1.03455082624273E-3</v>
      </c>
      <c r="N524" s="160">
        <v>2.1550617817428798E-3</v>
      </c>
      <c r="O524" s="160">
        <v>0.46349649901663798</v>
      </c>
      <c r="P524" s="160">
        <v>0.84009962500985702</v>
      </c>
      <c r="Q524" s="160">
        <v>9.8981166753289301E-3</v>
      </c>
      <c r="R524" s="160">
        <v>0.231537161185979</v>
      </c>
      <c r="S524" s="160">
        <v>1.7536281973540901E-2</v>
      </c>
      <c r="T524" s="160">
        <v>7.8251428625282393E-2</v>
      </c>
      <c r="U524" s="160">
        <v>0.131111314072338</v>
      </c>
      <c r="V524" s="160">
        <v>0.37376004735618101</v>
      </c>
      <c r="W524" s="160"/>
      <c r="X524" s="59"/>
      <c r="Y524" s="159"/>
      <c r="Z524" s="159"/>
      <c r="AA524" s="159"/>
      <c r="AB524" s="159"/>
      <c r="AC524" s="159"/>
      <c r="AD524" s="161"/>
      <c r="AE524" s="160"/>
    </row>
    <row r="525" spans="1:31" ht="21.25" customHeight="1" x14ac:dyDescent="0.15">
      <c r="A525" s="8" t="s">
        <v>499</v>
      </c>
      <c r="B525" s="157" t="s">
        <v>891</v>
      </c>
      <c r="C525" s="158">
        <v>32</v>
      </c>
      <c r="D525" s="157" t="s">
        <v>860</v>
      </c>
      <c r="E525" s="59">
        <v>74.141071428571394</v>
      </c>
      <c r="F525" s="159">
        <v>18.116557673989799</v>
      </c>
      <c r="G525" s="160">
        <v>4.8600267596599502E-2</v>
      </c>
      <c r="H525" s="160">
        <v>0.19019087992461001</v>
      </c>
      <c r="I525" s="160">
        <v>0.23879114752121</v>
      </c>
      <c r="J525" s="160">
        <v>1.1860487559060999</v>
      </c>
      <c r="K525" s="160">
        <v>5.5157058443554502E-4</v>
      </c>
      <c r="L525" s="160">
        <v>6.7839661716694302E-3</v>
      </c>
      <c r="M525" s="160">
        <v>3.1993043749992101E-4</v>
      </c>
      <c r="N525" s="160">
        <v>5.5500087378056199E-3</v>
      </c>
      <c r="O525" s="160">
        <v>1.8705696492952599</v>
      </c>
      <c r="P525" s="160">
        <v>0.55660830349500101</v>
      </c>
      <c r="Q525" s="160">
        <v>-2.4734686898226499E-2</v>
      </c>
      <c r="R525" s="160">
        <v>0.30385762319606102</v>
      </c>
      <c r="S525" s="160">
        <v>5.9781190092081798E-3</v>
      </c>
      <c r="T525" s="160">
        <v>0</v>
      </c>
      <c r="U525" s="160">
        <v>0</v>
      </c>
      <c r="V525" s="160">
        <v>0</v>
      </c>
      <c r="W525" s="160"/>
      <c r="X525" s="59"/>
      <c r="Y525" s="159"/>
      <c r="Z525" s="159"/>
      <c r="AA525" s="159"/>
      <c r="AB525" s="159"/>
      <c r="AC525" s="159"/>
      <c r="AD525" s="161"/>
      <c r="AE525" s="160"/>
    </row>
    <row r="526" spans="1:31" ht="21.25" customHeight="1" x14ac:dyDescent="0.15">
      <c r="A526" s="8" t="s">
        <v>605</v>
      </c>
      <c r="B526" s="157" t="s">
        <v>900</v>
      </c>
      <c r="C526" s="158">
        <v>22</v>
      </c>
      <c r="D526" s="157" t="s">
        <v>860</v>
      </c>
      <c r="E526" s="59">
        <v>55.055</v>
      </c>
      <c r="F526" s="159">
        <v>14.4955031132376</v>
      </c>
      <c r="G526" s="160">
        <v>7.4913165112673305E-2</v>
      </c>
      <c r="H526" s="160">
        <v>0.163154349678335</v>
      </c>
      <c r="I526" s="160">
        <v>0.23806751479100899</v>
      </c>
      <c r="J526" s="160">
        <v>1.12882747209615</v>
      </c>
      <c r="K526" s="160">
        <v>1.2659846255261099E-2</v>
      </c>
      <c r="L526" s="160">
        <v>6.9627808406354505E-2</v>
      </c>
      <c r="M526" s="160">
        <v>3.0484624855806201E-5</v>
      </c>
      <c r="N526" s="160">
        <v>1.1453586462704399E-4</v>
      </c>
      <c r="O526" s="160">
        <v>0.97056060678708</v>
      </c>
      <c r="P526" s="160">
        <v>1.36547577980654</v>
      </c>
      <c r="Q526" s="160">
        <v>9.4045603231958704E-3</v>
      </c>
      <c r="R526" s="160">
        <v>0.29036499500925</v>
      </c>
      <c r="S526" s="160">
        <v>1.15757214126223E-2</v>
      </c>
      <c r="T526" s="160">
        <v>0</v>
      </c>
      <c r="U526" s="160">
        <v>0</v>
      </c>
      <c r="V526" s="160">
        <v>0</v>
      </c>
      <c r="W526" s="160"/>
      <c r="X526" s="59"/>
      <c r="Y526" s="159"/>
      <c r="Z526" s="159"/>
      <c r="AA526" s="159"/>
      <c r="AB526" s="159"/>
      <c r="AC526" s="159"/>
      <c r="AD526" s="161"/>
      <c r="AE526" s="160"/>
    </row>
    <row r="527" spans="1:31" ht="21.25" customHeight="1" x14ac:dyDescent="0.15">
      <c r="A527" s="8" t="s">
        <v>697</v>
      </c>
      <c r="B527" s="157" t="s">
        <v>876</v>
      </c>
      <c r="C527" s="158">
        <v>22</v>
      </c>
      <c r="D527" s="157" t="s">
        <v>860</v>
      </c>
      <c r="E527" s="59">
        <v>50</v>
      </c>
      <c r="F527" s="159">
        <v>8.3803449690663001</v>
      </c>
      <c r="G527" s="160">
        <v>0.13277099219213001</v>
      </c>
      <c r="H527" s="160">
        <v>0.104780584099878</v>
      </c>
      <c r="I527" s="160">
        <v>0.23755157629200899</v>
      </c>
      <c r="J527" s="160">
        <v>0.881643032815417</v>
      </c>
      <c r="K527" s="160">
        <v>7.3732224106655195E-5</v>
      </c>
      <c r="L527" s="160">
        <v>1.89090326852501E-4</v>
      </c>
      <c r="M527" s="160">
        <v>0</v>
      </c>
      <c r="N527" s="160">
        <v>0</v>
      </c>
      <c r="O527" s="160">
        <v>0.33859105442623799</v>
      </c>
      <c r="P527" s="160">
        <v>1.17306522725072</v>
      </c>
      <c r="Q527" s="160">
        <v>6.4956033164355097E-3</v>
      </c>
      <c r="R527" s="160">
        <v>0.17162745708579</v>
      </c>
      <c r="S527" s="160">
        <v>1.95426425842091E-2</v>
      </c>
      <c r="T527" s="160">
        <v>0</v>
      </c>
      <c r="U527" s="160">
        <v>0.36160998408540002</v>
      </c>
      <c r="V527" s="160">
        <v>0</v>
      </c>
      <c r="W527" s="160"/>
      <c r="X527" s="59"/>
      <c r="Y527" s="159"/>
      <c r="Z527" s="159"/>
      <c r="AA527" s="159"/>
      <c r="AB527" s="159"/>
      <c r="AC527" s="159"/>
      <c r="AD527" s="161"/>
      <c r="AE527" s="160"/>
    </row>
    <row r="528" spans="1:31" ht="21.25" customHeight="1" x14ac:dyDescent="0.15">
      <c r="A528" s="8" t="s">
        <v>613</v>
      </c>
      <c r="B528" s="157" t="s">
        <v>887</v>
      </c>
      <c r="C528" s="158">
        <v>22</v>
      </c>
      <c r="D528" s="157" t="s">
        <v>860</v>
      </c>
      <c r="E528" s="59">
        <v>56.110714285714302</v>
      </c>
      <c r="F528" s="159">
        <v>16.5161842348652</v>
      </c>
      <c r="G528" s="160">
        <v>3.3329346408901797E-2</v>
      </c>
      <c r="H528" s="160">
        <v>0.20396873955555</v>
      </c>
      <c r="I528" s="160">
        <v>0.23729808596445201</v>
      </c>
      <c r="J528" s="160">
        <v>1.07050965700853</v>
      </c>
      <c r="K528" s="160">
        <v>1.5724863490650201E-3</v>
      </c>
      <c r="L528" s="160">
        <v>2.5388646195706601E-2</v>
      </c>
      <c r="M528" s="160">
        <v>2.37796164717679E-4</v>
      </c>
      <c r="N528" s="160">
        <v>8.5176322091077899E-4</v>
      </c>
      <c r="O528" s="160">
        <v>1.2681628332310899</v>
      </c>
      <c r="P528" s="160">
        <v>0.97936795067787896</v>
      </c>
      <c r="Q528" s="160">
        <v>-4.49625171539383E-2</v>
      </c>
      <c r="R528" s="160">
        <v>0.551920609515548</v>
      </c>
      <c r="S528" s="160">
        <v>4.1078418043537304E-3</v>
      </c>
      <c r="T528" s="160">
        <v>0</v>
      </c>
      <c r="U528" s="160">
        <v>0</v>
      </c>
      <c r="V528" s="160">
        <v>0</v>
      </c>
      <c r="W528" s="160"/>
      <c r="X528" s="59"/>
      <c r="Y528" s="159"/>
      <c r="Z528" s="159"/>
      <c r="AA528" s="159"/>
      <c r="AB528" s="159"/>
      <c r="AC528" s="159"/>
      <c r="AD528" s="161"/>
      <c r="AE528" s="160"/>
    </row>
    <row r="529" spans="1:31" ht="21.25" customHeight="1" x14ac:dyDescent="0.15">
      <c r="A529" s="8" t="s">
        <v>574</v>
      </c>
      <c r="B529" s="157" t="s">
        <v>873</v>
      </c>
      <c r="C529" s="158">
        <v>25</v>
      </c>
      <c r="D529" s="157" t="s">
        <v>860</v>
      </c>
      <c r="E529" s="59">
        <v>69.683571428571398</v>
      </c>
      <c r="F529" s="159">
        <v>15.8757315118324</v>
      </c>
      <c r="G529" s="160">
        <v>6.2861232765771005E-2</v>
      </c>
      <c r="H529" s="160">
        <v>0.173256801322829</v>
      </c>
      <c r="I529" s="160">
        <v>0.23611803408859999</v>
      </c>
      <c r="J529" s="160">
        <v>1.0988167938798701</v>
      </c>
      <c r="K529" s="160">
        <v>2.7258088777410702E-4</v>
      </c>
      <c r="L529" s="160">
        <v>1.86003263859398E-3</v>
      </c>
      <c r="M529" s="160">
        <v>2.44626053033615E-4</v>
      </c>
      <c r="N529" s="160">
        <v>9.1444067818849503E-4</v>
      </c>
      <c r="O529" s="160">
        <v>1.075106145458</v>
      </c>
      <c r="P529" s="160">
        <v>1.40585749593094</v>
      </c>
      <c r="Q529" s="160">
        <v>5.3664138637773903E-2</v>
      </c>
      <c r="R529" s="160">
        <v>0.38037773153388499</v>
      </c>
      <c r="S529" s="160">
        <v>9.0175872256381094E-3</v>
      </c>
      <c r="T529" s="160">
        <v>0</v>
      </c>
      <c r="U529" s="160">
        <v>0</v>
      </c>
      <c r="V529" s="160">
        <v>0</v>
      </c>
      <c r="W529" s="160"/>
      <c r="X529" s="59"/>
      <c r="Y529" s="159"/>
      <c r="Z529" s="159"/>
      <c r="AA529" s="159"/>
      <c r="AB529" s="159"/>
      <c r="AC529" s="159"/>
      <c r="AD529" s="161"/>
      <c r="AE529" s="160"/>
    </row>
    <row r="530" spans="1:31" ht="21.25" customHeight="1" x14ac:dyDescent="0.15">
      <c r="A530" s="8" t="s">
        <v>547</v>
      </c>
      <c r="B530" s="157" t="s">
        <v>885</v>
      </c>
      <c r="C530" s="158">
        <v>32</v>
      </c>
      <c r="D530" s="157" t="s">
        <v>860</v>
      </c>
      <c r="E530" s="59">
        <v>80.357500000000002</v>
      </c>
      <c r="F530" s="159">
        <v>17.669817243627499</v>
      </c>
      <c r="G530" s="160">
        <v>2.48666749453367E-2</v>
      </c>
      <c r="H530" s="160">
        <v>0.21124610582116801</v>
      </c>
      <c r="I530" s="160">
        <v>0.23611278076650499</v>
      </c>
      <c r="J530" s="160">
        <v>0.86482788623387796</v>
      </c>
      <c r="K530" s="160">
        <v>7.1497013232024395E-4</v>
      </c>
      <c r="L530" s="160">
        <v>1.19042492608577E-2</v>
      </c>
      <c r="M530" s="160">
        <v>4.1131098962595401E-4</v>
      </c>
      <c r="N530" s="160">
        <v>1.79778978065159E-3</v>
      </c>
      <c r="O530" s="160">
        <v>1.0604106088365</v>
      </c>
      <c r="P530" s="160">
        <v>0.666308546608677</v>
      </c>
      <c r="Q530" s="160">
        <v>-6.3983816881861597E-2</v>
      </c>
      <c r="R530" s="160">
        <v>0.245828469420141</v>
      </c>
      <c r="S530" s="160">
        <v>2.8614762133622302E-3</v>
      </c>
      <c r="T530" s="160">
        <v>0</v>
      </c>
      <c r="U530" s="160">
        <v>0</v>
      </c>
      <c r="V530" s="160">
        <v>0</v>
      </c>
      <c r="W530" s="160"/>
      <c r="X530" s="59"/>
      <c r="Y530" s="159"/>
      <c r="Z530" s="159"/>
      <c r="AA530" s="159"/>
      <c r="AB530" s="159"/>
      <c r="AC530" s="159"/>
      <c r="AD530" s="161"/>
      <c r="AE530" s="160"/>
    </row>
    <row r="531" spans="1:31" ht="21.25" customHeight="1" x14ac:dyDescent="0.15">
      <c r="A531" s="8" t="s">
        <v>498</v>
      </c>
      <c r="B531" s="157" t="s">
        <v>870</v>
      </c>
      <c r="C531" s="158">
        <v>29</v>
      </c>
      <c r="D531" s="157" t="s">
        <v>860</v>
      </c>
      <c r="E531" s="59">
        <v>79.465714285714299</v>
      </c>
      <c r="F531" s="159">
        <v>16.731350464938998</v>
      </c>
      <c r="G531" s="160">
        <v>4.7244257193654597E-2</v>
      </c>
      <c r="H531" s="160">
        <v>0.18884118056657401</v>
      </c>
      <c r="I531" s="160">
        <v>0.236085437760229</v>
      </c>
      <c r="J531" s="160">
        <v>1.2850673904684999</v>
      </c>
      <c r="K531" s="160">
        <v>2.4852810470643702E-4</v>
      </c>
      <c r="L531" s="160">
        <v>1.71916851837317E-3</v>
      </c>
      <c r="M531" s="160">
        <v>2.6231696649316698E-4</v>
      </c>
      <c r="N531" s="160">
        <v>1.1520071651340299E-2</v>
      </c>
      <c r="O531" s="160">
        <v>1.13643075204344</v>
      </c>
      <c r="P531" s="160">
        <v>1.25470093311283</v>
      </c>
      <c r="Q531" s="160">
        <v>6.3045452213760497E-2</v>
      </c>
      <c r="R531" s="160">
        <v>0.49208851457149599</v>
      </c>
      <c r="S531" s="160">
        <v>7.4782587172242E-3</v>
      </c>
      <c r="T531" s="160">
        <v>0</v>
      </c>
      <c r="U531" s="160">
        <v>0</v>
      </c>
      <c r="V531" s="160">
        <v>0</v>
      </c>
      <c r="W531" s="160"/>
      <c r="X531" s="59"/>
      <c r="Y531" s="159"/>
      <c r="Z531" s="159"/>
      <c r="AA531" s="159"/>
      <c r="AB531" s="159"/>
      <c r="AC531" s="159"/>
      <c r="AD531" s="161"/>
      <c r="AE531" s="160"/>
    </row>
    <row r="532" spans="1:31" ht="21.25" customHeight="1" x14ac:dyDescent="0.15">
      <c r="A532" s="8" t="s">
        <v>453</v>
      </c>
      <c r="B532" s="157" t="s">
        <v>895</v>
      </c>
      <c r="C532" s="158">
        <v>32</v>
      </c>
      <c r="D532" s="157" t="s">
        <v>860</v>
      </c>
      <c r="E532" s="59">
        <v>78.046071428571395</v>
      </c>
      <c r="F532" s="159">
        <v>20.097319954268301</v>
      </c>
      <c r="G532" s="160">
        <v>3.2432689550276797E-2</v>
      </c>
      <c r="H532" s="160">
        <v>0.20364787876732701</v>
      </c>
      <c r="I532" s="160">
        <v>0.23608056831760399</v>
      </c>
      <c r="J532" s="160">
        <v>1.18130776308939</v>
      </c>
      <c r="K532" s="160">
        <v>2.49230429492615E-4</v>
      </c>
      <c r="L532" s="160">
        <v>1.8683185771996699E-3</v>
      </c>
      <c r="M532" s="160">
        <v>2.59829353434215E-4</v>
      </c>
      <c r="N532" s="160">
        <v>1.29278504481711E-2</v>
      </c>
      <c r="O532" s="160">
        <v>2.31147269404148</v>
      </c>
      <c r="P532" s="160">
        <v>2.2510077104163302</v>
      </c>
      <c r="Q532" s="160">
        <v>6.7378576727265105E-2</v>
      </c>
      <c r="R532" s="160">
        <v>0.524836616719905</v>
      </c>
      <c r="S532" s="160">
        <v>5.3003863905981604E-3</v>
      </c>
      <c r="T532" s="160">
        <v>0</v>
      </c>
      <c r="U532" s="160">
        <v>0</v>
      </c>
      <c r="V532" s="160">
        <v>0</v>
      </c>
      <c r="W532" s="160"/>
      <c r="X532" s="59"/>
      <c r="Y532" s="159"/>
      <c r="Z532" s="159"/>
      <c r="AA532" s="159"/>
      <c r="AB532" s="159"/>
      <c r="AC532" s="159"/>
      <c r="AD532" s="161"/>
      <c r="AE532" s="160"/>
    </row>
    <row r="533" spans="1:31" ht="21.25" customHeight="1" x14ac:dyDescent="0.15">
      <c r="A533" s="8" t="s">
        <v>749</v>
      </c>
      <c r="B533" s="157" t="s">
        <v>897</v>
      </c>
      <c r="C533" s="158">
        <v>27</v>
      </c>
      <c r="D533" s="157" t="s">
        <v>858</v>
      </c>
      <c r="E533" s="59">
        <v>69.172499999999999</v>
      </c>
      <c r="F533" s="159">
        <v>12.2373452416932</v>
      </c>
      <c r="G533" s="160">
        <v>7.0124373085878697E-2</v>
      </c>
      <c r="H533" s="160">
        <v>0.16572455560690699</v>
      </c>
      <c r="I533" s="160">
        <v>0.23584892869278701</v>
      </c>
      <c r="J533" s="160">
        <v>0.94952247736814099</v>
      </c>
      <c r="K533" s="160">
        <v>7.7476016909058701E-4</v>
      </c>
      <c r="L533" s="160">
        <v>1.9971257447167598E-3</v>
      </c>
      <c r="M533" s="160">
        <v>2.2224707653093799E-3</v>
      </c>
      <c r="N533" s="160">
        <v>2.1777332218396599E-2</v>
      </c>
      <c r="O533" s="160">
        <v>0.37058057383927401</v>
      </c>
      <c r="P533" s="160">
        <v>2.59538048040665</v>
      </c>
      <c r="Q533" s="160">
        <v>-2.8378936604677E-2</v>
      </c>
      <c r="R533" s="160">
        <v>0.60804069399798399</v>
      </c>
      <c r="S533" s="160">
        <v>1.0239992508813399E-2</v>
      </c>
      <c r="T533" s="160">
        <v>0</v>
      </c>
      <c r="U533" s="160">
        <v>7.1179906208527002E-2</v>
      </c>
      <c r="V533" s="160">
        <v>0</v>
      </c>
      <c r="W533" s="160"/>
      <c r="X533" s="59"/>
      <c r="Y533" s="159"/>
      <c r="Z533" s="159"/>
      <c r="AA533" s="159"/>
      <c r="AB533" s="159"/>
      <c r="AC533" s="159"/>
      <c r="AD533" s="161"/>
      <c r="AE533" s="160"/>
    </row>
    <row r="534" spans="1:31" ht="21.25" customHeight="1" x14ac:dyDescent="0.15">
      <c r="A534" s="8" t="s">
        <v>554</v>
      </c>
      <c r="B534" s="157" t="s">
        <v>878</v>
      </c>
      <c r="C534" s="158">
        <v>23</v>
      </c>
      <c r="D534" s="157" t="s">
        <v>860</v>
      </c>
      <c r="E534" s="59">
        <v>66.387500000000003</v>
      </c>
      <c r="F534" s="159">
        <v>15.4451657787094</v>
      </c>
      <c r="G534" s="160">
        <v>7.08074172311072E-2</v>
      </c>
      <c r="H534" s="160">
        <v>0.164441923610079</v>
      </c>
      <c r="I534" s="160">
        <v>0.23524934084118701</v>
      </c>
      <c r="J534" s="160">
        <v>1.35839928752471</v>
      </c>
      <c r="K534" s="160">
        <v>7.1198349541248401E-3</v>
      </c>
      <c r="L534" s="160">
        <v>2.3383761111456999E-2</v>
      </c>
      <c r="M534" s="160">
        <v>3.4888417345090102E-5</v>
      </c>
      <c r="N534" s="160">
        <v>1.3095648090993001E-4</v>
      </c>
      <c r="O534" s="160">
        <v>1.06460641668638</v>
      </c>
      <c r="P534" s="160">
        <v>0.93542064630169997</v>
      </c>
      <c r="Q534" s="160">
        <v>5.26188604243715E-2</v>
      </c>
      <c r="R534" s="160">
        <v>0.346327311582737</v>
      </c>
      <c r="S534" s="160">
        <v>1.1328684799340299E-2</v>
      </c>
      <c r="T534" s="160">
        <v>0</v>
      </c>
      <c r="U534" s="160">
        <v>0</v>
      </c>
      <c r="V534" s="160">
        <v>0</v>
      </c>
      <c r="W534" s="160"/>
      <c r="X534" s="59"/>
      <c r="Y534" s="159"/>
      <c r="Z534" s="159"/>
      <c r="AA534" s="159"/>
      <c r="AB534" s="159"/>
      <c r="AC534" s="159"/>
      <c r="AD534" s="161"/>
      <c r="AE534" s="160"/>
    </row>
    <row r="535" spans="1:31" ht="21.25" customHeight="1" x14ac:dyDescent="0.15">
      <c r="A535" s="8" t="s">
        <v>821</v>
      </c>
      <c r="B535" s="157" t="s">
        <v>872</v>
      </c>
      <c r="C535" s="158">
        <v>25</v>
      </c>
      <c r="D535" s="157" t="s">
        <v>857</v>
      </c>
      <c r="E535" s="59">
        <v>58.833928571428601</v>
      </c>
      <c r="F535" s="159">
        <v>9.8003265705411593</v>
      </c>
      <c r="G535" s="160">
        <v>9.1253245168252894E-2</v>
      </c>
      <c r="H535" s="160">
        <v>0.14277669618642999</v>
      </c>
      <c r="I535" s="160">
        <v>0.234029941354683</v>
      </c>
      <c r="J535" s="160">
        <v>0.77208047516586298</v>
      </c>
      <c r="K535" s="160">
        <v>2.7939652018941601E-3</v>
      </c>
      <c r="L535" s="160">
        <v>8.7131450498321092E-3</v>
      </c>
      <c r="M535" s="160">
        <v>6.0537285424327301E-5</v>
      </c>
      <c r="N535" s="160">
        <v>1.10641498607547E-4</v>
      </c>
      <c r="O535" s="160">
        <v>0.299443414116493</v>
      </c>
      <c r="P535" s="160">
        <v>0.91576455801102197</v>
      </c>
      <c r="Q535" s="160">
        <v>-6.3819867861454301E-3</v>
      </c>
      <c r="R535" s="160">
        <v>0.24470294574422599</v>
      </c>
      <c r="S535" s="160">
        <v>1.42811660166299E-2</v>
      </c>
      <c r="T535" s="160">
        <v>1.8451529728831699</v>
      </c>
      <c r="U535" s="160">
        <v>3.1900658536740498</v>
      </c>
      <c r="V535" s="160">
        <v>0.36644941092754402</v>
      </c>
      <c r="W535" s="160"/>
      <c r="X535" s="59"/>
      <c r="Y535" s="159"/>
      <c r="Z535" s="159"/>
      <c r="AA535" s="159"/>
      <c r="AB535" s="159"/>
      <c r="AC535" s="159"/>
      <c r="AD535" s="161"/>
      <c r="AE535" s="160"/>
    </row>
    <row r="536" spans="1:31" ht="21.25" customHeight="1" x14ac:dyDescent="0.15">
      <c r="A536" s="8" t="s">
        <v>585</v>
      </c>
      <c r="B536" s="157" t="s">
        <v>901</v>
      </c>
      <c r="C536" s="158">
        <v>26</v>
      </c>
      <c r="D536" s="157" t="s">
        <v>860</v>
      </c>
      <c r="E536" s="59">
        <v>68.969285714285704</v>
      </c>
      <c r="F536" s="159">
        <v>16.274512713414701</v>
      </c>
      <c r="G536" s="160">
        <v>4.3449480380185403E-2</v>
      </c>
      <c r="H536" s="160">
        <v>0.189248849597557</v>
      </c>
      <c r="I536" s="160">
        <v>0.23269832997774301</v>
      </c>
      <c r="J536" s="160">
        <v>1.0086090498239599</v>
      </c>
      <c r="K536" s="160">
        <v>3.0739319549278498E-4</v>
      </c>
      <c r="L536" s="160">
        <v>2.0892309594069901E-3</v>
      </c>
      <c r="M536" s="160">
        <v>4.77315356921087E-4</v>
      </c>
      <c r="N536" s="160">
        <v>1.8343684208562601E-3</v>
      </c>
      <c r="O536" s="160">
        <v>1.12308175467345</v>
      </c>
      <c r="P536" s="160">
        <v>2.1641968936385201</v>
      </c>
      <c r="Q536" s="160">
        <v>-2.7216533830676198E-3</v>
      </c>
      <c r="R536" s="160">
        <v>0.56938049416013703</v>
      </c>
      <c r="S536" s="160">
        <v>6.1073013761938702E-3</v>
      </c>
      <c r="T536" s="160">
        <v>0</v>
      </c>
      <c r="U536" s="160">
        <v>0</v>
      </c>
      <c r="V536" s="160">
        <v>0</v>
      </c>
      <c r="W536" s="160"/>
      <c r="X536" s="59"/>
      <c r="Y536" s="159"/>
      <c r="Z536" s="159"/>
      <c r="AA536" s="159"/>
      <c r="AB536" s="159"/>
      <c r="AC536" s="159"/>
      <c r="AD536" s="161"/>
      <c r="AE536" s="160"/>
    </row>
    <row r="537" spans="1:31" ht="21.25" customHeight="1" x14ac:dyDescent="0.15">
      <c r="A537" s="8" t="s">
        <v>811</v>
      </c>
      <c r="B537" s="157" t="s">
        <v>873</v>
      </c>
      <c r="C537" s="158">
        <v>25</v>
      </c>
      <c r="D537" s="157" t="s">
        <v>857</v>
      </c>
      <c r="E537" s="59">
        <v>60</v>
      </c>
      <c r="F537" s="159">
        <v>10.877065152404199</v>
      </c>
      <c r="G537" s="160">
        <v>7.7193586553307006E-2</v>
      </c>
      <c r="H537" s="160">
        <v>0.15493330820432699</v>
      </c>
      <c r="I537" s="160">
        <v>0.23212689475763401</v>
      </c>
      <c r="J537" s="160">
        <v>1.1479160986474299</v>
      </c>
      <c r="K537" s="160">
        <v>1.0246422506027201E-3</v>
      </c>
      <c r="L537" s="160">
        <v>2.2944170026665701E-3</v>
      </c>
      <c r="M537" s="160">
        <v>1.3611491885520599E-2</v>
      </c>
      <c r="N537" s="160">
        <v>1.4959662707137601E-2</v>
      </c>
      <c r="O537" s="160">
        <v>0.24056469175894599</v>
      </c>
      <c r="P537" s="160">
        <v>0.62680400065764097</v>
      </c>
      <c r="Q537" s="160">
        <v>2.2809709600070099E-2</v>
      </c>
      <c r="R537" s="160">
        <v>0.13095198041682801</v>
      </c>
      <c r="S537" s="160">
        <v>1.1073596068312E-2</v>
      </c>
      <c r="T537" s="160">
        <v>0.39420390272938399</v>
      </c>
      <c r="U537" s="160">
        <v>0.55734757407656099</v>
      </c>
      <c r="V537" s="160">
        <v>0.414274910331284</v>
      </c>
      <c r="W537" s="160"/>
      <c r="X537" s="59"/>
      <c r="Y537" s="159"/>
      <c r="Z537" s="159"/>
      <c r="AA537" s="159"/>
      <c r="AB537" s="159"/>
      <c r="AC537" s="159"/>
      <c r="AD537" s="161"/>
      <c r="AE537" s="160"/>
    </row>
    <row r="538" spans="1:31" ht="21.25" customHeight="1" x14ac:dyDescent="0.15">
      <c r="A538" s="8" t="s">
        <v>525</v>
      </c>
      <c r="B538" s="157" t="s">
        <v>901</v>
      </c>
      <c r="C538" s="158">
        <v>31</v>
      </c>
      <c r="D538" s="157" t="s">
        <v>860</v>
      </c>
      <c r="E538" s="59">
        <v>79.0085714285714</v>
      </c>
      <c r="F538" s="159">
        <v>17.851580830566199</v>
      </c>
      <c r="G538" s="160">
        <v>2.99411677821751E-2</v>
      </c>
      <c r="H538" s="160">
        <v>0.20147047646928401</v>
      </c>
      <c r="I538" s="160">
        <v>0.23141164425145999</v>
      </c>
      <c r="J538" s="160">
        <v>0.945479966156338</v>
      </c>
      <c r="K538" s="160">
        <v>2.4320493242827E-4</v>
      </c>
      <c r="L538" s="160">
        <v>1.78987638306834E-3</v>
      </c>
      <c r="M538" s="160">
        <v>2.02550626383662E-4</v>
      </c>
      <c r="N538" s="160">
        <v>1.1408345373746701E-2</v>
      </c>
      <c r="O538" s="160">
        <v>1.4514480332164601</v>
      </c>
      <c r="P538" s="160">
        <v>1.2415045515679899</v>
      </c>
      <c r="Q538" s="160">
        <v>-2.16240953651274E-2</v>
      </c>
      <c r="R538" s="160">
        <v>0.252828906307071</v>
      </c>
      <c r="S538" s="160">
        <v>4.2085597710466603E-3</v>
      </c>
      <c r="T538" s="160">
        <v>0</v>
      </c>
      <c r="U538" s="160">
        <v>0</v>
      </c>
      <c r="V538" s="160">
        <v>0</v>
      </c>
      <c r="W538" s="160"/>
      <c r="X538" s="59"/>
      <c r="Y538" s="159"/>
      <c r="Z538" s="159"/>
      <c r="AA538" s="159"/>
      <c r="AB538" s="159"/>
      <c r="AC538" s="159"/>
      <c r="AD538" s="161"/>
      <c r="AE538" s="160"/>
    </row>
    <row r="539" spans="1:31" ht="21.25" customHeight="1" x14ac:dyDescent="0.15">
      <c r="A539" s="8" t="s">
        <v>791</v>
      </c>
      <c r="B539" s="157" t="s">
        <v>898</v>
      </c>
      <c r="C539" s="158">
        <v>23</v>
      </c>
      <c r="D539" s="157" t="s">
        <v>857</v>
      </c>
      <c r="E539" s="59">
        <v>72</v>
      </c>
      <c r="F539" s="159">
        <v>11.5508804716291</v>
      </c>
      <c r="G539" s="160">
        <v>0.11090960257417</v>
      </c>
      <c r="H539" s="160">
        <v>0.120494477782776</v>
      </c>
      <c r="I539" s="160">
        <v>0.23140408035694501</v>
      </c>
      <c r="J539" s="160">
        <v>0.975400753091894</v>
      </c>
      <c r="K539" s="160">
        <v>6.0926316879926197E-3</v>
      </c>
      <c r="L539" s="160">
        <v>1.8115266642519799E-2</v>
      </c>
      <c r="M539" s="160">
        <v>1.2590719331113901E-3</v>
      </c>
      <c r="N539" s="160">
        <v>2.32167843688882E-3</v>
      </c>
      <c r="O539" s="160">
        <v>0.45523638256373</v>
      </c>
      <c r="P539" s="160">
        <v>1.6670072279555199</v>
      </c>
      <c r="Q539" s="160">
        <v>-4.6415034919541201E-2</v>
      </c>
      <c r="R539" s="160">
        <v>0.31752919032197402</v>
      </c>
      <c r="S539" s="160">
        <v>1.43196892033656E-2</v>
      </c>
      <c r="T539" s="160">
        <v>3.1764765914646298</v>
      </c>
      <c r="U539" s="160">
        <v>3.8922468859343202</v>
      </c>
      <c r="V539" s="160">
        <v>0.44937061148606</v>
      </c>
      <c r="W539" s="160"/>
      <c r="X539" s="59"/>
      <c r="Y539" s="159"/>
      <c r="Z539" s="159"/>
      <c r="AA539" s="159"/>
      <c r="AB539" s="159"/>
      <c r="AC539" s="159"/>
      <c r="AD539" s="161"/>
      <c r="AE539" s="160"/>
    </row>
    <row r="540" spans="1:31" ht="21.25" customHeight="1" x14ac:dyDescent="0.15">
      <c r="A540" s="8" t="s">
        <v>787</v>
      </c>
      <c r="B540" s="157" t="s">
        <v>875</v>
      </c>
      <c r="C540" s="158">
        <v>24</v>
      </c>
      <c r="D540" s="157" t="s">
        <v>857</v>
      </c>
      <c r="E540" s="59">
        <v>67.19</v>
      </c>
      <c r="F540" s="159">
        <v>10.907855957292099</v>
      </c>
      <c r="G540" s="160">
        <v>8.9255212379785398E-2</v>
      </c>
      <c r="H540" s="160">
        <v>0.14198523230546201</v>
      </c>
      <c r="I540" s="160">
        <v>0.23124044468524799</v>
      </c>
      <c r="J540" s="160">
        <v>1.1107333044894501</v>
      </c>
      <c r="K540" s="160">
        <v>8.0116553345652998E-4</v>
      </c>
      <c r="L540" s="160">
        <v>2.4866028360067101E-3</v>
      </c>
      <c r="M540" s="160">
        <v>3.1436213956922102E-2</v>
      </c>
      <c r="N540" s="160">
        <v>4.2874434057386203E-2</v>
      </c>
      <c r="O540" s="160">
        <v>0.59057796477486102</v>
      </c>
      <c r="P540" s="160">
        <v>1.5042501493862199</v>
      </c>
      <c r="Q540" s="160">
        <v>7.0979742950423802E-3</v>
      </c>
      <c r="R540" s="160">
        <v>0.35327590074823001</v>
      </c>
      <c r="S540" s="160">
        <v>1.4332282071728999E-2</v>
      </c>
      <c r="T540" s="160">
        <v>2.6984613314919601</v>
      </c>
      <c r="U540" s="160">
        <v>3.3327275173257198</v>
      </c>
      <c r="V540" s="160">
        <v>0.44741781415465998</v>
      </c>
      <c r="W540" s="160"/>
      <c r="X540" s="59"/>
      <c r="Y540" s="159"/>
      <c r="Z540" s="159"/>
      <c r="AA540" s="159"/>
      <c r="AB540" s="159"/>
      <c r="AC540" s="159"/>
      <c r="AD540" s="161"/>
      <c r="AE540" s="160"/>
    </row>
    <row r="541" spans="1:31" ht="21.25" customHeight="1" x14ac:dyDescent="0.15">
      <c r="A541" s="8" t="s">
        <v>760</v>
      </c>
      <c r="B541" s="157" t="s">
        <v>879</v>
      </c>
      <c r="C541" s="158">
        <v>26</v>
      </c>
      <c r="D541" s="157" t="s">
        <v>858</v>
      </c>
      <c r="E541" s="59">
        <v>60.211428571428598</v>
      </c>
      <c r="F541" s="159">
        <v>10.2532127375004</v>
      </c>
      <c r="G541" s="160">
        <v>9.7863899866582102E-2</v>
      </c>
      <c r="H541" s="160">
        <v>0.132109679742516</v>
      </c>
      <c r="I541" s="160">
        <v>0.22997357960909801</v>
      </c>
      <c r="J541" s="160">
        <v>1.2171769888269099</v>
      </c>
      <c r="K541" s="160">
        <v>8.2600109446844601E-4</v>
      </c>
      <c r="L541" s="160">
        <v>2.1011789220564498E-3</v>
      </c>
      <c r="M541" s="160">
        <v>3.8100546336448802E-4</v>
      </c>
      <c r="N541" s="160">
        <v>7.0059196758335098E-4</v>
      </c>
      <c r="O541" s="160">
        <v>0.44462345206852699</v>
      </c>
      <c r="P541" s="160">
        <v>1.8105880134010499</v>
      </c>
      <c r="Q541" s="160">
        <v>4.5562238924902999E-2</v>
      </c>
      <c r="R541" s="160">
        <v>0.73349221064667003</v>
      </c>
      <c r="S541" s="160">
        <v>1.6429422886686001E-2</v>
      </c>
      <c r="T541" s="160">
        <v>4.2884153053850703E-2</v>
      </c>
      <c r="U541" s="160">
        <v>2.1968737183944001E-2</v>
      </c>
      <c r="V541" s="160">
        <v>0.66125276601564398</v>
      </c>
      <c r="W541" s="160"/>
      <c r="X541" s="59"/>
      <c r="Y541" s="159"/>
      <c r="Z541" s="159"/>
      <c r="AA541" s="159"/>
      <c r="AB541" s="159"/>
      <c r="AC541" s="159"/>
      <c r="AD541" s="161"/>
      <c r="AE541" s="160"/>
    </row>
    <row r="542" spans="1:31" ht="21.25" customHeight="1" x14ac:dyDescent="0.15">
      <c r="A542" s="8" t="s">
        <v>460</v>
      </c>
      <c r="B542" s="157" t="s">
        <v>898</v>
      </c>
      <c r="C542" s="158">
        <v>32</v>
      </c>
      <c r="D542" s="157" t="s">
        <v>860</v>
      </c>
      <c r="E542" s="59">
        <v>77.668571428571397</v>
      </c>
      <c r="F542" s="159">
        <v>19.156299634700002</v>
      </c>
      <c r="G542" s="160">
        <v>5.6888387160522302E-2</v>
      </c>
      <c r="H542" s="160">
        <v>0.17194002617833701</v>
      </c>
      <c r="I542" s="160">
        <v>0.228828413338859</v>
      </c>
      <c r="J542" s="160">
        <v>1.4333538144523399</v>
      </c>
      <c r="K542" s="160">
        <v>1.58405495473685E-3</v>
      </c>
      <c r="L542" s="160">
        <v>3.4549648494731299E-3</v>
      </c>
      <c r="M542" s="160">
        <v>2.51408712085265E-4</v>
      </c>
      <c r="N542" s="160">
        <v>1.36635011878456E-3</v>
      </c>
      <c r="O542" s="160">
        <v>1.77673153156699</v>
      </c>
      <c r="P542" s="160">
        <v>1.7534793523915999</v>
      </c>
      <c r="Q542" s="160">
        <v>-6.9569695166200096E-2</v>
      </c>
      <c r="R542" s="160">
        <v>0.63882854279210699</v>
      </c>
      <c r="S542" s="160">
        <v>7.3449368180239002E-3</v>
      </c>
      <c r="T542" s="160">
        <v>0</v>
      </c>
      <c r="U542" s="160">
        <v>0</v>
      </c>
      <c r="V542" s="160">
        <v>0</v>
      </c>
      <c r="W542" s="160"/>
      <c r="X542" s="59"/>
      <c r="Y542" s="159"/>
      <c r="Z542" s="159"/>
      <c r="AA542" s="159"/>
      <c r="AB542" s="159"/>
      <c r="AC542" s="159"/>
      <c r="AD542" s="161"/>
      <c r="AE542" s="160"/>
    </row>
    <row r="543" spans="1:31" ht="21.25" customHeight="1" x14ac:dyDescent="0.15">
      <c r="A543" s="8" t="s">
        <v>695</v>
      </c>
      <c r="B543" s="157" t="s">
        <v>880</v>
      </c>
      <c r="C543" s="158">
        <v>30</v>
      </c>
      <c r="D543" s="157" t="s">
        <v>858</v>
      </c>
      <c r="E543" s="59">
        <v>79.048928571428604</v>
      </c>
      <c r="F543" s="159">
        <v>12.199277330761699</v>
      </c>
      <c r="G543" s="160">
        <v>0.10328909433083799</v>
      </c>
      <c r="H543" s="160">
        <v>0.125524678310896</v>
      </c>
      <c r="I543" s="160">
        <v>0.228813772641734</v>
      </c>
      <c r="J543" s="160">
        <v>1.33871203885222</v>
      </c>
      <c r="K543" s="160">
        <v>5.4441308481956499E-4</v>
      </c>
      <c r="L543" s="160">
        <v>1.3991405982506199E-3</v>
      </c>
      <c r="M543" s="160">
        <v>1.0410706917189001E-2</v>
      </c>
      <c r="N543" s="160">
        <v>1.30096679607037E-2</v>
      </c>
      <c r="O543" s="160">
        <v>0.43043008457648801</v>
      </c>
      <c r="P543" s="160">
        <v>1.1693565077609001</v>
      </c>
      <c r="Q543" s="160">
        <v>4.9084128917561101E-2</v>
      </c>
      <c r="R543" s="160">
        <v>0.21632618742915199</v>
      </c>
      <c r="S543" s="160">
        <v>1.7600268794660399E-2</v>
      </c>
      <c r="T543" s="160">
        <v>7.0933310857398402E-2</v>
      </c>
      <c r="U543" s="160">
        <v>0.20983144034343801</v>
      </c>
      <c r="V543" s="160">
        <v>0.25264322018349999</v>
      </c>
      <c r="W543" s="160"/>
      <c r="X543" s="59"/>
      <c r="Y543" s="159"/>
      <c r="Z543" s="159"/>
      <c r="AA543" s="159"/>
      <c r="AB543" s="159"/>
      <c r="AC543" s="159"/>
      <c r="AD543" s="161"/>
      <c r="AE543" s="160"/>
    </row>
    <row r="544" spans="1:31" ht="21.25" customHeight="1" x14ac:dyDescent="0.15">
      <c r="A544" s="8" t="s">
        <v>484</v>
      </c>
      <c r="B544" s="157" t="s">
        <v>900</v>
      </c>
      <c r="C544" s="158">
        <v>23</v>
      </c>
      <c r="D544" s="157" t="s">
        <v>860</v>
      </c>
      <c r="E544" s="59">
        <v>80.259642857142893</v>
      </c>
      <c r="F544" s="159">
        <v>18.520226288671601</v>
      </c>
      <c r="G544" s="160">
        <v>3.4939120462157303E-2</v>
      </c>
      <c r="H544" s="160">
        <v>0.192615025846051</v>
      </c>
      <c r="I544" s="160">
        <v>0.227554146308209</v>
      </c>
      <c r="J544" s="160">
        <v>1.2511438840224001</v>
      </c>
      <c r="K544" s="160">
        <v>1.4833366392748401E-4</v>
      </c>
      <c r="L544" s="160">
        <v>1.2243250767305599E-3</v>
      </c>
      <c r="M544" s="160">
        <v>3.2653277806391498E-4</v>
      </c>
      <c r="N544" s="160">
        <v>1.6836720087676099E-3</v>
      </c>
      <c r="O544" s="160">
        <v>1.5872607737158799</v>
      </c>
      <c r="P544" s="160">
        <v>2.3042069686111999</v>
      </c>
      <c r="Q544" s="160">
        <v>-8.0568109003523996E-3</v>
      </c>
      <c r="R544" s="160">
        <v>0.50661179486791996</v>
      </c>
      <c r="S544" s="160">
        <v>5.3988577877289896E-3</v>
      </c>
      <c r="T544" s="160">
        <v>0</v>
      </c>
      <c r="U544" s="160">
        <v>0</v>
      </c>
      <c r="V544" s="160">
        <v>0</v>
      </c>
      <c r="W544" s="160"/>
      <c r="X544" s="59"/>
      <c r="Y544" s="159"/>
      <c r="Z544" s="159"/>
      <c r="AA544" s="159"/>
      <c r="AB544" s="159"/>
      <c r="AC544" s="159"/>
      <c r="AD544" s="161"/>
      <c r="AE544" s="160"/>
    </row>
    <row r="545" spans="1:31" ht="21.25" customHeight="1" x14ac:dyDescent="0.15">
      <c r="A545" s="8" t="s">
        <v>794</v>
      </c>
      <c r="B545" s="157" t="s">
        <v>882</v>
      </c>
      <c r="C545" s="158">
        <v>29</v>
      </c>
      <c r="D545" s="157" t="s">
        <v>857</v>
      </c>
      <c r="E545" s="59">
        <v>61.134285714285703</v>
      </c>
      <c r="F545" s="159">
        <v>10.7086024399318</v>
      </c>
      <c r="G545" s="160">
        <v>0.120173603846609</v>
      </c>
      <c r="H545" s="160">
        <v>0.102054763700429</v>
      </c>
      <c r="I545" s="160">
        <v>0.22222836754703801</v>
      </c>
      <c r="J545" s="160">
        <v>1.33195367405417</v>
      </c>
      <c r="K545" s="160">
        <v>2.6505230663278902E-2</v>
      </c>
      <c r="L545" s="160">
        <v>3.8708499238587303E-2</v>
      </c>
      <c r="M545" s="160">
        <v>5.07463126307577E-3</v>
      </c>
      <c r="N545" s="160">
        <v>5.8573098895540604E-3</v>
      </c>
      <c r="O545" s="160">
        <v>0.55810844862366304</v>
      </c>
      <c r="P545" s="160">
        <v>1.32667847595174</v>
      </c>
      <c r="Q545" s="160">
        <v>-4.9508084852297098E-3</v>
      </c>
      <c r="R545" s="160">
        <v>0.35255995289284098</v>
      </c>
      <c r="S545" s="160">
        <v>1.7011733174061801E-2</v>
      </c>
      <c r="T545" s="160">
        <v>3.1854400411016099</v>
      </c>
      <c r="U545" s="160">
        <v>3.5628101897244302</v>
      </c>
      <c r="V545" s="160">
        <v>0.47203940757124102</v>
      </c>
      <c r="W545" s="160"/>
      <c r="X545" s="59"/>
      <c r="Y545" s="159"/>
      <c r="Z545" s="159"/>
      <c r="AA545" s="159"/>
      <c r="AB545" s="159"/>
      <c r="AC545" s="159"/>
      <c r="AD545" s="161"/>
      <c r="AE545" s="160"/>
    </row>
    <row r="546" spans="1:31" ht="21.25" customHeight="1" x14ac:dyDescent="0.15">
      <c r="A546" s="8" t="s">
        <v>567</v>
      </c>
      <c r="B546" s="157" t="s">
        <v>891</v>
      </c>
      <c r="C546" s="158">
        <v>30</v>
      </c>
      <c r="D546" s="157" t="s">
        <v>860</v>
      </c>
      <c r="E546" s="59">
        <v>62.4</v>
      </c>
      <c r="F546" s="159">
        <v>19.066660898265699</v>
      </c>
      <c r="G546" s="160">
        <v>5.13647205633255E-2</v>
      </c>
      <c r="H546" s="160">
        <v>0.17062242917998499</v>
      </c>
      <c r="I546" s="160">
        <v>0.22198714974331099</v>
      </c>
      <c r="J546" s="160">
        <v>1.17020316554503</v>
      </c>
      <c r="K546" s="160">
        <v>2.6213447936019902E-4</v>
      </c>
      <c r="L546" s="160">
        <v>1.82028731954318E-3</v>
      </c>
      <c r="M546" s="160">
        <v>4.0070520915606498E-4</v>
      </c>
      <c r="N546" s="160">
        <v>1.03208827916474E-2</v>
      </c>
      <c r="O546" s="160">
        <v>2.0424159761532699</v>
      </c>
      <c r="P546" s="160">
        <v>1.76242181915844</v>
      </c>
      <c r="Q546" s="160">
        <v>-7.7570101865286498E-2</v>
      </c>
      <c r="R546" s="160">
        <v>0.59090647239966099</v>
      </c>
      <c r="S546" s="160">
        <v>6.3181629975997801E-3</v>
      </c>
      <c r="T546" s="160">
        <v>0</v>
      </c>
      <c r="U546" s="160">
        <v>0</v>
      </c>
      <c r="V546" s="160">
        <v>0</v>
      </c>
      <c r="W546" s="160"/>
      <c r="X546" s="59"/>
      <c r="Y546" s="159"/>
      <c r="Z546" s="159"/>
      <c r="AA546" s="159"/>
      <c r="AB546" s="159"/>
      <c r="AC546" s="159"/>
      <c r="AD546" s="161"/>
      <c r="AE546" s="160"/>
    </row>
    <row r="547" spans="1:31" ht="21.25" customHeight="1" x14ac:dyDescent="0.15">
      <c r="A547" s="8" t="s">
        <v>775</v>
      </c>
      <c r="B547" s="157" t="s">
        <v>880</v>
      </c>
      <c r="C547" s="158">
        <v>35</v>
      </c>
      <c r="D547" s="157" t="s">
        <v>857</v>
      </c>
      <c r="E547" s="59">
        <v>72</v>
      </c>
      <c r="F547" s="159">
        <v>12.9197530240193</v>
      </c>
      <c r="G547" s="160">
        <v>0.120500881445897</v>
      </c>
      <c r="H547" s="160">
        <v>0.100912779667733</v>
      </c>
      <c r="I547" s="160">
        <v>0.22141366111363001</v>
      </c>
      <c r="J547" s="160">
        <v>1.20903588181975</v>
      </c>
      <c r="K547" s="160">
        <v>2.87352557335576E-3</v>
      </c>
      <c r="L547" s="160">
        <v>7.3254487092935996E-3</v>
      </c>
      <c r="M547" s="160">
        <v>4.1766713873007703E-3</v>
      </c>
      <c r="N547" s="160">
        <v>5.0460791273831598E-3</v>
      </c>
      <c r="O547" s="160">
        <v>1.0099571998585699</v>
      </c>
      <c r="P547" s="160">
        <v>0.44421987482442299</v>
      </c>
      <c r="Q547" s="160">
        <v>4.8003779680317403E-2</v>
      </c>
      <c r="R547" s="160">
        <v>0.23531504573786799</v>
      </c>
      <c r="S547" s="160">
        <v>2.05331251782318E-2</v>
      </c>
      <c r="T547" s="160">
        <v>3.5628468684826</v>
      </c>
      <c r="U547" s="160">
        <v>3.50266426836945</v>
      </c>
      <c r="V547" s="160">
        <v>0.50425889924645695</v>
      </c>
      <c r="W547" s="160"/>
      <c r="X547" s="59"/>
      <c r="Y547" s="159"/>
      <c r="Z547" s="159"/>
      <c r="AA547" s="159"/>
      <c r="AB547" s="159"/>
      <c r="AC547" s="159"/>
      <c r="AD547" s="161"/>
      <c r="AE547" s="160"/>
    </row>
    <row r="548" spans="1:31" ht="21.25" customHeight="1" x14ac:dyDescent="0.15">
      <c r="A548" s="8" t="s">
        <v>754</v>
      </c>
      <c r="B548" s="157" t="s">
        <v>900</v>
      </c>
      <c r="C548" s="158">
        <v>32</v>
      </c>
      <c r="D548" s="157" t="s">
        <v>857</v>
      </c>
      <c r="E548" s="59">
        <v>80.752499999999998</v>
      </c>
      <c r="F548" s="159">
        <v>13.682718181534</v>
      </c>
      <c r="G548" s="160">
        <v>8.7106042564946806E-2</v>
      </c>
      <c r="H548" s="160">
        <v>0.13350933301461201</v>
      </c>
      <c r="I548" s="160">
        <v>0.22061537557955899</v>
      </c>
      <c r="J548" s="160">
        <v>1.2915729701141001</v>
      </c>
      <c r="K548" s="160">
        <v>5.5898862144665895E-4</v>
      </c>
      <c r="L548" s="160">
        <v>1.47425320482878E-3</v>
      </c>
      <c r="M548" s="160">
        <v>4.7628513470319503E-3</v>
      </c>
      <c r="N548" s="160">
        <v>1.21156488490644E-2</v>
      </c>
      <c r="O548" s="160">
        <v>0.63526296589806797</v>
      </c>
      <c r="P548" s="160">
        <v>1.98204722576846</v>
      </c>
      <c r="Q548" s="160">
        <v>-2.3333663502754599E-2</v>
      </c>
      <c r="R548" s="160">
        <v>0.50816774154907796</v>
      </c>
      <c r="S548" s="160">
        <v>1.34597874828982E-2</v>
      </c>
      <c r="T548" s="160">
        <v>6.0699545738811196</v>
      </c>
      <c r="U548" s="160">
        <v>5.1537870436770499</v>
      </c>
      <c r="V548" s="160">
        <v>0.54081381955420504</v>
      </c>
      <c r="W548" s="160"/>
      <c r="X548" s="59"/>
      <c r="Y548" s="159"/>
      <c r="Z548" s="159"/>
      <c r="AA548" s="159"/>
      <c r="AB548" s="159"/>
      <c r="AC548" s="159"/>
      <c r="AD548" s="161"/>
      <c r="AE548" s="160"/>
    </row>
    <row r="549" spans="1:31" ht="21.25" customHeight="1" x14ac:dyDescent="0.15">
      <c r="A549" s="8" t="s">
        <v>734</v>
      </c>
      <c r="B549" s="157" t="s">
        <v>879</v>
      </c>
      <c r="C549" s="158">
        <v>35</v>
      </c>
      <c r="D549" s="157" t="s">
        <v>858</v>
      </c>
      <c r="E549" s="59">
        <v>81.142499999999998</v>
      </c>
      <c r="F549" s="159">
        <v>11.1225685322018</v>
      </c>
      <c r="G549" s="160">
        <v>8.4568818448512897E-2</v>
      </c>
      <c r="H549" s="160">
        <v>0.13578287451005</v>
      </c>
      <c r="I549" s="160">
        <v>0.22035169295856299</v>
      </c>
      <c r="J549" s="160">
        <v>0.99269555743719995</v>
      </c>
      <c r="K549" s="160">
        <v>7.6163709384600596E-4</v>
      </c>
      <c r="L549" s="160">
        <v>1.3853456685213E-3</v>
      </c>
      <c r="M549" s="160">
        <v>2.75700311751765E-5</v>
      </c>
      <c r="N549" s="160">
        <v>5.26950575206107E-5</v>
      </c>
      <c r="O549" s="160">
        <v>0.23803430483984001</v>
      </c>
      <c r="P549" s="160">
        <v>2.10989483031311</v>
      </c>
      <c r="Q549" s="160">
        <v>7.4154836956113303E-3</v>
      </c>
      <c r="R549" s="160">
        <v>0.55715939470665998</v>
      </c>
      <c r="S549" s="160">
        <v>1.41974403555568E-2</v>
      </c>
      <c r="T549" s="160">
        <v>0.21385957825721699</v>
      </c>
      <c r="U549" s="160">
        <v>0.26186259028187098</v>
      </c>
      <c r="V549" s="160">
        <v>0.44954721978579598</v>
      </c>
      <c r="W549" s="160"/>
      <c r="X549" s="59"/>
      <c r="Y549" s="159"/>
      <c r="Z549" s="159"/>
      <c r="AA549" s="159"/>
      <c r="AB549" s="159"/>
      <c r="AC549" s="159"/>
      <c r="AD549" s="161"/>
      <c r="AE549" s="160"/>
    </row>
    <row r="550" spans="1:31" ht="21.25" customHeight="1" x14ac:dyDescent="0.15">
      <c r="A550" s="8" t="s">
        <v>701</v>
      </c>
      <c r="B550" s="157" t="s">
        <v>875</v>
      </c>
      <c r="C550" s="158">
        <v>26</v>
      </c>
      <c r="D550" s="157" t="s">
        <v>859</v>
      </c>
      <c r="E550" s="59">
        <v>68.052499999999995</v>
      </c>
      <c r="F550" s="159">
        <v>10.7938116821131</v>
      </c>
      <c r="G550" s="160">
        <v>0.123543226705724</v>
      </c>
      <c r="H550" s="160">
        <v>9.6429072734830104E-2</v>
      </c>
      <c r="I550" s="160">
        <v>0.21997229944055499</v>
      </c>
      <c r="J550" s="160">
        <v>1.3911718444369401</v>
      </c>
      <c r="K550" s="160">
        <v>7.9254835735727996E-4</v>
      </c>
      <c r="L550" s="160">
        <v>2.0226194410584799E-3</v>
      </c>
      <c r="M550" s="160">
        <v>1.0746063380712099E-2</v>
      </c>
      <c r="N550" s="160">
        <v>1.2482458848012801E-2</v>
      </c>
      <c r="O550" s="160">
        <v>0.33840719116218498</v>
      </c>
      <c r="P550" s="160">
        <v>2.5016552721376502</v>
      </c>
      <c r="Q550" s="160">
        <v>2.2116758200463299E-2</v>
      </c>
      <c r="R550" s="160">
        <v>0.82575276924902796</v>
      </c>
      <c r="S550" s="160">
        <v>1.98381285079887E-2</v>
      </c>
      <c r="T550" s="160">
        <v>8.50246307574615E-2</v>
      </c>
      <c r="U550" s="160">
        <v>0.21256157689365399</v>
      </c>
      <c r="V550" s="160">
        <v>0.28571428571428598</v>
      </c>
      <c r="W550" s="160"/>
      <c r="X550" s="59"/>
      <c r="Y550" s="159"/>
      <c r="Z550" s="159"/>
      <c r="AA550" s="159"/>
      <c r="AB550" s="159"/>
      <c r="AC550" s="159"/>
      <c r="AD550" s="161"/>
      <c r="AE550" s="160"/>
    </row>
    <row r="551" spans="1:31" ht="21.25" customHeight="1" x14ac:dyDescent="0.15">
      <c r="A551" s="8" t="s">
        <v>624</v>
      </c>
      <c r="B551" s="157" t="s">
        <v>882</v>
      </c>
      <c r="C551" s="158">
        <v>28</v>
      </c>
      <c r="D551" s="157" t="s">
        <v>860</v>
      </c>
      <c r="E551" s="59">
        <v>58.938214285714302</v>
      </c>
      <c r="F551" s="159">
        <v>15.3284470019055</v>
      </c>
      <c r="G551" s="160">
        <v>4.0375938458971999E-2</v>
      </c>
      <c r="H551" s="160">
        <v>0.179435003243404</v>
      </c>
      <c r="I551" s="160">
        <v>0.219810941702376</v>
      </c>
      <c r="J551" s="160">
        <v>1.0322441479472699</v>
      </c>
      <c r="K551" s="160">
        <v>2.0881349765481802E-3</v>
      </c>
      <c r="L551" s="160">
        <v>2.1421349682088999E-2</v>
      </c>
      <c r="M551" s="160">
        <v>1.09498015060624E-4</v>
      </c>
      <c r="N551" s="160">
        <v>4.13055209443204E-4</v>
      </c>
      <c r="O551" s="160">
        <v>0.96327632272654096</v>
      </c>
      <c r="P551" s="160">
        <v>0.86351475046147097</v>
      </c>
      <c r="Q551" s="160">
        <v>5.5683885343002096E-3</v>
      </c>
      <c r="R551" s="160">
        <v>0.35494278174942401</v>
      </c>
      <c r="S551" s="160">
        <v>5.7156036744400096E-3</v>
      </c>
      <c r="T551" s="160">
        <v>0</v>
      </c>
      <c r="U551" s="160">
        <v>0</v>
      </c>
      <c r="V551" s="160">
        <v>0</v>
      </c>
      <c r="W551" s="160"/>
      <c r="X551" s="59"/>
      <c r="Y551" s="159"/>
      <c r="Z551" s="159"/>
      <c r="AA551" s="159"/>
      <c r="AB551" s="159"/>
      <c r="AC551" s="159"/>
      <c r="AD551" s="161"/>
      <c r="AE551" s="160"/>
    </row>
    <row r="552" spans="1:31" ht="21.25" customHeight="1" x14ac:dyDescent="0.15">
      <c r="A552" s="8" t="s">
        <v>762</v>
      </c>
      <c r="B552" s="157" t="s">
        <v>878</v>
      </c>
      <c r="C552" s="158">
        <v>29</v>
      </c>
      <c r="D552" s="157" t="s">
        <v>857</v>
      </c>
      <c r="E552" s="59">
        <v>81.018571428571406</v>
      </c>
      <c r="F552" s="159">
        <v>13.127798144138501</v>
      </c>
      <c r="G552" s="160">
        <v>9.2357428101995001E-2</v>
      </c>
      <c r="H552" s="160">
        <v>0.12712574784122299</v>
      </c>
      <c r="I552" s="160">
        <v>0.21948317594321801</v>
      </c>
      <c r="J552" s="160">
        <v>1.06344223442484</v>
      </c>
      <c r="K552" s="160">
        <v>7.8405359746709299E-4</v>
      </c>
      <c r="L552" s="160">
        <v>1.58363947702849E-3</v>
      </c>
      <c r="M552" s="160">
        <v>1.29660734539135E-2</v>
      </c>
      <c r="N552" s="160">
        <v>2.45051522483321E-2</v>
      </c>
      <c r="O552" s="160">
        <v>0.75667535763667604</v>
      </c>
      <c r="P552" s="160">
        <v>1.17977256229329</v>
      </c>
      <c r="Q552" s="160">
        <v>3.7869792607836301E-2</v>
      </c>
      <c r="R552" s="160">
        <v>0.45720497266865101</v>
      </c>
      <c r="S552" s="160">
        <v>1.47765337694817E-2</v>
      </c>
      <c r="T552" s="160">
        <v>3.9884483804698498</v>
      </c>
      <c r="U552" s="160">
        <v>3.1834977266182798</v>
      </c>
      <c r="V552" s="160">
        <v>0.55611800770895603</v>
      </c>
      <c r="W552" s="160"/>
      <c r="X552" s="59"/>
      <c r="Y552" s="159"/>
      <c r="Z552" s="159"/>
      <c r="AA552" s="159"/>
      <c r="AB552" s="159"/>
      <c r="AC552" s="159"/>
      <c r="AD552" s="161"/>
      <c r="AE552" s="160"/>
    </row>
    <row r="553" spans="1:31" ht="21.25" customHeight="1" x14ac:dyDescent="0.15">
      <c r="A553" s="8" t="s">
        <v>768</v>
      </c>
      <c r="B553" s="157" t="s">
        <v>870</v>
      </c>
      <c r="C553" s="158">
        <v>21</v>
      </c>
      <c r="D553" s="157" t="s">
        <v>858</v>
      </c>
      <c r="E553" s="59">
        <v>69.165000000000006</v>
      </c>
      <c r="F553" s="159">
        <v>9.3911753311887303</v>
      </c>
      <c r="G553" s="160">
        <v>8.4564733094993697E-2</v>
      </c>
      <c r="H553" s="160">
        <v>0.13428797570207901</v>
      </c>
      <c r="I553" s="160">
        <v>0.218852708797073</v>
      </c>
      <c r="J553" s="160">
        <v>0.880711040440874</v>
      </c>
      <c r="K553" s="160">
        <v>5.9102471711427003E-3</v>
      </c>
      <c r="L553" s="160">
        <v>1.4700890902186001E-2</v>
      </c>
      <c r="M553" s="160">
        <v>4.2662170678165698E-5</v>
      </c>
      <c r="N553" s="160">
        <v>7.6706558363557803E-5</v>
      </c>
      <c r="O553" s="160">
        <v>0.32394587408703501</v>
      </c>
      <c r="P553" s="160">
        <v>1.53697978329284</v>
      </c>
      <c r="Q553" s="160">
        <v>6.08228627604252E-2</v>
      </c>
      <c r="R553" s="160">
        <v>0.368767217898957</v>
      </c>
      <c r="S553" s="160">
        <v>1.3385689393848901E-2</v>
      </c>
      <c r="T553" s="160">
        <v>0.42263650871668401</v>
      </c>
      <c r="U553" s="160">
        <v>0.768430015848518</v>
      </c>
      <c r="V553" s="160">
        <v>0.35483870967741898</v>
      </c>
      <c r="W553" s="160"/>
      <c r="X553" s="59"/>
      <c r="Y553" s="159"/>
      <c r="Z553" s="159"/>
      <c r="AA553" s="159"/>
      <c r="AB553" s="159"/>
      <c r="AC553" s="159"/>
      <c r="AD553" s="161"/>
      <c r="AE553" s="160"/>
    </row>
    <row r="554" spans="1:31" ht="21.25" customHeight="1" x14ac:dyDescent="0.15">
      <c r="A554" s="8" t="s">
        <v>799</v>
      </c>
      <c r="B554" s="157" t="s">
        <v>879</v>
      </c>
      <c r="C554" s="158">
        <v>31</v>
      </c>
      <c r="D554" s="157" t="s">
        <v>857</v>
      </c>
      <c r="E554" s="59">
        <v>65.463214285714301</v>
      </c>
      <c r="F554" s="159">
        <v>12.319388809884501</v>
      </c>
      <c r="G554" s="160">
        <v>8.0884883872492902E-2</v>
      </c>
      <c r="H554" s="160">
        <v>0.13794318934590699</v>
      </c>
      <c r="I554" s="160">
        <v>0.2188280732184</v>
      </c>
      <c r="J554" s="160">
        <v>1.1303008566347601</v>
      </c>
      <c r="K554" s="160">
        <v>7.00632901814039E-4</v>
      </c>
      <c r="L554" s="160">
        <v>1.84939947425239E-3</v>
      </c>
      <c r="M554" s="160">
        <v>7.5461747293248402E-3</v>
      </c>
      <c r="N554" s="160">
        <v>9.0662856233357705E-3</v>
      </c>
      <c r="O554" s="160">
        <v>0.69099702689297404</v>
      </c>
      <c r="P554" s="160">
        <v>2.5523875976738402</v>
      </c>
      <c r="Q554" s="160">
        <v>2.2747524772279301E-2</v>
      </c>
      <c r="R554" s="160">
        <v>0.42245424409538701</v>
      </c>
      <c r="S554" s="160">
        <v>1.3578980237792901E-2</v>
      </c>
      <c r="T554" s="160">
        <v>3.5783160777815102</v>
      </c>
      <c r="U554" s="160">
        <v>2.9126649104351299</v>
      </c>
      <c r="V554" s="160">
        <v>0.55127508219133303</v>
      </c>
      <c r="W554" s="160"/>
      <c r="X554" s="59"/>
      <c r="Y554" s="159"/>
      <c r="Z554" s="159"/>
      <c r="AA554" s="159"/>
      <c r="AB554" s="159"/>
      <c r="AC554" s="159"/>
      <c r="AD554" s="161"/>
      <c r="AE554" s="160"/>
    </row>
    <row r="555" spans="1:31" ht="21.25" customHeight="1" x14ac:dyDescent="0.15">
      <c r="A555" s="8" t="s">
        <v>797</v>
      </c>
      <c r="B555" s="157" t="s">
        <v>873</v>
      </c>
      <c r="C555" s="158">
        <v>23</v>
      </c>
      <c r="D555" s="157" t="s">
        <v>858</v>
      </c>
      <c r="E555" s="59">
        <v>52.357500000000002</v>
      </c>
      <c r="F555" s="159">
        <v>9.6011754183604392</v>
      </c>
      <c r="G555" s="160">
        <v>6.3955897551591506E-2</v>
      </c>
      <c r="H555" s="160">
        <v>0.15436138992912701</v>
      </c>
      <c r="I555" s="160">
        <v>0.21831728748071799</v>
      </c>
      <c r="J555" s="160">
        <v>0.92734514472999896</v>
      </c>
      <c r="K555" s="160">
        <v>1.77613609069121E-3</v>
      </c>
      <c r="L555" s="160">
        <v>4.3284525747792398E-3</v>
      </c>
      <c r="M555" s="160">
        <v>0</v>
      </c>
      <c r="N555" s="160">
        <v>0</v>
      </c>
      <c r="O555" s="160">
        <v>0.41026565201093301</v>
      </c>
      <c r="P555" s="160">
        <v>1.2830648625988399</v>
      </c>
      <c r="Q555" s="160">
        <v>1.9968423062606998E-2</v>
      </c>
      <c r="R555" s="160">
        <v>0.24969597875226601</v>
      </c>
      <c r="S555" s="160">
        <v>9.1746193860755606E-3</v>
      </c>
      <c r="T555" s="160">
        <v>2.0404556227081199E-3</v>
      </c>
      <c r="U555" s="160">
        <v>1.7884123492559401E-2</v>
      </c>
      <c r="V555" s="160">
        <v>0.10240896989109299</v>
      </c>
      <c r="W555" s="160"/>
      <c r="X555" s="59"/>
      <c r="Y555" s="159"/>
      <c r="Z555" s="159"/>
      <c r="AA555" s="159"/>
      <c r="AB555" s="159"/>
      <c r="AC555" s="159"/>
      <c r="AD555" s="161"/>
      <c r="AE555" s="160"/>
    </row>
    <row r="556" spans="1:31" ht="21.25" customHeight="1" x14ac:dyDescent="0.15">
      <c r="A556" s="8" t="s">
        <v>784</v>
      </c>
      <c r="B556" s="157" t="s">
        <v>870</v>
      </c>
      <c r="C556" s="158">
        <v>36</v>
      </c>
      <c r="D556" s="157" t="s">
        <v>857</v>
      </c>
      <c r="E556" s="59">
        <v>78.808928571428595</v>
      </c>
      <c r="F556" s="159">
        <v>10.6621497980183</v>
      </c>
      <c r="G556" s="160">
        <v>0.1131815041742</v>
      </c>
      <c r="H556" s="160">
        <v>0.10497523273239601</v>
      </c>
      <c r="I556" s="160">
        <v>0.21815673690659501</v>
      </c>
      <c r="J556" s="160">
        <v>1.05452536796332</v>
      </c>
      <c r="K556" s="160">
        <v>5.6765026937403995E-4</v>
      </c>
      <c r="L556" s="160">
        <v>1.42860434517299E-3</v>
      </c>
      <c r="M556" s="160">
        <v>6.5364880227718296E-3</v>
      </c>
      <c r="N556" s="160">
        <v>1.1718770180546199E-2</v>
      </c>
      <c r="O556" s="160">
        <v>0.48013775208114601</v>
      </c>
      <c r="P556" s="160">
        <v>0.74464603606425195</v>
      </c>
      <c r="Q556" s="160">
        <v>7.5894996034011494E-2</v>
      </c>
      <c r="R556" s="160">
        <v>0.25746266496625098</v>
      </c>
      <c r="S556" s="160">
        <v>1.79154170368232E-2</v>
      </c>
      <c r="T556" s="160">
        <v>2.8584667887711199</v>
      </c>
      <c r="U556" s="160">
        <v>2.58527774688815</v>
      </c>
      <c r="V556" s="160">
        <v>0.52509201525654403</v>
      </c>
      <c r="W556" s="160"/>
      <c r="X556" s="59"/>
      <c r="Y556" s="159"/>
      <c r="Z556" s="159"/>
      <c r="AA556" s="159"/>
      <c r="AB556" s="159"/>
      <c r="AC556" s="159"/>
      <c r="AD556" s="161"/>
      <c r="AE556" s="160"/>
    </row>
    <row r="557" spans="1:31" ht="21.25" customHeight="1" x14ac:dyDescent="0.15">
      <c r="A557" s="8" t="s">
        <v>521</v>
      </c>
      <c r="B557" s="157" t="s">
        <v>903</v>
      </c>
      <c r="C557" s="158">
        <v>32</v>
      </c>
      <c r="D557" s="157" t="s">
        <v>860</v>
      </c>
      <c r="E557" s="59">
        <v>75.437142857142902</v>
      </c>
      <c r="F557" s="159">
        <v>18.754761174302502</v>
      </c>
      <c r="G557" s="160">
        <v>3.4589741924956702E-2</v>
      </c>
      <c r="H557" s="160">
        <v>0.18312845500334299</v>
      </c>
      <c r="I557" s="160">
        <v>0.2177181969283</v>
      </c>
      <c r="J557" s="160">
        <v>0.96430239059720901</v>
      </c>
      <c r="K557" s="160">
        <v>2.27563729133907E-4</v>
      </c>
      <c r="L557" s="160">
        <v>1.67067034402391E-3</v>
      </c>
      <c r="M557" s="160">
        <v>2.8153068717665699E-4</v>
      </c>
      <c r="N557" s="160">
        <v>1.3224305361091201E-2</v>
      </c>
      <c r="O557" s="160">
        <v>2.0611226365485602</v>
      </c>
      <c r="P557" s="160">
        <v>1.2542423020790501</v>
      </c>
      <c r="Q557" s="160">
        <v>-0.127055981294074</v>
      </c>
      <c r="R557" s="160">
        <v>0.39676070534563801</v>
      </c>
      <c r="S557" s="160">
        <v>3.7484591086156698E-3</v>
      </c>
      <c r="T557" s="160">
        <v>0</v>
      </c>
      <c r="U557" s="160">
        <v>0</v>
      </c>
      <c r="V557" s="160">
        <v>0</v>
      </c>
      <c r="W557" s="160"/>
      <c r="X557" s="59"/>
      <c r="Y557" s="159"/>
      <c r="Z557" s="159"/>
      <c r="AA557" s="159"/>
      <c r="AB557" s="159"/>
      <c r="AC557" s="159"/>
      <c r="AD557" s="161"/>
      <c r="AE557" s="160"/>
    </row>
    <row r="558" spans="1:31" ht="21.25" customHeight="1" x14ac:dyDescent="0.15">
      <c r="A558" s="8" t="s">
        <v>809</v>
      </c>
      <c r="B558" s="157" t="s">
        <v>886</v>
      </c>
      <c r="C558" s="158">
        <v>23</v>
      </c>
      <c r="D558" s="157" t="s">
        <v>857</v>
      </c>
      <c r="E558" s="59">
        <v>68.577500000000001</v>
      </c>
      <c r="F558" s="159">
        <v>10.069278592017699</v>
      </c>
      <c r="G558" s="160">
        <v>7.0327005526569605E-2</v>
      </c>
      <c r="H558" s="160">
        <v>0.1471544229475</v>
      </c>
      <c r="I558" s="160">
        <v>0.21748142847407001</v>
      </c>
      <c r="J558" s="160">
        <v>0.82661094137071001</v>
      </c>
      <c r="K558" s="160">
        <v>1.1190363161274501E-3</v>
      </c>
      <c r="L558" s="160">
        <v>2.9518108767679898E-3</v>
      </c>
      <c r="M558" s="160">
        <v>7.7625434249681104E-3</v>
      </c>
      <c r="N558" s="160">
        <v>1.8993770665420899E-2</v>
      </c>
      <c r="O558" s="160">
        <v>0.44522256332804799</v>
      </c>
      <c r="P558" s="160">
        <v>1.1967280692139799</v>
      </c>
      <c r="Q558" s="160">
        <v>6.5849658474958798E-3</v>
      </c>
      <c r="R558" s="160">
        <v>0.23067467936061101</v>
      </c>
      <c r="S558" s="160">
        <v>1.09712482594332E-2</v>
      </c>
      <c r="T558" s="160">
        <v>2.9118062541879799</v>
      </c>
      <c r="U558" s="160">
        <v>2.98161715841657</v>
      </c>
      <c r="V558" s="160">
        <v>0.49407721969549201</v>
      </c>
      <c r="W558" s="160"/>
      <c r="X558" s="59"/>
      <c r="Y558" s="159"/>
      <c r="Z558" s="159"/>
      <c r="AA558" s="159"/>
      <c r="AB558" s="159"/>
      <c r="AC558" s="159"/>
      <c r="AD558" s="161"/>
      <c r="AE558" s="160"/>
    </row>
    <row r="559" spans="1:31" ht="21.25" customHeight="1" x14ac:dyDescent="0.15">
      <c r="A559" s="8" t="s">
        <v>779</v>
      </c>
      <c r="B559" s="157" t="s">
        <v>873</v>
      </c>
      <c r="C559" s="158">
        <v>27</v>
      </c>
      <c r="D559" s="157" t="s">
        <v>857</v>
      </c>
      <c r="E559" s="59">
        <v>75</v>
      </c>
      <c r="F559" s="159">
        <v>11.308871135670699</v>
      </c>
      <c r="G559" s="160">
        <v>0.10592085274136499</v>
      </c>
      <c r="H559" s="160">
        <v>0.11153491084297899</v>
      </c>
      <c r="I559" s="160">
        <v>0.21745576358434399</v>
      </c>
      <c r="J559" s="160">
        <v>1.2524339291343201</v>
      </c>
      <c r="K559" s="160">
        <v>1.21646851326605E-3</v>
      </c>
      <c r="L559" s="160">
        <v>2.1587951730372402E-3</v>
      </c>
      <c r="M559" s="160">
        <v>8.1834337555421102E-3</v>
      </c>
      <c r="N559" s="160">
        <v>1.63674902699215E-2</v>
      </c>
      <c r="O559" s="160">
        <v>0.46897505895535602</v>
      </c>
      <c r="P559" s="160">
        <v>1.48467632533904</v>
      </c>
      <c r="Q559" s="160">
        <v>2.0527290191722902E-2</v>
      </c>
      <c r="R559" s="160">
        <v>0.19876483450889099</v>
      </c>
      <c r="S559" s="160">
        <v>1.5194587929387901E-2</v>
      </c>
      <c r="T559" s="160">
        <v>2.8581018606333699</v>
      </c>
      <c r="U559" s="160">
        <v>3.1457057279951801</v>
      </c>
      <c r="V559" s="160">
        <v>0.47604821081320498</v>
      </c>
      <c r="W559" s="160"/>
      <c r="X559" s="59"/>
      <c r="Y559" s="159"/>
      <c r="Z559" s="159"/>
      <c r="AA559" s="159"/>
      <c r="AB559" s="159"/>
      <c r="AC559" s="159"/>
      <c r="AD559" s="161"/>
      <c r="AE559" s="160"/>
    </row>
    <row r="560" spans="1:31" ht="21.25" customHeight="1" x14ac:dyDescent="0.15">
      <c r="A560" s="8" t="s">
        <v>548</v>
      </c>
      <c r="B560" s="157" t="s">
        <v>875</v>
      </c>
      <c r="C560" s="158">
        <v>38</v>
      </c>
      <c r="D560" s="157" t="s">
        <v>860</v>
      </c>
      <c r="E560" s="59">
        <v>74.265000000000001</v>
      </c>
      <c r="F560" s="159">
        <v>16.496454607824901</v>
      </c>
      <c r="G560" s="160">
        <v>2.6825487423134502E-2</v>
      </c>
      <c r="H560" s="160">
        <v>0.19040551153399299</v>
      </c>
      <c r="I560" s="160">
        <v>0.217230998957127</v>
      </c>
      <c r="J560" s="160">
        <v>1.11082461183609</v>
      </c>
      <c r="K560" s="160">
        <v>3.4547800076388199E-4</v>
      </c>
      <c r="L560" s="160">
        <v>1.3321860084634599E-2</v>
      </c>
      <c r="M560" s="160">
        <v>2.2958121059830401E-4</v>
      </c>
      <c r="N560" s="160">
        <v>1.0562149010732999E-3</v>
      </c>
      <c r="O560" s="160">
        <v>1.2704313612506299</v>
      </c>
      <c r="P560" s="160">
        <v>0.87956117005890699</v>
      </c>
      <c r="Q560" s="160">
        <v>3.1025303666776201E-2</v>
      </c>
      <c r="R560" s="160">
        <v>0.34411613947977698</v>
      </c>
      <c r="S560" s="160">
        <v>4.3075406153765096E-3</v>
      </c>
      <c r="T560" s="160">
        <v>0</v>
      </c>
      <c r="U560" s="160">
        <v>0</v>
      </c>
      <c r="V560" s="160">
        <v>0</v>
      </c>
      <c r="W560" s="160"/>
      <c r="X560" s="59"/>
      <c r="Y560" s="159"/>
      <c r="Z560" s="159"/>
      <c r="AA560" s="159"/>
      <c r="AB560" s="159"/>
      <c r="AC560" s="159"/>
      <c r="AD560" s="161"/>
      <c r="AE560" s="160"/>
    </row>
    <row r="561" spans="1:31" ht="21.25" customHeight="1" x14ac:dyDescent="0.15">
      <c r="A561" s="8" t="s">
        <v>528</v>
      </c>
      <c r="B561" s="157" t="s">
        <v>873</v>
      </c>
      <c r="C561" s="158">
        <v>32</v>
      </c>
      <c r="D561" s="157" t="s">
        <v>860</v>
      </c>
      <c r="E561" s="59">
        <v>77.921071428571395</v>
      </c>
      <c r="F561" s="159">
        <v>18.268588651059499</v>
      </c>
      <c r="G561" s="160">
        <v>4.7696120490994399E-2</v>
      </c>
      <c r="H561" s="160">
        <v>0.16883968389663501</v>
      </c>
      <c r="I561" s="160">
        <v>0.21653580438762901</v>
      </c>
      <c r="J561" s="160">
        <v>1.1013492491130501</v>
      </c>
      <c r="K561" s="160">
        <v>2.6219950399373299E-4</v>
      </c>
      <c r="L561" s="160">
        <v>1.84693621268448E-3</v>
      </c>
      <c r="M561" s="160">
        <v>3.1213140472862301E-4</v>
      </c>
      <c r="N561" s="160">
        <v>1.71732151359862E-3</v>
      </c>
      <c r="O561" s="160">
        <v>1.4388037057568499</v>
      </c>
      <c r="P561" s="160">
        <v>1.35339832741406</v>
      </c>
      <c r="Q561" s="160">
        <v>1.7134834677148401E-2</v>
      </c>
      <c r="R561" s="160">
        <v>0.49017893294075598</v>
      </c>
      <c r="S561" s="160">
        <v>6.8421172784617398E-3</v>
      </c>
      <c r="T561" s="160">
        <v>0</v>
      </c>
      <c r="U561" s="160">
        <v>0</v>
      </c>
      <c r="V561" s="160">
        <v>0</v>
      </c>
      <c r="W561" s="160"/>
      <c r="X561" s="59"/>
      <c r="Y561" s="159"/>
      <c r="Z561" s="159"/>
      <c r="AA561" s="159"/>
      <c r="AB561" s="159"/>
      <c r="AC561" s="159"/>
      <c r="AD561" s="161"/>
      <c r="AE561" s="160"/>
    </row>
    <row r="562" spans="1:31" ht="21.25" customHeight="1" x14ac:dyDescent="0.15">
      <c r="A562" s="8" t="s">
        <v>516</v>
      </c>
      <c r="B562" s="157" t="s">
        <v>878</v>
      </c>
      <c r="C562" s="158">
        <v>38</v>
      </c>
      <c r="D562" s="157" t="s">
        <v>860</v>
      </c>
      <c r="E562" s="59">
        <v>82.03</v>
      </c>
      <c r="F562" s="159">
        <v>18.530679583151599</v>
      </c>
      <c r="G562" s="160">
        <v>2.8841437901163499E-2</v>
      </c>
      <c r="H562" s="160">
        <v>0.18725220302371601</v>
      </c>
      <c r="I562" s="160">
        <v>0.21609364092487901</v>
      </c>
      <c r="J562" s="160">
        <v>1.0572848669166901</v>
      </c>
      <c r="K562" s="160">
        <v>4.0964760710736998E-3</v>
      </c>
      <c r="L562" s="160">
        <v>2.5831840737331802E-2</v>
      </c>
      <c r="M562" s="160">
        <v>2.5099297376110399E-4</v>
      </c>
      <c r="N562" s="160">
        <v>5.9048472585435897E-3</v>
      </c>
      <c r="O562" s="160">
        <v>1.2237088850598301</v>
      </c>
      <c r="P562" s="160">
        <v>0.91140322332613199</v>
      </c>
      <c r="Q562" s="160">
        <v>5.8948998851329301E-2</v>
      </c>
      <c r="R562" s="160">
        <v>0.32941219442219599</v>
      </c>
      <c r="S562" s="160">
        <v>4.6144256056622297E-3</v>
      </c>
      <c r="T562" s="160">
        <v>0</v>
      </c>
      <c r="U562" s="160">
        <v>0</v>
      </c>
      <c r="V562" s="160">
        <v>0</v>
      </c>
      <c r="W562" s="160"/>
      <c r="X562" s="59"/>
      <c r="Y562" s="159"/>
      <c r="Z562" s="159"/>
      <c r="AA562" s="159"/>
      <c r="AB562" s="159"/>
      <c r="AC562" s="159"/>
      <c r="AD562" s="161"/>
      <c r="AE562" s="160"/>
    </row>
    <row r="563" spans="1:31" ht="21.25" customHeight="1" x14ac:dyDescent="0.15">
      <c r="A563" s="8" t="s">
        <v>496</v>
      </c>
      <c r="B563" s="157" t="s">
        <v>882</v>
      </c>
      <c r="C563" s="158">
        <v>34</v>
      </c>
      <c r="D563" s="157" t="s">
        <v>860</v>
      </c>
      <c r="E563" s="59">
        <v>80.0646428571429</v>
      </c>
      <c r="F563" s="159">
        <v>18.937944448555701</v>
      </c>
      <c r="G563" s="160">
        <v>2.86123833681627E-2</v>
      </c>
      <c r="H563" s="160">
        <v>0.18708305942832901</v>
      </c>
      <c r="I563" s="160">
        <v>0.215695442796491</v>
      </c>
      <c r="J563" s="160">
        <v>1.2627674296903399</v>
      </c>
      <c r="K563" s="160">
        <v>2.17471006545259E-4</v>
      </c>
      <c r="L563" s="160">
        <v>1.7082949405209801E-3</v>
      </c>
      <c r="M563" s="160">
        <v>2.2562584277536999E-4</v>
      </c>
      <c r="N563" s="160">
        <v>4.3498333606101797E-3</v>
      </c>
      <c r="O563" s="160">
        <v>1.5350749533052199</v>
      </c>
      <c r="P563" s="160">
        <v>1.48085025848672</v>
      </c>
      <c r="Q563" s="160">
        <v>1.3363633639136599E-2</v>
      </c>
      <c r="R563" s="160">
        <v>0.80063054171008696</v>
      </c>
      <c r="S563" s="160">
        <v>4.0503589453341196E-3</v>
      </c>
      <c r="T563" s="160">
        <v>0</v>
      </c>
      <c r="U563" s="160">
        <v>0</v>
      </c>
      <c r="V563" s="160">
        <v>0</v>
      </c>
      <c r="W563" s="160"/>
      <c r="X563" s="59"/>
      <c r="Y563" s="159"/>
      <c r="Z563" s="159"/>
      <c r="AA563" s="159"/>
      <c r="AB563" s="159"/>
      <c r="AC563" s="159"/>
      <c r="AD563" s="161"/>
      <c r="AE563" s="160"/>
    </row>
    <row r="564" spans="1:31" ht="21.25" customHeight="1" x14ac:dyDescent="0.15">
      <c r="A564" s="8" t="s">
        <v>676</v>
      </c>
      <c r="B564" s="157" t="s">
        <v>880</v>
      </c>
      <c r="C564" s="158">
        <v>22</v>
      </c>
      <c r="D564" s="157" t="s">
        <v>860</v>
      </c>
      <c r="E564" s="59">
        <v>52.2</v>
      </c>
      <c r="F564" s="159">
        <v>14.9489150752668</v>
      </c>
      <c r="G564" s="160">
        <v>4.5583735950305598E-2</v>
      </c>
      <c r="H564" s="160">
        <v>0.168741505274146</v>
      </c>
      <c r="I564" s="160">
        <v>0.21432524122445201</v>
      </c>
      <c r="J564" s="160">
        <v>0.93813694012999904</v>
      </c>
      <c r="K564" s="160">
        <v>1.16494110345991E-3</v>
      </c>
      <c r="L564" s="160">
        <v>9.8284467296611694E-3</v>
      </c>
      <c r="M564" s="160">
        <v>1.01046780725902E-4</v>
      </c>
      <c r="N564" s="160">
        <v>3.7351723102491E-4</v>
      </c>
      <c r="O564" s="160">
        <v>1.0431246511582899</v>
      </c>
      <c r="P564" s="160">
        <v>0.874268086560539</v>
      </c>
      <c r="Q564" s="160">
        <v>3.5112301144204799E-2</v>
      </c>
      <c r="R564" s="160">
        <v>0.28031412930224597</v>
      </c>
      <c r="S564" s="160">
        <v>7.7673834840729303E-3</v>
      </c>
      <c r="T564" s="160">
        <v>0</v>
      </c>
      <c r="U564" s="160">
        <v>0</v>
      </c>
      <c r="V564" s="160">
        <v>0</v>
      </c>
      <c r="W564" s="160"/>
      <c r="X564" s="59"/>
      <c r="Y564" s="159"/>
      <c r="Z564" s="159"/>
      <c r="AA564" s="159"/>
      <c r="AB564" s="159"/>
      <c r="AC564" s="159"/>
      <c r="AD564" s="161"/>
      <c r="AE564" s="160"/>
    </row>
    <row r="565" spans="1:31" ht="21.25" customHeight="1" x14ac:dyDescent="0.15">
      <c r="A565" s="8" t="s">
        <v>711</v>
      </c>
      <c r="B565" s="157" t="s">
        <v>881</v>
      </c>
      <c r="C565" s="158">
        <v>29</v>
      </c>
      <c r="D565" s="157" t="s">
        <v>858</v>
      </c>
      <c r="E565" s="59">
        <v>75.5</v>
      </c>
      <c r="F565" s="159">
        <v>12.589980673544099</v>
      </c>
      <c r="G565" s="160">
        <v>0.113424019379554</v>
      </c>
      <c r="H565" s="160">
        <v>9.9322756492366507E-2</v>
      </c>
      <c r="I565" s="160">
        <v>0.21274677587192101</v>
      </c>
      <c r="J565" s="160">
        <v>1.3568403455289599</v>
      </c>
      <c r="K565" s="160">
        <v>1.09125001505524E-3</v>
      </c>
      <c r="L565" s="160">
        <v>2.6947417415223301E-3</v>
      </c>
      <c r="M565" s="160">
        <v>2.0567018504579499E-3</v>
      </c>
      <c r="N565" s="160">
        <v>3.5089217959633902E-3</v>
      </c>
      <c r="O565" s="160">
        <v>0.55560857143752795</v>
      </c>
      <c r="P565" s="160">
        <v>1.2563093551311799</v>
      </c>
      <c r="Q565" s="160">
        <v>-2.7412440461160599E-2</v>
      </c>
      <c r="R565" s="160">
        <v>0.231553414709356</v>
      </c>
      <c r="S565" s="160">
        <v>1.4616763158658E-2</v>
      </c>
      <c r="T565" s="160">
        <v>1.30739867626534</v>
      </c>
      <c r="U565" s="160">
        <v>1.46434770828002</v>
      </c>
      <c r="V565" s="160">
        <v>0.471687699695434</v>
      </c>
      <c r="W565" s="160"/>
      <c r="X565" s="59"/>
      <c r="Y565" s="159"/>
      <c r="Z565" s="159"/>
      <c r="AA565" s="159"/>
      <c r="AB565" s="159"/>
      <c r="AC565" s="159"/>
      <c r="AD565" s="161"/>
      <c r="AE565" s="160"/>
    </row>
    <row r="566" spans="1:31" ht="21.25" customHeight="1" x14ac:dyDescent="0.15">
      <c r="A566" s="8" t="s">
        <v>523</v>
      </c>
      <c r="B566" s="157" t="s">
        <v>875</v>
      </c>
      <c r="C566" s="158">
        <v>27</v>
      </c>
      <c r="D566" s="157" t="s">
        <v>860</v>
      </c>
      <c r="E566" s="59">
        <v>75.697500000000005</v>
      </c>
      <c r="F566" s="159">
        <v>18.9596385290324</v>
      </c>
      <c r="G566" s="160">
        <v>4.9883734894435698E-2</v>
      </c>
      <c r="H566" s="160">
        <v>0.162380260102613</v>
      </c>
      <c r="I566" s="160">
        <v>0.21226399499704901</v>
      </c>
      <c r="J566" s="160">
        <v>1.0558412734145399</v>
      </c>
      <c r="K566" s="160">
        <v>2.6056735785811501E-4</v>
      </c>
      <c r="L566" s="160">
        <v>2.3932356465455199E-3</v>
      </c>
      <c r="M566" s="160">
        <v>4.6674628491961203E-4</v>
      </c>
      <c r="N566" s="160">
        <v>1.31102567510194E-2</v>
      </c>
      <c r="O566" s="160">
        <v>1.8423009449433501</v>
      </c>
      <c r="P566" s="160">
        <v>1.5350929458951501</v>
      </c>
      <c r="Q566" s="160">
        <v>2.6744246929186699E-2</v>
      </c>
      <c r="R566" s="160">
        <v>0.81096883237300399</v>
      </c>
      <c r="S566" s="160">
        <v>8.0101513428287394E-3</v>
      </c>
      <c r="T566" s="160">
        <v>0</v>
      </c>
      <c r="U566" s="160">
        <v>0</v>
      </c>
      <c r="V566" s="160">
        <v>0</v>
      </c>
      <c r="W566" s="160"/>
      <c r="X566" s="59"/>
      <c r="Y566" s="159"/>
      <c r="Z566" s="159"/>
      <c r="AA566" s="159"/>
      <c r="AB566" s="159"/>
      <c r="AC566" s="159"/>
      <c r="AD566" s="161"/>
      <c r="AE566" s="160"/>
    </row>
    <row r="567" spans="1:31" ht="21.25" customHeight="1" x14ac:dyDescent="0.15">
      <c r="A567" s="8" t="s">
        <v>780</v>
      </c>
      <c r="B567" s="157" t="s">
        <v>885</v>
      </c>
      <c r="C567" s="158">
        <v>29</v>
      </c>
      <c r="D567" s="157" t="s">
        <v>858</v>
      </c>
      <c r="E567" s="59">
        <v>63.236428571428597</v>
      </c>
      <c r="F567" s="159">
        <v>10.283349398339499</v>
      </c>
      <c r="G567" s="160">
        <v>8.7426260475734097E-2</v>
      </c>
      <c r="H567" s="160">
        <v>0.123536601215932</v>
      </c>
      <c r="I567" s="160">
        <v>0.210962861691666</v>
      </c>
      <c r="J567" s="160">
        <v>0.87971399853298204</v>
      </c>
      <c r="K567" s="160">
        <v>7.2437916378153698E-4</v>
      </c>
      <c r="L567" s="160">
        <v>1.86519408105152E-3</v>
      </c>
      <c r="M567" s="160">
        <v>1.88573426862545E-3</v>
      </c>
      <c r="N567" s="160">
        <v>3.5098625558985901E-3</v>
      </c>
      <c r="O567" s="160">
        <v>0.57698176327967399</v>
      </c>
      <c r="P567" s="160">
        <v>1.4911325591381801</v>
      </c>
      <c r="Q567" s="160">
        <v>-4.8260621206396501E-2</v>
      </c>
      <c r="R567" s="160">
        <v>0.29637450874135202</v>
      </c>
      <c r="S567" s="160">
        <v>1.0060378612116699E-2</v>
      </c>
      <c r="T567" s="160">
        <v>1.31607294714185</v>
      </c>
      <c r="U567" s="160">
        <v>1.4912150527268899</v>
      </c>
      <c r="V567" s="160">
        <v>0.46880581800064403</v>
      </c>
      <c r="W567" s="160"/>
      <c r="X567" s="59"/>
      <c r="Y567" s="159"/>
      <c r="Z567" s="159"/>
      <c r="AA567" s="159"/>
      <c r="AB567" s="159"/>
      <c r="AC567" s="159"/>
      <c r="AD567" s="161"/>
      <c r="AE567" s="160"/>
    </row>
    <row r="568" spans="1:31" ht="21.25" customHeight="1" x14ac:dyDescent="0.15">
      <c r="A568" s="8" t="s">
        <v>569</v>
      </c>
      <c r="B568" s="157" t="s">
        <v>903</v>
      </c>
      <c r="C568" s="158">
        <v>26</v>
      </c>
      <c r="D568" s="157" t="s">
        <v>860</v>
      </c>
      <c r="E568" s="59">
        <v>71.405000000000001</v>
      </c>
      <c r="F568" s="159">
        <v>16.746874710415401</v>
      </c>
      <c r="G568" s="160">
        <v>4.3255335497701199E-2</v>
      </c>
      <c r="H568" s="160">
        <v>0.16767286516011801</v>
      </c>
      <c r="I568" s="160">
        <v>0.21092820065782</v>
      </c>
      <c r="J568" s="160">
        <v>1.2008206566148201</v>
      </c>
      <c r="K568" s="160">
        <v>3.5282624581740602E-4</v>
      </c>
      <c r="L568" s="160">
        <v>2.4057888394085898E-3</v>
      </c>
      <c r="M568" s="160">
        <v>3.9929104719582897E-4</v>
      </c>
      <c r="N568" s="160">
        <v>1.4914677271289901E-3</v>
      </c>
      <c r="O568" s="160">
        <v>1.1135286193503</v>
      </c>
      <c r="P568" s="160">
        <v>1.2120399668616699</v>
      </c>
      <c r="Q568" s="160">
        <v>-8.0207973032350402E-2</v>
      </c>
      <c r="R568" s="160">
        <v>0.38628616905469498</v>
      </c>
      <c r="S568" s="160">
        <v>4.6875416617549103E-3</v>
      </c>
      <c r="T568" s="160">
        <v>0</v>
      </c>
      <c r="U568" s="160">
        <v>0</v>
      </c>
      <c r="V568" s="160">
        <v>0</v>
      </c>
      <c r="W568" s="160"/>
      <c r="X568" s="59"/>
      <c r="Y568" s="159"/>
      <c r="Z568" s="159"/>
      <c r="AA568" s="159"/>
      <c r="AB568" s="159"/>
      <c r="AC568" s="159"/>
      <c r="AD568" s="161"/>
      <c r="AE568" s="160"/>
    </row>
    <row r="569" spans="1:31" ht="21.25" customHeight="1" x14ac:dyDescent="0.15">
      <c r="A569" s="8" t="s">
        <v>578</v>
      </c>
      <c r="B569" s="157" t="s">
        <v>902</v>
      </c>
      <c r="C569" s="158">
        <v>28</v>
      </c>
      <c r="D569" s="157" t="s">
        <v>860</v>
      </c>
      <c r="E569" s="59">
        <v>63.027142857142898</v>
      </c>
      <c r="F569" s="159">
        <v>19.1182654321371</v>
      </c>
      <c r="G569" s="160">
        <v>5.1571112850673999E-2</v>
      </c>
      <c r="H569" s="160">
        <v>0.157370948671646</v>
      </c>
      <c r="I569" s="160">
        <v>0.208942061522321</v>
      </c>
      <c r="J569" s="160">
        <v>1.23053855992723</v>
      </c>
      <c r="K569" s="160">
        <v>1.63490508546549E-3</v>
      </c>
      <c r="L569" s="160">
        <v>1.12602162559939E-2</v>
      </c>
      <c r="M569" s="160">
        <v>5.8451968480079997E-4</v>
      </c>
      <c r="N569" s="160">
        <v>2.2053676190848899E-3</v>
      </c>
      <c r="O569" s="160">
        <v>1.7615492032523501</v>
      </c>
      <c r="P569" s="160">
        <v>3.0260356511212398</v>
      </c>
      <c r="Q569" s="160">
        <v>-6.7347312658496304E-3</v>
      </c>
      <c r="R569" s="160">
        <v>1.1305023470476401</v>
      </c>
      <c r="S569" s="160">
        <v>6.26185444174477E-3</v>
      </c>
      <c r="T569" s="160">
        <v>0</v>
      </c>
      <c r="U569" s="160">
        <v>2.0005876144939799E-2</v>
      </c>
      <c r="V569" s="160">
        <v>0</v>
      </c>
      <c r="W569" s="160"/>
      <c r="X569" s="59"/>
      <c r="Y569" s="159"/>
      <c r="Z569" s="159"/>
      <c r="AA569" s="159"/>
      <c r="AB569" s="159"/>
      <c r="AC569" s="159"/>
      <c r="AD569" s="161"/>
      <c r="AE569" s="160"/>
    </row>
    <row r="570" spans="1:31" ht="21.25" customHeight="1" x14ac:dyDescent="0.15">
      <c r="A570" s="8" t="s">
        <v>748</v>
      </c>
      <c r="B570" s="157" t="s">
        <v>896</v>
      </c>
      <c r="C570" s="158">
        <v>24</v>
      </c>
      <c r="D570" s="157" t="s">
        <v>859</v>
      </c>
      <c r="E570" s="59">
        <v>62.534999999999997</v>
      </c>
      <c r="F570" s="159">
        <v>10.8540220796423</v>
      </c>
      <c r="G570" s="160">
        <v>0.11258408462489</v>
      </c>
      <c r="H570" s="160">
        <v>9.6164354072989996E-2</v>
      </c>
      <c r="I570" s="160">
        <v>0.20874843869788001</v>
      </c>
      <c r="J570" s="160">
        <v>1.0428533854236299</v>
      </c>
      <c r="K570" s="160">
        <v>7.9614598089263995E-4</v>
      </c>
      <c r="L570" s="160">
        <v>2.04406192565752E-3</v>
      </c>
      <c r="M570" s="160">
        <v>3.4796689564169602E-4</v>
      </c>
      <c r="N570" s="160">
        <v>6.4578924525917703E-4</v>
      </c>
      <c r="O570" s="160">
        <v>0.37338662633787301</v>
      </c>
      <c r="P570" s="160">
        <v>0.84629403706128403</v>
      </c>
      <c r="Q570" s="160">
        <v>-0.12637698238012901</v>
      </c>
      <c r="R570" s="160">
        <v>0.24378953082514601</v>
      </c>
      <c r="S570" s="160">
        <v>1.22051769166649E-2</v>
      </c>
      <c r="T570" s="160">
        <v>4.3921609812982702E-2</v>
      </c>
      <c r="U570" s="160">
        <v>8.2888901255246505E-2</v>
      </c>
      <c r="V570" s="160">
        <v>0.34635622428294699</v>
      </c>
      <c r="W570" s="160"/>
      <c r="X570" s="59"/>
      <c r="Y570" s="159"/>
      <c r="Z570" s="159"/>
      <c r="AA570" s="159"/>
      <c r="AB570" s="159"/>
      <c r="AC570" s="159"/>
      <c r="AD570" s="161"/>
      <c r="AE570" s="160"/>
    </row>
    <row r="571" spans="1:31" ht="21.25" customHeight="1" x14ac:dyDescent="0.15">
      <c r="A571" s="8" t="s">
        <v>513</v>
      </c>
      <c r="B571" s="157" t="s">
        <v>881</v>
      </c>
      <c r="C571" s="158">
        <v>35</v>
      </c>
      <c r="D571" s="157" t="s">
        <v>860</v>
      </c>
      <c r="E571" s="59">
        <v>70.355714285714299</v>
      </c>
      <c r="F571" s="159">
        <v>17.123563546869001</v>
      </c>
      <c r="G571" s="160">
        <v>4.5215161826278702E-2</v>
      </c>
      <c r="H571" s="160">
        <v>0.16317749779521701</v>
      </c>
      <c r="I571" s="160">
        <v>0.208392659621496</v>
      </c>
      <c r="J571" s="160">
        <v>1.5514203510418401</v>
      </c>
      <c r="K571" s="160">
        <v>2.28125117677683E-4</v>
      </c>
      <c r="L571" s="160">
        <v>2.1946532239555702E-3</v>
      </c>
      <c r="M571" s="160">
        <v>3.3185190004449599E-3</v>
      </c>
      <c r="N571" s="160">
        <v>1.3337482377144501E-2</v>
      </c>
      <c r="O571" s="160">
        <v>1.5544153985082401</v>
      </c>
      <c r="P571" s="160">
        <v>1.81148364881288</v>
      </c>
      <c r="Q571" s="160">
        <v>-1.25550529906356E-2</v>
      </c>
      <c r="R571" s="160">
        <v>0.28944680949273499</v>
      </c>
      <c r="S571" s="160">
        <v>5.8268020760534498E-3</v>
      </c>
      <c r="T571" s="160">
        <v>0</v>
      </c>
      <c r="U571" s="160">
        <v>0</v>
      </c>
      <c r="V571" s="160">
        <v>0</v>
      </c>
      <c r="W571" s="160"/>
      <c r="X571" s="59"/>
      <c r="Y571" s="159"/>
      <c r="Z571" s="159"/>
      <c r="AA571" s="159"/>
      <c r="AB571" s="159"/>
      <c r="AC571" s="159"/>
      <c r="AD571" s="161"/>
      <c r="AE571" s="160"/>
    </row>
    <row r="572" spans="1:31" ht="21.25" customHeight="1" x14ac:dyDescent="0.15">
      <c r="A572" s="8" t="s">
        <v>482</v>
      </c>
      <c r="B572" s="157" t="s">
        <v>888</v>
      </c>
      <c r="C572" s="158">
        <v>33</v>
      </c>
      <c r="D572" s="157" t="s">
        <v>860</v>
      </c>
      <c r="E572" s="59">
        <v>72.789285714285697</v>
      </c>
      <c r="F572" s="159">
        <v>17.3739744120479</v>
      </c>
      <c r="G572" s="160">
        <v>6.0235928469972701E-2</v>
      </c>
      <c r="H572" s="160">
        <v>0.147820945997513</v>
      </c>
      <c r="I572" s="160">
        <v>0.208056874467487</v>
      </c>
      <c r="J572" s="160">
        <v>1.58644230954473</v>
      </c>
      <c r="K572" s="160">
        <v>3.0161621734529502E-4</v>
      </c>
      <c r="L572" s="160">
        <v>3.0896801028920599E-3</v>
      </c>
      <c r="M572" s="160">
        <v>3.6465010958813398E-4</v>
      </c>
      <c r="N572" s="160">
        <v>1.6642146664382101E-2</v>
      </c>
      <c r="O572" s="160">
        <v>1.74585508075074</v>
      </c>
      <c r="P572" s="160">
        <v>1.42322097284085</v>
      </c>
      <c r="Q572" s="160">
        <v>-7.2118335211090196E-3</v>
      </c>
      <c r="R572" s="160">
        <v>0.59852500129081998</v>
      </c>
      <c r="S572" s="160">
        <v>8.3668270648390893E-3</v>
      </c>
      <c r="T572" s="160">
        <v>0</v>
      </c>
      <c r="U572" s="160">
        <v>2.0913038453121199E-3</v>
      </c>
      <c r="V572" s="160">
        <v>0</v>
      </c>
      <c r="W572" s="160"/>
      <c r="X572" s="59"/>
      <c r="Y572" s="159"/>
      <c r="Z572" s="159"/>
      <c r="AA572" s="159"/>
      <c r="AB572" s="159"/>
      <c r="AC572" s="159"/>
      <c r="AD572" s="161"/>
      <c r="AE572" s="160"/>
    </row>
    <row r="573" spans="1:31" ht="21.25" customHeight="1" x14ac:dyDescent="0.15">
      <c r="A573" s="8" t="s">
        <v>823</v>
      </c>
      <c r="B573" s="157" t="s">
        <v>875</v>
      </c>
      <c r="C573" s="158">
        <v>28</v>
      </c>
      <c r="D573" s="157" t="s">
        <v>857</v>
      </c>
      <c r="E573" s="59">
        <v>53.274999999999999</v>
      </c>
      <c r="F573" s="159">
        <v>10.9014661127914</v>
      </c>
      <c r="G573" s="160">
        <v>7.5343096483286201E-2</v>
      </c>
      <c r="H573" s="160">
        <v>0.132446246834659</v>
      </c>
      <c r="I573" s="160">
        <v>0.20778934331794499</v>
      </c>
      <c r="J573" s="160">
        <v>1.0995092088671701</v>
      </c>
      <c r="K573" s="160">
        <v>1.2870976387581001E-3</v>
      </c>
      <c r="L573" s="160">
        <v>4.10574942511283E-3</v>
      </c>
      <c r="M573" s="160">
        <v>0</v>
      </c>
      <c r="N573" s="160">
        <v>0</v>
      </c>
      <c r="O573" s="160">
        <v>0.39420456761947298</v>
      </c>
      <c r="P573" s="160">
        <v>1.05049046076731</v>
      </c>
      <c r="Q573" s="160">
        <v>1.7738804062906201E-2</v>
      </c>
      <c r="R573" s="160">
        <v>0.27341146208435901</v>
      </c>
      <c r="S573" s="160">
        <v>1.20983243685667E-2</v>
      </c>
      <c r="T573" s="160">
        <v>0.220397436459076</v>
      </c>
      <c r="U573" s="160">
        <v>0.58444095779848404</v>
      </c>
      <c r="V573" s="160">
        <v>0.27384060953303002</v>
      </c>
      <c r="W573" s="160"/>
      <c r="X573" s="59"/>
      <c r="Y573" s="159"/>
      <c r="Z573" s="159"/>
      <c r="AA573" s="159"/>
      <c r="AB573" s="159"/>
      <c r="AC573" s="159"/>
      <c r="AD573" s="161"/>
      <c r="AE573" s="160"/>
    </row>
    <row r="574" spans="1:31" ht="21.25" customHeight="1" x14ac:dyDescent="0.15">
      <c r="A574" s="8" t="s">
        <v>658</v>
      </c>
      <c r="B574" s="157" t="s">
        <v>891</v>
      </c>
      <c r="C574" s="158">
        <v>23</v>
      </c>
      <c r="D574" s="157" t="s">
        <v>860</v>
      </c>
      <c r="E574" s="59">
        <v>53.817500000000003</v>
      </c>
      <c r="F574" s="159">
        <v>16.532377158536601</v>
      </c>
      <c r="G574" s="160">
        <v>2.8107319431096098E-2</v>
      </c>
      <c r="H574" s="160">
        <v>0.177602256210279</v>
      </c>
      <c r="I574" s="160">
        <v>0.20570957564137601</v>
      </c>
      <c r="J574" s="160">
        <v>0.972417277757613</v>
      </c>
      <c r="K574" s="160">
        <v>2.67390579525662E-4</v>
      </c>
      <c r="L574" s="160">
        <v>1.7466526426526299E-3</v>
      </c>
      <c r="M574" s="160">
        <v>8.7686405133612804E-4</v>
      </c>
      <c r="N574" s="160">
        <v>3.1377647089608999E-3</v>
      </c>
      <c r="O574" s="160">
        <v>1.3587058560690399</v>
      </c>
      <c r="P574" s="160">
        <v>1.18052036761117</v>
      </c>
      <c r="Q574" s="160">
        <v>-4.4584334674711699E-2</v>
      </c>
      <c r="R574" s="160">
        <v>0.29552026678251803</v>
      </c>
      <c r="S574" s="160">
        <v>3.4573657491688199E-3</v>
      </c>
      <c r="T574" s="160">
        <v>0</v>
      </c>
      <c r="U574" s="160">
        <v>0</v>
      </c>
      <c r="V574" s="160">
        <v>0</v>
      </c>
      <c r="W574" s="160"/>
      <c r="X574" s="59"/>
      <c r="Y574" s="159"/>
      <c r="Z574" s="159"/>
      <c r="AA574" s="159"/>
      <c r="AB574" s="159"/>
      <c r="AC574" s="159"/>
      <c r="AD574" s="161"/>
      <c r="AE574" s="160"/>
    </row>
    <row r="575" spans="1:31" ht="21.25" customHeight="1" x14ac:dyDescent="0.15">
      <c r="A575" s="8" t="s">
        <v>568</v>
      </c>
      <c r="B575" s="157" t="s">
        <v>886</v>
      </c>
      <c r="C575" s="158">
        <v>24</v>
      </c>
      <c r="D575" s="157" t="s">
        <v>860</v>
      </c>
      <c r="E575" s="59">
        <v>74.144999999999996</v>
      </c>
      <c r="F575" s="159">
        <v>16.6680274090347</v>
      </c>
      <c r="G575" s="160">
        <v>3.9908044761638402E-2</v>
      </c>
      <c r="H575" s="160">
        <v>0.16495769865755899</v>
      </c>
      <c r="I575" s="160">
        <v>0.204865743419198</v>
      </c>
      <c r="J575" s="160">
        <v>0.95414900061167296</v>
      </c>
      <c r="K575" s="160">
        <v>3.6511714525957301E-4</v>
      </c>
      <c r="L575" s="160">
        <v>2.4637118011867801E-3</v>
      </c>
      <c r="M575" s="160">
        <v>6.2549392485836304E-4</v>
      </c>
      <c r="N575" s="160">
        <v>1.18530215026837E-2</v>
      </c>
      <c r="O575" s="160">
        <v>1.46139156210476</v>
      </c>
      <c r="P575" s="160">
        <v>1.51537862532571</v>
      </c>
      <c r="Q575" s="160">
        <v>3.4289054001822701E-2</v>
      </c>
      <c r="R575" s="160">
        <v>0.421664827454312</v>
      </c>
      <c r="S575" s="160">
        <v>6.2257885623054404E-3</v>
      </c>
      <c r="T575" s="160">
        <v>0</v>
      </c>
      <c r="U575" s="160">
        <v>0</v>
      </c>
      <c r="V575" s="160">
        <v>0</v>
      </c>
      <c r="W575" s="160"/>
      <c r="X575" s="59"/>
      <c r="Y575" s="159"/>
      <c r="Z575" s="159"/>
      <c r="AA575" s="159"/>
      <c r="AB575" s="159"/>
      <c r="AC575" s="159"/>
      <c r="AD575" s="161"/>
      <c r="AE575" s="160"/>
    </row>
    <row r="576" spans="1:31" ht="21.25" customHeight="1" x14ac:dyDescent="0.15">
      <c r="A576" s="8" t="s">
        <v>555</v>
      </c>
      <c r="B576" s="157" t="s">
        <v>883</v>
      </c>
      <c r="C576" s="158">
        <v>33</v>
      </c>
      <c r="D576" s="157" t="s">
        <v>860</v>
      </c>
      <c r="E576" s="59">
        <v>73.515000000000001</v>
      </c>
      <c r="F576" s="159">
        <v>17.514088328693202</v>
      </c>
      <c r="G576" s="160">
        <v>3.7038604397658999E-2</v>
      </c>
      <c r="H576" s="160">
        <v>0.16611536286419301</v>
      </c>
      <c r="I576" s="160">
        <v>0.203153967261851</v>
      </c>
      <c r="J576" s="160">
        <v>1.20789469447223</v>
      </c>
      <c r="K576" s="160">
        <v>1.3360871149487E-4</v>
      </c>
      <c r="L576" s="160">
        <v>9.7326498582924099E-4</v>
      </c>
      <c r="M576" s="160">
        <v>4.01837408102085E-4</v>
      </c>
      <c r="N576" s="160">
        <v>6.2106552513017102E-3</v>
      </c>
      <c r="O576" s="160">
        <v>1.2245703253040501</v>
      </c>
      <c r="P576" s="160">
        <v>1.32073754724721</v>
      </c>
      <c r="Q576" s="160">
        <v>4.2200279329860004E-3</v>
      </c>
      <c r="R576" s="160">
        <v>0.58018319106688798</v>
      </c>
      <c r="S576" s="160">
        <v>5.8946702929478503E-3</v>
      </c>
      <c r="T576" s="160">
        <v>0</v>
      </c>
      <c r="U576" s="160">
        <v>0</v>
      </c>
      <c r="V576" s="160">
        <v>0</v>
      </c>
      <c r="W576" s="160"/>
      <c r="X576" s="59"/>
      <c r="Y576" s="159"/>
      <c r="Z576" s="159"/>
      <c r="AA576" s="159"/>
      <c r="AB576" s="159"/>
      <c r="AC576" s="159"/>
      <c r="AD576" s="161"/>
      <c r="AE576" s="160"/>
    </row>
    <row r="577" spans="1:31" ht="21.25" customHeight="1" x14ac:dyDescent="0.15">
      <c r="A577" s="8" t="s">
        <v>597</v>
      </c>
      <c r="B577" s="157" t="s">
        <v>881</v>
      </c>
      <c r="C577" s="158">
        <v>24</v>
      </c>
      <c r="D577" s="157" t="s">
        <v>860</v>
      </c>
      <c r="E577" s="59">
        <v>70.2</v>
      </c>
      <c r="F577" s="159">
        <v>17.0340037185215</v>
      </c>
      <c r="G577" s="160">
        <v>4.6524547732717803E-2</v>
      </c>
      <c r="H577" s="160">
        <v>0.155287929176262</v>
      </c>
      <c r="I577" s="160">
        <v>0.20181247690897999</v>
      </c>
      <c r="J577" s="160">
        <v>1.0354349392715001</v>
      </c>
      <c r="K577" s="160">
        <v>1.57120442541804E-4</v>
      </c>
      <c r="L577" s="160">
        <v>2.51313296932056E-3</v>
      </c>
      <c r="M577" s="160">
        <v>5.0409365685802397E-4</v>
      </c>
      <c r="N577" s="160">
        <v>1.94043975165846E-3</v>
      </c>
      <c r="O577" s="160">
        <v>0.94809559744304395</v>
      </c>
      <c r="P577" s="160">
        <v>0.98387285308686101</v>
      </c>
      <c r="Q577" s="160">
        <v>-4.3145652737785499E-2</v>
      </c>
      <c r="R577" s="160">
        <v>0.31771881389566597</v>
      </c>
      <c r="S577" s="160">
        <v>5.9955404418986996E-3</v>
      </c>
      <c r="T577" s="160">
        <v>0</v>
      </c>
      <c r="U577" s="160">
        <v>0</v>
      </c>
      <c r="V577" s="160">
        <v>0</v>
      </c>
      <c r="W577" s="160"/>
      <c r="X577" s="59"/>
      <c r="Y577" s="159"/>
      <c r="Z577" s="159"/>
      <c r="AA577" s="159"/>
      <c r="AB577" s="159"/>
      <c r="AC577" s="159"/>
      <c r="AD577" s="161"/>
      <c r="AE577" s="160"/>
    </row>
    <row r="578" spans="1:31" ht="21.25" customHeight="1" x14ac:dyDescent="0.15">
      <c r="A578" s="8" t="s">
        <v>587</v>
      </c>
      <c r="B578" s="157" t="s">
        <v>893</v>
      </c>
      <c r="C578" s="158">
        <v>25</v>
      </c>
      <c r="D578" s="157" t="s">
        <v>860</v>
      </c>
      <c r="E578" s="59">
        <v>63.376428571428598</v>
      </c>
      <c r="F578" s="159">
        <v>12.7205882352941</v>
      </c>
      <c r="G578" s="160">
        <v>4.5491632166337899E-2</v>
      </c>
      <c r="H578" s="160">
        <v>0.15576208381547399</v>
      </c>
      <c r="I578" s="160">
        <v>0.20125371598181199</v>
      </c>
      <c r="J578" s="160">
        <v>1.3926458528705701</v>
      </c>
      <c r="K578" s="160">
        <v>1.6373550633657599E-2</v>
      </c>
      <c r="L578" s="160">
        <v>4.7204799325458298E-2</v>
      </c>
      <c r="M578" s="160">
        <v>6.1722053540529597E-5</v>
      </c>
      <c r="N578" s="160">
        <v>2.2964954229042701E-4</v>
      </c>
      <c r="O578" s="160">
        <v>0.807807893326976</v>
      </c>
      <c r="P578" s="160">
        <v>0.99692332759440705</v>
      </c>
      <c r="Q578" s="160">
        <v>-1.0187471004378299E-3</v>
      </c>
      <c r="R578" s="160">
        <v>0.23934809966273801</v>
      </c>
      <c r="S578" s="160">
        <v>8.1622174453181793E-3</v>
      </c>
      <c r="T578" s="160">
        <v>0</v>
      </c>
      <c r="U578" s="160">
        <v>5.5804128019533404E-3</v>
      </c>
      <c r="V578" s="160">
        <v>0</v>
      </c>
      <c r="W578" s="160"/>
      <c r="X578" s="59"/>
      <c r="Y578" s="159"/>
      <c r="Z578" s="159"/>
      <c r="AA578" s="159"/>
      <c r="AB578" s="159"/>
      <c r="AC578" s="159"/>
      <c r="AD578" s="161"/>
      <c r="AE578" s="160"/>
    </row>
    <row r="579" spans="1:31" ht="21.25" customHeight="1" x14ac:dyDescent="0.15">
      <c r="A579" s="8" t="s">
        <v>501</v>
      </c>
      <c r="B579" s="157" t="s">
        <v>890</v>
      </c>
      <c r="C579" s="158">
        <v>30</v>
      </c>
      <c r="D579" s="157" t="s">
        <v>860</v>
      </c>
      <c r="E579" s="59">
        <v>77.358928571428606</v>
      </c>
      <c r="F579" s="159">
        <v>19.753508452743901</v>
      </c>
      <c r="G579" s="160">
        <v>7.05177665546384E-2</v>
      </c>
      <c r="H579" s="160">
        <v>0.1305520575444</v>
      </c>
      <c r="I579" s="160">
        <v>0.20106982409903901</v>
      </c>
      <c r="J579" s="160">
        <v>1.1589376372116</v>
      </c>
      <c r="K579" s="160">
        <v>6.9360834945141796E-4</v>
      </c>
      <c r="L579" s="160">
        <v>2.2013416767301601E-3</v>
      </c>
      <c r="M579" s="160">
        <v>1.33464473531873E-2</v>
      </c>
      <c r="N579" s="160">
        <v>1.4944447974449999E-2</v>
      </c>
      <c r="O579" s="160">
        <v>2.0458432709517602</v>
      </c>
      <c r="P579" s="160">
        <v>1.9472514162831001</v>
      </c>
      <c r="Q579" s="160">
        <v>-9.8964863303872094E-2</v>
      </c>
      <c r="R579" s="160">
        <v>0.68060643599277304</v>
      </c>
      <c r="S579" s="160">
        <v>8.2633813250605898E-3</v>
      </c>
      <c r="T579" s="160">
        <v>0</v>
      </c>
      <c r="U579" s="160">
        <v>0</v>
      </c>
      <c r="V579" s="160">
        <v>0</v>
      </c>
      <c r="W579" s="160"/>
      <c r="X579" s="59"/>
      <c r="Y579" s="159"/>
      <c r="Z579" s="159"/>
      <c r="AA579" s="159"/>
      <c r="AB579" s="159"/>
      <c r="AC579" s="159"/>
      <c r="AD579" s="161"/>
      <c r="AE579" s="160"/>
    </row>
    <row r="580" spans="1:31" ht="21.25" customHeight="1" x14ac:dyDescent="0.15">
      <c r="A580" s="8" t="s">
        <v>522</v>
      </c>
      <c r="B580" s="157" t="s">
        <v>879</v>
      </c>
      <c r="C580" s="158">
        <v>26</v>
      </c>
      <c r="D580" s="157" t="s">
        <v>860</v>
      </c>
      <c r="E580" s="59">
        <v>76.128571428571405</v>
      </c>
      <c r="F580" s="159">
        <v>18.579255510391199</v>
      </c>
      <c r="G580" s="160">
        <v>5.9822964125602E-2</v>
      </c>
      <c r="H580" s="160">
        <v>0.140934570037174</v>
      </c>
      <c r="I580" s="160">
        <v>0.200757534162777</v>
      </c>
      <c r="J580" s="160">
        <v>1.31288601986063</v>
      </c>
      <c r="K580" s="160">
        <v>1.28677097020271E-4</v>
      </c>
      <c r="L580" s="160">
        <v>1.1836534868765599E-3</v>
      </c>
      <c r="M580" s="160">
        <v>4.1305397488183302E-3</v>
      </c>
      <c r="N580" s="160">
        <v>5.6938770541540501E-3</v>
      </c>
      <c r="O580" s="160">
        <v>1.44979303103027</v>
      </c>
      <c r="P580" s="160">
        <v>1.62691191023332</v>
      </c>
      <c r="Q580" s="160">
        <v>6.20822000588774E-2</v>
      </c>
      <c r="R580" s="160">
        <v>0.44668697530920098</v>
      </c>
      <c r="S580" s="160">
        <v>1.00430983978207E-2</v>
      </c>
      <c r="T580" s="160">
        <v>0</v>
      </c>
      <c r="U580" s="160">
        <v>0</v>
      </c>
      <c r="V580" s="160">
        <v>0</v>
      </c>
      <c r="W580" s="160"/>
      <c r="X580" s="59"/>
      <c r="Y580" s="159"/>
      <c r="Z580" s="159"/>
      <c r="AA580" s="159"/>
      <c r="AB580" s="159"/>
      <c r="AC580" s="159"/>
      <c r="AD580" s="161"/>
      <c r="AE580" s="160"/>
    </row>
    <row r="581" spans="1:31" ht="21.25" customHeight="1" x14ac:dyDescent="0.15">
      <c r="A581" s="8" t="s">
        <v>550</v>
      </c>
      <c r="B581" s="157" t="s">
        <v>887</v>
      </c>
      <c r="C581" s="158">
        <v>29</v>
      </c>
      <c r="D581" s="157" t="s">
        <v>860</v>
      </c>
      <c r="E581" s="59">
        <v>72.807857142857102</v>
      </c>
      <c r="F581" s="159">
        <v>18.2475032158777</v>
      </c>
      <c r="G581" s="160">
        <v>4.63465357929954E-2</v>
      </c>
      <c r="H581" s="160">
        <v>0.15427197926286201</v>
      </c>
      <c r="I581" s="160">
        <v>0.20061851505585701</v>
      </c>
      <c r="J581" s="160">
        <v>1.27986469091188</v>
      </c>
      <c r="K581" s="160">
        <v>2.4989781264358698E-4</v>
      </c>
      <c r="L581" s="160">
        <v>1.73063856461073E-3</v>
      </c>
      <c r="M581" s="160">
        <v>3.9197408245911702E-4</v>
      </c>
      <c r="N581" s="160">
        <v>2.1202905971905699E-3</v>
      </c>
      <c r="O581" s="160">
        <v>1.3247673743108499</v>
      </c>
      <c r="P581" s="160">
        <v>1.1105833584929901</v>
      </c>
      <c r="Q581" s="160">
        <v>-6.1079449046098397E-2</v>
      </c>
      <c r="R581" s="160">
        <v>0.50761008645847205</v>
      </c>
      <c r="S581" s="160">
        <v>5.7122103410522903E-3</v>
      </c>
      <c r="T581" s="160">
        <v>0</v>
      </c>
      <c r="U581" s="160">
        <v>0</v>
      </c>
      <c r="V581" s="160">
        <v>0</v>
      </c>
      <c r="W581" s="160"/>
      <c r="X581" s="59"/>
      <c r="Y581" s="160"/>
      <c r="Z581" s="160"/>
      <c r="AA581" s="160"/>
      <c r="AB581" s="160"/>
      <c r="AC581" s="159"/>
      <c r="AD581" s="161"/>
      <c r="AE581" s="160"/>
    </row>
    <row r="582" spans="1:31" ht="21.25" customHeight="1" x14ac:dyDescent="0.15">
      <c r="A582" s="8" t="s">
        <v>819</v>
      </c>
      <c r="B582" s="157" t="s">
        <v>880</v>
      </c>
      <c r="C582" s="158">
        <v>31</v>
      </c>
      <c r="D582" s="157" t="s">
        <v>857</v>
      </c>
      <c r="E582" s="59">
        <v>62</v>
      </c>
      <c r="F582" s="159">
        <v>10.0809893441686</v>
      </c>
      <c r="G582" s="160">
        <v>8.3114548016070197E-2</v>
      </c>
      <c r="H582" s="160">
        <v>0.116766968822516</v>
      </c>
      <c r="I582" s="160">
        <v>0.19988151683858499</v>
      </c>
      <c r="J582" s="160">
        <v>0.91464067523583903</v>
      </c>
      <c r="K582" s="160">
        <v>4.8906045701488702E-4</v>
      </c>
      <c r="L582" s="160">
        <v>1.44749384912966E-3</v>
      </c>
      <c r="M582" s="160">
        <v>1.24801628735887E-3</v>
      </c>
      <c r="N582" s="160">
        <v>1.6873435624333701E-3</v>
      </c>
      <c r="O582" s="160">
        <v>0.486178519658435</v>
      </c>
      <c r="P582" s="160">
        <v>1.64137308964007</v>
      </c>
      <c r="Q582" s="160">
        <v>4.3868338307196997E-2</v>
      </c>
      <c r="R582" s="160">
        <v>0.228386215677607</v>
      </c>
      <c r="S582" s="160">
        <v>1.41625637760365E-2</v>
      </c>
      <c r="T582" s="160">
        <v>4.9543322983922097E-2</v>
      </c>
      <c r="U582" s="160">
        <v>6.1519613386452898E-2</v>
      </c>
      <c r="V582" s="160">
        <v>0.44608331638832199</v>
      </c>
      <c r="W582" s="160"/>
      <c r="X582" s="59"/>
      <c r="Y582" s="160"/>
      <c r="Z582" s="160"/>
      <c r="AA582" s="160"/>
      <c r="AB582" s="160"/>
      <c r="AC582" s="159"/>
      <c r="AD582" s="161"/>
      <c r="AE582" s="160"/>
    </row>
    <row r="583" spans="1:31" ht="21.25" customHeight="1" x14ac:dyDescent="0.15">
      <c r="A583" s="8" t="s">
        <v>583</v>
      </c>
      <c r="B583" s="157" t="s">
        <v>896</v>
      </c>
      <c r="C583" s="158">
        <v>28</v>
      </c>
      <c r="D583" s="157" t="s">
        <v>860</v>
      </c>
      <c r="E583" s="59">
        <v>68.523571428571401</v>
      </c>
      <c r="F583" s="159">
        <v>17.351981267632201</v>
      </c>
      <c r="G583" s="160">
        <v>4.3692251945424899E-2</v>
      </c>
      <c r="H583" s="160">
        <v>0.15530658121056101</v>
      </c>
      <c r="I583" s="160">
        <v>0.19899883315598499</v>
      </c>
      <c r="J583" s="160">
        <v>1.1327461278414199</v>
      </c>
      <c r="K583" s="160">
        <v>1.9329816940360901E-4</v>
      </c>
      <c r="L583" s="160">
        <v>1.3331535734801799E-3</v>
      </c>
      <c r="M583" s="160">
        <v>3.0357520118274803E-4</v>
      </c>
      <c r="N583" s="160">
        <v>1.1469550477595E-3</v>
      </c>
      <c r="O583" s="160">
        <v>1.39672738319643</v>
      </c>
      <c r="P583" s="160">
        <v>2.4008878826097702</v>
      </c>
      <c r="Q583" s="160">
        <v>-8.87025757170639E-2</v>
      </c>
      <c r="R583" s="160">
        <v>0.59885005550451498</v>
      </c>
      <c r="S583" s="160">
        <v>4.7366523133191701E-3</v>
      </c>
      <c r="T583" s="160">
        <v>0</v>
      </c>
      <c r="U583" s="160">
        <v>0</v>
      </c>
      <c r="V583" s="160">
        <v>0</v>
      </c>
      <c r="W583" s="160"/>
      <c r="X583" s="59"/>
      <c r="Y583" s="160"/>
      <c r="Z583" s="160"/>
      <c r="AA583" s="160"/>
      <c r="AB583" s="160"/>
      <c r="AC583" s="159"/>
      <c r="AD583" s="161"/>
      <c r="AE583" s="160"/>
    </row>
    <row r="584" spans="1:31" ht="21.25" customHeight="1" x14ac:dyDescent="0.15">
      <c r="A584" s="8" t="s">
        <v>729</v>
      </c>
      <c r="B584" s="157" t="s">
        <v>900</v>
      </c>
      <c r="C584" s="158">
        <v>35</v>
      </c>
      <c r="D584" s="157" t="s">
        <v>859</v>
      </c>
      <c r="E584" s="59">
        <v>72.1314285714286</v>
      </c>
      <c r="F584" s="159">
        <v>12.320296846431701</v>
      </c>
      <c r="G584" s="160">
        <v>8.5793026995421504E-2</v>
      </c>
      <c r="H584" s="160">
        <v>0.112188885482879</v>
      </c>
      <c r="I584" s="160">
        <v>0.19798191247829999</v>
      </c>
      <c r="J584" s="160">
        <v>0.976058711957838</v>
      </c>
      <c r="K584" s="160">
        <v>5.9038424331140195E-4</v>
      </c>
      <c r="L584" s="160">
        <v>1.53862230946601E-3</v>
      </c>
      <c r="M584" s="160">
        <v>8.1604441957945206E-3</v>
      </c>
      <c r="N584" s="160">
        <v>9.7279664579352394E-3</v>
      </c>
      <c r="O584" s="160">
        <v>0.54140494001746797</v>
      </c>
      <c r="P584" s="160">
        <v>3.3232831659085398</v>
      </c>
      <c r="Q584" s="160">
        <v>-1.00039165456973E-2</v>
      </c>
      <c r="R584" s="160">
        <v>0.27047964809341102</v>
      </c>
      <c r="S584" s="160">
        <v>1.32568978783754E-2</v>
      </c>
      <c r="T584" s="160">
        <v>4.1756889688515902E-2</v>
      </c>
      <c r="U584" s="160">
        <v>7.0805390741758498E-2</v>
      </c>
      <c r="V584" s="160">
        <v>0.37096698404561701</v>
      </c>
      <c r="W584" s="160"/>
      <c r="X584" s="59"/>
      <c r="Y584" s="160"/>
      <c r="Z584" s="160"/>
      <c r="AA584" s="160"/>
      <c r="AB584" s="160"/>
      <c r="AC584" s="159"/>
      <c r="AD584" s="161"/>
      <c r="AE584" s="160"/>
    </row>
    <row r="585" spans="1:31" ht="21.25" customHeight="1" x14ac:dyDescent="0.15">
      <c r="A585" s="8" t="s">
        <v>808</v>
      </c>
      <c r="B585" s="157" t="s">
        <v>896</v>
      </c>
      <c r="C585" s="158">
        <v>31</v>
      </c>
      <c r="D585" s="157" t="s">
        <v>857</v>
      </c>
      <c r="E585" s="59">
        <v>67.933571428571398</v>
      </c>
      <c r="F585" s="159">
        <v>10.545349719204401</v>
      </c>
      <c r="G585" s="160">
        <v>9.5104271169165699E-2</v>
      </c>
      <c r="H585" s="160">
        <v>0.102450293963216</v>
      </c>
      <c r="I585" s="160">
        <v>0.19755456513238201</v>
      </c>
      <c r="J585" s="160">
        <v>1.0511985786053999</v>
      </c>
      <c r="K585" s="160">
        <v>2.24246664063557E-3</v>
      </c>
      <c r="L585" s="160">
        <v>6.5457603708079298E-3</v>
      </c>
      <c r="M585" s="160">
        <v>1.36514735203922E-3</v>
      </c>
      <c r="N585" s="160">
        <v>2.5229359337864601E-3</v>
      </c>
      <c r="O585" s="160">
        <v>0.40349674175379302</v>
      </c>
      <c r="P585" s="160">
        <v>1.7461282803446001</v>
      </c>
      <c r="Q585" s="160">
        <v>-0.113453067643713</v>
      </c>
      <c r="R585" s="160">
        <v>0.92399543487741498</v>
      </c>
      <c r="S585" s="160">
        <v>1.03102002296115E-2</v>
      </c>
      <c r="T585" s="160">
        <v>3.3227948832927101</v>
      </c>
      <c r="U585" s="160">
        <v>3.3766741059362402</v>
      </c>
      <c r="V585" s="160">
        <v>0.49597884379119</v>
      </c>
      <c r="W585" s="160"/>
      <c r="X585" s="59"/>
      <c r="Y585" s="160"/>
      <c r="Z585" s="160"/>
      <c r="AA585" s="160"/>
      <c r="AB585" s="160"/>
      <c r="AC585" s="159"/>
      <c r="AD585" s="161"/>
      <c r="AE585" s="160"/>
    </row>
    <row r="586" spans="1:31" ht="21.25" customHeight="1" x14ac:dyDescent="0.15">
      <c r="A586" s="8" t="s">
        <v>619</v>
      </c>
      <c r="B586" s="157" t="s">
        <v>876</v>
      </c>
      <c r="C586" s="158">
        <v>23</v>
      </c>
      <c r="D586" s="157" t="s">
        <v>860</v>
      </c>
      <c r="E586" s="59">
        <v>72</v>
      </c>
      <c r="F586" s="159">
        <v>14.6392454892567</v>
      </c>
      <c r="G586" s="160">
        <v>4.4679692819138001E-2</v>
      </c>
      <c r="H586" s="160">
        <v>0.152537468229584</v>
      </c>
      <c r="I586" s="160">
        <v>0.197217161048722</v>
      </c>
      <c r="J586" s="160">
        <v>0.75574713863785503</v>
      </c>
      <c r="K586" s="160">
        <v>3.4214697708295701E-4</v>
      </c>
      <c r="L586" s="160">
        <v>2.3204522027786001E-3</v>
      </c>
      <c r="M586" s="160">
        <v>9.1834396784262696E-4</v>
      </c>
      <c r="N586" s="160">
        <v>3.4118738329770399E-3</v>
      </c>
      <c r="O586" s="160">
        <v>1.03923368898636</v>
      </c>
      <c r="P586" s="160">
        <v>1.4831657867321</v>
      </c>
      <c r="Q586" s="160">
        <v>1.8540516556561499E-4</v>
      </c>
      <c r="R586" s="160">
        <v>0.48118094964945901</v>
      </c>
      <c r="S586" s="160">
        <v>6.5764309893318797E-3</v>
      </c>
      <c r="T586" s="160">
        <v>0</v>
      </c>
      <c r="U586" s="160">
        <v>0</v>
      </c>
      <c r="V586" s="160">
        <v>0</v>
      </c>
      <c r="W586" s="160"/>
      <c r="X586" s="59"/>
      <c r="Y586" s="160"/>
      <c r="Z586" s="160"/>
      <c r="AA586" s="160"/>
      <c r="AB586" s="160"/>
      <c r="AC586" s="159"/>
      <c r="AD586" s="161"/>
      <c r="AE586" s="160"/>
    </row>
    <row r="587" spans="1:31" ht="21.25" customHeight="1" x14ac:dyDescent="0.15">
      <c r="A587" s="8" t="s">
        <v>545</v>
      </c>
      <c r="B587" s="157" t="s">
        <v>902</v>
      </c>
      <c r="C587" s="158">
        <v>36</v>
      </c>
      <c r="D587" s="157" t="s">
        <v>860</v>
      </c>
      <c r="E587" s="59">
        <v>78.8</v>
      </c>
      <c r="F587" s="159">
        <v>19.120010454026499</v>
      </c>
      <c r="G587" s="160">
        <v>2.04350437434784E-2</v>
      </c>
      <c r="H587" s="160">
        <v>0.17510064453249799</v>
      </c>
      <c r="I587" s="160">
        <v>0.19553568827597601</v>
      </c>
      <c r="J587" s="160">
        <v>1.00049848485894</v>
      </c>
      <c r="K587" s="160">
        <v>5.0339114795713998E-4</v>
      </c>
      <c r="L587" s="160">
        <v>2.0987517325715202E-3</v>
      </c>
      <c r="M587" s="160">
        <v>2.3438135393360601E-4</v>
      </c>
      <c r="N587" s="160">
        <v>1.6374977292508001E-3</v>
      </c>
      <c r="O587" s="160">
        <v>1.570813485265</v>
      </c>
      <c r="P587" s="160">
        <v>0.89371463720125699</v>
      </c>
      <c r="Q587" s="160">
        <v>-7.9318765689101994E-3</v>
      </c>
      <c r="R587" s="160">
        <v>0.22091033080938</v>
      </c>
      <c r="S587" s="160">
        <v>2.4812586418847598E-3</v>
      </c>
      <c r="T587" s="160">
        <v>0</v>
      </c>
      <c r="U587" s="160">
        <v>0</v>
      </c>
      <c r="V587" s="160">
        <v>0</v>
      </c>
      <c r="W587" s="160"/>
      <c r="X587" s="59"/>
      <c r="Y587" s="160"/>
      <c r="Z587" s="160"/>
      <c r="AA587" s="160"/>
      <c r="AB587" s="160"/>
      <c r="AC587" s="159"/>
      <c r="AD587" s="161"/>
      <c r="AE587" s="160"/>
    </row>
    <row r="588" spans="1:31" ht="21.25" customHeight="1" x14ac:dyDescent="0.15">
      <c r="A588" s="8" t="s">
        <v>659</v>
      </c>
      <c r="B588" s="157" t="s">
        <v>896</v>
      </c>
      <c r="C588" s="158">
        <v>26</v>
      </c>
      <c r="D588" s="157" t="s">
        <v>860</v>
      </c>
      <c r="E588" s="59">
        <v>60.1703571428571</v>
      </c>
      <c r="F588" s="159">
        <v>16.5139484230831</v>
      </c>
      <c r="G588" s="160">
        <v>2.1474121721164599E-2</v>
      </c>
      <c r="H588" s="160">
        <v>0.17356395992248499</v>
      </c>
      <c r="I588" s="160">
        <v>0.19503808164365</v>
      </c>
      <c r="J588" s="160">
        <v>0.87689417244239598</v>
      </c>
      <c r="K588" s="160">
        <v>3.3450367913451598E-4</v>
      </c>
      <c r="L588" s="160">
        <v>2.24704942137111E-3</v>
      </c>
      <c r="M588" s="160">
        <v>5.3388659623561103E-4</v>
      </c>
      <c r="N588" s="160">
        <v>1.9646645490176201E-3</v>
      </c>
      <c r="O588" s="160">
        <v>0.98785230677937597</v>
      </c>
      <c r="P588" s="160">
        <v>1.0667832419819201</v>
      </c>
      <c r="Q588" s="160">
        <v>-0.110371170385016</v>
      </c>
      <c r="R588" s="160">
        <v>0.30639334789252798</v>
      </c>
      <c r="S588" s="160">
        <v>2.3279973862208501E-3</v>
      </c>
      <c r="T588" s="160">
        <v>0</v>
      </c>
      <c r="U588" s="160">
        <v>0</v>
      </c>
      <c r="V588" s="160">
        <v>0</v>
      </c>
      <c r="W588" s="160"/>
      <c r="X588" s="59"/>
      <c r="Y588" s="160"/>
      <c r="Z588" s="160"/>
      <c r="AA588" s="160"/>
      <c r="AB588" s="160"/>
      <c r="AC588" s="159"/>
      <c r="AD588" s="161"/>
      <c r="AE588" s="160"/>
    </row>
    <row r="589" spans="1:31" ht="21.25" customHeight="1" x14ac:dyDescent="0.15">
      <c r="A589" s="8" t="s">
        <v>815</v>
      </c>
      <c r="B589" s="157" t="s">
        <v>888</v>
      </c>
      <c r="C589" s="158">
        <v>24</v>
      </c>
      <c r="D589" s="157" t="s">
        <v>857</v>
      </c>
      <c r="E589" s="59">
        <v>63.337499999999999</v>
      </c>
      <c r="F589" s="159">
        <v>8.7474233384146292</v>
      </c>
      <c r="G589" s="160">
        <v>0.104838965777064</v>
      </c>
      <c r="H589" s="160">
        <v>8.9379928560797697E-2</v>
      </c>
      <c r="I589" s="160">
        <v>0.19421889433786199</v>
      </c>
      <c r="J589" s="160">
        <v>1.03538756114592</v>
      </c>
      <c r="K589" s="160">
        <v>6.9658522673345102E-4</v>
      </c>
      <c r="L589" s="160">
        <v>1.7828844347679001E-3</v>
      </c>
      <c r="M589" s="160">
        <v>2.1428042308143302E-3</v>
      </c>
      <c r="N589" s="160">
        <v>3.9644501997875897E-3</v>
      </c>
      <c r="O589" s="160">
        <v>0.51777887964241498</v>
      </c>
      <c r="P589" s="160">
        <v>2.0798349507606</v>
      </c>
      <c r="Q589" s="160">
        <v>9.9523030430975594E-3</v>
      </c>
      <c r="R589" s="160">
        <v>0.60774511242893003</v>
      </c>
      <c r="S589" s="160">
        <v>1.45622308577935E-2</v>
      </c>
      <c r="T589" s="160">
        <v>5.0470311361948799</v>
      </c>
      <c r="U589" s="160">
        <v>3.7872565596155701</v>
      </c>
      <c r="V589" s="160">
        <v>0.571300291543411</v>
      </c>
      <c r="W589" s="160"/>
      <c r="X589" s="59"/>
      <c r="Y589" s="160"/>
      <c r="Z589" s="160"/>
      <c r="AA589" s="160"/>
      <c r="AB589" s="160"/>
      <c r="AC589" s="159"/>
      <c r="AD589" s="161"/>
      <c r="AE589" s="160"/>
    </row>
    <row r="590" spans="1:31" ht="21.25" customHeight="1" x14ac:dyDescent="0.15">
      <c r="A590" s="8" t="s">
        <v>577</v>
      </c>
      <c r="B590" s="157" t="s">
        <v>879</v>
      </c>
      <c r="C590" s="158">
        <v>31</v>
      </c>
      <c r="D590" s="157" t="s">
        <v>860</v>
      </c>
      <c r="E590" s="59">
        <v>76.234999999999999</v>
      </c>
      <c r="F590" s="159">
        <v>17.565507904034</v>
      </c>
      <c r="G590" s="160">
        <v>5.7268093246414402E-2</v>
      </c>
      <c r="H590" s="160">
        <v>0.13609062122538501</v>
      </c>
      <c r="I590" s="160">
        <v>0.1933587144718</v>
      </c>
      <c r="J590" s="160">
        <v>0.84187211352097802</v>
      </c>
      <c r="K590" s="160">
        <v>2.2026662408144599E-4</v>
      </c>
      <c r="L590" s="160">
        <v>1.5108818566299401E-3</v>
      </c>
      <c r="M590" s="160">
        <v>1.36067697784526E-2</v>
      </c>
      <c r="N590" s="160">
        <v>1.9217894647436801E-2</v>
      </c>
      <c r="O590" s="160">
        <v>1.5001042146136201</v>
      </c>
      <c r="P590" s="160">
        <v>1.69626322545813</v>
      </c>
      <c r="Q590" s="160">
        <v>2.3204746479600202E-2</v>
      </c>
      <c r="R590" s="160">
        <v>0.44415486255637798</v>
      </c>
      <c r="S590" s="160">
        <v>9.6141858554810201E-3</v>
      </c>
      <c r="T590" s="160">
        <v>0</v>
      </c>
      <c r="U590" s="160">
        <v>0</v>
      </c>
      <c r="V590" s="160">
        <v>0</v>
      </c>
      <c r="W590" s="160"/>
      <c r="X590" s="59"/>
      <c r="Y590" s="160"/>
      <c r="Z590" s="160"/>
      <c r="AA590" s="160"/>
      <c r="AB590" s="160"/>
      <c r="AC590" s="159"/>
      <c r="AD590" s="161"/>
      <c r="AE590" s="160"/>
    </row>
    <row r="591" spans="1:31" ht="21.25" customHeight="1" x14ac:dyDescent="0.15">
      <c r="A591" s="8" t="s">
        <v>517</v>
      </c>
      <c r="B591" s="157" t="s">
        <v>882</v>
      </c>
      <c r="C591" s="158">
        <v>33</v>
      </c>
      <c r="D591" s="157" t="s">
        <v>860</v>
      </c>
      <c r="E591" s="59">
        <v>81.173571428571407</v>
      </c>
      <c r="F591" s="159">
        <v>17.543180197851001</v>
      </c>
      <c r="G591" s="160">
        <v>2.25227543520094E-2</v>
      </c>
      <c r="H591" s="160">
        <v>0.16983784897884599</v>
      </c>
      <c r="I591" s="160">
        <v>0.192360603330856</v>
      </c>
      <c r="J591" s="160">
        <v>1.1871487988774501</v>
      </c>
      <c r="K591" s="160">
        <v>4.7113178182160898E-4</v>
      </c>
      <c r="L591" s="160">
        <v>7.8257853353273892E-3</v>
      </c>
      <c r="M591" s="160">
        <v>1.3038564843177399E-3</v>
      </c>
      <c r="N591" s="160">
        <v>5.9702270932967001E-3</v>
      </c>
      <c r="O591" s="160">
        <v>1.45344196502405</v>
      </c>
      <c r="P591" s="160">
        <v>1.1669982454094501</v>
      </c>
      <c r="Q591" s="160">
        <v>-2.5616418968455401E-2</v>
      </c>
      <c r="R591" s="160">
        <v>0.62777416797072205</v>
      </c>
      <c r="S591" s="160">
        <v>3.1883131995474301E-3</v>
      </c>
      <c r="T591" s="160">
        <v>0</v>
      </c>
      <c r="U591" s="160">
        <v>0</v>
      </c>
      <c r="V591" s="160">
        <v>0</v>
      </c>
      <c r="W591" s="160"/>
      <c r="X591" s="59"/>
      <c r="Y591" s="160"/>
      <c r="Z591" s="160"/>
      <c r="AA591" s="160"/>
      <c r="AB591" s="160"/>
      <c r="AC591" s="159"/>
      <c r="AD591" s="161"/>
      <c r="AE591" s="160"/>
    </row>
    <row r="592" spans="1:31" ht="21.25" customHeight="1" x14ac:dyDescent="0.15">
      <c r="A592" s="8" t="s">
        <v>596</v>
      </c>
      <c r="B592" s="157" t="s">
        <v>898</v>
      </c>
      <c r="C592" s="158">
        <v>28</v>
      </c>
      <c r="D592" s="157" t="s">
        <v>860</v>
      </c>
      <c r="E592" s="59">
        <v>76.923571428571407</v>
      </c>
      <c r="F592" s="159">
        <v>15.7099611391567</v>
      </c>
      <c r="G592" s="160">
        <v>3.9549665656807301E-2</v>
      </c>
      <c r="H592" s="160">
        <v>0.15268797254529801</v>
      </c>
      <c r="I592" s="160">
        <v>0.19223763820210499</v>
      </c>
      <c r="J592" s="160">
        <v>0.80995194226623701</v>
      </c>
      <c r="K592" s="160">
        <v>2.8547829798879101E-4</v>
      </c>
      <c r="L592" s="160">
        <v>1.9685726949338501E-3</v>
      </c>
      <c r="M592" s="160">
        <v>1.15973245693389E-4</v>
      </c>
      <c r="N592" s="160">
        <v>4.38090499818054E-4</v>
      </c>
      <c r="O592" s="160">
        <v>1.22247413125951</v>
      </c>
      <c r="P592" s="160">
        <v>0.924076794473223</v>
      </c>
      <c r="Q592" s="160">
        <v>-4.3467487169279902E-2</v>
      </c>
      <c r="R592" s="160">
        <v>0.18570558182763799</v>
      </c>
      <c r="S592" s="160">
        <v>5.1063109699971297E-3</v>
      </c>
      <c r="T592" s="160">
        <v>0</v>
      </c>
      <c r="U592" s="160">
        <v>0</v>
      </c>
      <c r="V592" s="160">
        <v>0</v>
      </c>
      <c r="W592" s="160"/>
      <c r="X592" s="59"/>
      <c r="Y592" s="160"/>
      <c r="Z592" s="160"/>
      <c r="AA592" s="160"/>
      <c r="AB592" s="160"/>
      <c r="AC592" s="159"/>
      <c r="AD592" s="161"/>
      <c r="AE592" s="160"/>
    </row>
    <row r="593" spans="1:31" ht="21.25" customHeight="1" x14ac:dyDescent="0.15">
      <c r="A593" s="8" t="s">
        <v>592</v>
      </c>
      <c r="B593" s="157" t="s">
        <v>903</v>
      </c>
      <c r="C593" s="158">
        <v>22</v>
      </c>
      <c r="D593" s="157" t="s">
        <v>860</v>
      </c>
      <c r="E593" s="59">
        <v>69.165000000000006</v>
      </c>
      <c r="F593" s="159">
        <v>14.5802203248371</v>
      </c>
      <c r="G593" s="160">
        <v>5.5774395762514001E-2</v>
      </c>
      <c r="H593" s="160">
        <v>0.136084709729141</v>
      </c>
      <c r="I593" s="160">
        <v>0.191859105491656</v>
      </c>
      <c r="J593" s="160">
        <v>1.2092526429125099</v>
      </c>
      <c r="K593" s="160">
        <v>2.9661932439033999E-3</v>
      </c>
      <c r="L593" s="160">
        <v>6.6354150195788303E-3</v>
      </c>
      <c r="M593" s="160">
        <v>2.1976982069518399E-4</v>
      </c>
      <c r="N593" s="160">
        <v>8.2711028128425504E-4</v>
      </c>
      <c r="O593" s="160">
        <v>0.97046974295194499</v>
      </c>
      <c r="P593" s="160">
        <v>2.38153176510933</v>
      </c>
      <c r="Q593" s="160">
        <v>-0.107328735401343</v>
      </c>
      <c r="R593" s="160">
        <v>1.0596114745262799</v>
      </c>
      <c r="S593" s="160">
        <v>6.0442209218302201E-3</v>
      </c>
      <c r="T593" s="160">
        <v>0</v>
      </c>
      <c r="U593" s="160">
        <v>0</v>
      </c>
      <c r="V593" s="160">
        <v>0</v>
      </c>
      <c r="W593" s="160"/>
      <c r="X593" s="59"/>
      <c r="Y593" s="160"/>
      <c r="Z593" s="160"/>
      <c r="AA593" s="160"/>
      <c r="AB593" s="160"/>
      <c r="AC593" s="159"/>
      <c r="AD593" s="161"/>
      <c r="AE593" s="160"/>
    </row>
    <row r="594" spans="1:31" ht="21.25" customHeight="1" x14ac:dyDescent="0.15">
      <c r="A594" s="8" t="s">
        <v>767</v>
      </c>
      <c r="B594" s="157" t="s">
        <v>884</v>
      </c>
      <c r="C594" s="158">
        <v>26</v>
      </c>
      <c r="D594" s="157" t="s">
        <v>859</v>
      </c>
      <c r="E594" s="59">
        <v>58.26</v>
      </c>
      <c r="F594" s="159">
        <v>9.9943924948465099</v>
      </c>
      <c r="G594" s="160">
        <v>7.0254739606571998E-2</v>
      </c>
      <c r="H594" s="160">
        <v>0.121559288828788</v>
      </c>
      <c r="I594" s="160">
        <v>0.19181402843536</v>
      </c>
      <c r="J594" s="160">
        <v>0.94940841429892997</v>
      </c>
      <c r="K594" s="160">
        <v>2.7095380273886599E-4</v>
      </c>
      <c r="L594" s="160">
        <v>5.8093892777643296E-4</v>
      </c>
      <c r="M594" s="160">
        <v>1.72940064520945E-3</v>
      </c>
      <c r="N594" s="160">
        <v>3.1828802303915699E-3</v>
      </c>
      <c r="O594" s="160">
        <v>0.658774669554129</v>
      </c>
      <c r="P594" s="160">
        <v>2.0858710944950101</v>
      </c>
      <c r="Q594" s="160">
        <v>-7.2840943742238706E-2</v>
      </c>
      <c r="R594" s="160">
        <v>0.85262320556367299</v>
      </c>
      <c r="S594" s="160">
        <v>7.5282790658827304E-3</v>
      </c>
      <c r="T594" s="160">
        <v>3.7455551096748203E-2</v>
      </c>
      <c r="U594" s="160">
        <v>0.15935020866376801</v>
      </c>
      <c r="V594" s="160">
        <v>0.190317352207202</v>
      </c>
      <c r="W594" s="160"/>
      <c r="X594" s="59"/>
      <c r="Y594" s="160"/>
      <c r="Z594" s="160"/>
      <c r="AA594" s="160"/>
      <c r="AB594" s="160"/>
      <c r="AC594" s="159"/>
      <c r="AD594" s="161"/>
      <c r="AE594" s="160"/>
    </row>
    <row r="595" spans="1:31" ht="21.25" customHeight="1" x14ac:dyDescent="0.15">
      <c r="A595" s="8" t="s">
        <v>792</v>
      </c>
      <c r="B595" s="157" t="s">
        <v>904</v>
      </c>
      <c r="C595" s="158">
        <v>29</v>
      </c>
      <c r="D595" s="157" t="s">
        <v>857</v>
      </c>
      <c r="E595" s="59">
        <v>77.744285714285695</v>
      </c>
      <c r="F595" s="159">
        <v>10.085870754751401</v>
      </c>
      <c r="G595" s="160">
        <v>0.100978498686474</v>
      </c>
      <c r="H595" s="160">
        <v>8.9580767510068895E-2</v>
      </c>
      <c r="I595" s="160">
        <v>0.19055926619654301</v>
      </c>
      <c r="J595" s="160">
        <v>1.09000169879565</v>
      </c>
      <c r="K595" s="160">
        <v>5.6523376117721105E-4</v>
      </c>
      <c r="L595" s="160">
        <v>1.43630813893555E-3</v>
      </c>
      <c r="M595" s="160">
        <v>0</v>
      </c>
      <c r="N595" s="160">
        <v>0</v>
      </c>
      <c r="O595" s="160">
        <v>0.46636872325906598</v>
      </c>
      <c r="P595" s="160">
        <v>2.1473830974084298</v>
      </c>
      <c r="Q595" s="160">
        <v>-5.03828951300829E-3</v>
      </c>
      <c r="R595" s="160">
        <v>0.28219472441674098</v>
      </c>
      <c r="S595" s="160"/>
      <c r="T595" s="160">
        <v>8.0330905079898901E-2</v>
      </c>
      <c r="U595" s="160">
        <v>8.7643773029495095E-2</v>
      </c>
      <c r="V595" s="160">
        <v>0.478232231096065</v>
      </c>
      <c r="W595" s="160"/>
      <c r="X595" s="59"/>
      <c r="Y595" s="160"/>
      <c r="Z595" s="160"/>
      <c r="AA595" s="160"/>
      <c r="AB595" s="160"/>
      <c r="AC595" s="159"/>
      <c r="AD595" s="161"/>
      <c r="AE595" s="160"/>
    </row>
    <row r="596" spans="1:31" ht="21.25" customHeight="1" x14ac:dyDescent="0.15">
      <c r="A596" s="8" t="s">
        <v>744</v>
      </c>
      <c r="B596" s="157" t="s">
        <v>897</v>
      </c>
      <c r="C596" s="158">
        <v>28</v>
      </c>
      <c r="D596" s="157" t="s">
        <v>859</v>
      </c>
      <c r="E596" s="59">
        <v>61.5710714285714</v>
      </c>
      <c r="F596" s="159">
        <v>10.2932065625</v>
      </c>
      <c r="G596" s="160">
        <v>9.2003543743875205E-2</v>
      </c>
      <c r="H596" s="160">
        <v>9.8534923786788201E-2</v>
      </c>
      <c r="I596" s="160">
        <v>0.190538467530663</v>
      </c>
      <c r="J596" s="160">
        <v>1.1015549742689399</v>
      </c>
      <c r="K596" s="160">
        <v>7.5396038081959496E-4</v>
      </c>
      <c r="L596" s="160">
        <v>2.3758807551057999E-3</v>
      </c>
      <c r="M596" s="160">
        <v>7.5286363070775596E-3</v>
      </c>
      <c r="N596" s="160">
        <v>1.9127030397379601E-2</v>
      </c>
      <c r="O596" s="160">
        <v>0.54428781268750404</v>
      </c>
      <c r="P596" s="160">
        <v>2.03513299729343</v>
      </c>
      <c r="Q596" s="160">
        <v>-1.12537153143503E-2</v>
      </c>
      <c r="R596" s="160">
        <v>0.66562342806138897</v>
      </c>
      <c r="S596" s="160">
        <v>1.34349236544018E-2</v>
      </c>
      <c r="T596" s="160">
        <v>2.3503983830687298</v>
      </c>
      <c r="U596" s="160">
        <v>1.8491484236664799</v>
      </c>
      <c r="V596" s="160">
        <v>0.55967905377293903</v>
      </c>
      <c r="W596" s="160"/>
      <c r="X596" s="59"/>
      <c r="Y596" s="160"/>
      <c r="Z596" s="160"/>
      <c r="AA596" s="160"/>
      <c r="AB596" s="160"/>
      <c r="AC596" s="159"/>
      <c r="AD596" s="161"/>
      <c r="AE596" s="160"/>
    </row>
    <row r="597" spans="1:31" ht="21.25" customHeight="1" x14ac:dyDescent="0.15">
      <c r="A597" s="8" t="s">
        <v>783</v>
      </c>
      <c r="B597" s="157" t="s">
        <v>871</v>
      </c>
      <c r="C597" s="158">
        <v>36</v>
      </c>
      <c r="D597" s="157" t="s">
        <v>857</v>
      </c>
      <c r="E597" s="59">
        <v>80.104642857142906</v>
      </c>
      <c r="F597" s="159">
        <v>12.5882683234694</v>
      </c>
      <c r="G597" s="160">
        <v>7.8094496023234303E-2</v>
      </c>
      <c r="H597" s="160">
        <v>0.11216286990741201</v>
      </c>
      <c r="I597" s="160">
        <v>0.19025736593064599</v>
      </c>
      <c r="J597" s="160">
        <v>1.12431986685594</v>
      </c>
      <c r="K597" s="160">
        <v>1.9919652064129999E-4</v>
      </c>
      <c r="L597" s="160">
        <v>5.2576181186206501E-4</v>
      </c>
      <c r="M597" s="160">
        <v>6.0923838990133003E-3</v>
      </c>
      <c r="N597" s="160">
        <v>2.1398023280727999E-2</v>
      </c>
      <c r="O597" s="160">
        <v>0.58662106530946501</v>
      </c>
      <c r="P597" s="160">
        <v>1.0164718507299699</v>
      </c>
      <c r="Q597" s="160">
        <v>2.9474281465648702E-2</v>
      </c>
      <c r="R597" s="160">
        <v>0.366271042793059</v>
      </c>
      <c r="S597" s="160">
        <v>1.23557259003337E-2</v>
      </c>
      <c r="T597" s="160">
        <v>0.28902857002332899</v>
      </c>
      <c r="U597" s="160">
        <v>0.435663245794638</v>
      </c>
      <c r="V597" s="160">
        <v>0.39882963173400798</v>
      </c>
      <c r="W597" s="160"/>
      <c r="X597" s="59"/>
      <c r="Y597" s="160"/>
      <c r="Z597" s="160"/>
      <c r="AA597" s="160"/>
      <c r="AB597" s="160"/>
      <c r="AC597" s="159"/>
      <c r="AD597" s="161"/>
      <c r="AE597" s="160"/>
    </row>
    <row r="598" spans="1:31" ht="21.25" customHeight="1" x14ac:dyDescent="0.15">
      <c r="A598" s="8" t="s">
        <v>630</v>
      </c>
      <c r="B598" s="157" t="s">
        <v>901</v>
      </c>
      <c r="C598" s="158">
        <v>30</v>
      </c>
      <c r="D598" s="157" t="s">
        <v>860</v>
      </c>
      <c r="E598" s="59">
        <v>63.634999999999998</v>
      </c>
      <c r="F598" s="159">
        <v>16.288789119687198</v>
      </c>
      <c r="G598" s="160">
        <v>3.0867291772832001E-2</v>
      </c>
      <c r="H598" s="160">
        <v>0.157762303350444</v>
      </c>
      <c r="I598" s="160">
        <v>0.18862959512327601</v>
      </c>
      <c r="J598" s="160">
        <v>0.93465020490956296</v>
      </c>
      <c r="K598" s="160">
        <v>2.9063983035412902E-4</v>
      </c>
      <c r="L598" s="160">
        <v>2.0704104331614099E-3</v>
      </c>
      <c r="M598" s="160">
        <v>3.0009293205067201E-4</v>
      </c>
      <c r="N598" s="160">
        <v>5.9936460595216802E-3</v>
      </c>
      <c r="O598" s="160">
        <v>1.2173187035554001</v>
      </c>
      <c r="P598" s="160">
        <v>1.35382042600328</v>
      </c>
      <c r="Q598" s="160">
        <v>4.0340960769034801E-3</v>
      </c>
      <c r="R598" s="160">
        <v>0.34778097788613299</v>
      </c>
      <c r="S598" s="160">
        <v>4.3387366632251997E-3</v>
      </c>
      <c r="T598" s="160">
        <v>0</v>
      </c>
      <c r="U598" s="160">
        <v>0</v>
      </c>
      <c r="V598" s="160">
        <v>0</v>
      </c>
      <c r="W598" s="160"/>
      <c r="X598" s="59"/>
      <c r="Y598" s="160"/>
      <c r="Z598" s="160"/>
      <c r="AA598" s="160"/>
      <c r="AB598" s="160"/>
      <c r="AC598" s="159"/>
      <c r="AD598" s="161"/>
      <c r="AE598" s="160"/>
    </row>
    <row r="599" spans="1:31" ht="21.25" customHeight="1" x14ac:dyDescent="0.15">
      <c r="A599" s="8" t="s">
        <v>795</v>
      </c>
      <c r="B599" s="157" t="s">
        <v>871</v>
      </c>
      <c r="C599" s="158">
        <v>27</v>
      </c>
      <c r="D599" s="157" t="s">
        <v>858</v>
      </c>
      <c r="E599" s="59">
        <v>52.97</v>
      </c>
      <c r="F599" s="159">
        <v>10.207489294185599</v>
      </c>
      <c r="G599" s="160">
        <v>6.8109817168101203E-2</v>
      </c>
      <c r="H599" s="160">
        <v>0.11748926411701199</v>
      </c>
      <c r="I599" s="160">
        <v>0.18559908128511299</v>
      </c>
      <c r="J599" s="160">
        <v>1.1670570234875799</v>
      </c>
      <c r="K599" s="160">
        <v>6.22024094306943E-4</v>
      </c>
      <c r="L599" s="160">
        <v>1.59766173648941E-3</v>
      </c>
      <c r="M599" s="160">
        <v>0</v>
      </c>
      <c r="N599" s="160">
        <v>0</v>
      </c>
      <c r="O599" s="160">
        <v>0.33127681913884099</v>
      </c>
      <c r="P599" s="160">
        <v>1.3052715169964999</v>
      </c>
      <c r="Q599" s="160">
        <v>4.9130200451026097E-2</v>
      </c>
      <c r="R599" s="160">
        <v>0.19453576181961199</v>
      </c>
      <c r="S599" s="160">
        <v>1.07759992688925E-2</v>
      </c>
      <c r="T599" s="160">
        <v>0.107165241933707</v>
      </c>
      <c r="U599" s="160">
        <v>0.17860873655617801</v>
      </c>
      <c r="V599" s="160">
        <v>0.375</v>
      </c>
      <c r="W599" s="160"/>
      <c r="X599" s="59"/>
      <c r="Y599" s="160"/>
      <c r="Z599" s="160"/>
      <c r="AA599" s="160"/>
      <c r="AB599" s="160"/>
      <c r="AC599" s="159"/>
      <c r="AD599" s="161"/>
      <c r="AE599" s="160"/>
    </row>
    <row r="600" spans="1:31" ht="21.25" customHeight="1" x14ac:dyDescent="0.15">
      <c r="A600" s="8" t="s">
        <v>700</v>
      </c>
      <c r="B600" s="157" t="s">
        <v>899</v>
      </c>
      <c r="C600" s="158">
        <v>23</v>
      </c>
      <c r="D600" s="157" t="s">
        <v>860</v>
      </c>
      <c r="E600" s="59">
        <v>52.152857142857101</v>
      </c>
      <c r="F600" s="159">
        <v>14.098943690605299</v>
      </c>
      <c r="G600" s="160">
        <v>2.54363153376156E-2</v>
      </c>
      <c r="H600" s="160">
        <v>0.160071740791384</v>
      </c>
      <c r="I600" s="160">
        <v>0.18550805612900001</v>
      </c>
      <c r="J600" s="160">
        <v>0.77452576794651196</v>
      </c>
      <c r="K600" s="160">
        <v>3.40415111186838E-4</v>
      </c>
      <c r="L600" s="160">
        <v>2.22810491854974E-3</v>
      </c>
      <c r="M600" s="160">
        <v>6.5158812078432794E-5</v>
      </c>
      <c r="N600" s="160">
        <v>2.33629473656261E-4</v>
      </c>
      <c r="O600" s="160">
        <v>1.0733323897610201</v>
      </c>
      <c r="P600" s="160">
        <v>1.1343761638052801</v>
      </c>
      <c r="Q600" s="160">
        <v>-6.7813836906248995E-2</v>
      </c>
      <c r="R600" s="160">
        <v>0.302806946095309</v>
      </c>
      <c r="S600" s="160">
        <v>2.9899280267190499E-3</v>
      </c>
      <c r="T600" s="160">
        <v>0</v>
      </c>
      <c r="U600" s="160">
        <v>0</v>
      </c>
      <c r="V600" s="160">
        <v>0</v>
      </c>
      <c r="W600" s="160"/>
      <c r="X600" s="59"/>
      <c r="Y600" s="160"/>
      <c r="Z600" s="160"/>
      <c r="AA600" s="160"/>
      <c r="AB600" s="160"/>
      <c r="AC600" s="159"/>
      <c r="AD600" s="161"/>
      <c r="AE600" s="160"/>
    </row>
    <row r="601" spans="1:31" ht="21.25" customHeight="1" x14ac:dyDescent="0.15">
      <c r="A601" s="8" t="s">
        <v>653</v>
      </c>
      <c r="B601" s="157" t="s">
        <v>896</v>
      </c>
      <c r="C601" s="158">
        <v>24</v>
      </c>
      <c r="D601" s="157" t="s">
        <v>860</v>
      </c>
      <c r="E601" s="59">
        <v>57.387857142857101</v>
      </c>
      <c r="F601" s="159">
        <v>16.499399728061999</v>
      </c>
      <c r="G601" s="160">
        <v>2.2605185687989901E-2</v>
      </c>
      <c r="H601" s="160">
        <v>0.161252922618915</v>
      </c>
      <c r="I601" s="160">
        <v>0.18385810830690499</v>
      </c>
      <c r="J601" s="160">
        <v>1.1018445544427</v>
      </c>
      <c r="K601" s="160">
        <v>3.2243406660145099E-4</v>
      </c>
      <c r="L601" s="160">
        <v>2.8087775317982601E-3</v>
      </c>
      <c r="M601" s="160">
        <v>3.1555055622495498E-4</v>
      </c>
      <c r="N601" s="160">
        <v>1.12594352855681E-3</v>
      </c>
      <c r="O601" s="160">
        <v>1.1197291578697499</v>
      </c>
      <c r="P601" s="160">
        <v>1.03339937476372</v>
      </c>
      <c r="Q601" s="160">
        <v>-0.132927461975026</v>
      </c>
      <c r="R601" s="160">
        <v>0.257315309528726</v>
      </c>
      <c r="S601" s="160">
        <v>2.45061539093406E-3</v>
      </c>
      <c r="T601" s="160">
        <v>0</v>
      </c>
      <c r="U601" s="160">
        <v>0</v>
      </c>
      <c r="V601" s="160">
        <v>0</v>
      </c>
      <c r="W601" s="160"/>
      <c r="X601" s="59"/>
      <c r="Y601" s="160"/>
      <c r="Z601" s="160"/>
      <c r="AA601" s="160"/>
      <c r="AB601" s="160"/>
      <c r="AC601" s="159"/>
      <c r="AD601" s="161"/>
      <c r="AE601" s="160"/>
    </row>
    <row r="602" spans="1:31" ht="21.25" customHeight="1" x14ac:dyDescent="0.15">
      <c r="A602" s="8" t="s">
        <v>626</v>
      </c>
      <c r="B602" s="157" t="s">
        <v>902</v>
      </c>
      <c r="C602" s="158">
        <v>30</v>
      </c>
      <c r="D602" s="157" t="s">
        <v>860</v>
      </c>
      <c r="E602" s="59">
        <v>55.7</v>
      </c>
      <c r="F602" s="159">
        <v>14.064141216473899</v>
      </c>
      <c r="G602" s="160">
        <v>2.6760277949866199E-2</v>
      </c>
      <c r="H602" s="160">
        <v>0.15708232595718899</v>
      </c>
      <c r="I602" s="160">
        <v>0.18384260390705501</v>
      </c>
      <c r="J602" s="160">
        <v>1.4157687236541501</v>
      </c>
      <c r="K602" s="160">
        <v>2.42101740605896E-3</v>
      </c>
      <c r="L602" s="160">
        <v>2.57744486962363E-2</v>
      </c>
      <c r="M602" s="160">
        <v>4.4264081816870602E-5</v>
      </c>
      <c r="N602" s="160">
        <v>1.7328322711157601E-4</v>
      </c>
      <c r="O602" s="160">
        <v>0.90906286185804597</v>
      </c>
      <c r="P602" s="160">
        <v>1.3418457309981699</v>
      </c>
      <c r="Q602" s="160">
        <v>-1.48213977823015E-3</v>
      </c>
      <c r="R602" s="160">
        <v>0.39675199218020202</v>
      </c>
      <c r="S602" s="160">
        <v>3.2492796079056098E-3</v>
      </c>
      <c r="T602" s="160">
        <v>0</v>
      </c>
      <c r="U602" s="160">
        <v>0</v>
      </c>
      <c r="V602" s="160">
        <v>0</v>
      </c>
      <c r="W602" s="160"/>
      <c r="X602" s="59"/>
      <c r="Y602" s="160"/>
      <c r="Z602" s="160"/>
      <c r="AA602" s="160"/>
      <c r="AB602" s="160"/>
      <c r="AC602" s="159"/>
      <c r="AD602" s="161"/>
      <c r="AE602" s="160"/>
    </row>
    <row r="603" spans="1:31" ht="21.25" customHeight="1" x14ac:dyDescent="0.15">
      <c r="A603" s="8" t="s">
        <v>822</v>
      </c>
      <c r="B603" s="157" t="s">
        <v>876</v>
      </c>
      <c r="C603" s="158">
        <v>28</v>
      </c>
      <c r="D603" s="157" t="s">
        <v>857</v>
      </c>
      <c r="E603" s="59">
        <v>52</v>
      </c>
      <c r="F603" s="159">
        <v>11.682841037407201</v>
      </c>
      <c r="G603" s="160">
        <v>9.1357759997529306E-2</v>
      </c>
      <c r="H603" s="160">
        <v>9.1479729136363194E-2</v>
      </c>
      <c r="I603" s="160">
        <v>0.182837489133893</v>
      </c>
      <c r="J603" s="160">
        <v>1.13835852146173</v>
      </c>
      <c r="K603" s="160">
        <v>7.1561312816487805E-4</v>
      </c>
      <c r="L603" s="160">
        <v>1.83104302016482E-3</v>
      </c>
      <c r="M603" s="160">
        <v>1.4799863427100901E-3</v>
      </c>
      <c r="N603" s="160">
        <v>6.7956138617876298E-3</v>
      </c>
      <c r="O603" s="160">
        <v>0.81648925699442598</v>
      </c>
      <c r="P603" s="160">
        <v>2.40214797707335</v>
      </c>
      <c r="Q603" s="160">
        <v>-5.2660554112687902E-3</v>
      </c>
      <c r="R603" s="160">
        <v>0.27406829690510998</v>
      </c>
      <c r="S603" s="160">
        <v>1.34470039083695E-2</v>
      </c>
      <c r="T603" s="160">
        <v>2.5739026241679999</v>
      </c>
      <c r="U603" s="160">
        <v>2.6293409118204498</v>
      </c>
      <c r="V603" s="160">
        <v>0.49467271834683402</v>
      </c>
      <c r="W603" s="160"/>
      <c r="X603" s="59"/>
      <c r="Y603" s="160"/>
      <c r="Z603" s="160"/>
      <c r="AA603" s="160"/>
      <c r="AB603" s="160"/>
      <c r="AC603" s="159"/>
      <c r="AD603" s="161"/>
      <c r="AE603" s="160"/>
    </row>
    <row r="604" spans="1:31" ht="21.25" customHeight="1" x14ac:dyDescent="0.15">
      <c r="A604" s="8" t="s">
        <v>680</v>
      </c>
      <c r="B604" s="157" t="s">
        <v>879</v>
      </c>
      <c r="C604" s="158">
        <v>26</v>
      </c>
      <c r="D604" s="157" t="s">
        <v>860</v>
      </c>
      <c r="E604" s="59">
        <v>59.43</v>
      </c>
      <c r="F604" s="159">
        <v>14.465141706992499</v>
      </c>
      <c r="G604" s="160">
        <v>2.57876996188704E-2</v>
      </c>
      <c r="H604" s="160">
        <v>0.15668197858559499</v>
      </c>
      <c r="I604" s="160">
        <v>0.182469678204466</v>
      </c>
      <c r="J604" s="160">
        <v>0.82944015154988504</v>
      </c>
      <c r="K604" s="160">
        <v>5.7991717106146797E-5</v>
      </c>
      <c r="L604" s="160">
        <v>5.8879222121644499E-4</v>
      </c>
      <c r="M604" s="160">
        <v>4.9529308862187801E-4</v>
      </c>
      <c r="N604" s="160">
        <v>1.8357382853517201E-3</v>
      </c>
      <c r="O604" s="160">
        <v>1.00756783241214</v>
      </c>
      <c r="P604" s="160">
        <v>1.4452558179253501</v>
      </c>
      <c r="Q604" s="160">
        <v>2.71285810906291E-2</v>
      </c>
      <c r="R604" s="160">
        <v>0.36294068007092101</v>
      </c>
      <c r="S604" s="160">
        <v>4.3292472800578203E-3</v>
      </c>
      <c r="T604" s="160">
        <v>0</v>
      </c>
      <c r="U604" s="160">
        <v>0</v>
      </c>
      <c r="V604" s="160">
        <v>0</v>
      </c>
      <c r="W604" s="160"/>
      <c r="X604" s="59"/>
      <c r="Y604" s="160"/>
      <c r="Z604" s="160"/>
      <c r="AA604" s="160"/>
      <c r="AB604" s="160"/>
      <c r="AC604" s="159"/>
      <c r="AD604" s="161"/>
      <c r="AE604" s="160"/>
    </row>
    <row r="605" spans="1:31" ht="21.25" customHeight="1" x14ac:dyDescent="0.15">
      <c r="A605" s="8" t="s">
        <v>546</v>
      </c>
      <c r="B605" s="157" t="s">
        <v>899</v>
      </c>
      <c r="C605" s="158">
        <v>30</v>
      </c>
      <c r="D605" s="157" t="s">
        <v>860</v>
      </c>
      <c r="E605" s="59">
        <v>71.88</v>
      </c>
      <c r="F605" s="159">
        <v>16.444215701023602</v>
      </c>
      <c r="G605" s="160">
        <v>4.7414724990919602E-2</v>
      </c>
      <c r="H605" s="160">
        <v>0.13360040293084099</v>
      </c>
      <c r="I605" s="160">
        <v>0.181015127921761</v>
      </c>
      <c r="J605" s="160">
        <v>1.1847021857637301</v>
      </c>
      <c r="K605" s="160">
        <v>1.2270426736916799E-4</v>
      </c>
      <c r="L605" s="160">
        <v>8.4712035345375198E-4</v>
      </c>
      <c r="M605" s="160">
        <v>3.7804895643569998E-4</v>
      </c>
      <c r="N605" s="160">
        <v>7.3175804120870699E-3</v>
      </c>
      <c r="O605" s="160">
        <v>1.96011464734051</v>
      </c>
      <c r="P605" s="160">
        <v>1.732392285352</v>
      </c>
      <c r="Q605" s="160">
        <v>-6.66507844330268E-2</v>
      </c>
      <c r="R605" s="160">
        <v>0.71993902981094404</v>
      </c>
      <c r="S605" s="160">
        <v>5.5733943084075701E-3</v>
      </c>
      <c r="T605" s="160">
        <v>0</v>
      </c>
      <c r="U605" s="160">
        <v>0</v>
      </c>
      <c r="V605" s="160">
        <v>0</v>
      </c>
      <c r="W605" s="160"/>
      <c r="X605" s="59"/>
      <c r="Y605" s="160"/>
      <c r="Z605" s="160"/>
      <c r="AA605" s="160"/>
      <c r="AB605" s="160"/>
      <c r="AC605" s="159"/>
      <c r="AD605" s="161"/>
      <c r="AE605" s="160"/>
    </row>
    <row r="606" spans="1:31" ht="21.25" customHeight="1" x14ac:dyDescent="0.15">
      <c r="A606" s="8" t="s">
        <v>770</v>
      </c>
      <c r="B606" s="157" t="s">
        <v>888</v>
      </c>
      <c r="C606" s="158">
        <v>24</v>
      </c>
      <c r="D606" s="157" t="s">
        <v>858</v>
      </c>
      <c r="E606" s="59">
        <v>67.5</v>
      </c>
      <c r="F606" s="159">
        <v>10.4975796680987</v>
      </c>
      <c r="G606" s="160">
        <v>8.1088117069898505E-2</v>
      </c>
      <c r="H606" s="160">
        <v>9.8450494845649605E-2</v>
      </c>
      <c r="I606" s="160">
        <v>0.17953861191554901</v>
      </c>
      <c r="J606" s="160">
        <v>1.0661591564444499</v>
      </c>
      <c r="K606" s="160">
        <v>9.38067209215843E-4</v>
      </c>
      <c r="L606" s="160">
        <v>2.38937692007398E-3</v>
      </c>
      <c r="M606" s="160">
        <v>2.0456819570313198E-3</v>
      </c>
      <c r="N606" s="160">
        <v>1.79635744221401E-2</v>
      </c>
      <c r="O606" s="160">
        <v>0.51029801912624595</v>
      </c>
      <c r="P606" s="160">
        <v>2.58973547824238</v>
      </c>
      <c r="Q606" s="160">
        <v>-5.7326427132408904E-3</v>
      </c>
      <c r="R606" s="160">
        <v>0.52546853241183999</v>
      </c>
      <c r="S606" s="160">
        <v>1.12632156550135E-2</v>
      </c>
      <c r="T606" s="160">
        <v>6.1652680192218999E-2</v>
      </c>
      <c r="U606" s="160">
        <v>0.13621365059135701</v>
      </c>
      <c r="V606" s="160">
        <v>0.31158752450741101</v>
      </c>
      <c r="W606" s="160"/>
      <c r="X606" s="59"/>
      <c r="Y606" s="160"/>
      <c r="Z606" s="160"/>
      <c r="AA606" s="160"/>
      <c r="AB606" s="160"/>
      <c r="AC606" s="159"/>
      <c r="AD606" s="161"/>
      <c r="AE606" s="160"/>
    </row>
    <row r="607" spans="1:31" ht="21.25" customHeight="1" x14ac:dyDescent="0.15">
      <c r="A607" s="8" t="s">
        <v>771</v>
      </c>
      <c r="B607" s="157" t="s">
        <v>875</v>
      </c>
      <c r="C607" s="158">
        <v>35</v>
      </c>
      <c r="D607" s="157" t="s">
        <v>858</v>
      </c>
      <c r="E607" s="59">
        <v>81.391071428571394</v>
      </c>
      <c r="F607" s="159">
        <v>10.307501136509099</v>
      </c>
      <c r="G607" s="160">
        <v>6.0479821017469501E-2</v>
      </c>
      <c r="H607" s="160">
        <v>0.118117229534924</v>
      </c>
      <c r="I607" s="160">
        <v>0.178597050552393</v>
      </c>
      <c r="J607" s="160">
        <v>0.857690997341228</v>
      </c>
      <c r="K607" s="160">
        <v>8.4333997372018903E-4</v>
      </c>
      <c r="L607" s="160">
        <v>2.0855711261723699E-3</v>
      </c>
      <c r="M607" s="160">
        <v>5.60513068772649E-6</v>
      </c>
      <c r="N607" s="160">
        <v>1.1063262989110201E-5</v>
      </c>
      <c r="O607" s="160">
        <v>0.17885134841495101</v>
      </c>
      <c r="P607" s="160">
        <v>1.93450873546466</v>
      </c>
      <c r="Q607" s="160">
        <v>1.8260639813796602E-2</v>
      </c>
      <c r="R607" s="160">
        <v>0.85256268578668404</v>
      </c>
      <c r="S607" s="160">
        <v>9.7116328711618505E-3</v>
      </c>
      <c r="T607" s="160">
        <v>5.5308299584896699E-2</v>
      </c>
      <c r="U607" s="160">
        <v>0.12721395769483501</v>
      </c>
      <c r="V607" s="160">
        <v>0.30302221991552297</v>
      </c>
      <c r="W607" s="160"/>
      <c r="X607" s="59"/>
      <c r="Y607" s="160"/>
      <c r="Z607" s="160"/>
      <c r="AA607" s="160"/>
      <c r="AB607" s="160"/>
      <c r="AC607" s="159"/>
      <c r="AD607" s="161"/>
      <c r="AE607" s="160"/>
    </row>
    <row r="608" spans="1:31" ht="21.25" customHeight="1" x14ac:dyDescent="0.15">
      <c r="A608" s="8" t="s">
        <v>825</v>
      </c>
      <c r="B608" s="157" t="s">
        <v>870</v>
      </c>
      <c r="C608" s="158">
        <v>26</v>
      </c>
      <c r="D608" s="157" t="s">
        <v>857</v>
      </c>
      <c r="E608" s="59">
        <v>58.976428571428599</v>
      </c>
      <c r="F608" s="159">
        <v>9.8493333717385507</v>
      </c>
      <c r="G608" s="160">
        <v>7.5329014871312105E-2</v>
      </c>
      <c r="H608" s="160">
        <v>0.10308886103261999</v>
      </c>
      <c r="I608" s="160">
        <v>0.17841787590393199</v>
      </c>
      <c r="J608" s="160">
        <v>0.87183435129509301</v>
      </c>
      <c r="K608" s="160">
        <v>2.6568036871454899E-3</v>
      </c>
      <c r="L608" s="160">
        <v>7.7401756233666198E-3</v>
      </c>
      <c r="M608" s="160">
        <v>1.22392269466102E-3</v>
      </c>
      <c r="N608" s="160">
        <v>2.2575528046846799E-3</v>
      </c>
      <c r="O608" s="160">
        <v>0.35248431534111802</v>
      </c>
      <c r="P608" s="160">
        <v>1.8339673981762401</v>
      </c>
      <c r="Q608" s="160">
        <v>5.3585507194402401E-2</v>
      </c>
      <c r="R608" s="160">
        <v>0.39897533112941302</v>
      </c>
      <c r="S608" s="160">
        <v>1.1923774350228599E-2</v>
      </c>
      <c r="T608" s="160">
        <v>2.1091040614133298</v>
      </c>
      <c r="U608" s="160">
        <v>2.2586765350148701</v>
      </c>
      <c r="V608" s="160">
        <v>0.48287774874453998</v>
      </c>
      <c r="W608" s="160"/>
      <c r="X608" s="59"/>
      <c r="Y608" s="160"/>
      <c r="Z608" s="160"/>
      <c r="AA608" s="160"/>
      <c r="AB608" s="160"/>
      <c r="AC608" s="159"/>
      <c r="AD608" s="161"/>
      <c r="AE608" s="160"/>
    </row>
    <row r="609" spans="1:31" ht="21.25" customHeight="1" x14ac:dyDescent="0.15">
      <c r="A609" s="8" t="s">
        <v>655</v>
      </c>
      <c r="B609" s="157" t="s">
        <v>903</v>
      </c>
      <c r="C609" s="158">
        <v>33</v>
      </c>
      <c r="D609" s="157" t="s">
        <v>860</v>
      </c>
      <c r="E609" s="59">
        <v>64.965000000000003</v>
      </c>
      <c r="F609" s="159">
        <v>12.762144040071499</v>
      </c>
      <c r="G609" s="160">
        <v>3.0491925828298499E-2</v>
      </c>
      <c r="H609" s="160">
        <v>0.14745197319286699</v>
      </c>
      <c r="I609" s="160">
        <v>0.177943899021166</v>
      </c>
      <c r="J609" s="160">
        <v>0.79036861313912099</v>
      </c>
      <c r="K609" s="160">
        <v>6.2951262322725695E-4</v>
      </c>
      <c r="L609" s="160">
        <v>2.7530419646383499E-2</v>
      </c>
      <c r="M609" s="160">
        <v>5.88271562070002E-5</v>
      </c>
      <c r="N609" s="160">
        <v>2.3379312548684001E-4</v>
      </c>
      <c r="O609" s="160">
        <v>0.93654821355824303</v>
      </c>
      <c r="P609" s="160">
        <v>0.81496928365321197</v>
      </c>
      <c r="Q609" s="160">
        <v>-0.10308943203108201</v>
      </c>
      <c r="R609" s="160">
        <v>0.60867224617627802</v>
      </c>
      <c r="S609" s="160">
        <v>3.3043824772757999E-3</v>
      </c>
      <c r="T609" s="160">
        <v>0</v>
      </c>
      <c r="U609" s="160">
        <v>0</v>
      </c>
      <c r="V609" s="160">
        <v>0</v>
      </c>
      <c r="W609" s="160"/>
      <c r="X609" s="59"/>
      <c r="Y609" s="160"/>
      <c r="Z609" s="160"/>
      <c r="AA609" s="160"/>
      <c r="AB609" s="160"/>
      <c r="AC609" s="159"/>
      <c r="AD609" s="161"/>
      <c r="AE609" s="160"/>
    </row>
    <row r="610" spans="1:31" ht="21.25" customHeight="1" x14ac:dyDescent="0.15">
      <c r="A610" s="8" t="s">
        <v>609</v>
      </c>
      <c r="B610" s="157" t="s">
        <v>875</v>
      </c>
      <c r="C610" s="158">
        <v>31</v>
      </c>
      <c r="D610" s="157" t="s">
        <v>860</v>
      </c>
      <c r="E610" s="59">
        <v>75.62</v>
      </c>
      <c r="F610" s="159">
        <v>15.115095029586801</v>
      </c>
      <c r="G610" s="160">
        <v>2.96358179520377E-2</v>
      </c>
      <c r="H610" s="160">
        <v>0.147432146127978</v>
      </c>
      <c r="I610" s="160">
        <v>0.17706796408001599</v>
      </c>
      <c r="J610" s="160">
        <v>0.70364317355509898</v>
      </c>
      <c r="K610" s="160">
        <v>2.0590326231266799E-4</v>
      </c>
      <c r="L610" s="160">
        <v>1.4811581405489601E-3</v>
      </c>
      <c r="M610" s="160">
        <v>2.5197044385895498E-4</v>
      </c>
      <c r="N610" s="160">
        <v>9.9292276690057801E-4</v>
      </c>
      <c r="O610" s="160">
        <v>1.35518314334685</v>
      </c>
      <c r="P610" s="160">
        <v>0.83894058188596998</v>
      </c>
      <c r="Q610" s="160">
        <v>1.5134105302935999E-2</v>
      </c>
      <c r="R610" s="160">
        <v>0.39457811213553401</v>
      </c>
      <c r="S610" s="160">
        <v>4.75881341817535E-3</v>
      </c>
      <c r="T610" s="160">
        <v>0</v>
      </c>
      <c r="U610" s="160">
        <v>0</v>
      </c>
      <c r="V610" s="160">
        <v>0</v>
      </c>
      <c r="W610" s="160"/>
      <c r="X610" s="59"/>
      <c r="Y610" s="160"/>
      <c r="Z610" s="160"/>
      <c r="AA610" s="160"/>
      <c r="AB610" s="160"/>
      <c r="AC610" s="159"/>
      <c r="AD610" s="161"/>
      <c r="AE610" s="160"/>
    </row>
    <row r="611" spans="1:31" ht="21.25" customHeight="1" x14ac:dyDescent="0.15">
      <c r="A611" s="8" t="s">
        <v>672</v>
      </c>
      <c r="B611" s="157" t="s">
        <v>871</v>
      </c>
      <c r="C611" s="158">
        <v>34</v>
      </c>
      <c r="D611" s="157" t="s">
        <v>860</v>
      </c>
      <c r="E611" s="59">
        <v>64.974642857142896</v>
      </c>
      <c r="F611" s="159">
        <v>11.2119842054359</v>
      </c>
      <c r="G611" s="160">
        <v>4.8089300391568501E-2</v>
      </c>
      <c r="H611" s="160">
        <v>0.128003090795066</v>
      </c>
      <c r="I611" s="160">
        <v>0.176092391186634</v>
      </c>
      <c r="J611" s="160">
        <v>0.91655670663441302</v>
      </c>
      <c r="K611" s="160">
        <v>1.5391258790169599E-4</v>
      </c>
      <c r="L611" s="160">
        <v>1.77570796338683E-3</v>
      </c>
      <c r="M611" s="160">
        <v>3.2455971769162697E-5</v>
      </c>
      <c r="N611" s="160">
        <v>1.2247982098522901E-4</v>
      </c>
      <c r="O611" s="160">
        <v>0.56443074166896701</v>
      </c>
      <c r="P611" s="160">
        <v>0.63598886825077805</v>
      </c>
      <c r="Q611" s="160">
        <v>4.7668561495111103E-2</v>
      </c>
      <c r="R611" s="160">
        <v>0.241423242243782</v>
      </c>
      <c r="S611" s="160">
        <v>7.6084518709264E-3</v>
      </c>
      <c r="T611" s="160">
        <v>0</v>
      </c>
      <c r="U611" s="160">
        <v>0</v>
      </c>
      <c r="V611" s="160">
        <v>0</v>
      </c>
      <c r="W611" s="160"/>
      <c r="X611" s="59"/>
      <c r="Y611" s="160"/>
      <c r="Z611" s="160"/>
      <c r="AA611" s="160"/>
      <c r="AB611" s="160"/>
      <c r="AC611" s="159"/>
      <c r="AD611" s="161"/>
      <c r="AE611" s="160"/>
    </row>
    <row r="612" spans="1:31" ht="21.25" customHeight="1" x14ac:dyDescent="0.15">
      <c r="A612" s="8" t="s">
        <v>751</v>
      </c>
      <c r="B612" s="157" t="s">
        <v>872</v>
      </c>
      <c r="C612" s="158">
        <v>30</v>
      </c>
      <c r="D612" s="157" t="s">
        <v>859</v>
      </c>
      <c r="E612" s="59">
        <v>67.719285714285704</v>
      </c>
      <c r="F612" s="159">
        <v>9.2804326208398908</v>
      </c>
      <c r="G612" s="160">
        <v>8.2416709401816807E-2</v>
      </c>
      <c r="H612" s="160">
        <v>9.3511665875832706E-2</v>
      </c>
      <c r="I612" s="160">
        <v>0.17592837527765001</v>
      </c>
      <c r="J612" s="160">
        <v>1.0048451484790899</v>
      </c>
      <c r="K612" s="160">
        <v>6.2954653328322295E-4</v>
      </c>
      <c r="L612" s="160">
        <v>1.61256075459409E-3</v>
      </c>
      <c r="M612" s="160">
        <v>1.0820331581065201E-3</v>
      </c>
      <c r="N612" s="160">
        <v>2.0034585269611098E-3</v>
      </c>
      <c r="O612" s="160">
        <v>0.387617984864839</v>
      </c>
      <c r="P612" s="160">
        <v>2.5836048919638999</v>
      </c>
      <c r="Q612" s="160">
        <v>4.8306679359440699E-3</v>
      </c>
      <c r="R612" s="160">
        <v>0.384399602013835</v>
      </c>
      <c r="S612" s="160">
        <v>1.2898244959305499E-2</v>
      </c>
      <c r="T612" s="160">
        <v>2.76546708579915E-2</v>
      </c>
      <c r="U612" s="160">
        <v>4.9485569797401298E-2</v>
      </c>
      <c r="V612" s="160">
        <v>0.35849863343741201</v>
      </c>
      <c r="W612" s="160"/>
      <c r="X612" s="59"/>
      <c r="Y612" s="160"/>
      <c r="Z612" s="160"/>
      <c r="AA612" s="160"/>
      <c r="AB612" s="160"/>
      <c r="AC612" s="159"/>
      <c r="AD612" s="161"/>
      <c r="AE612" s="160"/>
    </row>
    <row r="613" spans="1:31" ht="21.25" customHeight="1" x14ac:dyDescent="0.15">
      <c r="A613" s="8" t="s">
        <v>824</v>
      </c>
      <c r="B613" s="157" t="s">
        <v>886</v>
      </c>
      <c r="C613" s="158">
        <v>23</v>
      </c>
      <c r="D613" s="157" t="s">
        <v>857</v>
      </c>
      <c r="E613" s="59">
        <v>57.025714285714301</v>
      </c>
      <c r="F613" s="159">
        <v>9.5327868117046695</v>
      </c>
      <c r="G613" s="160">
        <v>4.6039871531431201E-2</v>
      </c>
      <c r="H613" s="160">
        <v>0.126860748162274</v>
      </c>
      <c r="I613" s="160">
        <v>0.17290061969370599</v>
      </c>
      <c r="J613" s="160">
        <v>0.94969418036570397</v>
      </c>
      <c r="K613" s="160">
        <v>9.4700304667913698E-4</v>
      </c>
      <c r="L613" s="160">
        <v>2.2543342105546598E-3</v>
      </c>
      <c r="M613" s="160">
        <v>2.49905651934162E-3</v>
      </c>
      <c r="N613" s="160">
        <v>1.54571698383949E-2</v>
      </c>
      <c r="O613" s="160">
        <v>0.36723103376397598</v>
      </c>
      <c r="P613" s="160">
        <v>0.78713673494099501</v>
      </c>
      <c r="Q613" s="160">
        <v>1.3383292940174299E-2</v>
      </c>
      <c r="R613" s="160">
        <v>0.18411429793911999</v>
      </c>
      <c r="S613" s="160">
        <v>7.1823740627334097E-3</v>
      </c>
      <c r="T613" s="160">
        <v>2.1244597152003402</v>
      </c>
      <c r="U613" s="160">
        <v>2.1952477576035001</v>
      </c>
      <c r="V613" s="160">
        <v>0.49180638470905402</v>
      </c>
      <c r="W613" s="160"/>
      <c r="X613" s="59"/>
      <c r="Y613" s="160"/>
      <c r="Z613" s="160"/>
      <c r="AA613" s="160"/>
      <c r="AB613" s="160"/>
      <c r="AC613" s="159"/>
      <c r="AD613" s="161"/>
      <c r="AE613" s="160"/>
    </row>
    <row r="614" spans="1:31" ht="21.25" customHeight="1" x14ac:dyDescent="0.15">
      <c r="A614" s="8" t="s">
        <v>656</v>
      </c>
      <c r="B614" s="157" t="s">
        <v>890</v>
      </c>
      <c r="C614" s="158">
        <v>31</v>
      </c>
      <c r="D614" s="157" t="s">
        <v>860</v>
      </c>
      <c r="E614" s="59">
        <v>59.847499999999997</v>
      </c>
      <c r="F614" s="159">
        <v>16.7671081221037</v>
      </c>
      <c r="G614" s="160">
        <v>4.3951856725173502E-2</v>
      </c>
      <c r="H614" s="160">
        <v>0.12848067272295899</v>
      </c>
      <c r="I614" s="160">
        <v>0.172432529448132</v>
      </c>
      <c r="J614" s="160">
        <v>0.89747586172366201</v>
      </c>
      <c r="K614" s="160">
        <v>2.2824100538342999E-4</v>
      </c>
      <c r="L614" s="160">
        <v>1.5862789740257301E-3</v>
      </c>
      <c r="M614" s="160">
        <v>7.6554930865304499E-4</v>
      </c>
      <c r="N614" s="160">
        <v>3.0084861702227698E-3</v>
      </c>
      <c r="O614" s="160">
        <v>1.4795121131780899</v>
      </c>
      <c r="P614" s="160">
        <v>2.38771648009071</v>
      </c>
      <c r="Q614" s="160">
        <v>-0.102961782646577</v>
      </c>
      <c r="R614" s="160">
        <v>0.72802968810164803</v>
      </c>
      <c r="S614" s="160">
        <v>5.15034678222729E-3</v>
      </c>
      <c r="T614" s="160">
        <v>0</v>
      </c>
      <c r="U614" s="160">
        <v>0</v>
      </c>
      <c r="V614" s="160">
        <v>0</v>
      </c>
      <c r="W614" s="160"/>
      <c r="X614" s="59"/>
      <c r="Y614" s="160"/>
      <c r="Z614" s="160"/>
      <c r="AA614" s="160"/>
      <c r="AB614" s="160"/>
      <c r="AC614" s="159"/>
      <c r="AD614" s="161"/>
      <c r="AE614" s="160"/>
    </row>
    <row r="615" spans="1:31" ht="21.25" customHeight="1" x14ac:dyDescent="0.15">
      <c r="A615" s="8" t="s">
        <v>615</v>
      </c>
      <c r="B615" s="157" t="s">
        <v>890</v>
      </c>
      <c r="C615" s="158">
        <v>31</v>
      </c>
      <c r="D615" s="157" t="s">
        <v>860</v>
      </c>
      <c r="E615" s="59">
        <v>72.7435714285714</v>
      </c>
      <c r="F615" s="159">
        <v>16.421431372040701</v>
      </c>
      <c r="G615" s="160">
        <v>3.1471926189784602E-2</v>
      </c>
      <c r="H615" s="160">
        <v>0.13968821698820899</v>
      </c>
      <c r="I615" s="160">
        <v>0.171160143177993</v>
      </c>
      <c r="J615" s="160">
        <v>0.74444372063876096</v>
      </c>
      <c r="K615" s="160">
        <v>1.8356031357162199E-4</v>
      </c>
      <c r="L615" s="160">
        <v>1.31613506654867E-3</v>
      </c>
      <c r="M615" s="160">
        <v>3.0660687409108202E-4</v>
      </c>
      <c r="N615" s="160">
        <v>7.6286931534462303E-3</v>
      </c>
      <c r="O615" s="160">
        <v>1.45810500481241</v>
      </c>
      <c r="P615" s="160">
        <v>1.7940401231592999</v>
      </c>
      <c r="Q615" s="160">
        <v>-9.6884781381851706E-2</v>
      </c>
      <c r="R615" s="160">
        <v>0.39411223157558201</v>
      </c>
      <c r="S615" s="160">
        <v>3.6879291538373998E-3</v>
      </c>
      <c r="T615" s="160">
        <v>0</v>
      </c>
      <c r="U615" s="160">
        <v>0</v>
      </c>
      <c r="V615" s="160">
        <v>0</v>
      </c>
      <c r="W615" s="160"/>
      <c r="X615" s="59"/>
      <c r="Y615" s="160"/>
      <c r="Z615" s="160"/>
      <c r="AA615" s="160"/>
      <c r="AB615" s="160"/>
      <c r="AC615" s="159"/>
      <c r="AD615" s="161"/>
      <c r="AE615" s="160"/>
    </row>
    <row r="616" spans="1:31" ht="21.25" customHeight="1" x14ac:dyDescent="0.15">
      <c r="A616" s="8" t="s">
        <v>633</v>
      </c>
      <c r="B616" s="157" t="s">
        <v>886</v>
      </c>
      <c r="C616" s="158">
        <v>25</v>
      </c>
      <c r="D616" s="157" t="s">
        <v>860</v>
      </c>
      <c r="E616" s="59">
        <v>64.765357142857098</v>
      </c>
      <c r="F616" s="159">
        <v>13.583729425746199</v>
      </c>
      <c r="G616" s="160">
        <v>3.06597859843026E-2</v>
      </c>
      <c r="H616" s="160">
        <v>0.140025738618235</v>
      </c>
      <c r="I616" s="160">
        <v>0.170685524602538</v>
      </c>
      <c r="J616" s="160">
        <v>1.0098417698228599</v>
      </c>
      <c r="K616" s="160">
        <v>0</v>
      </c>
      <c r="L616" s="160">
        <v>0</v>
      </c>
      <c r="M616" s="160">
        <v>4.9125465280297899E-4</v>
      </c>
      <c r="N616" s="160">
        <v>6.0964098923570404E-3</v>
      </c>
      <c r="O616" s="160">
        <v>1.16100595743611</v>
      </c>
      <c r="P616" s="160">
        <v>1.69094382361724</v>
      </c>
      <c r="Q616" s="160">
        <v>8.1891022692364094E-3</v>
      </c>
      <c r="R616" s="160">
        <v>0.63359888284240695</v>
      </c>
      <c r="S616" s="160">
        <v>4.7830292374355498E-3</v>
      </c>
      <c r="T616" s="160">
        <v>0</v>
      </c>
      <c r="U616" s="160">
        <v>0</v>
      </c>
      <c r="V616" s="160">
        <v>0</v>
      </c>
      <c r="W616" s="160"/>
      <c r="X616" s="59"/>
      <c r="Y616" s="160"/>
      <c r="Z616" s="160"/>
      <c r="AA616" s="160"/>
      <c r="AB616" s="160"/>
      <c r="AC616" s="159"/>
      <c r="AD616" s="161"/>
      <c r="AE616" s="160"/>
    </row>
    <row r="617" spans="1:31" ht="21.25" customHeight="1" x14ac:dyDescent="0.15">
      <c r="A617" s="8" t="s">
        <v>604</v>
      </c>
      <c r="B617" s="157" t="s">
        <v>885</v>
      </c>
      <c r="C617" s="158">
        <v>33</v>
      </c>
      <c r="D617" s="157" t="s">
        <v>860</v>
      </c>
      <c r="E617" s="59">
        <v>68.349999999999994</v>
      </c>
      <c r="F617" s="159">
        <v>17.720280807926802</v>
      </c>
      <c r="G617" s="160">
        <v>4.1171549850210203E-2</v>
      </c>
      <c r="H617" s="160">
        <v>0.12849759573572</v>
      </c>
      <c r="I617" s="160">
        <v>0.16966914558592899</v>
      </c>
      <c r="J617" s="160">
        <v>1.01981593368985</v>
      </c>
      <c r="K617" s="160">
        <v>2.8392488018599398E-4</v>
      </c>
      <c r="L617" s="160">
        <v>2.0071645777367301E-3</v>
      </c>
      <c r="M617" s="160">
        <v>4.2874895404850497E-4</v>
      </c>
      <c r="N617" s="160">
        <v>1.55893106397916E-2</v>
      </c>
      <c r="O617" s="160">
        <v>1.23649694249727</v>
      </c>
      <c r="P617" s="160">
        <v>1.38326824443889</v>
      </c>
      <c r="Q617" s="160">
        <v>-4.6323192387880699E-2</v>
      </c>
      <c r="R617" s="160">
        <v>0.34736686096677899</v>
      </c>
      <c r="S617" s="160">
        <v>4.7377227081068698E-3</v>
      </c>
      <c r="T617" s="160">
        <v>0</v>
      </c>
      <c r="U617" s="160">
        <v>0</v>
      </c>
      <c r="V617" s="160">
        <v>0</v>
      </c>
      <c r="W617" s="160"/>
      <c r="X617" s="59"/>
      <c r="Y617" s="160"/>
      <c r="Z617" s="160"/>
      <c r="AA617" s="160"/>
      <c r="AB617" s="160"/>
      <c r="AC617" s="159"/>
      <c r="AD617" s="161"/>
      <c r="AE617" s="160"/>
    </row>
    <row r="618" spans="1:31" ht="21.25" customHeight="1" x14ac:dyDescent="0.15">
      <c r="A618" s="8" t="s">
        <v>830</v>
      </c>
      <c r="B618" s="157" t="s">
        <v>899</v>
      </c>
      <c r="C618" s="158">
        <v>26</v>
      </c>
      <c r="D618" s="157" t="s">
        <v>857</v>
      </c>
      <c r="E618" s="59">
        <v>54.549642857142899</v>
      </c>
      <c r="F618" s="159">
        <v>9.4527941134146296</v>
      </c>
      <c r="G618" s="160">
        <v>7.6749478316829503E-2</v>
      </c>
      <c r="H618" s="160">
        <v>9.2478215629096097E-2</v>
      </c>
      <c r="I618" s="160">
        <v>0.16922769394592599</v>
      </c>
      <c r="J618" s="160">
        <v>0.83610978834870897</v>
      </c>
      <c r="K618" s="160">
        <v>2.2098204366580898E-3</v>
      </c>
      <c r="L618" s="160">
        <v>5.6434467135587103E-3</v>
      </c>
      <c r="M618" s="160">
        <v>8.6439255915574098E-4</v>
      </c>
      <c r="N618" s="160">
        <v>1.59569542750234E-3</v>
      </c>
      <c r="O618" s="160">
        <v>0.34003889565657902</v>
      </c>
      <c r="P618" s="160">
        <v>1.1384553069079399</v>
      </c>
      <c r="Q618" s="160">
        <v>-7.6502048890397897E-2</v>
      </c>
      <c r="R618" s="160">
        <v>0.169126509420084</v>
      </c>
      <c r="S618" s="160">
        <v>9.0215667328279806E-3</v>
      </c>
      <c r="T618" s="160">
        <v>1.5555991423531801</v>
      </c>
      <c r="U618" s="160">
        <v>1.5336979662175101</v>
      </c>
      <c r="V618" s="160">
        <v>0.50354468595378998</v>
      </c>
      <c r="W618" s="160"/>
      <c r="X618" s="59"/>
      <c r="Y618" s="160"/>
      <c r="Z618" s="160"/>
      <c r="AA618" s="160"/>
      <c r="AB618" s="160"/>
      <c r="AC618" s="159"/>
      <c r="AD618" s="161"/>
      <c r="AE618" s="160"/>
    </row>
    <row r="619" spans="1:31" ht="21.25" customHeight="1" x14ac:dyDescent="0.15">
      <c r="A619" s="8" t="s">
        <v>677</v>
      </c>
      <c r="B619" s="157" t="s">
        <v>888</v>
      </c>
      <c r="C619" s="158">
        <v>23</v>
      </c>
      <c r="D619" s="157" t="s">
        <v>860</v>
      </c>
      <c r="E619" s="59">
        <v>53.2046428571429</v>
      </c>
      <c r="F619" s="159">
        <v>16.016842105263098</v>
      </c>
      <c r="G619" s="160">
        <v>3.0628656356993401E-2</v>
      </c>
      <c r="H619" s="160">
        <v>0.13839169344895</v>
      </c>
      <c r="I619" s="160">
        <v>0.16902034980594399</v>
      </c>
      <c r="J619" s="160">
        <v>1.1317080143645799</v>
      </c>
      <c r="K619" s="160">
        <v>2.9829966139873398E-4</v>
      </c>
      <c r="L619" s="160">
        <v>1.9939611625039099E-3</v>
      </c>
      <c r="M619" s="160">
        <v>4.0611318318317099E-4</v>
      </c>
      <c r="N619" s="160">
        <v>1.4870949128655401E-3</v>
      </c>
      <c r="O619" s="160">
        <v>1.1688294617794499</v>
      </c>
      <c r="P619" s="160">
        <v>1.22034479226437</v>
      </c>
      <c r="Q619" s="160">
        <v>-3.2660437005573501E-3</v>
      </c>
      <c r="R619" s="160">
        <v>0.45385185647513998</v>
      </c>
      <c r="S619" s="160">
        <v>4.2543491480353801E-3</v>
      </c>
      <c r="T619" s="160">
        <v>0</v>
      </c>
      <c r="U619" s="160">
        <v>0</v>
      </c>
      <c r="V619" s="160">
        <v>0</v>
      </c>
      <c r="W619" s="160"/>
      <c r="X619" s="59"/>
      <c r="Y619" s="160"/>
      <c r="Z619" s="160"/>
      <c r="AA619" s="160"/>
      <c r="AB619" s="160"/>
      <c r="AC619" s="159"/>
      <c r="AD619" s="161"/>
      <c r="AE619" s="160"/>
    </row>
    <row r="620" spans="1:31" ht="21.25" customHeight="1" x14ac:dyDescent="0.15">
      <c r="A620" s="8" t="s">
        <v>552</v>
      </c>
      <c r="B620" s="157" t="s">
        <v>884</v>
      </c>
      <c r="C620" s="158">
        <v>31</v>
      </c>
      <c r="D620" s="157" t="s">
        <v>860</v>
      </c>
      <c r="E620" s="59">
        <v>75.55</v>
      </c>
      <c r="F620" s="159">
        <v>17.460989196708201</v>
      </c>
      <c r="G620" s="160">
        <v>3.6582232722548201E-2</v>
      </c>
      <c r="H620" s="160">
        <v>0.13231117477141599</v>
      </c>
      <c r="I620" s="160">
        <v>0.168893407493965</v>
      </c>
      <c r="J620" s="160">
        <v>1.29104017148078</v>
      </c>
      <c r="K620" s="160">
        <v>2.4905850968003399E-4</v>
      </c>
      <c r="L620" s="160">
        <v>1.76163534493354E-3</v>
      </c>
      <c r="M620" s="160">
        <v>2.6119846302308897E-4</v>
      </c>
      <c r="N620" s="160">
        <v>1.44304329163979E-3</v>
      </c>
      <c r="O620" s="160">
        <v>1.4665338567863699</v>
      </c>
      <c r="P620" s="160">
        <v>1.48922214803985</v>
      </c>
      <c r="Q620" s="160">
        <v>-8.5235859128393696E-2</v>
      </c>
      <c r="R620" s="160">
        <v>0.73381383112740095</v>
      </c>
      <c r="S620" s="160">
        <v>3.9200381117439499E-3</v>
      </c>
      <c r="T620" s="160">
        <v>0</v>
      </c>
      <c r="U620" s="160">
        <v>0</v>
      </c>
      <c r="V620" s="160">
        <v>0</v>
      </c>
      <c r="W620" s="160"/>
      <c r="X620" s="59"/>
      <c r="Y620" s="160"/>
      <c r="Z620" s="160"/>
      <c r="AA620" s="160"/>
      <c r="AB620" s="160"/>
      <c r="AC620" s="159"/>
      <c r="AD620" s="161"/>
      <c r="AE620" s="160"/>
    </row>
    <row r="621" spans="1:31" ht="21.25" customHeight="1" x14ac:dyDescent="0.15">
      <c r="A621" s="8" t="s">
        <v>607</v>
      </c>
      <c r="B621" s="157" t="s">
        <v>899</v>
      </c>
      <c r="C621" s="158">
        <v>36</v>
      </c>
      <c r="D621" s="157" t="s">
        <v>860</v>
      </c>
      <c r="E621" s="59">
        <v>77</v>
      </c>
      <c r="F621" s="159">
        <v>16.3655242850154</v>
      </c>
      <c r="G621" s="160">
        <v>3.2073188091721702E-2</v>
      </c>
      <c r="H621" s="160">
        <v>0.13643013514836499</v>
      </c>
      <c r="I621" s="160">
        <v>0.16850332324008699</v>
      </c>
      <c r="J621" s="160">
        <v>0.78043052196155405</v>
      </c>
      <c r="K621" s="160">
        <v>2.23581008305363E-4</v>
      </c>
      <c r="L621" s="160">
        <v>1.68544539779822E-3</v>
      </c>
      <c r="M621" s="160">
        <v>2.1749020378286101E-4</v>
      </c>
      <c r="N621" s="160">
        <v>9.2706125764592398E-4</v>
      </c>
      <c r="O621" s="160">
        <v>1.2225955788466001</v>
      </c>
      <c r="P621" s="160">
        <v>1.48682569050962</v>
      </c>
      <c r="Q621" s="160">
        <v>-6.5744689267719494E-2</v>
      </c>
      <c r="R621" s="160">
        <v>0.37001204400075399</v>
      </c>
      <c r="S621" s="160">
        <v>3.77006349814579E-3</v>
      </c>
      <c r="T621" s="160">
        <v>0</v>
      </c>
      <c r="U621" s="160">
        <v>0</v>
      </c>
      <c r="V621" s="160">
        <v>0</v>
      </c>
      <c r="W621" s="160"/>
      <c r="X621" s="59"/>
      <c r="Y621" s="160"/>
      <c r="Z621" s="160"/>
      <c r="AA621" s="160"/>
      <c r="AB621" s="160"/>
      <c r="AC621" s="159"/>
      <c r="AD621" s="161"/>
      <c r="AE621" s="160"/>
    </row>
    <row r="622" spans="1:31" ht="21.25" customHeight="1" x14ac:dyDescent="0.15">
      <c r="A622" s="8" t="s">
        <v>591</v>
      </c>
      <c r="B622" s="157" t="s">
        <v>897</v>
      </c>
      <c r="C622" s="158">
        <v>26</v>
      </c>
      <c r="D622" s="157" t="s">
        <v>860</v>
      </c>
      <c r="E622" s="59">
        <v>74.971071428571406</v>
      </c>
      <c r="F622" s="159">
        <v>16.180768574226501</v>
      </c>
      <c r="G622" s="160">
        <v>3.7938793096010198E-2</v>
      </c>
      <c r="H622" s="160">
        <v>0.12989886504310399</v>
      </c>
      <c r="I622" s="160">
        <v>0.167837658139113</v>
      </c>
      <c r="J622" s="160">
        <v>1.11128044255476</v>
      </c>
      <c r="K622" s="160">
        <v>2.7484145170875699E-4</v>
      </c>
      <c r="L622" s="160">
        <v>1.8836464042167099E-3</v>
      </c>
      <c r="M622" s="160">
        <v>3.2521434625297198E-4</v>
      </c>
      <c r="N622" s="160">
        <v>7.9938274093085508E-3</v>
      </c>
      <c r="O622" s="160">
        <v>1.0476963916531401</v>
      </c>
      <c r="P622" s="160">
        <v>2.8629398938602999</v>
      </c>
      <c r="Q622" s="160">
        <v>-3.6746271915734999E-2</v>
      </c>
      <c r="R622" s="160">
        <v>0.80951362939485005</v>
      </c>
      <c r="S622" s="160">
        <v>5.5400560461452402E-3</v>
      </c>
      <c r="T622" s="160">
        <v>0</v>
      </c>
      <c r="U622" s="160">
        <v>0</v>
      </c>
      <c r="V622" s="160">
        <v>0</v>
      </c>
      <c r="W622" s="160"/>
      <c r="X622" s="59"/>
      <c r="Y622" s="160"/>
      <c r="Z622" s="160"/>
      <c r="AA622" s="160"/>
      <c r="AB622" s="160"/>
      <c r="AC622" s="159"/>
      <c r="AD622" s="161"/>
      <c r="AE622" s="160"/>
    </row>
    <row r="623" spans="1:31" ht="21.25" customHeight="1" x14ac:dyDescent="0.15">
      <c r="A623" s="8" t="s">
        <v>618</v>
      </c>
      <c r="B623" s="157" t="s">
        <v>894</v>
      </c>
      <c r="C623" s="158">
        <v>31</v>
      </c>
      <c r="D623" s="157" t="s">
        <v>860</v>
      </c>
      <c r="E623" s="59">
        <v>69.713928571428596</v>
      </c>
      <c r="F623" s="159">
        <v>14.7104584833884</v>
      </c>
      <c r="G623" s="160">
        <v>3.1371111953047398E-2</v>
      </c>
      <c r="H623" s="160">
        <v>0.136409830636401</v>
      </c>
      <c r="I623" s="160">
        <v>0.16778094258944901</v>
      </c>
      <c r="J623" s="160">
        <v>1.0037778418635701</v>
      </c>
      <c r="K623" s="160">
        <v>1.2331977623802E-4</v>
      </c>
      <c r="L623" s="160">
        <v>1.53762627877634E-3</v>
      </c>
      <c r="M623" s="160">
        <v>1.29440288665206E-4</v>
      </c>
      <c r="N623" s="160">
        <v>5.0494094854468697E-4</v>
      </c>
      <c r="O623" s="160">
        <v>1.10528385843386</v>
      </c>
      <c r="P623" s="160">
        <v>0.92257613882826595</v>
      </c>
      <c r="Q623" s="160">
        <v>4.38190002625317E-3</v>
      </c>
      <c r="R623" s="160">
        <v>0.254567298102296</v>
      </c>
      <c r="S623" s="160">
        <v>5.2420579098103404E-3</v>
      </c>
      <c r="T623" s="160">
        <v>6.1594157206220203E-4</v>
      </c>
      <c r="U623" s="160">
        <v>2.0359563874640901E-3</v>
      </c>
      <c r="V623" s="160">
        <v>0.232264431536509</v>
      </c>
      <c r="W623" s="160"/>
      <c r="X623" s="59"/>
      <c r="Y623" s="160"/>
      <c r="Z623" s="160"/>
      <c r="AA623" s="160"/>
      <c r="AB623" s="160"/>
      <c r="AC623" s="159"/>
      <c r="AD623" s="161"/>
      <c r="AE623" s="160"/>
    </row>
    <row r="624" spans="1:31" ht="21.25" customHeight="1" x14ac:dyDescent="0.15">
      <c r="A624" s="8" t="s">
        <v>802</v>
      </c>
      <c r="B624" s="157" t="s">
        <v>888</v>
      </c>
      <c r="C624" s="158">
        <v>27</v>
      </c>
      <c r="D624" s="157" t="s">
        <v>857</v>
      </c>
      <c r="E624" s="59">
        <v>73.231071428571397</v>
      </c>
      <c r="F624" s="159">
        <v>10.558119996872399</v>
      </c>
      <c r="G624" s="160">
        <v>6.48303482666511E-2</v>
      </c>
      <c r="H624" s="160">
        <v>0.101024194892464</v>
      </c>
      <c r="I624" s="160">
        <v>0.16585454315911499</v>
      </c>
      <c r="J624" s="160">
        <v>1.1997516821785701</v>
      </c>
      <c r="K624" s="160">
        <v>5.4149192812706702E-4</v>
      </c>
      <c r="L624" s="160">
        <v>1.3935789888586099E-3</v>
      </c>
      <c r="M624" s="160">
        <v>1.6485803419615501E-4</v>
      </c>
      <c r="N624" s="160">
        <v>3.0669115946022101E-4</v>
      </c>
      <c r="O624" s="160">
        <v>0.45540424855671002</v>
      </c>
      <c r="P624" s="160">
        <v>2.2890202496427801</v>
      </c>
      <c r="Q624" s="160">
        <v>-2.2511978099025898E-3</v>
      </c>
      <c r="R624" s="160">
        <v>0.99708145540958704</v>
      </c>
      <c r="S624" s="160">
        <v>9.0049962917190893E-3</v>
      </c>
      <c r="T624" s="160">
        <v>0.22816997234440201</v>
      </c>
      <c r="U624" s="160">
        <v>0.23772850023400499</v>
      </c>
      <c r="V624" s="160">
        <v>0.489741833841284</v>
      </c>
      <c r="W624" s="160"/>
      <c r="X624" s="59"/>
      <c r="Y624" s="160"/>
      <c r="Z624" s="160"/>
      <c r="AA624" s="160"/>
      <c r="AB624" s="160"/>
      <c r="AC624" s="159"/>
      <c r="AD624" s="161"/>
      <c r="AE624" s="160"/>
    </row>
    <row r="625" spans="1:31" ht="21.25" customHeight="1" x14ac:dyDescent="0.15">
      <c r="A625" s="8" t="s">
        <v>829</v>
      </c>
      <c r="B625" s="157" t="s">
        <v>871</v>
      </c>
      <c r="C625" s="158">
        <v>24</v>
      </c>
      <c r="D625" s="157" t="s">
        <v>857</v>
      </c>
      <c r="E625" s="59">
        <v>55.61</v>
      </c>
      <c r="F625" s="159">
        <v>9.4200220422236605</v>
      </c>
      <c r="G625" s="160">
        <v>0.106014442590967</v>
      </c>
      <c r="H625" s="160">
        <v>5.9650741040965002E-2</v>
      </c>
      <c r="I625" s="160">
        <v>0.165665183631932</v>
      </c>
      <c r="J625" s="160">
        <v>0.92994549967662798</v>
      </c>
      <c r="K625" s="160">
        <v>7.8292067138127901E-4</v>
      </c>
      <c r="L625" s="160">
        <v>2.0318155436602901E-3</v>
      </c>
      <c r="M625" s="160">
        <v>9.7956074672368693E-5</v>
      </c>
      <c r="N625" s="160">
        <v>1.8375934320802599E-4</v>
      </c>
      <c r="O625" s="160">
        <v>0.33921651851288998</v>
      </c>
      <c r="P625" s="160">
        <v>0.89844156006119402</v>
      </c>
      <c r="Q625" s="160">
        <v>4.2216839919496499E-2</v>
      </c>
      <c r="R625" s="160">
        <v>0.19538814412580099</v>
      </c>
      <c r="S625" s="160">
        <v>1.6773082109921501E-2</v>
      </c>
      <c r="T625" s="160">
        <v>2.3881604984421698</v>
      </c>
      <c r="U625" s="160">
        <v>2.31381247180799</v>
      </c>
      <c r="V625" s="160">
        <v>0.50790604572852605</v>
      </c>
      <c r="W625" s="160"/>
      <c r="X625" s="59"/>
      <c r="Y625" s="160"/>
      <c r="Z625" s="160"/>
      <c r="AA625" s="160"/>
      <c r="AB625" s="160"/>
      <c r="AC625" s="159"/>
      <c r="AD625" s="161"/>
      <c r="AE625" s="160"/>
    </row>
    <row r="626" spans="1:31" ht="21.25" customHeight="1" x14ac:dyDescent="0.15">
      <c r="A626" s="8" t="s">
        <v>689</v>
      </c>
      <c r="B626" s="157" t="s">
        <v>870</v>
      </c>
      <c r="C626" s="158">
        <v>22</v>
      </c>
      <c r="D626" s="157" t="s">
        <v>860</v>
      </c>
      <c r="E626" s="59">
        <v>62.827500000000001</v>
      </c>
      <c r="F626" s="159">
        <v>12.1194539803154</v>
      </c>
      <c r="G626" s="160">
        <v>3.1100890511262799E-2</v>
      </c>
      <c r="H626" s="160">
        <v>0.13375206147586299</v>
      </c>
      <c r="I626" s="160">
        <v>0.16485295198712699</v>
      </c>
      <c r="J626" s="160">
        <v>0.78776923610610206</v>
      </c>
      <c r="K626" s="160">
        <v>6.0048880571412697E-4</v>
      </c>
      <c r="L626" s="160">
        <v>4.0199227321054904E-3</v>
      </c>
      <c r="M626" s="160">
        <v>3.1397543026696998E-4</v>
      </c>
      <c r="N626" s="160">
        <v>1.15142623254803E-3</v>
      </c>
      <c r="O626" s="160">
        <v>0.77459092103696103</v>
      </c>
      <c r="P626" s="160">
        <v>0.83754710327761295</v>
      </c>
      <c r="Q626" s="160">
        <v>6.7532136406538296E-2</v>
      </c>
      <c r="R626" s="160">
        <v>0.19453317438814599</v>
      </c>
      <c r="S626" s="160">
        <v>4.9229370804992597E-3</v>
      </c>
      <c r="T626" s="160">
        <v>0</v>
      </c>
      <c r="U626" s="160">
        <v>0</v>
      </c>
      <c r="V626" s="160">
        <v>0</v>
      </c>
      <c r="W626" s="160"/>
      <c r="X626" s="59"/>
      <c r="Y626" s="160"/>
      <c r="Z626" s="160"/>
      <c r="AA626" s="160"/>
      <c r="AB626" s="160"/>
      <c r="AC626" s="159"/>
      <c r="AD626" s="161"/>
      <c r="AE626" s="160"/>
    </row>
    <row r="627" spans="1:31" ht="21.25" customHeight="1" x14ac:dyDescent="0.15">
      <c r="A627" s="8" t="s">
        <v>632</v>
      </c>
      <c r="B627" s="157" t="s">
        <v>873</v>
      </c>
      <c r="C627" s="158">
        <v>27</v>
      </c>
      <c r="D627" s="157" t="s">
        <v>860</v>
      </c>
      <c r="E627" s="59">
        <v>67</v>
      </c>
      <c r="F627" s="159">
        <v>17.4989933523267</v>
      </c>
      <c r="G627" s="160">
        <v>3.4255017760219997E-2</v>
      </c>
      <c r="H627" s="160">
        <v>0.128467324292459</v>
      </c>
      <c r="I627" s="160">
        <v>0.16272234205267799</v>
      </c>
      <c r="J627" s="160">
        <v>0.89500739881921298</v>
      </c>
      <c r="K627" s="160">
        <v>2.1826784930191199E-4</v>
      </c>
      <c r="L627" s="160">
        <v>1.5060763257351501E-3</v>
      </c>
      <c r="M627" s="160">
        <v>4.30863148686534E-3</v>
      </c>
      <c r="N627" s="160">
        <v>5.71179182990144E-3</v>
      </c>
      <c r="O627" s="160">
        <v>1.3671483676627001</v>
      </c>
      <c r="P627" s="160">
        <v>1.7848188049812399</v>
      </c>
      <c r="Q627" s="160">
        <v>-9.8187241579656102E-3</v>
      </c>
      <c r="R627" s="160">
        <v>0.71695683816433997</v>
      </c>
      <c r="S627" s="160">
        <v>4.9139604328085401E-3</v>
      </c>
      <c r="T627" s="160">
        <v>0</v>
      </c>
      <c r="U627" s="160">
        <v>0</v>
      </c>
      <c r="V627" s="160">
        <v>0</v>
      </c>
      <c r="W627" s="160"/>
      <c r="X627" s="59"/>
      <c r="Y627" s="160"/>
      <c r="Z627" s="160"/>
      <c r="AA627" s="160"/>
      <c r="AB627" s="160"/>
      <c r="AC627" s="159"/>
      <c r="AD627" s="161"/>
      <c r="AE627" s="160"/>
    </row>
    <row r="628" spans="1:31" ht="21.25" customHeight="1" x14ac:dyDescent="0.15">
      <c r="A628" s="8" t="s">
        <v>625</v>
      </c>
      <c r="B628" s="157" t="s">
        <v>895</v>
      </c>
      <c r="C628" s="158">
        <v>30</v>
      </c>
      <c r="D628" s="157" t="s">
        <v>860</v>
      </c>
      <c r="E628" s="59">
        <v>67.041785714285695</v>
      </c>
      <c r="F628" s="159">
        <v>12.422328199314</v>
      </c>
      <c r="G628" s="160">
        <v>4.1217590498726302E-2</v>
      </c>
      <c r="H628" s="160">
        <v>0.12029863189301</v>
      </c>
      <c r="I628" s="160">
        <v>0.16151622239173699</v>
      </c>
      <c r="J628" s="160">
        <v>1.11763394679562</v>
      </c>
      <c r="K628" s="160">
        <v>9.7465901965713996E-4</v>
      </c>
      <c r="L628" s="160">
        <v>9.9977693755943509E-3</v>
      </c>
      <c r="M628" s="160">
        <v>9.7849810355899006E-5</v>
      </c>
      <c r="N628" s="160">
        <v>3.6908295671693301E-4</v>
      </c>
      <c r="O628" s="160">
        <v>0.88519276671846703</v>
      </c>
      <c r="P628" s="160">
        <v>0.81184972064828498</v>
      </c>
      <c r="Q628" s="160">
        <v>5.2260660511412198E-2</v>
      </c>
      <c r="R628" s="160">
        <v>0.29198292348216798</v>
      </c>
      <c r="S628" s="160">
        <v>6.7360788994704898E-3</v>
      </c>
      <c r="T628" s="160">
        <v>0</v>
      </c>
      <c r="U628" s="160">
        <v>0</v>
      </c>
      <c r="V628" s="160">
        <v>0</v>
      </c>
      <c r="W628" s="160"/>
      <c r="X628" s="59"/>
      <c r="Y628" s="160"/>
      <c r="Z628" s="160"/>
      <c r="AA628" s="160"/>
      <c r="AB628" s="160"/>
      <c r="AC628" s="159"/>
      <c r="AD628" s="161"/>
      <c r="AE628" s="160"/>
    </row>
    <row r="629" spans="1:31" ht="21.25" customHeight="1" x14ac:dyDescent="0.15">
      <c r="A629" s="8" t="s">
        <v>826</v>
      </c>
      <c r="B629" s="157" t="s">
        <v>879</v>
      </c>
      <c r="C629" s="158">
        <v>33</v>
      </c>
      <c r="D629" s="157" t="s">
        <v>857</v>
      </c>
      <c r="E629" s="59">
        <v>61.537500000000001</v>
      </c>
      <c r="F629" s="159">
        <v>10.7685301689509</v>
      </c>
      <c r="G629" s="160">
        <v>4.0557364244880399E-2</v>
      </c>
      <c r="H629" s="160">
        <v>0.120004571618488</v>
      </c>
      <c r="I629" s="160">
        <v>0.160561935863368</v>
      </c>
      <c r="J629" s="160">
        <v>0.85305856567339899</v>
      </c>
      <c r="K629" s="160">
        <v>1.9374685908877E-4</v>
      </c>
      <c r="L629" s="160">
        <v>5.6854056279448005E-4</v>
      </c>
      <c r="M629" s="160">
        <v>9.5360755700910895E-4</v>
      </c>
      <c r="N629" s="160">
        <v>2.0227769969040099E-3</v>
      </c>
      <c r="O629" s="160">
        <v>0.44144634214460998</v>
      </c>
      <c r="P629" s="160">
        <v>1.1725653737411501</v>
      </c>
      <c r="Q629" s="160">
        <v>1.24430470484074E-2</v>
      </c>
      <c r="R629" s="160">
        <v>0.19039838552279501</v>
      </c>
      <c r="S629" s="160">
        <v>6.8087833129162898E-3</v>
      </c>
      <c r="T629" s="160">
        <v>2.8088550842094002</v>
      </c>
      <c r="U629" s="160">
        <v>2.6405200995073899</v>
      </c>
      <c r="V629" s="160">
        <v>0.51544534731293801</v>
      </c>
      <c r="W629" s="160"/>
      <c r="X629" s="59"/>
      <c r="Y629" s="160"/>
      <c r="Z629" s="160"/>
      <c r="AA629" s="160"/>
      <c r="AB629" s="160"/>
      <c r="AC629" s="159"/>
      <c r="AD629" s="161"/>
      <c r="AE629" s="160"/>
    </row>
    <row r="630" spans="1:31" ht="21.25" customHeight="1" x14ac:dyDescent="0.15">
      <c r="A630" s="8" t="s">
        <v>628</v>
      </c>
      <c r="B630" s="157" t="s">
        <v>893</v>
      </c>
      <c r="C630" s="158">
        <v>27</v>
      </c>
      <c r="D630" s="157" t="s">
        <v>860</v>
      </c>
      <c r="E630" s="59">
        <v>68</v>
      </c>
      <c r="F630" s="159">
        <v>13.629156639835401</v>
      </c>
      <c r="G630" s="160">
        <v>4.6365414892773203E-2</v>
      </c>
      <c r="H630" s="160">
        <v>0.112495347806364</v>
      </c>
      <c r="I630" s="160">
        <v>0.15886076269913699</v>
      </c>
      <c r="J630" s="160">
        <v>1.1152896046771901</v>
      </c>
      <c r="K630" s="160">
        <v>1.37416455059894E-4</v>
      </c>
      <c r="L630" s="160">
        <v>9.4257790575252897E-4</v>
      </c>
      <c r="M630" s="160">
        <v>3.0737163989657799E-3</v>
      </c>
      <c r="N630" s="160">
        <v>6.6001800256412198E-3</v>
      </c>
      <c r="O630" s="160">
        <v>0.82869366383131704</v>
      </c>
      <c r="P630" s="160">
        <v>1.1176961068529301</v>
      </c>
      <c r="Q630" s="160">
        <v>8.9276000128851604E-2</v>
      </c>
      <c r="R630" s="160">
        <v>0.42769720696047597</v>
      </c>
      <c r="S630" s="160">
        <v>8.3189936319155201E-3</v>
      </c>
      <c r="T630" s="160">
        <v>0</v>
      </c>
      <c r="U630" s="160">
        <v>0</v>
      </c>
      <c r="V630" s="160">
        <v>0</v>
      </c>
      <c r="W630" s="160"/>
      <c r="X630" s="59"/>
      <c r="Y630" s="160"/>
      <c r="Z630" s="160"/>
      <c r="AA630" s="160"/>
      <c r="AB630" s="160"/>
      <c r="AC630" s="159"/>
      <c r="AD630" s="161"/>
      <c r="AE630" s="160"/>
    </row>
    <row r="631" spans="1:31" ht="21.25" customHeight="1" x14ac:dyDescent="0.15">
      <c r="A631" s="8" t="s">
        <v>773</v>
      </c>
      <c r="B631" s="157" t="s">
        <v>874</v>
      </c>
      <c r="C631" s="158">
        <v>36</v>
      </c>
      <c r="D631" s="157" t="s">
        <v>859</v>
      </c>
      <c r="E631" s="59">
        <v>75.862857142857095</v>
      </c>
      <c r="F631" s="159">
        <v>9.3171298949856904</v>
      </c>
      <c r="G631" s="160">
        <v>5.2976070233506499E-2</v>
      </c>
      <c r="H631" s="160">
        <v>0.104822924599325</v>
      </c>
      <c r="I631" s="160">
        <v>0.157798994832832</v>
      </c>
      <c r="J631" s="160">
        <v>0.68705667772572798</v>
      </c>
      <c r="K631" s="160">
        <v>2.77260045094433E-4</v>
      </c>
      <c r="L631" s="160">
        <v>7.6112619798201196E-4</v>
      </c>
      <c r="M631" s="160">
        <v>3.0462175644048901E-5</v>
      </c>
      <c r="N631" s="160">
        <v>6.0447986155991502E-5</v>
      </c>
      <c r="O631" s="160">
        <v>0.30595581750323297</v>
      </c>
      <c r="P631" s="160">
        <v>2.69206053822032</v>
      </c>
      <c r="Q631" s="160">
        <v>3.3795550195091097E-2</v>
      </c>
      <c r="R631" s="160">
        <v>0.48828024521851199</v>
      </c>
      <c r="S631" s="160">
        <v>8.5105916021867897E-3</v>
      </c>
      <c r="T631" s="160">
        <v>7.4395483746010696E-2</v>
      </c>
      <c r="U631" s="160">
        <v>0.12831649780471599</v>
      </c>
      <c r="V631" s="160">
        <v>0.36700092010789198</v>
      </c>
      <c r="W631" s="160"/>
      <c r="X631" s="59"/>
      <c r="Y631" s="160"/>
      <c r="Z631" s="160"/>
      <c r="AA631" s="160"/>
      <c r="AB631" s="160"/>
      <c r="AC631" s="159"/>
      <c r="AD631" s="161"/>
      <c r="AE631" s="160"/>
    </row>
    <row r="632" spans="1:31" ht="21.25" customHeight="1" x14ac:dyDescent="0.15">
      <c r="A632" s="8" t="s">
        <v>563</v>
      </c>
      <c r="B632" s="157" t="s">
        <v>878</v>
      </c>
      <c r="C632" s="158">
        <v>31</v>
      </c>
      <c r="D632" s="157" t="s">
        <v>860</v>
      </c>
      <c r="E632" s="59">
        <v>81.901428571428596</v>
      </c>
      <c r="F632" s="159">
        <v>18.300264117446801</v>
      </c>
      <c r="G632" s="160">
        <v>5.1072267190043298E-2</v>
      </c>
      <c r="H632" s="160">
        <v>0.105444967123483</v>
      </c>
      <c r="I632" s="160">
        <v>0.15651723431352599</v>
      </c>
      <c r="J632" s="160">
        <v>0.99450614325162101</v>
      </c>
      <c r="K632" s="160">
        <v>3.2573103969369901E-4</v>
      </c>
      <c r="L632" s="160">
        <v>2.2284020056310399E-3</v>
      </c>
      <c r="M632" s="160">
        <v>3.1777706995272302E-4</v>
      </c>
      <c r="N632" s="160">
        <v>7.5440323363452303E-3</v>
      </c>
      <c r="O632" s="160">
        <v>1.52170516430102</v>
      </c>
      <c r="P632" s="160">
        <v>2.5449304561189998</v>
      </c>
      <c r="Q632" s="160">
        <v>4.3452992404366099E-2</v>
      </c>
      <c r="R632" s="160">
        <v>0.58872071928136704</v>
      </c>
      <c r="S632" s="160">
        <v>8.1712006963235006E-3</v>
      </c>
      <c r="T632" s="160">
        <v>0</v>
      </c>
      <c r="U632" s="160">
        <v>0</v>
      </c>
      <c r="V632" s="160">
        <v>0</v>
      </c>
      <c r="W632" s="160"/>
      <c r="X632" s="59"/>
      <c r="Y632" s="160"/>
      <c r="Z632" s="160"/>
      <c r="AA632" s="160"/>
      <c r="AB632" s="160"/>
      <c r="AC632" s="159"/>
      <c r="AD632" s="161"/>
      <c r="AE632" s="160"/>
    </row>
    <row r="633" spans="1:31" ht="21.25" customHeight="1" x14ac:dyDescent="0.15">
      <c r="A633" s="8" t="s">
        <v>807</v>
      </c>
      <c r="B633" s="157" t="s">
        <v>892</v>
      </c>
      <c r="C633" s="158">
        <v>36</v>
      </c>
      <c r="D633" s="157" t="s">
        <v>857</v>
      </c>
      <c r="E633" s="59">
        <v>65</v>
      </c>
      <c r="F633" s="159">
        <v>10.7458775203646</v>
      </c>
      <c r="G633" s="160">
        <v>6.6807108911067101E-2</v>
      </c>
      <c r="H633" s="160">
        <v>8.9574975479394803E-2</v>
      </c>
      <c r="I633" s="160">
        <v>0.156382084390462</v>
      </c>
      <c r="J633" s="160">
        <v>1.3847703150608</v>
      </c>
      <c r="K633" s="160">
        <v>2.0398516424281802E-3</v>
      </c>
      <c r="L633" s="160">
        <v>4.3322359469079004E-3</v>
      </c>
      <c r="M633" s="160">
        <v>1.1031279668351299E-2</v>
      </c>
      <c r="N633" s="160">
        <v>1.2307219525841099E-2</v>
      </c>
      <c r="O633" s="160">
        <v>0.38621270200669</v>
      </c>
      <c r="P633" s="160">
        <v>1.6768617036861599</v>
      </c>
      <c r="Q633" s="160">
        <v>-1.1403538744345699E-2</v>
      </c>
      <c r="R633" s="160">
        <v>0.17228018778708301</v>
      </c>
      <c r="S633" s="160">
        <v>9.9184393257965991E-3</v>
      </c>
      <c r="T633" s="160">
        <v>1.2757210749380601</v>
      </c>
      <c r="U633" s="160">
        <v>1.5799814297502099</v>
      </c>
      <c r="V633" s="160">
        <v>0.446727582037583</v>
      </c>
      <c r="W633" s="160"/>
      <c r="X633" s="59"/>
      <c r="Y633" s="160"/>
      <c r="Z633" s="160"/>
      <c r="AA633" s="160"/>
      <c r="AB633" s="160"/>
      <c r="AC633" s="159"/>
      <c r="AD633" s="161"/>
      <c r="AE633" s="160"/>
    </row>
    <row r="634" spans="1:31" ht="21.25" customHeight="1" x14ac:dyDescent="0.15">
      <c r="A634" s="8" t="s">
        <v>757</v>
      </c>
      <c r="B634" s="157" t="s">
        <v>900</v>
      </c>
      <c r="C634" s="158">
        <v>34</v>
      </c>
      <c r="D634" s="157" t="s">
        <v>858</v>
      </c>
      <c r="E634" s="59">
        <v>80.047142857142902</v>
      </c>
      <c r="F634" s="159">
        <v>10.628550945429801</v>
      </c>
      <c r="G634" s="160">
        <v>5.8775663229746603E-2</v>
      </c>
      <c r="H634" s="160">
        <v>9.6436048930049395E-2</v>
      </c>
      <c r="I634" s="160">
        <v>0.15521171215979601</v>
      </c>
      <c r="J634" s="160">
        <v>0.99648222453345603</v>
      </c>
      <c r="K634" s="160">
        <v>6.7419514946376704E-4</v>
      </c>
      <c r="L634" s="160">
        <v>1.7147891913818301E-3</v>
      </c>
      <c r="M634" s="160">
        <v>4.1092638628221101E-4</v>
      </c>
      <c r="N634" s="160">
        <v>7.9811071262921496E-4</v>
      </c>
      <c r="O634" s="160">
        <v>0.45191860308754001</v>
      </c>
      <c r="P634" s="160">
        <v>3.0991422172492702</v>
      </c>
      <c r="Q634" s="160">
        <v>-1.3159475324886E-2</v>
      </c>
      <c r="R634" s="160">
        <v>0.55721166668248201</v>
      </c>
      <c r="S634" s="160">
        <v>9.0821246488029094E-3</v>
      </c>
      <c r="T634" s="160">
        <v>0.103710167114899</v>
      </c>
      <c r="U634" s="160">
        <v>0.19363666151572601</v>
      </c>
      <c r="V634" s="160">
        <v>0.348785179894189</v>
      </c>
      <c r="W634" s="160"/>
      <c r="X634" s="59"/>
      <c r="Y634" s="160"/>
      <c r="Z634" s="160"/>
      <c r="AA634" s="160"/>
      <c r="AB634" s="160"/>
      <c r="AC634" s="159"/>
      <c r="AD634" s="161"/>
      <c r="AE634" s="160"/>
    </row>
    <row r="635" spans="1:31" ht="21.25" customHeight="1" x14ac:dyDescent="0.15">
      <c r="A635" s="8" t="s">
        <v>785</v>
      </c>
      <c r="B635" s="157" t="s">
        <v>901</v>
      </c>
      <c r="C635" s="158">
        <v>38</v>
      </c>
      <c r="D635" s="157" t="s">
        <v>858</v>
      </c>
      <c r="E635" s="59">
        <v>70</v>
      </c>
      <c r="F635" s="159">
        <v>11.2828767123288</v>
      </c>
      <c r="G635" s="160">
        <v>6.0869239925162598E-2</v>
      </c>
      <c r="H635" s="160">
        <v>9.2719907282030098E-2</v>
      </c>
      <c r="I635" s="160">
        <v>0.15358914720719299</v>
      </c>
      <c r="J635" s="160">
        <v>0.79935625443839997</v>
      </c>
      <c r="K635" s="160">
        <v>1.78423128565126E-4</v>
      </c>
      <c r="L635" s="160">
        <v>4.7507813895360397E-4</v>
      </c>
      <c r="M635" s="160">
        <v>3.4639749305154098E-3</v>
      </c>
      <c r="N635" s="160">
        <v>9.5551681600509492E-3</v>
      </c>
      <c r="O635" s="160">
        <v>0.58289226940028205</v>
      </c>
      <c r="P635" s="160">
        <v>0.98165557241298196</v>
      </c>
      <c r="Q635" s="160">
        <v>-5.2691271763161702E-3</v>
      </c>
      <c r="R635" s="160">
        <v>0.28606124333579402</v>
      </c>
      <c r="S635" s="160">
        <v>8.5558397824327097E-3</v>
      </c>
      <c r="T635" s="160">
        <v>4.6053007884734498</v>
      </c>
      <c r="U635" s="160">
        <v>4.0130065475818304</v>
      </c>
      <c r="V635" s="160">
        <v>0.53436256203197297</v>
      </c>
      <c r="W635" s="160"/>
      <c r="X635" s="59"/>
      <c r="Y635" s="160"/>
      <c r="Z635" s="160"/>
      <c r="AA635" s="160"/>
      <c r="AB635" s="160"/>
      <c r="AC635" s="159"/>
      <c r="AD635" s="161"/>
      <c r="AE635" s="160"/>
    </row>
    <row r="636" spans="1:31" ht="21.25" customHeight="1" x14ac:dyDescent="0.15">
      <c r="A636" s="8" t="s">
        <v>629</v>
      </c>
      <c r="B636" s="157" t="s">
        <v>896</v>
      </c>
      <c r="C636" s="158">
        <v>29</v>
      </c>
      <c r="D636" s="157" t="s">
        <v>860</v>
      </c>
      <c r="E636" s="59">
        <v>80</v>
      </c>
      <c r="F636" s="159">
        <v>13.9163198204672</v>
      </c>
      <c r="G636" s="160">
        <v>2.4050245423308799E-2</v>
      </c>
      <c r="H636" s="160">
        <v>0.12661454066249</v>
      </c>
      <c r="I636" s="160">
        <v>0.150664786085799</v>
      </c>
      <c r="J636" s="160">
        <v>0.64480647134765001</v>
      </c>
      <c r="K636" s="160">
        <v>1.6217319804132899E-4</v>
      </c>
      <c r="L636" s="160">
        <v>1.14593931273874E-3</v>
      </c>
      <c r="M636" s="160">
        <v>3.29520529057982E-3</v>
      </c>
      <c r="N636" s="160">
        <v>9.1463124645188507E-3</v>
      </c>
      <c r="O636" s="160">
        <v>1.17885228387101</v>
      </c>
      <c r="P636" s="160">
        <v>1.5102824302567801</v>
      </c>
      <c r="Q636" s="160">
        <v>-3.2962920310006E-2</v>
      </c>
      <c r="R636" s="160">
        <v>0.44949830881761299</v>
      </c>
      <c r="S636" s="160">
        <v>2.6072734992579902E-3</v>
      </c>
      <c r="T636" s="160">
        <v>0</v>
      </c>
      <c r="U636" s="160">
        <v>0</v>
      </c>
      <c r="V636" s="160">
        <v>0</v>
      </c>
      <c r="W636" s="160"/>
      <c r="X636" s="59"/>
      <c r="Y636" s="160"/>
      <c r="Z636" s="160"/>
      <c r="AA636" s="160"/>
      <c r="AB636" s="160"/>
      <c r="AC636" s="159"/>
      <c r="AD636" s="161"/>
      <c r="AE636" s="160"/>
    </row>
    <row r="637" spans="1:31" ht="21.25" customHeight="1" x14ac:dyDescent="0.15">
      <c r="A637" s="8" t="s">
        <v>820</v>
      </c>
      <c r="B637" s="157" t="s">
        <v>900</v>
      </c>
      <c r="C637" s="158">
        <v>29</v>
      </c>
      <c r="D637" s="157" t="s">
        <v>858</v>
      </c>
      <c r="E637" s="59">
        <v>56.997142857142897</v>
      </c>
      <c r="F637" s="159">
        <v>7.8000427177591503</v>
      </c>
      <c r="G637" s="160">
        <v>4.5041518984747099E-2</v>
      </c>
      <c r="H637" s="160">
        <v>0.103163510477208</v>
      </c>
      <c r="I637" s="160">
        <v>0.14820502946195499</v>
      </c>
      <c r="J637" s="160">
        <v>0.436124211535937</v>
      </c>
      <c r="K637" s="160">
        <v>2.8724227664233702E-4</v>
      </c>
      <c r="L637" s="160">
        <v>7.5964561001397703E-4</v>
      </c>
      <c r="M637" s="160">
        <v>0</v>
      </c>
      <c r="N637" s="160">
        <v>0</v>
      </c>
      <c r="O637" s="160">
        <v>0.32821367557095399</v>
      </c>
      <c r="P637" s="160">
        <v>1.7232794022019799</v>
      </c>
      <c r="Q637" s="160">
        <v>-7.0831733649582901E-3</v>
      </c>
      <c r="R637" s="160">
        <v>0.59186086593680998</v>
      </c>
      <c r="S637" s="160">
        <v>6.9598991710545701E-3</v>
      </c>
      <c r="T637" s="160">
        <v>2.2584926771724599E-2</v>
      </c>
      <c r="U637" s="160">
        <v>5.1372242462093903E-2</v>
      </c>
      <c r="V637" s="160">
        <v>0.30537846439635202</v>
      </c>
      <c r="W637" s="160"/>
      <c r="X637" s="59"/>
      <c r="Y637" s="160"/>
      <c r="Z637" s="160"/>
      <c r="AA637" s="160"/>
      <c r="AB637" s="160"/>
      <c r="AC637" s="159"/>
      <c r="AD637" s="161"/>
      <c r="AE637" s="160"/>
    </row>
    <row r="638" spans="1:31" ht="21.25" customHeight="1" x14ac:dyDescent="0.15">
      <c r="A638" s="8" t="s">
        <v>690</v>
      </c>
      <c r="B638" s="157" t="s">
        <v>870</v>
      </c>
      <c r="C638" s="158">
        <v>27</v>
      </c>
      <c r="D638" s="157" t="s">
        <v>860</v>
      </c>
      <c r="E638" s="59">
        <v>62.94</v>
      </c>
      <c r="F638" s="159">
        <v>13.422103152379799</v>
      </c>
      <c r="G638" s="160">
        <v>1.90413893125226E-2</v>
      </c>
      <c r="H638" s="160">
        <v>0.12735199304999401</v>
      </c>
      <c r="I638" s="160">
        <v>0.146393382362517</v>
      </c>
      <c r="J638" s="160">
        <v>0.60883631534303695</v>
      </c>
      <c r="K638" s="160">
        <v>1.6579510154795499E-4</v>
      </c>
      <c r="L638" s="160">
        <v>1.1411091929597499E-3</v>
      </c>
      <c r="M638" s="160">
        <v>7.4137492974737896E-4</v>
      </c>
      <c r="N638" s="160">
        <v>1.8926463335651799E-2</v>
      </c>
      <c r="O638" s="160">
        <v>1.22979946471937</v>
      </c>
      <c r="P638" s="160">
        <v>1.2308798889755099</v>
      </c>
      <c r="Q638" s="160">
        <v>7.0720344234057195E-2</v>
      </c>
      <c r="R638" s="160">
        <v>0.57909440828835002</v>
      </c>
      <c r="S638" s="160">
        <v>3.0140475069963999E-3</v>
      </c>
      <c r="T638" s="160">
        <v>0</v>
      </c>
      <c r="U638" s="160">
        <v>0</v>
      </c>
      <c r="V638" s="160">
        <v>0</v>
      </c>
      <c r="W638" s="160"/>
      <c r="X638" s="59"/>
      <c r="Y638" s="160"/>
      <c r="Z638" s="160"/>
      <c r="AA638" s="160"/>
      <c r="AB638" s="160"/>
      <c r="AC638" s="159"/>
      <c r="AD638" s="161"/>
      <c r="AE638" s="160"/>
    </row>
    <row r="639" spans="1:31" ht="21.25" customHeight="1" x14ac:dyDescent="0.15">
      <c r="A639" s="8" t="s">
        <v>796</v>
      </c>
      <c r="B639" s="157" t="s">
        <v>894</v>
      </c>
      <c r="C639" s="158">
        <v>30</v>
      </c>
      <c r="D639" s="157" t="s">
        <v>877</v>
      </c>
      <c r="E639" s="59">
        <v>67.312142857142902</v>
      </c>
      <c r="F639" s="159">
        <v>8.7664395912549296</v>
      </c>
      <c r="G639" s="160">
        <v>6.6447087992405895E-2</v>
      </c>
      <c r="H639" s="160">
        <v>7.9778056891236807E-2</v>
      </c>
      <c r="I639" s="160">
        <v>0.14622514488364299</v>
      </c>
      <c r="J639" s="160">
        <v>0.82761515114744799</v>
      </c>
      <c r="K639" s="160">
        <v>7.1101090572326601E-4</v>
      </c>
      <c r="L639" s="160">
        <v>1.83101761294968E-3</v>
      </c>
      <c r="M639" s="160">
        <v>6.7737633420300895E-4</v>
      </c>
      <c r="N639" s="160">
        <v>9.0977568407740099E-4</v>
      </c>
      <c r="O639" s="160">
        <v>0.42742183790014998</v>
      </c>
      <c r="P639" s="160">
        <v>1.22495307596894</v>
      </c>
      <c r="Q639" s="160">
        <v>1.07662293792791E-2</v>
      </c>
      <c r="R639" s="160">
        <v>0.27681353840535</v>
      </c>
      <c r="S639" s="160">
        <v>1.11031921251557E-2</v>
      </c>
      <c r="T639" s="160">
        <v>2.3510067958187801</v>
      </c>
      <c r="U639" s="160">
        <v>2.9314093975098801</v>
      </c>
      <c r="V639" s="160">
        <v>0.44506277237070901</v>
      </c>
      <c r="W639" s="160"/>
      <c r="X639" s="59"/>
      <c r="Y639" s="160"/>
      <c r="Z639" s="160"/>
      <c r="AA639" s="160"/>
      <c r="AB639" s="160"/>
      <c r="AC639" s="159"/>
      <c r="AD639" s="161"/>
      <c r="AE639" s="160"/>
    </row>
    <row r="640" spans="1:31" ht="21.25" customHeight="1" x14ac:dyDescent="0.15">
      <c r="A640" s="8" t="s">
        <v>622</v>
      </c>
      <c r="B640" s="157" t="s">
        <v>902</v>
      </c>
      <c r="C640" s="158">
        <v>30</v>
      </c>
      <c r="D640" s="157" t="s">
        <v>860</v>
      </c>
      <c r="E640" s="59">
        <v>66.617142857142895</v>
      </c>
      <c r="F640" s="159">
        <v>16.6649331566183</v>
      </c>
      <c r="G640" s="160">
        <v>4.0078199476839098E-2</v>
      </c>
      <c r="H640" s="160">
        <v>0.10555221033366199</v>
      </c>
      <c r="I640" s="160">
        <v>0.14563040981050099</v>
      </c>
      <c r="J640" s="160">
        <v>1.00629643598972</v>
      </c>
      <c r="K640" s="160">
        <v>1.44078022158807E-3</v>
      </c>
      <c r="L640" s="160">
        <v>9.9776601781564594E-3</v>
      </c>
      <c r="M640" s="160">
        <v>4.43464116454468E-4</v>
      </c>
      <c r="N640" s="160">
        <v>1.6823529734875599E-3</v>
      </c>
      <c r="O640" s="160">
        <v>1.55498915261157</v>
      </c>
      <c r="P640" s="160">
        <v>2.0447320339149502</v>
      </c>
      <c r="Q640" s="160">
        <v>-1.0186786911233999E-2</v>
      </c>
      <c r="R640" s="160">
        <v>0.51135461516395897</v>
      </c>
      <c r="S640" s="160">
        <v>4.8663648608447303E-3</v>
      </c>
      <c r="T640" s="160">
        <v>0</v>
      </c>
      <c r="U640" s="160">
        <v>0</v>
      </c>
      <c r="V640" s="160">
        <v>0</v>
      </c>
      <c r="W640" s="160"/>
      <c r="X640" s="59"/>
      <c r="Y640" s="160"/>
      <c r="Z640" s="160"/>
      <c r="AA640" s="160"/>
      <c r="AB640" s="160"/>
      <c r="AC640" s="159"/>
      <c r="AD640" s="161"/>
      <c r="AE640" s="160"/>
    </row>
    <row r="641" spans="1:31" ht="21.25" customHeight="1" x14ac:dyDescent="0.15">
      <c r="A641" s="8" t="s">
        <v>786</v>
      </c>
      <c r="B641" s="157" t="s">
        <v>902</v>
      </c>
      <c r="C641" s="158">
        <v>25</v>
      </c>
      <c r="D641" s="157" t="s">
        <v>859</v>
      </c>
      <c r="E641" s="59">
        <v>63.057857142857102</v>
      </c>
      <c r="F641" s="159">
        <v>7.0133333333333301</v>
      </c>
      <c r="G641" s="160">
        <v>5.8918620019326101E-2</v>
      </c>
      <c r="H641" s="160">
        <v>8.1479512663992906E-2</v>
      </c>
      <c r="I641" s="160">
        <v>0.14039813268331999</v>
      </c>
      <c r="J641" s="160">
        <v>0.80222857780332402</v>
      </c>
      <c r="K641" s="160">
        <v>7.0487274472483003E-4</v>
      </c>
      <c r="L641" s="160">
        <v>1.78944883120838E-3</v>
      </c>
      <c r="M641" s="160">
        <v>6.1834281696098405E-5</v>
      </c>
      <c r="N641" s="160">
        <v>1.13472186718397E-4</v>
      </c>
      <c r="O641" s="160">
        <v>0.27025939941407201</v>
      </c>
      <c r="P641" s="160">
        <v>1.4914890420034299</v>
      </c>
      <c r="Q641" s="160">
        <v>-5.6946759346839602E-3</v>
      </c>
      <c r="R641" s="160">
        <v>0.79386786399522802</v>
      </c>
      <c r="S641" s="160">
        <v>7.1540015732793503E-3</v>
      </c>
      <c r="T641" s="160">
        <v>1.8803059729299301E-3</v>
      </c>
      <c r="U641" s="160">
        <v>5.9770116971454299E-3</v>
      </c>
      <c r="V641" s="160">
        <v>0.239306344974581</v>
      </c>
      <c r="W641" s="160"/>
      <c r="X641" s="59"/>
      <c r="Y641" s="160"/>
      <c r="Z641" s="160"/>
      <c r="AA641" s="160"/>
      <c r="AB641" s="160"/>
      <c r="AC641" s="159"/>
      <c r="AD641" s="161"/>
      <c r="AE641" s="160"/>
    </row>
    <row r="642" spans="1:31" ht="21.25" customHeight="1" x14ac:dyDescent="0.15">
      <c r="A642" s="8" t="s">
        <v>693</v>
      </c>
      <c r="B642" s="157" t="s">
        <v>892</v>
      </c>
      <c r="C642" s="158">
        <v>22</v>
      </c>
      <c r="D642" s="157" t="s">
        <v>860</v>
      </c>
      <c r="E642" s="59">
        <v>64.232142857142904</v>
      </c>
      <c r="F642" s="159">
        <v>14.1809713689024</v>
      </c>
      <c r="G642" s="160">
        <v>1.7842052596420601E-2</v>
      </c>
      <c r="H642" s="160">
        <v>0.122272679711418</v>
      </c>
      <c r="I642" s="160">
        <v>0.140114732307839</v>
      </c>
      <c r="J642" s="160">
        <v>0.78658399148091995</v>
      </c>
      <c r="K642" s="160">
        <v>2.0550518426727099E-4</v>
      </c>
      <c r="L642" s="160">
        <v>1.30551979808765E-3</v>
      </c>
      <c r="M642" s="160">
        <v>4.3505123285150402E-4</v>
      </c>
      <c r="N642" s="160">
        <v>1.51401001944191E-3</v>
      </c>
      <c r="O642" s="160">
        <v>0.91161559773384304</v>
      </c>
      <c r="P642" s="160">
        <v>1.0702676552063499</v>
      </c>
      <c r="Q642" s="160">
        <v>-9.4447780002322995E-3</v>
      </c>
      <c r="R642" s="160">
        <v>0.24676381680068199</v>
      </c>
      <c r="S642" s="160">
        <v>2.64889948105439E-3</v>
      </c>
      <c r="T642" s="160">
        <v>0</v>
      </c>
      <c r="U642" s="160">
        <v>0</v>
      </c>
      <c r="V642" s="160">
        <v>0</v>
      </c>
      <c r="W642" s="160"/>
      <c r="X642" s="59"/>
      <c r="Y642" s="160"/>
      <c r="Z642" s="160"/>
      <c r="AA642" s="160"/>
      <c r="AB642" s="160"/>
      <c r="AC642" s="159"/>
      <c r="AD642" s="161"/>
      <c r="AE642" s="160"/>
    </row>
    <row r="643" spans="1:31" ht="21.25" customHeight="1" x14ac:dyDescent="0.15">
      <c r="A643" s="8" t="s">
        <v>778</v>
      </c>
      <c r="B643" s="157" t="s">
        <v>899</v>
      </c>
      <c r="C643" s="158">
        <v>32</v>
      </c>
      <c r="D643" s="157" t="s">
        <v>858</v>
      </c>
      <c r="E643" s="59">
        <v>80.512500000000003</v>
      </c>
      <c r="F643" s="159">
        <v>9.5094357328506103</v>
      </c>
      <c r="G643" s="160">
        <v>6.8854548181724595E-2</v>
      </c>
      <c r="H643" s="160">
        <v>6.9080247014389501E-2</v>
      </c>
      <c r="I643" s="160">
        <v>0.13793479519611501</v>
      </c>
      <c r="J643" s="160">
        <v>0.92061791665256199</v>
      </c>
      <c r="K643" s="160">
        <v>6.0538683058592195E-4</v>
      </c>
      <c r="L643" s="160">
        <v>1.54671537935922E-3</v>
      </c>
      <c r="M643" s="160">
        <v>1.6308066519649001E-3</v>
      </c>
      <c r="N643" s="160">
        <v>1.89645371181739E-3</v>
      </c>
      <c r="O643" s="160">
        <v>0.351741260458102</v>
      </c>
      <c r="P643" s="160">
        <v>3.1387297525104998</v>
      </c>
      <c r="Q643" s="160">
        <v>-8.6773017535244898E-2</v>
      </c>
      <c r="R643" s="160">
        <v>0.81757269380377695</v>
      </c>
      <c r="S643" s="160">
        <v>8.0935520983722101E-3</v>
      </c>
      <c r="T643" s="160">
        <v>2.8090992494820399E-2</v>
      </c>
      <c r="U643" s="160">
        <v>8.0085919678536996E-2</v>
      </c>
      <c r="V643" s="160">
        <v>0.25967641274326198</v>
      </c>
      <c r="W643" s="160"/>
      <c r="X643" s="59"/>
      <c r="Y643" s="160"/>
      <c r="Z643" s="160"/>
      <c r="AA643" s="160"/>
      <c r="AB643" s="160"/>
      <c r="AC643" s="159"/>
      <c r="AD643" s="161"/>
      <c r="AE643" s="160"/>
    </row>
    <row r="644" spans="1:31" ht="21.25" customHeight="1" x14ac:dyDescent="0.15">
      <c r="A644" s="8" t="s">
        <v>666</v>
      </c>
      <c r="B644" s="157" t="s">
        <v>876</v>
      </c>
      <c r="C644" s="158">
        <v>34</v>
      </c>
      <c r="D644" s="157" t="s">
        <v>860</v>
      </c>
      <c r="E644" s="59">
        <v>60</v>
      </c>
      <c r="F644" s="159">
        <v>15.516924059044699</v>
      </c>
      <c r="G644" s="160">
        <v>4.2573409270566701E-2</v>
      </c>
      <c r="H644" s="160">
        <v>9.3409728363529301E-2</v>
      </c>
      <c r="I644" s="160">
        <v>0.135983137634096</v>
      </c>
      <c r="J644" s="160">
        <v>1.0821740094478001</v>
      </c>
      <c r="K644" s="160">
        <v>2.53601772704952E-4</v>
      </c>
      <c r="L644" s="160">
        <v>1.7415159989152299E-3</v>
      </c>
      <c r="M644" s="160">
        <v>4.2650577546318199E-4</v>
      </c>
      <c r="N644" s="160">
        <v>8.2252366074315898E-3</v>
      </c>
      <c r="O644" s="160">
        <v>1.1990746636818299</v>
      </c>
      <c r="P644" s="160">
        <v>1.6340370284632999</v>
      </c>
      <c r="Q644" s="160">
        <v>-2.0033580670458799E-3</v>
      </c>
      <c r="R644" s="160">
        <v>0.91592072856226503</v>
      </c>
      <c r="S644" s="160">
        <v>6.2664058408328401E-3</v>
      </c>
      <c r="T644" s="160">
        <v>0</v>
      </c>
      <c r="U644" s="160">
        <v>0</v>
      </c>
      <c r="V644" s="160">
        <v>0</v>
      </c>
      <c r="W644" s="160"/>
      <c r="X644" s="59"/>
      <c r="Y644" s="160"/>
      <c r="Z644" s="160"/>
      <c r="AA644" s="160"/>
      <c r="AB644" s="160"/>
      <c r="AC644" s="159"/>
      <c r="AD644" s="161"/>
      <c r="AE644" s="160"/>
    </row>
    <row r="645" spans="1:31" ht="21.25" customHeight="1" x14ac:dyDescent="0.15">
      <c r="A645" s="8" t="s">
        <v>712</v>
      </c>
      <c r="B645" s="157" t="s">
        <v>878</v>
      </c>
      <c r="C645" s="158">
        <v>32</v>
      </c>
      <c r="D645" s="157" t="s">
        <v>860</v>
      </c>
      <c r="E645" s="59">
        <v>63.79</v>
      </c>
      <c r="F645" s="159">
        <v>11.6366267744312</v>
      </c>
      <c r="G645" s="160">
        <v>2.1426583036754401E-2</v>
      </c>
      <c r="H645" s="160">
        <v>0.108707071345384</v>
      </c>
      <c r="I645" s="160">
        <v>0.130133654382139</v>
      </c>
      <c r="J645" s="160">
        <v>0.60566481548481299</v>
      </c>
      <c r="K645" s="160">
        <v>9.7324023671183996E-5</v>
      </c>
      <c r="L645" s="160">
        <v>7.1296268657793701E-4</v>
      </c>
      <c r="M645" s="160">
        <v>3.2510482879340102E-5</v>
      </c>
      <c r="N645" s="160">
        <v>1.3046614538252601E-4</v>
      </c>
      <c r="O645" s="160">
        <v>0.92936352461884797</v>
      </c>
      <c r="P645" s="160">
        <v>1.1091879838501399</v>
      </c>
      <c r="Q645" s="160">
        <v>5.2947469254623902E-2</v>
      </c>
      <c r="R645" s="160">
        <v>0.26513784341027902</v>
      </c>
      <c r="S645" s="160">
        <v>3.4281013916667002E-3</v>
      </c>
      <c r="T645" s="160">
        <v>0</v>
      </c>
      <c r="U645" s="160">
        <v>0</v>
      </c>
      <c r="V645" s="160">
        <v>0</v>
      </c>
      <c r="W645" s="160"/>
      <c r="X645" s="59"/>
      <c r="Y645" s="160"/>
      <c r="Z645" s="160"/>
      <c r="AA645" s="160"/>
      <c r="AB645" s="160"/>
      <c r="AC645" s="159"/>
      <c r="AD645" s="161"/>
      <c r="AE645" s="160"/>
    </row>
    <row r="646" spans="1:31" ht="21.25" customHeight="1" x14ac:dyDescent="0.15">
      <c r="A646" s="8" t="s">
        <v>662</v>
      </c>
      <c r="B646" s="157" t="s">
        <v>883</v>
      </c>
      <c r="C646" s="158">
        <v>33</v>
      </c>
      <c r="D646" s="157" t="s">
        <v>860</v>
      </c>
      <c r="E646" s="59">
        <v>69.556785714285695</v>
      </c>
      <c r="F646" s="159">
        <v>14.8011747938944</v>
      </c>
      <c r="G646" s="160">
        <v>2.9768563191821799E-2</v>
      </c>
      <c r="H646" s="160">
        <v>9.78408544822707E-2</v>
      </c>
      <c r="I646" s="160">
        <v>0.12760941767409301</v>
      </c>
      <c r="J646" s="160">
        <v>0.88626460313066702</v>
      </c>
      <c r="K646" s="160">
        <v>9.5313473370110908E-6</v>
      </c>
      <c r="L646" s="160">
        <v>6.8120872225742904E-5</v>
      </c>
      <c r="M646" s="160">
        <v>3.7123425184924802E-4</v>
      </c>
      <c r="N646" s="160">
        <v>2.0723736243292799E-3</v>
      </c>
      <c r="O646" s="160">
        <v>1.1444246097825399</v>
      </c>
      <c r="P646" s="160">
        <v>1.7355825993370699</v>
      </c>
      <c r="Q646" s="160">
        <v>2.3203796723899901E-2</v>
      </c>
      <c r="R646" s="160">
        <v>0.33099872057978802</v>
      </c>
      <c r="S646" s="160">
        <v>4.73764786671238E-3</v>
      </c>
      <c r="T646" s="160">
        <v>0</v>
      </c>
      <c r="U646" s="160">
        <v>0</v>
      </c>
      <c r="V646" s="160">
        <v>0</v>
      </c>
      <c r="W646" s="160"/>
      <c r="X646" s="59"/>
      <c r="Y646" s="160"/>
      <c r="Z646" s="160"/>
      <c r="AA646" s="160"/>
      <c r="AB646" s="160"/>
      <c r="AC646" s="159"/>
      <c r="AD646" s="161"/>
      <c r="AE646" s="160"/>
    </row>
    <row r="647" spans="1:31" ht="21.25" customHeight="1" x14ac:dyDescent="0.15">
      <c r="A647" s="8" t="s">
        <v>828</v>
      </c>
      <c r="B647" s="157" t="s">
        <v>902</v>
      </c>
      <c r="C647" s="158">
        <v>32</v>
      </c>
      <c r="D647" s="157" t="s">
        <v>857</v>
      </c>
      <c r="E647" s="59">
        <v>66.974642857142896</v>
      </c>
      <c r="F647" s="159">
        <v>9.1511688311688406</v>
      </c>
      <c r="G647" s="160">
        <v>4.3929200682098199E-2</v>
      </c>
      <c r="H647" s="160">
        <v>8.2617066145884099E-2</v>
      </c>
      <c r="I647" s="160">
        <v>0.12654626682798301</v>
      </c>
      <c r="J647" s="160">
        <v>0.82106042885785102</v>
      </c>
      <c r="K647" s="160">
        <v>6.8976708781743798E-4</v>
      </c>
      <c r="L647" s="160">
        <v>1.9033418916683199E-3</v>
      </c>
      <c r="M647" s="160">
        <v>2.9186318434788398E-3</v>
      </c>
      <c r="N647" s="160">
        <v>4.14126231006427E-3</v>
      </c>
      <c r="O647" s="160">
        <v>0.442269968832673</v>
      </c>
      <c r="P647" s="160">
        <v>1.47758294574502</v>
      </c>
      <c r="Q647" s="160">
        <v>-7.1661163253992702E-3</v>
      </c>
      <c r="R647" s="160">
        <v>0.29670940911966598</v>
      </c>
      <c r="S647" s="160">
        <v>5.3339601417947396E-3</v>
      </c>
      <c r="T647" s="160">
        <v>2.2457067827879</v>
      </c>
      <c r="U647" s="160">
        <v>2.1418751395269902</v>
      </c>
      <c r="V647" s="160">
        <v>0.51183244496619396</v>
      </c>
      <c r="W647" s="160"/>
      <c r="X647" s="59"/>
      <c r="Y647" s="160"/>
      <c r="Z647" s="160"/>
      <c r="AA647" s="160"/>
      <c r="AB647" s="160"/>
      <c r="AC647" s="159"/>
      <c r="AD647" s="161"/>
      <c r="AE647" s="160"/>
    </row>
    <row r="648" spans="1:31" ht="21.25" customHeight="1" x14ac:dyDescent="0.15">
      <c r="A648" s="8" t="s">
        <v>645</v>
      </c>
      <c r="B648" s="157" t="s">
        <v>872</v>
      </c>
      <c r="C648" s="158">
        <v>33</v>
      </c>
      <c r="D648" s="157" t="s">
        <v>860</v>
      </c>
      <c r="E648" s="59">
        <v>69.354285714285695</v>
      </c>
      <c r="F648" s="159">
        <v>14.8542998791191</v>
      </c>
      <c r="G648" s="160">
        <v>2.8813693156257401E-2</v>
      </c>
      <c r="H648" s="160">
        <v>9.6338433512044894E-2</v>
      </c>
      <c r="I648" s="160">
        <v>0.125152126668302</v>
      </c>
      <c r="J648" s="160">
        <v>1.1007080429568401</v>
      </c>
      <c r="K648" s="160">
        <v>6.7836587346185094E-5</v>
      </c>
      <c r="L648" s="160">
        <v>4.86456596391901E-4</v>
      </c>
      <c r="M648" s="160">
        <v>2.2340278425184599E-4</v>
      </c>
      <c r="N648" s="160">
        <v>8.77599469534352E-4</v>
      </c>
      <c r="O648" s="160">
        <v>0.98705708333800701</v>
      </c>
      <c r="P648" s="160">
        <v>2.0410589528188798</v>
      </c>
      <c r="Q648" s="160">
        <v>-7.9295265966235103E-3</v>
      </c>
      <c r="R648" s="160">
        <v>0.57797240516561599</v>
      </c>
      <c r="S648" s="160">
        <v>4.5093534455463297E-3</v>
      </c>
      <c r="T648" s="160">
        <v>6.2249817503592904E-3</v>
      </c>
      <c r="U648" s="160">
        <v>9.0062572017273503E-3</v>
      </c>
      <c r="V648" s="160">
        <v>0.40869831862932499</v>
      </c>
      <c r="W648" s="160"/>
      <c r="X648" s="59"/>
      <c r="Y648" s="160"/>
      <c r="Z648" s="160"/>
      <c r="AA648" s="160"/>
      <c r="AB648" s="160"/>
      <c r="AC648" s="159"/>
      <c r="AD648" s="161"/>
      <c r="AE648" s="160"/>
    </row>
    <row r="649" spans="1:31" ht="21.25" customHeight="1" x14ac:dyDescent="0.15">
      <c r="A649" s="8" t="s">
        <v>812</v>
      </c>
      <c r="B649" s="157" t="s">
        <v>872</v>
      </c>
      <c r="C649" s="158">
        <v>34</v>
      </c>
      <c r="D649" s="157" t="s">
        <v>857</v>
      </c>
      <c r="E649" s="59">
        <v>79.607142857142904</v>
      </c>
      <c r="F649" s="159">
        <v>11.5499818994991</v>
      </c>
      <c r="G649" s="160">
        <v>5.7012153744180401E-2</v>
      </c>
      <c r="H649" s="160">
        <v>5.94036509954095E-2</v>
      </c>
      <c r="I649" s="160">
        <v>0.11641580473959</v>
      </c>
      <c r="J649" s="160">
        <v>0.99371594035219402</v>
      </c>
      <c r="K649" s="160">
        <v>5.9004348501283496E-4</v>
      </c>
      <c r="L649" s="160">
        <v>1.51784563277502E-3</v>
      </c>
      <c r="M649" s="160">
        <v>9.0423717763848995E-3</v>
      </c>
      <c r="N649" s="160">
        <v>1.4676874574223E-2</v>
      </c>
      <c r="O649" s="160">
        <v>0.69834317770338705</v>
      </c>
      <c r="P649" s="160">
        <v>1.6178756535743199</v>
      </c>
      <c r="Q649" s="160">
        <v>-1.5761261076221798E-2</v>
      </c>
      <c r="R649" s="160">
        <v>0.28435586401844298</v>
      </c>
      <c r="S649" s="160">
        <v>8.9224227706646998E-3</v>
      </c>
      <c r="T649" s="160">
        <v>5.1267279938683199</v>
      </c>
      <c r="U649" s="160">
        <v>3.52147951325728</v>
      </c>
      <c r="V649" s="160">
        <v>0.59280816165016903</v>
      </c>
      <c r="W649" s="160"/>
      <c r="X649" s="59"/>
      <c r="Y649" s="160"/>
      <c r="Z649" s="160"/>
      <c r="AA649" s="160"/>
      <c r="AB649" s="160"/>
      <c r="AC649" s="159"/>
      <c r="AD649" s="161"/>
      <c r="AE649" s="160"/>
    </row>
    <row r="650" spans="1:31" ht="21.25" customHeight="1" x14ac:dyDescent="0.15">
      <c r="A650" s="8" t="s">
        <v>728</v>
      </c>
      <c r="B650" s="157" t="s">
        <v>892</v>
      </c>
      <c r="C650" s="158">
        <v>27</v>
      </c>
      <c r="D650" s="157" t="s">
        <v>860</v>
      </c>
      <c r="E650" s="59">
        <v>56.342500000000001</v>
      </c>
      <c r="F650" s="159">
        <v>12.1771539165153</v>
      </c>
      <c r="G650" s="160">
        <v>1.68555523123174E-2</v>
      </c>
      <c r="H650" s="160">
        <v>9.9242036544788997E-2</v>
      </c>
      <c r="I650" s="160">
        <v>0.116097588857106</v>
      </c>
      <c r="J650" s="160">
        <v>0.70697648112896705</v>
      </c>
      <c r="K650" s="160">
        <v>5.4331080132321797E-5</v>
      </c>
      <c r="L650" s="160">
        <v>3.7507412023607601E-4</v>
      </c>
      <c r="M650" s="160">
        <v>5.2156801141710102E-4</v>
      </c>
      <c r="N650" s="160">
        <v>1.9724562234813398E-3</v>
      </c>
      <c r="O650" s="160">
        <v>0.81409411576688495</v>
      </c>
      <c r="P650" s="160">
        <v>1.99212363209221</v>
      </c>
      <c r="Q650" s="160">
        <v>-4.9380541398909099E-4</v>
      </c>
      <c r="R650" s="160">
        <v>0.53054729367833997</v>
      </c>
      <c r="S650" s="160">
        <v>2.5024398696111799E-3</v>
      </c>
      <c r="T650" s="160">
        <v>0</v>
      </c>
      <c r="U650" s="160">
        <v>0</v>
      </c>
      <c r="V650" s="160">
        <v>0</v>
      </c>
      <c r="W650" s="160"/>
      <c r="X650" s="59"/>
      <c r="Y650" s="160"/>
      <c r="Z650" s="160"/>
      <c r="AA650" s="160"/>
      <c r="AB650" s="160"/>
      <c r="AC650" s="159"/>
      <c r="AD650" s="161"/>
      <c r="AE650" s="160"/>
    </row>
    <row r="651" spans="1:31" ht="21.25" customHeight="1" x14ac:dyDescent="0.15">
      <c r="A651" s="8" t="s">
        <v>638</v>
      </c>
      <c r="B651" s="157" t="s">
        <v>887</v>
      </c>
      <c r="C651" s="158">
        <v>29</v>
      </c>
      <c r="D651" s="157" t="s">
        <v>860</v>
      </c>
      <c r="E651" s="59">
        <v>71.027142857142906</v>
      </c>
      <c r="F651" s="159">
        <v>15.4397341795776</v>
      </c>
      <c r="G651" s="160">
        <v>3.0211894957573201E-2</v>
      </c>
      <c r="H651" s="160">
        <v>8.5515267970203798E-2</v>
      </c>
      <c r="I651" s="160">
        <v>0.115727162927777</v>
      </c>
      <c r="J651" s="160">
        <v>0.93669946944429106</v>
      </c>
      <c r="K651" s="160">
        <v>1.5607836584964301E-4</v>
      </c>
      <c r="L651" s="160">
        <v>1.0875300141632599E-3</v>
      </c>
      <c r="M651" s="160">
        <v>3.6340261954202898E-4</v>
      </c>
      <c r="N651" s="160">
        <v>1.9777924231015099E-3</v>
      </c>
      <c r="O651" s="160">
        <v>1.5273680058941499</v>
      </c>
      <c r="P651" s="160">
        <v>2.0053835609461999</v>
      </c>
      <c r="Q651" s="160">
        <v>-6.7260571671697703E-2</v>
      </c>
      <c r="R651" s="160">
        <v>0.81375340448449596</v>
      </c>
      <c r="S651" s="160">
        <v>3.7236159261231699E-3</v>
      </c>
      <c r="T651" s="160">
        <v>0</v>
      </c>
      <c r="U651" s="160">
        <v>0</v>
      </c>
      <c r="V651" s="160">
        <v>0</v>
      </c>
      <c r="W651" s="160"/>
      <c r="X651" s="59"/>
      <c r="Y651" s="160"/>
      <c r="Z651" s="160"/>
      <c r="AA651" s="160"/>
      <c r="AB651" s="160"/>
      <c r="AC651" s="159"/>
      <c r="AD651" s="161"/>
      <c r="AE651" s="160"/>
    </row>
    <row r="652" spans="1:31" ht="21.25" customHeight="1" x14ac:dyDescent="0.15">
      <c r="A652" s="8" t="s">
        <v>654</v>
      </c>
      <c r="B652" s="157" t="s">
        <v>872</v>
      </c>
      <c r="C652" s="158">
        <v>27</v>
      </c>
      <c r="D652" s="157" t="s">
        <v>860</v>
      </c>
      <c r="E652" s="59">
        <v>64.979642857142906</v>
      </c>
      <c r="F652" s="159">
        <v>14.360922533766599</v>
      </c>
      <c r="G652" s="160">
        <v>4.0165064294709903E-2</v>
      </c>
      <c r="H652" s="160">
        <v>7.1107368193044404E-2</v>
      </c>
      <c r="I652" s="160">
        <v>0.11127243248775399</v>
      </c>
      <c r="J652" s="160">
        <v>1.2036133146836401</v>
      </c>
      <c r="K652" s="160">
        <v>1.51353124126443E-4</v>
      </c>
      <c r="L652" s="160">
        <v>1.0485668930155199E-3</v>
      </c>
      <c r="M652" s="160">
        <v>2.5466536751072601E-4</v>
      </c>
      <c r="N652" s="160">
        <v>9.6650099508900395E-4</v>
      </c>
      <c r="O652" s="160">
        <v>1.1647943908924201</v>
      </c>
      <c r="P652" s="160">
        <v>1.3189257503515699</v>
      </c>
      <c r="Q652" s="160">
        <v>-1.0008199364584301E-2</v>
      </c>
      <c r="R652" s="160">
        <v>0.26006758006585501</v>
      </c>
      <c r="S652" s="160">
        <v>6.2858471521068E-3</v>
      </c>
      <c r="T652" s="160">
        <v>0</v>
      </c>
      <c r="U652" s="160">
        <v>0</v>
      </c>
      <c r="V652" s="160">
        <v>0</v>
      </c>
      <c r="W652" s="160"/>
      <c r="X652" s="59"/>
      <c r="Y652" s="160"/>
      <c r="Z652" s="160"/>
      <c r="AA652" s="160"/>
      <c r="AB652" s="160"/>
      <c r="AC652" s="159"/>
      <c r="AD652" s="161"/>
      <c r="AE652" s="160"/>
    </row>
    <row r="653" spans="1:31" ht="21.25" customHeight="1" x14ac:dyDescent="0.15">
      <c r="A653" s="8" t="s">
        <v>670</v>
      </c>
      <c r="B653" s="157" t="s">
        <v>882</v>
      </c>
      <c r="C653" s="158">
        <v>35</v>
      </c>
      <c r="D653" s="157" t="s">
        <v>860</v>
      </c>
      <c r="E653" s="59">
        <v>64.679285714285697</v>
      </c>
      <c r="F653" s="159">
        <v>12.3715106346037</v>
      </c>
      <c r="G653" s="160">
        <v>2.5371611675409599E-2</v>
      </c>
      <c r="H653" s="160">
        <v>7.7601819765585903E-2</v>
      </c>
      <c r="I653" s="160">
        <v>0.10297343144099499</v>
      </c>
      <c r="J653" s="160">
        <v>1.1923009986473501</v>
      </c>
      <c r="K653" s="160">
        <v>2.3534879868482E-5</v>
      </c>
      <c r="L653" s="160">
        <v>1.6917633940504001E-4</v>
      </c>
      <c r="M653" s="160">
        <v>9.0484717914126201E-5</v>
      </c>
      <c r="N653" s="160">
        <v>3.5631207483893801E-4</v>
      </c>
      <c r="O653" s="160">
        <v>1.0428027706941201</v>
      </c>
      <c r="P653" s="160">
        <v>1.6335277738846199</v>
      </c>
      <c r="Q653" s="160">
        <v>-8.7270043247608797E-3</v>
      </c>
      <c r="R653" s="160">
        <v>0.46692058132471298</v>
      </c>
      <c r="S653" s="160">
        <v>3.5915964421679601E-3</v>
      </c>
      <c r="T653" s="160">
        <v>0</v>
      </c>
      <c r="U653" s="160">
        <v>0</v>
      </c>
      <c r="V653" s="160">
        <v>0</v>
      </c>
      <c r="W653" s="160"/>
      <c r="X653" s="59"/>
      <c r="Y653" s="160"/>
      <c r="Z653" s="160"/>
      <c r="AA653" s="160"/>
      <c r="AB653" s="160"/>
      <c r="AC653" s="159"/>
      <c r="AD653" s="161"/>
      <c r="AE653" s="160"/>
    </row>
    <row r="654" spans="1:31" ht="21.25" customHeight="1" x14ac:dyDescent="0.15">
      <c r="A654" s="8" t="s">
        <v>699</v>
      </c>
      <c r="B654" s="157" t="s">
        <v>885</v>
      </c>
      <c r="C654" s="158">
        <v>34</v>
      </c>
      <c r="D654" s="157" t="s">
        <v>860</v>
      </c>
      <c r="E654" s="59">
        <v>71.527142857142906</v>
      </c>
      <c r="F654" s="159">
        <v>12.795894607701699</v>
      </c>
      <c r="G654" s="160">
        <v>2.0247322718986601E-2</v>
      </c>
      <c r="H654" s="160">
        <v>7.0576592598436599E-2</v>
      </c>
      <c r="I654" s="160">
        <v>9.0823915317423204E-2</v>
      </c>
      <c r="J654" s="160">
        <v>0.68185988906226802</v>
      </c>
      <c r="K654" s="160">
        <v>1.3782873688893501E-4</v>
      </c>
      <c r="L654" s="160">
        <v>1.01390115964983E-3</v>
      </c>
      <c r="M654" s="160">
        <v>3.2793423372789998E-4</v>
      </c>
      <c r="N654" s="160">
        <v>1.8842421406772101E-3</v>
      </c>
      <c r="O654" s="160">
        <v>1.15520774627873</v>
      </c>
      <c r="P654" s="160">
        <v>1.4422387139810899</v>
      </c>
      <c r="Q654" s="160">
        <v>-4.4837835429699498E-2</v>
      </c>
      <c r="R654" s="160">
        <v>0.53887683402100395</v>
      </c>
      <c r="S654" s="160">
        <v>2.3299147341576498E-3</v>
      </c>
      <c r="T654" s="160">
        <v>0</v>
      </c>
      <c r="U654" s="160">
        <v>0</v>
      </c>
      <c r="V654" s="160">
        <v>0</v>
      </c>
      <c r="W654" s="160"/>
      <c r="X654" s="59"/>
      <c r="Y654" s="160"/>
      <c r="Z654" s="160"/>
      <c r="AA654" s="160"/>
      <c r="AB654" s="160"/>
      <c r="AC654" s="159"/>
      <c r="AD654" s="161"/>
      <c r="AE654" s="160"/>
    </row>
    <row r="655" spans="1:31" ht="21.25" customHeight="1" x14ac:dyDescent="0.15">
      <c r="A655" s="8" t="s">
        <v>673</v>
      </c>
      <c r="B655" s="157" t="s">
        <v>871</v>
      </c>
      <c r="C655" s="158">
        <v>36</v>
      </c>
      <c r="D655" s="157" t="s">
        <v>860</v>
      </c>
      <c r="E655" s="59">
        <v>74.811071428571395</v>
      </c>
      <c r="F655" s="159">
        <v>15.446275029848101</v>
      </c>
      <c r="G655" s="160">
        <v>1.3571223891629401E-2</v>
      </c>
      <c r="H655" s="160">
        <v>7.3724549646373302E-2</v>
      </c>
      <c r="I655" s="160">
        <v>8.7295773538002705E-2</v>
      </c>
      <c r="J655" s="160">
        <v>0.85121154946159405</v>
      </c>
      <c r="K655" s="160">
        <v>1.97435535345393E-4</v>
      </c>
      <c r="L655" s="160">
        <v>1.7160294503464799E-3</v>
      </c>
      <c r="M655" s="160">
        <v>2.0884498134858399E-4</v>
      </c>
      <c r="N655" s="160">
        <v>1.5085080966006701E-2</v>
      </c>
      <c r="O655" s="160">
        <v>1.1790628493322699</v>
      </c>
      <c r="P655" s="160">
        <v>1.19847027227636</v>
      </c>
      <c r="Q655" s="160">
        <v>2.0207328735063299E-2</v>
      </c>
      <c r="R655" s="160">
        <v>0.34036258490493498</v>
      </c>
      <c r="S655" s="160">
        <v>2.1471720937560599E-3</v>
      </c>
      <c r="T655" s="160">
        <v>0</v>
      </c>
      <c r="U655" s="160">
        <v>8.1755280697101695E-3</v>
      </c>
      <c r="V655" s="160">
        <v>0</v>
      </c>
      <c r="W655" s="160"/>
      <c r="X655" s="59"/>
      <c r="Y655" s="160"/>
      <c r="Z655" s="160"/>
      <c r="AA655" s="160"/>
      <c r="AB655" s="160"/>
      <c r="AC655" s="159"/>
      <c r="AD655" s="161"/>
      <c r="AE655" s="160"/>
    </row>
    <row r="656" spans="1:31" ht="21.25" customHeight="1" x14ac:dyDescent="0.15">
      <c r="A656" s="23"/>
      <c r="B656" s="163"/>
      <c r="C656" s="162"/>
      <c r="D656" s="163"/>
      <c r="E656" s="59"/>
      <c r="F656" s="159"/>
      <c r="G656" s="160"/>
      <c r="H656" s="160"/>
      <c r="I656" s="160"/>
      <c r="J656" s="160"/>
      <c r="K656" s="160"/>
      <c r="L656" s="160"/>
      <c r="M656" s="160"/>
      <c r="N656" s="160"/>
      <c r="O656" s="160"/>
      <c r="P656" s="160"/>
      <c r="Q656" s="160"/>
      <c r="R656" s="160"/>
      <c r="S656" s="160"/>
      <c r="T656" s="160"/>
      <c r="U656" s="160"/>
      <c r="V656" s="160"/>
      <c r="W656" s="160"/>
      <c r="X656" s="59"/>
      <c r="Y656" s="160"/>
      <c r="Z656" s="160"/>
      <c r="AA656" s="160"/>
      <c r="AB656" s="160"/>
      <c r="AC656" s="159"/>
      <c r="AD656" s="161"/>
      <c r="AE656" s="160"/>
    </row>
    <row r="657" spans="1:31" ht="21.25" customHeight="1" x14ac:dyDescent="0.15">
      <c r="A657" s="23"/>
      <c r="B657" s="163"/>
      <c r="C657" s="162"/>
      <c r="D657" s="163"/>
      <c r="E657" s="59"/>
      <c r="F657" s="159"/>
      <c r="G657" s="160"/>
      <c r="H657" s="160"/>
      <c r="I657" s="160"/>
      <c r="J657" s="160"/>
      <c r="K657" s="160"/>
      <c r="L657" s="160"/>
      <c r="M657" s="160"/>
      <c r="N657" s="160"/>
      <c r="O657" s="160"/>
      <c r="P657" s="160"/>
      <c r="Q657" s="160"/>
      <c r="R657" s="160"/>
      <c r="S657" s="160"/>
      <c r="T657" s="160"/>
      <c r="U657" s="160"/>
      <c r="V657" s="160"/>
      <c r="W657" s="160"/>
      <c r="X657" s="59"/>
      <c r="Y657" s="160"/>
      <c r="Z657" s="160"/>
      <c r="AA657" s="160"/>
      <c r="AB657" s="160"/>
      <c r="AC657" s="159"/>
      <c r="AD657" s="161"/>
      <c r="AE657" s="160"/>
    </row>
    <row r="658" spans="1:31" ht="21.25" customHeight="1" x14ac:dyDescent="0.15">
      <c r="A658" s="23"/>
      <c r="B658" s="163"/>
      <c r="C658" s="163"/>
      <c r="D658" s="163"/>
      <c r="E658" s="59"/>
      <c r="F658" s="159"/>
      <c r="G658" s="160"/>
      <c r="H658" s="160"/>
      <c r="I658" s="160"/>
      <c r="J658" s="160"/>
      <c r="K658" s="160"/>
      <c r="L658" s="160"/>
      <c r="M658" s="160"/>
      <c r="N658" s="160"/>
      <c r="O658" s="160"/>
      <c r="P658" s="160"/>
      <c r="Q658" s="160"/>
      <c r="R658" s="160"/>
      <c r="S658" s="160"/>
      <c r="T658" s="160"/>
      <c r="U658" s="160"/>
      <c r="V658" s="160"/>
      <c r="W658" s="160"/>
      <c r="X658" s="59"/>
      <c r="Y658" s="160"/>
      <c r="Z658" s="160"/>
      <c r="AA658" s="160"/>
      <c r="AB658" s="160"/>
      <c r="AC658" s="159"/>
      <c r="AD658" s="161"/>
      <c r="AE658" s="160"/>
    </row>
    <row r="659" spans="1:31" ht="21.25" customHeight="1" x14ac:dyDescent="0.15">
      <c r="A659" s="23"/>
      <c r="B659" s="163"/>
      <c r="C659" s="163"/>
      <c r="D659" s="163"/>
      <c r="E659" s="59"/>
      <c r="F659" s="159"/>
      <c r="G659" s="160"/>
      <c r="H659" s="160"/>
      <c r="I659" s="160"/>
      <c r="J659" s="160"/>
      <c r="K659" s="160"/>
      <c r="L659" s="160"/>
      <c r="M659" s="160"/>
      <c r="N659" s="160"/>
      <c r="O659" s="160"/>
      <c r="P659" s="160"/>
      <c r="Q659" s="160"/>
      <c r="R659" s="160"/>
      <c r="S659" s="160"/>
      <c r="T659" s="160"/>
      <c r="U659" s="160"/>
      <c r="V659" s="160"/>
      <c r="W659" s="160"/>
      <c r="X659" s="59"/>
      <c r="Y659" s="160"/>
      <c r="Z659" s="160"/>
      <c r="AA659" s="160"/>
      <c r="AB659" s="160"/>
      <c r="AC659" s="159"/>
      <c r="AD659" s="161"/>
      <c r="AE659" s="160"/>
    </row>
    <row r="660" spans="1:31" ht="21.25" customHeight="1" x14ac:dyDescent="0.15">
      <c r="A660" s="23"/>
      <c r="B660" s="163"/>
      <c r="C660" s="163"/>
      <c r="D660" s="163"/>
      <c r="E660" s="59"/>
      <c r="F660" s="159"/>
      <c r="G660" s="160"/>
      <c r="H660" s="160"/>
      <c r="I660" s="160"/>
      <c r="J660" s="160"/>
      <c r="K660" s="160"/>
      <c r="L660" s="160"/>
      <c r="M660" s="160"/>
      <c r="N660" s="160"/>
      <c r="O660" s="160"/>
      <c r="P660" s="160"/>
      <c r="Q660" s="160"/>
      <c r="R660" s="160"/>
      <c r="S660" s="160"/>
      <c r="T660" s="160"/>
      <c r="U660" s="160"/>
      <c r="V660" s="160"/>
      <c r="W660" s="160"/>
      <c r="X660" s="59"/>
      <c r="Y660" s="160"/>
      <c r="Z660" s="160"/>
      <c r="AA660" s="160"/>
      <c r="AB660" s="160"/>
      <c r="AC660" s="159"/>
      <c r="AD660" s="161"/>
      <c r="AE660" s="160"/>
    </row>
    <row r="661" spans="1:31" ht="21.25" customHeight="1" x14ac:dyDescent="0.15">
      <c r="A661" s="23"/>
      <c r="B661" s="163"/>
      <c r="C661" s="163"/>
      <c r="D661" s="163"/>
      <c r="E661" s="59"/>
      <c r="F661" s="159"/>
      <c r="G661" s="160"/>
      <c r="H661" s="160"/>
      <c r="I661" s="160"/>
      <c r="J661" s="160"/>
      <c r="K661" s="160"/>
      <c r="L661" s="160"/>
      <c r="M661" s="160"/>
      <c r="N661" s="160"/>
      <c r="O661" s="160"/>
      <c r="P661" s="160"/>
      <c r="Q661" s="160"/>
      <c r="R661" s="160"/>
      <c r="S661" s="160"/>
      <c r="T661" s="160"/>
      <c r="U661" s="160"/>
      <c r="V661" s="160"/>
      <c r="W661" s="160"/>
      <c r="X661" s="59"/>
      <c r="Y661" s="160"/>
      <c r="Z661" s="160"/>
      <c r="AA661" s="160"/>
      <c r="AB661" s="160"/>
      <c r="AC661" s="159"/>
      <c r="AD661" s="161"/>
      <c r="AE661" s="160"/>
    </row>
    <row r="662" spans="1:31" ht="21.25" customHeight="1" x14ac:dyDescent="0.15">
      <c r="A662" s="8" t="s">
        <v>196</v>
      </c>
      <c r="B662" s="157" t="s">
        <v>896</v>
      </c>
      <c r="C662" s="158">
        <v>30</v>
      </c>
      <c r="D662" s="157" t="s">
        <v>81</v>
      </c>
      <c r="E662" s="59"/>
      <c r="F662" s="159"/>
      <c r="G662" s="160"/>
      <c r="H662" s="160"/>
      <c r="I662" s="160"/>
      <c r="J662" s="160"/>
      <c r="K662" s="160"/>
      <c r="L662" s="160"/>
      <c r="M662" s="160"/>
      <c r="N662" s="160"/>
      <c r="O662" s="160"/>
      <c r="P662" s="160"/>
      <c r="Q662" s="160"/>
      <c r="R662" s="160"/>
      <c r="S662" s="160"/>
      <c r="T662" s="160"/>
      <c r="U662" s="160"/>
      <c r="V662" s="160"/>
      <c r="W662" s="160"/>
      <c r="X662" s="59">
        <v>55</v>
      </c>
      <c r="Y662" s="160">
        <v>0.34604536294279398</v>
      </c>
      <c r="Z662" s="160">
        <v>0.52895463705720602</v>
      </c>
      <c r="AA662" s="160">
        <v>0.125</v>
      </c>
      <c r="AB662" s="160">
        <v>3.11037775036981E-2</v>
      </c>
      <c r="AC662" s="159">
        <v>31.0191057700419</v>
      </c>
      <c r="AD662" s="161">
        <v>0.90814673784506394</v>
      </c>
      <c r="AE662" s="160">
        <v>3.1373851112081401</v>
      </c>
    </row>
    <row r="663" spans="1:31" ht="21.25" customHeight="1" x14ac:dyDescent="0.15">
      <c r="A663" s="8" t="s">
        <v>715</v>
      </c>
      <c r="B663" s="157" t="s">
        <v>896</v>
      </c>
      <c r="C663" s="158">
        <v>23</v>
      </c>
      <c r="D663" s="157" t="s">
        <v>81</v>
      </c>
      <c r="E663" s="59"/>
      <c r="F663" s="159"/>
      <c r="G663" s="160"/>
      <c r="H663" s="160"/>
      <c r="I663" s="160"/>
      <c r="J663" s="160"/>
      <c r="K663" s="160"/>
      <c r="L663" s="160"/>
      <c r="M663" s="160"/>
      <c r="N663" s="160"/>
      <c r="O663" s="160"/>
      <c r="P663" s="160"/>
      <c r="Q663" s="160"/>
      <c r="R663" s="160"/>
      <c r="S663" s="160"/>
      <c r="T663" s="160"/>
      <c r="U663" s="160"/>
      <c r="V663" s="160"/>
      <c r="W663" s="160"/>
      <c r="X663" s="59">
        <v>22</v>
      </c>
      <c r="Y663" s="160">
        <v>0.31915122318878297</v>
      </c>
      <c r="Z663" s="160">
        <v>0.55584877681121703</v>
      </c>
      <c r="AA663" s="160">
        <v>0.125</v>
      </c>
      <c r="AB663" s="160">
        <v>1.7271012799318201E-2</v>
      </c>
      <c r="AC663" s="159">
        <v>30.8380486404034</v>
      </c>
      <c r="AD663" s="161">
        <v>0.90284592605301095</v>
      </c>
      <c r="AE663" s="160">
        <v>3.3184422408466201</v>
      </c>
    </row>
    <row r="664" spans="1:31" ht="21.25" customHeight="1" x14ac:dyDescent="0.15">
      <c r="A664" s="8" t="s">
        <v>323</v>
      </c>
      <c r="B664" s="157" t="s">
        <v>887</v>
      </c>
      <c r="C664" s="158">
        <v>27</v>
      </c>
      <c r="D664" s="157" t="s">
        <v>81</v>
      </c>
      <c r="E664" s="59"/>
      <c r="F664" s="159"/>
      <c r="G664" s="160"/>
      <c r="H664" s="160"/>
      <c r="I664" s="160"/>
      <c r="J664" s="160"/>
      <c r="K664" s="160"/>
      <c r="L664" s="160"/>
      <c r="M664" s="160"/>
      <c r="N664" s="160"/>
      <c r="O664" s="160"/>
      <c r="P664" s="160"/>
      <c r="Q664" s="160"/>
      <c r="R664" s="160"/>
      <c r="S664" s="160"/>
      <c r="T664" s="160"/>
      <c r="U664" s="160"/>
      <c r="V664" s="160"/>
      <c r="W664" s="160"/>
      <c r="X664" s="59">
        <v>42</v>
      </c>
      <c r="Y664" s="160">
        <v>0.44060447887899101</v>
      </c>
      <c r="Z664" s="160">
        <v>0.43439552112100899</v>
      </c>
      <c r="AA664" s="160">
        <v>0.125</v>
      </c>
      <c r="AB664" s="160">
        <v>4.97127280300882E-2</v>
      </c>
      <c r="AC664" s="159">
        <v>28.060299820910799</v>
      </c>
      <c r="AD664" s="161">
        <v>0.90651282666271005</v>
      </c>
      <c r="AE664" s="160">
        <v>2.8938124603391602</v>
      </c>
    </row>
    <row r="665" spans="1:31" ht="21.25" customHeight="1" x14ac:dyDescent="0.15">
      <c r="A665" s="8" t="s">
        <v>422</v>
      </c>
      <c r="B665" s="157" t="s">
        <v>887</v>
      </c>
      <c r="C665" s="158">
        <v>26</v>
      </c>
      <c r="D665" s="157" t="s">
        <v>81</v>
      </c>
      <c r="E665" s="59"/>
      <c r="F665" s="159"/>
      <c r="G665" s="160"/>
      <c r="H665" s="160"/>
      <c r="I665" s="160"/>
      <c r="J665" s="160"/>
      <c r="K665" s="160"/>
      <c r="L665" s="160"/>
      <c r="M665" s="160"/>
      <c r="N665" s="160"/>
      <c r="O665" s="160"/>
      <c r="P665" s="160"/>
      <c r="Q665" s="160"/>
      <c r="R665" s="160"/>
      <c r="S665" s="160"/>
      <c r="T665" s="160"/>
      <c r="U665" s="160"/>
      <c r="V665" s="160"/>
      <c r="W665" s="160"/>
      <c r="X665" s="59">
        <v>35</v>
      </c>
      <c r="Y665" s="160">
        <v>0.43978983325848198</v>
      </c>
      <c r="Z665" s="160">
        <v>0.43521016674151802</v>
      </c>
      <c r="AA665" s="160">
        <v>0.125</v>
      </c>
      <c r="AB665" s="160">
        <v>5.0641961818065198E-2</v>
      </c>
      <c r="AC665" s="159">
        <v>28.0724625668268</v>
      </c>
      <c r="AD665" s="161">
        <v>0.906905754936841</v>
      </c>
      <c r="AE665" s="160">
        <v>2.8816497144232298</v>
      </c>
    </row>
    <row r="666" spans="1:31" ht="21.25" customHeight="1" x14ac:dyDescent="0.15">
      <c r="A666" s="8" t="s">
        <v>227</v>
      </c>
      <c r="B666" s="157" t="s">
        <v>879</v>
      </c>
      <c r="C666" s="158">
        <v>30</v>
      </c>
      <c r="D666" s="157" t="s">
        <v>81</v>
      </c>
      <c r="E666" s="59"/>
      <c r="F666" s="159"/>
      <c r="G666" s="160"/>
      <c r="H666" s="160"/>
      <c r="I666" s="160"/>
      <c r="J666" s="160"/>
      <c r="K666" s="160"/>
      <c r="L666" s="160"/>
      <c r="M666" s="160"/>
      <c r="N666" s="160"/>
      <c r="O666" s="160"/>
      <c r="P666" s="160"/>
      <c r="Q666" s="160"/>
      <c r="R666" s="160"/>
      <c r="S666" s="160"/>
      <c r="T666" s="160"/>
      <c r="U666" s="160"/>
      <c r="V666" s="160"/>
      <c r="W666" s="160"/>
      <c r="X666" s="59">
        <v>44</v>
      </c>
      <c r="Y666" s="160">
        <v>0.57429405705172698</v>
      </c>
      <c r="Z666" s="160">
        <v>0.30070594294827302</v>
      </c>
      <c r="AA666" s="160">
        <v>0.125</v>
      </c>
      <c r="AB666" s="160">
        <v>7.3576875369327999E-2</v>
      </c>
      <c r="AC666" s="159">
        <v>28.6133709703773</v>
      </c>
      <c r="AD666" s="161">
        <v>0.91724734884558701</v>
      </c>
      <c r="AE666" s="160">
        <v>2.5814545108726699</v>
      </c>
    </row>
    <row r="667" spans="1:31" ht="21.25" customHeight="1" x14ac:dyDescent="0.15">
      <c r="A667" s="8" t="s">
        <v>338</v>
      </c>
      <c r="B667" s="157" t="s">
        <v>879</v>
      </c>
      <c r="C667" s="158">
        <v>24</v>
      </c>
      <c r="D667" s="157" t="s">
        <v>81</v>
      </c>
      <c r="E667" s="59"/>
      <c r="F667" s="159"/>
      <c r="G667" s="160"/>
      <c r="H667" s="160"/>
      <c r="I667" s="160"/>
      <c r="J667" s="160"/>
      <c r="K667" s="160"/>
      <c r="L667" s="160"/>
      <c r="M667" s="160"/>
      <c r="N667" s="160"/>
      <c r="O667" s="160"/>
      <c r="P667" s="160"/>
      <c r="Q667" s="160"/>
      <c r="R667" s="160"/>
      <c r="S667" s="160"/>
      <c r="T667" s="160"/>
      <c r="U667" s="160"/>
      <c r="V667" s="160"/>
      <c r="W667" s="160"/>
      <c r="X667" s="59">
        <v>36</v>
      </c>
      <c r="Y667" s="160">
        <v>0.55470855295205501</v>
      </c>
      <c r="Z667" s="160">
        <v>0.32029144704794499</v>
      </c>
      <c r="AA667" s="160">
        <v>0.125</v>
      </c>
      <c r="AB667" s="160">
        <v>6.0554476250037799E-2</v>
      </c>
      <c r="AC667" s="159">
        <v>28.4429207201248</v>
      </c>
      <c r="AD667" s="161">
        <v>0.91178329358568699</v>
      </c>
      <c r="AE667" s="160">
        <v>2.7519047611251599</v>
      </c>
    </row>
    <row r="668" spans="1:31" ht="21.25" customHeight="1" x14ac:dyDescent="0.15">
      <c r="A668" s="8" t="s">
        <v>277</v>
      </c>
      <c r="B668" s="157" t="s">
        <v>881</v>
      </c>
      <c r="C668" s="158">
        <v>21</v>
      </c>
      <c r="D668" s="157" t="s">
        <v>81</v>
      </c>
      <c r="E668" s="59"/>
      <c r="F668" s="159"/>
      <c r="G668" s="160"/>
      <c r="H668" s="160"/>
      <c r="I668" s="160"/>
      <c r="J668" s="160"/>
      <c r="K668" s="160"/>
      <c r="L668" s="160"/>
      <c r="M668" s="160"/>
      <c r="N668" s="160"/>
      <c r="O668" s="160"/>
      <c r="P668" s="160"/>
      <c r="Q668" s="160"/>
      <c r="R668" s="160"/>
      <c r="S668" s="160"/>
      <c r="T668" s="160"/>
      <c r="U668" s="160"/>
      <c r="V668" s="160"/>
      <c r="W668" s="160"/>
      <c r="X668" s="59">
        <v>46</v>
      </c>
      <c r="Y668" s="160">
        <v>0.48091015029948297</v>
      </c>
      <c r="Z668" s="160">
        <v>0.39408984970051703</v>
      </c>
      <c r="AA668" s="160">
        <v>0.125</v>
      </c>
      <c r="AB668" s="160">
        <v>4.6364325232120002E-2</v>
      </c>
      <c r="AC668" s="159">
        <v>28.3321464591573</v>
      </c>
      <c r="AD668" s="161">
        <v>0.90605501089565699</v>
      </c>
      <c r="AE668" s="160">
        <v>2.93763972209267</v>
      </c>
    </row>
    <row r="669" spans="1:31" ht="21.25" customHeight="1" x14ac:dyDescent="0.15">
      <c r="A669" s="8" t="s">
        <v>746</v>
      </c>
      <c r="B669" s="157" t="s">
        <v>881</v>
      </c>
      <c r="C669" s="158">
        <v>28</v>
      </c>
      <c r="D669" s="157" t="s">
        <v>81</v>
      </c>
      <c r="E669" s="59"/>
      <c r="F669" s="159"/>
      <c r="G669" s="160"/>
      <c r="H669" s="160"/>
      <c r="I669" s="160"/>
      <c r="J669" s="160"/>
      <c r="K669" s="160"/>
      <c r="L669" s="160"/>
      <c r="M669" s="160"/>
      <c r="N669" s="160"/>
      <c r="O669" s="160"/>
      <c r="P669" s="160"/>
      <c r="Q669" s="160"/>
      <c r="R669" s="160"/>
      <c r="S669" s="160"/>
      <c r="T669" s="160"/>
      <c r="U669" s="160"/>
      <c r="V669" s="160"/>
      <c r="W669" s="160"/>
      <c r="X669" s="59">
        <v>20</v>
      </c>
      <c r="Y669" s="160">
        <v>0.46055998868673997</v>
      </c>
      <c r="Z669" s="160">
        <v>0.41444001131326003</v>
      </c>
      <c r="AA669" s="160">
        <v>0.125</v>
      </c>
      <c r="AB669" s="160">
        <v>3.5749990752617498E-2</v>
      </c>
      <c r="AC669" s="159">
        <v>28.1932153795827</v>
      </c>
      <c r="AD669" s="161">
        <v>0.90161202945762098</v>
      </c>
      <c r="AE669" s="160">
        <v>3.0765708016673101</v>
      </c>
    </row>
    <row r="670" spans="1:31" ht="21.25" customHeight="1" x14ac:dyDescent="0.15">
      <c r="A670" s="8" t="s">
        <v>803</v>
      </c>
      <c r="B670" s="157" t="s">
        <v>881</v>
      </c>
      <c r="C670" s="158">
        <v>24</v>
      </c>
      <c r="D670" s="157" t="s">
        <v>81</v>
      </c>
      <c r="E670" s="59"/>
      <c r="F670" s="159"/>
      <c r="G670" s="160"/>
      <c r="H670" s="160"/>
      <c r="I670" s="160"/>
      <c r="J670" s="160"/>
      <c r="K670" s="160"/>
      <c r="L670" s="160"/>
      <c r="M670" s="160"/>
      <c r="N670" s="160"/>
      <c r="O670" s="160"/>
      <c r="P670" s="160"/>
      <c r="Q670" s="160"/>
      <c r="R670" s="160"/>
      <c r="S670" s="160"/>
      <c r="T670" s="160"/>
      <c r="U670" s="160"/>
      <c r="V670" s="160"/>
      <c r="W670" s="160"/>
      <c r="X670" s="59">
        <v>15</v>
      </c>
      <c r="Y670" s="160">
        <v>0.44834690263259502</v>
      </c>
      <c r="Z670" s="160">
        <v>0.42665309736740498</v>
      </c>
      <c r="AA670" s="160">
        <v>0.125</v>
      </c>
      <c r="AB670" s="160">
        <v>3.2482984745181798E-2</v>
      </c>
      <c r="AC670" s="159">
        <v>28.1504535208466</v>
      </c>
      <c r="AD670" s="161">
        <v>0.90024451582998699</v>
      </c>
      <c r="AE670" s="160">
        <v>3.11933266040338</v>
      </c>
    </row>
    <row r="671" spans="1:31" ht="21.25" customHeight="1" x14ac:dyDescent="0.15">
      <c r="A671" s="8" t="s">
        <v>297</v>
      </c>
      <c r="B671" s="157" t="s">
        <v>893</v>
      </c>
      <c r="C671" s="158">
        <v>33</v>
      </c>
      <c r="D671" s="157" t="s">
        <v>81</v>
      </c>
      <c r="E671" s="59"/>
      <c r="F671" s="159"/>
      <c r="G671" s="160"/>
      <c r="H671" s="160"/>
      <c r="I671" s="160"/>
      <c r="J671" s="160"/>
      <c r="K671" s="160"/>
      <c r="L671" s="160"/>
      <c r="M671" s="160"/>
      <c r="N671" s="160"/>
      <c r="O671" s="160"/>
      <c r="P671" s="160"/>
      <c r="Q671" s="160"/>
      <c r="R671" s="160"/>
      <c r="S671" s="160"/>
      <c r="T671" s="160"/>
      <c r="U671" s="160"/>
      <c r="V671" s="160"/>
      <c r="W671" s="160"/>
      <c r="X671" s="59">
        <v>41</v>
      </c>
      <c r="Y671" s="160">
        <v>0.63897967559051205</v>
      </c>
      <c r="Z671" s="160">
        <v>0.236020324409488</v>
      </c>
      <c r="AA671" s="160">
        <v>0.125</v>
      </c>
      <c r="AB671" s="160">
        <v>6.2928208663418597E-2</v>
      </c>
      <c r="AC671" s="159">
        <v>27.031047316111501</v>
      </c>
      <c r="AD671" s="161">
        <v>0.90854914860787805</v>
      </c>
      <c r="AE671" s="160">
        <v>2.7208349651385002</v>
      </c>
    </row>
    <row r="672" spans="1:31" ht="21.25" customHeight="1" x14ac:dyDescent="0.15">
      <c r="A672" s="8" t="s">
        <v>721</v>
      </c>
      <c r="B672" s="157" t="s">
        <v>893</v>
      </c>
      <c r="C672" s="158">
        <v>34</v>
      </c>
      <c r="D672" s="157" t="s">
        <v>81</v>
      </c>
      <c r="E672" s="59"/>
      <c r="F672" s="159"/>
      <c r="G672" s="160"/>
      <c r="H672" s="160"/>
      <c r="I672" s="160"/>
      <c r="J672" s="160"/>
      <c r="K672" s="160"/>
      <c r="L672" s="160"/>
      <c r="M672" s="160"/>
      <c r="N672" s="160"/>
      <c r="O672" s="160"/>
      <c r="P672" s="160"/>
      <c r="Q672" s="160"/>
      <c r="R672" s="160"/>
      <c r="S672" s="160"/>
      <c r="T672" s="160"/>
      <c r="U672" s="160"/>
      <c r="V672" s="160"/>
      <c r="W672" s="160"/>
      <c r="X672" s="59">
        <v>21</v>
      </c>
      <c r="Y672" s="160">
        <v>0.61361786803645402</v>
      </c>
      <c r="Z672" s="160">
        <v>0.26138213196354598</v>
      </c>
      <c r="AA672" s="160">
        <v>0.125</v>
      </c>
      <c r="AB672" s="160">
        <v>4.7794655684115499E-2</v>
      </c>
      <c r="AC672" s="159">
        <v>26.8329641619321</v>
      </c>
      <c r="AD672" s="161">
        <v>0.901891312565545</v>
      </c>
      <c r="AE672" s="160">
        <v>2.9189181193178602</v>
      </c>
    </row>
    <row r="673" spans="1:31" ht="21.25" customHeight="1" x14ac:dyDescent="0.15">
      <c r="A673" s="8" t="s">
        <v>717</v>
      </c>
      <c r="B673" s="157" t="s">
        <v>893</v>
      </c>
      <c r="C673" s="158">
        <v>24</v>
      </c>
      <c r="D673" s="157" t="s">
        <v>81</v>
      </c>
      <c r="E673" s="59"/>
      <c r="F673" s="159"/>
      <c r="G673" s="160"/>
      <c r="H673" s="160"/>
      <c r="I673" s="160"/>
      <c r="J673" s="160"/>
      <c r="K673" s="160"/>
      <c r="L673" s="160"/>
      <c r="M673" s="160"/>
      <c r="N673" s="160"/>
      <c r="O673" s="160"/>
      <c r="P673" s="160"/>
      <c r="Q673" s="160"/>
      <c r="R673" s="160"/>
      <c r="S673" s="160"/>
      <c r="T673" s="160"/>
      <c r="U673" s="160"/>
      <c r="V673" s="160"/>
      <c r="W673" s="160"/>
      <c r="X673" s="59">
        <v>20</v>
      </c>
      <c r="Y673" s="160">
        <v>0.60412969138652195</v>
      </c>
      <c r="Z673" s="160">
        <v>0.27087030861347799</v>
      </c>
      <c r="AA673" s="160">
        <v>0.125</v>
      </c>
      <c r="AB673" s="160">
        <v>5.1226517789342403E-2</v>
      </c>
      <c r="AC673" s="159">
        <v>26.877883822995301</v>
      </c>
      <c r="AD673" s="161">
        <v>0.90340112161354202</v>
      </c>
      <c r="AE673" s="160">
        <v>2.8739984582546798</v>
      </c>
    </row>
    <row r="674" spans="1:31" ht="21.25" customHeight="1" x14ac:dyDescent="0.15">
      <c r="A674" s="8" t="s">
        <v>253</v>
      </c>
      <c r="B674" s="157" t="s">
        <v>884</v>
      </c>
      <c r="C674" s="158">
        <v>29</v>
      </c>
      <c r="D674" s="157" t="s">
        <v>81</v>
      </c>
      <c r="E674" s="59"/>
      <c r="F674" s="159"/>
      <c r="G674" s="160"/>
      <c r="H674" s="160"/>
      <c r="I674" s="160"/>
      <c r="J674" s="160"/>
      <c r="K674" s="160"/>
      <c r="L674" s="160"/>
      <c r="M674" s="160"/>
      <c r="N674" s="160"/>
      <c r="O674" s="160"/>
      <c r="P674" s="160"/>
      <c r="Q674" s="160"/>
      <c r="R674" s="160"/>
      <c r="S674" s="160"/>
      <c r="T674" s="160"/>
      <c r="U674" s="160"/>
      <c r="V674" s="160"/>
      <c r="W674" s="160"/>
      <c r="X674" s="59">
        <v>48</v>
      </c>
      <c r="Y674" s="160">
        <v>0.41034272055322601</v>
      </c>
      <c r="Z674" s="160">
        <v>0.46465727944677399</v>
      </c>
      <c r="AA674" s="160">
        <v>0.125</v>
      </c>
      <c r="AB674" s="160">
        <v>3.0443433834913401E-2</v>
      </c>
      <c r="AC674" s="159">
        <v>30.1661299283038</v>
      </c>
      <c r="AD674" s="161">
        <v>0.90555915571772105</v>
      </c>
      <c r="AE674" s="160">
        <v>3.1460283529461601</v>
      </c>
    </row>
    <row r="675" spans="1:31" ht="21.25" customHeight="1" x14ac:dyDescent="0.15">
      <c r="A675" s="8" t="s">
        <v>647</v>
      </c>
      <c r="B675" s="157" t="s">
        <v>884</v>
      </c>
      <c r="C675" s="158">
        <v>24</v>
      </c>
      <c r="D675" s="157" t="s">
        <v>81</v>
      </c>
      <c r="E675" s="59"/>
      <c r="F675" s="159"/>
      <c r="G675" s="160"/>
      <c r="H675" s="160"/>
      <c r="I675" s="160"/>
      <c r="J675" s="160"/>
      <c r="K675" s="160"/>
      <c r="L675" s="160"/>
      <c r="M675" s="160"/>
      <c r="N675" s="160"/>
      <c r="O675" s="160"/>
      <c r="P675" s="160"/>
      <c r="Q675" s="160"/>
      <c r="R675" s="160"/>
      <c r="S675" s="160"/>
      <c r="T675" s="160"/>
      <c r="U675" s="160"/>
      <c r="V675" s="160"/>
      <c r="W675" s="160"/>
      <c r="X675" s="59">
        <v>25</v>
      </c>
      <c r="Y675" s="160">
        <v>0.39956377098498003</v>
      </c>
      <c r="Z675" s="160">
        <v>0.47543622901501997</v>
      </c>
      <c r="AA675" s="160">
        <v>0.125</v>
      </c>
      <c r="AB675" s="160">
        <v>2.4019434146088901E-2</v>
      </c>
      <c r="AC675" s="159">
        <v>30.0820461627433</v>
      </c>
      <c r="AD675" s="161">
        <v>0.90303503930200801</v>
      </c>
      <c r="AE675" s="160">
        <v>3.2301121185066899</v>
      </c>
    </row>
    <row r="676" spans="1:31" ht="21.25" customHeight="1" x14ac:dyDescent="0.15">
      <c r="A676" s="8" t="s">
        <v>212</v>
      </c>
      <c r="B676" s="157" t="s">
        <v>894</v>
      </c>
      <c r="C676" s="158">
        <v>33</v>
      </c>
      <c r="D676" s="157" t="s">
        <v>81</v>
      </c>
      <c r="E676" s="59"/>
      <c r="F676" s="159"/>
      <c r="G676" s="160"/>
      <c r="H676" s="160"/>
      <c r="I676" s="160"/>
      <c r="J676" s="160"/>
      <c r="K676" s="160"/>
      <c r="L676" s="160"/>
      <c r="M676" s="160"/>
      <c r="N676" s="160"/>
      <c r="O676" s="160"/>
      <c r="P676" s="160"/>
      <c r="Q676" s="160"/>
      <c r="R676" s="160"/>
      <c r="S676" s="160"/>
      <c r="T676" s="160"/>
      <c r="U676" s="160"/>
      <c r="V676" s="160"/>
      <c r="W676" s="160"/>
      <c r="X676" s="59">
        <v>54</v>
      </c>
      <c r="Y676" s="160">
        <v>0.55628400246768905</v>
      </c>
      <c r="Z676" s="160">
        <v>0.318715997532311</v>
      </c>
      <c r="AA676" s="160">
        <v>0.125</v>
      </c>
      <c r="AB676" s="160">
        <v>6.2668748304583799E-2</v>
      </c>
      <c r="AC676" s="159">
        <v>26.974792238116301</v>
      </c>
      <c r="AD676" s="161">
        <v>0.90827203247274402</v>
      </c>
      <c r="AE676" s="160">
        <v>2.7242310431337202</v>
      </c>
    </row>
    <row r="677" spans="1:31" ht="21.25" customHeight="1" x14ac:dyDescent="0.15">
      <c r="A677" s="8" t="s">
        <v>793</v>
      </c>
      <c r="B677" s="157" t="s">
        <v>894</v>
      </c>
      <c r="C677" s="158">
        <v>26</v>
      </c>
      <c r="D677" s="157" t="s">
        <v>81</v>
      </c>
      <c r="E677" s="59"/>
      <c r="F677" s="159"/>
      <c r="G677" s="160"/>
      <c r="H677" s="160"/>
      <c r="I677" s="160"/>
      <c r="J677" s="160"/>
      <c r="K677" s="160"/>
      <c r="L677" s="160"/>
      <c r="M677" s="160"/>
      <c r="N677" s="160"/>
      <c r="O677" s="160"/>
      <c r="P677" s="160"/>
      <c r="Q677" s="160"/>
      <c r="R677" s="160"/>
      <c r="S677" s="160"/>
      <c r="T677" s="160"/>
      <c r="U677" s="160"/>
      <c r="V677" s="160"/>
      <c r="W677" s="160"/>
      <c r="X677" s="59">
        <v>16</v>
      </c>
      <c r="Y677" s="160">
        <v>0.50777172952629102</v>
      </c>
      <c r="Z677" s="160">
        <v>0.36722827047370898</v>
      </c>
      <c r="AA677" s="160">
        <v>0.125</v>
      </c>
      <c r="AB677" s="160">
        <v>4.7282591892292801E-2</v>
      </c>
      <c r="AC677" s="159">
        <v>26.773402756279999</v>
      </c>
      <c r="AD677" s="161">
        <v>0.90149101883707305</v>
      </c>
      <c r="AE677" s="160">
        <v>2.92562052496999</v>
      </c>
    </row>
    <row r="678" spans="1:31" ht="21.25" customHeight="1" x14ac:dyDescent="0.15">
      <c r="A678" s="8" t="s">
        <v>818</v>
      </c>
      <c r="B678" s="157" t="s">
        <v>894</v>
      </c>
      <c r="C678" s="158">
        <v>22</v>
      </c>
      <c r="D678" s="157" t="s">
        <v>81</v>
      </c>
      <c r="E678" s="59"/>
      <c r="F678" s="159"/>
      <c r="G678" s="160"/>
      <c r="H678" s="160"/>
      <c r="I678" s="160"/>
      <c r="J678" s="160"/>
      <c r="K678" s="160"/>
      <c r="L678" s="160"/>
      <c r="M678" s="160"/>
      <c r="N678" s="160"/>
      <c r="O678" s="160"/>
      <c r="P678" s="160"/>
      <c r="Q678" s="160"/>
      <c r="R678" s="160"/>
      <c r="S678" s="160"/>
      <c r="T678" s="160"/>
      <c r="U678" s="160"/>
      <c r="V678" s="160"/>
      <c r="W678" s="160"/>
      <c r="X678" s="59">
        <v>12</v>
      </c>
      <c r="Y678" s="160">
        <v>0.53399188968134803</v>
      </c>
      <c r="Z678" s="160">
        <v>0.34100811031865202</v>
      </c>
      <c r="AA678" s="160">
        <v>0.125</v>
      </c>
      <c r="AB678" s="160">
        <v>5.4967594679196499E-2</v>
      </c>
      <c r="AC678" s="159">
        <v>26.873991797993401</v>
      </c>
      <c r="AD678" s="161">
        <v>0.90487796664208398</v>
      </c>
      <c r="AE678" s="160">
        <v>2.8250314832565899</v>
      </c>
    </row>
    <row r="679" spans="1:31" ht="21.25" customHeight="1" x14ac:dyDescent="0.15">
      <c r="A679" s="8" t="s">
        <v>436</v>
      </c>
      <c r="B679" s="157" t="s">
        <v>890</v>
      </c>
      <c r="C679" s="158">
        <v>31</v>
      </c>
      <c r="D679" s="157" t="s">
        <v>81</v>
      </c>
      <c r="E679" s="59"/>
      <c r="F679" s="159"/>
      <c r="G679" s="160"/>
      <c r="H679" s="160"/>
      <c r="I679" s="160"/>
      <c r="J679" s="160"/>
      <c r="K679" s="160"/>
      <c r="L679" s="160"/>
      <c r="M679" s="160"/>
      <c r="N679" s="160"/>
      <c r="O679" s="160"/>
      <c r="P679" s="160"/>
      <c r="Q679" s="160"/>
      <c r="R679" s="160"/>
      <c r="S679" s="160"/>
      <c r="T679" s="160"/>
      <c r="U679" s="160"/>
      <c r="V679" s="160"/>
      <c r="W679" s="160"/>
      <c r="X679" s="59">
        <v>40</v>
      </c>
      <c r="Y679" s="160">
        <v>0.37270021848153601</v>
      </c>
      <c r="Z679" s="160">
        <v>0.50229978151846399</v>
      </c>
      <c r="AA679" s="160">
        <v>0.125</v>
      </c>
      <c r="AB679" s="160">
        <v>3.8227819689807797E-2</v>
      </c>
      <c r="AC679" s="159">
        <v>28.240860895514501</v>
      </c>
      <c r="AD679" s="161">
        <v>0.90269654639788999</v>
      </c>
      <c r="AE679" s="160">
        <v>3.0441384857355001</v>
      </c>
    </row>
    <row r="680" spans="1:31" ht="21.25" customHeight="1" x14ac:dyDescent="0.15">
      <c r="A680" s="8" t="s">
        <v>475</v>
      </c>
      <c r="B680" s="157" t="s">
        <v>890</v>
      </c>
      <c r="C680" s="158">
        <v>24</v>
      </c>
      <c r="D680" s="157" t="s">
        <v>81</v>
      </c>
      <c r="E680" s="59"/>
      <c r="F680" s="159"/>
      <c r="G680" s="160"/>
      <c r="H680" s="160"/>
      <c r="I680" s="160"/>
      <c r="J680" s="160"/>
      <c r="K680" s="160"/>
      <c r="L680" s="160"/>
      <c r="M680" s="160"/>
      <c r="N680" s="160"/>
      <c r="O680" s="160"/>
      <c r="P680" s="160"/>
      <c r="Q680" s="160"/>
      <c r="R680" s="160"/>
      <c r="S680" s="160"/>
      <c r="T680" s="160"/>
      <c r="U680" s="160"/>
      <c r="V680" s="160"/>
      <c r="W680" s="160"/>
      <c r="X680" s="59">
        <v>35</v>
      </c>
      <c r="Y680" s="160">
        <v>0.36343133489097001</v>
      </c>
      <c r="Z680" s="160">
        <v>0.51156866510902999</v>
      </c>
      <c r="AA680" s="160">
        <v>0.125</v>
      </c>
      <c r="AB680" s="160">
        <v>4.0871120546951099E-2</v>
      </c>
      <c r="AC680" s="159">
        <v>28.275459074272899</v>
      </c>
      <c r="AD680" s="161">
        <v>0.90380244952855004</v>
      </c>
      <c r="AE680" s="160">
        <v>3.0095403069770801</v>
      </c>
    </row>
    <row r="681" spans="1:31" ht="21.25" customHeight="1" x14ac:dyDescent="0.15">
      <c r="A681" s="8" t="s">
        <v>152</v>
      </c>
      <c r="B681" s="157" t="s">
        <v>871</v>
      </c>
      <c r="C681" s="158">
        <v>27</v>
      </c>
      <c r="D681" s="157" t="s">
        <v>81</v>
      </c>
      <c r="E681" s="59"/>
      <c r="F681" s="159"/>
      <c r="G681" s="160"/>
      <c r="H681" s="160"/>
      <c r="I681" s="160"/>
      <c r="J681" s="160"/>
      <c r="K681" s="160"/>
      <c r="L681" s="160"/>
      <c r="M681" s="160"/>
      <c r="N681" s="160"/>
      <c r="O681" s="160"/>
      <c r="P681" s="160"/>
      <c r="Q681" s="160"/>
      <c r="R681" s="160"/>
      <c r="S681" s="160"/>
      <c r="T681" s="160"/>
      <c r="U681" s="160"/>
      <c r="V681" s="160"/>
      <c r="W681" s="160"/>
      <c r="X681" s="59">
        <v>56</v>
      </c>
      <c r="Y681" s="160">
        <v>0.59499635633361503</v>
      </c>
      <c r="Z681" s="160">
        <v>0.28000364366638503</v>
      </c>
      <c r="AA681" s="160">
        <v>0.125</v>
      </c>
      <c r="AB681" s="160">
        <v>7.0965839714492204E-2</v>
      </c>
      <c r="AC681" s="159">
        <v>27.7865828110208</v>
      </c>
      <c r="AD681" s="161">
        <v>0.91396579075886797</v>
      </c>
      <c r="AE681" s="160">
        <v>2.6156303702291601</v>
      </c>
    </row>
    <row r="682" spans="1:31" ht="21.25" customHeight="1" x14ac:dyDescent="0.15">
      <c r="A682" s="8" t="s">
        <v>667</v>
      </c>
      <c r="B682" s="157" t="s">
        <v>871</v>
      </c>
      <c r="C682" s="158">
        <v>33</v>
      </c>
      <c r="D682" s="157" t="s">
        <v>81</v>
      </c>
      <c r="E682" s="59"/>
      <c r="F682" s="159"/>
      <c r="G682" s="160"/>
      <c r="H682" s="160"/>
      <c r="I682" s="160"/>
      <c r="J682" s="160"/>
      <c r="K682" s="160"/>
      <c r="L682" s="160"/>
      <c r="M682" s="160"/>
      <c r="N682" s="160"/>
      <c r="O682" s="160"/>
      <c r="P682" s="160"/>
      <c r="Q682" s="160"/>
      <c r="R682" s="160"/>
      <c r="S682" s="160"/>
      <c r="T682" s="160"/>
      <c r="U682" s="160"/>
      <c r="V682" s="160"/>
      <c r="W682" s="160"/>
      <c r="X682" s="59">
        <v>24</v>
      </c>
      <c r="Y682" s="160">
        <v>0.55872766742518898</v>
      </c>
      <c r="Z682" s="160">
        <v>0.31627233257481102</v>
      </c>
      <c r="AA682" s="160">
        <v>0.125</v>
      </c>
      <c r="AB682" s="160">
        <v>4.5535770131519097E-2</v>
      </c>
      <c r="AC682" s="159">
        <v>27.453728497107601</v>
      </c>
      <c r="AD682" s="161">
        <v>0.90301743275845303</v>
      </c>
      <c r="AE682" s="160">
        <v>2.9484846841424202</v>
      </c>
    </row>
    <row r="683" spans="1:31" ht="21.25" customHeight="1" x14ac:dyDescent="0.15">
      <c r="A683" s="8" t="s">
        <v>124</v>
      </c>
      <c r="B683" s="157" t="s">
        <v>878</v>
      </c>
      <c r="C683" s="158">
        <v>24</v>
      </c>
      <c r="D683" s="157" t="s">
        <v>81</v>
      </c>
      <c r="E683" s="59"/>
      <c r="F683" s="159"/>
      <c r="G683" s="160"/>
      <c r="H683" s="160"/>
      <c r="I683" s="160"/>
      <c r="J683" s="160"/>
      <c r="K683" s="160"/>
      <c r="L683" s="160"/>
      <c r="M683" s="160"/>
      <c r="N683" s="160"/>
      <c r="O683" s="160"/>
      <c r="P683" s="160"/>
      <c r="Q683" s="160"/>
      <c r="R683" s="160"/>
      <c r="S683" s="160"/>
      <c r="T683" s="160"/>
      <c r="U683" s="160"/>
      <c r="V683" s="160"/>
      <c r="W683" s="160"/>
      <c r="X683" s="59">
        <v>62</v>
      </c>
      <c r="Y683" s="160">
        <v>0.60401014744646497</v>
      </c>
      <c r="Z683" s="160">
        <v>0.27098985255353503</v>
      </c>
      <c r="AA683" s="160">
        <v>0.125</v>
      </c>
      <c r="AB683" s="160">
        <v>8.4744271064602597E-2</v>
      </c>
      <c r="AC683" s="159">
        <v>26.989043371100799</v>
      </c>
      <c r="AD683" s="161">
        <v>0.91723568238316699</v>
      </c>
      <c r="AE683" s="160">
        <v>2.4352844101491802</v>
      </c>
    </row>
    <row r="684" spans="1:31" ht="21.25" customHeight="1" x14ac:dyDescent="0.15">
      <c r="A684" s="8" t="s">
        <v>758</v>
      </c>
      <c r="B684" s="157" t="s">
        <v>878</v>
      </c>
      <c r="C684" s="158">
        <v>31</v>
      </c>
      <c r="D684" s="157" t="s">
        <v>81</v>
      </c>
      <c r="E684" s="59"/>
      <c r="F684" s="159"/>
      <c r="G684" s="160"/>
      <c r="H684" s="160"/>
      <c r="I684" s="160"/>
      <c r="J684" s="160"/>
      <c r="K684" s="160"/>
      <c r="L684" s="160"/>
      <c r="M684" s="160"/>
      <c r="N684" s="160"/>
      <c r="O684" s="160"/>
      <c r="P684" s="160"/>
      <c r="Q684" s="160"/>
      <c r="R684" s="160"/>
      <c r="S684" s="160"/>
      <c r="T684" s="160"/>
      <c r="U684" s="160"/>
      <c r="V684" s="160"/>
      <c r="W684" s="160"/>
      <c r="X684" s="59">
        <v>18</v>
      </c>
      <c r="Y684" s="160">
        <v>0.56338128076312899</v>
      </c>
      <c r="Z684" s="160">
        <v>0.31161871923687101</v>
      </c>
      <c r="AA684" s="160">
        <v>0.125</v>
      </c>
      <c r="AB684" s="160">
        <v>5.4820309158568399E-2</v>
      </c>
      <c r="AC684" s="159">
        <v>26.597368477042799</v>
      </c>
      <c r="AD684" s="161">
        <v>0.903924421817764</v>
      </c>
      <c r="AE684" s="160">
        <v>2.8269593042072199</v>
      </c>
    </row>
    <row r="685" spans="1:31" ht="21.25" customHeight="1" x14ac:dyDescent="0.15">
      <c r="A685" s="8" t="s">
        <v>296</v>
      </c>
      <c r="B685" s="157" t="s">
        <v>898</v>
      </c>
      <c r="C685" s="158">
        <v>28</v>
      </c>
      <c r="D685" s="157" t="s">
        <v>81</v>
      </c>
      <c r="E685" s="59"/>
      <c r="F685" s="159"/>
      <c r="G685" s="160"/>
      <c r="H685" s="160"/>
      <c r="I685" s="160"/>
      <c r="J685" s="160"/>
      <c r="K685" s="160"/>
      <c r="L685" s="160"/>
      <c r="M685" s="160"/>
      <c r="N685" s="160"/>
      <c r="O685" s="160"/>
      <c r="P685" s="160"/>
      <c r="Q685" s="160"/>
      <c r="R685" s="160"/>
      <c r="S685" s="160"/>
      <c r="T685" s="160"/>
      <c r="U685" s="160"/>
      <c r="V685" s="160"/>
      <c r="W685" s="160"/>
      <c r="X685" s="59">
        <v>44</v>
      </c>
      <c r="Y685" s="160">
        <v>0.467593428552247</v>
      </c>
      <c r="Z685" s="160">
        <v>0.407406571447753</v>
      </c>
      <c r="AA685" s="160">
        <v>0.125</v>
      </c>
      <c r="AB685" s="160">
        <v>5.8564252002145101E-2</v>
      </c>
      <c r="AC685" s="159">
        <v>27.438317264524201</v>
      </c>
      <c r="AD685" s="161">
        <v>0.90806427711346804</v>
      </c>
      <c r="AE685" s="160">
        <v>2.7779548167258499</v>
      </c>
    </row>
    <row r="686" spans="1:31" ht="21.25" customHeight="1" x14ac:dyDescent="0.15">
      <c r="A686" s="8" t="s">
        <v>761</v>
      </c>
      <c r="B686" s="157" t="s">
        <v>898</v>
      </c>
      <c r="C686" s="158">
        <v>35</v>
      </c>
      <c r="D686" s="157" t="s">
        <v>81</v>
      </c>
      <c r="E686" s="59"/>
      <c r="F686" s="159"/>
      <c r="G686" s="160"/>
      <c r="H686" s="160"/>
      <c r="I686" s="160"/>
      <c r="J686" s="160"/>
      <c r="K686" s="160"/>
      <c r="L686" s="160"/>
      <c r="M686" s="160"/>
      <c r="N686" s="160"/>
      <c r="O686" s="160"/>
      <c r="P686" s="160"/>
      <c r="Q686" s="160"/>
      <c r="R686" s="160"/>
      <c r="S686" s="160"/>
      <c r="T686" s="160"/>
      <c r="U686" s="160"/>
      <c r="V686" s="160"/>
      <c r="W686" s="160"/>
      <c r="X686" s="59">
        <v>20</v>
      </c>
      <c r="Y686" s="160">
        <v>0.45538922569267898</v>
      </c>
      <c r="Z686" s="160">
        <v>0.41961077430732102</v>
      </c>
      <c r="AA686" s="160">
        <v>0.125</v>
      </c>
      <c r="AB686" s="160">
        <v>3.8688691128378402E-2</v>
      </c>
      <c r="AC686" s="159">
        <v>27.178165944186901</v>
      </c>
      <c r="AD686" s="161">
        <v>0.89945463395041603</v>
      </c>
      <c r="AE686" s="160">
        <v>3.0381061370631102</v>
      </c>
    </row>
    <row r="687" spans="1:31" ht="21.25" customHeight="1" x14ac:dyDescent="0.15">
      <c r="A687" s="8" t="s">
        <v>781</v>
      </c>
      <c r="B687" s="157" t="s">
        <v>898</v>
      </c>
      <c r="C687" s="158">
        <v>30</v>
      </c>
      <c r="D687" s="157" t="s">
        <v>81</v>
      </c>
      <c r="E687" s="59"/>
      <c r="F687" s="159"/>
      <c r="G687" s="160"/>
      <c r="H687" s="160"/>
      <c r="I687" s="160"/>
      <c r="J687" s="160"/>
      <c r="K687" s="160"/>
      <c r="L687" s="160"/>
      <c r="M687" s="160"/>
      <c r="N687" s="160"/>
      <c r="O687" s="160"/>
      <c r="P687" s="160"/>
      <c r="Q687" s="160"/>
      <c r="R687" s="160"/>
      <c r="S687" s="160"/>
      <c r="T687" s="160"/>
      <c r="U687" s="160"/>
      <c r="V687" s="160"/>
      <c r="W687" s="160"/>
      <c r="X687" s="59">
        <v>18</v>
      </c>
      <c r="Y687" s="160">
        <v>0.452232093121333</v>
      </c>
      <c r="Z687" s="160">
        <v>0.422767906878667</v>
      </c>
      <c r="AA687" s="160">
        <v>0.125</v>
      </c>
      <c r="AB687" s="160">
        <v>4.2947363557457402E-2</v>
      </c>
      <c r="AC687" s="159">
        <v>27.233907729907799</v>
      </c>
      <c r="AD687" s="161">
        <v>0.90129939446789598</v>
      </c>
      <c r="AE687" s="160">
        <v>2.9823643513421798</v>
      </c>
    </row>
    <row r="688" spans="1:31" ht="21.25" customHeight="1" x14ac:dyDescent="0.15">
      <c r="A688" s="8" t="s">
        <v>217</v>
      </c>
      <c r="B688" s="157" t="s">
        <v>870</v>
      </c>
      <c r="C688" s="158">
        <v>24</v>
      </c>
      <c r="D688" s="157" t="s">
        <v>81</v>
      </c>
      <c r="E688" s="59"/>
      <c r="F688" s="159"/>
      <c r="G688" s="160"/>
      <c r="H688" s="160"/>
      <c r="I688" s="160"/>
      <c r="J688" s="160"/>
      <c r="K688" s="160"/>
      <c r="L688" s="160"/>
      <c r="M688" s="160"/>
      <c r="N688" s="160"/>
      <c r="O688" s="160"/>
      <c r="P688" s="160"/>
      <c r="Q688" s="160"/>
      <c r="R688" s="160"/>
      <c r="S688" s="160"/>
      <c r="T688" s="160"/>
      <c r="U688" s="160"/>
      <c r="V688" s="160"/>
      <c r="W688" s="160"/>
      <c r="X688" s="59">
        <v>48</v>
      </c>
      <c r="Y688" s="160">
        <v>0.62000918803636595</v>
      </c>
      <c r="Z688" s="160">
        <v>0.25499081196363399</v>
      </c>
      <c r="AA688" s="160">
        <v>0.125</v>
      </c>
      <c r="AB688" s="160">
        <v>6.5002019022230906E-2</v>
      </c>
      <c r="AC688" s="159">
        <v>28.001877430755599</v>
      </c>
      <c r="AD688" s="161">
        <v>0.91224495908291203</v>
      </c>
      <c r="AE688" s="160">
        <v>2.69369085049436</v>
      </c>
    </row>
    <row r="689" spans="1:31" ht="21.25" customHeight="1" x14ac:dyDescent="0.15">
      <c r="A689" s="8" t="s">
        <v>473</v>
      </c>
      <c r="B689" s="157" t="s">
        <v>870</v>
      </c>
      <c r="C689" s="158">
        <v>31</v>
      </c>
      <c r="D689" s="157" t="s">
        <v>81</v>
      </c>
      <c r="E689" s="59"/>
      <c r="F689" s="159"/>
      <c r="G689" s="160"/>
      <c r="H689" s="160"/>
      <c r="I689" s="160"/>
      <c r="J689" s="160"/>
      <c r="K689" s="160"/>
      <c r="L689" s="160"/>
      <c r="M689" s="160"/>
      <c r="N689" s="160"/>
      <c r="O689" s="160"/>
      <c r="P689" s="160"/>
      <c r="Q689" s="160"/>
      <c r="R689" s="160"/>
      <c r="S689" s="160"/>
      <c r="T689" s="160"/>
      <c r="U689" s="160"/>
      <c r="V689" s="160"/>
      <c r="W689" s="160"/>
      <c r="X689" s="59">
        <v>32</v>
      </c>
      <c r="Y689" s="160">
        <v>0.58379772411992104</v>
      </c>
      <c r="Z689" s="160">
        <v>0.29120227588007902</v>
      </c>
      <c r="AA689" s="160">
        <v>0.125</v>
      </c>
      <c r="AB689" s="160">
        <v>4.6091073814036598E-2</v>
      </c>
      <c r="AC689" s="159">
        <v>27.754351969915401</v>
      </c>
      <c r="AD689" s="161">
        <v>0.90418107642166701</v>
      </c>
      <c r="AE689" s="160">
        <v>2.9412163113346002</v>
      </c>
    </row>
    <row r="690" spans="1:31" ht="21.25" customHeight="1" x14ac:dyDescent="0.15">
      <c r="A690" s="8" t="s">
        <v>211</v>
      </c>
      <c r="B690" s="157" t="s">
        <v>873</v>
      </c>
      <c r="C690" s="158">
        <v>34</v>
      </c>
      <c r="D690" s="157" t="s">
        <v>81</v>
      </c>
      <c r="E690" s="59"/>
      <c r="F690" s="159"/>
      <c r="G690" s="160"/>
      <c r="H690" s="160"/>
      <c r="I690" s="160"/>
      <c r="J690" s="160"/>
      <c r="K690" s="160"/>
      <c r="L690" s="160"/>
      <c r="M690" s="160"/>
      <c r="N690" s="160"/>
      <c r="O690" s="160"/>
      <c r="P690" s="160"/>
      <c r="Q690" s="160"/>
      <c r="R690" s="160"/>
      <c r="S690" s="160"/>
      <c r="T690" s="160"/>
      <c r="U690" s="160"/>
      <c r="V690" s="160"/>
      <c r="W690" s="160"/>
      <c r="X690" s="59">
        <v>52</v>
      </c>
      <c r="Y690" s="160">
        <v>0.58146465515493895</v>
      </c>
      <c r="Z690" s="160">
        <v>0.293535344845061</v>
      </c>
      <c r="AA690" s="160">
        <v>0.125</v>
      </c>
      <c r="AB690" s="160">
        <v>4.6969529994721301E-2</v>
      </c>
      <c r="AC690" s="159">
        <v>28.6675327874636</v>
      </c>
      <c r="AD690" s="161">
        <v>0.90727933276458494</v>
      </c>
      <c r="AE690" s="160">
        <v>2.9297181937863699</v>
      </c>
    </row>
    <row r="691" spans="1:31" ht="21.25" customHeight="1" x14ac:dyDescent="0.15">
      <c r="A691" s="8" t="s">
        <v>788</v>
      </c>
      <c r="B691" s="157" t="s">
        <v>873</v>
      </c>
      <c r="C691" s="158">
        <v>29</v>
      </c>
      <c r="D691" s="157" t="s">
        <v>81</v>
      </c>
      <c r="E691" s="59"/>
      <c r="F691" s="159"/>
      <c r="G691" s="160"/>
      <c r="H691" s="160"/>
      <c r="I691" s="160"/>
      <c r="J691" s="160"/>
      <c r="K691" s="160"/>
      <c r="L691" s="160"/>
      <c r="M691" s="160"/>
      <c r="N691" s="160"/>
      <c r="O691" s="160"/>
      <c r="P691" s="160"/>
      <c r="Q691" s="160"/>
      <c r="R691" s="160"/>
      <c r="S691" s="160"/>
      <c r="T691" s="160"/>
      <c r="U691" s="160"/>
      <c r="V691" s="160"/>
      <c r="W691" s="160"/>
      <c r="X691" s="59">
        <v>15</v>
      </c>
      <c r="Y691" s="160">
        <v>0.54795421372974895</v>
      </c>
      <c r="Z691" s="160">
        <v>0.32704578627025099</v>
      </c>
      <c r="AA691" s="160">
        <v>0.125</v>
      </c>
      <c r="AB691" s="160">
        <v>3.7089134363449301E-2</v>
      </c>
      <c r="AC691" s="159">
        <v>28.538208237316098</v>
      </c>
      <c r="AD691" s="161">
        <v>0.903186427650014</v>
      </c>
      <c r="AE691" s="160">
        <v>3.0590427439339098</v>
      </c>
    </row>
    <row r="692" spans="1:31" ht="21.25" customHeight="1" x14ac:dyDescent="0.15">
      <c r="A692" s="8" t="s">
        <v>790</v>
      </c>
      <c r="B692" s="157" t="s">
        <v>873</v>
      </c>
      <c r="C692" s="158">
        <v>22</v>
      </c>
      <c r="D692" s="157" t="s">
        <v>81</v>
      </c>
      <c r="E692" s="59"/>
      <c r="F692" s="159"/>
      <c r="G692" s="160"/>
      <c r="H692" s="160"/>
      <c r="I692" s="160"/>
      <c r="J692" s="160"/>
      <c r="K692" s="160"/>
      <c r="L692" s="160"/>
      <c r="M692" s="160"/>
      <c r="N692" s="160"/>
      <c r="O692" s="160"/>
      <c r="P692" s="160"/>
      <c r="Q692" s="160"/>
      <c r="R692" s="160"/>
      <c r="S692" s="160"/>
      <c r="T692" s="160"/>
      <c r="U692" s="160"/>
      <c r="V692" s="160"/>
      <c r="W692" s="160"/>
      <c r="X692" s="59">
        <v>15</v>
      </c>
      <c r="Y692" s="160">
        <v>0.53962527615777001</v>
      </c>
      <c r="Z692" s="160">
        <v>0.33537472384222999</v>
      </c>
      <c r="AA692" s="160">
        <v>0.125</v>
      </c>
      <c r="AB692" s="160">
        <v>3.4702881748520598E-2</v>
      </c>
      <c r="AC692" s="159">
        <v>28.5069745643458</v>
      </c>
      <c r="AD692" s="161">
        <v>0.90219793428428396</v>
      </c>
      <c r="AE692" s="160">
        <v>3.0902764169041799</v>
      </c>
    </row>
    <row r="693" spans="1:31" ht="21.25" customHeight="1" x14ac:dyDescent="0.15">
      <c r="A693" s="8" t="s">
        <v>334</v>
      </c>
      <c r="B693" s="157" t="s">
        <v>892</v>
      </c>
      <c r="C693" s="158">
        <v>31</v>
      </c>
      <c r="D693" s="157" t="s">
        <v>81</v>
      </c>
      <c r="E693" s="59"/>
      <c r="F693" s="159"/>
      <c r="G693" s="160"/>
      <c r="H693" s="160"/>
      <c r="I693" s="160"/>
      <c r="J693" s="160"/>
      <c r="K693" s="160"/>
      <c r="L693" s="160"/>
      <c r="M693" s="160"/>
      <c r="N693" s="160"/>
      <c r="O693" s="160"/>
      <c r="P693" s="160"/>
      <c r="Q693" s="160"/>
      <c r="R693" s="160"/>
      <c r="S693" s="160"/>
      <c r="T693" s="160"/>
      <c r="U693" s="160"/>
      <c r="V693" s="160"/>
      <c r="W693" s="160"/>
      <c r="X693" s="59">
        <v>42</v>
      </c>
      <c r="Y693" s="160">
        <v>0.530120700617985</v>
      </c>
      <c r="Z693" s="160">
        <v>0.344879299382015</v>
      </c>
      <c r="AA693" s="160">
        <v>0.125</v>
      </c>
      <c r="AB693" s="160">
        <v>5.1459208150755498E-2</v>
      </c>
      <c r="AC693" s="159">
        <v>27.2141379083541</v>
      </c>
      <c r="AD693" s="161">
        <v>0.90457224133663205</v>
      </c>
      <c r="AE693" s="160">
        <v>2.8709527728958699</v>
      </c>
    </row>
    <row r="694" spans="1:31" ht="21.25" customHeight="1" x14ac:dyDescent="0.15">
      <c r="A694" s="8" t="s">
        <v>551</v>
      </c>
      <c r="B694" s="157" t="s">
        <v>892</v>
      </c>
      <c r="C694" s="158">
        <v>36</v>
      </c>
      <c r="D694" s="157" t="s">
        <v>81</v>
      </c>
      <c r="E694" s="59"/>
      <c r="F694" s="159"/>
      <c r="G694" s="160"/>
      <c r="H694" s="160"/>
      <c r="I694" s="160"/>
      <c r="J694" s="160"/>
      <c r="K694" s="160"/>
      <c r="L694" s="160"/>
      <c r="M694" s="160"/>
      <c r="N694" s="160"/>
      <c r="O694" s="160"/>
      <c r="P694" s="160"/>
      <c r="Q694" s="160"/>
      <c r="R694" s="160"/>
      <c r="S694" s="160"/>
      <c r="T694" s="160"/>
      <c r="U694" s="160"/>
      <c r="V694" s="160"/>
      <c r="W694" s="160"/>
      <c r="X694" s="59">
        <v>32</v>
      </c>
      <c r="Y694" s="160">
        <v>0.51758466992730301</v>
      </c>
      <c r="Z694" s="160">
        <v>0.35741533007269699</v>
      </c>
      <c r="AA694" s="160">
        <v>0.125</v>
      </c>
      <c r="AB694" s="160">
        <v>4.1294682334457301E-2</v>
      </c>
      <c r="AC694" s="159">
        <v>27.081094376727201</v>
      </c>
      <c r="AD694" s="161">
        <v>0.90015000000000001</v>
      </c>
      <c r="AE694" s="160">
        <v>3.00399630452281</v>
      </c>
    </row>
    <row r="695" spans="1:31" ht="21.25" customHeight="1" x14ac:dyDescent="0.15">
      <c r="A695" s="8" t="s">
        <v>166</v>
      </c>
      <c r="B695" s="157" t="s">
        <v>875</v>
      </c>
      <c r="C695" s="158">
        <v>25</v>
      </c>
      <c r="D695" s="157" t="s">
        <v>81</v>
      </c>
      <c r="E695" s="59"/>
      <c r="F695" s="159"/>
      <c r="G695" s="160"/>
      <c r="H695" s="160"/>
      <c r="I695" s="160"/>
      <c r="J695" s="160"/>
      <c r="K695" s="160"/>
      <c r="L695" s="160"/>
      <c r="M695" s="160"/>
      <c r="N695" s="160"/>
      <c r="O695" s="160"/>
      <c r="P695" s="160"/>
      <c r="Q695" s="160"/>
      <c r="R695" s="160"/>
      <c r="S695" s="160"/>
      <c r="T695" s="160"/>
      <c r="U695" s="160"/>
      <c r="V695" s="160"/>
      <c r="W695" s="160"/>
      <c r="X695" s="59">
        <v>52</v>
      </c>
      <c r="Y695" s="160">
        <v>0.55077105023332595</v>
      </c>
      <c r="Z695" s="160">
        <v>0.32422894976667399</v>
      </c>
      <c r="AA695" s="160">
        <v>0.125</v>
      </c>
      <c r="AB695" s="160">
        <v>6.2373315685226902E-2</v>
      </c>
      <c r="AC695" s="159">
        <v>29.3133802190148</v>
      </c>
      <c r="AD695" s="161">
        <v>0.91485730006577304</v>
      </c>
      <c r="AE695" s="160">
        <v>2.7280979622352501</v>
      </c>
    </row>
    <row r="696" spans="1:31" ht="21.25" customHeight="1" x14ac:dyDescent="0.15">
      <c r="A696" s="8" t="s">
        <v>559</v>
      </c>
      <c r="B696" s="157" t="s">
        <v>875</v>
      </c>
      <c r="C696" s="158">
        <v>38</v>
      </c>
      <c r="D696" s="157" t="s">
        <v>81</v>
      </c>
      <c r="E696" s="59"/>
      <c r="F696" s="159"/>
      <c r="G696" s="160"/>
      <c r="H696" s="160"/>
      <c r="I696" s="160"/>
      <c r="J696" s="160"/>
      <c r="K696" s="160"/>
      <c r="L696" s="160"/>
      <c r="M696" s="160"/>
      <c r="N696" s="160"/>
      <c r="O696" s="160"/>
      <c r="P696" s="160"/>
      <c r="Q696" s="160"/>
      <c r="R696" s="160"/>
      <c r="S696" s="160"/>
      <c r="T696" s="160"/>
      <c r="U696" s="160"/>
      <c r="V696" s="160"/>
      <c r="W696" s="160"/>
      <c r="X696" s="59">
        <v>28</v>
      </c>
      <c r="Y696" s="160">
        <v>0.51575281781264104</v>
      </c>
      <c r="Z696" s="160">
        <v>0.35924718218735902</v>
      </c>
      <c r="AA696" s="160">
        <v>0.125</v>
      </c>
      <c r="AB696" s="160">
        <v>3.7172482095425299E-2</v>
      </c>
      <c r="AC696" s="159">
        <v>28.9835263762163</v>
      </c>
      <c r="AD696" s="161">
        <v>0.90456271125396603</v>
      </c>
      <c r="AE696" s="160">
        <v>3.0579518050336998</v>
      </c>
    </row>
    <row r="697" spans="1:31" ht="21.25" customHeight="1" x14ac:dyDescent="0.15">
      <c r="A697" s="8" t="s">
        <v>481</v>
      </c>
      <c r="B697" s="157" t="s">
        <v>903</v>
      </c>
      <c r="C697" s="158">
        <v>33</v>
      </c>
      <c r="D697" s="157" t="s">
        <v>81</v>
      </c>
      <c r="E697" s="59"/>
      <c r="F697" s="159"/>
      <c r="G697" s="160"/>
      <c r="H697" s="160"/>
      <c r="I697" s="160"/>
      <c r="J697" s="160"/>
      <c r="K697" s="160"/>
      <c r="L697" s="160"/>
      <c r="M697" s="160"/>
      <c r="N697" s="160"/>
      <c r="O697" s="160"/>
      <c r="P697" s="160"/>
      <c r="Q697" s="160"/>
      <c r="R697" s="160"/>
      <c r="S697" s="160"/>
      <c r="T697" s="160"/>
      <c r="U697" s="160"/>
      <c r="V697" s="160"/>
      <c r="W697" s="160"/>
      <c r="X697" s="59">
        <v>36</v>
      </c>
      <c r="Y697" s="160">
        <v>0.35427197121986598</v>
      </c>
      <c r="Z697" s="160">
        <v>0.52072802878013402</v>
      </c>
      <c r="AA697" s="160">
        <v>0.125</v>
      </c>
      <c r="AB697" s="160">
        <v>3.44303857410602E-2</v>
      </c>
      <c r="AC697" s="159">
        <v>28.464993862677499</v>
      </c>
      <c r="AD697" s="161">
        <v>0.90196587027555397</v>
      </c>
      <c r="AE697" s="160">
        <v>3.0938431185725102</v>
      </c>
    </row>
    <row r="698" spans="1:31" ht="21.25" customHeight="1" x14ac:dyDescent="0.15">
      <c r="A698" s="8" t="s">
        <v>527</v>
      </c>
      <c r="B698" s="157" t="s">
        <v>903</v>
      </c>
      <c r="C698" s="158">
        <v>26</v>
      </c>
      <c r="D698" s="157" t="s">
        <v>81</v>
      </c>
      <c r="E698" s="59"/>
      <c r="F698" s="159"/>
      <c r="G698" s="160"/>
      <c r="H698" s="160"/>
      <c r="I698" s="160"/>
      <c r="J698" s="160"/>
      <c r="K698" s="160"/>
      <c r="L698" s="160"/>
      <c r="M698" s="160"/>
      <c r="N698" s="160"/>
      <c r="O698" s="160"/>
      <c r="P698" s="160"/>
      <c r="Q698" s="160"/>
      <c r="R698" s="160"/>
      <c r="S698" s="160"/>
      <c r="T698" s="160"/>
      <c r="U698" s="160"/>
      <c r="V698" s="160"/>
      <c r="W698" s="160"/>
      <c r="X698" s="59">
        <v>32</v>
      </c>
      <c r="Y698" s="160">
        <v>0.35351851234411102</v>
      </c>
      <c r="Z698" s="160">
        <v>0.52148148765588898</v>
      </c>
      <c r="AA698" s="160">
        <v>0.125</v>
      </c>
      <c r="AB698" s="160">
        <v>4.0439225376298002E-2</v>
      </c>
      <c r="AC698" s="159">
        <v>28.543643596123001</v>
      </c>
      <c r="AD698" s="161">
        <v>0.90445803224883103</v>
      </c>
      <c r="AE698" s="160">
        <v>3.0151933851269899</v>
      </c>
    </row>
    <row r="699" spans="1:31" ht="21.25" customHeight="1" x14ac:dyDescent="0.15">
      <c r="A699" s="8" t="s">
        <v>816</v>
      </c>
      <c r="B699" s="157" t="s">
        <v>903</v>
      </c>
      <c r="C699" s="158">
        <v>32</v>
      </c>
      <c r="D699" s="157" t="s">
        <v>81</v>
      </c>
      <c r="E699" s="59"/>
      <c r="F699" s="159"/>
      <c r="G699" s="160"/>
      <c r="H699" s="160"/>
      <c r="I699" s="160"/>
      <c r="J699" s="160"/>
      <c r="K699" s="160"/>
      <c r="L699" s="160"/>
      <c r="M699" s="160"/>
      <c r="N699" s="160"/>
      <c r="O699" s="160"/>
      <c r="P699" s="160"/>
      <c r="Q699" s="160"/>
      <c r="R699" s="160"/>
      <c r="S699" s="160"/>
      <c r="T699" s="160"/>
      <c r="U699" s="160"/>
      <c r="V699" s="160"/>
      <c r="W699" s="160"/>
      <c r="X699" s="59">
        <v>14</v>
      </c>
      <c r="Y699" s="160">
        <v>0.34564376916214901</v>
      </c>
      <c r="Z699" s="160">
        <v>0.52935623083785099</v>
      </c>
      <c r="AA699" s="160">
        <v>0.125</v>
      </c>
      <c r="AB699" s="160">
        <v>3.0129349863750501E-2</v>
      </c>
      <c r="AC699" s="159">
        <v>28.408697581560901</v>
      </c>
      <c r="AD699" s="161">
        <v>0.90018201869857495</v>
      </c>
      <c r="AE699" s="160">
        <v>3.15013939968913</v>
      </c>
    </row>
    <row r="700" spans="1:31" ht="21.25" customHeight="1" x14ac:dyDescent="0.15">
      <c r="A700" s="8" t="s">
        <v>280</v>
      </c>
      <c r="B700" s="157" t="s">
        <v>876</v>
      </c>
      <c r="C700" s="158">
        <v>27</v>
      </c>
      <c r="D700" s="157" t="s">
        <v>81</v>
      </c>
      <c r="E700" s="59"/>
      <c r="F700" s="159"/>
      <c r="G700" s="160"/>
      <c r="H700" s="160"/>
      <c r="I700" s="160"/>
      <c r="J700" s="160"/>
      <c r="K700" s="160"/>
      <c r="L700" s="160"/>
      <c r="M700" s="160"/>
      <c r="N700" s="160"/>
      <c r="O700" s="160"/>
      <c r="P700" s="160"/>
      <c r="Q700" s="160"/>
      <c r="R700" s="160"/>
      <c r="S700" s="160"/>
      <c r="T700" s="160"/>
      <c r="U700" s="160"/>
      <c r="V700" s="160"/>
      <c r="W700" s="160"/>
      <c r="X700" s="59">
        <v>42</v>
      </c>
      <c r="Y700" s="160">
        <v>0.58725118801575604</v>
      </c>
      <c r="Z700" s="160">
        <v>0.28774881198424401</v>
      </c>
      <c r="AA700" s="160">
        <v>0.125</v>
      </c>
      <c r="AB700" s="160">
        <v>6.5915684878636999E-2</v>
      </c>
      <c r="AC700" s="159">
        <v>27.242023207933698</v>
      </c>
      <c r="AD700" s="161">
        <v>0.91038117154632703</v>
      </c>
      <c r="AE700" s="160">
        <v>2.6817318733162701</v>
      </c>
    </row>
    <row r="701" spans="1:31" ht="21.25" customHeight="1" x14ac:dyDescent="0.15">
      <c r="A701" s="8" t="s">
        <v>373</v>
      </c>
      <c r="B701" s="157" t="s">
        <v>876</v>
      </c>
      <c r="C701" s="158">
        <v>23</v>
      </c>
      <c r="D701" s="157" t="s">
        <v>81</v>
      </c>
      <c r="E701" s="59"/>
      <c r="F701" s="159"/>
      <c r="G701" s="160"/>
      <c r="H701" s="160"/>
      <c r="I701" s="160"/>
      <c r="J701" s="160"/>
      <c r="K701" s="160"/>
      <c r="L701" s="160"/>
      <c r="M701" s="160"/>
      <c r="N701" s="160"/>
      <c r="O701" s="160"/>
      <c r="P701" s="160"/>
      <c r="Q701" s="160"/>
      <c r="R701" s="160"/>
      <c r="S701" s="160"/>
      <c r="T701" s="160"/>
      <c r="U701" s="160"/>
      <c r="V701" s="160"/>
      <c r="W701" s="160"/>
      <c r="X701" s="59">
        <v>36</v>
      </c>
      <c r="Y701" s="160">
        <v>0.56810493738796097</v>
      </c>
      <c r="Z701" s="160">
        <v>0.30689506261203903</v>
      </c>
      <c r="AA701" s="160">
        <v>0.125</v>
      </c>
      <c r="AB701" s="160">
        <v>5.50654776532086E-2</v>
      </c>
      <c r="AC701" s="159">
        <v>27.100004788752699</v>
      </c>
      <c r="AD701" s="161">
        <v>0.90563516227057295</v>
      </c>
      <c r="AE701" s="160">
        <v>2.8237502924972699</v>
      </c>
    </row>
    <row r="702" spans="1:31" ht="21.25" customHeight="1" x14ac:dyDescent="0.15">
      <c r="A702" s="8" t="s">
        <v>134</v>
      </c>
      <c r="B702" s="157" t="s">
        <v>897</v>
      </c>
      <c r="C702" s="158">
        <v>28</v>
      </c>
      <c r="D702" s="157" t="s">
        <v>81</v>
      </c>
      <c r="E702" s="59"/>
      <c r="F702" s="159"/>
      <c r="G702" s="160"/>
      <c r="H702" s="160"/>
      <c r="I702" s="160"/>
      <c r="J702" s="160"/>
      <c r="K702" s="160"/>
      <c r="L702" s="160"/>
      <c r="M702" s="160"/>
      <c r="N702" s="160"/>
      <c r="O702" s="160"/>
      <c r="P702" s="160"/>
      <c r="Q702" s="160"/>
      <c r="R702" s="160"/>
      <c r="S702" s="160"/>
      <c r="T702" s="160"/>
      <c r="U702" s="160"/>
      <c r="V702" s="160"/>
      <c r="W702" s="160"/>
      <c r="X702" s="59">
        <v>60</v>
      </c>
      <c r="Y702" s="160">
        <v>0.495365318830778</v>
      </c>
      <c r="Z702" s="160">
        <v>0.379634681169222</v>
      </c>
      <c r="AA702" s="160">
        <v>0.125</v>
      </c>
      <c r="AB702" s="160">
        <v>7.2993592516652203E-2</v>
      </c>
      <c r="AC702" s="159">
        <v>29.057223778064799</v>
      </c>
      <c r="AD702" s="161">
        <v>0.91818670589207296</v>
      </c>
      <c r="AE702" s="160">
        <v>2.5890891031851799</v>
      </c>
    </row>
    <row r="703" spans="1:31" ht="21.25" customHeight="1" x14ac:dyDescent="0.15">
      <c r="A703" s="8" t="s">
        <v>810</v>
      </c>
      <c r="B703" s="157" t="s">
        <v>897</v>
      </c>
      <c r="C703" s="158">
        <v>28</v>
      </c>
      <c r="D703" s="157" t="s">
        <v>81</v>
      </c>
      <c r="E703" s="59"/>
      <c r="F703" s="159"/>
      <c r="G703" s="160"/>
      <c r="H703" s="160"/>
      <c r="I703" s="160"/>
      <c r="J703" s="160"/>
      <c r="K703" s="160"/>
      <c r="L703" s="160"/>
      <c r="M703" s="160"/>
      <c r="N703" s="160"/>
      <c r="O703" s="160"/>
      <c r="P703" s="160"/>
      <c r="Q703" s="160"/>
      <c r="R703" s="160"/>
      <c r="S703" s="160"/>
      <c r="T703" s="160"/>
      <c r="U703" s="160"/>
      <c r="V703" s="160"/>
      <c r="W703" s="160"/>
      <c r="X703" s="59">
        <v>14</v>
      </c>
      <c r="Y703" s="160">
        <v>0.41387698764442898</v>
      </c>
      <c r="Z703" s="160">
        <v>0.46112301235557102</v>
      </c>
      <c r="AA703" s="160">
        <v>0.125</v>
      </c>
      <c r="AB703" s="160">
        <v>3.3363665117185602E-2</v>
      </c>
      <c r="AC703" s="159">
        <v>28.538507450846701</v>
      </c>
      <c r="AD703" s="161">
        <v>0.90179565492937197</v>
      </c>
      <c r="AE703" s="160">
        <v>3.1078054304033298</v>
      </c>
    </row>
    <row r="704" spans="1:31" ht="21.25" customHeight="1" x14ac:dyDescent="0.15">
      <c r="A704" s="8" t="s">
        <v>122</v>
      </c>
      <c r="B704" s="157" t="s">
        <v>900</v>
      </c>
      <c r="C704" s="158">
        <v>28</v>
      </c>
      <c r="D704" s="157" t="s">
        <v>81</v>
      </c>
      <c r="E704" s="59"/>
      <c r="F704" s="159"/>
      <c r="G704" s="160"/>
      <c r="H704" s="160"/>
      <c r="I704" s="160"/>
      <c r="J704" s="160"/>
      <c r="K704" s="160"/>
      <c r="L704" s="160"/>
      <c r="M704" s="160"/>
      <c r="N704" s="160"/>
      <c r="O704" s="160"/>
      <c r="P704" s="160"/>
      <c r="Q704" s="160"/>
      <c r="R704" s="160"/>
      <c r="S704" s="160"/>
      <c r="T704" s="160"/>
      <c r="U704" s="160"/>
      <c r="V704" s="160"/>
      <c r="W704" s="160"/>
      <c r="X704" s="59">
        <v>60</v>
      </c>
      <c r="Y704" s="160">
        <v>0.52953030096237597</v>
      </c>
      <c r="Z704" s="160">
        <v>0.34546969903762398</v>
      </c>
      <c r="AA704" s="160">
        <v>0.125</v>
      </c>
      <c r="AB704" s="160">
        <v>8.4003809209679703E-2</v>
      </c>
      <c r="AC704" s="159">
        <v>28.251123262004999</v>
      </c>
      <c r="AD704" s="161">
        <v>0.92034895792628701</v>
      </c>
      <c r="AE704" s="160">
        <v>2.44497631924503</v>
      </c>
    </row>
    <row r="705" spans="1:31" ht="21.25" customHeight="1" x14ac:dyDescent="0.15">
      <c r="A705" s="8" t="s">
        <v>741</v>
      </c>
      <c r="B705" s="157" t="s">
        <v>900</v>
      </c>
      <c r="C705" s="158">
        <v>35</v>
      </c>
      <c r="D705" s="157" t="s">
        <v>81</v>
      </c>
      <c r="E705" s="59"/>
      <c r="F705" s="159"/>
      <c r="G705" s="160"/>
      <c r="H705" s="160"/>
      <c r="I705" s="160"/>
      <c r="J705" s="160"/>
      <c r="K705" s="160"/>
      <c r="L705" s="160"/>
      <c r="M705" s="160"/>
      <c r="N705" s="160"/>
      <c r="O705" s="160"/>
      <c r="P705" s="160"/>
      <c r="Q705" s="160"/>
      <c r="R705" s="160"/>
      <c r="S705" s="160"/>
      <c r="T705" s="160"/>
      <c r="U705" s="160"/>
      <c r="V705" s="160"/>
      <c r="W705" s="160"/>
      <c r="X705" s="59">
        <v>20</v>
      </c>
      <c r="Y705" s="160">
        <v>0.46247580086678403</v>
      </c>
      <c r="Z705" s="160">
        <v>0.41252419913321597</v>
      </c>
      <c r="AA705" s="160">
        <v>0.125</v>
      </c>
      <c r="AB705" s="160">
        <v>4.4211330452676501E-2</v>
      </c>
      <c r="AC705" s="159">
        <v>27.730279299216999</v>
      </c>
      <c r="AD705" s="161">
        <v>0.90338120078797801</v>
      </c>
      <c r="AE705" s="160">
        <v>2.9658202820330302</v>
      </c>
    </row>
    <row r="706" spans="1:31" ht="21.25" customHeight="1" x14ac:dyDescent="0.15">
      <c r="A706" s="8" t="s">
        <v>123</v>
      </c>
      <c r="B706" s="157" t="s">
        <v>880</v>
      </c>
      <c r="C706" s="158">
        <v>27</v>
      </c>
      <c r="D706" s="157" t="s">
        <v>81</v>
      </c>
      <c r="E706" s="59"/>
      <c r="F706" s="159"/>
      <c r="G706" s="160"/>
      <c r="H706" s="160"/>
      <c r="I706" s="160"/>
      <c r="J706" s="160"/>
      <c r="K706" s="160"/>
      <c r="L706" s="160"/>
      <c r="M706" s="160"/>
      <c r="N706" s="160"/>
      <c r="O706" s="160"/>
      <c r="P706" s="160"/>
      <c r="Q706" s="160"/>
      <c r="R706" s="160"/>
      <c r="S706" s="160"/>
      <c r="T706" s="160"/>
      <c r="U706" s="160"/>
      <c r="V706" s="160"/>
      <c r="W706" s="160"/>
      <c r="X706" s="59">
        <v>56</v>
      </c>
      <c r="Y706" s="160">
        <v>0.62084039074102004</v>
      </c>
      <c r="Z706" s="160">
        <v>0.25415960925898001</v>
      </c>
      <c r="AA706" s="160">
        <v>0.125</v>
      </c>
      <c r="AB706" s="160">
        <v>8.3247149902355003E-2</v>
      </c>
      <c r="AC706" s="159">
        <v>28.163486444369799</v>
      </c>
      <c r="AD706" s="161">
        <v>0.91982327919589901</v>
      </c>
      <c r="AE706" s="160">
        <v>2.4548802368801699</v>
      </c>
    </row>
    <row r="707" spans="1:31" ht="21.25" customHeight="1" x14ac:dyDescent="0.15">
      <c r="A707" s="8" t="s">
        <v>707</v>
      </c>
      <c r="B707" s="157" t="s">
        <v>880</v>
      </c>
      <c r="C707" s="158">
        <v>37</v>
      </c>
      <c r="D707" s="157" t="s">
        <v>81</v>
      </c>
      <c r="E707" s="59"/>
      <c r="F707" s="159"/>
      <c r="G707" s="160"/>
      <c r="H707" s="160"/>
      <c r="I707" s="160"/>
      <c r="J707" s="160"/>
      <c r="K707" s="160"/>
      <c r="L707" s="160"/>
      <c r="M707" s="160"/>
      <c r="N707" s="160"/>
      <c r="O707" s="160"/>
      <c r="P707" s="160"/>
      <c r="Q707" s="160"/>
      <c r="R707" s="160"/>
      <c r="S707" s="160"/>
      <c r="T707" s="160"/>
      <c r="U707" s="160"/>
      <c r="V707" s="160"/>
      <c r="W707" s="160"/>
      <c r="X707" s="59">
        <v>24</v>
      </c>
      <c r="Y707" s="160">
        <v>0.55165889069122398</v>
      </c>
      <c r="Z707" s="160">
        <v>0.32334110930877602</v>
      </c>
      <c r="AA707" s="160">
        <v>0.125</v>
      </c>
      <c r="AB707" s="160">
        <v>3.10827937478888E-2</v>
      </c>
      <c r="AC707" s="159">
        <v>27.480706913552201</v>
      </c>
      <c r="AD707" s="161">
        <v>0.89752360730531</v>
      </c>
      <c r="AE707" s="160">
        <v>3.13765976769779</v>
      </c>
    </row>
    <row r="708" spans="1:31" ht="21.25" customHeight="1" x14ac:dyDescent="0.15">
      <c r="A708" s="8" t="s">
        <v>287</v>
      </c>
      <c r="B708" s="157" t="s">
        <v>888</v>
      </c>
      <c r="C708" s="158">
        <v>29</v>
      </c>
      <c r="D708" s="157" t="s">
        <v>81</v>
      </c>
      <c r="E708" s="59"/>
      <c r="F708" s="159"/>
      <c r="G708" s="160"/>
      <c r="H708" s="160"/>
      <c r="I708" s="160"/>
      <c r="J708" s="160"/>
      <c r="K708" s="160"/>
      <c r="L708" s="160"/>
      <c r="M708" s="160"/>
      <c r="N708" s="160"/>
      <c r="O708" s="160"/>
      <c r="P708" s="160"/>
      <c r="Q708" s="160"/>
      <c r="R708" s="160"/>
      <c r="S708" s="160"/>
      <c r="T708" s="160"/>
      <c r="U708" s="160"/>
      <c r="V708" s="160"/>
      <c r="W708" s="160"/>
      <c r="X708" s="59">
        <v>44</v>
      </c>
      <c r="Y708" s="160">
        <v>0.52890101935358003</v>
      </c>
      <c r="Z708" s="160">
        <v>0.34609898064641997</v>
      </c>
      <c r="AA708" s="160">
        <v>0.125</v>
      </c>
      <c r="AB708" s="160">
        <v>5.2796840707482397E-2</v>
      </c>
      <c r="AC708" s="159">
        <v>27.8344367878924</v>
      </c>
      <c r="AD708" s="161">
        <v>0.90701722066746304</v>
      </c>
      <c r="AE708" s="160">
        <v>2.8534444933575598</v>
      </c>
    </row>
    <row r="709" spans="1:31" ht="21.25" customHeight="1" x14ac:dyDescent="0.15">
      <c r="A709" s="8" t="s">
        <v>410</v>
      </c>
      <c r="B709" s="157" t="s">
        <v>888</v>
      </c>
      <c r="C709" s="158">
        <v>30</v>
      </c>
      <c r="D709" s="157" t="s">
        <v>81</v>
      </c>
      <c r="E709" s="59"/>
      <c r="F709" s="159"/>
      <c r="G709" s="160"/>
      <c r="H709" s="160"/>
      <c r="I709" s="160"/>
      <c r="J709" s="160"/>
      <c r="K709" s="160"/>
      <c r="L709" s="160"/>
      <c r="M709" s="160"/>
      <c r="N709" s="160"/>
      <c r="O709" s="160"/>
      <c r="P709" s="160"/>
      <c r="Q709" s="160"/>
      <c r="R709" s="160"/>
      <c r="S709" s="160"/>
      <c r="T709" s="160"/>
      <c r="U709" s="160"/>
      <c r="V709" s="160"/>
      <c r="W709" s="160"/>
      <c r="X709" s="59">
        <v>34</v>
      </c>
      <c r="Y709" s="160">
        <v>0.53264886206893303</v>
      </c>
      <c r="Z709" s="160">
        <v>0.34235113793106697</v>
      </c>
      <c r="AA709" s="160">
        <v>0.125</v>
      </c>
      <c r="AB709" s="160">
        <v>5.4700495009503497E-2</v>
      </c>
      <c r="AC709" s="159">
        <v>27.859353729018402</v>
      </c>
      <c r="AD709" s="161">
        <v>0.90782916792760704</v>
      </c>
      <c r="AE709" s="160">
        <v>2.82852755223163</v>
      </c>
    </row>
    <row r="710" spans="1:31" ht="21.25" customHeight="1" x14ac:dyDescent="0.15">
      <c r="A710" s="8" t="s">
        <v>266</v>
      </c>
      <c r="B710" s="157" t="s">
        <v>899</v>
      </c>
      <c r="C710" s="158">
        <v>25</v>
      </c>
      <c r="D710" s="157" t="s">
        <v>81</v>
      </c>
      <c r="E710" s="59"/>
      <c r="F710" s="159"/>
      <c r="G710" s="160"/>
      <c r="H710" s="160"/>
      <c r="I710" s="160"/>
      <c r="J710" s="160"/>
      <c r="K710" s="160"/>
      <c r="L710" s="160"/>
      <c r="M710" s="160"/>
      <c r="N710" s="160"/>
      <c r="O710" s="160"/>
      <c r="P710" s="160"/>
      <c r="Q710" s="160"/>
      <c r="R710" s="160"/>
      <c r="S710" s="160"/>
      <c r="T710" s="160"/>
      <c r="U710" s="160"/>
      <c r="V710" s="160"/>
      <c r="W710" s="160"/>
      <c r="X710" s="59">
        <v>48</v>
      </c>
      <c r="Y710" s="160">
        <v>0.397480013680717</v>
      </c>
      <c r="Z710" s="160">
        <v>0.477519986319283</v>
      </c>
      <c r="AA710" s="160">
        <v>0.125</v>
      </c>
      <c r="AB710" s="160">
        <v>5.4370348565704503E-2</v>
      </c>
      <c r="AC710" s="159">
        <v>28.821070640487001</v>
      </c>
      <c r="AD710" s="161">
        <v>0.910505590233745</v>
      </c>
      <c r="AE710" s="160">
        <v>2.8328488407630301</v>
      </c>
    </row>
    <row r="711" spans="1:31" ht="21.25" customHeight="1" x14ac:dyDescent="0.15">
      <c r="A711" s="8" t="s">
        <v>710</v>
      </c>
      <c r="B711" s="157" t="s">
        <v>899</v>
      </c>
      <c r="C711" s="158">
        <v>28</v>
      </c>
      <c r="D711" s="157" t="s">
        <v>81</v>
      </c>
      <c r="E711" s="59"/>
      <c r="F711" s="159"/>
      <c r="G711" s="160"/>
      <c r="H711" s="160"/>
      <c r="I711" s="160"/>
      <c r="J711" s="160"/>
      <c r="K711" s="160"/>
      <c r="L711" s="160"/>
      <c r="M711" s="160"/>
      <c r="N711" s="160"/>
      <c r="O711" s="160"/>
      <c r="P711" s="160"/>
      <c r="Q711" s="160"/>
      <c r="R711" s="160"/>
      <c r="S711" s="160"/>
      <c r="T711" s="160"/>
      <c r="U711" s="160"/>
      <c r="V711" s="160"/>
      <c r="W711" s="160"/>
      <c r="X711" s="59">
        <v>24</v>
      </c>
      <c r="Y711" s="160">
        <v>0.36080824573518699</v>
      </c>
      <c r="Z711" s="160">
        <v>0.51419175426481301</v>
      </c>
      <c r="AA711" s="160">
        <v>0.125</v>
      </c>
      <c r="AB711" s="160">
        <v>3.0861839286276799E-2</v>
      </c>
      <c r="AC711" s="159">
        <v>28.513367639447299</v>
      </c>
      <c r="AD711" s="161">
        <v>0.90078474030165701</v>
      </c>
      <c r="AE711" s="160">
        <v>3.1405518418026599</v>
      </c>
    </row>
    <row r="712" spans="1:31" ht="21.25" customHeight="1" x14ac:dyDescent="0.15">
      <c r="A712" s="8" t="s">
        <v>831</v>
      </c>
      <c r="B712" s="157" t="s">
        <v>899</v>
      </c>
      <c r="C712" s="158">
        <v>26</v>
      </c>
      <c r="D712" s="157" t="s">
        <v>81</v>
      </c>
      <c r="E712" s="59"/>
      <c r="F712" s="159"/>
      <c r="G712" s="160"/>
      <c r="H712" s="160"/>
      <c r="I712" s="160"/>
      <c r="J712" s="160"/>
      <c r="K712" s="160"/>
      <c r="L712" s="160"/>
      <c r="M712" s="160"/>
      <c r="N712" s="160"/>
      <c r="O712" s="160"/>
      <c r="P712" s="160"/>
      <c r="Q712" s="160"/>
      <c r="R712" s="160"/>
      <c r="S712" s="160"/>
      <c r="T712" s="160"/>
      <c r="U712" s="160"/>
      <c r="V712" s="160"/>
      <c r="W712" s="160"/>
      <c r="X712" s="59">
        <v>10</v>
      </c>
      <c r="Y712" s="160">
        <v>0.34734596543021001</v>
      </c>
      <c r="Z712" s="160">
        <v>0.52765403456978999</v>
      </c>
      <c r="AA712" s="160">
        <v>0.125</v>
      </c>
      <c r="AB712" s="160">
        <v>2.37023690623504E-2</v>
      </c>
      <c r="AC712" s="159">
        <v>28.4196572962022</v>
      </c>
      <c r="AD712" s="161">
        <v>0.89782427459059</v>
      </c>
      <c r="AE712" s="160">
        <v>3.2342621850477702</v>
      </c>
    </row>
    <row r="713" spans="1:31" ht="21.25" customHeight="1" x14ac:dyDescent="0.15">
      <c r="A713" s="8" t="s">
        <v>168</v>
      </c>
      <c r="B713" s="157" t="s">
        <v>883</v>
      </c>
      <c r="C713" s="158">
        <v>28</v>
      </c>
      <c r="D713" s="157" t="s">
        <v>81</v>
      </c>
      <c r="E713" s="59"/>
      <c r="F713" s="159"/>
      <c r="G713" s="160"/>
      <c r="H713" s="160"/>
      <c r="I713" s="160"/>
      <c r="J713" s="160"/>
      <c r="K713" s="160"/>
      <c r="L713" s="160"/>
      <c r="M713" s="160"/>
      <c r="N713" s="160"/>
      <c r="O713" s="160"/>
      <c r="P713" s="160"/>
      <c r="Q713" s="160"/>
      <c r="R713" s="160"/>
      <c r="S713" s="160"/>
      <c r="T713" s="160"/>
      <c r="U713" s="160"/>
      <c r="V713" s="160"/>
      <c r="W713" s="160"/>
      <c r="X713" s="59">
        <v>54</v>
      </c>
      <c r="Y713" s="160">
        <v>0.54731183357991398</v>
      </c>
      <c r="Z713" s="160">
        <v>0.32768816642008602</v>
      </c>
      <c r="AA713" s="160">
        <v>0.125</v>
      </c>
      <c r="AB713" s="160">
        <v>7.0299165375526801E-2</v>
      </c>
      <c r="AC713" s="159">
        <v>28.055918207107698</v>
      </c>
      <c r="AD713" s="161">
        <v>0.91446111544280995</v>
      </c>
      <c r="AE713" s="160">
        <v>2.6243564741423202</v>
      </c>
    </row>
    <row r="714" spans="1:31" ht="21.25" customHeight="1" x14ac:dyDescent="0.15">
      <c r="A714" s="8" t="s">
        <v>663</v>
      </c>
      <c r="B714" s="157" t="s">
        <v>883</v>
      </c>
      <c r="C714" s="158">
        <v>27</v>
      </c>
      <c r="D714" s="157" t="s">
        <v>81</v>
      </c>
      <c r="E714" s="59"/>
      <c r="F714" s="159"/>
      <c r="G714" s="160"/>
      <c r="H714" s="160"/>
      <c r="I714" s="160"/>
      <c r="J714" s="160"/>
      <c r="K714" s="160"/>
      <c r="L714" s="160"/>
      <c r="M714" s="160"/>
      <c r="N714" s="160"/>
      <c r="O714" s="160"/>
      <c r="P714" s="160"/>
      <c r="Q714" s="160"/>
      <c r="R714" s="160"/>
      <c r="S714" s="160"/>
      <c r="T714" s="160"/>
      <c r="U714" s="160"/>
      <c r="V714" s="160"/>
      <c r="W714" s="160"/>
      <c r="X714" s="59">
        <v>24</v>
      </c>
      <c r="Y714" s="160">
        <v>0.51449714203492802</v>
      </c>
      <c r="Z714" s="160">
        <v>0.36050285796507198</v>
      </c>
      <c r="AA714" s="160">
        <v>0.125</v>
      </c>
      <c r="AB714" s="160">
        <v>4.6092861171153403E-2</v>
      </c>
      <c r="AC714" s="159">
        <v>27.739081764642101</v>
      </c>
      <c r="AD714" s="161">
        <v>0.90413407483586095</v>
      </c>
      <c r="AE714" s="160">
        <v>2.9411929166079398</v>
      </c>
    </row>
    <row r="715" spans="1:31" ht="21.25" customHeight="1" x14ac:dyDescent="0.15">
      <c r="A715" s="8" t="s">
        <v>281</v>
      </c>
      <c r="B715" s="157" t="s">
        <v>901</v>
      </c>
      <c r="C715" s="158">
        <v>31</v>
      </c>
      <c r="D715" s="157" t="s">
        <v>81</v>
      </c>
      <c r="E715" s="59"/>
      <c r="F715" s="159"/>
      <c r="G715" s="160"/>
      <c r="H715" s="160"/>
      <c r="I715" s="160"/>
      <c r="J715" s="160"/>
      <c r="K715" s="160"/>
      <c r="L715" s="160"/>
      <c r="M715" s="160"/>
      <c r="N715" s="160"/>
      <c r="O715" s="160"/>
      <c r="P715" s="160"/>
      <c r="Q715" s="160"/>
      <c r="R715" s="160"/>
      <c r="S715" s="160"/>
      <c r="T715" s="160"/>
      <c r="U715" s="160"/>
      <c r="V715" s="160"/>
      <c r="W715" s="160"/>
      <c r="X715" s="59">
        <v>47</v>
      </c>
      <c r="Y715" s="160">
        <v>0.50209272929387805</v>
      </c>
      <c r="Z715" s="160">
        <v>0.37290727070612201</v>
      </c>
      <c r="AA715" s="160">
        <v>0.125</v>
      </c>
      <c r="AB715" s="160">
        <v>5.3407911638740403E-2</v>
      </c>
      <c r="AC715" s="159">
        <v>26.475278298511</v>
      </c>
      <c r="AD715" s="161">
        <v>0.90295443809519105</v>
      </c>
      <c r="AE715" s="160">
        <v>2.8454461827389999</v>
      </c>
    </row>
    <row r="716" spans="1:31" ht="21.25" customHeight="1" x14ac:dyDescent="0.15">
      <c r="A716" s="8" t="s">
        <v>763</v>
      </c>
      <c r="B716" s="157" t="s">
        <v>901</v>
      </c>
      <c r="C716" s="158">
        <v>27</v>
      </c>
      <c r="D716" s="157" t="s">
        <v>81</v>
      </c>
      <c r="E716" s="59"/>
      <c r="F716" s="159"/>
      <c r="G716" s="160"/>
      <c r="H716" s="160"/>
      <c r="I716" s="160"/>
      <c r="J716" s="160"/>
      <c r="K716" s="160"/>
      <c r="L716" s="160"/>
      <c r="M716" s="160"/>
      <c r="N716" s="160"/>
      <c r="O716" s="160"/>
      <c r="P716" s="160"/>
      <c r="Q716" s="160"/>
      <c r="R716" s="160"/>
      <c r="S716" s="160"/>
      <c r="T716" s="160"/>
      <c r="U716" s="160"/>
      <c r="V716" s="160"/>
      <c r="W716" s="160"/>
      <c r="X716" s="59">
        <v>20</v>
      </c>
      <c r="Y716" s="160">
        <v>0.47893823269130298</v>
      </c>
      <c r="Z716" s="160">
        <v>0.39606176730869702</v>
      </c>
      <c r="AA716" s="160">
        <v>0.125</v>
      </c>
      <c r="AB716" s="160">
        <v>4.6538289513819303E-2</v>
      </c>
      <c r="AC716" s="159">
        <v>26.385361778551299</v>
      </c>
      <c r="AD716" s="161">
        <v>0.89988778399470304</v>
      </c>
      <c r="AE716" s="160">
        <v>2.9353627026987001</v>
      </c>
    </row>
    <row r="717" spans="1:31" ht="21.25" customHeight="1" x14ac:dyDescent="0.15">
      <c r="A717" s="8" t="s">
        <v>805</v>
      </c>
      <c r="B717" s="157" t="s">
        <v>901</v>
      </c>
      <c r="C717" s="158">
        <v>29</v>
      </c>
      <c r="D717" s="157" t="s">
        <v>81</v>
      </c>
      <c r="E717" s="59"/>
      <c r="F717" s="159"/>
      <c r="G717" s="160"/>
      <c r="H717" s="160"/>
      <c r="I717" s="160"/>
      <c r="J717" s="160"/>
      <c r="K717" s="160"/>
      <c r="L717" s="160"/>
      <c r="M717" s="160"/>
      <c r="N717" s="160"/>
      <c r="O717" s="160"/>
      <c r="P717" s="160"/>
      <c r="Q717" s="160"/>
      <c r="R717" s="160"/>
      <c r="S717" s="160"/>
      <c r="T717" s="160"/>
      <c r="U717" s="160"/>
      <c r="V717" s="160"/>
      <c r="W717" s="160"/>
      <c r="X717" s="59">
        <v>15</v>
      </c>
      <c r="Y717" s="160">
        <v>0.48498660027365997</v>
      </c>
      <c r="Z717" s="160">
        <v>0.39001339972634003</v>
      </c>
      <c r="AA717" s="160">
        <v>0.125</v>
      </c>
      <c r="AB717" s="160">
        <v>4.8580384412442897E-2</v>
      </c>
      <c r="AC717" s="159">
        <v>26.412090769371002</v>
      </c>
      <c r="AD717" s="161">
        <v>0.900799391442765</v>
      </c>
      <c r="AE717" s="160">
        <v>2.9086337118790202</v>
      </c>
    </row>
    <row r="718" spans="1:31" ht="21.25" customHeight="1" x14ac:dyDescent="0.15">
      <c r="A718" s="8" t="s">
        <v>341</v>
      </c>
      <c r="B718" s="157" t="s">
        <v>902</v>
      </c>
      <c r="C718" s="158">
        <v>27</v>
      </c>
      <c r="D718" s="157" t="s">
        <v>81</v>
      </c>
      <c r="E718" s="59"/>
      <c r="F718" s="159"/>
      <c r="G718" s="160"/>
      <c r="H718" s="160"/>
      <c r="I718" s="160"/>
      <c r="J718" s="160"/>
      <c r="K718" s="160"/>
      <c r="L718" s="160"/>
      <c r="M718" s="160"/>
      <c r="N718" s="160"/>
      <c r="O718" s="160"/>
      <c r="P718" s="160"/>
      <c r="Q718" s="160"/>
      <c r="R718" s="160"/>
      <c r="S718" s="160"/>
      <c r="T718" s="160"/>
      <c r="U718" s="160"/>
      <c r="V718" s="160"/>
      <c r="W718" s="160"/>
      <c r="X718" s="59">
        <v>44</v>
      </c>
      <c r="Y718" s="160">
        <v>0.38394740440326502</v>
      </c>
      <c r="Z718" s="160">
        <v>0.49105259559673498</v>
      </c>
      <c r="AA718" s="160">
        <v>0.125</v>
      </c>
      <c r="AB718" s="160">
        <v>3.3998870508737102E-2</v>
      </c>
      <c r="AC718" s="159">
        <v>29.5052532575424</v>
      </c>
      <c r="AD718" s="161">
        <v>0.90493741714522402</v>
      </c>
      <c r="AE718" s="160">
        <v>3.0994912237076302</v>
      </c>
    </row>
    <row r="719" spans="1:31" ht="21.25" customHeight="1" x14ac:dyDescent="0.15">
      <c r="A719" s="8" t="s">
        <v>557</v>
      </c>
      <c r="B719" s="157" t="s">
        <v>902</v>
      </c>
      <c r="C719" s="158">
        <v>26</v>
      </c>
      <c r="D719" s="157" t="s">
        <v>81</v>
      </c>
      <c r="E719" s="59"/>
      <c r="F719" s="159"/>
      <c r="G719" s="160"/>
      <c r="H719" s="160"/>
      <c r="I719" s="160"/>
      <c r="J719" s="160"/>
      <c r="K719" s="160"/>
      <c r="L719" s="160"/>
      <c r="M719" s="160"/>
      <c r="N719" s="160"/>
      <c r="O719" s="160"/>
      <c r="P719" s="160"/>
      <c r="Q719" s="160"/>
      <c r="R719" s="160"/>
      <c r="S719" s="160"/>
      <c r="T719" s="160"/>
      <c r="U719" s="160"/>
      <c r="V719" s="160"/>
      <c r="W719" s="160"/>
      <c r="X719" s="59">
        <v>30</v>
      </c>
      <c r="Y719" s="160">
        <v>0.37884236512881198</v>
      </c>
      <c r="Z719" s="160">
        <v>0.49615763487118802</v>
      </c>
      <c r="AA719" s="160">
        <v>0.125</v>
      </c>
      <c r="AB719" s="160">
        <v>3.0657451513100301E-2</v>
      </c>
      <c r="AC719" s="159">
        <v>29.461517406814099</v>
      </c>
      <c r="AD719" s="161">
        <v>0.90359602185370802</v>
      </c>
      <c r="AE719" s="160">
        <v>3.1432270744358601</v>
      </c>
    </row>
    <row r="720" spans="1:31" ht="21.25" customHeight="1" x14ac:dyDescent="0.15">
      <c r="A720" s="8" t="s">
        <v>203</v>
      </c>
      <c r="B720" s="157" t="s">
        <v>885</v>
      </c>
      <c r="C720" s="158">
        <v>30</v>
      </c>
      <c r="D720" s="157" t="s">
        <v>81</v>
      </c>
      <c r="E720" s="59"/>
      <c r="F720" s="159"/>
      <c r="G720" s="160"/>
      <c r="H720" s="160"/>
      <c r="I720" s="160"/>
      <c r="J720" s="160"/>
      <c r="K720" s="160"/>
      <c r="L720" s="160"/>
      <c r="M720" s="160"/>
      <c r="N720" s="160"/>
      <c r="O720" s="160"/>
      <c r="P720" s="160"/>
      <c r="Q720" s="160"/>
      <c r="R720" s="160"/>
      <c r="S720" s="160"/>
      <c r="T720" s="160"/>
      <c r="U720" s="160"/>
      <c r="V720" s="160"/>
      <c r="W720" s="160"/>
      <c r="X720" s="59">
        <v>60</v>
      </c>
      <c r="Y720" s="160">
        <v>0.42391199480988601</v>
      </c>
      <c r="Z720" s="160">
        <v>0.45108800519011399</v>
      </c>
      <c r="AA720" s="160">
        <v>0.125</v>
      </c>
      <c r="AB720" s="160">
        <v>4.6800444131020198E-2</v>
      </c>
      <c r="AC720" s="159">
        <v>28.5242165217084</v>
      </c>
      <c r="AD720" s="161">
        <v>0.90679305773199104</v>
      </c>
      <c r="AE720" s="160">
        <v>2.9319313595416201</v>
      </c>
    </row>
    <row r="721" spans="1:31" ht="21.25" customHeight="1" x14ac:dyDescent="0.15">
      <c r="A721" s="8" t="s">
        <v>756</v>
      </c>
      <c r="B721" s="157" t="s">
        <v>885</v>
      </c>
      <c r="C721" s="158">
        <v>23</v>
      </c>
      <c r="D721" s="157" t="s">
        <v>81</v>
      </c>
      <c r="E721" s="59"/>
      <c r="F721" s="159"/>
      <c r="G721" s="160"/>
      <c r="H721" s="160"/>
      <c r="I721" s="160"/>
      <c r="J721" s="160"/>
      <c r="K721" s="160"/>
      <c r="L721" s="160"/>
      <c r="M721" s="160"/>
      <c r="N721" s="160"/>
      <c r="O721" s="160"/>
      <c r="P721" s="160"/>
      <c r="Q721" s="160"/>
      <c r="R721" s="160"/>
      <c r="S721" s="160"/>
      <c r="T721" s="160"/>
      <c r="U721" s="160"/>
      <c r="V721" s="160"/>
      <c r="W721" s="160"/>
      <c r="X721" s="59">
        <v>20</v>
      </c>
      <c r="Y721" s="160">
        <v>0.39131026913781602</v>
      </c>
      <c r="Z721" s="160">
        <v>0.48368973086218398</v>
      </c>
      <c r="AA721" s="160">
        <v>0.125</v>
      </c>
      <c r="AB721" s="160">
        <v>3.2844710243999001E-2</v>
      </c>
      <c r="AC721" s="159">
        <v>28.3415498477945</v>
      </c>
      <c r="AD721" s="161">
        <v>0.90098603156325996</v>
      </c>
      <c r="AE721" s="160">
        <v>3.1145980334555099</v>
      </c>
    </row>
    <row r="722" spans="1:31" ht="21.25" customHeight="1" x14ac:dyDescent="0.15">
      <c r="A722" s="8" t="s">
        <v>120</v>
      </c>
      <c r="B722" s="157" t="s">
        <v>872</v>
      </c>
      <c r="C722" s="158">
        <v>29</v>
      </c>
      <c r="D722" s="157" t="s">
        <v>81</v>
      </c>
      <c r="E722" s="59"/>
      <c r="F722" s="159"/>
      <c r="G722" s="160"/>
      <c r="H722" s="160"/>
      <c r="I722" s="160"/>
      <c r="J722" s="160"/>
      <c r="K722" s="160"/>
      <c r="L722" s="160"/>
      <c r="M722" s="160"/>
      <c r="N722" s="160"/>
      <c r="O722" s="160"/>
      <c r="P722" s="160"/>
      <c r="Q722" s="160"/>
      <c r="R722" s="160"/>
      <c r="S722" s="160"/>
      <c r="T722" s="160"/>
      <c r="U722" s="160"/>
      <c r="V722" s="160"/>
      <c r="W722" s="160"/>
      <c r="X722" s="59">
        <v>62</v>
      </c>
      <c r="Y722" s="160">
        <v>0.56858034207405905</v>
      </c>
      <c r="Z722" s="160">
        <v>0.306419657925941</v>
      </c>
      <c r="AA722" s="160">
        <v>0.125</v>
      </c>
      <c r="AB722" s="160">
        <v>7.0946885591795697E-2</v>
      </c>
      <c r="AC722" s="159">
        <v>28.8176228204096</v>
      </c>
      <c r="AD722" s="161">
        <v>0.91678055723303298</v>
      </c>
      <c r="AE722" s="160">
        <v>2.6158784608403698</v>
      </c>
    </row>
    <row r="723" spans="1:31" ht="21.25" customHeight="1" x14ac:dyDescent="0.15">
      <c r="A723" s="8" t="s">
        <v>782</v>
      </c>
      <c r="B723" s="157" t="s">
        <v>872</v>
      </c>
      <c r="C723" s="158">
        <v>27</v>
      </c>
      <c r="D723" s="157" t="s">
        <v>81</v>
      </c>
      <c r="E723" s="59"/>
      <c r="F723" s="159"/>
      <c r="G723" s="160"/>
      <c r="H723" s="160"/>
      <c r="I723" s="160"/>
      <c r="J723" s="160"/>
      <c r="K723" s="160"/>
      <c r="L723" s="160"/>
      <c r="M723" s="160"/>
      <c r="N723" s="160"/>
      <c r="O723" s="160"/>
      <c r="P723" s="160"/>
      <c r="Q723" s="160"/>
      <c r="R723" s="160"/>
      <c r="S723" s="160"/>
      <c r="T723" s="160"/>
      <c r="U723" s="160"/>
      <c r="V723" s="160"/>
      <c r="W723" s="160"/>
      <c r="X723" s="59">
        <v>18</v>
      </c>
      <c r="Y723" s="160">
        <v>0.485160640520229</v>
      </c>
      <c r="Z723" s="160">
        <v>0.389839359479771</v>
      </c>
      <c r="AA723" s="160">
        <v>0.125</v>
      </c>
      <c r="AB723" s="160">
        <v>2.7600714615440301E-2</v>
      </c>
      <c r="AC723" s="159">
        <v>28.250264561556801</v>
      </c>
      <c r="AD723" s="161">
        <v>0.89873108021879899</v>
      </c>
      <c r="AE723" s="160">
        <v>3.1832367196931899</v>
      </c>
    </row>
    <row r="724" spans="1:31" ht="21.25" customHeight="1" x14ac:dyDescent="0.15">
      <c r="A724" s="8" t="s">
        <v>220</v>
      </c>
      <c r="B724" s="157" t="s">
        <v>874</v>
      </c>
      <c r="C724" s="158">
        <v>26</v>
      </c>
      <c r="D724" s="157" t="s">
        <v>81</v>
      </c>
      <c r="E724" s="59"/>
      <c r="F724" s="159"/>
      <c r="G724" s="160"/>
      <c r="H724" s="160"/>
      <c r="I724" s="160"/>
      <c r="J724" s="160"/>
      <c r="K724" s="160"/>
      <c r="L724" s="160"/>
      <c r="M724" s="160"/>
      <c r="N724" s="160"/>
      <c r="O724" s="160"/>
      <c r="P724" s="160"/>
      <c r="Q724" s="160"/>
      <c r="R724" s="160"/>
      <c r="S724" s="160"/>
      <c r="T724" s="160"/>
      <c r="U724" s="160"/>
      <c r="V724" s="160"/>
      <c r="W724" s="160"/>
      <c r="X724" s="59">
        <v>48</v>
      </c>
      <c r="Y724" s="160">
        <v>0.60947833120181405</v>
      </c>
      <c r="Z724" s="160">
        <v>0.26552166879818601</v>
      </c>
      <c r="AA724" s="160">
        <v>0.125</v>
      </c>
      <c r="AB724" s="160">
        <v>5.7977343238271598E-2</v>
      </c>
      <c r="AC724" s="159">
        <v>28.516923012641001</v>
      </c>
      <c r="AD724" s="161">
        <v>0.911009295112711</v>
      </c>
      <c r="AE724" s="160">
        <v>2.7856368686090098</v>
      </c>
    </row>
    <row r="725" spans="1:31" ht="21.25" customHeight="1" x14ac:dyDescent="0.15">
      <c r="A725" s="8" t="s">
        <v>635</v>
      </c>
      <c r="B725" s="157" t="s">
        <v>874</v>
      </c>
      <c r="C725" s="158">
        <v>25</v>
      </c>
      <c r="D725" s="157" t="s">
        <v>81</v>
      </c>
      <c r="E725" s="59"/>
      <c r="F725" s="159"/>
      <c r="G725" s="160"/>
      <c r="H725" s="160"/>
      <c r="I725" s="160"/>
      <c r="J725" s="160"/>
      <c r="K725" s="160"/>
      <c r="L725" s="160"/>
      <c r="M725" s="160"/>
      <c r="N725" s="160"/>
      <c r="O725" s="160"/>
      <c r="P725" s="160"/>
      <c r="Q725" s="160"/>
      <c r="R725" s="160"/>
      <c r="S725" s="160"/>
      <c r="T725" s="160"/>
      <c r="U725" s="160"/>
      <c r="V725" s="160"/>
      <c r="W725" s="160"/>
      <c r="X725" s="59">
        <v>24</v>
      </c>
      <c r="Y725" s="160">
        <v>0.57721021487271496</v>
      </c>
      <c r="Z725" s="160">
        <v>0.29778978512728499</v>
      </c>
      <c r="AA725" s="160">
        <v>0.125</v>
      </c>
      <c r="AB725" s="160">
        <v>4.2724297798615203E-2</v>
      </c>
      <c r="AC725" s="159">
        <v>28.317275821022498</v>
      </c>
      <c r="AD725" s="161">
        <v>0.90463131221367898</v>
      </c>
      <c r="AE725" s="160">
        <v>2.9852840602275501</v>
      </c>
    </row>
    <row r="726" spans="1:31" ht="21.25" customHeight="1" x14ac:dyDescent="0.15">
      <c r="A726" s="8" t="s">
        <v>827</v>
      </c>
      <c r="B726" s="157" t="s">
        <v>874</v>
      </c>
      <c r="C726" s="158">
        <v>29</v>
      </c>
      <c r="D726" s="157" t="s">
        <v>81</v>
      </c>
      <c r="E726" s="59"/>
      <c r="F726" s="159"/>
      <c r="G726" s="160"/>
      <c r="H726" s="160"/>
      <c r="I726" s="160"/>
      <c r="J726" s="160"/>
      <c r="K726" s="160"/>
      <c r="L726" s="160"/>
      <c r="M726" s="160"/>
      <c r="N726" s="160"/>
      <c r="O726" s="160"/>
      <c r="P726" s="160"/>
      <c r="Q726" s="160"/>
      <c r="R726" s="160"/>
      <c r="S726" s="160"/>
      <c r="T726" s="160"/>
      <c r="U726" s="160"/>
      <c r="V726" s="160"/>
      <c r="W726" s="160"/>
      <c r="X726" s="59">
        <v>10</v>
      </c>
      <c r="Y726" s="160">
        <v>0.569854068156882</v>
      </c>
      <c r="Z726" s="160">
        <v>0.305145931843118</v>
      </c>
      <c r="AA726" s="160">
        <v>0.125</v>
      </c>
      <c r="AB726" s="160">
        <v>3.4774891854262399E-2</v>
      </c>
      <c r="AC726" s="159">
        <v>28.213226004996901</v>
      </c>
      <c r="AD726" s="161">
        <v>0.90130730879605803</v>
      </c>
      <c r="AE726" s="160">
        <v>3.08933387625311</v>
      </c>
    </row>
    <row r="727" spans="1:31" ht="21.25" customHeight="1" x14ac:dyDescent="0.15">
      <c r="A727" s="8" t="s">
        <v>155</v>
      </c>
      <c r="B727" s="157" t="s">
        <v>882</v>
      </c>
      <c r="C727" s="158">
        <v>27</v>
      </c>
      <c r="D727" s="157" t="s">
        <v>81</v>
      </c>
      <c r="E727" s="59"/>
      <c r="F727" s="159"/>
      <c r="G727" s="160"/>
      <c r="H727" s="160"/>
      <c r="I727" s="160"/>
      <c r="J727" s="160"/>
      <c r="K727" s="160"/>
      <c r="L727" s="160"/>
      <c r="M727" s="160"/>
      <c r="N727" s="160"/>
      <c r="O727" s="160"/>
      <c r="P727" s="160"/>
      <c r="Q727" s="160"/>
      <c r="R727" s="160"/>
      <c r="S727" s="160"/>
      <c r="T727" s="160"/>
      <c r="U727" s="160"/>
      <c r="V727" s="160"/>
      <c r="W727" s="160"/>
      <c r="X727" s="59">
        <v>55</v>
      </c>
      <c r="Y727" s="160">
        <v>0.51899258056545805</v>
      </c>
      <c r="Z727" s="160">
        <v>0.35600741943454201</v>
      </c>
      <c r="AA727" s="160">
        <v>0.125</v>
      </c>
      <c r="AB727" s="160">
        <v>6.6515146133590705E-2</v>
      </c>
      <c r="AC727" s="159">
        <v>27.991175959438401</v>
      </c>
      <c r="AD727" s="161">
        <v>0.91280351668472703</v>
      </c>
      <c r="AE727" s="160">
        <v>2.67388552181164</v>
      </c>
    </row>
    <row r="728" spans="1:31" ht="21.25" customHeight="1" x14ac:dyDescent="0.15">
      <c r="A728" s="8" t="s">
        <v>764</v>
      </c>
      <c r="B728" s="157" t="s">
        <v>882</v>
      </c>
      <c r="C728" s="158">
        <v>28</v>
      </c>
      <c r="D728" s="157" t="s">
        <v>81</v>
      </c>
      <c r="E728" s="59"/>
      <c r="F728" s="159"/>
      <c r="G728" s="160"/>
      <c r="H728" s="160"/>
      <c r="I728" s="160"/>
      <c r="J728" s="160"/>
      <c r="K728" s="160"/>
      <c r="L728" s="160"/>
      <c r="M728" s="160"/>
      <c r="N728" s="160"/>
      <c r="O728" s="160"/>
      <c r="P728" s="160"/>
      <c r="Q728" s="160"/>
      <c r="R728" s="160"/>
      <c r="S728" s="160"/>
      <c r="T728" s="160"/>
      <c r="U728" s="160"/>
      <c r="V728" s="160"/>
      <c r="W728" s="160"/>
      <c r="X728" s="59">
        <v>20</v>
      </c>
      <c r="Y728" s="160">
        <v>0.46833704790109199</v>
      </c>
      <c r="Z728" s="160">
        <v>0.40666295209890801</v>
      </c>
      <c r="AA728" s="160">
        <v>0.125</v>
      </c>
      <c r="AB728" s="160">
        <v>3.3075709569809202E-2</v>
      </c>
      <c r="AC728" s="159">
        <v>27.553486999179398</v>
      </c>
      <c r="AD728" s="161">
        <v>0.89853030348648999</v>
      </c>
      <c r="AE728" s="160">
        <v>3.11157448207056</v>
      </c>
    </row>
    <row r="729" spans="1:31" ht="21.25" customHeight="1" x14ac:dyDescent="0.15">
      <c r="A729" s="8" t="s">
        <v>207</v>
      </c>
      <c r="B729" s="157" t="s">
        <v>895</v>
      </c>
      <c r="C729" s="158">
        <v>27</v>
      </c>
      <c r="D729" s="157" t="s">
        <v>81</v>
      </c>
      <c r="E729" s="59"/>
      <c r="F729" s="159"/>
      <c r="G729" s="160"/>
      <c r="H729" s="160"/>
      <c r="I729" s="160"/>
      <c r="J729" s="160"/>
      <c r="K729" s="160"/>
      <c r="L729" s="160"/>
      <c r="M729" s="160"/>
      <c r="N729" s="160"/>
      <c r="O729" s="160"/>
      <c r="P729" s="160"/>
      <c r="Q729" s="160"/>
      <c r="R729" s="160"/>
      <c r="S729" s="160"/>
      <c r="T729" s="160"/>
      <c r="U729" s="160"/>
      <c r="V729" s="160"/>
      <c r="W729" s="160"/>
      <c r="X729" s="59">
        <v>48</v>
      </c>
      <c r="Y729" s="160">
        <v>0.59315615014356904</v>
      </c>
      <c r="Z729" s="160">
        <v>0.28184384985643102</v>
      </c>
      <c r="AA729" s="160">
        <v>0.125</v>
      </c>
      <c r="AB729" s="160">
        <v>6.00805796868445E-2</v>
      </c>
      <c r="AC729" s="159">
        <v>28.138070085528099</v>
      </c>
      <c r="AD729" s="161">
        <v>0.91072981181760404</v>
      </c>
      <c r="AE729" s="160">
        <v>2.7581075957219299</v>
      </c>
    </row>
    <row r="730" spans="1:31" ht="21.25" customHeight="1" x14ac:dyDescent="0.15">
      <c r="A730" s="8" t="s">
        <v>417</v>
      </c>
      <c r="B730" s="157" t="s">
        <v>895</v>
      </c>
      <c r="C730" s="158">
        <v>26</v>
      </c>
      <c r="D730" s="157" t="s">
        <v>81</v>
      </c>
      <c r="E730" s="59"/>
      <c r="F730" s="159"/>
      <c r="G730" s="160"/>
      <c r="H730" s="160"/>
      <c r="I730" s="160"/>
      <c r="J730" s="160"/>
      <c r="K730" s="160"/>
      <c r="L730" s="160"/>
      <c r="M730" s="160"/>
      <c r="N730" s="160"/>
      <c r="O730" s="160"/>
      <c r="P730" s="160"/>
      <c r="Q730" s="160"/>
      <c r="R730" s="160"/>
      <c r="S730" s="160"/>
      <c r="T730" s="160"/>
      <c r="U730" s="160"/>
      <c r="V730" s="160"/>
      <c r="W730" s="160"/>
      <c r="X730" s="59">
        <v>32</v>
      </c>
      <c r="Y730" s="160">
        <v>0.579185617286048</v>
      </c>
      <c r="Z730" s="160">
        <v>0.295814382713952</v>
      </c>
      <c r="AA730" s="160">
        <v>0.125</v>
      </c>
      <c r="AB730" s="160">
        <v>5.7540491581803702E-2</v>
      </c>
      <c r="AC730" s="159">
        <v>28.104822859022299</v>
      </c>
      <c r="AD730" s="161">
        <v>0.90965371668218697</v>
      </c>
      <c r="AE730" s="160">
        <v>2.7913548222276998</v>
      </c>
    </row>
    <row r="731" spans="1:31" ht="21.25" customHeight="1" x14ac:dyDescent="0.15">
      <c r="A731" s="8" t="s">
        <v>128</v>
      </c>
      <c r="B731" s="157" t="s">
        <v>886</v>
      </c>
      <c r="C731" s="158">
        <v>30</v>
      </c>
      <c r="D731" s="157" t="s">
        <v>81</v>
      </c>
      <c r="E731" s="59"/>
      <c r="F731" s="159"/>
      <c r="G731" s="160"/>
      <c r="H731" s="160"/>
      <c r="I731" s="160"/>
      <c r="J731" s="160"/>
      <c r="K731" s="160"/>
      <c r="L731" s="160"/>
      <c r="M731" s="160"/>
      <c r="N731" s="160"/>
      <c r="O731" s="160"/>
      <c r="P731" s="160"/>
      <c r="Q731" s="160"/>
      <c r="R731" s="160"/>
      <c r="S731" s="160"/>
      <c r="T731" s="160"/>
      <c r="U731" s="160"/>
      <c r="V731" s="160"/>
      <c r="W731" s="160"/>
      <c r="X731" s="59">
        <v>62</v>
      </c>
      <c r="Y731" s="160">
        <v>0.54188708587401102</v>
      </c>
      <c r="Z731" s="160">
        <v>0.33311291412598898</v>
      </c>
      <c r="AA731" s="160">
        <v>0.125</v>
      </c>
      <c r="AB731" s="160">
        <v>7.9778404248772805E-2</v>
      </c>
      <c r="AC731" s="159">
        <v>27.267530914349098</v>
      </c>
      <c r="AD731" s="161">
        <v>0.91600717801875298</v>
      </c>
      <c r="AE731" s="160">
        <v>2.5002826669008802</v>
      </c>
    </row>
    <row r="732" spans="1:31" ht="21.25" customHeight="1" x14ac:dyDescent="0.15">
      <c r="A732" s="8" t="s">
        <v>777</v>
      </c>
      <c r="B732" s="157" t="s">
        <v>886</v>
      </c>
      <c r="C732" s="158">
        <v>30</v>
      </c>
      <c r="D732" s="157" t="s">
        <v>81</v>
      </c>
      <c r="E732" s="59"/>
      <c r="F732" s="159"/>
      <c r="G732" s="160"/>
      <c r="H732" s="160"/>
      <c r="I732" s="160"/>
      <c r="J732" s="160"/>
      <c r="K732" s="160"/>
      <c r="L732" s="160"/>
      <c r="M732" s="160"/>
      <c r="N732" s="160"/>
      <c r="O732" s="160"/>
      <c r="P732" s="160"/>
      <c r="Q732" s="160"/>
      <c r="R732" s="160"/>
      <c r="S732" s="160"/>
      <c r="T732" s="160"/>
      <c r="U732" s="160"/>
      <c r="V732" s="160"/>
      <c r="W732" s="160"/>
      <c r="X732" s="59">
        <v>18</v>
      </c>
      <c r="Y732" s="160">
        <v>0.48404935685856898</v>
      </c>
      <c r="Z732" s="160">
        <v>0.39095064314143102</v>
      </c>
      <c r="AA732" s="160">
        <v>0.125</v>
      </c>
      <c r="AB732" s="160">
        <v>4.8176437957596303E-2</v>
      </c>
      <c r="AC732" s="159">
        <v>26.853892612108599</v>
      </c>
      <c r="AD732" s="161">
        <v>0.90211168982270096</v>
      </c>
      <c r="AE732" s="160">
        <v>2.9139209691414099</v>
      </c>
    </row>
    <row r="733" spans="1:31" ht="21.25" customHeight="1" x14ac:dyDescent="0.15">
      <c r="A733" s="8" t="s">
        <v>193</v>
      </c>
      <c r="B733" s="157" t="s">
        <v>891</v>
      </c>
      <c r="C733" s="158">
        <v>33</v>
      </c>
      <c r="D733" s="157" t="s">
        <v>81</v>
      </c>
      <c r="E733" s="59"/>
      <c r="F733" s="159"/>
      <c r="G733" s="160"/>
      <c r="H733" s="160"/>
      <c r="I733" s="160"/>
      <c r="J733" s="160"/>
      <c r="K733" s="160"/>
      <c r="L733" s="160"/>
      <c r="M733" s="160"/>
      <c r="N733" s="160"/>
      <c r="O733" s="160"/>
      <c r="P733" s="160"/>
      <c r="Q733" s="160"/>
      <c r="R733" s="160"/>
      <c r="S733" s="160"/>
      <c r="T733" s="160"/>
      <c r="U733" s="160"/>
      <c r="V733" s="160"/>
      <c r="W733" s="160"/>
      <c r="X733" s="59">
        <v>54</v>
      </c>
      <c r="Y733" s="160">
        <v>0.46501795754754499</v>
      </c>
      <c r="Z733" s="160">
        <v>0.40998204245245501</v>
      </c>
      <c r="AA733" s="160">
        <v>0.125</v>
      </c>
      <c r="AB733" s="160">
        <v>5.5386908190427402E-2</v>
      </c>
      <c r="AC733" s="159">
        <v>29.393461494737299</v>
      </c>
      <c r="AD733" s="161">
        <v>0.91247189999302702</v>
      </c>
      <c r="AE733" s="160">
        <v>2.8195430865127298</v>
      </c>
    </row>
    <row r="734" spans="1:31" ht="21.25" customHeight="1" x14ac:dyDescent="0.15">
      <c r="A734" s="8" t="s">
        <v>682</v>
      </c>
      <c r="B734" s="157" t="s">
        <v>891</v>
      </c>
      <c r="C734" s="158">
        <v>29</v>
      </c>
      <c r="D734" s="157" t="s">
        <v>81</v>
      </c>
      <c r="E734" s="59"/>
      <c r="F734" s="159"/>
      <c r="G734" s="160"/>
      <c r="H734" s="160"/>
      <c r="I734" s="160"/>
      <c r="J734" s="160"/>
      <c r="K734" s="160"/>
      <c r="L734" s="160"/>
      <c r="M734" s="160"/>
      <c r="N734" s="160"/>
      <c r="O734" s="160"/>
      <c r="P734" s="160"/>
      <c r="Q734" s="160"/>
      <c r="R734" s="160"/>
      <c r="S734" s="160"/>
      <c r="T734" s="160"/>
      <c r="U734" s="160"/>
      <c r="V734" s="160"/>
      <c r="W734" s="160"/>
      <c r="X734" s="59">
        <v>24</v>
      </c>
      <c r="Y734" s="160">
        <v>0.41465068030005597</v>
      </c>
      <c r="Z734" s="160">
        <v>0.46034931969994403</v>
      </c>
      <c r="AA734" s="160">
        <v>0.125</v>
      </c>
      <c r="AB734" s="160">
        <v>3.2224727616038298E-2</v>
      </c>
      <c r="AC734" s="159">
        <v>29.090291591931098</v>
      </c>
      <c r="AD734" s="161">
        <v>0.90306048659812099</v>
      </c>
      <c r="AE734" s="160">
        <v>3.1227129893188699</v>
      </c>
    </row>
  </sheetData>
  <mergeCells count="2">
    <mergeCell ref="F1:V1"/>
    <mergeCell ref="X1:AE1"/>
  </mergeCells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E728"/>
  <sheetViews>
    <sheetView showGridLines="0" workbookViewId="0">
      <pane ySplit="1" topLeftCell="A2" activePane="bottomLeft" state="frozen"/>
      <selection pane="bottomLeft" activeCell="Z31" sqref="Z31"/>
    </sheetView>
  </sheetViews>
  <sheetFormatPr baseColWidth="10" defaultColWidth="8" defaultRowHeight="16.25" customHeight="1" x14ac:dyDescent="0.15"/>
  <cols>
    <col min="1" max="1" width="28.33203125" style="1" customWidth="1"/>
    <col min="2" max="3" width="8.33203125" style="1" customWidth="1"/>
    <col min="4" max="21" width="7.1640625" style="1" customWidth="1"/>
    <col min="22" max="22" width="2.33203125" style="1" customWidth="1"/>
    <col min="23" max="30" width="7.1640625" style="1" customWidth="1"/>
    <col min="31" max="31" width="2.33203125" style="1" customWidth="1"/>
    <col min="32" max="32" width="8" style="1" customWidth="1"/>
    <col min="33" max="16384" width="8" style="1"/>
  </cols>
  <sheetData>
    <row r="1" spans="1:31" ht="28.25" customHeight="1" x14ac:dyDescent="0.15">
      <c r="A1" s="25" t="s">
        <v>66</v>
      </c>
      <c r="B1" s="26" t="s">
        <v>69</v>
      </c>
      <c r="C1" s="27" t="s">
        <v>72</v>
      </c>
      <c r="D1" s="30" t="s">
        <v>79</v>
      </c>
      <c r="E1" s="30" t="s">
        <v>80</v>
      </c>
      <c r="F1" s="30" t="s">
        <v>81</v>
      </c>
      <c r="G1" s="30" t="s">
        <v>82</v>
      </c>
      <c r="H1" s="30" t="s">
        <v>83</v>
      </c>
      <c r="I1" s="30" t="s">
        <v>84</v>
      </c>
      <c r="J1" s="30" t="s">
        <v>85</v>
      </c>
      <c r="K1" s="30" t="s">
        <v>86</v>
      </c>
      <c r="L1" s="30" t="s">
        <v>87</v>
      </c>
      <c r="M1" s="30" t="s">
        <v>88</v>
      </c>
      <c r="N1" s="30" t="s">
        <v>89</v>
      </c>
      <c r="O1" s="30" t="s">
        <v>90</v>
      </c>
      <c r="P1" s="30" t="s">
        <v>91</v>
      </c>
      <c r="Q1" s="30" t="s">
        <v>92</v>
      </c>
      <c r="R1" s="30" t="s">
        <v>93</v>
      </c>
      <c r="S1" s="30" t="s">
        <v>94</v>
      </c>
      <c r="T1" s="30" t="s">
        <v>95</v>
      </c>
      <c r="U1" s="30" t="s">
        <v>96</v>
      </c>
      <c r="V1" s="28"/>
      <c r="W1" s="30" t="s">
        <v>79</v>
      </c>
      <c r="X1" s="30" t="s">
        <v>97</v>
      </c>
      <c r="Y1" s="30" t="s">
        <v>98</v>
      </c>
      <c r="Z1" s="30" t="s">
        <v>99</v>
      </c>
      <c r="AA1" s="30" t="s">
        <v>100</v>
      </c>
      <c r="AB1" s="30" t="s">
        <v>101</v>
      </c>
      <c r="AC1" s="30" t="s">
        <v>103</v>
      </c>
      <c r="AD1" s="30" t="s">
        <v>104</v>
      </c>
      <c r="AE1" s="28"/>
    </row>
    <row r="2" spans="1:31" ht="21.25" customHeight="1" x14ac:dyDescent="0.15">
      <c r="A2" s="8" t="s">
        <v>105</v>
      </c>
      <c r="B2" s="35" t="str">
        <f>VLOOKUP(A2,'Player Data'!A1:B734,2,FALSE)</f>
        <v>EDM</v>
      </c>
      <c r="C2" s="37">
        <f>((E2)*Settings!$C$12)+(F2*Settings!$C$2)+(G2*Settings!$C$3)+(H2*Settings!$C$4)+(I2*Settings!$C$5)+(K2*Settings!$C$9)+(N2*Settings!$C$6)+(J2*Settings!$C$8)+(O2*Settings!$C$7)+(P2*Settings!$C$14)+(Q2*Settings!$C$15)+(R2*Settings!$C$16)+(S2*Settings!$C$17)+(T2*Settings!$C$18)+(U2*Settings!$C$19)</f>
        <v>19.412252011318326</v>
      </c>
      <c r="D2" s="41">
        <f>IF(Settings!$E$12="YES",VLOOKUP(A2,'Player Data'!A1:E734,5,FALSE),82)</f>
        <v>81.754999999999995</v>
      </c>
      <c r="E2" s="39">
        <f>(VLOOKUP($A2,'The List'!$B1:$AH727,17,FALSE)-AVERAGE('The List'!R2:R727))/STDEV('The List'!R2:R727)</f>
        <v>1.5662836883219844</v>
      </c>
      <c r="F2" s="39">
        <f>(VLOOKUP($A2,'The List'!$B1:$AH727,18,FALSE)-AVERAGE('The List'!S2:S727))/STDEV('The List'!S2:S727)</f>
        <v>4.0231021147142316</v>
      </c>
      <c r="G2" s="39">
        <f>(VLOOKUP($A2,'The List'!$B1:$AH727,19,FALSE)-AVERAGE('The List'!T2:T727))/STDEV('The List'!T2:T727)</f>
        <v>4.6709092354509343</v>
      </c>
      <c r="H2" s="39">
        <f>(VLOOKUP($A2,'The List'!$B1:$AH727,20,FALSE)-AVERAGE('The List'!U2:U727))/STDEV('The List'!U2:U727)</f>
        <v>4.7090204935567037</v>
      </c>
      <c r="I2" s="39">
        <f>(VLOOKUP($A2,'The List'!$B1:$AH727,21,FALSE)-AVERAGE('The List'!V2:V727))/STDEV('The List'!V2:V727)</f>
        <v>3.3259638285756203</v>
      </c>
      <c r="J2" s="39">
        <f>(VLOOKUP($A2,'The List'!$B1:$AH727,22,FALSE)-AVERAGE('The List'!W2:W727))/STDEV('The List'!W2:W727)</f>
        <v>3.6609923474298851</v>
      </c>
      <c r="K2" s="39">
        <f>(VLOOKUP($A2,'The List'!$B1:$AH727,23,FALSE)-AVERAGE('The List'!X2:X727))/STDEV('The List'!X2:X727)</f>
        <v>5.3465407665692917</v>
      </c>
      <c r="L2" s="39">
        <f>(VLOOKUP($A2,'The List'!$B1:$AH727,24,FALSE)-AVERAGE('The List'!Y2:Y727))/STDEV('The List'!Y2:Y727)</f>
        <v>2.8766566475992623</v>
      </c>
      <c r="M2" s="39">
        <f>(VLOOKUP($A2,'The List'!$B1:$AH727,25,FALSE)-AVERAGE('The List'!Z2:Z727))/STDEV('The List'!Z2:Z727)</f>
        <v>3.8378803909186852</v>
      </c>
      <c r="N2" s="39">
        <f>(VLOOKUP($A2,'The List'!$B1:$AH727,26,FALSE)-AVERAGE('The List'!AA2:AA727))/STDEV('The List'!AA2:AA727)</f>
        <v>-0.56912033200911871</v>
      </c>
      <c r="O2" s="39">
        <f>(VLOOKUP($A2,'The List'!$B1:$AH727,27,FALSE)-AVERAGE('The List'!AB2:AB727))/STDEV('The List'!AB2:AB727)</f>
        <v>-0.16956464031082916</v>
      </c>
      <c r="P2" s="39">
        <f>(VLOOKUP($A2,'The List'!$B1:$AH727,28,FALSE)-AVERAGE('The List'!AC2:AC727))/STDEV('The List'!AC2:AC727)</f>
        <v>2.6148563980173689</v>
      </c>
      <c r="Q2" s="39">
        <f>(VLOOKUP($A2,'The List'!$B1:$AH727,29,FALSE)-AVERAGE('The List'!AD2:AD727))/STDEV('The List'!AD2:AD727)</f>
        <v>0.34953299662657306</v>
      </c>
      <c r="R2" s="39">
        <f>(VLOOKUP($A2,'The List'!$B1:$AH727,30,FALSE)-AVERAGE('The List'!AE2:AE727))/STDEV('The List'!AE2:AE727)</f>
        <v>4.3055529557198167</v>
      </c>
      <c r="S2" s="39">
        <f>(VLOOKUP($A2,'The List'!$B1:$AH727,31,FALSE)-AVERAGE('The List'!AF2:AF727))/STDEV('The List'!AF2:AF727)</f>
        <v>2.027965293153235</v>
      </c>
      <c r="T2" s="39">
        <f>(VLOOKUP($A2,'The List'!$B1:$AH727,32,FALSE)-AVERAGE('The List'!AG2:AG727))/STDEV('The List'!AG2:AG727)</f>
        <v>1.8989161706035773</v>
      </c>
      <c r="U2" s="39">
        <f>(VLOOKUP($A2,'The List'!$B1:$AH727,33,FALSE)-AVERAGE('The List'!AH2:AH727))/STDEV('The List'!AH2:AH727)</f>
        <v>1.1143700221190616</v>
      </c>
      <c r="V2" s="39"/>
      <c r="W2" s="43"/>
      <c r="X2" s="41"/>
      <c r="Y2" s="41"/>
      <c r="Z2" s="41"/>
      <c r="AA2" s="41"/>
      <c r="AB2" s="41"/>
      <c r="AC2" s="44"/>
      <c r="AD2" s="45"/>
      <c r="AE2" s="39"/>
    </row>
    <row r="3" spans="1:31" ht="21.25" customHeight="1" x14ac:dyDescent="0.15">
      <c r="A3" s="8" t="s">
        <v>107</v>
      </c>
      <c r="B3" s="35" t="str">
        <f>VLOOKUP(A3,'Player Data'!A1:B734,2,FALSE)</f>
        <v>EDM</v>
      </c>
      <c r="C3" s="37">
        <f>((E3)*Settings!$C$12)+(F3*Settings!$C$2)+(G3*Settings!$C$3)+(H3*Settings!$C$4)+(I3*Settings!$C$5)+(K3*Settings!$C$9)+(N3*Settings!$C$6)+(J3*Settings!$C$8)+(O3*Settings!$C$7)+(P3*Settings!$C$14)+(Q3*Settings!$C$15)+(R3*Settings!$C$16)+(S3*Settings!$C$17)+(T3*Settings!$C$18)+(U3*Settings!$C$19)</f>
        <v>14.81668738138106</v>
      </c>
      <c r="D3" s="41">
        <f>IF(Settings!$E$12="YES",VLOOKUP(A3,'Player Data'!A1:E734,5,FALSE),82)</f>
        <v>81.400000000000006</v>
      </c>
      <c r="E3" s="39">
        <f>(VLOOKUP($A3,'The List'!$B1:$AH727,17,FALSE)-AVERAGE('The List'!R2:R727))/STDEV('The List'!R2:R727)</f>
        <v>1.3991857180923377</v>
      </c>
      <c r="F3" s="39">
        <f>(VLOOKUP($A3,'The List'!$B1:$AH727,18,FALSE)-AVERAGE('The List'!S2:S727))/STDEV('The List'!S2:S727)</f>
        <v>3.75480927383986</v>
      </c>
      <c r="G3" s="39">
        <f>(VLOOKUP($A3,'The List'!$B1:$AH727,19,FALSE)-AVERAGE('The List'!T2:T727))/STDEV('The List'!T2:T727)</f>
        <v>3.3439254944463102</v>
      </c>
      <c r="H3" s="39">
        <f>(VLOOKUP($A3,'The List'!$B1:$AH727,20,FALSE)-AVERAGE('The List'!U2:U727))/STDEV('The List'!U2:U727)</f>
        <v>3.7692308621912565</v>
      </c>
      <c r="I3" s="39">
        <f>(VLOOKUP($A3,'The List'!$B1:$AH727,21,FALSE)-AVERAGE('The List'!V2:V727))/STDEV('The List'!V2:V727)</f>
        <v>2.0430635746573533</v>
      </c>
      <c r="J3" s="39">
        <f>(VLOOKUP($A3,'The List'!$B1:$AH727,22,FALSE)-AVERAGE('The List'!W2:W727))/STDEV('The List'!W2:W727)</f>
        <v>6.6732167168708179</v>
      </c>
      <c r="K3" s="39">
        <f>(VLOOKUP($A3,'The List'!$B1:$AH727,23,FALSE)-AVERAGE('The List'!X2:X727))/STDEV('The List'!X2:X727)</f>
        <v>4.6483876282625163</v>
      </c>
      <c r="L3" s="39">
        <f>(VLOOKUP($A3,'The List'!$B1:$AH727,24,FALSE)-AVERAGE('The List'!Y2:Y727))/STDEV('The List'!Y2:Y727)</f>
        <v>0.6504907498844601</v>
      </c>
      <c r="M3" s="39">
        <f>(VLOOKUP($A3,'The List'!$B1:$AH727,25,FALSE)-AVERAGE('The List'!Z2:Z727))/STDEV('The List'!Z2:Z727)</f>
        <v>0.4187430637435256</v>
      </c>
      <c r="N3" s="39">
        <f>(VLOOKUP($A3,'The List'!$B1:$AH727,26,FALSE)-AVERAGE('The List'!AA2:AA727))/STDEV('The List'!AA2:AA727)</f>
        <v>-0.60660149407083086</v>
      </c>
      <c r="O3" s="39">
        <f>(VLOOKUP($A3,'The List'!$B1:$AH727,27,FALSE)-AVERAGE('The List'!AB2:AB727))/STDEV('The List'!AB2:AB727)</f>
        <v>-0.6247451909791244</v>
      </c>
      <c r="P3" s="39">
        <f>(VLOOKUP($A3,'The List'!$B1:$AH727,28,FALSE)-AVERAGE('The List'!AC2:AC727))/STDEV('The List'!AC2:AC727)</f>
        <v>1.6331029042458503</v>
      </c>
      <c r="Q3" s="39">
        <f>(VLOOKUP($A3,'The List'!$B1:$AH727,29,FALSE)-AVERAGE('The List'!AD2:AD727))/STDEV('The List'!AD2:AD727)</f>
        <v>0.10421449284074379</v>
      </c>
      <c r="R3" s="39">
        <f>(VLOOKUP($A3,'The List'!$B1:$AH727,30,FALSE)-AVERAGE('The List'!AE2:AE727))/STDEV('The List'!AE2:AE727)</f>
        <v>4.0281458098670084</v>
      </c>
      <c r="S3" s="39">
        <f>(VLOOKUP($A3,'The List'!$B1:$AH727,31,FALSE)-AVERAGE('The List'!AF2:AF727))/STDEV('The List'!AF2:AF727)</f>
        <v>3.4957051198561304</v>
      </c>
      <c r="T3" s="39">
        <f>(VLOOKUP($A3,'The List'!$B1:$AH727,32,FALSE)-AVERAGE('The List'!AG2:AG727))/STDEV('The List'!AG2:AG727)</f>
        <v>2.9612177747095854</v>
      </c>
      <c r="U3" s="39">
        <f>(VLOOKUP($A3,'The List'!$B1:$AH727,33,FALSE)-AVERAGE('The List'!AH2:AH727))/STDEV('The List'!AH2:AH727)</f>
        <v>1.2217525999330385</v>
      </c>
      <c r="V3" s="39"/>
      <c r="W3" s="41"/>
      <c r="X3" s="41"/>
      <c r="Y3" s="41"/>
      <c r="Z3" s="41"/>
      <c r="AA3" s="41"/>
      <c r="AB3" s="41"/>
      <c r="AC3" s="44"/>
      <c r="AD3" s="45"/>
      <c r="AE3" s="39"/>
    </row>
    <row r="4" spans="1:31" ht="21.25" customHeight="1" x14ac:dyDescent="0.15">
      <c r="A4" s="8" t="s">
        <v>108</v>
      </c>
      <c r="B4" s="35" t="str">
        <f>VLOOKUP(A4,'Player Data'!A1:B734,2,FALSE)</f>
        <v>COL</v>
      </c>
      <c r="C4" s="37">
        <f>((E4)*Settings!$C$12)+(F4*Settings!$C$2)+(G4*Settings!$C$3)+(H4*Settings!$C$4)+(I4*Settings!$C$5)+(K4*Settings!$C$9)+(N4*Settings!$C$6)+(J4*Settings!$C$8)+(O4*Settings!$C$7)+(P4*Settings!$C$14)+(Q4*Settings!$C$15)+(R4*Settings!$C$16)+(S4*Settings!$C$17)+(T4*Settings!$C$18)+(U4*Settings!$C$19)</f>
        <v>14.740248441290445</v>
      </c>
      <c r="D4" s="41">
        <f>IF(Settings!$E$12="YES",VLOOKUP(A4,'Player Data'!A1:E734,5,FALSE),82)</f>
        <v>76.568571428571403</v>
      </c>
      <c r="E4" s="39">
        <f>(VLOOKUP($A4,'The List'!$B1:$AH727,17,FALSE)-AVERAGE('The List'!R2:R727))/STDEV('The List'!R2:R727)</f>
        <v>1.5425687351058264</v>
      </c>
      <c r="F4" s="39">
        <f>(VLOOKUP($A4,'The List'!$B1:$AH727,18,FALSE)-AVERAGE('The List'!S2:S727))/STDEV('The List'!S2:S727)</f>
        <v>2.7512653118687704</v>
      </c>
      <c r="G4" s="39">
        <f>(VLOOKUP($A4,'The List'!$B1:$AH727,19,FALSE)-AVERAGE('The List'!T2:T727))/STDEV('The List'!T2:T727)</f>
        <v>3.4755761027420937</v>
      </c>
      <c r="H4" s="39">
        <f>(VLOOKUP($A4,'The List'!$B1:$AH727,20,FALSE)-AVERAGE('The List'!U2:U727))/STDEV('The List'!U2:U727)</f>
        <v>3.3936798784296691</v>
      </c>
      <c r="I4" s="39">
        <f>(VLOOKUP($A4,'The List'!$B1:$AH727,21,FALSE)-AVERAGE('The List'!V2:V727))/STDEV('The List'!V2:V727)</f>
        <v>3.9955094755837912</v>
      </c>
      <c r="J4" s="39">
        <f>(VLOOKUP($A4,'The List'!$B1:$AH727,22,FALSE)-AVERAGE('The List'!W2:W727))/STDEV('The List'!W2:W727)</f>
        <v>2.3681967533317372</v>
      </c>
      <c r="K4" s="39">
        <f>(VLOOKUP($A4,'The List'!$B1:$AH727,23,FALSE)-AVERAGE('The List'!X2:X727))/STDEV('The List'!X2:X727)</f>
        <v>2.7787044503521918</v>
      </c>
      <c r="L4" s="39">
        <f>(VLOOKUP($A4,'The List'!$B1:$AH727,24,FALSE)-AVERAGE('The List'!Y2:Y727))/STDEV('The List'!Y2:Y727)</f>
        <v>-0.48157176086008835</v>
      </c>
      <c r="M4" s="39">
        <f>(VLOOKUP($A4,'The List'!$B1:$AH727,25,FALSE)-AVERAGE('The List'!Z2:Z727))/STDEV('The List'!Z2:Z727)</f>
        <v>-0.65373508520770662</v>
      </c>
      <c r="N4" s="39">
        <f>(VLOOKUP($A4,'The List'!$B1:$AH727,26,FALSE)-AVERAGE('The List'!AA2:AA727))/STDEV('The List'!AA2:AA727)</f>
        <v>-0.39655318851679244</v>
      </c>
      <c r="O4" s="39">
        <f>(VLOOKUP($A4,'The List'!$B1:$AH727,27,FALSE)-AVERAGE('The List'!AB2:AB727))/STDEV('The List'!AB2:AB727)</f>
        <v>-0.57647063155413236</v>
      </c>
      <c r="P4" s="39">
        <f>(VLOOKUP($A4,'The List'!$B1:$AH727,28,FALSE)-AVERAGE('The List'!AC2:AC727))/STDEV('The List'!AC2:AC727)</f>
        <v>2.1357462892603913</v>
      </c>
      <c r="Q4" s="39">
        <f>(VLOOKUP($A4,'The List'!$B1:$AH727,29,FALSE)-AVERAGE('The List'!AD2:AD727))/STDEV('The List'!AD2:AD727)</f>
        <v>0.72504051597355634</v>
      </c>
      <c r="R4" s="39">
        <f>(VLOOKUP($A4,'The List'!$B1:$AH727,30,FALSE)-AVERAGE('The List'!AE2:AE727))/STDEV('The List'!AE2:AE727)</f>
        <v>2.9885493516588229</v>
      </c>
      <c r="S4" s="39">
        <f>(VLOOKUP($A4,'The List'!$B1:$AH727,31,FALSE)-AVERAGE('The List'!AF2:AF727))/STDEV('The List'!AF2:AF727)</f>
        <v>2.0988524304426655</v>
      </c>
      <c r="T4" s="39">
        <f>(VLOOKUP($A4,'The List'!$B1:$AH727,32,FALSE)-AVERAGE('The List'!AG2:AG727))/STDEV('The List'!AG2:AG727)</f>
        <v>2.7505541660182566</v>
      </c>
      <c r="U4" s="39">
        <f>(VLOOKUP($A4,'The List'!$B1:$AH727,33,FALSE)-AVERAGE('The List'!AH2:AH727))/STDEV('The List'!AH2:AH727)</f>
        <v>0.81451302495938827</v>
      </c>
      <c r="V4" s="39"/>
      <c r="W4" s="43"/>
      <c r="X4" s="41"/>
      <c r="Y4" s="41"/>
      <c r="Z4" s="41"/>
      <c r="AA4" s="41"/>
      <c r="AB4" s="41"/>
      <c r="AC4" s="44"/>
      <c r="AD4" s="45"/>
      <c r="AE4" s="39"/>
    </row>
    <row r="5" spans="1:31" ht="21.25" customHeight="1" x14ac:dyDescent="0.15">
      <c r="A5" s="8" t="s">
        <v>110</v>
      </c>
      <c r="B5" s="35" t="str">
        <f>VLOOKUP(A5,'Player Data'!A1:B734,2,FALSE)</f>
        <v>TBL</v>
      </c>
      <c r="C5" s="37">
        <f>((E5)*Settings!$C$12)+(F5*Settings!$C$2)+(G5*Settings!$C$3)+(H5*Settings!$C$4)+(I5*Settings!$C$5)+(K5*Settings!$C$9)+(N5*Settings!$C$6)+(J5*Settings!$C$8)+(O5*Settings!$C$7)+(P5*Settings!$C$14)+(Q5*Settings!$C$15)+(R5*Settings!$C$16)+(S5*Settings!$C$17)+(T5*Settings!$C$18)+(U5*Settings!$C$19)</f>
        <v>10.808935165931226</v>
      </c>
      <c r="D5" s="41">
        <f>IF(Settings!$E$12="YES",VLOOKUP(A5,'Player Data'!A1:E734,5,FALSE),82)</f>
        <v>79.7</v>
      </c>
      <c r="E5" s="39">
        <f>(VLOOKUP($A5,'The List'!$B1:$AH727,17,FALSE)-AVERAGE('The List'!R2:R727))/STDEV('The List'!R2:R727)</f>
        <v>0.98399385068400014</v>
      </c>
      <c r="F5" s="39">
        <f>(VLOOKUP($A5,'The List'!$B1:$AH727,18,FALSE)-AVERAGE('The List'!S2:S727))/STDEV('The List'!S2:S727)</f>
        <v>1.8328469050988254</v>
      </c>
      <c r="G5" s="39">
        <f>(VLOOKUP($A5,'The List'!$B1:$AH727,19,FALSE)-AVERAGE('The List'!T2:T727))/STDEV('The List'!T2:T727)</f>
        <v>3.6853329542605961</v>
      </c>
      <c r="H5" s="39">
        <f>(VLOOKUP($A5,'The List'!$B1:$AH727,20,FALSE)-AVERAGE('The List'!U2:U727))/STDEV('The List'!U2:U727)</f>
        <v>3.1049961354023665</v>
      </c>
      <c r="I5" s="39">
        <f>(VLOOKUP($A5,'The List'!$B1:$AH727,21,FALSE)-AVERAGE('The List'!V2:V727))/STDEV('The List'!V2:V727)</f>
        <v>2.1555661929788568</v>
      </c>
      <c r="J5" s="39">
        <f>(VLOOKUP($A5,'The List'!$B1:$AH727,22,FALSE)-AVERAGE('The List'!W2:W727))/STDEV('The List'!W2:W727)</f>
        <v>1.7530095682634483</v>
      </c>
      <c r="K5" s="39">
        <f>(VLOOKUP($A5,'The List'!$B1:$AH727,23,FALSE)-AVERAGE('The List'!X2:X727))/STDEV('The List'!X2:X727)</f>
        <v>3.694790241402699</v>
      </c>
      <c r="L5" s="39">
        <f>(VLOOKUP($A5,'The List'!$B1:$AH727,24,FALSE)-AVERAGE('The List'!Y2:Y727))/STDEV('The List'!Y2:Y727)</f>
        <v>-0.53620237014650585</v>
      </c>
      <c r="M5" s="39">
        <f>(VLOOKUP($A5,'The List'!$B1:$AH727,25,FALSE)-AVERAGE('The List'!Z2:Z727))/STDEV('The List'!Z2:Z727)</f>
        <v>-0.71483650091123141</v>
      </c>
      <c r="N5" s="39">
        <f>(VLOOKUP($A5,'The List'!$B1:$AH727,26,FALSE)-AVERAGE('The List'!AA2:AA727))/STDEV('The List'!AA2:AA727)</f>
        <v>-0.85128688519403417</v>
      </c>
      <c r="O5" s="39">
        <f>(VLOOKUP($A5,'The List'!$B1:$AH727,27,FALSE)-AVERAGE('The List'!AB2:AB727))/STDEV('The List'!AB2:AB727)</f>
        <v>-0.69755089057984343</v>
      </c>
      <c r="P5" s="39">
        <f>(VLOOKUP($A5,'The List'!$B1:$AH727,28,FALSE)-AVERAGE('The List'!AC2:AC727))/STDEV('The List'!AC2:AC727)</f>
        <v>0.29168575738428343</v>
      </c>
      <c r="Q5" s="39">
        <f>(VLOOKUP($A5,'The List'!$B1:$AH727,29,FALSE)-AVERAGE('The List'!AD2:AD727))/STDEV('The List'!AD2:AD727)</f>
        <v>0.38817370397102002</v>
      </c>
      <c r="R5" s="39">
        <f>(VLOOKUP($A5,'The List'!$B1:$AH727,30,FALSE)-AVERAGE('The List'!AE2:AE727))/STDEV('The List'!AE2:AE727)</f>
        <v>2.0043531183589907</v>
      </c>
      <c r="S5" s="39">
        <f>(VLOOKUP($A5,'The List'!$B1:$AH727,31,FALSE)-AVERAGE('The List'!AF2:AF727))/STDEV('The List'!AF2:AF727)</f>
        <v>-0.54859665927475443</v>
      </c>
      <c r="T5" s="39">
        <f>(VLOOKUP($A5,'The List'!$B1:$AH727,32,FALSE)-AVERAGE('The List'!AG2:AG727))/STDEV('The List'!AG2:AG727)</f>
        <v>-0.60188453558131205</v>
      </c>
      <c r="U5" s="39">
        <f>(VLOOKUP($A5,'The List'!$B1:$AH727,33,FALSE)-AVERAGE('The List'!AH2:AH727))/STDEV('The List'!AH2:AH727)</f>
        <v>3.2782864703057881</v>
      </c>
      <c r="V5" s="39"/>
      <c r="W5" s="43"/>
      <c r="X5" s="41"/>
      <c r="Y5" s="41"/>
      <c r="Z5" s="41"/>
      <c r="AA5" s="41"/>
      <c r="AB5" s="41"/>
      <c r="AC5" s="44"/>
      <c r="AD5" s="45"/>
      <c r="AE5" s="39"/>
    </row>
    <row r="6" spans="1:31" ht="21.25" customHeight="1" x14ac:dyDescent="0.15">
      <c r="A6" s="8" t="s">
        <v>111</v>
      </c>
      <c r="B6" s="35" t="str">
        <f>VLOOKUP(A6,'Player Data'!A1:B734,2,FALSE)</f>
        <v>FLA</v>
      </c>
      <c r="C6" s="37">
        <f>((E6)*Settings!$C$12)+(F6*Settings!$C$2)+(G6*Settings!$C$3)+(H6*Settings!$C$4)+(I6*Settings!$C$5)+(K6*Settings!$C$9)+(N6*Settings!$C$6)+(J6*Settings!$C$8)+(O6*Settings!$C$7)+(P6*Settings!$C$14)+(Q6*Settings!$C$15)+(R6*Settings!$C$16)+(S6*Settings!$C$17)+(T6*Settings!$C$18)+(U6*Settings!$C$19)</f>
        <v>13.544002251126631</v>
      </c>
      <c r="D6" s="41">
        <f>IF(Settings!$E$12="YES",VLOOKUP(A6,'Player Data'!A1:E734,5,FALSE),82)</f>
        <v>81.497500000000002</v>
      </c>
      <c r="E6" s="39">
        <f>(VLOOKUP($A6,'The List'!$B1:$AH727,17,FALSE)-AVERAGE('The List'!R2:R727))/STDEV('The List'!R2:R727)</f>
        <v>0.9836284375808475</v>
      </c>
      <c r="F6" s="39">
        <f>(VLOOKUP($A6,'The List'!$B1:$AH727,18,FALSE)-AVERAGE('The List'!S2:S727))/STDEV('The List'!S2:S727)</f>
        <v>2.7362811043470998</v>
      </c>
      <c r="G6" s="39">
        <f>(VLOOKUP($A6,'The List'!$B1:$AH727,19,FALSE)-AVERAGE('The List'!T2:T727))/STDEV('The List'!T2:T727)</f>
        <v>3.152266600437005</v>
      </c>
      <c r="H6" s="39">
        <f>(VLOOKUP($A6,'The List'!$B1:$AH727,20,FALSE)-AVERAGE('The List'!U2:U727))/STDEV('The List'!U2:U727)</f>
        <v>3.1876348340189176</v>
      </c>
      <c r="I6" s="39">
        <f>(VLOOKUP($A6,'The List'!$B1:$AH727,21,FALSE)-AVERAGE('The List'!V2:V727))/STDEV('The List'!V2:V727)</f>
        <v>2.8865637656939223</v>
      </c>
      <c r="J6" s="39">
        <f>(VLOOKUP($A6,'The List'!$B1:$AH727,22,FALSE)-AVERAGE('The List'!W2:W727))/STDEV('The List'!W2:W727)</f>
        <v>2.8844552737943396</v>
      </c>
      <c r="K6" s="39">
        <f>(VLOOKUP($A6,'The List'!$B1:$AH727,23,FALSE)-AVERAGE('The List'!X2:X727))/STDEV('The List'!X2:X727)</f>
        <v>2.8346383481358557</v>
      </c>
      <c r="L6" s="39">
        <f>(VLOOKUP($A6,'The List'!$B1:$AH727,24,FALSE)-AVERAGE('The List'!Y2:Y727))/STDEV('The List'!Y2:Y727)</f>
        <v>-0.36875814866349604</v>
      </c>
      <c r="M6" s="39">
        <f>(VLOOKUP($A6,'The List'!$B1:$AH727,25,FALSE)-AVERAGE('The List'!Z2:Z727))/STDEV('The List'!Z2:Z727)</f>
        <v>-2.0530587665545566E-2</v>
      </c>
      <c r="N6" s="39">
        <f>(VLOOKUP($A6,'The List'!$B1:$AH727,26,FALSE)-AVERAGE('The List'!AA2:AA727))/STDEV('The List'!AA2:AA727)</f>
        <v>-0.7622450264515922</v>
      </c>
      <c r="O6" s="39">
        <f>(VLOOKUP($A6,'The List'!$B1:$AH727,27,FALSE)-AVERAGE('The List'!AB2:AB727))/STDEV('The List'!AB2:AB727)</f>
        <v>-0.15557030424458387</v>
      </c>
      <c r="P6" s="39">
        <f>(VLOOKUP($A6,'The List'!$B1:$AH727,28,FALSE)-AVERAGE('The List'!AC2:AC727))/STDEV('The List'!AC2:AC727)</f>
        <v>2.696497458964342</v>
      </c>
      <c r="Q6" s="39">
        <f>(VLOOKUP($A6,'The List'!$B1:$AH727,29,FALSE)-AVERAGE('The List'!AD2:AD727))/STDEV('The List'!AD2:AD727)</f>
        <v>2.8984695385281207</v>
      </c>
      <c r="R6" s="39">
        <f>(VLOOKUP($A6,'The List'!$B1:$AH727,30,FALSE)-AVERAGE('The List'!AE2:AE727))/STDEV('The List'!AE2:AE727)</f>
        <v>2.5844117432393223</v>
      </c>
      <c r="S6" s="39">
        <f>(VLOOKUP($A6,'The List'!$B1:$AH727,31,FALSE)-AVERAGE('The List'!AF2:AF727))/STDEV('The List'!AF2:AF727)</f>
        <v>-0.49075587404614124</v>
      </c>
      <c r="T6" s="39">
        <f>(VLOOKUP($A6,'The List'!$B1:$AH727,32,FALSE)-AVERAGE('The List'!AG2:AG727))/STDEV('The List'!AG2:AG727)</f>
        <v>-0.51565488259075742</v>
      </c>
      <c r="U6" s="39">
        <f>(VLOOKUP($A6,'The List'!$B1:$AH727,33,FALSE)-AVERAGE('The List'!AH2:AH727))/STDEV('The List'!AH2:AH727)</f>
        <v>0.79714788389416003</v>
      </c>
      <c r="V6" s="39"/>
      <c r="W6" s="43"/>
      <c r="X6" s="41"/>
      <c r="Y6" s="41"/>
      <c r="Z6" s="41"/>
      <c r="AA6" s="41"/>
      <c r="AB6" s="41"/>
      <c r="AC6" s="44"/>
      <c r="AD6" s="45"/>
      <c r="AE6" s="39"/>
    </row>
    <row r="7" spans="1:31" ht="21.25" customHeight="1" x14ac:dyDescent="0.15">
      <c r="A7" s="8" t="s">
        <v>112</v>
      </c>
      <c r="B7" s="35" t="str">
        <f>VLOOKUP(A7,'Player Data'!A1:B734,2,FALSE)</f>
        <v>COL</v>
      </c>
      <c r="C7" s="37">
        <f>((E7)*Settings!$C$12)+(F7*Settings!$C$2)+(G7*Settings!$C$3)+(H7*Settings!$C$4)+(I7*Settings!$C$5)+(K7*Settings!$C$9)+(N7*Settings!$C$6)+(J7*Settings!$C$8)+(O7*Settings!$C$7)+(P7*Settings!$C$14)+(Q7*Settings!$C$15)+(R7*Settings!$C$16)+(S7*Settings!$C$17)+(T7*Settings!$C$18)+(U7*Settings!$C$19)</f>
        <v>12.981050664801556</v>
      </c>
      <c r="D7" s="41">
        <f>IF(Settings!$E$12="YES",VLOOKUP(A7,'Player Data'!A1:E734,5,FALSE),82)</f>
        <v>80.481785714285706</v>
      </c>
      <c r="E7" s="39">
        <f>(VLOOKUP($A7,'The List'!$B1:$AH727,17,FALSE)-AVERAGE('The List'!R2:R727))/STDEV('The List'!R2:R727)</f>
        <v>1.5130673958923728</v>
      </c>
      <c r="F7" s="39">
        <f>(VLOOKUP($A7,'The List'!$B1:$AH727,18,FALSE)-AVERAGE('The List'!S2:S727))/STDEV('The List'!S2:S727)</f>
        <v>3.4232716339896339</v>
      </c>
      <c r="G7" s="39">
        <f>(VLOOKUP($A7,'The List'!$B1:$AH727,19,FALSE)-AVERAGE('The List'!T2:T727))/STDEV('The List'!T2:T727)</f>
        <v>2.3623457000447359</v>
      </c>
      <c r="H7" s="39">
        <f>(VLOOKUP($A7,'The List'!$B1:$AH727,20,FALSE)-AVERAGE('The List'!U2:U727))/STDEV('The List'!U2:U727)</f>
        <v>3.0135019820143589</v>
      </c>
      <c r="I7" s="39">
        <f>(VLOOKUP($A7,'The List'!$B1:$AH727,21,FALSE)-AVERAGE('The List'!V2:V727))/STDEV('The List'!V2:V727)</f>
        <v>2.6924662218935889</v>
      </c>
      <c r="J7" s="39">
        <f>(VLOOKUP($A7,'The List'!$B1:$AH727,22,FALSE)-AVERAGE('The List'!W2:W727))/STDEV('The List'!W2:W727)</f>
        <v>2.9546003332791138</v>
      </c>
      <c r="K7" s="39">
        <f>(VLOOKUP($A7,'The List'!$B1:$AH727,23,FALSE)-AVERAGE('The List'!X2:X727))/STDEV('The List'!X2:X727)</f>
        <v>2.8957370663960553</v>
      </c>
      <c r="L7" s="39">
        <f>(VLOOKUP($A7,'The List'!$B1:$AH727,24,FALSE)-AVERAGE('The List'!Y2:Y727))/STDEV('The List'!Y2:Y727)</f>
        <v>-0.5159207675110915</v>
      </c>
      <c r="M7" s="39">
        <f>(VLOOKUP($A7,'The List'!$B1:$AH727,25,FALSE)-AVERAGE('The List'!Z2:Z727))/STDEV('The List'!Z2:Z727)</f>
        <v>-0.6922603365355311</v>
      </c>
      <c r="N7" s="39">
        <f>(VLOOKUP($A7,'The List'!$B1:$AH727,26,FALSE)-AVERAGE('The List'!AA2:AA727))/STDEV('The List'!AA2:AA727)</f>
        <v>-0.43507161231212937</v>
      </c>
      <c r="O7" s="39">
        <f>(VLOOKUP($A7,'The List'!$B1:$AH727,27,FALSE)-AVERAGE('The List'!AB2:AB727))/STDEV('The List'!AB2:AB727)</f>
        <v>-0.42677512504215154</v>
      </c>
      <c r="P7" s="39">
        <f>(VLOOKUP($A7,'The List'!$B1:$AH727,28,FALSE)-AVERAGE('The List'!AC2:AC727))/STDEV('The List'!AC2:AC727)</f>
        <v>2.0423016547896697</v>
      </c>
      <c r="Q7" s="39">
        <f>(VLOOKUP($A7,'The List'!$B1:$AH727,29,FALSE)-AVERAGE('The List'!AD2:AD727))/STDEV('The List'!AD2:AD727)</f>
        <v>1.957069941893681</v>
      </c>
      <c r="R7" s="39">
        <f>(VLOOKUP($A7,'The List'!$B1:$AH727,30,FALSE)-AVERAGE('The List'!AE2:AE727))/STDEV('The List'!AE2:AE727)</f>
        <v>3.6830590212822458</v>
      </c>
      <c r="S7" s="39">
        <f>(VLOOKUP($A7,'The List'!$B1:$AH727,31,FALSE)-AVERAGE('The List'!AF2:AF727))/STDEV('The List'!AF2:AF727)</f>
        <v>0.40597862546899066</v>
      </c>
      <c r="T7" s="39">
        <f>(VLOOKUP($A7,'The List'!$B1:$AH727,32,FALSE)-AVERAGE('The List'!AG2:AG727))/STDEV('The List'!AG2:AG727)</f>
        <v>0.48426216484974893</v>
      </c>
      <c r="U7" s="39">
        <f>(VLOOKUP($A7,'The List'!$B1:$AH727,33,FALSE)-AVERAGE('The List'!AH2:AH727))/STDEV('The List'!AH2:AH727)</f>
        <v>0.94189374235349266</v>
      </c>
      <c r="V7" s="39"/>
      <c r="W7" s="41"/>
      <c r="X7" s="39"/>
      <c r="Y7" s="39"/>
      <c r="Z7" s="39"/>
      <c r="AA7" s="39"/>
      <c r="AB7" s="39"/>
      <c r="AC7" s="39"/>
      <c r="AD7" s="39"/>
      <c r="AE7" s="39"/>
    </row>
    <row r="8" spans="1:31" ht="21.25" customHeight="1" x14ac:dyDescent="0.15">
      <c r="A8" s="8" t="s">
        <v>113</v>
      </c>
      <c r="B8" s="35" t="str">
        <f>VLOOKUP(A8,'Player Data'!A1:B734,2,FALSE)</f>
        <v>TOR</v>
      </c>
      <c r="C8" s="37">
        <f>((E8)*Settings!$C$12)+(F8*Settings!$C$2)+(G8*Settings!$C$3)+(H8*Settings!$C$4)+(I8*Settings!$C$5)+(K8*Settings!$C$9)+(N8*Settings!$C$6)+(J8*Settings!$C$8)+(O8*Settings!$C$7)+(P8*Settings!$C$14)+(Q8*Settings!$C$15)+(R8*Settings!$C$16)+(S8*Settings!$C$17)+(T8*Settings!$C$18)+(U8*Settings!$C$19)</f>
        <v>15.799006580589996</v>
      </c>
      <c r="D8" s="41">
        <f>IF(Settings!$E$12="YES",VLOOKUP(A8,'Player Data'!A1:E734,5,FALSE),82)</f>
        <v>78.786785714285699</v>
      </c>
      <c r="E8" s="39">
        <f>(VLOOKUP($A8,'The List'!$B1:$AH727,17,FALSE)-AVERAGE('The List'!R2:R727))/STDEV('The List'!R2:R727)</f>
        <v>1.0411692922196867</v>
      </c>
      <c r="F8" s="39">
        <f>(VLOOKUP($A8,'The List'!$B1:$AH727,18,FALSE)-AVERAGE('The List'!S2:S727))/STDEV('The List'!S2:S727)</f>
        <v>3.9951765150297831</v>
      </c>
      <c r="G8" s="39">
        <f>(VLOOKUP($A8,'The List'!$B1:$AH727,19,FALSE)-AVERAGE('The List'!T2:T727))/STDEV('The List'!T2:T727)</f>
        <v>2.0669603536524113</v>
      </c>
      <c r="H8" s="39">
        <f>(VLOOKUP($A8,'The List'!$B1:$AH727,20,FALSE)-AVERAGE('The List'!U2:U727))/STDEV('The List'!U2:U727)</f>
        <v>3.0917353202779094</v>
      </c>
      <c r="I8" s="39">
        <f>(VLOOKUP($A8,'The List'!$B1:$AH727,21,FALSE)-AVERAGE('The List'!V2:V727))/STDEV('The List'!V2:V727)</f>
        <v>3.6202394991910936</v>
      </c>
      <c r="J8" s="39">
        <f>(VLOOKUP($A8,'The List'!$B1:$AH727,22,FALSE)-AVERAGE('The List'!W2:W727))/STDEV('The List'!W2:W727)</f>
        <v>3.6754345949001532</v>
      </c>
      <c r="K8" s="39">
        <f>(VLOOKUP($A8,'The List'!$B1:$AH727,23,FALSE)-AVERAGE('The List'!X2:X727))/STDEV('The List'!X2:X727)</f>
        <v>2.5522431016617158</v>
      </c>
      <c r="L8" s="39">
        <f>(VLOOKUP($A8,'The List'!$B1:$AH727,24,FALSE)-AVERAGE('The List'!Y2:Y727))/STDEV('The List'!Y2:Y727)</f>
        <v>-0.51131598553360191</v>
      </c>
      <c r="M8" s="39">
        <f>(VLOOKUP($A8,'The List'!$B1:$AH727,25,FALSE)-AVERAGE('The List'!Z2:Z727))/STDEV('The List'!Z2:Z727)</f>
        <v>-0.68709852814352135</v>
      </c>
      <c r="N8" s="39">
        <f>(VLOOKUP($A8,'The List'!$B1:$AH727,26,FALSE)-AVERAGE('The List'!AA2:AA727))/STDEV('The List'!AA2:AA727)</f>
        <v>0.59162857089550625</v>
      </c>
      <c r="O8" s="39">
        <f>(VLOOKUP($A8,'The List'!$B1:$AH727,27,FALSE)-AVERAGE('The List'!AB2:AB727))/STDEV('The List'!AB2:AB727)</f>
        <v>-0.30200003474430992</v>
      </c>
      <c r="P8" s="39">
        <f>(VLOOKUP($A8,'The List'!$B1:$AH727,28,FALSE)-AVERAGE('The List'!AC2:AC727))/STDEV('The List'!AC2:AC727)</f>
        <v>2.9727585401594832</v>
      </c>
      <c r="Q8" s="39">
        <f>(VLOOKUP($A8,'The List'!$B1:$AH727,29,FALSE)-AVERAGE('The List'!AD2:AD727))/STDEV('The List'!AD2:AD727)</f>
        <v>-0.62559260658337867</v>
      </c>
      <c r="R8" s="39">
        <f>(VLOOKUP($A8,'The List'!$B1:$AH727,30,FALSE)-AVERAGE('The List'!AE2:AE727))/STDEV('The List'!AE2:AE727)</f>
        <v>4.3582323338242261</v>
      </c>
      <c r="S8" s="39">
        <f>(VLOOKUP($A8,'The List'!$B1:$AH727,31,FALSE)-AVERAGE('The List'!AF2:AF727))/STDEV('The List'!AF2:AF727)</f>
        <v>2.5153539656669381</v>
      </c>
      <c r="T8" s="39">
        <f>(VLOOKUP($A8,'The List'!$B1:$AH727,32,FALSE)-AVERAGE('The List'!AG2:AG727))/STDEV('The List'!AG2:AG727)</f>
        <v>2.1812473519480227</v>
      </c>
      <c r="U8" s="39">
        <f>(VLOOKUP($A8,'The List'!$B1:$AH727,33,FALSE)-AVERAGE('The List'!AH2:AH727))/STDEV('The List'!AH2:AH727)</f>
        <v>1.1883183232064556</v>
      </c>
      <c r="V8" s="39"/>
      <c r="W8" s="43"/>
      <c r="X8" s="41"/>
      <c r="Y8" s="41"/>
      <c r="Z8" s="41"/>
      <c r="AA8" s="41"/>
      <c r="AB8" s="41"/>
      <c r="AC8" s="44"/>
      <c r="AD8" s="45"/>
      <c r="AE8" s="39"/>
    </row>
    <row r="9" spans="1:31" ht="21.25" customHeight="1" x14ac:dyDescent="0.15">
      <c r="A9" s="8" t="s">
        <v>118</v>
      </c>
      <c r="B9" s="35" t="str">
        <f>VLOOKUP(A9,'Player Data'!A1:B734,2,FALSE)</f>
        <v>TOR</v>
      </c>
      <c r="C9" s="37">
        <f>((E9)*Settings!$C$12)+(F9*Settings!$C$2)+(G9*Settings!$C$3)+(H9*Settings!$C$4)+(I9*Settings!$C$5)+(K9*Settings!$C$9)+(N9*Settings!$C$6)+(J9*Settings!$C$8)+(O9*Settings!$C$7)+(P9*Settings!$C$14)+(Q9*Settings!$C$15)+(R9*Settings!$C$16)+(S9*Settings!$C$17)+(T9*Settings!$C$18)+(U9*Settings!$C$19)</f>
        <v>11.006541956699605</v>
      </c>
      <c r="D9" s="41">
        <f>IF(Settings!$E$12="YES",VLOOKUP(A9,'Player Data'!A1:E734,5,FALSE),82)</f>
        <v>80.153571428571396</v>
      </c>
      <c r="E9" s="39">
        <f>(VLOOKUP($A9,'The List'!$B1:$AH727,17,FALSE)-AVERAGE('The List'!R2:R727))/STDEV('The List'!R2:R727)</f>
        <v>1.3026352807424919</v>
      </c>
      <c r="F9" s="39">
        <f>(VLOOKUP($A9,'The List'!$B1:$AH727,18,FALSE)-AVERAGE('The List'!S2:S727))/STDEV('The List'!S2:S727)</f>
        <v>1.9465069984348757</v>
      </c>
      <c r="G9" s="39">
        <f>(VLOOKUP($A9,'The List'!$B1:$AH727,19,FALSE)-AVERAGE('The List'!T2:T727))/STDEV('The List'!T2:T727)</f>
        <v>3.2680543084932645</v>
      </c>
      <c r="H9" s="39">
        <f>(VLOOKUP($A9,'The List'!$B1:$AH727,20,FALSE)-AVERAGE('The List'!U2:U727))/STDEV('The List'!U2:U727)</f>
        <v>2.8995876465110628</v>
      </c>
      <c r="I9" s="39">
        <f>(VLOOKUP($A9,'The List'!$B1:$AH727,21,FALSE)-AVERAGE('The List'!V2:V727))/STDEV('The List'!V2:V727)</f>
        <v>1.358798468353543</v>
      </c>
      <c r="J9" s="39">
        <f>(VLOOKUP($A9,'The List'!$B1:$AH727,22,FALSE)-AVERAGE('The List'!W2:W727))/STDEV('The List'!W2:W727)</f>
        <v>1.3578649959051312</v>
      </c>
      <c r="K9" s="39">
        <f>(VLOOKUP($A9,'The List'!$B1:$AH727,23,FALSE)-AVERAGE('The List'!X2:X727))/STDEV('The List'!X2:X727)</f>
        <v>2.6234275176764887</v>
      </c>
      <c r="L9" s="39">
        <f>(VLOOKUP($A9,'The List'!$B1:$AH727,24,FALSE)-AVERAGE('The List'!Y2:Y727))/STDEV('The List'!Y2:Y727)</f>
        <v>4.2008926951345522</v>
      </c>
      <c r="M9" s="39">
        <f>(VLOOKUP($A9,'The List'!$B1:$AH727,25,FALSE)-AVERAGE('The List'!Z2:Z727))/STDEV('The List'!Z2:Z727)</f>
        <v>3.6552182880181365</v>
      </c>
      <c r="N9" s="39">
        <f>(VLOOKUP($A9,'The List'!$B1:$AH727,26,FALSE)-AVERAGE('The List'!AA2:AA727))/STDEV('The List'!AA2:AA727)</f>
        <v>-0.39335452709903296</v>
      </c>
      <c r="O9" s="39">
        <f>(VLOOKUP($A9,'The List'!$B1:$AH727,27,FALSE)-AVERAGE('The List'!AB2:AB727))/STDEV('The List'!AB2:AB727)</f>
        <v>-0.61806271884312225</v>
      </c>
      <c r="P9" s="39">
        <f>(VLOOKUP($A9,'The List'!$B1:$AH727,28,FALSE)-AVERAGE('The List'!AC2:AC727))/STDEV('The List'!AC2:AC727)</f>
        <v>2.203109190840467</v>
      </c>
      <c r="Q9" s="39">
        <f>(VLOOKUP($A9,'The List'!$B1:$AH727,29,FALSE)-AVERAGE('The List'!AD2:AD727))/STDEV('The List'!AD2:AD727)</f>
        <v>-0.26368173257587052</v>
      </c>
      <c r="R9" s="39">
        <f>(VLOOKUP($A9,'The List'!$B1:$AH727,30,FALSE)-AVERAGE('The List'!AE2:AE727))/STDEV('The List'!AE2:AE727)</f>
        <v>2.208378093382954</v>
      </c>
      <c r="S9" s="39">
        <f>(VLOOKUP($A9,'The List'!$B1:$AH727,31,FALSE)-AVERAGE('The List'!AF2:AF727))/STDEV('The List'!AF2:AF727)</f>
        <v>-0.54680696411240737</v>
      </c>
      <c r="T9" s="39">
        <f>(VLOOKUP($A9,'The List'!$B1:$AH727,32,FALSE)-AVERAGE('The List'!AG2:AG727))/STDEV('The List'!AG2:AG727)</f>
        <v>-0.57959123988976513</v>
      </c>
      <c r="U9" s="39">
        <f>(VLOOKUP($A9,'The List'!$B1:$AH727,33,FALSE)-AVERAGE('The List'!AH2:AH727))/STDEV('The List'!AH2:AH727)</f>
        <v>0.32584228437322366</v>
      </c>
      <c r="V9" s="39"/>
      <c r="W9" s="41"/>
      <c r="X9" s="41"/>
      <c r="Y9" s="41"/>
      <c r="Z9" s="41"/>
      <c r="AA9" s="41"/>
      <c r="AB9" s="41"/>
      <c r="AC9" s="44"/>
      <c r="AD9" s="45"/>
      <c r="AE9" s="39"/>
    </row>
    <row r="10" spans="1:31" ht="21.25" customHeight="1" x14ac:dyDescent="0.15">
      <c r="A10" s="8" t="s">
        <v>115</v>
      </c>
      <c r="B10" s="35" t="str">
        <f>VLOOKUP(A10,'Player Data'!A1:B734,2,FALSE)</f>
        <v>MIN</v>
      </c>
      <c r="C10" s="37">
        <f>((E10)*Settings!$C$12)+(F10*Settings!$C$2)+(G10*Settings!$C$3)+(H10*Settings!$C$4)+(I10*Settings!$C$5)+(K10*Settings!$C$9)+(N10*Settings!$C$6)+(J10*Settings!$C$8)+(O10*Settings!$C$7)+(P10*Settings!$C$14)+(Q10*Settings!$C$15)+(R10*Settings!$C$16)+(S10*Settings!$C$17)+(T10*Settings!$C$18)+(U10*Settings!$C$19)</f>
        <v>11.071363307548703</v>
      </c>
      <c r="D10" s="41">
        <f>IF(Settings!$E$12="YES",VLOOKUP(A10,'Player Data'!A1:E734,5,FALSE),82)</f>
        <v>79.400000000000006</v>
      </c>
      <c r="E10" s="39">
        <f>(VLOOKUP($A10,'The List'!$B1:$AH727,17,FALSE)-AVERAGE('The List'!R2:R727))/STDEV('The List'!R2:R727)</f>
        <v>1.2293718491986001</v>
      </c>
      <c r="F10" s="39">
        <f>(VLOOKUP($A10,'The List'!$B1:$AH727,18,FALSE)-AVERAGE('The List'!S2:S727))/STDEV('The List'!S2:S727)</f>
        <v>3.3249551224471667</v>
      </c>
      <c r="G10" s="39">
        <f>(VLOOKUP($A10,'The List'!$B1:$AH727,19,FALSE)-AVERAGE('The List'!T2:T727))/STDEV('The List'!T2:T727)</f>
        <v>2.0371492725558067</v>
      </c>
      <c r="H10" s="39">
        <f>(VLOOKUP($A10,'The List'!$B1:$AH727,20,FALSE)-AVERAGE('The List'!U2:U727))/STDEV('The List'!U2:U727)</f>
        <v>2.768372783969117</v>
      </c>
      <c r="I10" s="39">
        <f>(VLOOKUP($A10,'The List'!$B1:$AH727,21,FALSE)-AVERAGE('The List'!V2:V727))/STDEV('The List'!V2:V727)</f>
        <v>2.7603739683660105</v>
      </c>
      <c r="J10" s="39">
        <f>(VLOOKUP($A10,'The List'!$B1:$AH727,22,FALSE)-AVERAGE('The List'!W2:W727))/STDEV('The List'!W2:W727)</f>
        <v>3.8283190112818515</v>
      </c>
      <c r="K10" s="39">
        <f>(VLOOKUP($A10,'The List'!$B1:$AH727,23,FALSE)-AVERAGE('The List'!X2:X727))/STDEV('The List'!X2:X727)</f>
        <v>2.6187920080560598</v>
      </c>
      <c r="L10" s="39">
        <f>(VLOOKUP($A10,'The List'!$B1:$AH727,24,FALSE)-AVERAGE('The List'!Y2:Y727))/STDEV('The List'!Y2:Y727)</f>
        <v>-0.51841461191814231</v>
      </c>
      <c r="M10" s="39">
        <f>(VLOOKUP($A10,'The List'!$B1:$AH727,25,FALSE)-AVERAGE('The List'!Z2:Z727))/STDEV('The List'!Z2:Z727)</f>
        <v>-0.69505087879904004</v>
      </c>
      <c r="N10" s="39">
        <f>(VLOOKUP($A10,'The List'!$B1:$AH727,26,FALSE)-AVERAGE('The List'!AA2:AA727))/STDEV('The List'!AA2:AA727)</f>
        <v>-0.6602089754707271</v>
      </c>
      <c r="O10" s="39">
        <f>(VLOOKUP($A10,'The List'!$B1:$AH727,27,FALSE)-AVERAGE('The List'!AB2:AB727))/STDEV('The List'!AB2:AB727)</f>
        <v>-0.33778070954866318</v>
      </c>
      <c r="P10" s="39">
        <f>(VLOOKUP($A10,'The List'!$B1:$AH727,28,FALSE)-AVERAGE('The List'!AC2:AC727))/STDEV('The List'!AC2:AC727)</f>
        <v>0.99030191159438563</v>
      </c>
      <c r="Q10" s="39">
        <f>(VLOOKUP($A10,'The List'!$B1:$AH727,29,FALSE)-AVERAGE('The List'!AD2:AD727))/STDEV('The List'!AD2:AD727)</f>
        <v>0.46164224463152542</v>
      </c>
      <c r="R10" s="39">
        <f>(VLOOKUP($A10,'The List'!$B1:$AH727,30,FALSE)-AVERAGE('The List'!AE2:AE727))/STDEV('The List'!AE2:AE727)</f>
        <v>3.6526962471834099</v>
      </c>
      <c r="S10" s="39">
        <f>(VLOOKUP($A10,'The List'!$B1:$AH727,31,FALSE)-AVERAGE('The List'!AF2:AF727))/STDEV('The List'!AF2:AF727)</f>
        <v>-0.53748344008798399</v>
      </c>
      <c r="T10" s="39">
        <f>(VLOOKUP($A10,'The List'!$B1:$AH727,32,FALSE)-AVERAGE('The List'!AG2:AG727))/STDEV('The List'!AG2:AG727)</f>
        <v>-0.57091668339268131</v>
      </c>
      <c r="U10" s="39">
        <f>(VLOOKUP($A10,'The List'!$B1:$AH727,33,FALSE)-AVERAGE('The List'!AH2:AH727))/STDEV('The List'!AH2:AH727)</f>
        <v>0.61823244525834442</v>
      </c>
      <c r="V10" s="39"/>
      <c r="W10" s="43"/>
      <c r="X10" s="41"/>
      <c r="Y10" s="41"/>
      <c r="Z10" s="41"/>
      <c r="AA10" s="41"/>
      <c r="AB10" s="41"/>
      <c r="AC10" s="44"/>
      <c r="AD10" s="45"/>
      <c r="AE10" s="39"/>
    </row>
    <row r="11" spans="1:31" ht="21.25" customHeight="1" x14ac:dyDescent="0.15">
      <c r="A11" s="8" t="s">
        <v>114</v>
      </c>
      <c r="B11" s="35" t="str">
        <f>VLOOKUP(A11,'Player Data'!A1:B734,2,FALSE)</f>
        <v>NJD</v>
      </c>
      <c r="C11" s="37">
        <f>((E11)*Settings!$C$12)+(F11*Settings!$C$2)+(G11*Settings!$C$3)+(H11*Settings!$C$4)+(I11*Settings!$C$5)+(K11*Settings!$C$9)+(N11*Settings!$C$6)+(J11*Settings!$C$8)+(O11*Settings!$C$7)+(P11*Settings!$C$14)+(Q11*Settings!$C$15)+(R11*Settings!$C$16)+(S11*Settings!$C$17)+(T11*Settings!$C$18)+(U11*Settings!$C$19)</f>
        <v>10.586986169366119</v>
      </c>
      <c r="D11" s="41">
        <f>IF(Settings!$E$12="YES",VLOOKUP(A11,'Player Data'!A1:E734,5,FALSE),82)</f>
        <v>78.48</v>
      </c>
      <c r="E11" s="39">
        <f>(VLOOKUP($A11,'The List'!$B1:$AH727,17,FALSE)-AVERAGE('The List'!R2:R727))/STDEV('The List'!R2:R727)</f>
        <v>1.0471551432127795</v>
      </c>
      <c r="F11" s="39">
        <f>(VLOOKUP($A11,'The List'!$B1:$AH727,18,FALSE)-AVERAGE('The List'!S2:S727))/STDEV('The List'!S2:S727)</f>
        <v>2.9708485423804341</v>
      </c>
      <c r="G11" s="39">
        <f>(VLOOKUP($A11,'The List'!$B1:$AH727,19,FALSE)-AVERAGE('The List'!T2:T727))/STDEV('The List'!T2:T727)</f>
        <v>2.5546772139531946</v>
      </c>
      <c r="H11" s="39">
        <f>(VLOOKUP($A11,'The List'!$B1:$AH727,20,FALSE)-AVERAGE('The List'!U2:U727))/STDEV('The List'!U2:U727)</f>
        <v>2.9261376141881903</v>
      </c>
      <c r="I11" s="39">
        <f>(VLOOKUP($A11,'The List'!$B1:$AH727,21,FALSE)-AVERAGE('The List'!V2:V727))/STDEV('The List'!V2:V727)</f>
        <v>3.1157634422666529</v>
      </c>
      <c r="J11" s="39">
        <f>(VLOOKUP($A11,'The List'!$B1:$AH727,22,FALSE)-AVERAGE('The List'!W2:W727))/STDEV('The List'!W2:W727)</f>
        <v>2.1492741177749783</v>
      </c>
      <c r="K11" s="39">
        <f>(VLOOKUP($A11,'The List'!$B1:$AH727,23,FALSE)-AVERAGE('The List'!X2:X727))/STDEV('The List'!X2:X727)</f>
        <v>2.4954400736418747</v>
      </c>
      <c r="L11" s="39">
        <f>(VLOOKUP($A11,'The List'!$B1:$AH727,24,FALSE)-AVERAGE('The List'!Y2:Y727))/STDEV('The List'!Y2:Y727)</f>
        <v>-0.48832816460138412</v>
      </c>
      <c r="M11" s="39">
        <f>(VLOOKUP($A11,'The List'!$B1:$AH727,25,FALSE)-AVERAGE('The List'!Z2:Z727))/STDEV('The List'!Z2:Z727)</f>
        <v>-0.66159906677047808</v>
      </c>
      <c r="N11" s="39">
        <f>(VLOOKUP($A11,'The List'!$B1:$AH727,26,FALSE)-AVERAGE('The List'!AA2:AA727))/STDEV('The List'!AA2:AA727)</f>
        <v>-0.7459718689157645</v>
      </c>
      <c r="O11" s="39">
        <f>(VLOOKUP($A11,'The List'!$B1:$AH727,27,FALSE)-AVERAGE('The List'!AB2:AB727))/STDEV('The List'!AB2:AB727)</f>
        <v>-1.5762037478898707</v>
      </c>
      <c r="P11" s="39">
        <f>(VLOOKUP($A11,'The List'!$B1:$AH727,28,FALSE)-AVERAGE('The List'!AC2:AC727))/STDEV('The List'!AC2:AC727)</f>
        <v>0.19622876603972769</v>
      </c>
      <c r="Q11" s="39">
        <f>(VLOOKUP($A11,'The List'!$B1:$AH727,29,FALSE)-AVERAGE('The List'!AD2:AD727))/STDEV('The List'!AD2:AD727)</f>
        <v>-1.4273517669997335</v>
      </c>
      <c r="R11" s="39">
        <f>(VLOOKUP($A11,'The List'!$B1:$AH727,30,FALSE)-AVERAGE('The List'!AE2:AE727))/STDEV('The List'!AE2:AE727)</f>
        <v>2.9083588059331125</v>
      </c>
      <c r="S11" s="39">
        <f>(VLOOKUP($A11,'The List'!$B1:$AH727,31,FALSE)-AVERAGE('The List'!AF2:AF727))/STDEV('The List'!AF2:AF727)</f>
        <v>0.36959976177379938</v>
      </c>
      <c r="T11" s="39">
        <f>(VLOOKUP($A11,'The List'!$B1:$AH727,32,FALSE)-AVERAGE('The List'!AG2:AG727))/STDEV('The List'!AG2:AG727)</f>
        <v>1.1995470369125747</v>
      </c>
      <c r="U11" s="39">
        <f>(VLOOKUP($A11,'The List'!$B1:$AH727,33,FALSE)-AVERAGE('The List'!AH2:AH727))/STDEV('The List'!AH2:AH727)</f>
        <v>0.34786429213578879</v>
      </c>
      <c r="V11" s="39"/>
      <c r="W11" s="43"/>
      <c r="X11" s="41"/>
      <c r="Y11" s="41"/>
      <c r="Z11" s="41"/>
      <c r="AA11" s="41"/>
      <c r="AB11" s="41"/>
      <c r="AC11" s="44"/>
      <c r="AD11" s="45"/>
      <c r="AE11" s="39"/>
    </row>
    <row r="12" spans="1:31" ht="21.25" customHeight="1" x14ac:dyDescent="0.15">
      <c r="A12" s="8" t="s">
        <v>117</v>
      </c>
      <c r="B12" s="35" t="str">
        <f>VLOOKUP(A12,'Player Data'!A1:B734,2,FALSE)</f>
        <v>DAL</v>
      </c>
      <c r="C12" s="37">
        <f>((E12)*Settings!$C$12)+(F12*Settings!$C$2)+(G12*Settings!$C$3)+(H12*Settings!$C$4)+(I12*Settings!$C$5)+(K12*Settings!$C$9)+(N12*Settings!$C$6)+(J12*Settings!$C$8)+(O12*Settings!$C$7)+(P12*Settings!$C$14)+(Q12*Settings!$C$15)+(R12*Settings!$C$16)+(S12*Settings!$C$17)+(T12*Settings!$C$18)+(U12*Settings!$C$19)</f>
        <v>12.223008809756044</v>
      </c>
      <c r="D12" s="41">
        <f>IF(Settings!$E$12="YES",VLOOKUP(A12,'Player Data'!A1:E734,5,FALSE),82)</f>
        <v>80.197857142857103</v>
      </c>
      <c r="E12" s="39">
        <f>(VLOOKUP($A12,'The List'!$B1:$AH727,17,FALSE)-AVERAGE('The List'!R2:R727))/STDEV('The List'!R2:R727)</f>
        <v>0.63617810141248654</v>
      </c>
      <c r="F12" s="39">
        <f>(VLOOKUP($A12,'The List'!$B1:$AH727,18,FALSE)-AVERAGE('The List'!S2:S727))/STDEV('The List'!S2:S727)</f>
        <v>2.9460819453857492</v>
      </c>
      <c r="G12" s="39">
        <f>(VLOOKUP($A12,'The List'!$B1:$AH727,19,FALSE)-AVERAGE('The List'!T2:T727))/STDEV('The List'!T2:T727)</f>
        <v>2.3623476255441487</v>
      </c>
      <c r="H12" s="39">
        <f>(VLOOKUP($A12,'The List'!$B1:$AH727,20,FALSE)-AVERAGE('The List'!U2:U727))/STDEV('The List'!U2:U727)</f>
        <v>2.7963519994173702</v>
      </c>
      <c r="I12" s="39">
        <f>(VLOOKUP($A12,'The List'!$B1:$AH727,21,FALSE)-AVERAGE('The List'!V2:V727))/STDEV('The List'!V2:V727)</f>
        <v>2.5020093212870527</v>
      </c>
      <c r="J12" s="39">
        <f>(VLOOKUP($A12,'The List'!$B1:$AH727,22,FALSE)-AVERAGE('The List'!W2:W727))/STDEV('The List'!W2:W727)</f>
        <v>2.7412100960100481</v>
      </c>
      <c r="K12" s="39">
        <f>(VLOOKUP($A12,'The List'!$B1:$AH727,23,FALSE)-AVERAGE('The List'!X2:X727))/STDEV('The List'!X2:X727)</f>
        <v>2.7064571932635553</v>
      </c>
      <c r="L12" s="39">
        <f>(VLOOKUP($A12,'The List'!$B1:$AH727,24,FALSE)-AVERAGE('The List'!Y2:Y727))/STDEV('The List'!Y2:Y727)</f>
        <v>-0.53622857657615886</v>
      </c>
      <c r="M12" s="39">
        <f>(VLOOKUP($A12,'The List'!$B1:$AH727,25,FALSE)-AVERAGE('The List'!Z2:Z727))/STDEV('The List'!Z2:Z727)</f>
        <v>-0.71501240143451728</v>
      </c>
      <c r="N12" s="39">
        <f>(VLOOKUP($A12,'The List'!$B1:$AH727,26,FALSE)-AVERAGE('The List'!AA2:AA727))/STDEV('The List'!AA2:AA727)</f>
        <v>-0.93574667976717651</v>
      </c>
      <c r="O12" s="39">
        <f>(VLOOKUP($A12,'The List'!$B1:$AH727,27,FALSE)-AVERAGE('The List'!AB2:AB727))/STDEV('The List'!AB2:AB727)</f>
        <v>-0.70945552604827578</v>
      </c>
      <c r="P12" s="39">
        <f>(VLOOKUP($A12,'The List'!$B1:$AH727,28,FALSE)-AVERAGE('The List'!AC2:AC727))/STDEV('The List'!AC2:AC727)</f>
        <v>2.6418594040427137</v>
      </c>
      <c r="Q12" s="39">
        <f>(VLOOKUP($A12,'The List'!$B1:$AH727,29,FALSE)-AVERAGE('The List'!AD2:AD727))/STDEV('The List'!AD2:AD727)</f>
        <v>-0.4311425988211654</v>
      </c>
      <c r="R12" s="39">
        <f>(VLOOKUP($A12,'The List'!$B1:$AH727,30,FALSE)-AVERAGE('The List'!AE2:AE727))/STDEV('The List'!AE2:AE727)</f>
        <v>3.2391305384592579</v>
      </c>
      <c r="S12" s="39">
        <f>(VLOOKUP($A12,'The List'!$B1:$AH727,31,FALSE)-AVERAGE('The List'!AF2:AF727))/STDEV('The List'!AF2:AF727)</f>
        <v>-0.55700371707528451</v>
      </c>
      <c r="T12" s="39">
        <f>(VLOOKUP($A12,'The List'!$B1:$AH727,32,FALSE)-AVERAGE('The List'!AG2:AG727))/STDEV('The List'!AG2:AG727)</f>
        <v>-0.59342004731617692</v>
      </c>
      <c r="U12" s="39">
        <f>(VLOOKUP($A12,'The List'!$B1:$AH727,33,FALSE)-AVERAGE('The List'!AH2:AH727))/STDEV('The List'!AH2:AH727)</f>
        <v>-0.72272760673546743</v>
      </c>
      <c r="V12" s="39"/>
      <c r="W12" s="43"/>
      <c r="X12" s="41"/>
      <c r="Y12" s="41"/>
      <c r="Z12" s="41"/>
      <c r="AA12" s="41"/>
      <c r="AB12" s="41"/>
      <c r="AC12" s="44"/>
      <c r="AD12" s="45"/>
      <c r="AE12" s="39"/>
    </row>
    <row r="13" spans="1:31" ht="21.25" customHeight="1" x14ac:dyDescent="0.15">
      <c r="A13" s="8" t="s">
        <v>109</v>
      </c>
      <c r="B13" s="35" t="str">
        <f>VLOOKUP(A13,'Player Data'!A1:B734,2,FALSE)</f>
        <v>BOS</v>
      </c>
      <c r="C13" s="37">
        <f>((E13)*Settings!$C$12)+(F13*Settings!$C$2)+(G13*Settings!$C$3)+(H13*Settings!$C$4)+(I13*Settings!$C$5)+(K13*Settings!$C$9)+(N13*Settings!$C$6)+(J13*Settings!$C$8)+(O13*Settings!$C$7)+(P13*Settings!$C$14)+(Q13*Settings!$C$15)+(R13*Settings!$C$16)+(S13*Settings!$C$17)+(T13*Settings!$C$18)+(U13*Settings!$C$19)</f>
        <v>12.483556757902379</v>
      </c>
      <c r="D13" s="41">
        <f>IF(Settings!$E$12="YES",VLOOKUP(A13,'Player Data'!A1:E734,5,FALSE),82)</f>
        <v>79.483571428571395</v>
      </c>
      <c r="E13" s="39">
        <f>(VLOOKUP($A13,'The List'!$B1:$AH727,17,FALSE)-AVERAGE('The List'!R2:R727))/STDEV('The List'!R2:R727)</f>
        <v>0.79833509392476398</v>
      </c>
      <c r="F13" s="39">
        <f>(VLOOKUP($A13,'The List'!$B1:$AH727,18,FALSE)-AVERAGE('The List'!S2:S727))/STDEV('The List'!S2:S727)</f>
        <v>3.5300214907387262</v>
      </c>
      <c r="G13" s="39">
        <f>(VLOOKUP($A13,'The List'!$B1:$AH727,19,FALSE)-AVERAGE('The List'!T2:T727))/STDEV('The List'!T2:T727)</f>
        <v>1.8050976640358742</v>
      </c>
      <c r="H13" s="39">
        <f>(VLOOKUP($A13,'The List'!$B1:$AH727,20,FALSE)-AVERAGE('The List'!U2:U727))/STDEV('The List'!U2:U727)</f>
        <v>2.7186984759635471</v>
      </c>
      <c r="I13" s="39">
        <f>(VLOOKUP($A13,'The List'!$B1:$AH727,21,FALSE)-AVERAGE('The List'!V2:V727))/STDEV('The List'!V2:V727)</f>
        <v>3.8569868215706844</v>
      </c>
      <c r="J13" s="39">
        <f>(VLOOKUP($A13,'The List'!$B1:$AH727,22,FALSE)-AVERAGE('The List'!W2:W727))/STDEV('The List'!W2:W727)</f>
        <v>3.4273080040950541</v>
      </c>
      <c r="K13" s="39">
        <f>(VLOOKUP($A13,'The List'!$B1:$AH727,23,FALSE)-AVERAGE('The List'!X2:X727))/STDEV('The List'!X2:X727)</f>
        <v>2.4524835380013665</v>
      </c>
      <c r="L13" s="39">
        <f>(VLOOKUP($A13,'The List'!$B1:$AH727,24,FALSE)-AVERAGE('The List'!Y2:Y727))/STDEV('The List'!Y2:Y727)</f>
        <v>-0.48942938284154858</v>
      </c>
      <c r="M13" s="39">
        <f>(VLOOKUP($A13,'The List'!$B1:$AH727,25,FALSE)-AVERAGE('The List'!Z2:Z727))/STDEV('The List'!Z2:Z727)</f>
        <v>-0.66262962938873959</v>
      </c>
      <c r="N13" s="39">
        <f>(VLOOKUP($A13,'The List'!$B1:$AH727,26,FALSE)-AVERAGE('The List'!AA2:AA727))/STDEV('The List'!AA2:AA727)</f>
        <v>-0.76773257821493057</v>
      </c>
      <c r="O13" s="39">
        <f>(VLOOKUP($A13,'The List'!$B1:$AH727,27,FALSE)-AVERAGE('The List'!AB2:AB727))/STDEV('The List'!AB2:AB727)</f>
        <v>-0.16848713658855174</v>
      </c>
      <c r="P13" s="39">
        <f>(VLOOKUP($A13,'The List'!$B1:$AH727,28,FALSE)-AVERAGE('The List'!AC2:AC727))/STDEV('The List'!AC2:AC727)</f>
        <v>1.6066998217706572</v>
      </c>
      <c r="Q13" s="39">
        <f>(VLOOKUP($A13,'The List'!$B1:$AH727,29,FALSE)-AVERAGE('The List'!AD2:AD727))/STDEV('The List'!AD2:AD727)</f>
        <v>0.20606038251500747</v>
      </c>
      <c r="R13" s="39">
        <f>(VLOOKUP($A13,'The List'!$B1:$AH727,30,FALSE)-AVERAGE('The List'!AE2:AE727))/STDEV('The List'!AE2:AE727)</f>
        <v>4.0979481589472506</v>
      </c>
      <c r="S13" s="39">
        <f>(VLOOKUP($A13,'The List'!$B1:$AH727,31,FALSE)-AVERAGE('The List'!AF2:AF727))/STDEV('The List'!AF2:AF727)</f>
        <v>-0.52435969656016712</v>
      </c>
      <c r="T13" s="39">
        <f>(VLOOKUP($A13,'The List'!$B1:$AH727,32,FALSE)-AVERAGE('The List'!AG2:AG727))/STDEV('The List'!AG2:AG727)</f>
        <v>-0.54129863624927799</v>
      </c>
      <c r="U13" s="39">
        <f>(VLOOKUP($A13,'The List'!$B1:$AH727,33,FALSE)-AVERAGE('The List'!AH2:AH727))/STDEV('The List'!AH2:AH727)</f>
        <v>0.4276420033068235</v>
      </c>
      <c r="V13" s="39"/>
      <c r="W13" s="43"/>
      <c r="X13" s="41"/>
      <c r="Y13" s="41"/>
      <c r="Z13" s="41"/>
      <c r="AA13" s="41"/>
      <c r="AB13" s="41"/>
      <c r="AC13" s="44"/>
      <c r="AD13" s="45"/>
      <c r="AE13" s="39"/>
    </row>
    <row r="14" spans="1:31" ht="21.25" customHeight="1" x14ac:dyDescent="0.15">
      <c r="A14" s="8" t="s">
        <v>137</v>
      </c>
      <c r="B14" s="35" t="str">
        <f>VLOOKUP(A14,'Player Data'!A1:B734,2,FALSE)</f>
        <v>NYR</v>
      </c>
      <c r="C14" s="37">
        <f>((E14)*Settings!$C$12)+(F14*Settings!$C$2)+(G14*Settings!$C$3)+(H14*Settings!$C$4)+(I14*Settings!$C$5)+(K14*Settings!$C$9)+(N14*Settings!$C$6)+(J14*Settings!$C$8)+(O14*Settings!$C$7)+(P14*Settings!$C$14)+(Q14*Settings!$C$15)+(R14*Settings!$C$16)+(S14*Settings!$C$17)+(T14*Settings!$C$18)+(U14*Settings!$C$19)</f>
        <v>8.3231965210600141</v>
      </c>
      <c r="D14" s="41">
        <f>IF(Settings!$E$12="YES",VLOOKUP(A14,'Player Data'!A1:E734,5,FALSE),82)</f>
        <v>78.56</v>
      </c>
      <c r="E14" s="39">
        <f>(VLOOKUP($A14,'The List'!$B1:$AH727,17,FALSE)-AVERAGE('The List'!R2:R727))/STDEV('The List'!R2:R727)</f>
        <v>0.85187166756150678</v>
      </c>
      <c r="F14" s="39">
        <f>(VLOOKUP($A14,'The List'!$B1:$AH727,18,FALSE)-AVERAGE('The List'!S2:S727))/STDEV('The List'!S2:S727)</f>
        <v>1.3016271351693844</v>
      </c>
      <c r="G14" s="39">
        <f>(VLOOKUP($A14,'The List'!$B1:$AH727,19,FALSE)-AVERAGE('The List'!T2:T727))/STDEV('The List'!T2:T727)</f>
        <v>3.0860628917405144</v>
      </c>
      <c r="H14" s="39">
        <f>(VLOOKUP($A14,'The List'!$B1:$AH727,20,FALSE)-AVERAGE('The List'!U2:U727))/STDEV('The List'!U2:U727)</f>
        <v>2.4939821677251617</v>
      </c>
      <c r="I14" s="39">
        <f>(VLOOKUP($A14,'The List'!$B1:$AH727,21,FALSE)-AVERAGE('The List'!V2:V727))/STDEV('The List'!V2:V727)</f>
        <v>1.1035932330986564</v>
      </c>
      <c r="J14" s="39">
        <f>(VLOOKUP($A14,'The List'!$B1:$AH727,22,FALSE)-AVERAGE('The List'!W2:W727))/STDEV('The List'!W2:W727)</f>
        <v>1.3103825319510323</v>
      </c>
      <c r="K14" s="39">
        <f>(VLOOKUP($A14,'The List'!$B1:$AH727,23,FALSE)-AVERAGE('The List'!X2:X727))/STDEV('The List'!X2:X727)</f>
        <v>2.6924279061435255</v>
      </c>
      <c r="L14" s="39">
        <f>(VLOOKUP($A14,'The List'!$B1:$AH727,24,FALSE)-AVERAGE('The List'!Y2:Y727))/STDEV('The List'!Y2:Y727)</f>
        <v>-0.53064935228867827</v>
      </c>
      <c r="M14" s="39">
        <f>(VLOOKUP($A14,'The List'!$B1:$AH727,25,FALSE)-AVERAGE('The List'!Z2:Z727))/STDEV('The List'!Z2:Z727)</f>
        <v>-0.70840029644818159</v>
      </c>
      <c r="N14" s="39">
        <f>(VLOOKUP($A14,'The List'!$B1:$AH727,26,FALSE)-AVERAGE('The List'!AA2:AA727))/STDEV('The List'!AA2:AA727)</f>
        <v>-1.1505994747943959</v>
      </c>
      <c r="O14" s="39">
        <f>(VLOOKUP($A14,'The List'!$B1:$AH727,27,FALSE)-AVERAGE('The List'!AB2:AB727))/STDEV('The List'!AB2:AB727)</f>
        <v>-1.3565114114557766</v>
      </c>
      <c r="P14" s="39">
        <f>(VLOOKUP($A14,'The List'!$B1:$AH727,28,FALSE)-AVERAGE('The List'!AC2:AC727))/STDEV('The List'!AC2:AC727)</f>
        <v>1.2900848297023282</v>
      </c>
      <c r="Q14" s="39">
        <f>(VLOOKUP($A14,'The List'!$B1:$AH727,29,FALSE)-AVERAGE('The List'!AD2:AD727))/STDEV('The List'!AD2:AD727)</f>
        <v>-0.44815619804686585</v>
      </c>
      <c r="R14" s="39">
        <f>(VLOOKUP($A14,'The List'!$B1:$AH727,30,FALSE)-AVERAGE('The List'!AE2:AE727))/STDEV('The List'!AE2:AE727)</f>
        <v>1.6969318712106138</v>
      </c>
      <c r="S14" s="39">
        <f>(VLOOKUP($A14,'The List'!$B1:$AH727,31,FALSE)-AVERAGE('The List'!AF2:AF727))/STDEV('The List'!AF2:AF727)</f>
        <v>-0.53339355481751749</v>
      </c>
      <c r="T14" s="39">
        <f>(VLOOKUP($A14,'The List'!$B1:$AH727,32,FALSE)-AVERAGE('The List'!AG2:AG727))/STDEV('The List'!AG2:AG727)</f>
        <v>-0.55067374035751315</v>
      </c>
      <c r="U14" s="39">
        <f>(VLOOKUP($A14,'The List'!$B1:$AH727,33,FALSE)-AVERAGE('The List'!AH2:AH727))/STDEV('The List'!AH2:AH727)</f>
        <v>0.27907817841578492</v>
      </c>
      <c r="V14" s="39"/>
      <c r="W14" s="43"/>
      <c r="X14" s="41"/>
      <c r="Y14" s="41"/>
      <c r="Z14" s="41"/>
      <c r="AA14" s="41"/>
      <c r="AB14" s="41"/>
      <c r="AC14" s="44"/>
      <c r="AD14" s="45"/>
      <c r="AE14" s="39"/>
    </row>
    <row r="15" spans="1:31" ht="21.25" customHeight="1" x14ac:dyDescent="0.15">
      <c r="A15" s="8" t="s">
        <v>141</v>
      </c>
      <c r="B15" s="35" t="str">
        <f>VLOOKUP(A15,'Player Data'!A1:B734,2,FALSE)</f>
        <v>FLA</v>
      </c>
      <c r="C15" s="37">
        <f>((E15)*Settings!$C$12)+(F15*Settings!$C$2)+(G15*Settings!$C$3)+(H15*Settings!$C$4)+(I15*Settings!$C$5)+(K15*Settings!$C$9)+(N15*Settings!$C$6)+(J15*Settings!$C$8)+(O15*Settings!$C$7)+(P15*Settings!$C$14)+(Q15*Settings!$C$15)+(R15*Settings!$C$16)+(S15*Settings!$C$17)+(T15*Settings!$C$18)+(U15*Settings!$C$19)</f>
        <v>9.5295808044052226</v>
      </c>
      <c r="D15" s="41">
        <f>IF(Settings!$E$12="YES",VLOOKUP(A15,'Player Data'!A1:E734,5,FALSE),82)</f>
        <v>76.603928571428597</v>
      </c>
      <c r="E15" s="39">
        <f>(VLOOKUP($A15,'The List'!$B1:$AH727,17,FALSE)-AVERAGE('The List'!R2:R727))/STDEV('The List'!R2:R727)</f>
        <v>1.1586628666629692</v>
      </c>
      <c r="F15" s="39">
        <f>(VLOOKUP($A15,'The List'!$B1:$AH727,18,FALSE)-AVERAGE('The List'!S2:S727))/STDEV('The List'!S2:S727)</f>
        <v>1.9511874868837553</v>
      </c>
      <c r="G15" s="39">
        <f>(VLOOKUP($A15,'The List'!$B1:$AH727,19,FALSE)-AVERAGE('The List'!T2:T727))/STDEV('The List'!T2:T727)</f>
        <v>2.4159457662818689</v>
      </c>
      <c r="H15" s="39">
        <f>(VLOOKUP($A15,'The List'!$B1:$AH727,20,FALSE)-AVERAGE('The List'!U2:U727))/STDEV('The List'!U2:U727)</f>
        <v>2.3766404317778065</v>
      </c>
      <c r="I15" s="39">
        <f>(VLOOKUP($A15,'The List'!$B1:$AH727,21,FALSE)-AVERAGE('The List'!V2:V727))/STDEV('The List'!V2:V727)</f>
        <v>1.76305225390831</v>
      </c>
      <c r="J15" s="39">
        <f>(VLOOKUP($A15,'The List'!$B1:$AH727,22,FALSE)-AVERAGE('The List'!W2:W727))/STDEV('The List'!W2:W727)</f>
        <v>2.0491743409317218</v>
      </c>
      <c r="K15" s="39">
        <f>(VLOOKUP($A15,'The List'!$B1:$AH727,23,FALSE)-AVERAGE('The List'!X2:X727))/STDEV('The List'!X2:X727)</f>
        <v>2.2680873778551294</v>
      </c>
      <c r="L15" s="39">
        <f>(VLOOKUP($A15,'The List'!$B1:$AH727,24,FALSE)-AVERAGE('The List'!Y2:Y727))/STDEV('The List'!Y2:Y727)</f>
        <v>3.149445186077406</v>
      </c>
      <c r="M15" s="39">
        <f>(VLOOKUP($A15,'The List'!$B1:$AH727,25,FALSE)-AVERAGE('The List'!Z2:Z727))/STDEV('The List'!Z2:Z727)</f>
        <v>2.5844914283822527</v>
      </c>
      <c r="N15" s="39">
        <f>(VLOOKUP($A15,'The List'!$B1:$AH727,26,FALSE)-AVERAGE('The List'!AA2:AA727))/STDEV('The List'!AA2:AA727)</f>
        <v>-0.19477562539328905</v>
      </c>
      <c r="O15" s="39">
        <f>(VLOOKUP($A15,'The List'!$B1:$AH727,27,FALSE)-AVERAGE('The List'!AB2:AB727))/STDEV('The List'!AB2:AB727)</f>
        <v>-0.65586050118642869</v>
      </c>
      <c r="P15" s="39">
        <f>(VLOOKUP($A15,'The List'!$B1:$AH727,28,FALSE)-AVERAGE('The List'!AC2:AC727))/STDEV('The List'!AC2:AC727)</f>
        <v>1.3260835448694483</v>
      </c>
      <c r="Q15" s="39">
        <f>(VLOOKUP($A15,'The List'!$B1:$AH727,29,FALSE)-AVERAGE('The List'!AD2:AD727))/STDEV('The List'!AD2:AD727)</f>
        <v>-0.84989597916270054</v>
      </c>
      <c r="R15" s="39">
        <f>(VLOOKUP($A15,'The List'!$B1:$AH727,30,FALSE)-AVERAGE('The List'!AE2:AE727))/STDEV('The List'!AE2:AE727)</f>
        <v>1.8487367328311985</v>
      </c>
      <c r="S15" s="39">
        <f>(VLOOKUP($A15,'The List'!$B1:$AH727,31,FALSE)-AVERAGE('The List'!AF2:AF727))/STDEV('The List'!AF2:AF727)</f>
        <v>3.4896414281310073</v>
      </c>
      <c r="T15" s="39">
        <f>(VLOOKUP($A15,'The List'!$B1:$AH727,32,FALSE)-AVERAGE('The List'!AG2:AG727))/STDEV('The List'!AG2:AG727)</f>
        <v>2.7969367714158988</v>
      </c>
      <c r="U15" s="39">
        <f>(VLOOKUP($A15,'The List'!$B1:$AH727,33,FALSE)-AVERAGE('The List'!AH2:AH727))/STDEV('The List'!AH2:AH727)</f>
        <v>1.2728480693589035</v>
      </c>
      <c r="V15" s="39"/>
      <c r="W15" s="43"/>
      <c r="X15" s="41"/>
      <c r="Y15" s="41"/>
      <c r="Z15" s="41"/>
      <c r="AA15" s="41"/>
      <c r="AB15" s="41"/>
      <c r="AC15" s="44"/>
      <c r="AD15" s="45"/>
      <c r="AE15" s="39"/>
    </row>
    <row r="16" spans="1:31" ht="21.25" customHeight="1" x14ac:dyDescent="0.15">
      <c r="A16" s="8" t="s">
        <v>125</v>
      </c>
      <c r="B16" s="35" t="str">
        <f>VLOOKUP(A16,'Player Data'!A1:B734,2,FALSE)</f>
        <v>BUF</v>
      </c>
      <c r="C16" s="37">
        <f>((E16)*Settings!$C$12)+(F16*Settings!$C$2)+(G16*Settings!$C$3)+(H16*Settings!$C$4)+(I16*Settings!$C$5)+(K16*Settings!$C$9)+(N16*Settings!$C$6)+(J16*Settings!$C$8)+(O16*Settings!$C$7)+(P16*Settings!$C$14)+(Q16*Settings!$C$15)+(R16*Settings!$C$16)+(S16*Settings!$C$17)+(T16*Settings!$C$18)+(U16*Settings!$C$19)</f>
        <v>9.2436271815038946</v>
      </c>
      <c r="D16" s="41">
        <f>IF(Settings!$E$12="YES",VLOOKUP(A16,'Player Data'!A1:E734,5,FALSE),82)</f>
        <v>78.489999999999995</v>
      </c>
      <c r="E16" s="39">
        <f>(VLOOKUP($A16,'The List'!$B1:$AH727,17,FALSE)-AVERAGE('The List'!R2:R727))/STDEV('The List'!R2:R727)</f>
        <v>0.89528388290026562</v>
      </c>
      <c r="F16" s="39">
        <f>(VLOOKUP($A16,'The List'!$B1:$AH727,18,FALSE)-AVERAGE('The List'!S2:S727))/STDEV('The List'!S2:S727)</f>
        <v>3.2457875967305312</v>
      </c>
      <c r="G16" s="39">
        <f>(VLOOKUP($A16,'The List'!$B1:$AH727,19,FALSE)-AVERAGE('The List'!T2:T727))/STDEV('The List'!T2:T727)</f>
        <v>1.6069204433723812</v>
      </c>
      <c r="H16" s="39">
        <f>(VLOOKUP($A16,'The List'!$B1:$AH727,20,FALSE)-AVERAGE('The List'!U2:U727))/STDEV('The List'!U2:U727)</f>
        <v>2.4672356396933961</v>
      </c>
      <c r="I16" s="39">
        <f>(VLOOKUP($A16,'The List'!$B1:$AH727,21,FALSE)-AVERAGE('The List'!V2:V727))/STDEV('The List'!V2:V727)</f>
        <v>2.8971347816184707</v>
      </c>
      <c r="J16" s="39">
        <f>(VLOOKUP($A16,'The List'!$B1:$AH727,22,FALSE)-AVERAGE('The List'!W2:W727))/STDEV('The List'!W2:W727)</f>
        <v>4.3124498502273365</v>
      </c>
      <c r="K16" s="39">
        <f>(VLOOKUP($A16,'The List'!$B1:$AH727,23,FALSE)-AVERAGE('The List'!X2:X727))/STDEV('The List'!X2:X727)</f>
        <v>2.5220722797221224</v>
      </c>
      <c r="L16" s="39">
        <f>(VLOOKUP($A16,'The List'!$B1:$AH727,24,FALSE)-AVERAGE('The List'!Y2:Y727))/STDEV('The List'!Y2:Y727)</f>
        <v>0.29828889542562004</v>
      </c>
      <c r="M16" s="39">
        <f>(VLOOKUP($A16,'The List'!$B1:$AH727,25,FALSE)-AVERAGE('The List'!Z2:Z727))/STDEV('The List'!Z2:Z727)</f>
        <v>-0.15349161378643003</v>
      </c>
      <c r="N16" s="39">
        <f>(VLOOKUP($A16,'The List'!$B1:$AH727,26,FALSE)-AVERAGE('The List'!AA2:AA727))/STDEV('The List'!AA2:AA727)</f>
        <v>-0.77721979039083378</v>
      </c>
      <c r="O16" s="39">
        <f>(VLOOKUP($A16,'The List'!$B1:$AH727,27,FALSE)-AVERAGE('The List'!AB2:AB727))/STDEV('The List'!AB2:AB727)</f>
        <v>-0.5725125148786161</v>
      </c>
      <c r="P16" s="39">
        <f>(VLOOKUP($A16,'The List'!$B1:$AH727,28,FALSE)-AVERAGE('The List'!AC2:AC727))/STDEV('The List'!AC2:AC727)</f>
        <v>-0.25106812954877766</v>
      </c>
      <c r="Q16" s="39">
        <f>(VLOOKUP($A16,'The List'!$B1:$AH727,29,FALSE)-AVERAGE('The List'!AD2:AD727))/STDEV('The List'!AD2:AD727)</f>
        <v>0.52472868945027218</v>
      </c>
      <c r="R16" s="39">
        <f>(VLOOKUP($A16,'The List'!$B1:$AH727,30,FALSE)-AVERAGE('The List'!AE2:AE727))/STDEV('The List'!AE2:AE727)</f>
        <v>2.6293650030937163</v>
      </c>
      <c r="S16" s="39">
        <f>(VLOOKUP($A16,'The List'!$B1:$AH727,31,FALSE)-AVERAGE('The List'!AF2:AF727))/STDEV('The List'!AF2:AF727)</f>
        <v>1.1279869180713114</v>
      </c>
      <c r="T16" s="39">
        <f>(VLOOKUP($A16,'The List'!$B1:$AH727,32,FALSE)-AVERAGE('The List'!AG2:AG727))/STDEV('The List'!AG2:AG727)</f>
        <v>2.0538756574810293</v>
      </c>
      <c r="U16" s="39">
        <f>(VLOOKUP($A16,'The List'!$B1:$AH727,33,FALSE)-AVERAGE('The List'!AH2:AH727))/STDEV('The List'!AH2:AH727)</f>
        <v>0.56949736371536419</v>
      </c>
      <c r="V16" s="39"/>
      <c r="W16" s="41"/>
      <c r="X16" s="41"/>
      <c r="Y16" s="41"/>
      <c r="Z16" s="41"/>
      <c r="AA16" s="41"/>
      <c r="AB16" s="41"/>
      <c r="AC16" s="44"/>
      <c r="AD16" s="45"/>
      <c r="AE16" s="39"/>
    </row>
    <row r="17" spans="1:31" ht="21.25" customHeight="1" x14ac:dyDescent="0.15">
      <c r="A17" s="8" t="s">
        <v>140</v>
      </c>
      <c r="B17" s="35" t="str">
        <f>VLOOKUP(A17,'Player Data'!A1:B734,2,FALSE)</f>
        <v>VAN</v>
      </c>
      <c r="C17" s="37">
        <f>((E17)*Settings!$C$12)+(F17*Settings!$C$2)+(G17*Settings!$C$3)+(H17*Settings!$C$4)+(I17*Settings!$C$5)+(K17*Settings!$C$9)+(N17*Settings!$C$6)+(J17*Settings!$C$8)+(O17*Settings!$C$7)+(P17*Settings!$C$14)+(Q17*Settings!$C$15)+(R17*Settings!$C$16)+(S17*Settings!$C$17)+(T17*Settings!$C$18)+(U17*Settings!$C$19)</f>
        <v>8.9945212132729431</v>
      </c>
      <c r="D17" s="41">
        <f>IF(Settings!$E$12="YES",VLOOKUP(A17,'Player Data'!A1:E734,5,FALSE),82)</f>
        <v>77.007142857142895</v>
      </c>
      <c r="E17" s="39">
        <f>(VLOOKUP($A17,'The List'!$B1:$AH727,17,FALSE)-AVERAGE('The List'!R2:R727))/STDEV('The List'!R2:R727)</f>
        <v>1.0124309669273419</v>
      </c>
      <c r="F17" s="39">
        <f>(VLOOKUP($A17,'The List'!$B1:$AH727,18,FALSE)-AVERAGE('The List'!S2:S727))/STDEV('The List'!S2:S727)</f>
        <v>2.3944336034093139</v>
      </c>
      <c r="G17" s="39">
        <f>(VLOOKUP($A17,'The List'!$B1:$AH727,19,FALSE)-AVERAGE('The List'!T2:T727))/STDEV('The List'!T2:T727)</f>
        <v>2.1508614486721238</v>
      </c>
      <c r="H17" s="39">
        <f>(VLOOKUP($A17,'The List'!$B1:$AH727,20,FALSE)-AVERAGE('The List'!U2:U727))/STDEV('The List'!U2:U727)</f>
        <v>2.4149977541358765</v>
      </c>
      <c r="I17" s="39">
        <f>(VLOOKUP($A17,'The List'!$B1:$AH727,21,FALSE)-AVERAGE('The List'!V2:V727))/STDEV('The List'!V2:V727)</f>
        <v>1.7691151659740463</v>
      </c>
      <c r="J17" s="39">
        <f>(VLOOKUP($A17,'The List'!$B1:$AH727,22,FALSE)-AVERAGE('The List'!W2:W727))/STDEV('The List'!W2:W727)</f>
        <v>1.7185225978580381</v>
      </c>
      <c r="K17" s="39">
        <f>(VLOOKUP($A17,'The List'!$B1:$AH727,23,FALSE)-AVERAGE('The List'!X2:X727))/STDEV('The List'!X2:X727)</f>
        <v>1.8597946140758235</v>
      </c>
      <c r="L17" s="39">
        <f>(VLOOKUP($A17,'The List'!$B1:$AH727,24,FALSE)-AVERAGE('The List'!Y2:Y727))/STDEV('The List'!Y2:Y727)</f>
        <v>3.3199671081813826</v>
      </c>
      <c r="M17" s="39">
        <f>(VLOOKUP($A17,'The List'!$B1:$AH727,25,FALSE)-AVERAGE('The List'!Z2:Z727))/STDEV('The List'!Z2:Z727)</f>
        <v>4.27543714877896</v>
      </c>
      <c r="N17" s="39">
        <f>(VLOOKUP($A17,'The List'!$B1:$AH727,26,FALSE)-AVERAGE('The List'!AA2:AA727))/STDEV('The List'!AA2:AA727)</f>
        <v>0.26792598779214444</v>
      </c>
      <c r="O17" s="39">
        <f>(VLOOKUP($A17,'The List'!$B1:$AH727,27,FALSE)-AVERAGE('The List'!AB2:AB727))/STDEV('The List'!AB2:AB727)</f>
        <v>-0.53466618829325496</v>
      </c>
      <c r="P17" s="39">
        <f>(VLOOKUP($A17,'The List'!$B1:$AH727,28,FALSE)-AVERAGE('The List'!AC2:AC727))/STDEV('The List'!AC2:AC727)</f>
        <v>0.55239039334948981</v>
      </c>
      <c r="Q17" s="39">
        <f>(VLOOKUP($A17,'The List'!$B1:$AH727,29,FALSE)-AVERAGE('The List'!AD2:AD727))/STDEV('The List'!AD2:AD727)</f>
        <v>-0.95786117608569421</v>
      </c>
      <c r="R17" s="39">
        <f>(VLOOKUP($A17,'The List'!$B1:$AH727,30,FALSE)-AVERAGE('The List'!AE2:AE727))/STDEV('The List'!AE2:AE727)</f>
        <v>2.2184822075115394</v>
      </c>
      <c r="S17" s="39">
        <f>(VLOOKUP($A17,'The List'!$B1:$AH727,31,FALSE)-AVERAGE('The List'!AF2:AF727))/STDEV('The List'!AF2:AF727)</f>
        <v>1.3263189493121126</v>
      </c>
      <c r="T17" s="39">
        <f>(VLOOKUP($A17,'The List'!$B1:$AH727,32,FALSE)-AVERAGE('The List'!AG2:AG727))/STDEV('The List'!AG2:AG727)</f>
        <v>1.891367465231635</v>
      </c>
      <c r="U17" s="39">
        <f>(VLOOKUP($A17,'The List'!$B1:$AH727,33,FALSE)-AVERAGE('The List'!AH2:AH727))/STDEV('The List'!AH2:AH727)</f>
        <v>0.7614634472770796</v>
      </c>
      <c r="V17" s="39"/>
      <c r="W17" s="43"/>
      <c r="X17" s="41"/>
      <c r="Y17" s="41"/>
      <c r="Z17" s="41"/>
      <c r="AA17" s="41"/>
      <c r="AB17" s="41"/>
      <c r="AC17" s="44"/>
      <c r="AD17" s="45"/>
      <c r="AE17" s="39"/>
    </row>
    <row r="18" spans="1:31" ht="21.25" customHeight="1" x14ac:dyDescent="0.15">
      <c r="A18" s="8" t="s">
        <v>147</v>
      </c>
      <c r="B18" s="35" t="str">
        <f>VLOOKUP(A18,'Player Data'!A1:B734,2,FALSE)</f>
        <v>PIT</v>
      </c>
      <c r="C18" s="37">
        <f>((E18)*Settings!$C$12)+(F18*Settings!$C$2)+(G18*Settings!$C$3)+(H18*Settings!$C$4)+(I18*Settings!$C$5)+(K18*Settings!$C$9)+(N18*Settings!$C$6)+(J18*Settings!$C$8)+(O18*Settings!$C$7)+(P18*Settings!$C$14)+(Q18*Settings!$C$15)+(R18*Settings!$C$16)+(S18*Settings!$C$17)+(T18*Settings!$C$18)+(U18*Settings!$C$19)</f>
        <v>9.036182250178534</v>
      </c>
      <c r="D18" s="41">
        <f>IF(Settings!$E$12="YES",VLOOKUP(A18,'Player Data'!A1:E734,5,FALSE),82)</f>
        <v>80.096071428571406</v>
      </c>
      <c r="E18" s="39">
        <f>(VLOOKUP($A18,'The List'!$B1:$AH727,17,FALSE)-AVERAGE('The List'!R2:R727))/STDEV('The List'!R2:R727)</f>
        <v>0.95359144036083665</v>
      </c>
      <c r="F18" s="39">
        <f>(VLOOKUP($A18,'The List'!$B1:$AH727,18,FALSE)-AVERAGE('The List'!S2:S727))/STDEV('The List'!S2:S727)</f>
        <v>1.7590195665869623</v>
      </c>
      <c r="G18" s="39">
        <f>(VLOOKUP($A18,'The List'!$B1:$AH727,19,FALSE)-AVERAGE('The List'!T2:T727))/STDEV('The List'!T2:T727)</f>
        <v>2.4187853330550921</v>
      </c>
      <c r="H18" s="39">
        <f>(VLOOKUP($A18,'The List'!$B1:$AH727,20,FALSE)-AVERAGE('The List'!U2:U727))/STDEV('The List'!U2:U727)</f>
        <v>2.2909417700664179</v>
      </c>
      <c r="I18" s="39">
        <f>(VLOOKUP($A18,'The List'!$B1:$AH727,21,FALSE)-AVERAGE('The List'!V2:V727))/STDEV('The List'!V2:V727)</f>
        <v>1.8693545149340918</v>
      </c>
      <c r="J18" s="39">
        <f>(VLOOKUP($A18,'The List'!$B1:$AH727,22,FALSE)-AVERAGE('The List'!W2:W727))/STDEV('The List'!W2:W727)</f>
        <v>1.5838247560510716</v>
      </c>
      <c r="K18" s="39">
        <f>(VLOOKUP($A18,'The List'!$B1:$AH727,23,FALSE)-AVERAGE('The List'!X2:X727))/STDEV('The List'!X2:X727)</f>
        <v>2.167006948987209</v>
      </c>
      <c r="L18" s="39">
        <f>(VLOOKUP($A18,'The List'!$B1:$AH727,24,FALSE)-AVERAGE('The List'!Y2:Y727))/STDEV('The List'!Y2:Y727)</f>
        <v>-0.50596342452113929</v>
      </c>
      <c r="M18" s="39">
        <f>(VLOOKUP($A18,'The List'!$B1:$AH727,25,FALSE)-AVERAGE('The List'!Z2:Z727))/STDEV('The List'!Z2:Z727)</f>
        <v>-0.68018163974741264</v>
      </c>
      <c r="N18" s="39">
        <f>(VLOOKUP($A18,'The List'!$B1:$AH727,26,FALSE)-AVERAGE('The List'!AA2:AA727))/STDEV('The List'!AA2:AA727)</f>
        <v>-0.38285420449105229</v>
      </c>
      <c r="O18" s="39">
        <f>(VLOOKUP($A18,'The List'!$B1:$AH727,27,FALSE)-AVERAGE('The List'!AB2:AB727))/STDEV('The List'!AB2:AB727)</f>
        <v>-0.55348233525029999</v>
      </c>
      <c r="P18" s="39">
        <f>(VLOOKUP($A18,'The List'!$B1:$AH727,28,FALSE)-AVERAGE('The List'!AC2:AC727))/STDEV('The List'!AC2:AC727)</f>
        <v>1.2048700911062313</v>
      </c>
      <c r="Q18" s="39">
        <f>(VLOOKUP($A18,'The List'!$B1:$AH727,29,FALSE)-AVERAGE('The List'!AD2:AD727))/STDEV('The List'!AD2:AD727)</f>
        <v>0.31667341066600646</v>
      </c>
      <c r="R18" s="39">
        <f>(VLOOKUP($A18,'The List'!$B1:$AH727,30,FALSE)-AVERAGE('The List'!AE2:AE727))/STDEV('The List'!AE2:AE727)</f>
        <v>1.9817089528352272</v>
      </c>
      <c r="S18" s="39">
        <f>(VLOOKUP($A18,'The List'!$B1:$AH727,31,FALSE)-AVERAGE('The List'!AF2:AF727))/STDEV('The List'!AF2:AF727)</f>
        <v>4.0731993192216054</v>
      </c>
      <c r="T18" s="39">
        <f>(VLOOKUP($A18,'The List'!$B1:$AH727,32,FALSE)-AVERAGE('The List'!AG2:AG727))/STDEV('The List'!AG2:AG727)</f>
        <v>3.737319777666837</v>
      </c>
      <c r="U18" s="39">
        <f>(VLOOKUP($A18,'The List'!$B1:$AH727,33,FALSE)-AVERAGE('The List'!AH2:AH727))/STDEV('The List'!AH2:AH727)</f>
        <v>1.1500047795873178</v>
      </c>
      <c r="V18" s="39"/>
      <c r="W18" s="43"/>
      <c r="X18" s="41"/>
      <c r="Y18" s="41"/>
      <c r="Z18" s="41"/>
      <c r="AA18" s="41"/>
      <c r="AB18" s="41"/>
      <c r="AC18" s="44"/>
      <c r="AD18" s="45"/>
      <c r="AE18" s="39"/>
    </row>
    <row r="19" spans="1:31" ht="21.25" customHeight="1" x14ac:dyDescent="0.15">
      <c r="A19" s="8" t="s">
        <v>150</v>
      </c>
      <c r="B19" s="35" t="str">
        <f>VLOOKUP(A19,'Player Data'!A1:B734,2,FALSE)</f>
        <v>CBJ</v>
      </c>
      <c r="C19" s="37">
        <f>((E19)*Settings!$C$12)+(F19*Settings!$C$2)+(G19*Settings!$C$3)+(H19*Settings!$C$4)+(I19*Settings!$C$5)+(K19*Settings!$C$9)+(N19*Settings!$C$6)+(J19*Settings!$C$8)+(O19*Settings!$C$7)+(P19*Settings!$C$14)+(Q19*Settings!$C$15)+(R19*Settings!$C$16)+(S19*Settings!$C$17)+(T19*Settings!$C$18)+(U19*Settings!$C$19)</f>
        <v>5.3218228284285685</v>
      </c>
      <c r="D19" s="41">
        <f>IF(Settings!$E$12="YES",VLOOKUP(A19,'Player Data'!A1:E734,5,FALSE),82)</f>
        <v>81.674999999999997</v>
      </c>
      <c r="E19" s="39">
        <f>(VLOOKUP($A19,'The List'!$B1:$AH727,17,FALSE)-AVERAGE('The List'!R2:R727))/STDEV('The List'!R2:R727)</f>
        <v>0.84003563734829467</v>
      </c>
      <c r="F19" s="39">
        <f>(VLOOKUP($A19,'The List'!$B1:$AH727,18,FALSE)-AVERAGE('The List'!S2:S727))/STDEV('The List'!S2:S727)</f>
        <v>1.3936395629219533</v>
      </c>
      <c r="G19" s="39">
        <f>(VLOOKUP($A19,'The List'!$B1:$AH727,19,FALSE)-AVERAGE('The List'!T2:T727))/STDEV('The List'!T2:T727)</f>
        <v>2.4691823005855817</v>
      </c>
      <c r="H19" s="39">
        <f>(VLOOKUP($A19,'The List'!$B1:$AH727,20,FALSE)-AVERAGE('The List'!U2:U727))/STDEV('The List'!U2:U727)</f>
        <v>2.1557260796929736</v>
      </c>
      <c r="I19" s="39">
        <f>(VLOOKUP($A19,'The List'!$B1:$AH727,21,FALSE)-AVERAGE('The List'!V2:V727))/STDEV('The List'!V2:V727)</f>
        <v>1.5608394781211115</v>
      </c>
      <c r="J19" s="39">
        <f>(VLOOKUP($A19,'The List'!$B1:$AH727,22,FALSE)-AVERAGE('The List'!W2:W727))/STDEV('The List'!W2:W727)</f>
        <v>0.70509463276234852</v>
      </c>
      <c r="K19" s="39">
        <f>(VLOOKUP($A19,'The List'!$B1:$AH727,23,FALSE)-AVERAGE('The List'!X2:X727))/STDEV('The List'!X2:X727)</f>
        <v>1.663472011662154</v>
      </c>
      <c r="L19" s="39">
        <f>(VLOOKUP($A19,'The List'!$B1:$AH727,24,FALSE)-AVERAGE('The List'!Y2:Y727))/STDEV('The List'!Y2:Y727)</f>
        <v>-0.53221875433669064</v>
      </c>
      <c r="M19" s="39">
        <f>(VLOOKUP($A19,'The List'!$B1:$AH727,25,FALSE)-AVERAGE('The List'!Z2:Z727))/STDEV('The List'!Z2:Z727)</f>
        <v>-0.71030746068289397</v>
      </c>
      <c r="N19" s="39">
        <f>(VLOOKUP($A19,'The List'!$B1:$AH727,26,FALSE)-AVERAGE('The List'!AA2:AA727))/STDEV('The List'!AA2:AA727)</f>
        <v>-1.0517558801261087</v>
      </c>
      <c r="O19" s="39">
        <f>(VLOOKUP($A19,'The List'!$B1:$AH727,27,FALSE)-AVERAGE('The List'!AB2:AB727))/STDEV('The List'!AB2:AB727)</f>
        <v>-1.6900240464910614</v>
      </c>
      <c r="P19" s="39">
        <f>(VLOOKUP($A19,'The List'!$B1:$AH727,28,FALSE)-AVERAGE('The List'!AC2:AC727))/STDEV('The List'!AC2:AC727)</f>
        <v>-0.71355464473612329</v>
      </c>
      <c r="Q19" s="39">
        <f>(VLOOKUP($A19,'The List'!$B1:$AH727,29,FALSE)-AVERAGE('The List'!AD2:AD727))/STDEV('The List'!AD2:AD727)</f>
        <v>-0.68645116154600061</v>
      </c>
      <c r="R19" s="39">
        <f>(VLOOKUP($A19,'The List'!$B1:$AH727,30,FALSE)-AVERAGE('The List'!AE2:AE727))/STDEV('The List'!AE2:AE727)</f>
        <v>0.68907916168669847</v>
      </c>
      <c r="S19" s="39">
        <f>(VLOOKUP($A19,'The List'!$B1:$AH727,31,FALSE)-AVERAGE('The List'!AF2:AF727))/STDEV('The List'!AF2:AF727)</f>
        <v>-0.55746736391250107</v>
      </c>
      <c r="T19" s="39">
        <f>(VLOOKUP($A19,'The List'!$B1:$AH727,32,FALSE)-AVERAGE('The List'!AG2:AG727))/STDEV('The List'!AG2:AG727)</f>
        <v>-0.60084891747373803</v>
      </c>
      <c r="U19" s="39">
        <f>(VLOOKUP($A19,'The List'!$B1:$AH727,33,FALSE)-AVERAGE('The List'!AH2:AH727))/STDEV('The List'!AH2:AH727)</f>
        <v>0.42768022980368436</v>
      </c>
      <c r="V19" s="39"/>
      <c r="W19" s="41"/>
      <c r="X19" s="39"/>
      <c r="Y19" s="39"/>
      <c r="Z19" s="39"/>
      <c r="AA19" s="39"/>
      <c r="AB19" s="39"/>
      <c r="AC19" s="39"/>
      <c r="AD19" s="39"/>
      <c r="AE19" s="39"/>
    </row>
    <row r="20" spans="1:31" ht="21.25" customHeight="1" x14ac:dyDescent="0.15">
      <c r="A20" s="8" t="s">
        <v>159</v>
      </c>
      <c r="B20" s="35" t="str">
        <f>VLOOKUP(A20,'Player Data'!A1:B734,2,FALSE)</f>
        <v>TBL</v>
      </c>
      <c r="C20" s="37">
        <f>((E20)*Settings!$C$12)+(F20*Settings!$C$2)+(G20*Settings!$C$3)+(H20*Settings!$C$4)+(I20*Settings!$C$5)+(K20*Settings!$C$9)+(N20*Settings!$C$6)+(J20*Settings!$C$8)+(O20*Settings!$C$7)+(P20*Settings!$C$14)+(Q20*Settings!$C$15)+(R20*Settings!$C$16)+(S20*Settings!$C$17)+(T20*Settings!$C$18)+(U20*Settings!$C$19)</f>
        <v>7.5879505099045366</v>
      </c>
      <c r="D20" s="41">
        <f>IF(Settings!$E$12="YES",VLOOKUP(A20,'Player Data'!A1:E734,5,FALSE),82)</f>
        <v>79.400000000000006</v>
      </c>
      <c r="E20" s="39">
        <f>(VLOOKUP($A20,'The List'!$B1:$AH727,17,FALSE)-AVERAGE('The List'!R2:R727))/STDEV('The List'!R2:R727)</f>
        <v>0.68078827013427512</v>
      </c>
      <c r="F20" s="39">
        <f>(VLOOKUP($A20,'The List'!$B1:$AH727,18,FALSE)-AVERAGE('The List'!S2:S727))/STDEV('The List'!S2:S727)</f>
        <v>1.8887805685054773</v>
      </c>
      <c r="G20" s="39">
        <f>(VLOOKUP($A20,'The List'!$B1:$AH727,19,FALSE)-AVERAGE('The List'!T2:T727))/STDEV('The List'!T2:T727)</f>
        <v>1.9298708804151521</v>
      </c>
      <c r="H20" s="39">
        <f>(VLOOKUP($A20,'The List'!$B1:$AH727,20,FALSE)-AVERAGE('The List'!U2:U727))/STDEV('The List'!U2:U727)</f>
        <v>2.0487175583040438</v>
      </c>
      <c r="I20" s="39">
        <f>(VLOOKUP($A20,'The List'!$B1:$AH727,21,FALSE)-AVERAGE('The List'!V2:V727))/STDEV('The List'!V2:V727)</f>
        <v>1.5981627678793207</v>
      </c>
      <c r="J20" s="39">
        <f>(VLOOKUP($A20,'The List'!$B1:$AH727,22,FALSE)-AVERAGE('The List'!W2:W727))/STDEV('The List'!W2:W727)</f>
        <v>2.7236118755345307</v>
      </c>
      <c r="K20" s="39">
        <f>(VLOOKUP($A20,'The List'!$B1:$AH727,23,FALSE)-AVERAGE('The List'!X2:X727))/STDEV('The List'!X2:X727)</f>
        <v>2.3747042747290985</v>
      </c>
      <c r="L20" s="39">
        <f>(VLOOKUP($A20,'The List'!$B1:$AH727,24,FALSE)-AVERAGE('The List'!Y2:Y727))/STDEV('The List'!Y2:Y727)</f>
        <v>-0.43664096682626818</v>
      </c>
      <c r="M20" s="39">
        <f>(VLOOKUP($A20,'The List'!$B1:$AH727,25,FALSE)-AVERAGE('The List'!Z2:Z727))/STDEV('The List'!Z2:Z727)</f>
        <v>-0.49278737157151592</v>
      </c>
      <c r="N20" s="39">
        <f>(VLOOKUP($A20,'The List'!$B1:$AH727,26,FALSE)-AVERAGE('The List'!AA2:AA727))/STDEV('The List'!AA2:AA727)</f>
        <v>-0.40925035762495637</v>
      </c>
      <c r="O20" s="39">
        <f>(VLOOKUP($A20,'The List'!$B1:$AH727,27,FALSE)-AVERAGE('The List'!AB2:AB727))/STDEV('The List'!AB2:AB727)</f>
        <v>-2.6797678905864614E-2</v>
      </c>
      <c r="P20" s="39">
        <f>(VLOOKUP($A20,'The List'!$B1:$AH727,28,FALSE)-AVERAGE('The List'!AC2:AC727))/STDEV('The List'!AC2:AC727)</f>
        <v>0.20568237600044426</v>
      </c>
      <c r="Q20" s="39">
        <f>(VLOOKUP($A20,'The List'!$B1:$AH727,29,FALSE)-AVERAGE('The List'!AD2:AD727))/STDEV('The List'!AD2:AD727)</f>
        <v>0.63573868297365133</v>
      </c>
      <c r="R20" s="39">
        <f>(VLOOKUP($A20,'The List'!$B1:$AH727,30,FALSE)-AVERAGE('The List'!AE2:AE727))/STDEV('The List'!AE2:AE727)</f>
        <v>2.0615333241044698</v>
      </c>
      <c r="S20" s="39">
        <f>(VLOOKUP($A20,'The List'!$B1:$AH727,31,FALSE)-AVERAGE('The List'!AF2:AF727))/STDEV('The List'!AF2:AF727)</f>
        <v>1.8933803189418152</v>
      </c>
      <c r="T20" s="39">
        <f>(VLOOKUP($A20,'The List'!$B1:$AH727,32,FALSE)-AVERAGE('The List'!AG2:AG727))/STDEV('The List'!AG2:AG727)</f>
        <v>1.6699355397948095</v>
      </c>
      <c r="U20" s="39">
        <f>(VLOOKUP($A20,'The List'!$B1:$AH727,33,FALSE)-AVERAGE('The List'!AH2:AH727))/STDEV('The List'!AH2:AH727)</f>
        <v>1.1623308472581424</v>
      </c>
      <c r="V20" s="39"/>
      <c r="W20" s="43"/>
      <c r="X20" s="41"/>
      <c r="Y20" s="41"/>
      <c r="Z20" s="41"/>
      <c r="AA20" s="41"/>
      <c r="AB20" s="41"/>
      <c r="AC20" s="44"/>
      <c r="AD20" s="45"/>
      <c r="AE20" s="39"/>
    </row>
    <row r="21" spans="1:31" ht="21.25" customHeight="1" x14ac:dyDescent="0.15">
      <c r="A21" s="8" t="s">
        <v>169</v>
      </c>
      <c r="B21" s="35" t="str">
        <f>VLOOKUP(A21,'Player Data'!A1:B734,2,FALSE)</f>
        <v>STL</v>
      </c>
      <c r="C21" s="37">
        <f>((E21)*Settings!$C$12)+(F21*Settings!$C$2)+(G21*Settings!$C$3)+(H21*Settings!$C$4)+(I21*Settings!$C$5)+(K21*Settings!$C$9)+(N21*Settings!$C$6)+(J21*Settings!$C$8)+(O21*Settings!$C$7)+(P21*Settings!$C$14)+(Q21*Settings!$C$15)+(R21*Settings!$C$16)+(S21*Settings!$C$17)+(T21*Settings!$C$18)+(U21*Settings!$C$19)</f>
        <v>5.2847558332594167</v>
      </c>
      <c r="D21" s="41">
        <f>IF(Settings!$E$12="YES",VLOOKUP(A21,'Player Data'!A1:E734,5,FALSE),82)</f>
        <v>78.400000000000006</v>
      </c>
      <c r="E21" s="39">
        <f>(VLOOKUP($A21,'The List'!$B1:$AH727,17,FALSE)-AVERAGE('The List'!R2:R727))/STDEV('The List'!R2:R727)</f>
        <v>1.0332738909865042</v>
      </c>
      <c r="F21" s="39">
        <f>(VLOOKUP($A21,'The List'!$B1:$AH727,18,FALSE)-AVERAGE('The List'!S2:S727))/STDEV('The List'!S2:S727)</f>
        <v>1.8103180342589007</v>
      </c>
      <c r="G21" s="39">
        <f>(VLOOKUP($A21,'The List'!$B1:$AH727,19,FALSE)-AVERAGE('The List'!T2:T727))/STDEV('The List'!T2:T727)</f>
        <v>1.8991513161179057</v>
      </c>
      <c r="H21" s="39">
        <f>(VLOOKUP($A21,'The List'!$B1:$AH727,20,FALSE)-AVERAGE('The List'!U2:U727))/STDEV('The List'!U2:U727)</f>
        <v>1.9940825169387122</v>
      </c>
      <c r="I21" s="39">
        <f>(VLOOKUP($A21,'The List'!$B1:$AH727,21,FALSE)-AVERAGE('The List'!V2:V727))/STDEV('The List'!V2:V727)</f>
        <v>0.81540317551923736</v>
      </c>
      <c r="J21" s="39">
        <f>(VLOOKUP($A21,'The List'!$B1:$AH727,22,FALSE)-AVERAGE('The List'!W2:W727))/STDEV('The List'!W2:W727)</f>
        <v>1.6502187682471503</v>
      </c>
      <c r="K21" s="39">
        <f>(VLOOKUP($A21,'The List'!$B1:$AH727,23,FALSE)-AVERAGE('The List'!X2:X727))/STDEV('The List'!X2:X727)</f>
        <v>1.631283570783864</v>
      </c>
      <c r="L21" s="39">
        <f>(VLOOKUP($A21,'The List'!$B1:$AH727,24,FALSE)-AVERAGE('The List'!Y2:Y727))/STDEV('The List'!Y2:Y727)</f>
        <v>0.68717993087580909</v>
      </c>
      <c r="M21" s="39">
        <f>(VLOOKUP($A21,'The List'!$B1:$AH727,25,FALSE)-AVERAGE('The List'!Z2:Z727))/STDEV('The List'!Z2:Z727)</f>
        <v>2.1955912308872771</v>
      </c>
      <c r="N21" s="39">
        <f>(VLOOKUP($A21,'The List'!$B1:$AH727,26,FALSE)-AVERAGE('The List'!AA2:AA727))/STDEV('The List'!AA2:AA727)</f>
        <v>-0.753901602658963</v>
      </c>
      <c r="O21" s="39">
        <f>(VLOOKUP($A21,'The List'!$B1:$AH727,27,FALSE)-AVERAGE('The List'!AB2:AB727))/STDEV('The List'!AB2:AB727)</f>
        <v>-0.4277695045620501</v>
      </c>
      <c r="P21" s="39">
        <f>(VLOOKUP($A21,'The List'!$B1:$AH727,28,FALSE)-AVERAGE('The List'!AC2:AC727))/STDEV('The List'!AC2:AC727)</f>
        <v>-0.11749866076152878</v>
      </c>
      <c r="Q21" s="39">
        <f>(VLOOKUP($A21,'The List'!$B1:$AH727,29,FALSE)-AVERAGE('The List'!AD2:AD727))/STDEV('The List'!AD2:AD727)</f>
        <v>0.36253991377979772</v>
      </c>
      <c r="R21" s="39">
        <f>(VLOOKUP($A21,'The List'!$B1:$AH727,30,FALSE)-AVERAGE('The List'!AE2:AE727))/STDEV('The List'!AE2:AE727)</f>
        <v>1.1412568210556839</v>
      </c>
      <c r="S21" s="39">
        <f>(VLOOKUP($A21,'The List'!$B1:$AH727,31,FALSE)-AVERAGE('The List'!AF2:AF727))/STDEV('The List'!AF2:AF727)</f>
        <v>-0.25105522133701497</v>
      </c>
      <c r="T21" s="39">
        <f>(VLOOKUP($A21,'The List'!$B1:$AH727,32,FALSE)-AVERAGE('The List'!AG2:AG727))/STDEV('The List'!AG2:AG727)</f>
        <v>0.16463601421510229</v>
      </c>
      <c r="U21" s="39">
        <f>(VLOOKUP($A21,'The List'!$B1:$AH727,33,FALSE)-AVERAGE('The List'!AH2:AH727))/STDEV('The List'!AH2:AH727)</f>
        <v>9.9624087624271274E-2</v>
      </c>
      <c r="V21" s="39"/>
      <c r="W21" s="43"/>
      <c r="X21" s="41"/>
      <c r="Y21" s="41"/>
      <c r="Z21" s="41"/>
      <c r="AA21" s="41"/>
      <c r="AB21" s="41"/>
      <c r="AC21" s="44"/>
      <c r="AD21" s="45"/>
      <c r="AE21" s="39"/>
    </row>
    <row r="22" spans="1:31" ht="21.25" customHeight="1" x14ac:dyDescent="0.15">
      <c r="A22" s="8" t="s">
        <v>116</v>
      </c>
      <c r="B22" s="35" t="str">
        <f>VLOOKUP(A22,'Player Data'!A1:B734,2,FALSE)</f>
        <v>COL</v>
      </c>
      <c r="C22" s="37">
        <f>((E22)*Settings!$C$12)+(F22*Settings!$C$2)+(G22*Settings!$C$3)+(H22*Settings!$C$4)+(I22*Settings!$C$5)+(K22*Settings!$C$9)+(N22*Settings!$C$6)+(J22*Settings!$C$8)+(O22*Settings!$C$7)+(P22*Settings!$C$14)+(Q22*Settings!$C$15)+(R22*Settings!$C$16)+(S22*Settings!$C$17)+(T22*Settings!$C$18)+(U22*Settings!$C$19)</f>
        <v>11.734989996844774</v>
      </c>
      <c r="D22" s="41">
        <f>IF(Settings!$E$12="YES",VLOOKUP(A22,'Player Data'!A1:E734,5,FALSE),82)</f>
        <v>75.680357142857105</v>
      </c>
      <c r="E22" s="39">
        <f>(VLOOKUP($A22,'The List'!$B1:$AH727,17,FALSE)-AVERAGE('The List'!R2:R727))/STDEV('The List'!R2:R727)</f>
        <v>2.6244839398166393</v>
      </c>
      <c r="F22" s="39">
        <f>(VLOOKUP($A22,'The List'!$B1:$AH727,18,FALSE)-AVERAGE('The List'!S2:S727))/STDEV('The List'!S2:S727)</f>
        <v>0.88332149509170965</v>
      </c>
      <c r="G22" s="39">
        <f>(VLOOKUP($A22,'The List'!$B1:$AH727,19,FALSE)-AVERAGE('The List'!T2:T727))/STDEV('The List'!T2:T727)</f>
        <v>2.8386940323536054</v>
      </c>
      <c r="H22" s="39">
        <f>(VLOOKUP($A22,'The List'!$B1:$AH727,20,FALSE)-AVERAGE('The List'!U2:U727))/STDEV('The List'!U2:U727)</f>
        <v>2.1511959565373706</v>
      </c>
      <c r="I22" s="39">
        <f>(VLOOKUP($A22,'The List'!$B1:$AH727,21,FALSE)-AVERAGE('The List'!V2:V727))/STDEV('The List'!V2:V727)</f>
        <v>1.4826958659934537</v>
      </c>
      <c r="J22" s="39">
        <f>(VLOOKUP($A22,'The List'!$B1:$AH727,22,FALSE)-AVERAGE('The List'!W2:W727))/STDEV('The List'!W2:W727)</f>
        <v>1.307440301865342</v>
      </c>
      <c r="K22" s="39">
        <f>(VLOOKUP($A22,'The List'!$B1:$AH727,23,FALSE)-AVERAGE('The List'!X2:X727))/STDEV('The List'!X2:X727)</f>
        <v>3.0587911052254961</v>
      </c>
      <c r="L22" s="39">
        <f>(VLOOKUP($A22,'The List'!$B1:$AH727,24,FALSE)-AVERAGE('The List'!Y2:Y727))/STDEV('The List'!Y2:Y727)</f>
        <v>-0.48294968497427287</v>
      </c>
      <c r="M22" s="39">
        <f>(VLOOKUP($A22,'The List'!$B1:$AH727,25,FALSE)-AVERAGE('The List'!Z2:Z727))/STDEV('The List'!Z2:Z727)</f>
        <v>-0.525922786878534</v>
      </c>
      <c r="N22" s="39">
        <f>(VLOOKUP($A22,'The List'!$B1:$AH727,26,FALSE)-AVERAGE('The List'!AA2:AA727))/STDEV('The List'!AA2:AA727)</f>
        <v>1.2820676647031313</v>
      </c>
      <c r="O22" s="39">
        <f>(VLOOKUP($A22,'The List'!$B1:$AH727,27,FALSE)-AVERAGE('The List'!AB2:AB727))/STDEV('The List'!AB2:AB727)</f>
        <v>-2.1524134117543631E-2</v>
      </c>
      <c r="P22" s="39">
        <f>(VLOOKUP($A22,'The List'!$B1:$AH727,28,FALSE)-AVERAGE('The List'!AC2:AC727))/STDEV('The List'!AC2:AC727)</f>
        <v>2.1894198334773782</v>
      </c>
      <c r="Q22" s="39">
        <f>(VLOOKUP($A22,'The List'!$B1:$AH727,29,FALSE)-AVERAGE('The List'!AD2:AD727))/STDEV('The List'!AD2:AD727)</f>
        <v>0.13486780856342317</v>
      </c>
      <c r="R22" s="39">
        <f>(VLOOKUP($A22,'The List'!$B1:$AH727,30,FALSE)-AVERAGE('The List'!AE2:AE727))/STDEV('The List'!AE2:AE727)</f>
        <v>1.0580540566582934</v>
      </c>
      <c r="S22" s="39">
        <f>(VLOOKUP($A22,'The List'!$B1:$AH727,31,FALSE)-AVERAGE('The List'!AF2:AF727))/STDEV('The List'!AF2:AF727)</f>
        <v>-0.55804314905918151</v>
      </c>
      <c r="T22" s="39">
        <f>(VLOOKUP($A22,'The List'!$B1:$AH727,32,FALSE)-AVERAGE('The List'!AG2:AG727))/STDEV('The List'!AG2:AG727)</f>
        <v>-0.60188453558131205</v>
      </c>
      <c r="U22" s="39">
        <f>(VLOOKUP($A22,'The List'!$B1:$AH727,33,FALSE)-AVERAGE('The List'!AH2:AH727))/STDEV('The List'!AH2:AH727)</f>
        <v>-1.2395873372913611</v>
      </c>
      <c r="V22" s="39"/>
      <c r="W22" s="41"/>
      <c r="X22" s="39"/>
      <c r="Y22" s="39"/>
      <c r="Z22" s="39"/>
      <c r="AA22" s="39"/>
      <c r="AB22" s="39"/>
      <c r="AC22" s="39"/>
      <c r="AD22" s="39"/>
      <c r="AE22" s="39"/>
    </row>
    <row r="23" spans="1:31" ht="21.25" customHeight="1" x14ac:dyDescent="0.15">
      <c r="A23" s="8" t="s">
        <v>139</v>
      </c>
      <c r="B23" s="35" t="str">
        <f>VLOOKUP(A23,'Player Data'!A1:B734,2,FALSE)</f>
        <v>NYR</v>
      </c>
      <c r="C23" s="37">
        <f>((E23)*Settings!$C$12)+(F23*Settings!$C$2)+(G23*Settings!$C$3)+(H23*Settings!$C$4)+(I23*Settings!$C$5)+(K23*Settings!$C$9)+(N23*Settings!$C$6)+(J23*Settings!$C$8)+(O23*Settings!$C$7)+(P23*Settings!$C$14)+(Q23*Settings!$C$15)+(R23*Settings!$C$16)+(S23*Settings!$C$17)+(T23*Settings!$C$18)+(U23*Settings!$C$19)</f>
        <v>9.9644448102992698</v>
      </c>
      <c r="D23" s="41">
        <f>IF(Settings!$E$12="YES",VLOOKUP(A23,'Player Data'!A1:E734,5,FALSE),82)</f>
        <v>81.892499999999998</v>
      </c>
      <c r="E23" s="39">
        <f>(VLOOKUP($A23,'The List'!$B1:$AH727,17,FALSE)-AVERAGE('The List'!R2:R727))/STDEV('The List'!R2:R727)</f>
        <v>1.1442507330218081</v>
      </c>
      <c r="F23" s="39">
        <f>(VLOOKUP($A23,'The List'!$B1:$AH727,18,FALSE)-AVERAGE('The List'!S2:S727))/STDEV('The List'!S2:S727)</f>
        <v>2.1729835122361436</v>
      </c>
      <c r="G23" s="39">
        <f>(VLOOKUP($A23,'The List'!$B1:$AH727,19,FALSE)-AVERAGE('The List'!T2:T727))/STDEV('The List'!T2:T727)</f>
        <v>2.0479746152991791</v>
      </c>
      <c r="H23" s="39">
        <f>(VLOOKUP($A23,'The List'!$B1:$AH727,20,FALSE)-AVERAGE('The List'!U2:U727))/STDEV('The List'!U2:U727)</f>
        <v>2.250824291012905</v>
      </c>
      <c r="I23" s="39">
        <f>(VLOOKUP($A23,'The List'!$B1:$AH727,21,FALSE)-AVERAGE('The List'!V2:V727))/STDEV('The List'!V2:V727)</f>
        <v>2.0198655658839053</v>
      </c>
      <c r="J23" s="39">
        <f>(VLOOKUP($A23,'The List'!$B1:$AH727,22,FALSE)-AVERAGE('The List'!W2:W727))/STDEV('The List'!W2:W727)</f>
        <v>3.7994103881961903</v>
      </c>
      <c r="K23" s="39">
        <f>(VLOOKUP($A23,'The List'!$B1:$AH727,23,FALSE)-AVERAGE('The List'!X2:X727))/STDEV('The List'!X2:X727)</f>
        <v>2.5590532256710783</v>
      </c>
      <c r="L23" s="39">
        <f>(VLOOKUP($A23,'The List'!$B1:$AH727,24,FALSE)-AVERAGE('The List'!Y2:Y727))/STDEV('The List'!Y2:Y727)</f>
        <v>1.4064670411850233</v>
      </c>
      <c r="M23" s="39">
        <f>(VLOOKUP($A23,'The List'!$B1:$AH727,25,FALSE)-AVERAGE('The List'!Z2:Z727))/STDEV('The List'!Z2:Z727)</f>
        <v>2.8044140605981958</v>
      </c>
      <c r="N23" s="39">
        <f>(VLOOKUP($A23,'The List'!$B1:$AH727,26,FALSE)-AVERAGE('The List'!AA2:AA727))/STDEV('The List'!AA2:AA727)</f>
        <v>-0.2159421403929172</v>
      </c>
      <c r="O23" s="39">
        <f>(VLOOKUP($A23,'The List'!$B1:$AH727,27,FALSE)-AVERAGE('The List'!AB2:AB727))/STDEV('The List'!AB2:AB727)</f>
        <v>-0.3249952105096085</v>
      </c>
      <c r="P23" s="39">
        <f>(VLOOKUP($A23,'The List'!$B1:$AH727,28,FALSE)-AVERAGE('The List'!AC2:AC727))/STDEV('The List'!AC2:AC727)</f>
        <v>1.3805100316018812</v>
      </c>
      <c r="Q23" s="39">
        <f>(VLOOKUP($A23,'The List'!$B1:$AH727,29,FALSE)-AVERAGE('The List'!AD2:AD727))/STDEV('The List'!AD2:AD727)</f>
        <v>-0.60689889356223503</v>
      </c>
      <c r="R23" s="39">
        <f>(VLOOKUP($A23,'The List'!$B1:$AH727,30,FALSE)-AVERAGE('The List'!AE2:AE727))/STDEV('The List'!AE2:AE727)</f>
        <v>2.6668112914546618</v>
      </c>
      <c r="S23" s="39">
        <f>(VLOOKUP($A23,'The List'!$B1:$AH727,31,FALSE)-AVERAGE('The List'!AF2:AF727))/STDEV('The List'!AF2:AF727)</f>
        <v>3.0254183573244453</v>
      </c>
      <c r="T23" s="39">
        <f>(VLOOKUP($A23,'The List'!$B1:$AH727,32,FALSE)-AVERAGE('The List'!AG2:AG727))/STDEV('The List'!AG2:AG727)</f>
        <v>3.1760259905057784</v>
      </c>
      <c r="U23" s="39">
        <f>(VLOOKUP($A23,'The List'!$B1:$AH727,33,FALSE)-AVERAGE('The List'!AH2:AH727))/STDEV('The List'!AH2:AH727)</f>
        <v>1.0169005533793392</v>
      </c>
      <c r="V23" s="39"/>
      <c r="W23" s="43"/>
      <c r="X23" s="41"/>
      <c r="Y23" s="41"/>
      <c r="Z23" s="41"/>
      <c r="AA23" s="41"/>
      <c r="AB23" s="41"/>
      <c r="AC23" s="44"/>
      <c r="AD23" s="45"/>
      <c r="AE23" s="39"/>
    </row>
    <row r="24" spans="1:31" ht="21.25" customHeight="1" x14ac:dyDescent="0.15">
      <c r="A24" s="8" t="s">
        <v>149</v>
      </c>
      <c r="B24" s="35" t="str">
        <f>VLOOKUP(A24,'Player Data'!A1:B734,2,FALSE)</f>
        <v>TBL</v>
      </c>
      <c r="C24" s="37">
        <f>((E24)*Settings!$C$12)+(F24*Settings!$C$2)+(G24*Settings!$C$3)+(H24*Settings!$C$4)+(I24*Settings!$C$5)+(K24*Settings!$C$9)+(N24*Settings!$C$6)+(J24*Settings!$C$8)+(O24*Settings!$C$7)+(P24*Settings!$C$14)+(Q24*Settings!$C$15)+(R24*Settings!$C$16)+(S24*Settings!$C$17)+(T24*Settings!$C$18)+(U24*Settings!$C$19)</f>
        <v>8.2557919370218436</v>
      </c>
      <c r="D24" s="41">
        <f>IF(Settings!$E$12="YES",VLOOKUP(A24,'Player Data'!A1:E734,5,FALSE),82)</f>
        <v>80.400000000000006</v>
      </c>
      <c r="E24" s="39">
        <f>(VLOOKUP($A24,'The List'!$B1:$AH727,17,FALSE)-AVERAGE('The List'!R2:R727))/STDEV('The List'!R2:R727)</f>
        <v>0.88445930199273615</v>
      </c>
      <c r="F24" s="39">
        <f>(VLOOKUP($A24,'The List'!$B1:$AH727,18,FALSE)-AVERAGE('The List'!S2:S727))/STDEV('The List'!S2:S727)</f>
        <v>3.095967796917281</v>
      </c>
      <c r="G24" s="39">
        <f>(VLOOKUP($A24,'The List'!$B1:$AH727,19,FALSE)-AVERAGE('The List'!T2:T727))/STDEV('The List'!T2:T727)</f>
        <v>1.5387122553636174</v>
      </c>
      <c r="H24" s="39">
        <f>(VLOOKUP($A24,'The List'!$B1:$AH727,20,FALSE)-AVERAGE('The List'!U2:U727))/STDEV('The List'!U2:U727)</f>
        <v>2.357027742093833</v>
      </c>
      <c r="I24" s="39">
        <f>(VLOOKUP($A24,'The List'!$B1:$AH727,21,FALSE)-AVERAGE('The List'!V2:V727))/STDEV('The List'!V2:V727)</f>
        <v>1.680684592937971</v>
      </c>
      <c r="J24" s="39">
        <f>(VLOOKUP($A24,'The List'!$B1:$AH727,22,FALSE)-AVERAGE('The List'!W2:W727))/STDEV('The List'!W2:W727)</f>
        <v>3.7475000873435316</v>
      </c>
      <c r="K24" s="39">
        <f>(VLOOKUP($A24,'The List'!$B1:$AH727,23,FALSE)-AVERAGE('The List'!X2:X727))/STDEV('The List'!X2:X727)</f>
        <v>2.2974916606998406</v>
      </c>
      <c r="L24" s="39">
        <f>(VLOOKUP($A24,'The List'!$B1:$AH727,24,FALSE)-AVERAGE('The List'!Y2:Y727))/STDEV('The List'!Y2:Y727)</f>
        <v>-0.51205048310371015</v>
      </c>
      <c r="M24" s="39">
        <f>(VLOOKUP($A24,'The List'!$B1:$AH727,25,FALSE)-AVERAGE('The List'!Z2:Z727))/STDEV('The List'!Z2:Z727)</f>
        <v>-0.68791016202229338</v>
      </c>
      <c r="N24" s="39">
        <f>(VLOOKUP($A24,'The List'!$B1:$AH727,26,FALSE)-AVERAGE('The List'!AA2:AA727))/STDEV('The List'!AA2:AA727)</f>
        <v>-0.59857375857466733</v>
      </c>
      <c r="O24" s="39">
        <f>(VLOOKUP($A24,'The List'!$B1:$AH727,27,FALSE)-AVERAGE('The List'!AB2:AB727))/STDEV('The List'!AB2:AB727)</f>
        <v>-0.82900320755379464</v>
      </c>
      <c r="P24" s="39">
        <f>(VLOOKUP($A24,'The List'!$B1:$AH727,28,FALSE)-AVERAGE('The List'!AC2:AC727))/STDEV('The List'!AC2:AC727)</f>
        <v>0.24150938967780164</v>
      </c>
      <c r="Q24" s="39">
        <f>(VLOOKUP($A24,'The List'!$B1:$AH727,29,FALSE)-AVERAGE('The List'!AD2:AD727))/STDEV('The List'!AD2:AD727)</f>
        <v>-0.64599423459262084</v>
      </c>
      <c r="R24" s="39">
        <f>(VLOOKUP($A24,'The List'!$B1:$AH727,30,FALSE)-AVERAGE('The List'!AE2:AE727))/STDEV('The List'!AE2:AE727)</f>
        <v>3.2956240288748293</v>
      </c>
      <c r="S24" s="39">
        <f>(VLOOKUP($A24,'The List'!$B1:$AH727,31,FALSE)-AVERAGE('The List'!AF2:AF727))/STDEV('The List'!AF2:AF727)</f>
        <v>1.4778458588397667</v>
      </c>
      <c r="T24" s="39">
        <f>(VLOOKUP($A24,'The List'!$B1:$AH727,32,FALSE)-AVERAGE('The List'!AG2:AG727))/STDEV('The List'!AG2:AG727)</f>
        <v>1.4948042650402886</v>
      </c>
      <c r="U24" s="39">
        <f>(VLOOKUP($A24,'The List'!$B1:$AH727,33,FALSE)-AVERAGE('The List'!AH2:AH727))/STDEV('The List'!AH2:AH727)</f>
        <v>1.0433462609402933</v>
      </c>
      <c r="V24" s="39"/>
      <c r="W24" s="43"/>
      <c r="X24" s="41"/>
      <c r="Y24" s="41"/>
      <c r="Z24" s="41"/>
      <c r="AA24" s="41"/>
      <c r="AB24" s="41"/>
      <c r="AC24" s="44"/>
      <c r="AD24" s="45"/>
      <c r="AE24" s="39"/>
    </row>
    <row r="25" spans="1:31" ht="21.25" customHeight="1" x14ac:dyDescent="0.15">
      <c r="A25" s="8" t="s">
        <v>131</v>
      </c>
      <c r="B25" s="35" t="str">
        <f>VLOOKUP(A25,'Player Data'!A1:B734,2,FALSE)</f>
        <v>WPG</v>
      </c>
      <c r="C25" s="37">
        <f>((E25)*Settings!$C$12)+(F25*Settings!$C$2)+(G25*Settings!$C$3)+(H25*Settings!$C$4)+(I25*Settings!$C$5)+(K25*Settings!$C$9)+(N25*Settings!$C$6)+(J25*Settings!$C$8)+(O25*Settings!$C$7)+(P25*Settings!$C$14)+(Q25*Settings!$C$15)+(R25*Settings!$C$16)+(S25*Settings!$C$17)+(T25*Settings!$C$18)+(U25*Settings!$C$19)</f>
        <v>7.6891056118606551</v>
      </c>
      <c r="D25" s="41">
        <f>IF(Settings!$E$12="YES",VLOOKUP(A25,'Player Data'!A1:E734,5,FALSE),82)</f>
        <v>81.099999999999994</v>
      </c>
      <c r="E25" s="39">
        <f>(VLOOKUP($A25,'The List'!$B1:$AH727,17,FALSE)-AVERAGE('The List'!R2:R727))/STDEV('The List'!R2:R727)</f>
        <v>1.0358914425095573</v>
      </c>
      <c r="F25" s="39">
        <f>(VLOOKUP($A25,'The List'!$B1:$AH727,18,FALSE)-AVERAGE('The List'!S2:S727))/STDEV('The List'!S2:S727)</f>
        <v>2.3713178749484403</v>
      </c>
      <c r="G25" s="39">
        <f>(VLOOKUP($A25,'The List'!$B1:$AH727,19,FALSE)-AVERAGE('The List'!T2:T727))/STDEV('The List'!T2:T727)</f>
        <v>1.7882500654725171</v>
      </c>
      <c r="H25" s="39">
        <f>(VLOOKUP($A25,'The List'!$B1:$AH727,20,FALSE)-AVERAGE('The List'!U2:U727))/STDEV('The List'!U2:U727)</f>
        <v>2.1810341779607016</v>
      </c>
      <c r="I25" s="39">
        <f>(VLOOKUP($A25,'The List'!$B1:$AH727,21,FALSE)-AVERAGE('The List'!V2:V727))/STDEV('The List'!V2:V727)</f>
        <v>2.337149189347739</v>
      </c>
      <c r="J25" s="39">
        <f>(VLOOKUP($A25,'The List'!$B1:$AH727,22,FALSE)-AVERAGE('The List'!W2:W727))/STDEV('The List'!W2:W727)</f>
        <v>1.6897171506249795</v>
      </c>
      <c r="K25" s="39">
        <f>(VLOOKUP($A25,'The List'!$B1:$AH727,23,FALSE)-AVERAGE('The List'!X2:X727))/STDEV('The List'!X2:X727)</f>
        <v>1.9318822588722853</v>
      </c>
      <c r="L25" s="39">
        <f>(VLOOKUP($A25,'The List'!$B1:$AH727,24,FALSE)-AVERAGE('The List'!Y2:Y727))/STDEV('The List'!Y2:Y727)</f>
        <v>-1.0679346982869249E-4</v>
      </c>
      <c r="M25" s="39">
        <f>(VLOOKUP($A25,'The List'!$B1:$AH727,25,FALSE)-AVERAGE('The List'!Z2:Z727))/STDEV('The List'!Z2:Z727)</f>
        <v>-0.34517259263133487</v>
      </c>
      <c r="N25" s="39">
        <f>(VLOOKUP($A25,'The List'!$B1:$AH727,26,FALSE)-AVERAGE('The List'!AA2:AA727))/STDEV('The List'!AA2:AA727)</f>
        <v>-0.89483531011169382</v>
      </c>
      <c r="O25" s="39">
        <f>(VLOOKUP($A25,'The List'!$B1:$AH727,27,FALSE)-AVERAGE('The List'!AB2:AB727))/STDEV('The List'!AB2:AB727)</f>
        <v>-1.070032734354929</v>
      </c>
      <c r="P25" s="39">
        <f>(VLOOKUP($A25,'The List'!$B1:$AH727,28,FALSE)-AVERAGE('The List'!AC2:AC727))/STDEV('The List'!AC2:AC727)</f>
        <v>0.15534153333136869</v>
      </c>
      <c r="Q25" s="39">
        <f>(VLOOKUP($A25,'The List'!$B1:$AH727,29,FALSE)-AVERAGE('The List'!AD2:AD727))/STDEV('The List'!AD2:AD727)</f>
        <v>-0.95304217216726739</v>
      </c>
      <c r="R25" s="39">
        <f>(VLOOKUP($A25,'The List'!$B1:$AH727,30,FALSE)-AVERAGE('The List'!AE2:AE727))/STDEV('The List'!AE2:AE727)</f>
        <v>2.5429247189820305</v>
      </c>
      <c r="S25" s="39">
        <f>(VLOOKUP($A25,'The List'!$B1:$AH727,31,FALSE)-AVERAGE('The List'!AF2:AF727))/STDEV('The List'!AF2:AF727)</f>
        <v>-0.546990989607959</v>
      </c>
      <c r="T25" s="39">
        <f>(VLOOKUP($A25,'The List'!$B1:$AH727,32,FALSE)-AVERAGE('The List'!AG2:AG727))/STDEV('The List'!AG2:AG727)</f>
        <v>-0.56995698256770944</v>
      </c>
      <c r="U25" s="39">
        <f>(VLOOKUP($A25,'The List'!$B1:$AH727,33,FALSE)-AVERAGE('The List'!AH2:AH727))/STDEV('The List'!AH2:AH727)</f>
        <v>-3.3556337284795235E-2</v>
      </c>
      <c r="V25" s="39"/>
      <c r="W25" s="43"/>
      <c r="X25" s="41"/>
      <c r="Y25" s="41"/>
      <c r="Z25" s="41"/>
      <c r="AA25" s="41"/>
      <c r="AB25" s="41"/>
      <c r="AC25" s="44"/>
      <c r="AD25" s="45"/>
      <c r="AE25" s="39"/>
    </row>
    <row r="26" spans="1:31" ht="21.25" customHeight="1" x14ac:dyDescent="0.15">
      <c r="A26" s="8" t="s">
        <v>148</v>
      </c>
      <c r="B26" s="35" t="str">
        <f>VLOOKUP(A26,'Player Data'!A1:B734,2,FALSE)</f>
        <v>ARI</v>
      </c>
      <c r="C26" s="37">
        <f>((E26)*Settings!$C$12)+(F26*Settings!$C$2)+(G26*Settings!$C$3)+(H26*Settings!$C$4)+(I26*Settings!$C$5)+(K26*Settings!$C$9)+(N26*Settings!$C$6)+(J26*Settings!$C$8)+(O26*Settings!$C$7)+(P26*Settings!$C$14)+(Q26*Settings!$C$15)+(R26*Settings!$C$16)+(S26*Settings!$C$17)+(T26*Settings!$C$18)+(U26*Settings!$C$19)</f>
        <v>5.3174423197389906</v>
      </c>
      <c r="D26" s="41">
        <f>IF(Settings!$E$12="YES",VLOOKUP(A26,'Player Data'!A1:E734,5,FALSE),82)</f>
        <v>79.967500000000001</v>
      </c>
      <c r="E26" s="39">
        <f>(VLOOKUP($A26,'The List'!$B1:$AH727,17,FALSE)-AVERAGE('The List'!R2:R727))/STDEV('The List'!R2:R727)</f>
        <v>1.1525925930358034</v>
      </c>
      <c r="F26" s="39">
        <f>(VLOOKUP($A26,'The List'!$B1:$AH727,18,FALSE)-AVERAGE('The List'!S2:S727))/STDEV('The List'!S2:S727)</f>
        <v>2.1623959515736817</v>
      </c>
      <c r="G26" s="39">
        <f>(VLOOKUP($A26,'The List'!$B1:$AH727,19,FALSE)-AVERAGE('The List'!T2:T727))/STDEV('The List'!T2:T727)</f>
        <v>1.7978551483116676</v>
      </c>
      <c r="H26" s="39">
        <f>(VLOOKUP($A26,'The List'!$B1:$AH727,20,FALSE)-AVERAGE('The List'!U2:U727))/STDEV('The List'!U2:U727)</f>
        <v>2.0918803697405615</v>
      </c>
      <c r="I26" s="39">
        <f>(VLOOKUP($A26,'The List'!$B1:$AH727,21,FALSE)-AVERAGE('The List'!V2:V727))/STDEV('The List'!V2:V727)</f>
        <v>1.4838323791558004</v>
      </c>
      <c r="J26" s="39">
        <f>(VLOOKUP($A26,'The List'!$B1:$AH727,22,FALSE)-AVERAGE('The List'!W2:W727))/STDEV('The List'!W2:W727)</f>
        <v>1.2103027567844817</v>
      </c>
      <c r="K26" s="39">
        <f>(VLOOKUP($A26,'The List'!$B1:$AH727,23,FALSE)-AVERAGE('The List'!X2:X727))/STDEV('The List'!X2:X727)</f>
        <v>1.2344675963165177</v>
      </c>
      <c r="L26" s="39">
        <f>(VLOOKUP($A26,'The List'!$B1:$AH727,24,FALSE)-AVERAGE('The List'!Y2:Y727))/STDEV('The List'!Y2:Y727)</f>
        <v>0.54797612799392192</v>
      </c>
      <c r="M26" s="39">
        <f>(VLOOKUP($A26,'The List'!$B1:$AH727,25,FALSE)-AVERAGE('The List'!Z2:Z727))/STDEV('The List'!Z2:Z727)</f>
        <v>0.23033462221840237</v>
      </c>
      <c r="N26" s="39">
        <f>(VLOOKUP($A26,'The List'!$B1:$AH727,26,FALSE)-AVERAGE('The List'!AA2:AA727))/STDEV('The List'!AA2:AA727)</f>
        <v>-0.63530116612900156</v>
      </c>
      <c r="O26" s="39">
        <f>(VLOOKUP($A26,'The List'!$B1:$AH727,27,FALSE)-AVERAGE('The List'!AB2:AB727))/STDEV('The List'!AB2:AB727)</f>
        <v>-1.4462722299145663</v>
      </c>
      <c r="P26" s="39">
        <f>(VLOOKUP($A26,'The List'!$B1:$AH727,28,FALSE)-AVERAGE('The List'!AC2:AC727))/STDEV('The List'!AC2:AC727)</f>
        <v>-0.7258075894896755</v>
      </c>
      <c r="Q26" s="39">
        <f>(VLOOKUP($A26,'The List'!$B1:$AH727,29,FALSE)-AVERAGE('The List'!AD2:AD727))/STDEV('The List'!AD2:AD727)</f>
        <v>0.46145993303919697</v>
      </c>
      <c r="R26" s="39">
        <f>(VLOOKUP($A26,'The List'!$B1:$AH727,30,FALSE)-AVERAGE('The List'!AE2:AE727))/STDEV('The List'!AE2:AE727)</f>
        <v>1.5905286966054253</v>
      </c>
      <c r="S26" s="39">
        <f>(VLOOKUP($A26,'The List'!$B1:$AH727,31,FALSE)-AVERAGE('The List'!AF2:AF727))/STDEV('The List'!AF2:AF727)</f>
        <v>-0.43153464004332992</v>
      </c>
      <c r="T26" s="39">
        <f>(VLOOKUP($A26,'The List'!$B1:$AH727,32,FALSE)-AVERAGE('The List'!AG2:AG727))/STDEV('The List'!AG2:AG727)</f>
        <v>-0.39673623239938077</v>
      </c>
      <c r="U26" s="39">
        <f>(VLOOKUP($A26,'The List'!$B1:$AH727,33,FALSE)-AVERAGE('The List'!AH2:AH727))/STDEV('The List'!AH2:AH727)</f>
        <v>0.53805976972189029</v>
      </c>
      <c r="V26" s="39"/>
      <c r="W26" s="41"/>
      <c r="X26" s="41"/>
      <c r="Y26" s="41"/>
      <c r="Z26" s="41"/>
      <c r="AA26" s="41"/>
      <c r="AB26" s="41"/>
      <c r="AC26" s="44"/>
      <c r="AD26" s="45"/>
      <c r="AE26" s="39"/>
    </row>
    <row r="27" spans="1:31" ht="21.25" customHeight="1" x14ac:dyDescent="0.15">
      <c r="A27" s="8" t="s">
        <v>133</v>
      </c>
      <c r="B27" s="35" t="str">
        <f>VLOOKUP(A27,'Player Data'!A1:B734,2,FALSE)</f>
        <v>OTT</v>
      </c>
      <c r="C27" s="37">
        <f>((E27)*Settings!$C$12)+(F27*Settings!$C$2)+(G27*Settings!$C$3)+(H27*Settings!$C$4)+(I27*Settings!$C$5)+(K27*Settings!$C$9)+(N27*Settings!$C$6)+(J27*Settings!$C$8)+(O27*Settings!$C$7)+(P27*Settings!$C$14)+(Q27*Settings!$C$15)+(R27*Settings!$C$16)+(S27*Settings!$C$17)+(T27*Settings!$C$18)+(U27*Settings!$C$19)</f>
        <v>8.1067176894363939</v>
      </c>
      <c r="D27" s="41">
        <f>IF(Settings!$E$12="YES",VLOOKUP(A27,'Player Data'!A1:E734,5,FALSE),82)</f>
        <v>80.468214285714296</v>
      </c>
      <c r="E27" s="39">
        <f>(VLOOKUP($A27,'The List'!$B1:$AH727,17,FALSE)-AVERAGE('The List'!R2:R727))/STDEV('The List'!R2:R727)</f>
        <v>1.1481732234778805</v>
      </c>
      <c r="F27" s="39">
        <f>(VLOOKUP($A27,'The List'!$B1:$AH727,18,FALSE)-AVERAGE('The List'!S2:S727))/STDEV('The List'!S2:S727)</f>
        <v>2.314637709828141</v>
      </c>
      <c r="G27" s="39">
        <f>(VLOOKUP($A27,'The List'!$B1:$AH727,19,FALSE)-AVERAGE('The List'!T2:T727))/STDEV('The List'!T2:T727)</f>
        <v>1.9904138753379719</v>
      </c>
      <c r="H27" s="39">
        <f>(VLOOKUP($A27,'The List'!$B1:$AH727,20,FALSE)-AVERAGE('The List'!U2:U727))/STDEV('The List'!U2:U727)</f>
        <v>2.2798163571417258</v>
      </c>
      <c r="I27" s="39">
        <f>(VLOOKUP($A27,'The List'!$B1:$AH727,21,FALSE)-AVERAGE('The List'!V2:V727))/STDEV('The List'!V2:V727)</f>
        <v>1.6095717406500714</v>
      </c>
      <c r="J27" s="39">
        <f>(VLOOKUP($A27,'The List'!$B1:$AH727,22,FALSE)-AVERAGE('The List'!W2:W727))/STDEV('The List'!W2:W727)</f>
        <v>1.8784774282109014</v>
      </c>
      <c r="K27" s="39">
        <f>(VLOOKUP($A27,'The List'!$B1:$AH727,23,FALSE)-AVERAGE('The List'!X2:X727))/STDEV('The List'!X2:X727)</f>
        <v>2.1554097746509182</v>
      </c>
      <c r="L27" s="39">
        <f>(VLOOKUP($A27,'The List'!$B1:$AH727,24,FALSE)-AVERAGE('The List'!Y2:Y727))/STDEV('The List'!Y2:Y727)</f>
        <v>4.1910238119740617</v>
      </c>
      <c r="M27" s="39">
        <f>(VLOOKUP($A27,'The List'!$B1:$AH727,25,FALSE)-AVERAGE('The List'!Z2:Z727))/STDEV('The List'!Z2:Z727)</f>
        <v>2.3174000465062341</v>
      </c>
      <c r="N27" s="39">
        <f>(VLOOKUP($A27,'The List'!$B1:$AH727,26,FALSE)-AVERAGE('The List'!AA2:AA727))/STDEV('The List'!AA2:AA727)</f>
        <v>-0.21172566865159942</v>
      </c>
      <c r="O27" s="39">
        <f>(VLOOKUP($A27,'The List'!$B1:$AH727,27,FALSE)-AVERAGE('The List'!AB2:AB727))/STDEV('The List'!AB2:AB727)</f>
        <v>0.52353298870836829</v>
      </c>
      <c r="P27" s="39">
        <f>(VLOOKUP($A27,'The List'!$B1:$AH727,28,FALSE)-AVERAGE('The List'!AC2:AC727))/STDEV('The List'!AC2:AC727)</f>
        <v>0.24841025762089067</v>
      </c>
      <c r="Q27" s="39">
        <f>(VLOOKUP($A27,'The List'!$B1:$AH727,29,FALSE)-AVERAGE('The List'!AD2:AD727))/STDEV('The List'!AD2:AD727)</f>
        <v>1.0334184912544864</v>
      </c>
      <c r="R27" s="39">
        <f>(VLOOKUP($A27,'The List'!$B1:$AH727,30,FALSE)-AVERAGE('The List'!AE2:AE727))/STDEV('The List'!AE2:AE727)</f>
        <v>2.0820240488476034</v>
      </c>
      <c r="S27" s="39">
        <f>(VLOOKUP($A27,'The List'!$B1:$AH727,31,FALSE)-AVERAGE('The List'!AF2:AF727))/STDEV('The List'!AF2:AF727)</f>
        <v>0.31793719726146868</v>
      </c>
      <c r="T27" s="39">
        <f>(VLOOKUP($A27,'The List'!$B1:$AH727,32,FALSE)-AVERAGE('The List'!AG2:AG727))/STDEV('The List'!AG2:AG727)</f>
        <v>0.86655852032791059</v>
      </c>
      <c r="U27" s="39">
        <f>(VLOOKUP($A27,'The List'!$B1:$AH727,33,FALSE)-AVERAGE('The List'!AH2:AH727))/STDEV('The List'!AH2:AH727)</f>
        <v>0.5024029756034144</v>
      </c>
      <c r="V27" s="39"/>
      <c r="W27" s="41"/>
      <c r="X27" s="39"/>
      <c r="Y27" s="39"/>
      <c r="Z27" s="39"/>
      <c r="AA27" s="39"/>
      <c r="AB27" s="39"/>
      <c r="AC27" s="39"/>
      <c r="AD27" s="39"/>
      <c r="AE27" s="39"/>
    </row>
    <row r="28" spans="1:31" ht="21.25" customHeight="1" x14ac:dyDescent="0.15">
      <c r="A28" s="8" t="s">
        <v>121</v>
      </c>
      <c r="B28" s="35" t="str">
        <f>VLOOKUP(A28,'Player Data'!A1:B734,2,FALSE)</f>
        <v>TOR</v>
      </c>
      <c r="C28" s="37">
        <f>((E28)*Settings!$C$12)+(F28*Settings!$C$2)+(G28*Settings!$C$3)+(H28*Settings!$C$4)+(I28*Settings!$C$5)+(K28*Settings!$C$9)+(N28*Settings!$C$6)+(J28*Settings!$C$8)+(O28*Settings!$C$7)+(P28*Settings!$C$14)+(Q28*Settings!$C$15)+(R28*Settings!$C$16)+(S28*Settings!$C$17)+(T28*Settings!$C$18)+(U28*Settings!$C$19)</f>
        <v>10.091877800323303</v>
      </c>
      <c r="D28" s="41">
        <f>IF(Settings!$E$12="YES",VLOOKUP(A28,'Player Data'!A1:E734,5,FALSE),82)</f>
        <v>81.160357142857094</v>
      </c>
      <c r="E28" s="39">
        <f>(VLOOKUP($A28,'The List'!$B1:$AH727,17,FALSE)-AVERAGE('The List'!R2:R727))/STDEV('The List'!R2:R727)</f>
        <v>0.55698007273686578</v>
      </c>
      <c r="F28" s="39">
        <f>(VLOOKUP($A28,'The List'!$B1:$AH727,18,FALSE)-AVERAGE('The List'!S2:S727))/STDEV('The List'!S2:S727)</f>
        <v>2.421721540902293</v>
      </c>
      <c r="G28" s="39">
        <f>(VLOOKUP($A28,'The List'!$B1:$AH727,19,FALSE)-AVERAGE('The List'!T2:T727))/STDEV('The List'!T2:T727)</f>
        <v>1.9506983180363027</v>
      </c>
      <c r="H28" s="39">
        <f>(VLOOKUP($A28,'The List'!$B1:$AH727,20,FALSE)-AVERAGE('The List'!U2:U727))/STDEV('The List'!U2:U727)</f>
        <v>2.304073109089281</v>
      </c>
      <c r="I28" s="39">
        <f>(VLOOKUP($A28,'The List'!$B1:$AH727,21,FALSE)-AVERAGE('The List'!V2:V727))/STDEV('The List'!V2:V727)</f>
        <v>2.4781550287992928</v>
      </c>
      <c r="J28" s="39">
        <f>(VLOOKUP($A28,'The List'!$B1:$AH727,22,FALSE)-AVERAGE('The List'!W2:W727))/STDEV('The List'!W2:W727)</f>
        <v>2.3914185745271395</v>
      </c>
      <c r="K28" s="39">
        <f>(VLOOKUP($A28,'The List'!$B1:$AH727,23,FALSE)-AVERAGE('The List'!X2:X727))/STDEV('The List'!X2:X727)</f>
        <v>2.4617884547610887</v>
      </c>
      <c r="L28" s="39">
        <f>(VLOOKUP($A28,'The List'!$B1:$AH727,24,FALSE)-AVERAGE('The List'!Y2:Y727))/STDEV('The List'!Y2:Y727)</f>
        <v>-0.43078958815482143</v>
      </c>
      <c r="M28" s="39">
        <f>(VLOOKUP($A28,'The List'!$B1:$AH727,25,FALSE)-AVERAGE('The List'!Z2:Z727))/STDEV('The List'!Z2:Z727)</f>
        <v>-0.5968152996967977</v>
      </c>
      <c r="N28" s="39">
        <f>(VLOOKUP($A28,'The List'!$B1:$AH727,26,FALSE)-AVERAGE('The List'!AA2:AA727))/STDEV('The List'!AA2:AA727)</f>
        <v>-0.7881835989016307</v>
      </c>
      <c r="O28" s="39">
        <f>(VLOOKUP($A28,'The List'!$B1:$AH727,27,FALSE)-AVERAGE('The List'!AB2:AB727))/STDEV('The List'!AB2:AB727)</f>
        <v>-1.4175290542263708</v>
      </c>
      <c r="P28" s="39">
        <f>(VLOOKUP($A28,'The List'!$B1:$AH727,28,FALSE)-AVERAGE('The List'!AC2:AC727))/STDEV('The List'!AC2:AC727)</f>
        <v>1.5676980567259577</v>
      </c>
      <c r="Q28" s="39">
        <f>(VLOOKUP($A28,'The List'!$B1:$AH727,29,FALSE)-AVERAGE('The List'!AD2:AD727))/STDEV('The List'!AD2:AD727)</f>
        <v>-0.36365738133888176</v>
      </c>
      <c r="R28" s="39">
        <f>(VLOOKUP($A28,'The List'!$B1:$AH727,30,FALSE)-AVERAGE('The List'!AE2:AE727))/STDEV('The List'!AE2:AE727)</f>
        <v>2.7070636993175885</v>
      </c>
      <c r="S28" s="39">
        <f>(VLOOKUP($A28,'The List'!$B1:$AH727,31,FALSE)-AVERAGE('The List'!AF2:AF727))/STDEV('The List'!AF2:AF727)</f>
        <v>-0.42002091588047569</v>
      </c>
      <c r="T28" s="39">
        <f>(VLOOKUP($A28,'The List'!$B1:$AH727,32,FALSE)-AVERAGE('The List'!AG2:AG727))/STDEV('The List'!AG2:AG727)</f>
        <v>-0.44647218819559648</v>
      </c>
      <c r="U28" s="39">
        <f>(VLOOKUP($A28,'The List'!$B1:$AH727,33,FALSE)-AVERAGE('The List'!AH2:AH727))/STDEV('The List'!AH2:AH727)</f>
        <v>0.94258257464772788</v>
      </c>
      <c r="V28" s="39"/>
      <c r="W28" s="41"/>
      <c r="X28" s="39"/>
      <c r="Y28" s="39"/>
      <c r="Z28" s="39"/>
      <c r="AA28" s="39"/>
      <c r="AB28" s="39"/>
      <c r="AC28" s="39"/>
      <c r="AD28" s="39"/>
      <c r="AE28" s="39"/>
    </row>
    <row r="29" spans="1:31" ht="21.25" customHeight="1" x14ac:dyDescent="0.15">
      <c r="A29" s="8" t="s">
        <v>143</v>
      </c>
      <c r="B29" s="35" t="str">
        <f>VLOOKUP(A29,'Player Data'!A1:B734,2,FALSE)</f>
        <v>VAN</v>
      </c>
      <c r="C29" s="37">
        <f>((E29)*Settings!$C$12)+(F29*Settings!$C$2)+(G29*Settings!$C$3)+(H29*Settings!$C$4)+(I29*Settings!$C$5)+(K29*Settings!$C$9)+(N29*Settings!$C$6)+(J29*Settings!$C$8)+(O29*Settings!$C$7)+(P29*Settings!$C$14)+(Q29*Settings!$C$15)+(R29*Settings!$C$16)+(S29*Settings!$C$17)+(T29*Settings!$C$18)+(U29*Settings!$C$19)</f>
        <v>6.5742648907832058</v>
      </c>
      <c r="D29" s="41">
        <f>IF(Settings!$E$12="YES",VLOOKUP(A29,'Player Data'!A1:E734,5,FALSE),82)</f>
        <v>81.138214285714298</v>
      </c>
      <c r="E29" s="39">
        <f>(VLOOKUP($A29,'The List'!$B1:$AH727,17,FALSE)-AVERAGE('The List'!R2:R727))/STDEV('The List'!R2:R727)</f>
        <v>0.97357172119648461</v>
      </c>
      <c r="F29" s="39">
        <f>(VLOOKUP($A29,'The List'!$B1:$AH727,18,FALSE)-AVERAGE('The List'!S2:S727))/STDEV('The List'!S2:S727)</f>
        <v>1.4428629092824776</v>
      </c>
      <c r="G29" s="39">
        <f>(VLOOKUP($A29,'The List'!$B1:$AH727,19,FALSE)-AVERAGE('The List'!T2:T727))/STDEV('The List'!T2:T727)</f>
        <v>2.0661149643176988</v>
      </c>
      <c r="H29" s="39">
        <f>(VLOOKUP($A29,'The List'!$B1:$AH727,20,FALSE)-AVERAGE('The List'!U2:U727))/STDEV('The List'!U2:U727)</f>
        <v>1.9297519784811574</v>
      </c>
      <c r="I29" s="39">
        <f>(VLOOKUP($A29,'The List'!$B1:$AH727,21,FALSE)-AVERAGE('The List'!V2:V727))/STDEV('The List'!V2:V727)</f>
        <v>1.255023971327847</v>
      </c>
      <c r="J29" s="39">
        <f>(VLOOKUP($A29,'The List'!$B1:$AH727,22,FALSE)-AVERAGE('The List'!W2:W727))/STDEV('The List'!W2:W727)</f>
        <v>1.6983609312796528</v>
      </c>
      <c r="K29" s="39">
        <f>(VLOOKUP($A29,'The List'!$B1:$AH727,23,FALSE)-AVERAGE('The List'!X2:X727))/STDEV('The List'!X2:X727)</f>
        <v>2.3159074701011582</v>
      </c>
      <c r="L29" s="39">
        <f>(VLOOKUP($A29,'The List'!$B1:$AH727,24,FALSE)-AVERAGE('The List'!Y2:Y727))/STDEV('The List'!Y2:Y727)</f>
        <v>2.0601717828960693</v>
      </c>
      <c r="M29" s="39">
        <f>(VLOOKUP($A29,'The List'!$B1:$AH727,25,FALSE)-AVERAGE('The List'!Z2:Z727))/STDEV('The List'!Z2:Z727)</f>
        <v>2.0870317425468703</v>
      </c>
      <c r="N29" s="39">
        <f>(VLOOKUP($A29,'The List'!$B1:$AH727,26,FALSE)-AVERAGE('The List'!AA2:AA727))/STDEV('The List'!AA2:AA727)</f>
        <v>-0.27454049842206685</v>
      </c>
      <c r="O29" s="39">
        <f>(VLOOKUP($A29,'The List'!$B1:$AH727,27,FALSE)-AVERAGE('The List'!AB2:AB727))/STDEV('The List'!AB2:AB727)</f>
        <v>1.8094975590324882</v>
      </c>
      <c r="P29" s="39">
        <f>(VLOOKUP($A29,'The List'!$B1:$AH727,28,FALSE)-AVERAGE('The List'!AC2:AC727))/STDEV('The List'!AC2:AC727)</f>
        <v>-0.23110392582390826</v>
      </c>
      <c r="Q29" s="39">
        <f>(VLOOKUP($A29,'The List'!$B1:$AH727,29,FALSE)-AVERAGE('The List'!AD2:AD727))/STDEV('The List'!AD2:AD727)</f>
        <v>1.5403137951651014</v>
      </c>
      <c r="R29" s="39">
        <f>(VLOOKUP($A29,'The List'!$B1:$AH727,30,FALSE)-AVERAGE('The List'!AE2:AE727))/STDEV('The List'!AE2:AE727)</f>
        <v>1.3385734612566536</v>
      </c>
      <c r="S29" s="39">
        <f>(VLOOKUP($A29,'The List'!$B1:$AH727,31,FALSE)-AVERAGE('The List'!AF2:AF727))/STDEV('The List'!AF2:AF727)</f>
        <v>1.8534016237549653</v>
      </c>
      <c r="T29" s="39">
        <f>(VLOOKUP($A29,'The List'!$B1:$AH727,32,FALSE)-AVERAGE('The List'!AG2:AG727))/STDEV('The List'!AG2:AG727)</f>
        <v>1.5392933684649432</v>
      </c>
      <c r="U29" s="39">
        <f>(VLOOKUP($A29,'The List'!$B1:$AH727,33,FALSE)-AVERAGE('The List'!AH2:AH727))/STDEV('The List'!AH2:AH727)</f>
        <v>1.2103862312730047</v>
      </c>
      <c r="V29" s="39"/>
      <c r="W29" s="41"/>
      <c r="X29" s="39"/>
      <c r="Y29" s="39"/>
      <c r="Z29" s="39"/>
      <c r="AA29" s="39"/>
      <c r="AB29" s="39"/>
      <c r="AC29" s="39"/>
      <c r="AD29" s="39"/>
      <c r="AE29" s="39"/>
    </row>
    <row r="30" spans="1:31" ht="21.25" customHeight="1" x14ac:dyDescent="0.15">
      <c r="A30" s="8" t="s">
        <v>163</v>
      </c>
      <c r="B30" s="35" t="str">
        <f>VLOOKUP(A30,'Player Data'!A1:B734,2,FALSE)</f>
        <v>EDM</v>
      </c>
      <c r="C30" s="37">
        <f>((E30)*Settings!$C$12)+(F30*Settings!$C$2)+(G30*Settings!$C$3)+(H30*Settings!$C$4)+(I30*Settings!$C$5)+(K30*Settings!$C$9)+(N30*Settings!$C$6)+(J30*Settings!$C$8)+(O30*Settings!$C$7)+(P30*Settings!$C$14)+(Q30*Settings!$C$15)+(R30*Settings!$C$16)+(S30*Settings!$C$17)+(T30*Settings!$C$18)+(U30*Settings!$C$19)</f>
        <v>8.4381257747786602</v>
      </c>
      <c r="D30" s="41">
        <f>IF(Settings!$E$12="YES",VLOOKUP(A30,'Player Data'!A1:E734,5,FALSE),82)</f>
        <v>78.831785714285701</v>
      </c>
      <c r="E30" s="39">
        <f>(VLOOKUP($A30,'The List'!$B1:$AH727,17,FALSE)-AVERAGE('The List'!R2:R727))/STDEV('The List'!R2:R727)</f>
        <v>0.8563220309331514</v>
      </c>
      <c r="F30" s="39">
        <f>(VLOOKUP($A30,'The List'!$B1:$AH727,18,FALSE)-AVERAGE('The List'!S2:S727))/STDEV('The List'!S2:S727)</f>
        <v>1.3135987125541835</v>
      </c>
      <c r="G30" s="39">
        <f>(VLOOKUP($A30,'The List'!$B1:$AH727,19,FALSE)-AVERAGE('The List'!T2:T727))/STDEV('The List'!T2:T727)</f>
        <v>2.1609544471203757</v>
      </c>
      <c r="H30" s="39">
        <f>(VLOOKUP($A30,'The List'!$B1:$AH727,20,FALSE)-AVERAGE('The List'!U2:U727))/STDEV('The List'!U2:U727)</f>
        <v>1.9293696426653704</v>
      </c>
      <c r="I30" s="39">
        <f>(VLOOKUP($A30,'The List'!$B1:$AH727,21,FALSE)-AVERAGE('The List'!V2:V727))/STDEV('The List'!V2:V727)</f>
        <v>1.0296410230791784</v>
      </c>
      <c r="J30" s="39">
        <f>(VLOOKUP($A30,'The List'!$B1:$AH727,22,FALSE)-AVERAGE('The List'!W2:W727))/STDEV('The List'!W2:W727)</f>
        <v>1.9880646796082444</v>
      </c>
      <c r="K30" s="39">
        <f>(VLOOKUP($A30,'The List'!$B1:$AH727,23,FALSE)-AVERAGE('The List'!X2:X727))/STDEV('The List'!X2:X727)</f>
        <v>3.2355746635258411</v>
      </c>
      <c r="L30" s="39">
        <f>(VLOOKUP($A30,'The List'!$B1:$AH727,24,FALSE)-AVERAGE('The List'!Y2:Y727))/STDEV('The List'!Y2:Y727)</f>
        <v>2.002983440364476</v>
      </c>
      <c r="M30" s="39">
        <f>(VLOOKUP($A30,'The List'!$B1:$AH727,25,FALSE)-AVERAGE('The List'!Z2:Z727))/STDEV('The List'!Z2:Z727)</f>
        <v>3.190278177293703</v>
      </c>
      <c r="N30" s="39">
        <f>(VLOOKUP($A30,'The List'!$B1:$AH727,26,FALSE)-AVERAGE('The List'!AA2:AA727))/STDEV('The List'!AA2:AA727)</f>
        <v>-0.71297223605083926</v>
      </c>
      <c r="O30" s="39">
        <f>(VLOOKUP($A30,'The List'!$B1:$AH727,27,FALSE)-AVERAGE('The List'!AB2:AB727))/STDEV('The List'!AB2:AB727)</f>
        <v>-0.84884643948713467</v>
      </c>
      <c r="P30" s="39">
        <f>(VLOOKUP($A30,'The List'!$B1:$AH727,28,FALSE)-AVERAGE('The List'!AC2:AC727))/STDEV('The List'!AC2:AC727)</f>
        <v>1.4113291645499206</v>
      </c>
      <c r="Q30" s="39">
        <f>(VLOOKUP($A30,'The List'!$B1:$AH727,29,FALSE)-AVERAGE('The List'!AD2:AD727))/STDEV('The List'!AD2:AD727)</f>
        <v>-2.2869971389188899E-2</v>
      </c>
      <c r="R30" s="39">
        <f>(VLOOKUP($A30,'The List'!$B1:$AH727,30,FALSE)-AVERAGE('The List'!AE2:AE727))/STDEV('The List'!AE2:AE727)</f>
        <v>1.5040037119083394</v>
      </c>
      <c r="S30" s="39">
        <f>(VLOOKUP($A30,'The List'!$B1:$AH727,31,FALSE)-AVERAGE('The List'!AF2:AF727))/STDEV('The List'!AF2:AF727)</f>
        <v>0.7292300866554946</v>
      </c>
      <c r="T30" s="39">
        <f>(VLOOKUP($A30,'The List'!$B1:$AH727,32,FALSE)-AVERAGE('The List'!AG2:AG727))/STDEV('The List'!AG2:AG727)</f>
        <v>1.1246843704315739</v>
      </c>
      <c r="U30" s="39">
        <f>(VLOOKUP($A30,'The List'!$B1:$AH727,33,FALSE)-AVERAGE('The List'!AH2:AH727))/STDEV('The List'!AH2:AH727)</f>
        <v>0.74630217048468162</v>
      </c>
      <c r="V30" s="39"/>
      <c r="W30" s="41"/>
      <c r="X30" s="39"/>
      <c r="Y30" s="39"/>
      <c r="Z30" s="39"/>
      <c r="AA30" s="39"/>
      <c r="AB30" s="39"/>
      <c r="AC30" s="39"/>
      <c r="AD30" s="39"/>
      <c r="AE30" s="39"/>
    </row>
    <row r="31" spans="1:31" ht="21.25" customHeight="1" x14ac:dyDescent="0.15">
      <c r="A31" s="8" t="s">
        <v>252</v>
      </c>
      <c r="B31" s="35" t="str">
        <f>VLOOKUP(A31,'Player Data'!A1:B734,2,FALSE)</f>
        <v>STL</v>
      </c>
      <c r="C31" s="37">
        <f>((E31)*Settings!$C$12)+(F31*Settings!$C$2)+(G31*Settings!$C$3)+(H31*Settings!$C$4)+(I31*Settings!$C$5)+(K31*Settings!$C$9)+(N31*Settings!$C$6)+(J31*Settings!$C$8)+(O31*Settings!$C$7)+(P31*Settings!$C$14)+(Q31*Settings!$C$15)+(R31*Settings!$C$16)+(S31*Settings!$C$17)+(T31*Settings!$C$18)+(U31*Settings!$C$19)</f>
        <v>3.0911970486009288</v>
      </c>
      <c r="D31" s="41">
        <f>IF(Settings!$E$12="YES",VLOOKUP(A31,'Player Data'!A1:E734,5,FALSE),82)</f>
        <v>76.400000000000006</v>
      </c>
      <c r="E31" s="39">
        <f>(VLOOKUP($A31,'The List'!$B1:$AH727,17,FALSE)-AVERAGE('The List'!R2:R727))/STDEV('The List'!R2:R727)</f>
        <v>0.79538437160008391</v>
      </c>
      <c r="F31" s="39">
        <f>(VLOOKUP($A31,'The List'!$B1:$AH727,18,FALSE)-AVERAGE('The List'!S2:S727))/STDEV('The List'!S2:S727)</f>
        <v>0.8641080172565222</v>
      </c>
      <c r="G31" s="39">
        <f>(VLOOKUP($A31,'The List'!$B1:$AH727,19,FALSE)-AVERAGE('The List'!T2:T727))/STDEV('The List'!T2:T727)</f>
        <v>2.2992024331843943</v>
      </c>
      <c r="H31" s="39">
        <f>(VLOOKUP($A31,'The List'!$B1:$AH727,20,FALSE)-AVERAGE('The List'!U2:U727))/STDEV('The List'!U2:U727)</f>
        <v>1.8100129308046167</v>
      </c>
      <c r="I31" s="39">
        <f>(VLOOKUP($A31,'The List'!$B1:$AH727,21,FALSE)-AVERAGE('The List'!V2:V727))/STDEV('The List'!V2:V727)</f>
        <v>-0.13161765255853339</v>
      </c>
      <c r="J31" s="39">
        <f>(VLOOKUP($A31,'The List'!$B1:$AH727,22,FALSE)-AVERAGE('The List'!W2:W727))/STDEV('The List'!W2:W727)</f>
        <v>0.82432278763155797</v>
      </c>
      <c r="K31" s="39">
        <f>(VLOOKUP($A31,'The List'!$B1:$AH727,23,FALSE)-AVERAGE('The List'!X2:X727))/STDEV('The List'!X2:X727)</f>
        <v>1.5454946368352134</v>
      </c>
      <c r="L31" s="39">
        <f>(VLOOKUP($A31,'The List'!$B1:$AH727,24,FALSE)-AVERAGE('The List'!Y2:Y727))/STDEV('The List'!Y2:Y727)</f>
        <v>1.585894993591487</v>
      </c>
      <c r="M31" s="39">
        <f>(VLOOKUP($A31,'The List'!$B1:$AH727,25,FALSE)-AVERAGE('The List'!Z2:Z727))/STDEV('The List'!Z2:Z727)</f>
        <v>0.66852402143282708</v>
      </c>
      <c r="N31" s="39">
        <f>(VLOOKUP($A31,'The List'!$B1:$AH727,26,FALSE)-AVERAGE('The List'!AA2:AA727))/STDEV('The List'!AA2:AA727)</f>
        <v>-0.73332320716359245</v>
      </c>
      <c r="O31" s="39">
        <f>(VLOOKUP($A31,'The List'!$B1:$AH727,27,FALSE)-AVERAGE('The List'!AB2:AB727))/STDEV('The List'!AB2:AB727)</f>
        <v>-1.463207949329854</v>
      </c>
      <c r="P31" s="39">
        <f>(VLOOKUP($A31,'The List'!$B1:$AH727,28,FALSE)-AVERAGE('The List'!AC2:AC727))/STDEV('The List'!AC2:AC727)</f>
        <v>-0.752667178953075</v>
      </c>
      <c r="Q31" s="39">
        <f>(VLOOKUP($A31,'The List'!$B1:$AH727,29,FALSE)-AVERAGE('The List'!AD2:AD727))/STDEV('The List'!AD2:AD727)</f>
        <v>-0.45471410065914802</v>
      </c>
      <c r="R31" s="39">
        <f>(VLOOKUP($A31,'The List'!$B1:$AH727,30,FALSE)-AVERAGE('The List'!AE2:AE727))/STDEV('The List'!AE2:AE727)</f>
        <v>0.43001536350682334</v>
      </c>
      <c r="S31" s="39">
        <f>(VLOOKUP($A31,'The List'!$B1:$AH727,31,FALSE)-AVERAGE('The List'!AF2:AF727))/STDEV('The List'!AF2:AF727)</f>
        <v>2.568213368850806</v>
      </c>
      <c r="T31" s="39">
        <f>(VLOOKUP($A31,'The List'!$B1:$AH727,32,FALSE)-AVERAGE('The List'!AG2:AG727))/STDEV('The List'!AG2:AG727)</f>
        <v>2.5992044397435499</v>
      </c>
      <c r="U31" s="39">
        <f>(VLOOKUP($A31,'The List'!$B1:$AH727,33,FALSE)-AVERAGE('The List'!AH2:AH727))/STDEV('The List'!AH2:AH727)</f>
        <v>1.0498645853354971</v>
      </c>
      <c r="V31" s="39"/>
      <c r="W31" s="43"/>
      <c r="X31" s="41"/>
      <c r="Y31" s="41"/>
      <c r="Z31" s="41"/>
      <c r="AA31" s="41"/>
      <c r="AB31" s="41"/>
      <c r="AC31" s="44"/>
      <c r="AD31" s="45"/>
      <c r="AE31" s="39"/>
    </row>
    <row r="32" spans="1:31" ht="21.25" customHeight="1" x14ac:dyDescent="0.15">
      <c r="A32" s="8" t="s">
        <v>181</v>
      </c>
      <c r="B32" s="35" t="str">
        <f>VLOOKUP(A32,'Player Data'!A1:B734,2,FALSE)</f>
        <v>DAL</v>
      </c>
      <c r="C32" s="37">
        <f>((E32)*Settings!$C$12)+(F32*Settings!$C$2)+(G32*Settings!$C$3)+(H32*Settings!$C$4)+(I32*Settings!$C$5)+(K32*Settings!$C$9)+(N32*Settings!$C$6)+(J32*Settings!$C$8)+(O32*Settings!$C$7)+(P32*Settings!$C$14)+(Q32*Settings!$C$15)+(R32*Settings!$C$16)+(S32*Settings!$C$17)+(T32*Settings!$C$18)+(U32*Settings!$C$19)</f>
        <v>8.4701597360955336</v>
      </c>
      <c r="D32" s="41">
        <f>IF(Settings!$E$12="YES",VLOOKUP(A32,'Player Data'!A1:E734,5,FALSE),82)</f>
        <v>77.961071428571401</v>
      </c>
      <c r="E32" s="39">
        <f>(VLOOKUP($A32,'The List'!$B1:$AH727,17,FALSE)-AVERAGE('The List'!R2:R727))/STDEV('The List'!R2:R727)</f>
        <v>0.52651645449017925</v>
      </c>
      <c r="F32" s="39">
        <f>(VLOOKUP($A32,'The List'!$B1:$AH727,18,FALSE)-AVERAGE('The List'!S2:S727))/STDEV('The List'!S2:S727)</f>
        <v>2.3223261527640044</v>
      </c>
      <c r="G32" s="39">
        <f>(VLOOKUP($A32,'The List'!$B1:$AH727,19,FALSE)-AVERAGE('The List'!T2:T727))/STDEV('The List'!T2:T727)</f>
        <v>1.3339884344505746</v>
      </c>
      <c r="H32" s="39">
        <f>(VLOOKUP($A32,'The List'!$B1:$AH727,20,FALSE)-AVERAGE('The List'!U2:U727))/STDEV('The List'!U2:U727)</f>
        <v>1.8788196787987883</v>
      </c>
      <c r="I32" s="39">
        <f>(VLOOKUP($A32,'The List'!$B1:$AH727,21,FALSE)-AVERAGE('The List'!V2:V727))/STDEV('The List'!V2:V727)</f>
        <v>1.1799877505242393</v>
      </c>
      <c r="J32" s="39">
        <f>(VLOOKUP($A32,'The List'!$B1:$AH727,22,FALSE)-AVERAGE('The List'!W2:W727))/STDEV('The List'!W2:W727)</f>
        <v>2.0688952232713187</v>
      </c>
      <c r="K32" s="39">
        <f>(VLOOKUP($A32,'The List'!$B1:$AH727,23,FALSE)-AVERAGE('The List'!X2:X727))/STDEV('The List'!X2:X727)</f>
        <v>1.8735295114222417</v>
      </c>
      <c r="L32" s="39">
        <f>(VLOOKUP($A32,'The List'!$B1:$AH727,24,FALSE)-AVERAGE('The List'!Y2:Y727))/STDEV('The List'!Y2:Y727)</f>
        <v>4.8255113222920052</v>
      </c>
      <c r="M32" s="39">
        <f>(VLOOKUP($A32,'The List'!$B1:$AH727,25,FALSE)-AVERAGE('The List'!Z2:Z727))/STDEV('The List'!Z2:Z727)</f>
        <v>3.0904816684098151</v>
      </c>
      <c r="N32" s="39">
        <f>(VLOOKUP($A32,'The List'!$B1:$AH727,26,FALSE)-AVERAGE('The List'!AA2:AA727))/STDEV('The List'!AA2:AA727)</f>
        <v>-0.26242272927573074</v>
      </c>
      <c r="O32" s="39">
        <f>(VLOOKUP($A32,'The List'!$B1:$AH727,27,FALSE)-AVERAGE('The List'!AB2:AB727))/STDEV('The List'!AB2:AB727)</f>
        <v>-0.57600273663915669</v>
      </c>
      <c r="P32" s="39">
        <f>(VLOOKUP($A32,'The List'!$B1:$AH727,28,FALSE)-AVERAGE('The List'!AC2:AC727))/STDEV('The List'!AC2:AC727)</f>
        <v>2.022750616210204</v>
      </c>
      <c r="Q32" s="39">
        <f>(VLOOKUP($A32,'The List'!$B1:$AH727,29,FALSE)-AVERAGE('The List'!AD2:AD727))/STDEV('The List'!AD2:AD727)</f>
        <v>-0.16346622217348569</v>
      </c>
      <c r="R32" s="39">
        <f>(VLOOKUP($A32,'The List'!$B1:$AH727,30,FALSE)-AVERAGE('The List'!AE2:AE727))/STDEV('The List'!AE2:AE727)</f>
        <v>2.5872433722816264</v>
      </c>
      <c r="S32" s="39">
        <f>(VLOOKUP($A32,'The List'!$B1:$AH727,31,FALSE)-AVERAGE('The List'!AF2:AF727))/STDEV('The List'!AF2:AF727)</f>
        <v>0.95751759987089324</v>
      </c>
      <c r="T32" s="39">
        <f>(VLOOKUP($A32,'The List'!$B1:$AH727,32,FALSE)-AVERAGE('The List'!AG2:AG727))/STDEV('The List'!AG2:AG727)</f>
        <v>0.87124471652588309</v>
      </c>
      <c r="U32" s="39">
        <f>(VLOOKUP($A32,'The List'!$B1:$AH727,33,FALSE)-AVERAGE('The List'!AH2:AH727))/STDEV('The List'!AH2:AH727)</f>
        <v>1.1086103429753371</v>
      </c>
      <c r="V32" s="39"/>
      <c r="W32" s="41"/>
      <c r="X32" s="39"/>
      <c r="Y32" s="39"/>
      <c r="Z32" s="39"/>
      <c r="AA32" s="39"/>
      <c r="AB32" s="39"/>
      <c r="AC32" s="39"/>
      <c r="AD32" s="39"/>
      <c r="AE32" s="39"/>
    </row>
    <row r="33" spans="1:31" ht="21.25" customHeight="1" x14ac:dyDescent="0.15">
      <c r="A33" s="8" t="s">
        <v>209</v>
      </c>
      <c r="B33" s="35" t="str">
        <f>VLOOKUP(A33,'Player Data'!A1:B734,2,FALSE)</f>
        <v>CHI</v>
      </c>
      <c r="C33" s="37">
        <f>((E33)*Settings!$C$12)+(F33*Settings!$C$2)+(G33*Settings!$C$3)+(H33*Settings!$C$4)+(I33*Settings!$C$5)+(K33*Settings!$C$9)+(N33*Settings!$C$6)+(J33*Settings!$C$8)+(O33*Settings!$C$7)+(P33*Settings!$C$14)+(Q33*Settings!$C$15)+(R33*Settings!$C$16)+(S33*Settings!$C$17)+(T33*Settings!$C$18)+(U33*Settings!$C$19)</f>
        <v>5.5652969047207073</v>
      </c>
      <c r="D33" s="41">
        <f>IF(Settings!$E$12="YES",VLOOKUP(A33,'Player Data'!A1:E734,5,FALSE),82)</f>
        <v>78</v>
      </c>
      <c r="E33" s="39">
        <f>(VLOOKUP($A33,'The List'!$B1:$AH727,17,FALSE)-AVERAGE('The List'!R2:R727))/STDEV('The List'!R2:R727)</f>
        <v>0.68100598832850301</v>
      </c>
      <c r="F33" s="39">
        <f>(VLOOKUP($A33,'The List'!$B1:$AH727,18,FALSE)-AVERAGE('The List'!S2:S727))/STDEV('The List'!S2:S727)</f>
        <v>1.765253311891845</v>
      </c>
      <c r="G33" s="39">
        <f>(VLOOKUP($A33,'The List'!$B1:$AH727,19,FALSE)-AVERAGE('The List'!T2:T727))/STDEV('The List'!T2:T727)</f>
        <v>1.4579755491942965</v>
      </c>
      <c r="H33" s="39">
        <f>(VLOOKUP($A33,'The List'!$B1:$AH727,20,FALSE)-AVERAGE('The List'!U2:U727))/STDEV('The List'!U2:U727)</f>
        <v>1.7017186783821501</v>
      </c>
      <c r="I33" s="39">
        <f>(VLOOKUP($A33,'The List'!$B1:$AH727,21,FALSE)-AVERAGE('The List'!V2:V727))/STDEV('The List'!V2:V727)</f>
        <v>1.278048298756185</v>
      </c>
      <c r="J33" s="39">
        <f>(VLOOKUP($A33,'The List'!$B1:$AH727,22,FALSE)-AVERAGE('The List'!W2:W727))/STDEV('The List'!W2:W727)</f>
        <v>1.9409290513765438</v>
      </c>
      <c r="K33" s="39">
        <f>(VLOOKUP($A33,'The List'!$B1:$AH727,23,FALSE)-AVERAGE('The List'!X2:X727))/STDEV('The List'!X2:X727)</f>
        <v>1.6084192193840587</v>
      </c>
      <c r="L33" s="39">
        <f>(VLOOKUP($A33,'The List'!$B1:$AH727,24,FALSE)-AVERAGE('The List'!Y2:Y727))/STDEV('The List'!Y2:Y727)</f>
        <v>-0.54402834717551152</v>
      </c>
      <c r="M33" s="39">
        <f>(VLOOKUP($A33,'The List'!$B1:$AH727,25,FALSE)-AVERAGE('The List'!Z2:Z727))/STDEV('The List'!Z2:Z727)</f>
        <v>-0.72372514007823274</v>
      </c>
      <c r="N33" s="39">
        <f>(VLOOKUP($A33,'The List'!$B1:$AH727,26,FALSE)-AVERAGE('The List'!AA2:AA727))/STDEV('The List'!AA2:AA727)</f>
        <v>-0.59883356545856026</v>
      </c>
      <c r="O33" s="39">
        <f>(VLOOKUP($A33,'The List'!$B1:$AH727,27,FALSE)-AVERAGE('The List'!AB2:AB727))/STDEV('The List'!AB2:AB727)</f>
        <v>-1.0295266891756041</v>
      </c>
      <c r="P33" s="39">
        <f>(VLOOKUP($A33,'The List'!$B1:$AH727,28,FALSE)-AVERAGE('The List'!AC2:AC727))/STDEV('The List'!AC2:AC727)</f>
        <v>5.4434090952881695E-2</v>
      </c>
      <c r="Q33" s="39">
        <f>(VLOOKUP($A33,'The List'!$B1:$AH727,29,FALSE)-AVERAGE('The List'!AD2:AD727))/STDEV('The List'!AD2:AD727)</f>
        <v>-0.58934302093330182</v>
      </c>
      <c r="R33" s="39">
        <f>(VLOOKUP($A33,'The List'!$B1:$AH727,30,FALSE)-AVERAGE('The List'!AE2:AE727))/STDEV('The List'!AE2:AE727)</f>
        <v>1.149524513335455</v>
      </c>
      <c r="S33" s="39">
        <f>(VLOOKUP($A33,'The List'!$B1:$AH727,31,FALSE)-AVERAGE('The List'!AF2:AF727))/STDEV('The List'!AF2:AF727)</f>
        <v>0.70572458115244929</v>
      </c>
      <c r="T33" s="39">
        <f>(VLOOKUP($A33,'The List'!$B1:$AH727,32,FALSE)-AVERAGE('The List'!AG2:AG727))/STDEV('The List'!AG2:AG727)</f>
        <v>1.3112374607214599</v>
      </c>
      <c r="U33" s="39">
        <f>(VLOOKUP($A33,'The List'!$B1:$AH727,33,FALSE)-AVERAGE('The List'!AH2:AH727))/STDEV('The List'!AH2:AH727)</f>
        <v>0.61274092382347001</v>
      </c>
      <c r="V33" s="39"/>
      <c r="W33" s="41"/>
      <c r="X33" s="41"/>
      <c r="Y33" s="41"/>
      <c r="Z33" s="41"/>
      <c r="AA33" s="41"/>
      <c r="AB33" s="41"/>
      <c r="AC33" s="44"/>
      <c r="AD33" s="45"/>
      <c r="AE33" s="39"/>
    </row>
    <row r="34" spans="1:31" ht="21.25" customHeight="1" x14ac:dyDescent="0.15">
      <c r="A34" s="8" t="s">
        <v>145</v>
      </c>
      <c r="B34" s="35" t="str">
        <f>VLOOKUP(A34,'Player Data'!A1:B734,2,FALSE)</f>
        <v>PIT</v>
      </c>
      <c r="C34" s="37">
        <f>((E34)*Settings!$C$12)+(F34*Settings!$C$2)+(G34*Settings!$C$3)+(H34*Settings!$C$4)+(I34*Settings!$C$5)+(K34*Settings!$C$9)+(N34*Settings!$C$6)+(J34*Settings!$C$8)+(O34*Settings!$C$7)+(P34*Settings!$C$14)+(Q34*Settings!$C$15)+(R34*Settings!$C$16)+(S34*Settings!$C$17)+(T34*Settings!$C$18)+(U34*Settings!$C$19)</f>
        <v>7.9283896550247217</v>
      </c>
      <c r="D34" s="41">
        <f>IF(Settings!$E$12="YES",VLOOKUP(A34,'Player Data'!A1:E734,5,FALSE),82)</f>
        <v>80.495000000000005</v>
      </c>
      <c r="E34" s="39">
        <f>(VLOOKUP($A34,'The List'!$B1:$AH727,17,FALSE)-AVERAGE('The List'!R2:R727))/STDEV('The List'!R2:R727)</f>
        <v>0.93896009508529443</v>
      </c>
      <c r="F34" s="39">
        <f>(VLOOKUP($A34,'The List'!$B1:$AH727,18,FALSE)-AVERAGE('The List'!S2:S727))/STDEV('The List'!S2:S727)</f>
        <v>2.3591314068266942</v>
      </c>
      <c r="G34" s="39">
        <f>(VLOOKUP($A34,'The List'!$B1:$AH727,19,FALSE)-AVERAGE('The List'!T2:T727))/STDEV('The List'!T2:T727)</f>
        <v>1.4805360881933185</v>
      </c>
      <c r="H34" s="39">
        <f>(VLOOKUP($A34,'The List'!$B1:$AH727,20,FALSE)-AVERAGE('The List'!U2:U727))/STDEV('The List'!U2:U727)</f>
        <v>1.9858723861726941</v>
      </c>
      <c r="I34" s="39">
        <f>(VLOOKUP($A34,'The List'!$B1:$AH727,21,FALSE)-AVERAGE('The List'!V2:V727))/STDEV('The List'!V2:V727)</f>
        <v>1.9301932425016277</v>
      </c>
      <c r="J34" s="39">
        <f>(VLOOKUP($A34,'The List'!$B1:$AH727,22,FALSE)-AVERAGE('The List'!W2:W727))/STDEV('The List'!W2:W727)</f>
        <v>1.9523322768874634</v>
      </c>
      <c r="K34" s="39">
        <f>(VLOOKUP($A34,'The List'!$B1:$AH727,23,FALSE)-AVERAGE('The List'!X2:X727))/STDEV('The List'!X2:X727)</f>
        <v>1.6964496406350351</v>
      </c>
      <c r="L34" s="39">
        <f>(VLOOKUP($A34,'The List'!$B1:$AH727,24,FALSE)-AVERAGE('The List'!Y2:Y727))/STDEV('The List'!Y2:Y727)</f>
        <v>-0.51269038231313357</v>
      </c>
      <c r="M34" s="39">
        <f>(VLOOKUP($A34,'The List'!$B1:$AH727,25,FALSE)-AVERAGE('The List'!Z2:Z727))/STDEV('The List'!Z2:Z727)</f>
        <v>-0.68857607033517554</v>
      </c>
      <c r="N34" s="39">
        <f>(VLOOKUP($A34,'The List'!$B1:$AH727,26,FALSE)-AVERAGE('The List'!AA2:AA727))/STDEV('The List'!AA2:AA727)</f>
        <v>-0.37748416294861453</v>
      </c>
      <c r="O34" s="39">
        <f>(VLOOKUP($A34,'The List'!$B1:$AH727,27,FALSE)-AVERAGE('The List'!AB2:AB727))/STDEV('The List'!AB2:AB727)</f>
        <v>-0.25409171215836268</v>
      </c>
      <c r="P34" s="39">
        <f>(VLOOKUP($A34,'The List'!$B1:$AH727,28,FALSE)-AVERAGE('The List'!AC2:AC727))/STDEV('The List'!AC2:AC727)</f>
        <v>0.83956343981666048</v>
      </c>
      <c r="Q34" s="39">
        <f>(VLOOKUP($A34,'The List'!$B1:$AH727,29,FALSE)-AVERAGE('The List'!AD2:AD727))/STDEV('The List'!AD2:AD727)</f>
        <v>0.95441661391689758</v>
      </c>
      <c r="R34" s="39">
        <f>(VLOOKUP($A34,'The List'!$B1:$AH727,30,FALSE)-AVERAGE('The List'!AE2:AE727))/STDEV('The List'!AE2:AE727)</f>
        <v>2.6055790919832478</v>
      </c>
      <c r="S34" s="39">
        <f>(VLOOKUP($A34,'The List'!$B1:$AH727,31,FALSE)-AVERAGE('The List'!AF2:AF727))/STDEV('The List'!AF2:AF727)</f>
        <v>-0.51748844019443763</v>
      </c>
      <c r="T34" s="39">
        <f>(VLOOKUP($A34,'The List'!$B1:$AH727,32,FALSE)-AVERAGE('The List'!AG2:AG727))/STDEV('The List'!AG2:AG727)</f>
        <v>-0.55172002108027174</v>
      </c>
      <c r="U34" s="39">
        <f>(VLOOKUP($A34,'The List'!$B1:$AH727,33,FALSE)-AVERAGE('The List'!AH2:AH727))/STDEV('The List'!AH2:AH727)</f>
        <v>0.8367945053407424</v>
      </c>
      <c r="V34" s="39"/>
      <c r="W34" s="41"/>
      <c r="X34" s="39"/>
      <c r="Y34" s="39"/>
      <c r="Z34" s="39"/>
      <c r="AA34" s="39"/>
      <c r="AB34" s="39"/>
      <c r="AC34" s="39"/>
      <c r="AD34" s="39"/>
      <c r="AE34" s="39"/>
    </row>
    <row r="35" spans="1:31" ht="21.25" customHeight="1" x14ac:dyDescent="0.15">
      <c r="A35" s="8" t="s">
        <v>179</v>
      </c>
      <c r="B35" s="35" t="str">
        <f>VLOOKUP(A35,'Player Data'!A1:B734,2,FALSE)</f>
        <v>STL</v>
      </c>
      <c r="C35" s="37">
        <f>((E35)*Settings!$C$12)+(F35*Settings!$C$2)+(G35*Settings!$C$3)+(H35*Settings!$C$4)+(I35*Settings!$C$5)+(K35*Settings!$C$9)+(N35*Settings!$C$6)+(J35*Settings!$C$8)+(O35*Settings!$C$7)+(P35*Settings!$C$14)+(Q35*Settings!$C$15)+(R35*Settings!$C$16)+(S35*Settings!$C$17)+(T35*Settings!$C$18)+(U35*Settings!$C$19)</f>
        <v>4.9608938401954177</v>
      </c>
      <c r="D35" s="41">
        <f>IF(Settings!$E$12="YES",VLOOKUP(A35,'Player Data'!A1:E734,5,FALSE),82)</f>
        <v>80.45</v>
      </c>
      <c r="E35" s="39">
        <f>(VLOOKUP($A35,'The List'!$B1:$AH727,17,FALSE)-AVERAGE('The List'!R2:R727))/STDEV('The List'!R2:R727)</f>
        <v>0.43373853218457475</v>
      </c>
      <c r="F35" s="39">
        <f>(VLOOKUP($A35,'The List'!$B1:$AH727,18,FALSE)-AVERAGE('The List'!S2:S727))/STDEV('The List'!S2:S727)</f>
        <v>1.9772662985994862</v>
      </c>
      <c r="G35" s="39">
        <f>(VLOOKUP($A35,'The List'!$B1:$AH727,19,FALSE)-AVERAGE('The List'!T2:T727))/STDEV('The List'!T2:T727)</f>
        <v>1.4542818125707975</v>
      </c>
      <c r="H35" s="39">
        <f>(VLOOKUP($A35,'The List'!$B1:$AH727,20,FALSE)-AVERAGE('The List'!U2:U727))/STDEV('The List'!U2:U727)</f>
        <v>1.7959217398155762</v>
      </c>
      <c r="I35" s="39">
        <f>(VLOOKUP($A35,'The List'!$B1:$AH727,21,FALSE)-AVERAGE('The List'!V2:V727))/STDEV('The List'!V2:V727)</f>
        <v>1.9453646929734743</v>
      </c>
      <c r="J35" s="39">
        <f>(VLOOKUP($A35,'The List'!$B1:$AH727,22,FALSE)-AVERAGE('The List'!W2:W727))/STDEV('The List'!W2:W727)</f>
        <v>1.824536311640776</v>
      </c>
      <c r="K35" s="39">
        <f>(VLOOKUP($A35,'The List'!$B1:$AH727,23,FALSE)-AVERAGE('The List'!X2:X727))/STDEV('The List'!X2:X727)</f>
        <v>1.6258383727739569</v>
      </c>
      <c r="L35" s="39">
        <f>(VLOOKUP($A35,'The List'!$B1:$AH727,24,FALSE)-AVERAGE('The List'!Y2:Y727))/STDEV('The List'!Y2:Y727)</f>
        <v>-0.5158352599946513</v>
      </c>
      <c r="M35" s="39">
        <f>(VLOOKUP($A35,'The List'!$B1:$AH727,25,FALSE)-AVERAGE('The List'!Z2:Z727))/STDEV('The List'!Z2:Z727)</f>
        <v>-0.6921889523642627</v>
      </c>
      <c r="N35" s="39">
        <f>(VLOOKUP($A35,'The List'!$B1:$AH727,26,FALSE)-AVERAGE('The List'!AA2:AA727))/STDEV('The List'!AA2:AA727)</f>
        <v>-0.66269120890167676</v>
      </c>
      <c r="O35" s="39">
        <f>(VLOOKUP($A35,'The List'!$B1:$AH727,27,FALSE)-AVERAGE('The List'!AB2:AB727))/STDEV('The List'!AB2:AB727)</f>
        <v>-1.528367671261156</v>
      </c>
      <c r="P35" s="39">
        <f>(VLOOKUP($A35,'The List'!$B1:$AH727,28,FALSE)-AVERAGE('The List'!AC2:AC727))/STDEV('The List'!AC2:AC727)</f>
        <v>-1.3791661278206215</v>
      </c>
      <c r="Q35" s="39">
        <f>(VLOOKUP($A35,'The List'!$B1:$AH727,29,FALSE)-AVERAGE('The List'!AD2:AD727))/STDEV('The List'!AD2:AD727)</f>
        <v>-0.36451431635660347</v>
      </c>
      <c r="R35" s="39">
        <f>(VLOOKUP($A35,'The List'!$B1:$AH727,30,FALSE)-AVERAGE('The List'!AE2:AE727))/STDEV('The List'!AE2:AE727)</f>
        <v>1.2667474888051382</v>
      </c>
      <c r="S35" s="39">
        <f>(VLOOKUP($A35,'The List'!$B1:$AH727,31,FALSE)-AVERAGE('The List'!AF2:AF727))/STDEV('The List'!AF2:AF727)</f>
        <v>-0.52793581390490874</v>
      </c>
      <c r="T35" s="39">
        <f>(VLOOKUP($A35,'The List'!$B1:$AH727,32,FALSE)-AVERAGE('The List'!AG2:AG727))/STDEV('The List'!AG2:AG727)</f>
        <v>-0.55339069519410922</v>
      </c>
      <c r="U35" s="39">
        <f>(VLOOKUP($A35,'The List'!$B1:$AH727,33,FALSE)-AVERAGE('The List'!AH2:AH727))/STDEV('The List'!AH2:AH727)</f>
        <v>0.5453488787276054</v>
      </c>
      <c r="V35" s="39"/>
      <c r="W35" s="43"/>
      <c r="X35" s="41"/>
      <c r="Y35" s="41"/>
      <c r="Z35" s="41"/>
      <c r="AA35" s="41"/>
      <c r="AB35" s="41"/>
      <c r="AC35" s="44"/>
      <c r="AD35" s="45"/>
      <c r="AE35" s="39"/>
    </row>
    <row r="36" spans="1:31" ht="21.25" customHeight="1" x14ac:dyDescent="0.15">
      <c r="A36" s="8" t="s">
        <v>132</v>
      </c>
      <c r="B36" s="35" t="str">
        <f>VLOOKUP(A36,'Player Data'!A1:B734,2,FALSE)</f>
        <v>WSH</v>
      </c>
      <c r="C36" s="37">
        <f>((E36)*Settings!$C$12)+(F36*Settings!$C$2)+(G36*Settings!$C$3)+(H36*Settings!$C$4)+(I36*Settings!$C$5)+(K36*Settings!$C$9)+(N36*Settings!$C$6)+(J36*Settings!$C$8)+(O36*Settings!$C$7)+(P36*Settings!$C$14)+(Q36*Settings!$C$15)+(R36*Settings!$C$16)+(S36*Settings!$C$17)+(T36*Settings!$C$18)+(U36*Settings!$C$19)</f>
        <v>7.1624856087545412</v>
      </c>
      <c r="D36" s="41">
        <f>IF(Settings!$E$12="YES",VLOOKUP(A36,'Player Data'!A1:E734,5,FALSE),82)</f>
        <v>78.134285714285696</v>
      </c>
      <c r="E36" s="39">
        <f>(VLOOKUP($A36,'The List'!$B1:$AH727,17,FALSE)-AVERAGE('The List'!R2:R727))/STDEV('The List'!R2:R727)</f>
        <v>1.0170078761941543</v>
      </c>
      <c r="F36" s="39">
        <f>(VLOOKUP($A36,'The List'!$B1:$AH727,18,FALSE)-AVERAGE('The List'!S2:S727))/STDEV('The List'!S2:S727)</f>
        <v>2.8417247359580147</v>
      </c>
      <c r="G36" s="39">
        <f>(VLOOKUP($A36,'The List'!$B1:$AH727,19,FALSE)-AVERAGE('The List'!T2:T727))/STDEV('The List'!T2:T727)</f>
        <v>0.93562760041440773</v>
      </c>
      <c r="H36" s="39">
        <f>(VLOOKUP($A36,'The List'!$B1:$AH727,20,FALSE)-AVERAGE('The List'!U2:U727))/STDEV('The List'!U2:U727)</f>
        <v>1.8697049222123747</v>
      </c>
      <c r="I36" s="39">
        <f>(VLOOKUP($A36,'The List'!$B1:$AH727,21,FALSE)-AVERAGE('The List'!V2:V727))/STDEV('The List'!V2:V727)</f>
        <v>3.0353916195451203</v>
      </c>
      <c r="J36" s="39">
        <f>(VLOOKUP($A36,'The List'!$B1:$AH727,22,FALSE)-AVERAGE('The List'!W2:W727))/STDEV('The List'!W2:W727)</f>
        <v>3.2138186439873149</v>
      </c>
      <c r="K36" s="39">
        <f>(VLOOKUP($A36,'The List'!$B1:$AH727,23,FALSE)-AVERAGE('The List'!X2:X727))/STDEV('The List'!X2:X727)</f>
        <v>1.8844105236508302</v>
      </c>
      <c r="L36" s="39">
        <f>(VLOOKUP($A36,'The List'!$B1:$AH727,24,FALSE)-AVERAGE('The List'!Y2:Y727))/STDEV('The List'!Y2:Y727)</f>
        <v>-0.53109962063437011</v>
      </c>
      <c r="M36" s="39">
        <f>(VLOOKUP($A36,'The List'!$B1:$AH727,25,FALSE)-AVERAGE('The List'!Z2:Z727))/STDEV('The List'!Z2:Z727)</f>
        <v>-0.71406935244018788</v>
      </c>
      <c r="N36" s="39">
        <f>(VLOOKUP($A36,'The List'!$B1:$AH727,26,FALSE)-AVERAGE('The List'!AA2:AA727))/STDEV('The List'!AA2:AA727)</f>
        <v>-0.82909317105998015</v>
      </c>
      <c r="O36" s="39">
        <f>(VLOOKUP($A36,'The List'!$B1:$AH727,27,FALSE)-AVERAGE('The List'!AB2:AB727))/STDEV('The List'!AB2:AB727)</f>
        <v>1.8005674754352841</v>
      </c>
      <c r="P36" s="39">
        <f>(VLOOKUP($A36,'The List'!$B1:$AH727,28,FALSE)-AVERAGE('The List'!AC2:AC727))/STDEV('The List'!AC2:AC727)</f>
        <v>-0.70557569975385082</v>
      </c>
      <c r="Q36" s="39">
        <f>(VLOOKUP($A36,'The List'!$B1:$AH727,29,FALSE)-AVERAGE('The List'!AD2:AD727))/STDEV('The List'!AD2:AD727)</f>
        <v>-1.7600122870655099E-2</v>
      </c>
      <c r="R36" s="39">
        <f>(VLOOKUP($A36,'The List'!$B1:$AH727,30,FALSE)-AVERAGE('The List'!AE2:AE727))/STDEV('The List'!AE2:AE727)</f>
        <v>2.1308543184603841</v>
      </c>
      <c r="S36" s="39">
        <f>(VLOOKUP($A36,'The List'!$B1:$AH727,31,FALSE)-AVERAGE('The List'!AF2:AF727))/STDEV('The List'!AF2:AF727)</f>
        <v>-0.54280617989660718</v>
      </c>
      <c r="T36" s="39">
        <f>(VLOOKUP($A36,'The List'!$B1:$AH727,32,FALSE)-AVERAGE('The List'!AG2:AG727))/STDEV('The List'!AG2:AG727)</f>
        <v>-0.56792604317060136</v>
      </c>
      <c r="U36" s="39">
        <f>(VLOOKUP($A36,'The List'!$B1:$AH727,33,FALSE)-AVERAGE('The List'!AH2:AH727))/STDEV('The List'!AH2:AH727)</f>
        <v>0.20911370238073779</v>
      </c>
      <c r="V36" s="39"/>
      <c r="W36" s="43"/>
      <c r="X36" s="41"/>
      <c r="Y36" s="41"/>
      <c r="Z36" s="41"/>
      <c r="AA36" s="41"/>
      <c r="AB36" s="41"/>
      <c r="AC36" s="44"/>
      <c r="AD36" s="45"/>
      <c r="AE36" s="39"/>
    </row>
    <row r="37" spans="1:31" ht="21.25" customHeight="1" x14ac:dyDescent="0.15">
      <c r="A37" s="8" t="s">
        <v>156</v>
      </c>
      <c r="B37" s="35" t="str">
        <f>VLOOKUP(A37,'Player Data'!A1:B734,2,FALSE)</f>
        <v>LAK</v>
      </c>
      <c r="C37" s="37">
        <f>((E37)*Settings!$C$12)+(F37*Settings!$C$2)+(G37*Settings!$C$3)+(H37*Settings!$C$4)+(I37*Settings!$C$5)+(K37*Settings!$C$9)+(N37*Settings!$C$6)+(J37*Settings!$C$8)+(O37*Settings!$C$7)+(P37*Settings!$C$14)+(Q37*Settings!$C$15)+(R37*Settings!$C$16)+(S37*Settings!$C$17)+(T37*Settings!$C$18)+(U37*Settings!$C$19)</f>
        <v>6.0349869571772041</v>
      </c>
      <c r="D37" s="41">
        <f>IF(Settings!$E$12="YES",VLOOKUP(A37,'Player Data'!A1:E734,5,FALSE),82)</f>
        <v>78.843928571428606</v>
      </c>
      <c r="E37" s="39">
        <f>(VLOOKUP($A37,'The List'!$B1:$AH727,17,FALSE)-AVERAGE('The List'!R2:R727))/STDEV('The List'!R2:R727)</f>
        <v>0.28623959615789218</v>
      </c>
      <c r="F37" s="39">
        <f>(VLOOKUP($A37,'The List'!$B1:$AH727,18,FALSE)-AVERAGE('The List'!S2:S727))/STDEV('The List'!S2:S727)</f>
        <v>1.5004253525961901</v>
      </c>
      <c r="G37" s="39">
        <f>(VLOOKUP($A37,'The List'!$B1:$AH727,19,FALSE)-AVERAGE('The List'!T2:T727))/STDEV('The List'!T2:T727)</f>
        <v>1.9481525577864827</v>
      </c>
      <c r="H37" s="39">
        <f>(VLOOKUP($A37,'The List'!$B1:$AH727,20,FALSE)-AVERAGE('The List'!U2:U727))/STDEV('The List'!U2:U727)</f>
        <v>1.8832569711429741</v>
      </c>
      <c r="I37" s="39">
        <f>(VLOOKUP($A37,'The List'!$B1:$AH727,21,FALSE)-AVERAGE('The List'!V2:V727))/STDEV('The List'!V2:V727)</f>
        <v>1.7922899302988904</v>
      </c>
      <c r="J37" s="39">
        <f>(VLOOKUP($A37,'The List'!$B1:$AH727,22,FALSE)-AVERAGE('The List'!W2:W727))/STDEV('The List'!W2:W727)</f>
        <v>1.1003263415829461</v>
      </c>
      <c r="K37" s="39">
        <f>(VLOOKUP($A37,'The List'!$B1:$AH727,23,FALSE)-AVERAGE('The List'!X2:X727))/STDEV('The List'!X2:X727)</f>
        <v>1.5240883426031966</v>
      </c>
      <c r="L37" s="39">
        <f>(VLOOKUP($A37,'The List'!$B1:$AH727,24,FALSE)-AVERAGE('The List'!Y2:Y727))/STDEV('The List'!Y2:Y727)</f>
        <v>-0.51485148832933991</v>
      </c>
      <c r="M37" s="39">
        <f>(VLOOKUP($A37,'The List'!$B1:$AH727,25,FALSE)-AVERAGE('The List'!Z2:Z727))/STDEV('The List'!Z2:Z727)</f>
        <v>-0.70170692260067224</v>
      </c>
      <c r="N37" s="39">
        <f>(VLOOKUP($A37,'The List'!$B1:$AH727,26,FALSE)-AVERAGE('The List'!AA2:AA727))/STDEV('The List'!AA2:AA727)</f>
        <v>-0.94277683480462815</v>
      </c>
      <c r="O37" s="39">
        <f>(VLOOKUP($A37,'The List'!$B1:$AH727,27,FALSE)-AVERAGE('The List'!AB2:AB727))/STDEV('The List'!AB2:AB727)</f>
        <v>-0.65849392981955357</v>
      </c>
      <c r="P37" s="39">
        <f>(VLOOKUP($A37,'The List'!$B1:$AH727,28,FALSE)-AVERAGE('The List'!AC2:AC727))/STDEV('The List'!AC2:AC727)</f>
        <v>0.21280760869707258</v>
      </c>
      <c r="Q37" s="39">
        <f>(VLOOKUP($A37,'The List'!$B1:$AH727,29,FALSE)-AVERAGE('The List'!AD2:AD727))/STDEV('The List'!AD2:AD727)</f>
        <v>1.2124855368829961</v>
      </c>
      <c r="R37" s="39">
        <f>(VLOOKUP($A37,'The List'!$B1:$AH727,30,FALSE)-AVERAGE('The List'!AE2:AE727))/STDEV('The List'!AE2:AE727)</f>
        <v>1.5178273086048317</v>
      </c>
      <c r="S37" s="39">
        <f>(VLOOKUP($A37,'The List'!$B1:$AH727,31,FALSE)-AVERAGE('The List'!AF2:AF727))/STDEV('The List'!AF2:AF727)</f>
        <v>-0.52476654470280015</v>
      </c>
      <c r="T37" s="39">
        <f>(VLOOKUP($A37,'The List'!$B1:$AH727,32,FALSE)-AVERAGE('The List'!AG2:AG727))/STDEV('The List'!AG2:AG727)</f>
        <v>-0.5469575326013647</v>
      </c>
      <c r="U37" s="39">
        <f>(VLOOKUP($A37,'The List'!$B1:$AH727,33,FALSE)-AVERAGE('The List'!AH2:AH727))/STDEV('The List'!AH2:AH727)</f>
        <v>0.5189831792204701</v>
      </c>
      <c r="V37" s="39"/>
      <c r="W37" s="41"/>
      <c r="X37" s="39"/>
      <c r="Y37" s="39"/>
      <c r="Z37" s="39"/>
      <c r="AA37" s="39"/>
      <c r="AB37" s="39"/>
      <c r="AC37" s="39"/>
      <c r="AD37" s="39"/>
      <c r="AE37" s="39"/>
    </row>
    <row r="38" spans="1:31" ht="21.25" customHeight="1" x14ac:dyDescent="0.15">
      <c r="A38" s="8" t="s">
        <v>172</v>
      </c>
      <c r="B38" s="35" t="str">
        <f>VLOOKUP(A38,'Player Data'!A1:B734,2,FALSE)</f>
        <v>CAR</v>
      </c>
      <c r="C38" s="37">
        <f>((E38)*Settings!$C$12)+(F38*Settings!$C$2)+(G38*Settings!$C$3)+(H38*Settings!$C$4)+(I38*Settings!$C$5)+(K38*Settings!$C$9)+(N38*Settings!$C$6)+(J38*Settings!$C$8)+(O38*Settings!$C$7)+(P38*Settings!$C$14)+(Q38*Settings!$C$15)+(R38*Settings!$C$16)+(S38*Settings!$C$17)+(T38*Settings!$C$18)+(U38*Settings!$C$19)</f>
        <v>8.1391521227980075</v>
      </c>
      <c r="D38" s="41">
        <f>IF(Settings!$E$12="YES",VLOOKUP(A38,'Player Data'!A1:E734,5,FALSE),82)</f>
        <v>80.375</v>
      </c>
      <c r="E38" s="39">
        <f>(VLOOKUP($A38,'The List'!$B1:$AH727,17,FALSE)-AVERAGE('The List'!R2:R727))/STDEV('The List'!R2:R727)</f>
        <v>0.94463763027287539</v>
      </c>
      <c r="F38" s="39">
        <f>(VLOOKUP($A38,'The List'!$B1:$AH727,18,FALSE)-AVERAGE('The List'!S2:S727))/STDEV('The List'!S2:S727)</f>
        <v>2.4284060602304121</v>
      </c>
      <c r="G38" s="39">
        <f>(VLOOKUP($A38,'The List'!$B1:$AH727,19,FALSE)-AVERAGE('The List'!T2:T727))/STDEV('The List'!T2:T727)</f>
        <v>1.3621696371845009</v>
      </c>
      <c r="H38" s="39">
        <f>(VLOOKUP($A38,'The List'!$B1:$AH727,20,FALSE)-AVERAGE('The List'!U2:U727))/STDEV('The List'!U2:U727)</f>
        <v>1.9444581914054009</v>
      </c>
      <c r="I38" s="39">
        <f>(VLOOKUP($A38,'The List'!$B1:$AH727,21,FALSE)-AVERAGE('The List'!V2:V727))/STDEV('The List'!V2:V727)</f>
        <v>1.7216961807700129</v>
      </c>
      <c r="J38" s="39">
        <f>(VLOOKUP($A38,'The List'!$B1:$AH727,22,FALSE)-AVERAGE('The List'!W2:W727))/STDEV('The List'!W2:W727)</f>
        <v>1.8864854441968464</v>
      </c>
      <c r="K38" s="39">
        <f>(VLOOKUP($A38,'The List'!$B1:$AH727,23,FALSE)-AVERAGE('The List'!X2:X727))/STDEV('The List'!X2:X727)</f>
        <v>1.4416510342972926</v>
      </c>
      <c r="L38" s="39">
        <f>(VLOOKUP($A38,'The List'!$B1:$AH727,24,FALSE)-AVERAGE('The List'!Y2:Y727))/STDEV('The List'!Y2:Y727)</f>
        <v>3.4053201354306326</v>
      </c>
      <c r="M38" s="39">
        <f>(VLOOKUP($A38,'The List'!$B1:$AH727,25,FALSE)-AVERAGE('The List'!Z2:Z727))/STDEV('The List'!Z2:Z727)</f>
        <v>2.964839814736226</v>
      </c>
      <c r="N38" s="39">
        <f>(VLOOKUP($A38,'The List'!$B1:$AH727,26,FALSE)-AVERAGE('The List'!AA2:AA727))/STDEV('The List'!AA2:AA727)</f>
        <v>-0.83271789067846358</v>
      </c>
      <c r="O38" s="39">
        <f>(VLOOKUP($A38,'The List'!$B1:$AH727,27,FALSE)-AVERAGE('The List'!AB2:AB727))/STDEV('The List'!AB2:AB727)</f>
        <v>-0.42969576861309455</v>
      </c>
      <c r="P38" s="39">
        <f>(VLOOKUP($A38,'The List'!$B1:$AH727,28,FALSE)-AVERAGE('The List'!AC2:AC727))/STDEV('The List'!AC2:AC727)</f>
        <v>2.0179471009942525</v>
      </c>
      <c r="Q38" s="39">
        <f>(VLOOKUP($A38,'The List'!$B1:$AH727,29,FALSE)-AVERAGE('The List'!AD2:AD727))/STDEV('The List'!AD2:AD727)</f>
        <v>0.90134352534854811</v>
      </c>
      <c r="R38" s="39">
        <f>(VLOOKUP($A38,'The List'!$B1:$AH727,30,FALSE)-AVERAGE('The List'!AE2:AE727))/STDEV('The List'!AE2:AE727)</f>
        <v>3.1705421438650245</v>
      </c>
      <c r="S38" s="39">
        <f>(VLOOKUP($A38,'The List'!$B1:$AH727,31,FALSE)-AVERAGE('The List'!AF2:AF727))/STDEV('The List'!AF2:AF727)</f>
        <v>2.3219430896892446</v>
      </c>
      <c r="T38" s="39">
        <f>(VLOOKUP($A38,'The List'!$B1:$AH727,32,FALSE)-AVERAGE('The List'!AG2:AG727))/STDEV('The List'!AG2:AG727)</f>
        <v>2.1863900386982373</v>
      </c>
      <c r="U38" s="39">
        <f>(VLOOKUP($A38,'The List'!$B1:$AH727,33,FALSE)-AVERAGE('The List'!AH2:AH727))/STDEV('The List'!AH2:AH727)</f>
        <v>1.1130823774395204</v>
      </c>
      <c r="V38" s="39"/>
      <c r="W38" s="43"/>
      <c r="X38" s="41"/>
      <c r="Y38" s="41"/>
      <c r="Z38" s="41"/>
      <c r="AA38" s="41"/>
      <c r="AB38" s="41"/>
      <c r="AC38" s="44"/>
      <c r="AD38" s="45"/>
      <c r="AE38" s="39"/>
    </row>
    <row r="39" spans="1:31" ht="21.25" customHeight="1" x14ac:dyDescent="0.15">
      <c r="A39" s="8" t="s">
        <v>162</v>
      </c>
      <c r="B39" s="35" t="str">
        <f>VLOOKUP(A39,'Player Data'!A1:B734,2,FALSE)</f>
        <v>NJD</v>
      </c>
      <c r="C39" s="37">
        <f>((E39)*Settings!$C$12)+(F39*Settings!$C$2)+(G39*Settings!$C$3)+(H39*Settings!$C$4)+(I39*Settings!$C$5)+(K39*Settings!$C$9)+(N39*Settings!$C$6)+(J39*Settings!$C$8)+(O39*Settings!$C$7)+(P39*Settings!$C$14)+(Q39*Settings!$C$15)+(R39*Settings!$C$16)+(S39*Settings!$C$17)+(T39*Settings!$C$18)+(U39*Settings!$C$19)</f>
        <v>7.4190840434474987</v>
      </c>
      <c r="D39" s="41">
        <f>IF(Settings!$E$12="YES",VLOOKUP(A39,'Player Data'!A1:E734,5,FALSE),82)</f>
        <v>78.47</v>
      </c>
      <c r="E39" s="39">
        <f>(VLOOKUP($A39,'The List'!$B1:$AH727,17,FALSE)-AVERAGE('The List'!R2:R727))/STDEV('The List'!R2:R727)</f>
        <v>1.0181590870546433</v>
      </c>
      <c r="F39" s="39">
        <f>(VLOOKUP($A39,'The List'!$B1:$AH727,18,FALSE)-AVERAGE('The List'!S2:S727))/STDEV('The List'!S2:S727)</f>
        <v>1.7737585419716291</v>
      </c>
      <c r="G39" s="39">
        <f>(VLOOKUP($A39,'The List'!$B1:$AH727,19,FALSE)-AVERAGE('The List'!T2:T727))/STDEV('The List'!T2:T727)</f>
        <v>1.9537684278246075</v>
      </c>
      <c r="H39" s="39">
        <f>(VLOOKUP($A39,'The List'!$B1:$AH727,20,FALSE)-AVERAGE('The List'!U2:U727))/STDEV('The List'!U2:U727)</f>
        <v>2.0111012273322775</v>
      </c>
      <c r="I39" s="39">
        <f>(VLOOKUP($A39,'The List'!$B1:$AH727,21,FALSE)-AVERAGE('The List'!V2:V727))/STDEV('The List'!V2:V727)</f>
        <v>1.867764334664098</v>
      </c>
      <c r="J39" s="39">
        <f>(VLOOKUP($A39,'The List'!$B1:$AH727,22,FALSE)-AVERAGE('The List'!W2:W727))/STDEV('The List'!W2:W727)</f>
        <v>1.4972125035493458</v>
      </c>
      <c r="K39" s="39">
        <f>(VLOOKUP($A39,'The List'!$B1:$AH727,23,FALSE)-AVERAGE('The List'!X2:X727))/STDEV('The List'!X2:X727)</f>
        <v>1.4209108028379918</v>
      </c>
      <c r="L39" s="39">
        <f>(VLOOKUP($A39,'The List'!$B1:$AH727,24,FALSE)-AVERAGE('The List'!Y2:Y727))/STDEV('The List'!Y2:Y727)</f>
        <v>3.487246532753721</v>
      </c>
      <c r="M39" s="39">
        <f>(VLOOKUP($A39,'The List'!$B1:$AH727,25,FALSE)-AVERAGE('The List'!Z2:Z727))/STDEV('The List'!Z2:Z727)</f>
        <v>3.3802674281985507</v>
      </c>
      <c r="N39" s="39">
        <f>(VLOOKUP($A39,'The List'!$B1:$AH727,26,FALSE)-AVERAGE('The List'!AA2:AA727))/STDEV('The List'!AA2:AA727)</f>
        <v>-1.965791067086691E-3</v>
      </c>
      <c r="O39" s="39">
        <f>(VLOOKUP($A39,'The List'!$B1:$AH727,27,FALSE)-AVERAGE('The List'!AB2:AB727))/STDEV('The List'!AB2:AB727)</f>
        <v>-0.97856943198521518</v>
      </c>
      <c r="P39" s="39">
        <f>(VLOOKUP($A39,'The List'!$B1:$AH727,28,FALSE)-AVERAGE('The List'!AC2:AC727))/STDEV('The List'!AC2:AC727)</f>
        <v>0.40484772721625989</v>
      </c>
      <c r="Q39" s="39">
        <f>(VLOOKUP($A39,'The List'!$B1:$AH727,29,FALSE)-AVERAGE('The List'!AD2:AD727))/STDEV('The List'!AD2:AD727)</f>
        <v>-0.89609049839029453</v>
      </c>
      <c r="R39" s="39">
        <f>(VLOOKUP($A39,'The List'!$B1:$AH727,30,FALSE)-AVERAGE('The List'!AE2:AE727))/STDEV('The List'!AE2:AE727)</f>
        <v>1.7573888407811595</v>
      </c>
      <c r="S39" s="39">
        <f>(VLOOKUP($A39,'The List'!$B1:$AH727,31,FALSE)-AVERAGE('The List'!AF2:AF727))/STDEV('The List'!AF2:AF727)</f>
        <v>3.8266710372318151</v>
      </c>
      <c r="T39" s="39">
        <f>(VLOOKUP($A39,'The List'!$B1:$AH727,32,FALSE)-AVERAGE('The List'!AG2:AG727))/STDEV('The List'!AG2:AG727)</f>
        <v>3.429722173873349</v>
      </c>
      <c r="U39" s="39">
        <f>(VLOOKUP($A39,'The List'!$B1:$AH727,33,FALSE)-AVERAGE('The List'!AH2:AH727))/STDEV('The List'!AH2:AH727)</f>
        <v>1.171184040637834</v>
      </c>
      <c r="V39" s="39"/>
      <c r="W39" s="43"/>
      <c r="X39" s="41"/>
      <c r="Y39" s="41"/>
      <c r="Z39" s="41"/>
      <c r="AA39" s="41"/>
      <c r="AB39" s="41"/>
      <c r="AC39" s="44"/>
      <c r="AD39" s="45"/>
      <c r="AE39" s="39"/>
    </row>
    <row r="40" spans="1:31" ht="21.25" customHeight="1" x14ac:dyDescent="0.15">
      <c r="A40" s="8" t="s">
        <v>154</v>
      </c>
      <c r="B40" s="35" t="str">
        <f>VLOOKUP(A40,'Player Data'!A1:B734,2,FALSE)</f>
        <v>BUF</v>
      </c>
      <c r="C40" s="37">
        <f>((E40)*Settings!$C$12)+(F40*Settings!$C$2)+(G40*Settings!$C$3)+(H40*Settings!$C$4)+(I40*Settings!$C$5)+(K40*Settings!$C$9)+(N40*Settings!$C$6)+(J40*Settings!$C$8)+(O40*Settings!$C$7)+(P40*Settings!$C$14)+(Q40*Settings!$C$15)+(R40*Settings!$C$16)+(S40*Settings!$C$17)+(T40*Settings!$C$18)+(U40*Settings!$C$19)</f>
        <v>6.3498850707234968</v>
      </c>
      <c r="D40" s="41">
        <f>IF(Settings!$E$12="YES",VLOOKUP(A40,'Player Data'!A1:E734,5,FALSE),82)</f>
        <v>76.489999999999995</v>
      </c>
      <c r="E40" s="39">
        <f>(VLOOKUP($A40,'The List'!$B1:$AH727,17,FALSE)-AVERAGE('The List'!R2:R727))/STDEV('The List'!R2:R727)</f>
        <v>0.94278264942030843</v>
      </c>
      <c r="F40" s="39">
        <f>(VLOOKUP($A40,'The List'!$B1:$AH727,18,FALSE)-AVERAGE('The List'!S2:S727))/STDEV('The List'!S2:S727)</f>
        <v>1.8609052727192745</v>
      </c>
      <c r="G40" s="39">
        <f>(VLOOKUP($A40,'The List'!$B1:$AH727,19,FALSE)-AVERAGE('The List'!T2:T727))/STDEV('The List'!T2:T727)</f>
        <v>1.4475667946380688</v>
      </c>
      <c r="H40" s="39">
        <f>(VLOOKUP($A40,'The List'!$B1:$AH727,20,FALSE)-AVERAGE('The List'!U2:U727))/STDEV('The List'!U2:U727)</f>
        <v>1.7388323357093365</v>
      </c>
      <c r="I40" s="39">
        <f>(VLOOKUP($A40,'The List'!$B1:$AH727,21,FALSE)-AVERAGE('The List'!V2:V727))/STDEV('The List'!V2:V727)</f>
        <v>1.6680173353427676</v>
      </c>
      <c r="J40" s="39">
        <f>(VLOOKUP($A40,'The List'!$B1:$AH727,22,FALSE)-AVERAGE('The List'!W2:W727))/STDEV('The List'!W2:W727)</f>
        <v>1.2541851380431719</v>
      </c>
      <c r="K40" s="39">
        <f>(VLOOKUP($A40,'The List'!$B1:$AH727,23,FALSE)-AVERAGE('The List'!X2:X727))/STDEV('The List'!X2:X727)</f>
        <v>1.1886732655323899</v>
      </c>
      <c r="L40" s="39">
        <f>(VLOOKUP($A40,'The List'!$B1:$AH727,24,FALSE)-AVERAGE('The List'!Y2:Y727))/STDEV('The List'!Y2:Y727)</f>
        <v>1.3462466832474322</v>
      </c>
      <c r="M40" s="39">
        <f>(VLOOKUP($A40,'The List'!$B1:$AH727,25,FALSE)-AVERAGE('The List'!Z2:Z727))/STDEV('The List'!Z2:Z727)</f>
        <v>0.55797088326362709</v>
      </c>
      <c r="N40" s="39">
        <f>(VLOOKUP($A40,'The List'!$B1:$AH727,26,FALSE)-AVERAGE('The List'!AA2:AA727))/STDEV('The List'!AA2:AA727)</f>
        <v>-0.11881316085490846</v>
      </c>
      <c r="O40" s="39">
        <f>(VLOOKUP($A40,'The List'!$B1:$AH727,27,FALSE)-AVERAGE('The List'!AB2:AB727))/STDEV('The List'!AB2:AB727)</f>
        <v>-0.64291997714650806</v>
      </c>
      <c r="P40" s="39">
        <f>(VLOOKUP($A40,'The List'!$B1:$AH727,28,FALSE)-AVERAGE('The List'!AC2:AC727))/STDEV('The List'!AC2:AC727)</f>
        <v>0.30353556334590448</v>
      </c>
      <c r="Q40" s="39">
        <f>(VLOOKUP($A40,'The List'!$B1:$AH727,29,FALSE)-AVERAGE('The List'!AD2:AD727))/STDEV('The List'!AD2:AD727)</f>
        <v>-0.14632816265250279</v>
      </c>
      <c r="R40" s="39">
        <f>(VLOOKUP($A40,'The List'!$B1:$AH727,30,FALSE)-AVERAGE('The List'!AE2:AE727))/STDEV('The List'!AE2:AE727)</f>
        <v>1.4635862170586473</v>
      </c>
      <c r="S40" s="39">
        <f>(VLOOKUP($A40,'The List'!$B1:$AH727,31,FALSE)-AVERAGE('The List'!AF2:AF727))/STDEV('The List'!AF2:AF727)</f>
        <v>-0.41116368642828899</v>
      </c>
      <c r="T40" s="39">
        <f>(VLOOKUP($A40,'The List'!$B1:$AH727,32,FALSE)-AVERAGE('The List'!AG2:AG727))/STDEV('The List'!AG2:AG727)</f>
        <v>-0.37624319001224038</v>
      </c>
      <c r="U40" s="39">
        <f>(VLOOKUP($A40,'The List'!$B1:$AH727,33,FALSE)-AVERAGE('The List'!AH2:AH727))/STDEV('The List'!AH2:AH727)</f>
        <v>0.59670203015310808</v>
      </c>
      <c r="V40" s="39"/>
      <c r="W40" s="43"/>
      <c r="X40" s="41"/>
      <c r="Y40" s="41"/>
      <c r="Z40" s="41"/>
      <c r="AA40" s="41"/>
      <c r="AB40" s="41"/>
      <c r="AC40" s="44"/>
      <c r="AD40" s="45"/>
      <c r="AE40" s="39"/>
    </row>
    <row r="41" spans="1:31" ht="21.25" customHeight="1" x14ac:dyDescent="0.15">
      <c r="A41" s="8" t="s">
        <v>178</v>
      </c>
      <c r="B41" s="35" t="str">
        <f>VLOOKUP(A41,'Player Data'!A1:B734,2,FALSE)</f>
        <v>CBJ</v>
      </c>
      <c r="C41" s="37">
        <f>((E41)*Settings!$C$12)+(F41*Settings!$C$2)+(G41*Settings!$C$3)+(H41*Settings!$C$4)+(I41*Settings!$C$5)+(K41*Settings!$C$9)+(N41*Settings!$C$6)+(J41*Settings!$C$8)+(O41*Settings!$C$7)+(P41*Settings!$C$14)+(Q41*Settings!$C$15)+(R41*Settings!$C$16)+(S41*Settings!$C$17)+(T41*Settings!$C$18)+(U41*Settings!$C$19)</f>
        <v>4.2055392250174499</v>
      </c>
      <c r="D41" s="41">
        <f>IF(Settings!$E$12="YES",VLOOKUP(A41,'Player Data'!A1:E734,5,FALSE),82)</f>
        <v>74.38</v>
      </c>
      <c r="E41" s="39">
        <f>(VLOOKUP($A41,'The List'!$B1:$AH727,17,FALSE)-AVERAGE('The List'!R2:R727))/STDEV('The List'!R2:R727)</f>
        <v>0.72870369498827647</v>
      </c>
      <c r="F41" s="39">
        <f>(VLOOKUP($A41,'The List'!$B1:$AH727,18,FALSE)-AVERAGE('The List'!S2:S727))/STDEV('The List'!S2:S727)</f>
        <v>1.794496296213129</v>
      </c>
      <c r="G41" s="39">
        <f>(VLOOKUP($A41,'The List'!$B1:$AH727,19,FALSE)-AVERAGE('The List'!T2:T727))/STDEV('The List'!T2:T727)</f>
        <v>1.2543574988966304</v>
      </c>
      <c r="H41" s="39">
        <f>(VLOOKUP($A41,'The List'!$B1:$AH727,20,FALSE)-AVERAGE('The List'!U2:U727))/STDEV('The List'!U2:U727)</f>
        <v>1.5895547486738608</v>
      </c>
      <c r="I41" s="39">
        <f>(VLOOKUP($A41,'The List'!$B1:$AH727,21,FALSE)-AVERAGE('The List'!V2:V727))/STDEV('The List'!V2:V727)</f>
        <v>1.6440377966809092</v>
      </c>
      <c r="J41" s="39">
        <f>(VLOOKUP($A41,'The List'!$B1:$AH727,22,FALSE)-AVERAGE('The List'!W2:W727))/STDEV('The List'!W2:W727)</f>
        <v>1.8583157873058576</v>
      </c>
      <c r="K41" s="39">
        <f>(VLOOKUP($A41,'The List'!$B1:$AH727,23,FALSE)-AVERAGE('The List'!X2:X727))/STDEV('The List'!X2:X727)</f>
        <v>1.3499996820525453</v>
      </c>
      <c r="L41" s="39">
        <f>(VLOOKUP($A41,'The List'!$B1:$AH727,24,FALSE)-AVERAGE('The List'!Y2:Y727))/STDEV('The List'!Y2:Y727)</f>
        <v>-0.53778707549414817</v>
      </c>
      <c r="M41" s="39">
        <f>(VLOOKUP($A41,'The List'!$B1:$AH727,25,FALSE)-AVERAGE('The List'!Z2:Z727))/STDEV('The List'!Z2:Z727)</f>
        <v>-0.7167401604732202</v>
      </c>
      <c r="N41" s="39">
        <f>(VLOOKUP($A41,'The List'!$B1:$AH727,26,FALSE)-AVERAGE('The List'!AA2:AA727))/STDEV('The List'!AA2:AA727)</f>
        <v>-0.70257679350928726</v>
      </c>
      <c r="O41" s="39">
        <f>(VLOOKUP($A41,'The List'!$B1:$AH727,27,FALSE)-AVERAGE('The List'!AB2:AB727))/STDEV('The List'!AB2:AB727)</f>
        <v>-0.97375915812397096</v>
      </c>
      <c r="P41" s="39">
        <f>(VLOOKUP($A41,'The List'!$B1:$AH727,28,FALSE)-AVERAGE('The List'!AC2:AC727))/STDEV('The List'!AC2:AC727)</f>
        <v>-1.1347752553164778</v>
      </c>
      <c r="Q41" s="39">
        <f>(VLOOKUP($A41,'The List'!$B1:$AH727,29,FALSE)-AVERAGE('The List'!AD2:AD727))/STDEV('The List'!AD2:AD727)</f>
        <v>-0.20834116281706794</v>
      </c>
      <c r="R41" s="39">
        <f>(VLOOKUP($A41,'The List'!$B1:$AH727,30,FALSE)-AVERAGE('The List'!AE2:AE727))/STDEV('The List'!AE2:AE727)</f>
        <v>0.96966539775799354</v>
      </c>
      <c r="S41" s="39">
        <f>(VLOOKUP($A41,'The List'!$B1:$AH727,31,FALSE)-AVERAGE('The List'!AF2:AF727))/STDEV('The List'!AF2:AF727)</f>
        <v>-0.40546679161686677</v>
      </c>
      <c r="T41" s="39">
        <f>(VLOOKUP($A41,'The List'!$B1:$AH727,32,FALSE)-AVERAGE('The List'!AG2:AG727))/STDEV('The List'!AG2:AG727)</f>
        <v>-0.28337244030642877</v>
      </c>
      <c r="U41" s="39">
        <f>(VLOOKUP($A41,'The List'!$B1:$AH727,33,FALSE)-AVERAGE('The List'!AH2:AH727))/STDEV('The List'!AH2:AH727)</f>
        <v>0.27423736922004266</v>
      </c>
      <c r="V41" s="39"/>
      <c r="W41" s="41"/>
      <c r="X41" s="39"/>
      <c r="Y41" s="39"/>
      <c r="Z41" s="39"/>
      <c r="AA41" s="39"/>
      <c r="AB41" s="39"/>
      <c r="AC41" s="39"/>
      <c r="AD41" s="39"/>
      <c r="AE41" s="39"/>
    </row>
    <row r="42" spans="1:31" ht="21.25" customHeight="1" x14ac:dyDescent="0.15">
      <c r="A42" s="8" t="s">
        <v>190</v>
      </c>
      <c r="B42" s="35" t="str">
        <f>VLOOKUP(A42,'Player Data'!A1:B734,2,FALSE)</f>
        <v>CGY</v>
      </c>
      <c r="C42" s="37">
        <f>((E42)*Settings!$C$12)+(F42*Settings!$C$2)+(G42*Settings!$C$3)+(H42*Settings!$C$4)+(I42*Settings!$C$5)+(K42*Settings!$C$9)+(N42*Settings!$C$6)+(J42*Settings!$C$8)+(O42*Settings!$C$7)+(P42*Settings!$C$14)+(Q42*Settings!$C$15)+(R42*Settings!$C$16)+(S42*Settings!$C$17)+(T42*Settings!$C$18)+(U42*Settings!$C$19)</f>
        <v>5.3032555872270848</v>
      </c>
      <c r="D42" s="41">
        <f>IF(Settings!$E$12="YES",VLOOKUP(A42,'Player Data'!A1:E734,5,FALSE),82)</f>
        <v>80.7</v>
      </c>
      <c r="E42" s="39">
        <f>(VLOOKUP($A42,'The List'!$B1:$AH727,17,FALSE)-AVERAGE('The List'!R2:R727))/STDEV('The List'!R2:R727)</f>
        <v>0.41287670528322334</v>
      </c>
      <c r="F42" s="39">
        <f>(VLOOKUP($A42,'The List'!$B1:$AH727,18,FALSE)-AVERAGE('The List'!S2:S727))/STDEV('The List'!S2:S727)</f>
        <v>0.81561676639474523</v>
      </c>
      <c r="G42" s="39">
        <f>(VLOOKUP($A42,'The List'!$B1:$AH727,19,FALSE)-AVERAGE('The List'!T2:T727))/STDEV('The List'!T2:T727)</f>
        <v>2.345704223059168</v>
      </c>
      <c r="H42" s="39">
        <f>(VLOOKUP($A42,'The List'!$B1:$AH727,20,FALSE)-AVERAGE('The List'!U2:U727))/STDEV('The List'!U2:U727)</f>
        <v>1.8166012083626479</v>
      </c>
      <c r="I42" s="39">
        <f>(VLOOKUP($A42,'The List'!$B1:$AH727,21,FALSE)-AVERAGE('The List'!V2:V727))/STDEV('The List'!V2:V727)</f>
        <v>0.5117210650603129</v>
      </c>
      <c r="J42" s="39">
        <f>(VLOOKUP($A42,'The List'!$B1:$AH727,22,FALSE)-AVERAGE('The List'!W2:W727))/STDEV('The List'!W2:W727)</f>
        <v>0.61802001418818275</v>
      </c>
      <c r="K42" s="39">
        <f>(VLOOKUP($A42,'The List'!$B1:$AH727,23,FALSE)-AVERAGE('The List'!X2:X727))/STDEV('The List'!X2:X727)</f>
        <v>1.6077490759055864</v>
      </c>
      <c r="L42" s="39">
        <f>(VLOOKUP($A42,'The List'!$B1:$AH727,24,FALSE)-AVERAGE('The List'!Y2:Y727))/STDEV('The List'!Y2:Y727)</f>
        <v>-0.22424633908654562</v>
      </c>
      <c r="M42" s="39">
        <f>(VLOOKUP($A42,'The List'!$B1:$AH727,25,FALSE)-AVERAGE('The List'!Z2:Z727))/STDEV('The List'!Z2:Z727)</f>
        <v>-0.38409506844281244</v>
      </c>
      <c r="N42" s="39">
        <f>(VLOOKUP($A42,'The List'!$B1:$AH727,26,FALSE)-AVERAGE('The List'!AA2:AA727))/STDEV('The List'!AA2:AA727)</f>
        <v>-0.79313719414494566</v>
      </c>
      <c r="O42" s="39">
        <f>(VLOOKUP($A42,'The List'!$B1:$AH727,27,FALSE)-AVERAGE('The List'!AB2:AB727))/STDEV('The List'!AB2:AB727)</f>
        <v>-0.25567886703273351</v>
      </c>
      <c r="P42" s="39">
        <f>(VLOOKUP($A42,'The List'!$B1:$AH727,28,FALSE)-AVERAGE('The List'!AC2:AC727))/STDEV('The List'!AC2:AC727)</f>
        <v>0.81560165095221726</v>
      </c>
      <c r="Q42" s="39">
        <f>(VLOOKUP($A42,'The List'!$B1:$AH727,29,FALSE)-AVERAGE('The List'!AD2:AD727))/STDEV('The List'!AD2:AD727)</f>
        <v>0.35692554104385182</v>
      </c>
      <c r="R42" s="39">
        <f>(VLOOKUP($A42,'The List'!$B1:$AH727,30,FALSE)-AVERAGE('The List'!AE2:AE727))/STDEV('The List'!AE2:AE727)</f>
        <v>1.1104954639983786</v>
      </c>
      <c r="S42" s="39">
        <f>(VLOOKUP($A42,'The List'!$B1:$AH727,31,FALSE)-AVERAGE('The List'!AF2:AF727))/STDEV('The List'!AF2:AF727)</f>
        <v>-0.511789767477421</v>
      </c>
      <c r="T42" s="39">
        <f>(VLOOKUP($A42,'The List'!$B1:$AH727,32,FALSE)-AVERAGE('The List'!AG2:AG727))/STDEV('The List'!AG2:AG727)</f>
        <v>-0.51243747457391287</v>
      </c>
      <c r="U42" s="39">
        <f>(VLOOKUP($A42,'The List'!$B1:$AH727,33,FALSE)-AVERAGE('The List'!AH2:AH727))/STDEV('The List'!AH2:AH727)</f>
        <v>0.35216860143547152</v>
      </c>
      <c r="V42" s="39"/>
      <c r="W42" s="43"/>
      <c r="X42" s="41"/>
      <c r="Y42" s="41"/>
      <c r="Z42" s="41"/>
      <c r="AA42" s="41"/>
      <c r="AB42" s="41"/>
      <c r="AC42" s="44"/>
      <c r="AD42" s="45"/>
      <c r="AE42" s="39"/>
    </row>
    <row r="43" spans="1:31" ht="21.25" customHeight="1" x14ac:dyDescent="0.15">
      <c r="A43" s="8" t="s">
        <v>126</v>
      </c>
      <c r="B43" s="35" t="str">
        <f>VLOOKUP(A43,'Player Data'!A1:B734,2,FALSE)</f>
        <v>PIT</v>
      </c>
      <c r="C43" s="37">
        <f>((E43)*Settings!$C$12)+(F43*Settings!$C$2)+(G43*Settings!$C$3)+(H43*Settings!$C$4)+(I43*Settings!$C$5)+(K43*Settings!$C$9)+(N43*Settings!$C$6)+(J43*Settings!$C$8)+(O43*Settings!$C$7)+(P43*Settings!$C$14)+(Q43*Settings!$C$15)+(R43*Settings!$C$16)+(S43*Settings!$C$17)+(T43*Settings!$C$18)+(U43*Settings!$C$19)</f>
        <v>8.0902382146876821</v>
      </c>
      <c r="D43" s="41">
        <f>IF(Settings!$E$12="YES",VLOOKUP(A43,'Player Data'!A1:E734,5,FALSE),82)</f>
        <v>77.044285714285706</v>
      </c>
      <c r="E43" s="39">
        <f>(VLOOKUP($A43,'The List'!$B1:$AH727,17,FALSE)-AVERAGE('The List'!R2:R727))/STDEV('The List'!R2:R727)</f>
        <v>2.5857996546240494</v>
      </c>
      <c r="F43" s="39">
        <f>(VLOOKUP($A43,'The List'!$B1:$AH727,18,FALSE)-AVERAGE('The List'!S2:S727))/STDEV('The List'!S2:S727)</f>
        <v>0.69585200131411562</v>
      </c>
      <c r="G43" s="39">
        <f>(VLOOKUP($A43,'The List'!$B1:$AH727,19,FALSE)-AVERAGE('The List'!T2:T727))/STDEV('The List'!T2:T727)</f>
        <v>2.6725491073056231</v>
      </c>
      <c r="H43" s="39">
        <f>(VLOOKUP($A43,'The List'!$B1:$AH727,20,FALSE)-AVERAGE('The List'!U2:U727))/STDEV('The List'!U2:U727)</f>
        <v>1.9635055730452471</v>
      </c>
      <c r="I43" s="39">
        <f>(VLOOKUP($A43,'The List'!$B1:$AH727,21,FALSE)-AVERAGE('The List'!V2:V727))/STDEV('The List'!V2:V727)</f>
        <v>1.2778446559128618</v>
      </c>
      <c r="J43" s="39">
        <f>(VLOOKUP($A43,'The List'!$B1:$AH727,22,FALSE)-AVERAGE('The List'!W2:W727))/STDEV('The List'!W2:W727)</f>
        <v>0.45522174268278504</v>
      </c>
      <c r="K43" s="39">
        <f>(VLOOKUP($A43,'The List'!$B1:$AH727,23,FALSE)-AVERAGE('The List'!X2:X727))/STDEV('The List'!X2:X727)</f>
        <v>1.8353000349329849</v>
      </c>
      <c r="L43" s="39">
        <f>(VLOOKUP($A43,'The List'!$B1:$AH727,24,FALSE)-AVERAGE('The List'!Y2:Y727))/STDEV('The List'!Y2:Y727)</f>
        <v>-0.51606094459282381</v>
      </c>
      <c r="M43" s="39">
        <f>(VLOOKUP($A43,'The List'!$B1:$AH727,25,FALSE)-AVERAGE('The List'!Z2:Z727))/STDEV('The List'!Z2:Z727)</f>
        <v>-0.56830164078985046</v>
      </c>
      <c r="N43" s="39">
        <f>(VLOOKUP($A43,'The List'!$B1:$AH727,26,FALSE)-AVERAGE('The List'!AA2:AA727))/STDEV('The List'!AA2:AA727)</f>
        <v>0.85719722388654274</v>
      </c>
      <c r="O43" s="39">
        <f>(VLOOKUP($A43,'The List'!$B1:$AH727,27,FALSE)-AVERAGE('The List'!AB2:AB727))/STDEV('The List'!AB2:AB727)</f>
        <v>-0.98954479941813311</v>
      </c>
      <c r="P43" s="39">
        <f>(VLOOKUP($A43,'The List'!$B1:$AH727,28,FALSE)-AVERAGE('The List'!AC2:AC727))/STDEV('The List'!AC2:AC727)</f>
        <v>0.75149519133555454</v>
      </c>
      <c r="Q43" s="39">
        <f>(VLOOKUP($A43,'The List'!$B1:$AH727,29,FALSE)-AVERAGE('The List'!AD2:AD727))/STDEV('The List'!AD2:AD727)</f>
        <v>-0.16157946123291106</v>
      </c>
      <c r="R43" s="39">
        <f>(VLOOKUP($A43,'The List'!$B1:$AH727,30,FALSE)-AVERAGE('The List'!AE2:AE727))/STDEV('The List'!AE2:AE727)</f>
        <v>0.87645081192024743</v>
      </c>
      <c r="S43" s="39">
        <f>(VLOOKUP($A43,'The List'!$B1:$AH727,31,FALSE)-AVERAGE('The List'!AF2:AF727))/STDEV('The List'!AF2:AF727)</f>
        <v>-0.55804314905918151</v>
      </c>
      <c r="T43" s="39">
        <f>(VLOOKUP($A43,'The List'!$B1:$AH727,32,FALSE)-AVERAGE('The List'!AG2:AG727))/STDEV('The List'!AG2:AG727)</f>
        <v>-0.5978746128911151</v>
      </c>
      <c r="U43" s="39">
        <f>(VLOOKUP($A43,'The List'!$B1:$AH727,33,FALSE)-AVERAGE('The List'!AH2:AH727))/STDEV('The List'!AH2:AH727)</f>
        <v>-1.2395873372913611</v>
      </c>
      <c r="V43" s="39"/>
      <c r="W43" s="43"/>
      <c r="X43" s="41"/>
      <c r="Y43" s="41"/>
      <c r="Z43" s="41"/>
      <c r="AA43" s="41"/>
      <c r="AB43" s="41"/>
      <c r="AC43" s="44"/>
      <c r="AD43" s="45"/>
      <c r="AE43" s="39"/>
    </row>
    <row r="44" spans="1:31" ht="21.25" customHeight="1" x14ac:dyDescent="0.15">
      <c r="A44" s="8" t="s">
        <v>259</v>
      </c>
      <c r="B44" s="35" t="str">
        <f>VLOOKUP(A44,'Player Data'!A1:B734,2,FALSE)</f>
        <v>ARI</v>
      </c>
      <c r="C44" s="37">
        <f>((E44)*Settings!$C$12)+(F44*Settings!$C$2)+(G44*Settings!$C$3)+(H44*Settings!$C$4)+(I44*Settings!$C$5)+(K44*Settings!$C$9)+(N44*Settings!$C$6)+(J44*Settings!$C$8)+(O44*Settings!$C$7)+(P44*Settings!$C$14)+(Q44*Settings!$C$15)+(R44*Settings!$C$16)+(S44*Settings!$C$17)+(T44*Settings!$C$18)+(U44*Settings!$C$19)</f>
        <v>3.2770182925618672</v>
      </c>
      <c r="D44" s="41">
        <f>IF(Settings!$E$12="YES",VLOOKUP(A44,'Player Data'!A1:E734,5,FALSE),82)</f>
        <v>75.459285714285699</v>
      </c>
      <c r="E44" s="39">
        <f>(VLOOKUP($A44,'The List'!$B1:$AH727,17,FALSE)-AVERAGE('The List'!R2:R727))/STDEV('The List'!R2:R727)</f>
        <v>0.8944568515547916</v>
      </c>
      <c r="F44" s="39">
        <f>(VLOOKUP($A44,'The List'!$B1:$AH727,18,FALSE)-AVERAGE('The List'!S2:S727))/STDEV('The List'!S2:S727)</f>
        <v>1.3628900177887575</v>
      </c>
      <c r="G44" s="39">
        <f>(VLOOKUP($A44,'The List'!$B1:$AH727,19,FALSE)-AVERAGE('The List'!T2:T727))/STDEV('The List'!T2:T727)</f>
        <v>1.5310259194551956</v>
      </c>
      <c r="H44" s="39">
        <f>(VLOOKUP($A44,'The List'!$B1:$AH727,20,FALSE)-AVERAGE('The List'!U2:U727))/STDEV('The List'!U2:U727)</f>
        <v>1.5636325119331622</v>
      </c>
      <c r="I44" s="39">
        <f>(VLOOKUP($A44,'The List'!$B1:$AH727,21,FALSE)-AVERAGE('The List'!V2:V727))/STDEV('The List'!V2:V727)</f>
        <v>0.61296405598344161</v>
      </c>
      <c r="J44" s="39">
        <f>(VLOOKUP($A44,'The List'!$B1:$AH727,22,FALSE)-AVERAGE('The List'!W2:W727))/STDEV('The List'!W2:W727)</f>
        <v>1.1794831428272348</v>
      </c>
      <c r="K44" s="39">
        <f>(VLOOKUP($A44,'The List'!$B1:$AH727,23,FALSE)-AVERAGE('The List'!X2:X727))/STDEV('The List'!X2:X727)</f>
        <v>0.75378827550786687</v>
      </c>
      <c r="L44" s="39">
        <f>(VLOOKUP($A44,'The List'!$B1:$AH727,24,FALSE)-AVERAGE('The List'!Y2:Y727))/STDEV('The List'!Y2:Y727)</f>
        <v>-0.35297335752562009</v>
      </c>
      <c r="M44" s="39">
        <f>(VLOOKUP($A44,'The List'!$B1:$AH727,25,FALSE)-AVERAGE('The List'!Z2:Z727))/STDEV('The List'!Z2:Z727)</f>
        <v>4.7489004125967661E-2</v>
      </c>
      <c r="N44" s="39">
        <f>(VLOOKUP($A44,'The List'!$B1:$AH727,26,FALSE)-AVERAGE('The List'!AA2:AA727))/STDEV('The List'!AA2:AA727)</f>
        <v>-0.62294034053966185</v>
      </c>
      <c r="O44" s="39">
        <f>(VLOOKUP($A44,'The List'!$B1:$AH727,27,FALSE)-AVERAGE('The List'!AB2:AB727))/STDEV('The List'!AB2:AB727)</f>
        <v>-1.4960444593514661</v>
      </c>
      <c r="P44" s="39">
        <f>(VLOOKUP($A44,'The List'!$B1:$AH727,28,FALSE)-AVERAGE('The List'!AC2:AC727))/STDEV('The List'!AC2:AC727)</f>
        <v>-0.36070963563373326</v>
      </c>
      <c r="Q44" s="39">
        <f>(VLOOKUP($A44,'The List'!$B1:$AH727,29,FALSE)-AVERAGE('The List'!AD2:AD727))/STDEV('The List'!AD2:AD727)</f>
        <v>-0.40720251051198236</v>
      </c>
      <c r="R44" s="39">
        <f>(VLOOKUP($A44,'The List'!$B1:$AH727,30,FALSE)-AVERAGE('The List'!AE2:AE727))/STDEV('The List'!AE2:AE727)</f>
        <v>0.94685508695667997</v>
      </c>
      <c r="S44" s="39">
        <f>(VLOOKUP($A44,'The List'!$B1:$AH727,31,FALSE)-AVERAGE('The List'!AF2:AF727))/STDEV('The List'!AF2:AF727)</f>
        <v>-5.5269787070119279E-2</v>
      </c>
      <c r="T44" s="39">
        <f>(VLOOKUP($A44,'The List'!$B1:$AH727,32,FALSE)-AVERAGE('The List'!AG2:AG727))/STDEV('The List'!AG2:AG727)</f>
        <v>7.9441397496896368E-2</v>
      </c>
      <c r="U44" s="39">
        <f>(VLOOKUP($A44,'The List'!$B1:$AH727,33,FALSE)-AVERAGE('The List'!AH2:AH727))/STDEV('The List'!AH2:AH727)</f>
        <v>0.73485544619397203</v>
      </c>
      <c r="V44" s="39"/>
      <c r="W44" s="41"/>
      <c r="X44" s="39"/>
      <c r="Y44" s="39"/>
      <c r="Z44" s="39"/>
      <c r="AA44" s="39"/>
      <c r="AB44" s="39"/>
      <c r="AC44" s="39"/>
      <c r="AD44" s="39"/>
      <c r="AE44" s="39"/>
    </row>
    <row r="45" spans="1:31" ht="21.25" customHeight="1" x14ac:dyDescent="0.15">
      <c r="A45" s="8" t="s">
        <v>171</v>
      </c>
      <c r="B45" s="35" t="str">
        <f>VLOOKUP(A45,'Player Data'!A1:B734,2,FALSE)</f>
        <v>BOS</v>
      </c>
      <c r="C45" s="37">
        <f>((E45)*Settings!$C$12)+(F45*Settings!$C$2)+(G45*Settings!$C$3)+(H45*Settings!$C$4)+(I45*Settings!$C$5)+(K45*Settings!$C$9)+(N45*Settings!$C$6)+(J45*Settings!$C$8)+(O45*Settings!$C$7)+(P45*Settings!$C$14)+(Q45*Settings!$C$15)+(R45*Settings!$C$16)+(S45*Settings!$C$17)+(T45*Settings!$C$18)+(U45*Settings!$C$19)</f>
        <v>7.1831147620024556</v>
      </c>
      <c r="D45" s="41">
        <f>IF(Settings!$E$12="YES",VLOOKUP(A45,'Player Data'!A1:E734,5,FALSE),82)</f>
        <v>78.343214285714296</v>
      </c>
      <c r="E45" s="39">
        <f>(VLOOKUP($A45,'The List'!$B1:$AH727,17,FALSE)-AVERAGE('The List'!R2:R727))/STDEV('The List'!R2:R727)</f>
        <v>0.60074215637204798</v>
      </c>
      <c r="F45" s="39">
        <f>(VLOOKUP($A45,'The List'!$B1:$AH727,18,FALSE)-AVERAGE('The List'!S2:S727))/STDEV('The List'!S2:S727)</f>
        <v>1.2636651681143096</v>
      </c>
      <c r="G45" s="39">
        <f>(VLOOKUP($A45,'The List'!$B1:$AH727,19,FALSE)-AVERAGE('The List'!T2:T727))/STDEV('The List'!T2:T727)</f>
        <v>1.797704714359051</v>
      </c>
      <c r="H45" s="39">
        <f>(VLOOKUP($A45,'The List'!$B1:$AH727,20,FALSE)-AVERAGE('The List'!U2:U727))/STDEV('The List'!U2:U727)</f>
        <v>1.6828089251806948</v>
      </c>
      <c r="I45" s="39">
        <f>(VLOOKUP($A45,'The List'!$B1:$AH727,21,FALSE)-AVERAGE('The List'!V2:V727))/STDEV('The List'!V2:V727)</f>
        <v>1.3238039752617143</v>
      </c>
      <c r="J45" s="39">
        <f>(VLOOKUP($A45,'The List'!$B1:$AH727,22,FALSE)-AVERAGE('The List'!W2:W727))/STDEV('The List'!W2:W727)</f>
        <v>1.2536026594499798</v>
      </c>
      <c r="K45" s="39">
        <f>(VLOOKUP($A45,'The List'!$B1:$AH727,23,FALSE)-AVERAGE('The List'!X2:X727))/STDEV('The List'!X2:X727)</f>
        <v>1.9383342220743514</v>
      </c>
      <c r="L45" s="39">
        <f>(VLOOKUP($A45,'The List'!$B1:$AH727,24,FALSE)-AVERAGE('The List'!Y2:Y727))/STDEV('The List'!Y2:Y727)</f>
        <v>1.3183388617017524</v>
      </c>
      <c r="M45" s="39">
        <f>(VLOOKUP($A45,'The List'!$B1:$AH727,25,FALSE)-AVERAGE('The List'!Z2:Z727))/STDEV('The List'!Z2:Z727)</f>
        <v>1.5392604626566151</v>
      </c>
      <c r="N45" s="39">
        <f>(VLOOKUP($A45,'The List'!$B1:$AH727,26,FALSE)-AVERAGE('The List'!AA2:AA727))/STDEV('The List'!AA2:AA727)</f>
        <v>-0.87674110904950742</v>
      </c>
      <c r="O45" s="39">
        <f>(VLOOKUP($A45,'The List'!$B1:$AH727,27,FALSE)-AVERAGE('The List'!AB2:AB727))/STDEV('The List'!AB2:AB727)</f>
        <v>-8.5090456224813246E-2</v>
      </c>
      <c r="P45" s="39">
        <f>(VLOOKUP($A45,'The List'!$B1:$AH727,28,FALSE)-AVERAGE('The List'!AC2:AC727))/STDEV('The List'!AC2:AC727)</f>
        <v>1.7363477912425369</v>
      </c>
      <c r="Q45" s="39">
        <f>(VLOOKUP($A45,'The List'!$B1:$AH727,29,FALSE)-AVERAGE('The List'!AD2:AD727))/STDEV('The List'!AD2:AD727)</f>
        <v>2.6746859030386121</v>
      </c>
      <c r="R45" s="39">
        <f>(VLOOKUP($A45,'The List'!$B1:$AH727,30,FALSE)-AVERAGE('The List'!AE2:AE727))/STDEV('The List'!AE2:AE727)</f>
        <v>1.6126123285955125</v>
      </c>
      <c r="S45" s="39">
        <f>(VLOOKUP($A45,'The List'!$B1:$AH727,31,FALSE)-AVERAGE('The List'!AF2:AF727))/STDEV('The List'!AF2:AF727)</f>
        <v>-0.4564973937979096</v>
      </c>
      <c r="T45" s="39">
        <f>(VLOOKUP($A45,'The List'!$B1:$AH727,32,FALSE)-AVERAGE('The List'!AG2:AG727))/STDEV('The List'!AG2:AG727)</f>
        <v>-0.40855927290837335</v>
      </c>
      <c r="U45" s="39">
        <f>(VLOOKUP($A45,'The List'!$B1:$AH727,33,FALSE)-AVERAGE('The List'!AH2:AH727))/STDEV('The List'!AH2:AH727)</f>
        <v>0.368337602726999</v>
      </c>
      <c r="V45" s="39"/>
      <c r="W45" s="41"/>
      <c r="X45" s="39"/>
      <c r="Y45" s="39"/>
      <c r="Z45" s="39"/>
      <c r="AA45" s="39"/>
      <c r="AB45" s="39"/>
      <c r="AC45" s="39"/>
      <c r="AD45" s="39"/>
      <c r="AE45" s="39"/>
    </row>
    <row r="46" spans="1:31" ht="21.25" customHeight="1" x14ac:dyDescent="0.15">
      <c r="A46" s="8" t="s">
        <v>195</v>
      </c>
      <c r="B46" s="35" t="str">
        <f>VLOOKUP(A46,'Player Data'!A1:B734,2,FALSE)</f>
        <v>VGK</v>
      </c>
      <c r="C46" s="37">
        <f>((E46)*Settings!$C$12)+(F46*Settings!$C$2)+(G46*Settings!$C$3)+(H46*Settings!$C$4)+(I46*Settings!$C$5)+(K46*Settings!$C$9)+(N46*Settings!$C$6)+(J46*Settings!$C$8)+(O46*Settings!$C$7)+(P46*Settings!$C$14)+(Q46*Settings!$C$15)+(R46*Settings!$C$16)+(S46*Settings!$C$17)+(T46*Settings!$C$18)+(U46*Settings!$C$19)</f>
        <v>7.6407226059044717</v>
      </c>
      <c r="D46" s="41">
        <f>IF(Settings!$E$12="YES",VLOOKUP(A46,'Player Data'!A1:E734,5,FALSE),82)</f>
        <v>72.430000000000007</v>
      </c>
      <c r="E46" s="39">
        <f>(VLOOKUP($A46,'The List'!$B1:$AH727,17,FALSE)-AVERAGE('The List'!R2:R727))/STDEV('The List'!R2:R727)</f>
        <v>0.75243182656805774</v>
      </c>
      <c r="F46" s="39">
        <f>(VLOOKUP($A46,'The List'!$B1:$AH727,18,FALSE)-AVERAGE('The List'!S2:S727))/STDEV('The List'!S2:S727)</f>
        <v>1.5492766729479124</v>
      </c>
      <c r="G46" s="39">
        <f>(VLOOKUP($A46,'The List'!$B1:$AH727,19,FALSE)-AVERAGE('The List'!T2:T727))/STDEV('The List'!T2:T727)</f>
        <v>1.4288366216052637</v>
      </c>
      <c r="H46" s="39">
        <f>(VLOOKUP($A46,'The List'!$B1:$AH727,20,FALSE)-AVERAGE('The List'!U2:U727))/STDEV('The List'!U2:U727)</f>
        <v>1.5854801171416963</v>
      </c>
      <c r="I46" s="39">
        <f>(VLOOKUP($A46,'The List'!$B1:$AH727,21,FALSE)-AVERAGE('The List'!V2:V727))/STDEV('The List'!V2:V727)</f>
        <v>1.9520284519528766</v>
      </c>
      <c r="J46" s="39">
        <f>(VLOOKUP($A46,'The List'!$B1:$AH727,22,FALSE)-AVERAGE('The List'!W2:W727))/STDEV('The List'!W2:W727)</f>
        <v>0.49634142692554972</v>
      </c>
      <c r="K46" s="39">
        <f>(VLOOKUP($A46,'The List'!$B1:$AH727,23,FALSE)-AVERAGE('The List'!X2:X727))/STDEV('The List'!X2:X727)</f>
        <v>1.2479787341777879</v>
      </c>
      <c r="L46" s="39">
        <f>(VLOOKUP($A46,'The List'!$B1:$AH727,24,FALSE)-AVERAGE('The List'!Y2:Y727))/STDEV('The List'!Y2:Y727)</f>
        <v>-0.30200507023621836</v>
      </c>
      <c r="M46" s="39">
        <f>(VLOOKUP($A46,'The List'!$B1:$AH727,25,FALSE)-AVERAGE('The List'!Z2:Z727))/STDEV('The List'!Z2:Z727)</f>
        <v>-0.45263351373037952</v>
      </c>
      <c r="N46" s="39">
        <f>(VLOOKUP($A46,'The List'!$B1:$AH727,26,FALSE)-AVERAGE('The List'!AA2:AA727))/STDEV('The List'!AA2:AA727)</f>
        <v>1.6952221300507914E-2</v>
      </c>
      <c r="O46" s="39">
        <f>(VLOOKUP($A46,'The List'!$B1:$AH727,27,FALSE)-AVERAGE('The List'!AB2:AB727))/STDEV('The List'!AB2:AB727)</f>
        <v>-0.45143136714129312</v>
      </c>
      <c r="P46" s="39">
        <f>(VLOOKUP($A46,'The List'!$B1:$AH727,28,FALSE)-AVERAGE('The List'!AC2:AC727))/STDEV('The List'!AC2:AC727)</f>
        <v>1.4456499039201243</v>
      </c>
      <c r="Q46" s="39">
        <f>(VLOOKUP($A46,'The List'!$B1:$AH727,29,FALSE)-AVERAGE('The List'!AD2:AD727))/STDEV('The List'!AD2:AD727)</f>
        <v>-1.008629228042486</v>
      </c>
      <c r="R46" s="39">
        <f>(VLOOKUP($A46,'The List'!$B1:$AH727,30,FALSE)-AVERAGE('The List'!AE2:AE727))/STDEV('The List'!AE2:AE727)</f>
        <v>1.8431150891383019</v>
      </c>
      <c r="S46" s="39">
        <f>(VLOOKUP($A46,'The List'!$B1:$AH727,31,FALSE)-AVERAGE('The List'!AF2:AF727))/STDEV('The List'!AF2:AF727)</f>
        <v>1.5024476335804839</v>
      </c>
      <c r="T46" s="39">
        <f>(VLOOKUP($A46,'The List'!$B1:$AH727,32,FALSE)-AVERAGE('The List'!AG2:AG727))/STDEV('The List'!AG2:AG727)</f>
        <v>1.8727558057607838</v>
      </c>
      <c r="U46" s="39">
        <f>(VLOOKUP($A46,'The List'!$B1:$AH727,33,FALSE)-AVERAGE('The List'!AH2:AH727))/STDEV('The List'!AH2:AH727)</f>
        <v>0.86993907839195495</v>
      </c>
      <c r="V46" s="39"/>
      <c r="W46" s="43"/>
      <c r="X46" s="41"/>
      <c r="Y46" s="41"/>
      <c r="Z46" s="41"/>
      <c r="AA46" s="41"/>
      <c r="AB46" s="41"/>
      <c r="AC46" s="44"/>
      <c r="AD46" s="45"/>
      <c r="AE46" s="39"/>
    </row>
    <row r="47" spans="1:31" ht="21.25" customHeight="1" x14ac:dyDescent="0.15">
      <c r="A47" s="8" t="s">
        <v>173</v>
      </c>
      <c r="B47" s="35" t="str">
        <f>VLOOKUP(A47,'Player Data'!A1:B734,2,FALSE)</f>
        <v>ANA</v>
      </c>
      <c r="C47" s="37">
        <f>((E47)*Settings!$C$12)+(F47*Settings!$C$2)+(G47*Settings!$C$3)+(H47*Settings!$C$4)+(I47*Settings!$C$5)+(K47*Settings!$C$9)+(N47*Settings!$C$6)+(J47*Settings!$C$8)+(O47*Settings!$C$7)+(P47*Settings!$C$14)+(Q47*Settings!$C$15)+(R47*Settings!$C$16)+(S47*Settings!$C$17)+(T47*Settings!$C$18)+(U47*Settings!$C$19)</f>
        <v>3.0156370368596876</v>
      </c>
      <c r="D47" s="41">
        <f>IF(Settings!$E$12="YES",VLOOKUP(A47,'Player Data'!A1:E734,5,FALSE),82)</f>
        <v>78.47</v>
      </c>
      <c r="E47" s="39">
        <f>(VLOOKUP($A47,'The List'!$B1:$AH727,17,FALSE)-AVERAGE('The List'!R2:R727))/STDEV('The List'!R2:R727)</f>
        <v>0.88188745130745849</v>
      </c>
      <c r="F47" s="39">
        <f>(VLOOKUP($A47,'The List'!$B1:$AH727,18,FALSE)-AVERAGE('The List'!S2:S727))/STDEV('The List'!S2:S727)</f>
        <v>1.8915093954023385</v>
      </c>
      <c r="G47" s="39">
        <f>(VLOOKUP($A47,'The List'!$B1:$AH727,19,FALSE)-AVERAGE('The List'!T2:T727))/STDEV('The List'!T2:T727)</f>
        <v>1.3235936192473094</v>
      </c>
      <c r="H47" s="39">
        <f>(VLOOKUP($A47,'The List'!$B1:$AH727,20,FALSE)-AVERAGE('The List'!U2:U727))/STDEV('The List'!U2:U727)</f>
        <v>1.6763657144127091</v>
      </c>
      <c r="I47" s="39">
        <f>(VLOOKUP($A47,'The List'!$B1:$AH727,21,FALSE)-AVERAGE('The List'!V2:V727))/STDEV('The List'!V2:V727)</f>
        <v>1.3650870261438406</v>
      </c>
      <c r="J47" s="39">
        <f>(VLOOKUP($A47,'The List'!$B1:$AH727,22,FALSE)-AVERAGE('The List'!W2:W727))/STDEV('The List'!W2:W727)</f>
        <v>1.3271923098992227</v>
      </c>
      <c r="K47" s="39">
        <f>(VLOOKUP($A47,'The List'!$B1:$AH727,23,FALSE)-AVERAGE('The List'!X2:X727))/STDEV('The List'!X2:X727)</f>
        <v>0.94991021266110498</v>
      </c>
      <c r="L47" s="39">
        <f>(VLOOKUP($A47,'The List'!$B1:$AH727,24,FALSE)-AVERAGE('The List'!Y2:Y727))/STDEV('The List'!Y2:Y727)</f>
        <v>-0.41428098744734082</v>
      </c>
      <c r="M47" s="39">
        <f>(VLOOKUP($A47,'The List'!$B1:$AH727,25,FALSE)-AVERAGE('The List'!Z2:Z727))/STDEV('The List'!Z2:Z727)</f>
        <v>-0.57846675795127678</v>
      </c>
      <c r="N47" s="39">
        <f>(VLOOKUP($A47,'The List'!$B1:$AH727,26,FALSE)-AVERAGE('The List'!AA2:AA727))/STDEV('The List'!AA2:AA727)</f>
        <v>-0.78933257423242331</v>
      </c>
      <c r="O47" s="39">
        <f>(VLOOKUP($A47,'The List'!$B1:$AH727,27,FALSE)-AVERAGE('The List'!AB2:AB727))/STDEV('The List'!AB2:AB727)</f>
        <v>-1.5830742227953047</v>
      </c>
      <c r="P47" s="39">
        <f>(VLOOKUP($A47,'The List'!$B1:$AH727,28,FALSE)-AVERAGE('The List'!AC2:AC727))/STDEV('The List'!AC2:AC727)</f>
        <v>-1.7251306423624824</v>
      </c>
      <c r="Q47" s="39">
        <f>(VLOOKUP($A47,'The List'!$B1:$AH727,29,FALSE)-AVERAGE('The List'!AD2:AD727))/STDEV('The List'!AD2:AD727)</f>
        <v>-4.2376405932349565E-2</v>
      </c>
      <c r="R47" s="39">
        <f>(VLOOKUP($A47,'The List'!$B1:$AH727,30,FALSE)-AVERAGE('The List'!AE2:AE727))/STDEV('The List'!AE2:AE727)</f>
        <v>1.063634664886</v>
      </c>
      <c r="S47" s="39">
        <f>(VLOOKUP($A47,'The List'!$B1:$AH727,31,FALSE)-AVERAGE('The List'!AF2:AF727))/STDEV('The List'!AF2:AF727)</f>
        <v>-0.54640580979048059</v>
      </c>
      <c r="T47" s="39">
        <f>(VLOOKUP($A47,'The List'!$B1:$AH727,32,FALSE)-AVERAGE('The List'!AG2:AG727))/STDEV('The List'!AG2:AG727)</f>
        <v>-0.59307503004046702</v>
      </c>
      <c r="U47" s="39">
        <f>(VLOOKUP($A47,'The List'!$B1:$AH727,33,FALSE)-AVERAGE('The List'!AH2:AH727))/STDEV('The List'!AH2:AH727)</f>
        <v>1.3876959092689944</v>
      </c>
      <c r="V47" s="39"/>
      <c r="W47" s="41"/>
      <c r="X47" s="39"/>
      <c r="Y47" s="39"/>
      <c r="Z47" s="39"/>
      <c r="AA47" s="39"/>
      <c r="AB47" s="39"/>
      <c r="AC47" s="39"/>
      <c r="AD47" s="39"/>
      <c r="AE47" s="39"/>
    </row>
    <row r="48" spans="1:31" ht="21.25" customHeight="1" x14ac:dyDescent="0.15">
      <c r="A48" s="8" t="s">
        <v>158</v>
      </c>
      <c r="B48" s="35" t="str">
        <f>VLOOKUP(A48,'Player Data'!A1:B734,2,FALSE)</f>
        <v>EDM</v>
      </c>
      <c r="C48" s="37">
        <f>((E48)*Settings!$C$12)+(F48*Settings!$C$2)+(G48*Settings!$C$3)+(H48*Settings!$C$4)+(I48*Settings!$C$5)+(K48*Settings!$C$9)+(N48*Settings!$C$6)+(J48*Settings!$C$8)+(O48*Settings!$C$7)+(P48*Settings!$C$14)+(Q48*Settings!$C$15)+(R48*Settings!$C$16)+(S48*Settings!$C$17)+(T48*Settings!$C$18)+(U48*Settings!$C$19)</f>
        <v>7.8896902646168057</v>
      </c>
      <c r="D48" s="41">
        <f>IF(Settings!$E$12="YES",VLOOKUP(A48,'Player Data'!A1:E734,5,FALSE),82)</f>
        <v>78.768928571428603</v>
      </c>
      <c r="E48" s="39">
        <f>(VLOOKUP($A48,'The List'!$B1:$AH727,17,FALSE)-AVERAGE('The List'!R2:R727))/STDEV('The List'!R2:R727)</f>
        <v>0.97678863937941685</v>
      </c>
      <c r="F48" s="39">
        <f>(VLOOKUP($A48,'The List'!$B1:$AH727,18,FALSE)-AVERAGE('The List'!S2:S727))/STDEV('The List'!S2:S727)</f>
        <v>1.963173300113386</v>
      </c>
      <c r="G48" s="39">
        <f>(VLOOKUP($A48,'The List'!$B1:$AH727,19,FALSE)-AVERAGE('The List'!T2:T727))/STDEV('The List'!T2:T727)</f>
        <v>1.2891474527112412</v>
      </c>
      <c r="H48" s="39">
        <f>(VLOOKUP($A48,'The List'!$B1:$AH727,20,FALSE)-AVERAGE('The List'!U2:U727))/STDEV('The List'!U2:U727)</f>
        <v>1.6877512305250044</v>
      </c>
      <c r="I48" s="39">
        <f>(VLOOKUP($A48,'The List'!$B1:$AH727,21,FALSE)-AVERAGE('The List'!V2:V727))/STDEV('The List'!V2:V727)</f>
        <v>2.1557423560381803</v>
      </c>
      <c r="J48" s="39">
        <f>(VLOOKUP($A48,'The List'!$B1:$AH727,22,FALSE)-AVERAGE('The List'!W2:W727))/STDEV('The List'!W2:W727)</f>
        <v>2.5146865106739882</v>
      </c>
      <c r="K48" s="39">
        <f>(VLOOKUP($A48,'The List'!$B1:$AH727,23,FALSE)-AVERAGE('The List'!X2:X727))/STDEV('The List'!X2:X727)</f>
        <v>1.5052929703694788</v>
      </c>
      <c r="L48" s="39">
        <f>(VLOOKUP($A48,'The List'!$B1:$AH727,24,FALSE)-AVERAGE('The List'!Y2:Y727))/STDEV('The List'!Y2:Y727)</f>
        <v>-0.23570065794206713</v>
      </c>
      <c r="M48" s="39">
        <f>(VLOOKUP($A48,'The List'!$B1:$AH727,25,FALSE)-AVERAGE('The List'!Z2:Z727))/STDEV('The List'!Z2:Z727)</f>
        <v>-7.2154078521471737E-2</v>
      </c>
      <c r="N48" s="39">
        <f>(VLOOKUP($A48,'The List'!$B1:$AH727,26,FALSE)-AVERAGE('The List'!AA2:AA727))/STDEV('The List'!AA2:AA727)</f>
        <v>-0.91085053773954516</v>
      </c>
      <c r="O48" s="39">
        <f>(VLOOKUP($A48,'The List'!$B1:$AH727,27,FALSE)-AVERAGE('The List'!AB2:AB727))/STDEV('The List'!AB2:AB727)</f>
        <v>-0.29333683094943497</v>
      </c>
      <c r="P48" s="39">
        <f>(VLOOKUP($A48,'The List'!$B1:$AH727,28,FALSE)-AVERAGE('The List'!AC2:AC727))/STDEV('The List'!AC2:AC727)</f>
        <v>1.8871847231240648</v>
      </c>
      <c r="Q48" s="39">
        <f>(VLOOKUP($A48,'The List'!$B1:$AH727,29,FALSE)-AVERAGE('The List'!AD2:AD727))/STDEV('The List'!AD2:AD727)</f>
        <v>0.68048434730663887</v>
      </c>
      <c r="R48" s="39">
        <f>(VLOOKUP($A48,'The List'!$B1:$AH727,30,FALSE)-AVERAGE('The List'!AE2:AE727))/STDEV('The List'!AE2:AE727)</f>
        <v>2.1756453098206525</v>
      </c>
      <c r="S48" s="39">
        <f>(VLOOKUP($A48,'The List'!$B1:$AH727,31,FALSE)-AVERAGE('The List'!AF2:AF727))/STDEV('The List'!AF2:AF727)</f>
        <v>-0.48603460565734724</v>
      </c>
      <c r="T48" s="39">
        <f>(VLOOKUP($A48,'The List'!$B1:$AH727,32,FALSE)-AVERAGE('The List'!AG2:AG727))/STDEV('The List'!AG2:AG727)</f>
        <v>-0.51573423885694036</v>
      </c>
      <c r="U48" s="39">
        <f>(VLOOKUP($A48,'The List'!$B1:$AH727,33,FALSE)-AVERAGE('The List'!AH2:AH727))/STDEV('The List'!AH2:AH727)</f>
        <v>0.87426031862704956</v>
      </c>
      <c r="V48" s="39"/>
      <c r="W48" s="43"/>
      <c r="X48" s="41"/>
      <c r="Y48" s="41"/>
      <c r="Z48" s="41"/>
      <c r="AA48" s="41"/>
      <c r="AB48" s="41"/>
      <c r="AC48" s="44"/>
      <c r="AD48" s="45"/>
      <c r="AE48" s="39"/>
    </row>
    <row r="49" spans="1:31" ht="21.25" customHeight="1" x14ac:dyDescent="0.15">
      <c r="A49" s="8" t="s">
        <v>119</v>
      </c>
      <c r="B49" s="35" t="str">
        <f>VLOOKUP(A49,'Player Data'!A1:B734,2,FALSE)</f>
        <v>NSH</v>
      </c>
      <c r="C49" s="37">
        <f>((E49)*Settings!$C$12)+(F49*Settings!$C$2)+(G49*Settings!$C$3)+(H49*Settings!$C$4)+(I49*Settings!$C$5)+(K49*Settings!$C$9)+(N49*Settings!$C$6)+(J49*Settings!$C$8)+(O49*Settings!$C$7)+(P49*Settings!$C$14)+(Q49*Settings!$C$15)+(R49*Settings!$C$16)+(S49*Settings!$C$17)+(T49*Settings!$C$18)+(U49*Settings!$C$19)</f>
        <v>10.003512023625538</v>
      </c>
      <c r="D49" s="41">
        <f>IF(Settings!$E$12="YES",VLOOKUP(A49,'Player Data'!A1:E734,5,FALSE),82)</f>
        <v>77.921071428571395</v>
      </c>
      <c r="E49" s="39">
        <f>(VLOOKUP($A49,'The List'!$B1:$AH727,17,FALSE)-AVERAGE('The List'!R2:R727))/STDEV('The List'!R2:R727)</f>
        <v>2.3480792096382133</v>
      </c>
      <c r="F49" s="39">
        <f>(VLOOKUP($A49,'The List'!$B1:$AH727,18,FALSE)-AVERAGE('The List'!S2:S727))/STDEV('The List'!S2:S727)</f>
        <v>0.52513805134023428</v>
      </c>
      <c r="G49" s="39">
        <f>(VLOOKUP($A49,'The List'!$B1:$AH727,19,FALSE)-AVERAGE('The List'!T2:T727))/STDEV('The List'!T2:T727)</f>
        <v>2.2423740284913207</v>
      </c>
      <c r="H49" s="39">
        <f>(VLOOKUP($A49,'The List'!$B1:$AH727,20,FALSE)-AVERAGE('The List'!U2:U727))/STDEV('The List'!U2:U727)</f>
        <v>1.6207421985630628</v>
      </c>
      <c r="I49" s="39">
        <f>(VLOOKUP($A49,'The List'!$B1:$AH727,21,FALSE)-AVERAGE('The List'!V2:V727))/STDEV('The List'!V2:V727)</f>
        <v>2.4748744016767801</v>
      </c>
      <c r="J49" s="39">
        <f>(VLOOKUP($A49,'The List'!$B1:$AH727,22,FALSE)-AVERAGE('The List'!W2:W727))/STDEV('The List'!W2:W727)</f>
        <v>1.4439925877919528</v>
      </c>
      <c r="K49" s="39">
        <f>(VLOOKUP($A49,'The List'!$B1:$AH727,23,FALSE)-AVERAGE('The List'!X2:X727))/STDEV('The List'!X2:X727)</f>
        <v>2.1333749228834105</v>
      </c>
      <c r="L49" s="39">
        <f>(VLOOKUP($A49,'The List'!$B1:$AH727,24,FALSE)-AVERAGE('The List'!Y2:Y727))/STDEV('The List'!Y2:Y727)</f>
        <v>-0.49656427832382372</v>
      </c>
      <c r="M49" s="39">
        <f>(VLOOKUP($A49,'The List'!$B1:$AH727,25,FALSE)-AVERAGE('The List'!Z2:Z727))/STDEV('The List'!Z2:Z727)</f>
        <v>-0.46012420771980178</v>
      </c>
      <c r="N49" s="39">
        <f>(VLOOKUP($A49,'The List'!$B1:$AH727,26,FALSE)-AVERAGE('The List'!AA2:AA727))/STDEV('The List'!AA2:AA727)</f>
        <v>2.2888819355946968</v>
      </c>
      <c r="O49" s="39">
        <f>(VLOOKUP($A49,'The List'!$B1:$AH727,27,FALSE)-AVERAGE('The List'!AB2:AB727))/STDEV('The List'!AB2:AB727)</f>
        <v>-0.48007928527892257</v>
      </c>
      <c r="P49" s="39">
        <f>(VLOOKUP($A49,'The List'!$B1:$AH727,28,FALSE)-AVERAGE('The List'!AC2:AC727))/STDEV('The List'!AC2:AC727)</f>
        <v>0.33886868363909567</v>
      </c>
      <c r="Q49" s="39">
        <f>(VLOOKUP($A49,'The List'!$B1:$AH727,29,FALSE)-AVERAGE('The List'!AD2:AD727))/STDEV('The List'!AD2:AD727)</f>
        <v>0.83704860118554425</v>
      </c>
      <c r="R49" s="39">
        <f>(VLOOKUP($A49,'The List'!$B1:$AH727,30,FALSE)-AVERAGE('The List'!AE2:AE727))/STDEV('The List'!AE2:AE727)</f>
        <v>0.54303665194430017</v>
      </c>
      <c r="S49" s="39">
        <f>(VLOOKUP($A49,'The List'!$B1:$AH727,31,FALSE)-AVERAGE('The List'!AF2:AF727))/STDEV('The List'!AF2:AF727)</f>
        <v>-0.55804314905918151</v>
      </c>
      <c r="T49" s="39">
        <f>(VLOOKUP($A49,'The List'!$B1:$AH727,32,FALSE)-AVERAGE('The List'!AG2:AG727))/STDEV('The List'!AG2:AG727)</f>
        <v>-0.60188453558131205</v>
      </c>
      <c r="U49" s="39">
        <f>(VLOOKUP($A49,'The List'!$B1:$AH727,33,FALSE)-AVERAGE('The List'!AH2:AH727))/STDEV('The List'!AH2:AH727)</f>
        <v>-1.2395873372913611</v>
      </c>
      <c r="V49" s="39"/>
      <c r="W49" s="43"/>
      <c r="X49" s="41"/>
      <c r="Y49" s="41"/>
      <c r="Z49" s="41"/>
      <c r="AA49" s="41"/>
      <c r="AB49" s="41"/>
      <c r="AC49" s="44"/>
      <c r="AD49" s="45"/>
      <c r="AE49" s="39"/>
    </row>
    <row r="50" spans="1:31" ht="21.25" customHeight="1" x14ac:dyDescent="0.15">
      <c r="A50" s="8" t="s">
        <v>138</v>
      </c>
      <c r="B50" s="35" t="str">
        <f>VLOOKUP(A50,'Player Data'!A1:B734,2,FALSE)</f>
        <v>VAN</v>
      </c>
      <c r="C50" s="37">
        <f>((E50)*Settings!$C$12)+(F50*Settings!$C$2)+(G50*Settings!$C$3)+(H50*Settings!$C$4)+(I50*Settings!$C$5)+(K50*Settings!$C$9)+(N50*Settings!$C$6)+(J50*Settings!$C$8)+(O50*Settings!$C$7)+(P50*Settings!$C$14)+(Q50*Settings!$C$15)+(R50*Settings!$C$16)+(S50*Settings!$C$17)+(T50*Settings!$C$18)+(U50*Settings!$C$19)</f>
        <v>6.6915031790665171</v>
      </c>
      <c r="D50" s="41">
        <f>IF(Settings!$E$12="YES",VLOOKUP(A50,'Player Data'!A1:E734,5,FALSE),82)</f>
        <v>80.495000000000005</v>
      </c>
      <c r="E50" s="39">
        <f>(VLOOKUP($A50,'The List'!$B1:$AH727,17,FALSE)-AVERAGE('The List'!R2:R727))/STDEV('The List'!R2:R727)</f>
        <v>2.3433594243289995</v>
      </c>
      <c r="F50" s="39">
        <f>(VLOOKUP($A50,'The List'!$B1:$AH727,18,FALSE)-AVERAGE('The List'!S2:S727))/STDEV('The List'!S2:S727)</f>
        <v>-0.51163742421285774</v>
      </c>
      <c r="G50" s="39">
        <f>(VLOOKUP($A50,'The List'!$B1:$AH727,19,FALSE)-AVERAGE('The List'!T2:T727))/STDEV('The List'!T2:T727)</f>
        <v>3.1784709367545698</v>
      </c>
      <c r="H50" s="39">
        <f>(VLOOKUP($A50,'The List'!$B1:$AH727,20,FALSE)-AVERAGE('The List'!U2:U727))/STDEV('The List'!U2:U727)</f>
        <v>1.725776013938757</v>
      </c>
      <c r="I50" s="39">
        <f>(VLOOKUP($A50,'The List'!$B1:$AH727,21,FALSE)-AVERAGE('The List'!V2:V727))/STDEV('The List'!V2:V727)</f>
        <v>0.4805922914974326</v>
      </c>
      <c r="J50" s="39">
        <f>(VLOOKUP($A50,'The List'!$B1:$AH727,22,FALSE)-AVERAGE('The List'!W2:W727))/STDEV('The List'!W2:W727)</f>
        <v>-0.36312056571979978</v>
      </c>
      <c r="K50" s="39">
        <f>(VLOOKUP($A50,'The List'!$B1:$AH727,23,FALSE)-AVERAGE('The List'!X2:X727))/STDEV('The List'!X2:X727)</f>
        <v>2.6796626447526681</v>
      </c>
      <c r="L50" s="39">
        <f>(VLOOKUP($A50,'The List'!$B1:$AH727,24,FALSE)-AVERAGE('The List'!Y2:Y727))/STDEV('The List'!Y2:Y727)</f>
        <v>-0.50078771688760171</v>
      </c>
      <c r="M50" s="39">
        <f>(VLOOKUP($A50,'The List'!$B1:$AH727,25,FALSE)-AVERAGE('The List'!Z2:Z727))/STDEV('The List'!Z2:Z727)</f>
        <v>-6.7006355651733317E-3</v>
      </c>
      <c r="N50" s="39">
        <f>(VLOOKUP($A50,'The List'!$B1:$AH727,26,FALSE)-AVERAGE('The List'!AA2:AA727))/STDEV('The List'!AA2:AA727)</f>
        <v>0.50194645377970804</v>
      </c>
      <c r="O50" s="39">
        <f>(VLOOKUP($A50,'The List'!$B1:$AH727,27,FALSE)-AVERAGE('The List'!AB2:AB727))/STDEV('The List'!AB2:AB727)</f>
        <v>-1.073243899098326</v>
      </c>
      <c r="P50" s="39">
        <f>(VLOOKUP($A50,'The List'!$B1:$AH727,28,FALSE)-AVERAGE('The List'!AC2:AC727))/STDEV('The List'!AC2:AC727)</f>
        <v>0.3624682764949963</v>
      </c>
      <c r="Q50" s="39">
        <f>(VLOOKUP($A50,'The List'!$B1:$AH727,29,FALSE)-AVERAGE('The List'!AD2:AD727))/STDEV('The List'!AD2:AD727)</f>
        <v>0.27591759468315874</v>
      </c>
      <c r="R50" s="39">
        <f>(VLOOKUP($A50,'The List'!$B1:$AH727,30,FALSE)-AVERAGE('The List'!AE2:AE727))/STDEV('The List'!AE2:AE727)</f>
        <v>-0.46873517972530127</v>
      </c>
      <c r="S50" s="39">
        <f>(VLOOKUP($A50,'The List'!$B1:$AH727,31,FALSE)-AVERAGE('The List'!AF2:AF727))/STDEV('The List'!AF2:AF727)</f>
        <v>-0.55631385882326545</v>
      </c>
      <c r="T50" s="39">
        <f>(VLOOKUP($A50,'The List'!$B1:$AH727,32,FALSE)-AVERAGE('The List'!AG2:AG727))/STDEV('The List'!AG2:AG727)</f>
        <v>-0.59975623393126487</v>
      </c>
      <c r="U50" s="39">
        <f>(VLOOKUP($A50,'The List'!$B1:$AH727,33,FALSE)-AVERAGE('The List'!AH2:AH727))/STDEV('The List'!AH2:AH727)</f>
        <v>0.84245406128498168</v>
      </c>
      <c r="V50" s="39"/>
      <c r="W50" s="43"/>
      <c r="X50" s="41"/>
      <c r="Y50" s="41"/>
      <c r="Z50" s="41"/>
      <c r="AA50" s="41"/>
      <c r="AB50" s="41"/>
      <c r="AC50" s="44"/>
      <c r="AD50" s="45"/>
      <c r="AE50" s="39"/>
    </row>
    <row r="51" spans="1:31" ht="21.25" customHeight="1" x14ac:dyDescent="0.15">
      <c r="A51" s="8" t="s">
        <v>176</v>
      </c>
      <c r="B51" s="35" t="str">
        <f>VLOOKUP(A51,'Player Data'!A1:B734,2,FALSE)</f>
        <v>NJD</v>
      </c>
      <c r="C51" s="37">
        <f>((E51)*Settings!$C$12)+(F51*Settings!$C$2)+(G51*Settings!$C$3)+(H51*Settings!$C$4)+(I51*Settings!$C$5)+(K51*Settings!$C$9)+(N51*Settings!$C$6)+(J51*Settings!$C$8)+(O51*Settings!$C$7)+(P51*Settings!$C$14)+(Q51*Settings!$C$15)+(R51*Settings!$C$16)+(S51*Settings!$C$17)+(T51*Settings!$C$18)+(U51*Settings!$C$19)</f>
        <v>5.5961904317154074</v>
      </c>
      <c r="D51" s="41">
        <f>IF(Settings!$E$12="YES",VLOOKUP(A51,'Player Data'!A1:E734,5,FALSE),82)</f>
        <v>80.349999999999994</v>
      </c>
      <c r="E51" s="39">
        <f>(VLOOKUP($A51,'The List'!$B1:$AH727,17,FALSE)-AVERAGE('The List'!R2:R727))/STDEV('The List'!R2:R727)</f>
        <v>0.31752725191551523</v>
      </c>
      <c r="F51" s="39">
        <f>(VLOOKUP($A51,'The List'!$B1:$AH727,18,FALSE)-AVERAGE('The List'!S2:S727))/STDEV('The List'!S2:S727)</f>
        <v>1.5804186761143129</v>
      </c>
      <c r="G51" s="39">
        <f>(VLOOKUP($A51,'The List'!$B1:$AH727,19,FALSE)-AVERAGE('The List'!T2:T727))/STDEV('The List'!T2:T727)</f>
        <v>1.6224039748735812</v>
      </c>
      <c r="H51" s="39">
        <f>(VLOOKUP($A51,'The List'!$B1:$AH727,20,FALSE)-AVERAGE('The List'!U2:U727))/STDEV('The List'!U2:U727)</f>
        <v>1.7189296627738773</v>
      </c>
      <c r="I51" s="39">
        <f>(VLOOKUP($A51,'The List'!$B1:$AH727,21,FALSE)-AVERAGE('The List'!V2:V727))/STDEV('The List'!V2:V727)</f>
        <v>1.2757643405702361</v>
      </c>
      <c r="J51" s="39">
        <f>(VLOOKUP($A51,'The List'!$B1:$AH727,22,FALSE)-AVERAGE('The List'!W2:W727))/STDEV('The List'!W2:W727)</f>
        <v>1.2005712085001723</v>
      </c>
      <c r="K51" s="39">
        <f>(VLOOKUP($A51,'The List'!$B1:$AH727,23,FALSE)-AVERAGE('The List'!X2:X727))/STDEV('The List'!X2:X727)</f>
        <v>1.5554269299403722</v>
      </c>
      <c r="L51" s="39">
        <f>(VLOOKUP($A51,'The List'!$B1:$AH727,24,FALSE)-AVERAGE('The List'!Y2:Y727))/STDEV('The List'!Y2:Y727)</f>
        <v>-0.51668200824677646</v>
      </c>
      <c r="M51" s="39">
        <f>(VLOOKUP($A51,'The List'!$B1:$AH727,25,FALSE)-AVERAGE('The List'!Z2:Z727))/STDEV('The List'!Z2:Z727)</f>
        <v>-0.66566970285118121</v>
      </c>
      <c r="N51" s="39">
        <f>(VLOOKUP($A51,'The List'!$B1:$AH727,26,FALSE)-AVERAGE('The List'!AA2:AA727))/STDEV('The List'!AA2:AA727)</f>
        <v>-0.83151271431855123</v>
      </c>
      <c r="O51" s="39">
        <f>(VLOOKUP($A51,'The List'!$B1:$AH727,27,FALSE)-AVERAGE('The List'!AB2:AB727))/STDEV('The List'!AB2:AB727)</f>
        <v>-1.2569062385178007</v>
      </c>
      <c r="P51" s="39">
        <f>(VLOOKUP($A51,'The List'!$B1:$AH727,28,FALSE)-AVERAGE('The List'!AC2:AC727))/STDEV('The List'!AC2:AC727)</f>
        <v>0.39368922453545591</v>
      </c>
      <c r="Q51" s="39">
        <f>(VLOOKUP($A51,'The List'!$B1:$AH727,29,FALSE)-AVERAGE('The List'!AD2:AD727))/STDEV('The List'!AD2:AD727)</f>
        <v>-1.1238033172918325</v>
      </c>
      <c r="R51" s="39">
        <f>(VLOOKUP($A51,'The List'!$B1:$AH727,30,FALSE)-AVERAGE('The List'!AE2:AE727))/STDEV('The List'!AE2:AE727)</f>
        <v>1.5714977393666609</v>
      </c>
      <c r="S51" s="39">
        <f>(VLOOKUP($A51,'The List'!$B1:$AH727,31,FALSE)-AVERAGE('The List'!AF2:AF727))/STDEV('The List'!AF2:AF727)</f>
        <v>-0.55758583168724118</v>
      </c>
      <c r="T51" s="39">
        <f>(VLOOKUP($A51,'The List'!$B1:$AH727,32,FALSE)-AVERAGE('The List'!AG2:AG727))/STDEV('The List'!AG2:AG727)</f>
        <v>-0.59255184258220761</v>
      </c>
      <c r="U51" s="39">
        <f>(VLOOKUP($A51,'The List'!$B1:$AH727,33,FALSE)-AVERAGE('The List'!AH2:AH727))/STDEV('The List'!AH2:AH727)</f>
        <v>-1.0181133825076836</v>
      </c>
      <c r="V51" s="39"/>
      <c r="W51" s="43"/>
      <c r="X51" s="41"/>
      <c r="Y51" s="41"/>
      <c r="Z51" s="41"/>
      <c r="AA51" s="41"/>
      <c r="AB51" s="41"/>
      <c r="AC51" s="44"/>
      <c r="AD51" s="45"/>
      <c r="AE51" s="39"/>
    </row>
    <row r="52" spans="1:31" ht="21.25" customHeight="1" x14ac:dyDescent="0.15">
      <c r="A52" s="8" t="s">
        <v>160</v>
      </c>
      <c r="B52" s="35" t="str">
        <f>VLOOKUP(A52,'Player Data'!A1:B734,2,FALSE)</f>
        <v>TOR</v>
      </c>
      <c r="C52" s="37">
        <f>((E52)*Settings!$C$12)+(F52*Settings!$C$2)+(G52*Settings!$C$3)+(H52*Settings!$C$4)+(I52*Settings!$C$5)+(K52*Settings!$C$9)+(N52*Settings!$C$6)+(J52*Settings!$C$8)+(O52*Settings!$C$7)+(P52*Settings!$C$14)+(Q52*Settings!$C$15)+(R52*Settings!$C$16)+(S52*Settings!$C$17)+(T52*Settings!$C$18)+(U52*Settings!$C$19)</f>
        <v>8.6373537190965308</v>
      </c>
      <c r="D52" s="41">
        <f>IF(Settings!$E$12="YES",VLOOKUP(A52,'Player Data'!A1:E734,5,FALSE),82)</f>
        <v>81.262500000000003</v>
      </c>
      <c r="E52" s="39">
        <f>(VLOOKUP($A52,'The List'!$B1:$AH727,17,FALSE)-AVERAGE('The List'!R2:R727))/STDEV('The List'!R2:R727)</f>
        <v>0.3016016510153755</v>
      </c>
      <c r="F52" s="39">
        <f>(VLOOKUP($A52,'The List'!$B1:$AH727,18,FALSE)-AVERAGE('The List'!S2:S727))/STDEV('The List'!S2:S727)</f>
        <v>1.6939059873305937</v>
      </c>
      <c r="G52" s="39">
        <f>(VLOOKUP($A52,'The List'!$B1:$AH727,19,FALSE)-AVERAGE('The List'!T2:T727))/STDEV('The List'!T2:T727)</f>
        <v>1.5829744806068926</v>
      </c>
      <c r="H52" s="39">
        <f>(VLOOKUP($A52,'The List'!$B1:$AH727,20,FALSE)-AVERAGE('The List'!U2:U727))/STDEV('The List'!U2:U727)</f>
        <v>1.7462766735687685</v>
      </c>
      <c r="I52" s="39">
        <f>(VLOOKUP($A52,'The List'!$B1:$AH727,21,FALSE)-AVERAGE('The List'!V2:V727))/STDEV('The List'!V2:V727)</f>
        <v>2.1572735563603072</v>
      </c>
      <c r="J52" s="39">
        <f>(VLOOKUP($A52,'The List'!$B1:$AH727,22,FALSE)-AVERAGE('The List'!W2:W727))/STDEV('The List'!W2:W727)</f>
        <v>3.0570687114700017</v>
      </c>
      <c r="K52" s="39">
        <f>(VLOOKUP($A52,'The List'!$B1:$AH727,23,FALSE)-AVERAGE('The List'!X2:X727))/STDEV('The List'!X2:X727)</f>
        <v>2.548118317485335</v>
      </c>
      <c r="L52" s="39">
        <f>(VLOOKUP($A52,'The List'!$B1:$AH727,24,FALSE)-AVERAGE('The List'!Y2:Y727))/STDEV('The List'!Y2:Y727)</f>
        <v>-0.53372568474171322</v>
      </c>
      <c r="M52" s="39">
        <f>(VLOOKUP($A52,'The List'!$B1:$AH727,25,FALSE)-AVERAGE('The List'!Z2:Z727))/STDEV('The List'!Z2:Z727)</f>
        <v>-0.71207794268250557</v>
      </c>
      <c r="N52" s="39">
        <f>(VLOOKUP($A52,'The List'!$B1:$AH727,26,FALSE)-AVERAGE('The List'!AA2:AA727))/STDEV('The List'!AA2:AA727)</f>
        <v>-0.53576770922401484</v>
      </c>
      <c r="O52" s="39">
        <f>(VLOOKUP($A52,'The List'!$B1:$AH727,27,FALSE)-AVERAGE('The List'!AB2:AB727))/STDEV('The List'!AB2:AB727)</f>
        <v>0.23294047418036534</v>
      </c>
      <c r="P52" s="39">
        <f>(VLOOKUP($A52,'The List'!$B1:$AH727,28,FALSE)-AVERAGE('The List'!AC2:AC727))/STDEV('The List'!AC2:AC727)</f>
        <v>1.1908490865374177</v>
      </c>
      <c r="Q52" s="39">
        <f>(VLOOKUP($A52,'The List'!$B1:$AH727,29,FALSE)-AVERAGE('The List'!AD2:AD727))/STDEV('The List'!AD2:AD727)</f>
        <v>2.6856778408167446E-2</v>
      </c>
      <c r="R52" s="39">
        <f>(VLOOKUP($A52,'The List'!$B1:$AH727,30,FALSE)-AVERAGE('The List'!AE2:AE727))/STDEV('The List'!AE2:AE727)</f>
        <v>1.943301002879402</v>
      </c>
      <c r="S52" s="39">
        <f>(VLOOKUP($A52,'The List'!$B1:$AH727,31,FALSE)-AVERAGE('The List'!AF2:AF727))/STDEV('The List'!AF2:AF727)</f>
        <v>3.0947323509468734</v>
      </c>
      <c r="T52" s="39">
        <f>(VLOOKUP($A52,'The List'!$B1:$AH727,32,FALSE)-AVERAGE('The List'!AG2:AG727))/STDEV('The List'!AG2:AG727)</f>
        <v>2.1105848839846173</v>
      </c>
      <c r="U52" s="39">
        <f>(VLOOKUP($A52,'The List'!$B1:$AH727,33,FALSE)-AVERAGE('The List'!AH2:AH727))/STDEV('The List'!AH2:AH727)</f>
        <v>1.408815652243874</v>
      </c>
      <c r="V52" s="39"/>
      <c r="W52" s="43"/>
      <c r="X52" s="41"/>
      <c r="Y52" s="41"/>
      <c r="Z52" s="41"/>
      <c r="AA52" s="41"/>
      <c r="AB52" s="41"/>
      <c r="AC52" s="44"/>
      <c r="AD52" s="45"/>
      <c r="AE52" s="39"/>
    </row>
    <row r="53" spans="1:31" ht="21.25" customHeight="1" x14ac:dyDescent="0.15">
      <c r="A53" s="8" t="s">
        <v>146</v>
      </c>
      <c r="B53" s="35" t="str">
        <f>VLOOKUP(A53,'Player Data'!A1:B734,2,FALSE)</f>
        <v>MIN</v>
      </c>
      <c r="C53" s="37">
        <f>((E53)*Settings!$C$12)+(F53*Settings!$C$2)+(G53*Settings!$C$3)+(H53*Settings!$C$4)+(I53*Settings!$C$5)+(K53*Settings!$C$9)+(N53*Settings!$C$6)+(J53*Settings!$C$8)+(O53*Settings!$C$7)+(P53*Settings!$C$14)+(Q53*Settings!$C$15)+(R53*Settings!$C$16)+(S53*Settings!$C$17)+(T53*Settings!$C$18)+(U53*Settings!$C$19)</f>
        <v>7.9478193333430465</v>
      </c>
      <c r="D53" s="41">
        <f>IF(Settings!$E$12="YES",VLOOKUP(A53,'Player Data'!A1:E734,5,FALSE),82)</f>
        <v>79.099999999999994</v>
      </c>
      <c r="E53" s="39">
        <f>(VLOOKUP($A53,'The List'!$B1:$AH727,17,FALSE)-AVERAGE('The List'!R2:R727))/STDEV('The List'!R2:R727)</f>
        <v>0.70386684428148061</v>
      </c>
      <c r="F53" s="39">
        <f>(VLOOKUP($A53,'The List'!$B1:$AH727,18,FALSE)-AVERAGE('The List'!S2:S727))/STDEV('The List'!S2:S727)</f>
        <v>2.0592226337885675</v>
      </c>
      <c r="G53" s="39">
        <f>(VLOOKUP($A53,'The List'!$B1:$AH727,19,FALSE)-AVERAGE('The List'!T2:T727))/STDEV('The List'!T2:T727)</f>
        <v>1.4300785582001243</v>
      </c>
      <c r="H53" s="39">
        <f>(VLOOKUP($A53,'The List'!$B1:$AH727,20,FALSE)-AVERAGE('The List'!U2:U727))/STDEV('The List'!U2:U727)</f>
        <v>1.818302732650511</v>
      </c>
      <c r="I53" s="39">
        <f>(VLOOKUP($A53,'The List'!$B1:$AH727,21,FALSE)-AVERAGE('The List'!V2:V727))/STDEV('The List'!V2:V727)</f>
        <v>2.0835555364582472</v>
      </c>
      <c r="J53" s="39">
        <f>(VLOOKUP($A53,'The List'!$B1:$AH727,22,FALSE)-AVERAGE('The List'!W2:W727))/STDEV('The List'!W2:W727)</f>
        <v>1.6979877380660471</v>
      </c>
      <c r="K53" s="39">
        <f>(VLOOKUP($A53,'The List'!$B1:$AH727,23,FALSE)-AVERAGE('The List'!X2:X727))/STDEV('The List'!X2:X727)</f>
        <v>2.1082878992744374</v>
      </c>
      <c r="L53" s="39">
        <f>(VLOOKUP($A53,'The List'!$B1:$AH727,24,FALSE)-AVERAGE('The List'!Y2:Y727))/STDEV('The List'!Y2:Y727)</f>
        <v>-0.42904878140148078</v>
      </c>
      <c r="M53" s="39">
        <f>(VLOOKUP($A53,'The List'!$B1:$AH727,25,FALSE)-AVERAGE('The List'!Z2:Z727))/STDEV('The List'!Z2:Z727)</f>
        <v>-0.59520377339555741</v>
      </c>
      <c r="N53" s="39">
        <f>(VLOOKUP($A53,'The List'!$B1:$AH727,26,FALSE)-AVERAGE('The List'!AA2:AA727))/STDEV('The List'!AA2:AA727)</f>
        <v>-0.70950255504425153</v>
      </c>
      <c r="O53" s="39">
        <f>(VLOOKUP($A53,'The List'!$B1:$AH727,27,FALSE)-AVERAGE('The List'!AB2:AB727))/STDEV('The List'!AB2:AB727)</f>
        <v>-0.56019211555732518</v>
      </c>
      <c r="P53" s="39">
        <f>(VLOOKUP($A53,'The List'!$B1:$AH727,28,FALSE)-AVERAGE('The List'!AC2:AC727))/STDEV('The List'!AC2:AC727)</f>
        <v>0.97617726066592081</v>
      </c>
      <c r="Q53" s="39">
        <f>(VLOOKUP($A53,'The List'!$B1:$AH727,29,FALSE)-AVERAGE('The List'!AD2:AD727))/STDEV('The List'!AD2:AD727)</f>
        <v>0.29284577614997004</v>
      </c>
      <c r="R53" s="39">
        <f>(VLOOKUP($A53,'The List'!$B1:$AH727,30,FALSE)-AVERAGE('The List'!AE2:AE727))/STDEV('The List'!AE2:AE727)</f>
        <v>2.325054849106083</v>
      </c>
      <c r="S53" s="39">
        <f>(VLOOKUP($A53,'The List'!$B1:$AH727,31,FALSE)-AVERAGE('The List'!AF2:AF727))/STDEV('The List'!AF2:AF727)</f>
        <v>-0.23065449209344219</v>
      </c>
      <c r="T53" s="39">
        <f>(VLOOKUP($A53,'The List'!$B1:$AH727,32,FALSE)-AVERAGE('The List'!AG2:AG727))/STDEV('The List'!AG2:AG727)</f>
        <v>-0.25359272195048405</v>
      </c>
      <c r="U53" s="39">
        <f>(VLOOKUP($A53,'The List'!$B1:$AH727,33,FALSE)-AVERAGE('The List'!AH2:AH727))/STDEV('The List'!AH2:AH727)</f>
        <v>1.0066780884964701</v>
      </c>
      <c r="V53" s="39"/>
      <c r="W53" s="41"/>
      <c r="X53" s="39"/>
      <c r="Y53" s="39"/>
      <c r="Z53" s="39"/>
      <c r="AA53" s="39"/>
      <c r="AB53" s="39"/>
      <c r="AC53" s="39"/>
      <c r="AD53" s="39"/>
      <c r="AE53" s="39"/>
    </row>
    <row r="54" spans="1:31" ht="21.25" customHeight="1" x14ac:dyDescent="0.15">
      <c r="A54" s="8" t="s">
        <v>164</v>
      </c>
      <c r="B54" s="35" t="str">
        <f>VLOOKUP(A54,'Player Data'!A1:B734,2,FALSE)</f>
        <v>DET</v>
      </c>
      <c r="C54" s="37">
        <f>((E54)*Settings!$C$12)+(F54*Settings!$C$2)+(G54*Settings!$C$3)+(H54*Settings!$C$4)+(I54*Settings!$C$5)+(K54*Settings!$C$9)+(N54*Settings!$C$6)+(J54*Settings!$C$8)+(O54*Settings!$C$7)+(P54*Settings!$C$14)+(Q54*Settings!$C$15)+(R54*Settings!$C$16)+(S54*Settings!$C$17)+(T54*Settings!$C$18)+(U54*Settings!$C$19)</f>
        <v>5.9775214103802794</v>
      </c>
      <c r="D54" s="41">
        <f>IF(Settings!$E$12="YES",VLOOKUP(A54,'Player Data'!A1:E734,5,FALSE),82)</f>
        <v>78.405357142857099</v>
      </c>
      <c r="E54" s="39">
        <f>(VLOOKUP($A54,'The List'!$B1:$AH727,17,FALSE)-AVERAGE('The List'!R2:R727))/STDEV('The List'!R2:R727)</f>
        <v>0.89710772040016395</v>
      </c>
      <c r="F54" s="39">
        <f>(VLOOKUP($A54,'The List'!$B1:$AH727,18,FALSE)-AVERAGE('The List'!S2:S727))/STDEV('The List'!S2:S727)</f>
        <v>1.9638241520674062</v>
      </c>
      <c r="G54" s="39">
        <f>(VLOOKUP($A54,'The List'!$B1:$AH727,19,FALSE)-AVERAGE('The List'!T2:T727))/STDEV('The List'!T2:T727)</f>
        <v>1.6878382343007974</v>
      </c>
      <c r="H54" s="39">
        <f>(VLOOKUP($A54,'The List'!$B1:$AH727,20,FALSE)-AVERAGE('The List'!U2:U727))/STDEV('The List'!U2:U727)</f>
        <v>1.9337243396238282</v>
      </c>
      <c r="I54" s="39">
        <f>(VLOOKUP($A54,'The List'!$B1:$AH727,21,FALSE)-AVERAGE('The List'!V2:V727))/STDEV('The List'!V2:V727)</f>
        <v>1.9249047380239299</v>
      </c>
      <c r="J54" s="39">
        <f>(VLOOKUP($A54,'The List'!$B1:$AH727,22,FALSE)-AVERAGE('The List'!W2:W727))/STDEV('The List'!W2:W727)</f>
        <v>2.7347247360412412</v>
      </c>
      <c r="K54" s="39">
        <f>(VLOOKUP($A54,'The List'!$B1:$AH727,23,FALSE)-AVERAGE('The List'!X2:X727))/STDEV('The List'!X2:X727)</f>
        <v>2.0231622191348939</v>
      </c>
      <c r="L54" s="39">
        <f>(VLOOKUP($A54,'The List'!$B1:$AH727,24,FALSE)-AVERAGE('The List'!Y2:Y727))/STDEV('The List'!Y2:Y727)</f>
        <v>0.97251856352849386</v>
      </c>
      <c r="M54" s="39">
        <f>(VLOOKUP($A54,'The List'!$B1:$AH727,25,FALSE)-AVERAGE('The List'!Z2:Z727))/STDEV('The List'!Z2:Z727)</f>
        <v>0.77155569217579112</v>
      </c>
      <c r="N54" s="39">
        <f>(VLOOKUP($A54,'The List'!$B1:$AH727,26,FALSE)-AVERAGE('The List'!AA2:AA727))/STDEV('The List'!AA2:AA727)</f>
        <v>-0.75521156707292791</v>
      </c>
      <c r="O54" s="39">
        <f>(VLOOKUP($A54,'The List'!$B1:$AH727,27,FALSE)-AVERAGE('The List'!AB2:AB727))/STDEV('The List'!AB2:AB727)</f>
        <v>-0.67696907198470146</v>
      </c>
      <c r="P54" s="39">
        <f>(VLOOKUP($A54,'The List'!$B1:$AH727,28,FALSE)-AVERAGE('The List'!AC2:AC727))/STDEV('The List'!AC2:AC727)</f>
        <v>-0.86699636607381969</v>
      </c>
      <c r="Q54" s="39">
        <f>(VLOOKUP($A54,'The List'!$B1:$AH727,29,FALSE)-AVERAGE('The List'!AD2:AD727))/STDEV('The List'!AD2:AD727)</f>
        <v>0.73020431083962767</v>
      </c>
      <c r="R54" s="39">
        <f>(VLOOKUP($A54,'The List'!$B1:$AH727,30,FALSE)-AVERAGE('The List'!AE2:AE727))/STDEV('The List'!AE2:AE727)</f>
        <v>1.5553941034097369</v>
      </c>
      <c r="S54" s="39">
        <f>(VLOOKUP($A54,'The List'!$B1:$AH727,31,FALSE)-AVERAGE('The List'!AF2:AF727))/STDEV('The List'!AF2:AF727)</f>
        <v>2.9201415702927509</v>
      </c>
      <c r="T54" s="39">
        <f>(VLOOKUP($A54,'The List'!$B1:$AH727,32,FALSE)-AVERAGE('The List'!AG2:AG727))/STDEV('The List'!AG2:AG727)</f>
        <v>2.6620769619125721</v>
      </c>
      <c r="U54" s="39">
        <f>(VLOOKUP($A54,'The List'!$B1:$AH727,33,FALSE)-AVERAGE('The List'!AH2:AH727))/STDEV('The List'!AH2:AH727)</f>
        <v>1.1482426508989561</v>
      </c>
      <c r="V54" s="39"/>
      <c r="W54" s="41"/>
      <c r="X54" s="39"/>
      <c r="Y54" s="39"/>
      <c r="Z54" s="39"/>
      <c r="AA54" s="39"/>
      <c r="AB54" s="39"/>
      <c r="AC54" s="39"/>
      <c r="AD54" s="39"/>
      <c r="AE54" s="39"/>
    </row>
    <row r="55" spans="1:31" ht="21.25" customHeight="1" x14ac:dyDescent="0.15">
      <c r="A55" s="8" t="s">
        <v>200</v>
      </c>
      <c r="B55" s="35" t="str">
        <f>VLOOKUP(A55,'Player Data'!A1:B734,2,FALSE)</f>
        <v>WPG</v>
      </c>
      <c r="C55" s="37">
        <f>((E55)*Settings!$C$12)+(F55*Settings!$C$2)+(G55*Settings!$C$3)+(H55*Settings!$C$4)+(I55*Settings!$C$5)+(K55*Settings!$C$9)+(N55*Settings!$C$6)+(J55*Settings!$C$8)+(O55*Settings!$C$7)+(P55*Settings!$C$14)+(Q55*Settings!$C$15)+(R55*Settings!$C$16)+(S55*Settings!$C$17)+(T55*Settings!$C$18)+(U55*Settings!$C$19)</f>
        <v>6.004276467652959</v>
      </c>
      <c r="D55" s="41">
        <f>IF(Settings!$E$12="YES",VLOOKUP(A55,'Player Data'!A1:E734,5,FALSE),82)</f>
        <v>79.55</v>
      </c>
      <c r="E55" s="39">
        <f>(VLOOKUP($A55,'The List'!$B1:$AH727,17,FALSE)-AVERAGE('The List'!R2:R727))/STDEV('The List'!R2:R727)</f>
        <v>1.0407665231638086</v>
      </c>
      <c r="F55" s="39">
        <f>(VLOOKUP($A55,'The List'!$B1:$AH727,18,FALSE)-AVERAGE('The List'!S2:S727))/STDEV('The List'!S2:S727)</f>
        <v>2.3649846213420345</v>
      </c>
      <c r="G55" s="39">
        <f>(VLOOKUP($A55,'The List'!$B1:$AH727,19,FALSE)-AVERAGE('The List'!T2:T727))/STDEV('The List'!T2:T727)</f>
        <v>1.2003393868436227</v>
      </c>
      <c r="H55" s="39">
        <f>(VLOOKUP($A55,'The List'!$B1:$AH727,20,FALSE)-AVERAGE('The List'!U2:U727))/STDEV('The List'!U2:U727)</f>
        <v>1.8158761776470718</v>
      </c>
      <c r="I55" s="39">
        <f>(VLOOKUP($A55,'The List'!$B1:$AH727,21,FALSE)-AVERAGE('The List'!V2:V727))/STDEV('The List'!V2:V727)</f>
        <v>1.1746374244197755</v>
      </c>
      <c r="J55" s="39">
        <f>(VLOOKUP($A55,'The List'!$B1:$AH727,22,FALSE)-AVERAGE('The List'!W2:W727))/STDEV('The List'!W2:W727)</f>
        <v>1.9950549527808641</v>
      </c>
      <c r="K55" s="39">
        <f>(VLOOKUP($A55,'The List'!$B1:$AH727,23,FALSE)-AVERAGE('The List'!X2:X727))/STDEV('The List'!X2:X727)</f>
        <v>1.5442887834757313</v>
      </c>
      <c r="L55" s="39">
        <f>(VLOOKUP($A55,'The List'!$B1:$AH727,24,FALSE)-AVERAGE('The List'!Y2:Y727))/STDEV('The List'!Y2:Y727)</f>
        <v>-0.47204077328299021</v>
      </c>
      <c r="M55" s="39">
        <f>(VLOOKUP($A55,'The List'!$B1:$AH727,25,FALSE)-AVERAGE('The List'!Z2:Z727))/STDEV('The List'!Z2:Z727)</f>
        <v>-0.64297130140382097</v>
      </c>
      <c r="N55" s="39">
        <f>(VLOOKUP($A55,'The List'!$B1:$AH727,26,FALSE)-AVERAGE('The List'!AA2:AA727))/STDEV('The List'!AA2:AA727)</f>
        <v>-0.44088396721026452</v>
      </c>
      <c r="O55" s="39">
        <f>(VLOOKUP($A55,'The List'!$B1:$AH727,27,FALSE)-AVERAGE('The List'!AB2:AB727))/STDEV('The List'!AB2:AB727)</f>
        <v>-0.92846413839824371</v>
      </c>
      <c r="P55" s="39">
        <f>(VLOOKUP($A55,'The List'!$B1:$AH727,28,FALSE)-AVERAGE('The List'!AC2:AC727))/STDEV('The List'!AC2:AC727)</f>
        <v>0.16091021878205966</v>
      </c>
      <c r="Q55" s="39">
        <f>(VLOOKUP($A55,'The List'!$B1:$AH727,29,FALSE)-AVERAGE('The List'!AD2:AD727))/STDEV('The List'!AD2:AD727)</f>
        <v>-0.43479342609147908</v>
      </c>
      <c r="R55" s="39">
        <f>(VLOOKUP($A55,'The List'!$B1:$AH727,30,FALSE)-AVERAGE('The List'!AE2:AE727))/STDEV('The List'!AE2:AE727)</f>
        <v>2.5364708834334753</v>
      </c>
      <c r="S55" s="39">
        <f>(VLOOKUP($A55,'The List'!$B1:$AH727,31,FALSE)-AVERAGE('The List'!AF2:AF727))/STDEV('The List'!AF2:AF727)</f>
        <v>2.1757737686077183</v>
      </c>
      <c r="T55" s="39">
        <f>(VLOOKUP($A55,'The List'!$B1:$AH727,32,FALSE)-AVERAGE('The List'!AG2:AG727))/STDEV('The List'!AG2:AG727)</f>
        <v>2.3583679201475727</v>
      </c>
      <c r="U55" s="39">
        <f>(VLOOKUP($A55,'The List'!$B1:$AH727,33,FALSE)-AVERAGE('The List'!AH2:AH727))/STDEV('The List'!AH2:AH727)</f>
        <v>0.98670769262467262</v>
      </c>
      <c r="V55" s="39"/>
      <c r="W55" s="43"/>
      <c r="X55" s="41"/>
      <c r="Y55" s="41"/>
      <c r="Z55" s="41"/>
      <c r="AA55" s="41"/>
      <c r="AB55" s="41"/>
      <c r="AC55" s="44"/>
      <c r="AD55" s="45"/>
      <c r="AE55" s="39"/>
    </row>
    <row r="56" spans="1:31" ht="21.25" customHeight="1" x14ac:dyDescent="0.15">
      <c r="A56" s="8" t="s">
        <v>165</v>
      </c>
      <c r="B56" s="35" t="str">
        <f>VLOOKUP(A56,'Player Data'!A1:B734,2,FALSE)</f>
        <v>PHI</v>
      </c>
      <c r="C56" s="37">
        <f>((E56)*Settings!$C$12)+(F56*Settings!$C$2)+(G56*Settings!$C$3)+(H56*Settings!$C$4)+(I56*Settings!$C$5)+(K56*Settings!$C$9)+(N56*Settings!$C$6)+(J56*Settings!$C$8)+(O56*Settings!$C$7)+(P56*Settings!$C$14)+(Q56*Settings!$C$15)+(R56*Settings!$C$16)+(S56*Settings!$C$17)+(T56*Settings!$C$18)+(U56*Settings!$C$19)</f>
        <v>3.665986177961746</v>
      </c>
      <c r="D56" s="41">
        <f>IF(Settings!$E$12="YES",VLOOKUP(A56,'Player Data'!A1:E734,5,FALSE),82)</f>
        <v>76.833928571428601</v>
      </c>
      <c r="E56" s="39">
        <f>(VLOOKUP($A56,'The List'!$B1:$AH727,17,FALSE)-AVERAGE('The List'!R2:R727))/STDEV('The List'!R2:R727)</f>
        <v>0.96169907561384194</v>
      </c>
      <c r="F56" s="39">
        <f>(VLOOKUP($A56,'The List'!$B1:$AH727,18,FALSE)-AVERAGE('The List'!S2:S727))/STDEV('The List'!S2:S727)</f>
        <v>1.611474409978523</v>
      </c>
      <c r="G56" s="39">
        <f>(VLOOKUP($A56,'The List'!$B1:$AH727,19,FALSE)-AVERAGE('The List'!T2:T727))/STDEV('The List'!T2:T727)</f>
        <v>1.2967555249273892</v>
      </c>
      <c r="H56" s="39">
        <f>(VLOOKUP($A56,'The List'!$B1:$AH727,20,FALSE)-AVERAGE('The List'!U2:U727))/STDEV('The List'!U2:U727)</f>
        <v>1.5323943916322342</v>
      </c>
      <c r="I56" s="39">
        <f>(VLOOKUP($A56,'The List'!$B1:$AH727,21,FALSE)-AVERAGE('The List'!V2:V727))/STDEV('The List'!V2:V727)</f>
        <v>1.7082184374663205</v>
      </c>
      <c r="J56" s="39">
        <f>(VLOOKUP($A56,'The List'!$B1:$AH727,22,FALSE)-AVERAGE('The List'!W2:W727))/STDEV('The List'!W2:W727)</f>
        <v>0.61659103904921619</v>
      </c>
      <c r="K56" s="39">
        <f>(VLOOKUP($A56,'The List'!$B1:$AH727,23,FALSE)-AVERAGE('The List'!X2:X727))/STDEV('The List'!X2:X727)</f>
        <v>0.88029555710796104</v>
      </c>
      <c r="L56" s="39">
        <f>(VLOOKUP($A56,'The List'!$B1:$AH727,24,FALSE)-AVERAGE('The List'!Y2:Y727))/STDEV('The List'!Y2:Y727)</f>
        <v>4.7018665307743133</v>
      </c>
      <c r="M56" s="39">
        <f>(VLOOKUP($A56,'The List'!$B1:$AH727,25,FALSE)-AVERAGE('The List'!Z2:Z727))/STDEV('The List'!Z2:Z727)</f>
        <v>5.6752382834229582</v>
      </c>
      <c r="N56" s="39">
        <f>(VLOOKUP($A56,'The List'!$B1:$AH727,26,FALSE)-AVERAGE('The List'!AA2:AA727))/STDEV('The List'!AA2:AA727)</f>
        <v>-0.35258297969174168</v>
      </c>
      <c r="O56" s="39">
        <f>(VLOOKUP($A56,'The List'!$B1:$AH727,27,FALSE)-AVERAGE('The List'!AB2:AB727))/STDEV('The List'!AB2:AB727)</f>
        <v>-0.26947391331745463</v>
      </c>
      <c r="P56" s="39">
        <f>(VLOOKUP($A56,'The List'!$B1:$AH727,28,FALSE)-AVERAGE('The List'!AC2:AC727))/STDEV('The List'!AC2:AC727)</f>
        <v>-1.4781747718267055</v>
      </c>
      <c r="Q56" s="39">
        <f>(VLOOKUP($A56,'The List'!$B1:$AH727,29,FALSE)-AVERAGE('The List'!AD2:AD727))/STDEV('The List'!AD2:AD727)</f>
        <v>1.8452690200338675</v>
      </c>
      <c r="R56" s="39">
        <f>(VLOOKUP($A56,'The List'!$B1:$AH727,30,FALSE)-AVERAGE('The List'!AE2:AE727))/STDEV('The List'!AE2:AE727)</f>
        <v>1.0387246637172118</v>
      </c>
      <c r="S56" s="39">
        <f>(VLOOKUP($A56,'The List'!$B1:$AH727,31,FALSE)-AVERAGE('The List'!AF2:AF727))/STDEV('The List'!AF2:AF727)</f>
        <v>-0.4216060739417361</v>
      </c>
      <c r="T56" s="39">
        <f>(VLOOKUP($A56,'The List'!$B1:$AH727,32,FALSE)-AVERAGE('The List'!AG2:AG727))/STDEV('The List'!AG2:AG727)</f>
        <v>-0.40795053671950204</v>
      </c>
      <c r="U56" s="39">
        <f>(VLOOKUP($A56,'The List'!$B1:$AH727,33,FALSE)-AVERAGE('The List'!AH2:AH727))/STDEV('The List'!AH2:AH727)</f>
        <v>0.6819445148389488</v>
      </c>
      <c r="V56" s="39"/>
      <c r="W56" s="41"/>
      <c r="X56" s="39"/>
      <c r="Y56" s="39"/>
      <c r="Z56" s="39"/>
      <c r="AA56" s="39"/>
      <c r="AB56" s="39"/>
      <c r="AC56" s="39"/>
      <c r="AD56" s="39"/>
      <c r="AE56" s="39"/>
    </row>
    <row r="57" spans="1:31" ht="21.25" customHeight="1" x14ac:dyDescent="0.15">
      <c r="A57" s="8" t="s">
        <v>144</v>
      </c>
      <c r="B57" s="35" t="str">
        <f>VLOOKUP(A57,'Player Data'!A1:B734,2,FALSE)</f>
        <v>OTT</v>
      </c>
      <c r="C57" s="37">
        <f>((E57)*Settings!$C$12)+(F57*Settings!$C$2)+(G57*Settings!$C$3)+(H57*Settings!$C$4)+(I57*Settings!$C$5)+(K57*Settings!$C$9)+(N57*Settings!$C$6)+(J57*Settings!$C$8)+(O57*Settings!$C$7)+(P57*Settings!$C$14)+(Q57*Settings!$C$15)+(R57*Settings!$C$16)+(S57*Settings!$C$17)+(T57*Settings!$C$18)+(U57*Settings!$C$19)</f>
        <v>7.299438476523922</v>
      </c>
      <c r="D57" s="41">
        <f>IF(Settings!$E$12="YES",VLOOKUP(A57,'Player Data'!A1:E734,5,FALSE),82)</f>
        <v>81.617500000000007</v>
      </c>
      <c r="E57" s="39">
        <f>(VLOOKUP($A57,'The List'!$B1:$AH727,17,FALSE)-AVERAGE('The List'!R2:R727))/STDEV('The List'!R2:R727)</f>
        <v>0.44334082422986715</v>
      </c>
      <c r="F57" s="39">
        <f>(VLOOKUP($A57,'The List'!$B1:$AH727,18,FALSE)-AVERAGE('The List'!S2:S727))/STDEV('The List'!S2:S727)</f>
        <v>1.8333375789809243</v>
      </c>
      <c r="G57" s="39">
        <f>(VLOOKUP($A57,'The List'!$B1:$AH727,19,FALSE)-AVERAGE('The List'!T2:T727))/STDEV('The List'!T2:T727)</f>
        <v>1.4364361462730857</v>
      </c>
      <c r="H57" s="39">
        <f>(VLOOKUP($A57,'The List'!$B1:$AH727,20,FALSE)-AVERAGE('The List'!U2:U727))/STDEV('The List'!U2:U727)</f>
        <v>1.7194285019598012</v>
      </c>
      <c r="I57" s="39">
        <f>(VLOOKUP($A57,'The List'!$B1:$AH727,21,FALSE)-AVERAGE('The List'!V2:V727))/STDEV('The List'!V2:V727)</f>
        <v>3.0087864503559127</v>
      </c>
      <c r="J57" s="39">
        <f>(VLOOKUP($A57,'The List'!$B1:$AH727,22,FALSE)-AVERAGE('The List'!W2:W727))/STDEV('The List'!W2:W727)</f>
        <v>1.8489895543957746</v>
      </c>
      <c r="K57" s="39">
        <f>(VLOOKUP($A57,'The List'!$B1:$AH727,23,FALSE)-AVERAGE('The List'!X2:X727))/STDEV('The List'!X2:X727)</f>
        <v>1.5591925013294516</v>
      </c>
      <c r="L57" s="39">
        <f>(VLOOKUP($A57,'The List'!$B1:$AH727,24,FALSE)-AVERAGE('The List'!Y2:Y727))/STDEV('The List'!Y2:Y727)</f>
        <v>-0.49866514540305962</v>
      </c>
      <c r="M57" s="39">
        <f>(VLOOKUP($A57,'The List'!$B1:$AH727,25,FALSE)-AVERAGE('The List'!Z2:Z727))/STDEV('The List'!Z2:Z727)</f>
        <v>-0.67307690944308507</v>
      </c>
      <c r="N57" s="39">
        <f>(VLOOKUP($A57,'The List'!$B1:$AH727,26,FALSE)-AVERAGE('The List'!AA2:AA727))/STDEV('The List'!AA2:AA727)</f>
        <v>-1.0951183925438324</v>
      </c>
      <c r="O57" s="39">
        <f>(VLOOKUP($A57,'The List'!$B1:$AH727,27,FALSE)-AVERAGE('The List'!AB2:AB727))/STDEV('The List'!AB2:AB727)</f>
        <v>3.0481700201964217</v>
      </c>
      <c r="P57" s="39">
        <f>(VLOOKUP($A57,'The List'!$B1:$AH727,28,FALSE)-AVERAGE('The List'!AC2:AC727))/STDEV('The List'!AC2:AC727)</f>
        <v>0.5568041921283805</v>
      </c>
      <c r="Q57" s="39">
        <f>(VLOOKUP($A57,'The List'!$B1:$AH727,29,FALSE)-AVERAGE('The List'!AD2:AD727))/STDEV('The List'!AD2:AD727)</f>
        <v>3.935858594127347</v>
      </c>
      <c r="R57" s="39">
        <f>(VLOOKUP($A57,'The List'!$B1:$AH727,30,FALSE)-AVERAGE('The List'!AE2:AE727))/STDEV('The List'!AE2:AE727)</f>
        <v>1.6453290054500194</v>
      </c>
      <c r="S57" s="39">
        <f>(VLOOKUP($A57,'The List'!$B1:$AH727,31,FALSE)-AVERAGE('The List'!AF2:AF727))/STDEV('The List'!AF2:AF727)</f>
        <v>1.01762801781742</v>
      </c>
      <c r="T57" s="39">
        <f>(VLOOKUP($A57,'The List'!$B1:$AH727,32,FALSE)-AVERAGE('The List'!AG2:AG727))/STDEV('The List'!AG2:AG727)</f>
        <v>1.1349372918384966</v>
      </c>
      <c r="U57" s="39">
        <f>(VLOOKUP($A57,'The List'!$B1:$AH727,33,FALSE)-AVERAGE('The List'!AH2:AH727))/STDEV('The List'!AH2:AH727)</f>
        <v>0.96661068732030575</v>
      </c>
      <c r="V57" s="39"/>
      <c r="W57" s="43"/>
      <c r="X57" s="41"/>
      <c r="Y57" s="41"/>
      <c r="Z57" s="41"/>
      <c r="AA57" s="41"/>
      <c r="AB57" s="41"/>
      <c r="AC57" s="44"/>
      <c r="AD57" s="45"/>
      <c r="AE57" s="39"/>
    </row>
    <row r="58" spans="1:31" ht="21.25" customHeight="1" x14ac:dyDescent="0.15">
      <c r="A58" s="8" t="s">
        <v>232</v>
      </c>
      <c r="B58" s="35" t="str">
        <f>VLOOKUP(A58,'Player Data'!A1:B734,2,FALSE)</f>
        <v>VGK</v>
      </c>
      <c r="C58" s="37">
        <f>((E58)*Settings!$C$12)+(F58*Settings!$C$2)+(G58*Settings!$C$3)+(H58*Settings!$C$4)+(I58*Settings!$C$5)+(K58*Settings!$C$9)+(N58*Settings!$C$6)+(J58*Settings!$C$8)+(O58*Settings!$C$7)+(P58*Settings!$C$14)+(Q58*Settings!$C$15)+(R58*Settings!$C$16)+(S58*Settings!$C$17)+(T58*Settings!$C$18)+(U58*Settings!$C$19)</f>
        <v>4.8853463570201416</v>
      </c>
      <c r="D58" s="41">
        <f>IF(Settings!$E$12="YES",VLOOKUP(A58,'Player Data'!A1:E734,5,FALSE),82)</f>
        <v>68.773571428571401</v>
      </c>
      <c r="E58" s="39">
        <f>(VLOOKUP($A58,'The List'!$B1:$AH727,17,FALSE)-AVERAGE('The List'!R2:R727))/STDEV('The List'!R2:R727)</f>
        <v>0.86930221839241661</v>
      </c>
      <c r="F58" s="39">
        <f>(VLOOKUP($A58,'The List'!$B1:$AH727,18,FALSE)-AVERAGE('The List'!S2:S727))/STDEV('The List'!S2:S727)</f>
        <v>1.0652783270705066</v>
      </c>
      <c r="G58" s="39">
        <f>(VLOOKUP($A58,'The List'!$B1:$AH727,19,FALSE)-AVERAGE('The List'!T2:T727))/STDEV('The List'!T2:T727)</f>
        <v>1.1530644981779496</v>
      </c>
      <c r="H58" s="39">
        <f>(VLOOKUP($A58,'The List'!$B1:$AH727,20,FALSE)-AVERAGE('The List'!U2:U727))/STDEV('The List'!U2:U727)</f>
        <v>1.1952972611678354</v>
      </c>
      <c r="I58" s="39">
        <f>(VLOOKUP($A58,'The List'!$B1:$AH727,21,FALSE)-AVERAGE('The List'!V2:V727))/STDEV('The List'!V2:V727)</f>
        <v>0.63042453776782614</v>
      </c>
      <c r="J58" s="39">
        <f>(VLOOKUP($A58,'The List'!$B1:$AH727,22,FALSE)-AVERAGE('The List'!W2:W727))/STDEV('The List'!W2:W727)</f>
        <v>0.88074350047819305</v>
      </c>
      <c r="K58" s="39">
        <f>(VLOOKUP($A58,'The List'!$B1:$AH727,23,FALSE)-AVERAGE('The List'!X2:X727))/STDEV('The List'!X2:X727)</f>
        <v>0.85220471907953743</v>
      </c>
      <c r="L58" s="39">
        <f>(VLOOKUP($A58,'The List'!$B1:$AH727,24,FALSE)-AVERAGE('The List'!Y2:Y727))/STDEV('The List'!Y2:Y727)</f>
        <v>2.6008472868685248</v>
      </c>
      <c r="M58" s="39">
        <f>(VLOOKUP($A58,'The List'!$B1:$AH727,25,FALSE)-AVERAGE('The List'!Z2:Z727))/STDEV('The List'!Z2:Z727)</f>
        <v>1.8137152041972018</v>
      </c>
      <c r="N58" s="39">
        <f>(VLOOKUP($A58,'The List'!$B1:$AH727,26,FALSE)-AVERAGE('The List'!AA2:AA727))/STDEV('The List'!AA2:AA727)</f>
        <v>-0.49666787493957232</v>
      </c>
      <c r="O58" s="39">
        <f>(VLOOKUP($A58,'The List'!$B1:$AH727,27,FALSE)-AVERAGE('The List'!AB2:AB727))/STDEV('The List'!AB2:AB727)</f>
        <v>-0.86012912799955354</v>
      </c>
      <c r="P58" s="39">
        <f>(VLOOKUP($A58,'The List'!$B1:$AH727,28,FALSE)-AVERAGE('The List'!AC2:AC727))/STDEV('The List'!AC2:AC727)</f>
        <v>1.6810421498638941</v>
      </c>
      <c r="Q58" s="39">
        <f>(VLOOKUP($A58,'The List'!$B1:$AH727,29,FALSE)-AVERAGE('The List'!AD2:AD727))/STDEV('The List'!AD2:AD727)</f>
        <v>-0.42853913454106263</v>
      </c>
      <c r="R58" s="39">
        <f>(VLOOKUP($A58,'The List'!$B1:$AH727,30,FALSE)-AVERAGE('The List'!AE2:AE727))/STDEV('The List'!AE2:AE727)</f>
        <v>1.3264304601324886</v>
      </c>
      <c r="S58" s="39">
        <f>(VLOOKUP($A58,'The List'!$B1:$AH727,31,FALSE)-AVERAGE('The List'!AF2:AF727))/STDEV('The List'!AF2:AF727)</f>
        <v>-0.53696956008601682</v>
      </c>
      <c r="T58" s="39">
        <f>(VLOOKUP($A58,'The List'!$B1:$AH727,32,FALSE)-AVERAGE('The List'!AG2:AG727))/STDEV('The List'!AG2:AG727)</f>
        <v>-0.53463464312544939</v>
      </c>
      <c r="U58" s="39">
        <f>(VLOOKUP($A58,'The List'!$B1:$AH727,33,FALSE)-AVERAGE('The List'!AH2:AH727))/STDEV('The List'!AH2:AH727)</f>
        <v>-0.11950319136436126</v>
      </c>
      <c r="V58" s="39"/>
      <c r="W58" s="41"/>
      <c r="X58" s="41"/>
      <c r="Y58" s="41"/>
      <c r="Z58" s="41"/>
      <c r="AA58" s="41"/>
      <c r="AB58" s="41"/>
      <c r="AC58" s="44"/>
      <c r="AD58" s="45"/>
      <c r="AE58" s="39"/>
    </row>
    <row r="59" spans="1:31" ht="21.25" customHeight="1" x14ac:dyDescent="0.15">
      <c r="A59" s="8" t="s">
        <v>182</v>
      </c>
      <c r="B59" s="35" t="str">
        <f>VLOOKUP(A59,'Player Data'!A1:B734,2,FALSE)</f>
        <v>NSH</v>
      </c>
      <c r="C59" s="37">
        <f>((E59)*Settings!$C$12)+(F59*Settings!$C$2)+(G59*Settings!$C$3)+(H59*Settings!$C$4)+(I59*Settings!$C$5)+(K59*Settings!$C$9)+(N59*Settings!$C$6)+(J59*Settings!$C$8)+(O59*Settings!$C$7)+(P59*Settings!$C$14)+(Q59*Settings!$C$15)+(R59*Settings!$C$16)+(S59*Settings!$C$17)+(T59*Settings!$C$18)+(U59*Settings!$C$19)</f>
        <v>5.0511679036927291</v>
      </c>
      <c r="D59" s="41">
        <f>IF(Settings!$E$12="YES",VLOOKUP(A59,'Player Data'!A1:E734,5,FALSE),82)</f>
        <v>72.0732142857143</v>
      </c>
      <c r="E59" s="39">
        <f>(VLOOKUP($A59,'The List'!$B1:$AH727,17,FALSE)-AVERAGE('The List'!R2:R727))/STDEV('The List'!R2:R727)</f>
        <v>0.24583459226458118</v>
      </c>
      <c r="F59" s="39">
        <f>(VLOOKUP($A59,'The List'!$B1:$AH727,18,FALSE)-AVERAGE('The List'!S2:S727))/STDEV('The List'!S2:S727)</f>
        <v>1.7827343536541502</v>
      </c>
      <c r="G59" s="39">
        <f>(VLOOKUP($A59,'The List'!$B1:$AH727,19,FALSE)-AVERAGE('The List'!T2:T727))/STDEV('The List'!T2:T727)</f>
        <v>1.0728583844072352</v>
      </c>
      <c r="H59" s="39">
        <f>(VLOOKUP($A59,'The List'!$B1:$AH727,20,FALSE)-AVERAGE('The List'!U2:U727))/STDEV('The List'!U2:U727)</f>
        <v>1.4723609032107172</v>
      </c>
      <c r="I59" s="39">
        <f>(VLOOKUP($A59,'The List'!$B1:$AH727,21,FALSE)-AVERAGE('The List'!V2:V727))/STDEV('The List'!V2:V727)</f>
        <v>1.5413184126301263</v>
      </c>
      <c r="J59" s="39">
        <f>(VLOOKUP($A59,'The List'!$B1:$AH727,22,FALSE)-AVERAGE('The List'!W2:W727))/STDEV('The List'!W2:W727)</f>
        <v>1.1340340716082669</v>
      </c>
      <c r="K59" s="39">
        <f>(VLOOKUP($A59,'The List'!$B1:$AH727,23,FALSE)-AVERAGE('The List'!X2:X727))/STDEV('The List'!X2:X727)</f>
        <v>1.3004845854355993</v>
      </c>
      <c r="L59" s="39">
        <f>(VLOOKUP($A59,'The List'!$B1:$AH727,24,FALSE)-AVERAGE('The List'!Y2:Y727))/STDEV('The List'!Y2:Y727)</f>
        <v>-0.52603675435587371</v>
      </c>
      <c r="M59" s="39">
        <f>(VLOOKUP($A59,'The List'!$B1:$AH727,25,FALSE)-AVERAGE('The List'!Z2:Z727))/STDEV('The List'!Z2:Z727)</f>
        <v>-0.70353307406730081</v>
      </c>
      <c r="N59" s="39">
        <f>(VLOOKUP($A59,'The List'!$B1:$AH727,26,FALSE)-AVERAGE('The List'!AA2:AA727))/STDEV('The List'!AA2:AA727)</f>
        <v>-0.61556914030523668</v>
      </c>
      <c r="O59" s="39">
        <f>(VLOOKUP($A59,'The List'!$B1:$AH727,27,FALSE)-AVERAGE('The List'!AB2:AB727))/STDEV('The List'!AB2:AB727)</f>
        <v>0.43734984685148548</v>
      </c>
      <c r="P59" s="39">
        <f>(VLOOKUP($A59,'The List'!$B1:$AH727,28,FALSE)-AVERAGE('The List'!AC2:AC727))/STDEV('The List'!AC2:AC727)</f>
        <v>-3.0658692129145768E-2</v>
      </c>
      <c r="Q59" s="39">
        <f>(VLOOKUP($A59,'The List'!$B1:$AH727,29,FALSE)-AVERAGE('The List'!AD2:AD727))/STDEV('The List'!AD2:AD727)</f>
        <v>-0.29241746852035544</v>
      </c>
      <c r="R59" s="39">
        <f>(VLOOKUP($A59,'The List'!$B1:$AH727,30,FALSE)-AVERAGE('The List'!AE2:AE727))/STDEV('The List'!AE2:AE727)</f>
        <v>1.7426160492221434</v>
      </c>
      <c r="S59" s="39">
        <f>(VLOOKUP($A59,'The List'!$B1:$AH727,31,FALSE)-AVERAGE('The List'!AF2:AF727))/STDEV('The List'!AF2:AF727)</f>
        <v>-0.55098060599116794</v>
      </c>
      <c r="T59" s="39">
        <f>(VLOOKUP($A59,'The List'!$B1:$AH727,32,FALSE)-AVERAGE('The List'!AG2:AG727))/STDEV('The List'!AG2:AG727)</f>
        <v>-0.59481596654568036</v>
      </c>
      <c r="U59" s="39">
        <f>(VLOOKUP($A59,'The List'!$B1:$AH727,33,FALSE)-AVERAGE('The List'!AH2:AH727))/STDEV('The List'!AH2:AH727)</f>
        <v>1.075608835749329</v>
      </c>
      <c r="V59" s="39"/>
      <c r="W59" s="41"/>
      <c r="X59" s="39"/>
      <c r="Y59" s="39"/>
      <c r="Z59" s="39"/>
      <c r="AA59" s="39"/>
      <c r="AB59" s="39"/>
      <c r="AC59" s="39"/>
      <c r="AD59" s="39"/>
      <c r="AE59" s="39"/>
    </row>
    <row r="60" spans="1:31" ht="21.25" customHeight="1" x14ac:dyDescent="0.15">
      <c r="A60" s="8" t="s">
        <v>153</v>
      </c>
      <c r="B60" s="35" t="str">
        <f>VLOOKUP(A60,'Player Data'!A1:B734,2,FALSE)</f>
        <v>CAR</v>
      </c>
      <c r="C60" s="37">
        <f>((E60)*Settings!$C$12)+(F60*Settings!$C$2)+(G60*Settings!$C$3)+(H60*Settings!$C$4)+(I60*Settings!$C$5)+(K60*Settings!$C$9)+(N60*Settings!$C$6)+(J60*Settings!$C$8)+(O60*Settings!$C$7)+(P60*Settings!$C$14)+(Q60*Settings!$C$15)+(R60*Settings!$C$16)+(S60*Settings!$C$17)+(T60*Settings!$C$18)+(U60*Settings!$C$19)</f>
        <v>7.9760036369413374</v>
      </c>
      <c r="D60" s="41">
        <f>IF(Settings!$E$12="YES",VLOOKUP(A60,'Player Data'!A1:E734,5,FALSE),82)</f>
        <v>78.138571428571396</v>
      </c>
      <c r="E60" s="39">
        <f>(VLOOKUP($A60,'The List'!$B1:$AH727,17,FALSE)-AVERAGE('The List'!R2:R727))/STDEV('The List'!R2:R727)</f>
        <v>0.403953009428478</v>
      </c>
      <c r="F60" s="39">
        <f>(VLOOKUP($A60,'The List'!$B1:$AH727,18,FALSE)-AVERAGE('The List'!S2:S727))/STDEV('The List'!S2:S727)</f>
        <v>1.7463569135810983</v>
      </c>
      <c r="G60" s="39">
        <f>(VLOOKUP($A60,'The List'!$B1:$AH727,19,FALSE)-AVERAGE('The List'!T2:T727))/STDEV('The List'!T2:T727)</f>
        <v>1.5079344574917708</v>
      </c>
      <c r="H60" s="39">
        <f>(VLOOKUP($A60,'The List'!$B1:$AH727,20,FALSE)-AVERAGE('The List'!U2:U727))/STDEV('The List'!U2:U727)</f>
        <v>1.723904773993951</v>
      </c>
      <c r="I60" s="39">
        <f>(VLOOKUP($A60,'The List'!$B1:$AH727,21,FALSE)-AVERAGE('The List'!V2:V727))/STDEV('The List'!V2:V727)</f>
        <v>1.9419141932857249</v>
      </c>
      <c r="J60" s="39">
        <f>(VLOOKUP($A60,'The List'!$B1:$AH727,22,FALSE)-AVERAGE('The List'!W2:W727))/STDEV('The List'!W2:W727)</f>
        <v>1.2541063697096833</v>
      </c>
      <c r="K60" s="39">
        <f>(VLOOKUP($A60,'The List'!$B1:$AH727,23,FALSE)-AVERAGE('The List'!X2:X727))/STDEV('The List'!X2:X727)</f>
        <v>1.5370328984726829</v>
      </c>
      <c r="L60" s="39">
        <f>(VLOOKUP($A60,'The List'!$B1:$AH727,24,FALSE)-AVERAGE('The List'!Y2:Y727))/STDEV('The List'!Y2:Y727)</f>
        <v>-0.51779794460923179</v>
      </c>
      <c r="M60" s="39">
        <f>(VLOOKUP($A60,'The List'!$B1:$AH727,25,FALSE)-AVERAGE('The List'!Z2:Z727))/STDEV('The List'!Z2:Z727)</f>
        <v>-0.69446776716506042</v>
      </c>
      <c r="N60" s="39">
        <f>(VLOOKUP($A60,'The List'!$B1:$AH727,26,FALSE)-AVERAGE('The List'!AA2:AA727))/STDEV('The List'!AA2:AA727)</f>
        <v>-0.96060355110450124</v>
      </c>
      <c r="O60" s="39">
        <f>(VLOOKUP($A60,'The List'!$B1:$AH727,27,FALSE)-AVERAGE('The List'!AB2:AB727))/STDEV('The List'!AB2:AB727)</f>
        <v>1.5988538735119582</v>
      </c>
      <c r="P60" s="39">
        <f>(VLOOKUP($A60,'The List'!$B1:$AH727,28,FALSE)-AVERAGE('The List'!AC2:AC727))/STDEV('The List'!AC2:AC727)</f>
        <v>2.2033687252145611</v>
      </c>
      <c r="Q60" s="39">
        <f>(VLOOKUP($A60,'The List'!$B1:$AH727,29,FALSE)-AVERAGE('The List'!AD2:AD727))/STDEV('The List'!AD2:AD727)</f>
        <v>2.6561649189617702</v>
      </c>
      <c r="R60" s="39">
        <f>(VLOOKUP($A60,'The List'!$B1:$AH727,30,FALSE)-AVERAGE('The List'!AE2:AE727))/STDEV('The List'!AE2:AE727)</f>
        <v>2.3711692629113195</v>
      </c>
      <c r="S60" s="39">
        <f>(VLOOKUP($A60,'The List'!$B1:$AH727,31,FALSE)-AVERAGE('The List'!AF2:AF727))/STDEV('The List'!AF2:AF727)</f>
        <v>-0.54601329314961444</v>
      </c>
      <c r="T60" s="39">
        <f>(VLOOKUP($A60,'The List'!$B1:$AH727,32,FALSE)-AVERAGE('The List'!AG2:AG727))/STDEV('The List'!AG2:AG727)</f>
        <v>-0.56340101642777318</v>
      </c>
      <c r="U60" s="39">
        <f>(VLOOKUP($A60,'The List'!$B1:$AH727,33,FALSE)-AVERAGE('The List'!AH2:AH727))/STDEV('The List'!AH2:AH727)</f>
        <v>-0.12156043127591032</v>
      </c>
      <c r="V60" s="39"/>
      <c r="W60" s="41"/>
      <c r="X60" s="41"/>
      <c r="Y60" s="41"/>
      <c r="Z60" s="41"/>
      <c r="AA60" s="41"/>
      <c r="AB60" s="41"/>
      <c r="AC60" s="44"/>
      <c r="AD60" s="45"/>
      <c r="AE60" s="39"/>
    </row>
    <row r="61" spans="1:31" ht="21.25" customHeight="1" x14ac:dyDescent="0.15">
      <c r="A61" s="8" t="s">
        <v>130</v>
      </c>
      <c r="B61" s="35" t="str">
        <f>VLOOKUP(A61,'Player Data'!A1:B734,2,FALSE)</f>
        <v>NYR</v>
      </c>
      <c r="C61" s="37">
        <f>((E61)*Settings!$C$12)+(F61*Settings!$C$2)+(G61*Settings!$C$3)+(H61*Settings!$C$4)+(I61*Settings!$C$5)+(K61*Settings!$C$9)+(N61*Settings!$C$6)+(J61*Settings!$C$8)+(O61*Settings!$C$7)+(P61*Settings!$C$14)+(Q61*Settings!$C$15)+(R61*Settings!$C$16)+(S61*Settings!$C$17)+(T61*Settings!$C$18)+(U61*Settings!$C$19)</f>
        <v>9.3903908196116479</v>
      </c>
      <c r="D61" s="41">
        <f>IF(Settings!$E$12="YES",VLOOKUP(A61,'Player Data'!A1:E734,5,FALSE),82)</f>
        <v>81.333571428571403</v>
      </c>
      <c r="E61" s="39">
        <f>(VLOOKUP($A61,'The List'!$B1:$AH727,17,FALSE)-AVERAGE('The List'!R2:R727))/STDEV('The List'!R2:R727)</f>
        <v>2.1506058265803998</v>
      </c>
      <c r="F61" s="39">
        <f>(VLOOKUP($A61,'The List'!$B1:$AH727,18,FALSE)-AVERAGE('The List'!S2:S727))/STDEV('The List'!S2:S727)</f>
        <v>-0.20983477361538258</v>
      </c>
      <c r="G61" s="39">
        <f>(VLOOKUP($A61,'The List'!$B1:$AH727,19,FALSE)-AVERAGE('The List'!T2:T727))/STDEV('The List'!T2:T727)</f>
        <v>2.9024073377414061</v>
      </c>
      <c r="H61" s="39">
        <f>(VLOOKUP($A61,'The List'!$B1:$AH727,20,FALSE)-AVERAGE('The List'!U2:U727))/STDEV('The List'!U2:U727)</f>
        <v>1.6930021739853895</v>
      </c>
      <c r="I61" s="39">
        <f>(VLOOKUP($A61,'The List'!$B1:$AH727,21,FALSE)-AVERAGE('The List'!V2:V727))/STDEV('The List'!V2:V727)</f>
        <v>0.52631802127778038</v>
      </c>
      <c r="J61" s="39">
        <f>(VLOOKUP($A61,'The List'!$B1:$AH727,22,FALSE)-AVERAGE('The List'!W2:W727))/STDEV('The List'!W2:W727)</f>
        <v>-0.36892199500431272</v>
      </c>
      <c r="K61" s="39">
        <f>(VLOOKUP($A61,'The List'!$B1:$AH727,23,FALSE)-AVERAGE('The List'!X2:X727))/STDEV('The List'!X2:X727)</f>
        <v>2.4922435482208054</v>
      </c>
      <c r="L61" s="39">
        <f>(VLOOKUP($A61,'The List'!$B1:$AH727,24,FALSE)-AVERAGE('The List'!Y2:Y727))/STDEV('The List'!Y2:Y727)</f>
        <v>0.27057313257895133</v>
      </c>
      <c r="M61" s="39">
        <f>(VLOOKUP($A61,'The List'!$B1:$AH727,25,FALSE)-AVERAGE('The List'!Z2:Z727))/STDEV('The List'!Z2:Z727)</f>
        <v>1.905959922288833</v>
      </c>
      <c r="N61" s="39">
        <f>(VLOOKUP($A61,'The List'!$B1:$AH727,26,FALSE)-AVERAGE('The List'!AA2:AA727))/STDEV('The List'!AA2:AA727)</f>
        <v>1.8175735697279682</v>
      </c>
      <c r="O61" s="39">
        <f>(VLOOKUP($A61,'The List'!$B1:$AH727,27,FALSE)-AVERAGE('The List'!AB2:AB727))/STDEV('The List'!AB2:AB727)</f>
        <v>-1.0999580725172853</v>
      </c>
      <c r="P61" s="39">
        <f>(VLOOKUP($A61,'The List'!$B1:$AH727,28,FALSE)-AVERAGE('The List'!AC2:AC727))/STDEV('The List'!AC2:AC727)</f>
        <v>1.8616831162590703</v>
      </c>
      <c r="Q61" s="39">
        <f>(VLOOKUP($A61,'The List'!$B1:$AH727,29,FALSE)-AVERAGE('The List'!AD2:AD727))/STDEV('The List'!AD2:AD727)</f>
        <v>4.4021723801012901E-2</v>
      </c>
      <c r="R61" s="39">
        <f>(VLOOKUP($A61,'The List'!$B1:$AH727,30,FALSE)-AVERAGE('The List'!AE2:AE727))/STDEV('The List'!AE2:AE727)</f>
        <v>1.4571084745837688E-2</v>
      </c>
      <c r="S61" s="39">
        <f>(VLOOKUP($A61,'The List'!$B1:$AH727,31,FALSE)-AVERAGE('The List'!AF2:AF727))/STDEV('The List'!AF2:AF727)</f>
        <v>-0.55804314905918151</v>
      </c>
      <c r="T61" s="39">
        <f>(VLOOKUP($A61,'The List'!$B1:$AH727,32,FALSE)-AVERAGE('The List'!AG2:AG727))/STDEV('The List'!AG2:AG727)</f>
        <v>-0.601087542269791</v>
      </c>
      <c r="U61" s="39">
        <f>(VLOOKUP($A61,'The List'!$B1:$AH727,33,FALSE)-AVERAGE('The List'!AH2:AH727))/STDEV('The List'!AH2:AH727)</f>
        <v>-1.2395873372913611</v>
      </c>
      <c r="V61" s="39"/>
      <c r="W61" s="41"/>
      <c r="X61" s="39"/>
      <c r="Y61" s="39"/>
      <c r="Z61" s="39"/>
      <c r="AA61" s="39"/>
      <c r="AB61" s="39"/>
      <c r="AC61" s="39"/>
      <c r="AD61" s="39"/>
      <c r="AE61" s="39"/>
    </row>
    <row r="62" spans="1:31" ht="21.25" customHeight="1" x14ac:dyDescent="0.15">
      <c r="A62" s="8" t="s">
        <v>210</v>
      </c>
      <c r="B62" s="35" t="str">
        <f>VLOOKUP(A62,'Player Data'!A1:B734,2,FALSE)</f>
        <v>PIT</v>
      </c>
      <c r="C62" s="37">
        <f>((E62)*Settings!$C$12)+(F62*Settings!$C$2)+(G62*Settings!$C$3)+(H62*Settings!$C$4)+(I62*Settings!$C$5)+(K62*Settings!$C$9)+(N62*Settings!$C$6)+(J62*Settings!$C$8)+(O62*Settings!$C$7)+(P62*Settings!$C$14)+(Q62*Settings!$C$15)+(R62*Settings!$C$16)+(S62*Settings!$C$17)+(T62*Settings!$C$18)+(U62*Settings!$C$19)</f>
        <v>6.1488991581467882</v>
      </c>
      <c r="D62" s="41">
        <f>IF(Settings!$E$12="YES",VLOOKUP(A62,'Player Data'!A1:E734,5,FALSE),82)</f>
        <v>73.024642857142894</v>
      </c>
      <c r="E62" s="39">
        <f>(VLOOKUP($A62,'The List'!$B1:$AH727,17,FALSE)-AVERAGE('The List'!R2:R727))/STDEV('The List'!R2:R727)</f>
        <v>0.50069100181967696</v>
      </c>
      <c r="F62" s="39">
        <f>(VLOOKUP($A62,'The List'!$B1:$AH727,18,FALSE)-AVERAGE('The List'!S2:S727))/STDEV('The List'!S2:S727)</f>
        <v>1.1161116324680664</v>
      </c>
      <c r="G62" s="39">
        <f>(VLOOKUP($A62,'The List'!$B1:$AH727,19,FALSE)-AVERAGE('The List'!T2:T727))/STDEV('The List'!T2:T727)</f>
        <v>1.6054715468418852</v>
      </c>
      <c r="H62" s="39">
        <f>(VLOOKUP($A62,'The List'!$B1:$AH727,20,FALSE)-AVERAGE('The List'!U2:U727))/STDEV('The List'!U2:U727)</f>
        <v>1.4972069852054239</v>
      </c>
      <c r="I62" s="39">
        <f>(VLOOKUP($A62,'The List'!$B1:$AH727,21,FALSE)-AVERAGE('The List'!V2:V727))/STDEV('The List'!V2:V727)</f>
        <v>1.3302127916449464</v>
      </c>
      <c r="J62" s="39">
        <f>(VLOOKUP($A62,'The List'!$B1:$AH727,22,FALSE)-AVERAGE('The List'!W2:W727))/STDEV('The List'!W2:W727)</f>
        <v>2.0161057523519688</v>
      </c>
      <c r="K62" s="39">
        <f>(VLOOKUP($A62,'The List'!$B1:$AH727,23,FALSE)-AVERAGE('The List'!X2:X727))/STDEV('The List'!X2:X727)</f>
        <v>2.2368969053807</v>
      </c>
      <c r="L62" s="39">
        <f>(VLOOKUP($A62,'The List'!$B1:$AH727,24,FALSE)-AVERAGE('The List'!Y2:Y727))/STDEV('The List'!Y2:Y727)</f>
        <v>-0.53291068382461537</v>
      </c>
      <c r="M62" s="39">
        <f>(VLOOKUP($A62,'The List'!$B1:$AH727,25,FALSE)-AVERAGE('The List'!Z2:Z727))/STDEV('The List'!Z2:Z727)</f>
        <v>-0.71096460983094967</v>
      </c>
      <c r="N62" s="39">
        <f>(VLOOKUP($A62,'The List'!$B1:$AH727,26,FALSE)-AVERAGE('The List'!AA2:AA727))/STDEV('The List'!AA2:AA727)</f>
        <v>-0.74116020107492842</v>
      </c>
      <c r="O62" s="39">
        <f>(VLOOKUP($A62,'The List'!$B1:$AH727,27,FALSE)-AVERAGE('The List'!AB2:AB727))/STDEV('The List'!AB2:AB727)</f>
        <v>-0.90000526796990787</v>
      </c>
      <c r="P62" s="39">
        <f>(VLOOKUP($A62,'The List'!$B1:$AH727,28,FALSE)-AVERAGE('The List'!AC2:AC727))/STDEV('The List'!AC2:AC727)</f>
        <v>0.60136648288611827</v>
      </c>
      <c r="Q62" s="39">
        <f>(VLOOKUP($A62,'The List'!$B1:$AH727,29,FALSE)-AVERAGE('The List'!AD2:AD727))/STDEV('The List'!AD2:AD727)</f>
        <v>1.0385802953433916</v>
      </c>
      <c r="R62" s="39">
        <f>(VLOOKUP($A62,'The List'!$B1:$AH727,30,FALSE)-AVERAGE('The List'!AE2:AE727))/STDEV('The List'!AE2:AE727)</f>
        <v>1.3133484316398905</v>
      </c>
      <c r="S62" s="39">
        <f>(VLOOKUP($A62,'The List'!$B1:$AH727,31,FALSE)-AVERAGE('The List'!AF2:AF727))/STDEV('The List'!AF2:AF727)</f>
        <v>1.1735800800599019</v>
      </c>
      <c r="T62" s="39">
        <f>(VLOOKUP($A62,'The List'!$B1:$AH727,32,FALSE)-AVERAGE('The List'!AG2:AG727))/STDEV('The List'!AG2:AG727)</f>
        <v>1.4579329358747584</v>
      </c>
      <c r="U62" s="39">
        <f>(VLOOKUP($A62,'The List'!$B1:$AH727,33,FALSE)-AVERAGE('The List'!AH2:AH727))/STDEV('The List'!AH2:AH727)</f>
        <v>0.88072972697217844</v>
      </c>
      <c r="V62" s="39"/>
      <c r="W62" s="43"/>
      <c r="X62" s="41"/>
      <c r="Y62" s="41"/>
      <c r="Z62" s="41"/>
      <c r="AA62" s="41"/>
      <c r="AB62" s="41"/>
      <c r="AC62" s="44"/>
      <c r="AD62" s="45"/>
      <c r="AE62" s="39"/>
    </row>
    <row r="63" spans="1:31" ht="21.25" customHeight="1" x14ac:dyDescent="0.15">
      <c r="A63" s="8" t="s">
        <v>206</v>
      </c>
      <c r="B63" s="35" t="str">
        <f>VLOOKUP(A63,'Player Data'!A1:B734,2,FALSE)</f>
        <v>FLA</v>
      </c>
      <c r="C63" s="37">
        <f>((E63)*Settings!$C$12)+(F63*Settings!$C$2)+(G63*Settings!$C$3)+(H63*Settings!$C$4)+(I63*Settings!$C$5)+(K63*Settings!$C$9)+(N63*Settings!$C$6)+(J63*Settings!$C$8)+(O63*Settings!$C$7)+(P63*Settings!$C$14)+(Q63*Settings!$C$15)+(R63*Settings!$C$16)+(S63*Settings!$C$17)+(T63*Settings!$C$18)+(U63*Settings!$C$19)</f>
        <v>7.0964577271942524</v>
      </c>
      <c r="D63" s="41">
        <f>IF(Settings!$E$12="YES",VLOOKUP(A63,'Player Data'!A1:E734,5,FALSE),82)</f>
        <v>79.398928571428598</v>
      </c>
      <c r="E63" s="39">
        <f>(VLOOKUP($A63,'The List'!$B1:$AH727,17,FALSE)-AVERAGE('The List'!R2:R727))/STDEV('The List'!R2:R727)</f>
        <v>0.48670317602333391</v>
      </c>
      <c r="F63" s="39">
        <f>(VLOOKUP($A63,'The List'!$B1:$AH727,18,FALSE)-AVERAGE('The List'!S2:S727))/STDEV('The List'!S2:S727)</f>
        <v>2.2532155224374688</v>
      </c>
      <c r="G63" s="39">
        <f>(VLOOKUP($A63,'The List'!$B1:$AH727,19,FALSE)-AVERAGE('The List'!T2:T727))/STDEV('The List'!T2:T727)</f>
        <v>0.92292342904042712</v>
      </c>
      <c r="H63" s="39">
        <f>(VLOOKUP($A63,'The List'!$B1:$AH727,20,FALSE)-AVERAGE('The List'!U2:U727))/STDEV('The List'!U2:U727)</f>
        <v>1.5940679759176648</v>
      </c>
      <c r="I63" s="39">
        <f>(VLOOKUP($A63,'The List'!$B1:$AH727,21,FALSE)-AVERAGE('The List'!V2:V727))/STDEV('The List'!V2:V727)</f>
        <v>2.1864288831255521</v>
      </c>
      <c r="J63" s="39">
        <f>(VLOOKUP($A63,'The List'!$B1:$AH727,22,FALSE)-AVERAGE('The List'!W2:W727))/STDEV('The List'!W2:W727)</f>
        <v>1.2183442519578809</v>
      </c>
      <c r="K63" s="39">
        <f>(VLOOKUP($A63,'The List'!$B1:$AH727,23,FALSE)-AVERAGE('The List'!X2:X727))/STDEV('The List'!X2:X727)</f>
        <v>0.75136412698403232</v>
      </c>
      <c r="L63" s="39">
        <f>(VLOOKUP($A63,'The List'!$B1:$AH727,24,FALSE)-AVERAGE('The List'!Y2:Y727))/STDEV('The List'!Y2:Y727)</f>
        <v>-0.51131324138704193</v>
      </c>
      <c r="M63" s="39">
        <f>(VLOOKUP($A63,'The List'!$B1:$AH727,25,FALSE)-AVERAGE('The List'!Z2:Z727))/STDEV('The List'!Z2:Z727)</f>
        <v>-0.69728270400667902</v>
      </c>
      <c r="N63" s="39">
        <f>(VLOOKUP($A63,'The List'!$B1:$AH727,26,FALSE)-AVERAGE('The List'!AA2:AA727))/STDEV('The List'!AA2:AA727)</f>
        <v>-0.76755061155274007</v>
      </c>
      <c r="O63" s="39">
        <f>(VLOOKUP($A63,'The List'!$B1:$AH727,27,FALSE)-AVERAGE('The List'!AB2:AB727))/STDEV('The List'!AB2:AB727)</f>
        <v>-1.0666228915177598</v>
      </c>
      <c r="P63" s="39">
        <f>(VLOOKUP($A63,'The List'!$B1:$AH727,28,FALSE)-AVERAGE('The List'!AC2:AC727))/STDEV('The List'!AC2:AC727)</f>
        <v>1.7500763771595114</v>
      </c>
      <c r="Q63" s="39">
        <f>(VLOOKUP($A63,'The List'!$B1:$AH727,29,FALSE)-AVERAGE('The List'!AD2:AD727))/STDEV('The List'!AD2:AD727)</f>
        <v>1.2796654051284115</v>
      </c>
      <c r="R63" s="39">
        <f>(VLOOKUP($A63,'The List'!$B1:$AH727,30,FALSE)-AVERAGE('The List'!AE2:AE727))/STDEV('The List'!AE2:AE727)</f>
        <v>2.1317532715688792</v>
      </c>
      <c r="S63" s="39">
        <f>(VLOOKUP($A63,'The List'!$B1:$AH727,31,FALSE)-AVERAGE('The List'!AF2:AF727))/STDEV('The List'!AF2:AF727)</f>
        <v>-0.43680864027779637</v>
      </c>
      <c r="T63" s="39">
        <f>(VLOOKUP($A63,'The List'!$B1:$AH727,32,FALSE)-AVERAGE('The List'!AG2:AG727))/STDEV('The List'!AG2:AG727)</f>
        <v>-0.49532673957622092</v>
      </c>
      <c r="U63" s="39">
        <f>(VLOOKUP($A63,'The List'!$B1:$AH727,33,FALSE)-AVERAGE('The List'!AH2:AH727))/STDEV('The List'!AH2:AH727)</f>
        <v>1.2217849624834709</v>
      </c>
      <c r="V63" s="39"/>
      <c r="W63" s="41"/>
      <c r="X63" s="41"/>
      <c r="Y63" s="41"/>
      <c r="Z63" s="41"/>
      <c r="AA63" s="41"/>
      <c r="AB63" s="41"/>
      <c r="AC63" s="44"/>
      <c r="AD63" s="45"/>
      <c r="AE63" s="39"/>
    </row>
    <row r="64" spans="1:31" ht="21.25" customHeight="1" x14ac:dyDescent="0.15">
      <c r="A64" s="8" t="s">
        <v>205</v>
      </c>
      <c r="B64" s="35" t="str">
        <f>VLOOKUP(A64,'Player Data'!A1:B734,2,FALSE)</f>
        <v>ANA</v>
      </c>
      <c r="C64" s="37">
        <f>((E64)*Settings!$C$12)+(F64*Settings!$C$2)+(G64*Settings!$C$3)+(H64*Settings!$C$4)+(I64*Settings!$C$5)+(K64*Settings!$C$9)+(N64*Settings!$C$6)+(J64*Settings!$C$8)+(O64*Settings!$C$7)+(P64*Settings!$C$14)+(Q64*Settings!$C$15)+(R64*Settings!$C$16)+(S64*Settings!$C$17)+(T64*Settings!$C$18)+(U64*Settings!$C$19)</f>
        <v>2.7916135469166181</v>
      </c>
      <c r="D64" s="41">
        <f>IF(Settings!$E$12="YES",VLOOKUP(A64,'Player Data'!A1:E734,5,FALSE),82)</f>
        <v>81.290000000000006</v>
      </c>
      <c r="E64" s="39">
        <f>(VLOOKUP($A64,'The List'!$B1:$AH727,17,FALSE)-AVERAGE('The List'!R2:R727))/STDEV('The List'!R2:R727)</f>
        <v>0.74872359523728549</v>
      </c>
      <c r="F64" s="39">
        <f>(VLOOKUP($A64,'The List'!$B1:$AH727,18,FALSE)-AVERAGE('The List'!S2:S727))/STDEV('The List'!S2:S727)</f>
        <v>1.459283714684904</v>
      </c>
      <c r="G64" s="39">
        <f>(VLOOKUP($A64,'The List'!$B1:$AH727,19,FALSE)-AVERAGE('The List'!T2:T727))/STDEV('The List'!T2:T727)</f>
        <v>1.8862497289441815</v>
      </c>
      <c r="H64" s="39">
        <f>(VLOOKUP($A64,'The List'!$B1:$AH727,20,FALSE)-AVERAGE('The List'!U2:U727))/STDEV('The List'!U2:U727)</f>
        <v>1.8263898582700202</v>
      </c>
      <c r="I64" s="39">
        <f>(VLOOKUP($A64,'The List'!$B1:$AH727,21,FALSE)-AVERAGE('The List'!V2:V727))/STDEV('The List'!V2:V727)</f>
        <v>1.2071525448161737</v>
      </c>
      <c r="J64" s="39">
        <f>(VLOOKUP($A64,'The List'!$B1:$AH727,22,FALSE)-AVERAGE('The List'!W2:W727))/STDEV('The List'!W2:W727)</f>
        <v>1.3029368241740649</v>
      </c>
      <c r="K64" s="39">
        <f>(VLOOKUP($A64,'The List'!$B1:$AH727,23,FALSE)-AVERAGE('The List'!X2:X727))/STDEV('The List'!X2:X727)</f>
        <v>1.4646140572499589</v>
      </c>
      <c r="L64" s="39">
        <f>(VLOOKUP($A64,'The List'!$B1:$AH727,24,FALSE)-AVERAGE('The List'!Y2:Y727))/STDEV('The List'!Y2:Y727)</f>
        <v>-0.4988318276358768</v>
      </c>
      <c r="M64" s="39">
        <f>(VLOOKUP($A64,'The List'!$B1:$AH727,25,FALSE)-AVERAGE('The List'!Z2:Z727))/STDEV('The List'!Z2:Z727)</f>
        <v>-0.6736827604348653</v>
      </c>
      <c r="N64" s="39">
        <f>(VLOOKUP($A64,'The List'!$B1:$AH727,26,FALSE)-AVERAGE('The List'!AA2:AA727))/STDEV('The List'!AA2:AA727)</f>
        <v>-0.72874707202735889</v>
      </c>
      <c r="O64" s="39">
        <f>(VLOOKUP($A64,'The List'!$B1:$AH727,27,FALSE)-AVERAGE('The List'!AB2:AB727))/STDEV('The List'!AB2:AB727)</f>
        <v>-0.775220489436655</v>
      </c>
      <c r="P64" s="39">
        <f>(VLOOKUP($A64,'The List'!$B1:$AH727,28,FALSE)-AVERAGE('The List'!AC2:AC727))/STDEV('The List'!AC2:AC727)</f>
        <v>-2.4969394267512413</v>
      </c>
      <c r="Q64" s="39">
        <f>(VLOOKUP($A64,'The List'!$B1:$AH727,29,FALSE)-AVERAGE('The List'!AD2:AD727))/STDEV('The List'!AD2:AD727)</f>
        <v>1.4516193670855744</v>
      </c>
      <c r="R64" s="39">
        <f>(VLOOKUP($A64,'The List'!$B1:$AH727,30,FALSE)-AVERAGE('The List'!AE2:AE727))/STDEV('The List'!AE2:AE727)</f>
        <v>0.75755481195948482</v>
      </c>
      <c r="S64" s="39">
        <f>(VLOOKUP($A64,'The List'!$B1:$AH727,31,FALSE)-AVERAGE('The List'!AF2:AF727))/STDEV('The List'!AF2:AF727)</f>
        <v>0.62973900961808305</v>
      </c>
      <c r="T64" s="39">
        <f>(VLOOKUP($A64,'The List'!$B1:$AH727,32,FALSE)-AVERAGE('The List'!AG2:AG727))/STDEV('The List'!AG2:AG727)</f>
        <v>1.1944419912737148</v>
      </c>
      <c r="U64" s="39">
        <f>(VLOOKUP($A64,'The List'!$B1:$AH727,33,FALSE)-AVERAGE('The List'!AH2:AH727))/STDEV('The List'!AH2:AH727)</f>
        <v>0.61381532935276995</v>
      </c>
      <c r="V64" s="39"/>
      <c r="W64" s="43"/>
      <c r="X64" s="41"/>
      <c r="Y64" s="41"/>
      <c r="Z64" s="41"/>
      <c r="AA64" s="41"/>
      <c r="AB64" s="41"/>
      <c r="AC64" s="44"/>
      <c r="AD64" s="45"/>
      <c r="AE64" s="39"/>
    </row>
    <row r="65" spans="1:31" ht="21.25" customHeight="1" x14ac:dyDescent="0.15">
      <c r="A65" s="8" t="s">
        <v>225</v>
      </c>
      <c r="B65" s="35" t="str">
        <f>VLOOKUP(A65,'Player Data'!A1:B734,2,FALSE)</f>
        <v>NYI</v>
      </c>
      <c r="C65" s="37">
        <f>((E65)*Settings!$C$12)+(F65*Settings!$C$2)+(G65*Settings!$C$3)+(H65*Settings!$C$4)+(I65*Settings!$C$5)+(K65*Settings!$C$9)+(N65*Settings!$C$6)+(J65*Settings!$C$8)+(O65*Settings!$C$7)+(P65*Settings!$C$14)+(Q65*Settings!$C$15)+(R65*Settings!$C$16)+(S65*Settings!$C$17)+(T65*Settings!$C$18)+(U65*Settings!$C$19)</f>
        <v>5.6272799277373799</v>
      </c>
      <c r="D65" s="41">
        <f>IF(Settings!$E$12="YES",VLOOKUP(A65,'Player Data'!A1:E734,5,FALSE),82)</f>
        <v>76.386071428571398</v>
      </c>
      <c r="E65" s="39">
        <f>(VLOOKUP($A65,'The List'!$B1:$AH727,17,FALSE)-AVERAGE('The List'!R2:R727))/STDEV('The List'!R2:R727)</f>
        <v>0.61162428033282168</v>
      </c>
      <c r="F65" s="39">
        <f>(VLOOKUP($A65,'The List'!$B1:$AH727,18,FALSE)-AVERAGE('The List'!S2:S727))/STDEV('The List'!S2:S727)</f>
        <v>0.79387079310000896</v>
      </c>
      <c r="G65" s="39">
        <f>(VLOOKUP($A65,'The List'!$B1:$AH727,19,FALSE)-AVERAGE('The List'!T2:T727))/STDEV('The List'!T2:T727)</f>
        <v>2.0113684981168074</v>
      </c>
      <c r="H65" s="39">
        <f>(VLOOKUP($A65,'The List'!$B1:$AH727,20,FALSE)-AVERAGE('The List'!U2:U727))/STDEV('The List'!U2:U727)</f>
        <v>1.6006846774807173</v>
      </c>
      <c r="I65" s="39">
        <f>(VLOOKUP($A65,'The List'!$B1:$AH727,21,FALSE)-AVERAGE('The List'!V2:V727))/STDEV('The List'!V2:V727)</f>
        <v>0.99247972604087931</v>
      </c>
      <c r="J65" s="39">
        <f>(VLOOKUP($A65,'The List'!$B1:$AH727,22,FALSE)-AVERAGE('The List'!W2:W727))/STDEV('The List'!W2:W727)</f>
        <v>0.37229200933938478</v>
      </c>
      <c r="K65" s="39">
        <f>(VLOOKUP($A65,'The List'!$B1:$AH727,23,FALSE)-AVERAGE('The List'!X2:X727))/STDEV('The List'!X2:X727)</f>
        <v>1.7447080614030372</v>
      </c>
      <c r="L65" s="39">
        <f>(VLOOKUP($A65,'The List'!$B1:$AH727,24,FALSE)-AVERAGE('The List'!Y2:Y727))/STDEV('The List'!Y2:Y727)</f>
        <v>-0.53167386086607138</v>
      </c>
      <c r="M65" s="39">
        <f>(VLOOKUP($A65,'The List'!$B1:$AH727,25,FALSE)-AVERAGE('The List'!Z2:Z727))/STDEV('The List'!Z2:Z727)</f>
        <v>-0.70990286051281992</v>
      </c>
      <c r="N65" s="39">
        <f>(VLOOKUP($A65,'The List'!$B1:$AH727,26,FALSE)-AVERAGE('The List'!AA2:AA727))/STDEV('The List'!AA2:AA727)</f>
        <v>-0.62139901409103437</v>
      </c>
      <c r="O65" s="39">
        <f>(VLOOKUP($A65,'The List'!$B1:$AH727,27,FALSE)-AVERAGE('The List'!AB2:AB727))/STDEV('The List'!AB2:AB727)</f>
        <v>-1.1008112077090737</v>
      </c>
      <c r="P65" s="39">
        <f>(VLOOKUP($A65,'The List'!$B1:$AH727,28,FALSE)-AVERAGE('The List'!AC2:AC727))/STDEV('The List'!AC2:AC727)</f>
        <v>0.70625186316768118</v>
      </c>
      <c r="Q65" s="39">
        <f>(VLOOKUP($A65,'The List'!$B1:$AH727,29,FALSE)-AVERAGE('The List'!AD2:AD727))/STDEV('The List'!AD2:AD727)</f>
        <v>5.4334912589045159E-2</v>
      </c>
      <c r="R65" s="39">
        <f>(VLOOKUP($A65,'The List'!$B1:$AH727,30,FALSE)-AVERAGE('The List'!AE2:AE727))/STDEV('The List'!AE2:AE727)</f>
        <v>0.91523884190106131</v>
      </c>
      <c r="S65" s="39">
        <f>(VLOOKUP($A65,'The List'!$B1:$AH727,31,FALSE)-AVERAGE('The List'!AF2:AF727))/STDEV('The List'!AF2:AF727)</f>
        <v>0.3152770704816813</v>
      </c>
      <c r="T65" s="39">
        <f>(VLOOKUP($A65,'The List'!$B1:$AH727,32,FALSE)-AVERAGE('The List'!AG2:AG727))/STDEV('The List'!AG2:AG727)</f>
        <v>0.69206278839494573</v>
      </c>
      <c r="U65" s="39">
        <f>(VLOOKUP($A65,'The List'!$B1:$AH727,33,FALSE)-AVERAGE('The List'!AH2:AH727))/STDEV('The List'!AH2:AH727)</f>
        <v>0.6362697003690494</v>
      </c>
      <c r="V65" s="39"/>
      <c r="W65" s="41"/>
      <c r="X65" s="39"/>
      <c r="Y65" s="39"/>
      <c r="Z65" s="39"/>
      <c r="AA65" s="39"/>
      <c r="AB65" s="39"/>
      <c r="AC65" s="39"/>
      <c r="AD65" s="39"/>
      <c r="AE65" s="39"/>
    </row>
    <row r="66" spans="1:31" ht="21.25" customHeight="1" x14ac:dyDescent="0.15">
      <c r="A66" s="8" t="s">
        <v>183</v>
      </c>
      <c r="B66" s="35" t="str">
        <f>VLOOKUP(A66,'Player Data'!A1:B734,2,FALSE)</f>
        <v>MIN</v>
      </c>
      <c r="C66" s="37">
        <f>((E66)*Settings!$C$12)+(F66*Settings!$C$2)+(G66*Settings!$C$3)+(H66*Settings!$C$4)+(I66*Settings!$C$5)+(K66*Settings!$C$9)+(N66*Settings!$C$6)+(J66*Settings!$C$8)+(O66*Settings!$C$7)+(P66*Settings!$C$14)+(Q66*Settings!$C$15)+(R66*Settings!$C$16)+(S66*Settings!$C$17)+(T66*Settings!$C$18)+(U66*Settings!$C$19)</f>
        <v>5.2623357621499718</v>
      </c>
      <c r="D66" s="41">
        <f>IF(Settings!$E$12="YES",VLOOKUP(A66,'Player Data'!A1:E734,5,FALSE),82)</f>
        <v>78.2</v>
      </c>
      <c r="E66" s="39">
        <f>(VLOOKUP($A66,'The List'!$B1:$AH727,17,FALSE)-AVERAGE('The List'!R2:R727))/STDEV('The List'!R2:R727)</f>
        <v>0.67033788141147166</v>
      </c>
      <c r="F66" s="39">
        <f>(VLOOKUP($A66,'The List'!$B1:$AH727,18,FALSE)-AVERAGE('The List'!S2:S727))/STDEV('The List'!S2:S727)</f>
        <v>0.77367234539745733</v>
      </c>
      <c r="G66" s="39">
        <f>(VLOOKUP($A66,'The List'!$B1:$AH727,19,FALSE)-AVERAGE('The List'!T2:T727))/STDEV('The List'!T2:T727)</f>
        <v>1.637832412880039</v>
      </c>
      <c r="H66" s="39">
        <f>(VLOOKUP($A66,'The List'!$B1:$AH727,20,FALSE)-AVERAGE('The List'!U2:U727))/STDEV('The List'!U2:U727)</f>
        <v>1.3613167446142063</v>
      </c>
      <c r="I66" s="39">
        <f>(VLOOKUP($A66,'The List'!$B1:$AH727,21,FALSE)-AVERAGE('The List'!V2:V727))/STDEV('The List'!V2:V727)</f>
        <v>0.85503888821584195</v>
      </c>
      <c r="J66" s="39">
        <f>(VLOOKUP($A66,'The List'!$B1:$AH727,22,FALSE)-AVERAGE('The List'!W2:W727))/STDEV('The List'!W2:W727)</f>
        <v>1.3452197870908582</v>
      </c>
      <c r="K66" s="39">
        <f>(VLOOKUP($A66,'The List'!$B1:$AH727,23,FALSE)-AVERAGE('The List'!X2:X727))/STDEV('The List'!X2:X727)</f>
        <v>1.9363114248055489</v>
      </c>
      <c r="L66" s="39">
        <f>(VLOOKUP($A66,'The List'!$B1:$AH727,24,FALSE)-AVERAGE('The List'!Y2:Y727))/STDEV('The List'!Y2:Y727)</f>
        <v>-0.46935177339808698</v>
      </c>
      <c r="M66" s="39">
        <f>(VLOOKUP($A66,'The List'!$B1:$AH727,25,FALSE)-AVERAGE('The List'!Z2:Z727))/STDEV('The List'!Z2:Z727)</f>
        <v>-0.6370967282027008</v>
      </c>
      <c r="N66" s="39">
        <f>(VLOOKUP($A66,'The List'!$B1:$AH727,26,FALSE)-AVERAGE('The List'!AA2:AA727))/STDEV('The List'!AA2:AA727)</f>
        <v>-0.38442672806754208</v>
      </c>
      <c r="O66" s="39">
        <f>(VLOOKUP($A66,'The List'!$B1:$AH727,27,FALSE)-AVERAGE('The List'!AB2:AB727))/STDEV('The List'!AB2:AB727)</f>
        <v>-0.90887775529877302</v>
      </c>
      <c r="P66" s="39">
        <f>(VLOOKUP($A66,'The List'!$B1:$AH727,28,FALSE)-AVERAGE('The List'!AC2:AC727))/STDEV('The List'!AC2:AC727)</f>
        <v>0.44390741891862651</v>
      </c>
      <c r="Q66" s="39">
        <f>(VLOOKUP($A66,'The List'!$B1:$AH727,29,FALSE)-AVERAGE('The List'!AD2:AD727))/STDEV('The List'!AD2:AD727)</f>
        <v>-0.33389248865315568</v>
      </c>
      <c r="R66" s="39">
        <f>(VLOOKUP($A66,'The List'!$B1:$AH727,30,FALSE)-AVERAGE('The List'!AE2:AE727))/STDEV('The List'!AE2:AE727)</f>
        <v>0.97662633243976005</v>
      </c>
      <c r="S66" s="39">
        <f>(VLOOKUP($A66,'The List'!$B1:$AH727,31,FALSE)-AVERAGE('The List'!AF2:AF727))/STDEV('The List'!AF2:AF727)</f>
        <v>-0.44752064467130054</v>
      </c>
      <c r="T66" s="39">
        <f>(VLOOKUP($A66,'The List'!$B1:$AH727,32,FALSE)-AVERAGE('The List'!AG2:AG727))/STDEV('The List'!AG2:AG727)</f>
        <v>-0.41697067327381004</v>
      </c>
      <c r="U66" s="39">
        <f>(VLOOKUP($A66,'The List'!$B1:$AH727,33,FALSE)-AVERAGE('The List'!AH2:AH727))/STDEV('The List'!AH2:AH727)</f>
        <v>0.50448346190237336</v>
      </c>
      <c r="V66" s="39"/>
      <c r="W66" s="41"/>
      <c r="X66" s="41"/>
      <c r="Y66" s="41"/>
      <c r="Z66" s="41"/>
      <c r="AA66" s="41"/>
      <c r="AB66" s="41"/>
      <c r="AC66" s="44"/>
      <c r="AD66" s="45"/>
      <c r="AE66" s="39"/>
    </row>
    <row r="67" spans="1:31" ht="21.25" customHeight="1" x14ac:dyDescent="0.15">
      <c r="A67" s="8" t="s">
        <v>136</v>
      </c>
      <c r="B67" s="35" t="str">
        <f>VLOOKUP(A67,'Player Data'!A1:B734,2,FALSE)</f>
        <v>NJD</v>
      </c>
      <c r="C67" s="37">
        <f>((E67)*Settings!$C$12)+(F67*Settings!$C$2)+(G67*Settings!$C$3)+(H67*Settings!$C$4)+(I67*Settings!$C$5)+(K67*Settings!$C$9)+(N67*Settings!$C$6)+(J67*Settings!$C$8)+(O67*Settings!$C$7)+(P67*Settings!$C$14)+(Q67*Settings!$C$15)+(R67*Settings!$C$16)+(S67*Settings!$C$17)+(T67*Settings!$C$18)+(U67*Settings!$C$19)</f>
        <v>8.0338212126827919</v>
      </c>
      <c r="D67" s="41">
        <f>IF(Settings!$E$12="YES",VLOOKUP(A67,'Player Data'!A1:E734,5,FALSE),82)</f>
        <v>80.489999999999995</v>
      </c>
      <c r="E67" s="39">
        <f>(VLOOKUP($A67,'The List'!$B1:$AH727,17,FALSE)-AVERAGE('The List'!R2:R727))/STDEV('The List'!R2:R727)</f>
        <v>0.55887576510836245</v>
      </c>
      <c r="F67" s="39">
        <f>(VLOOKUP($A67,'The List'!$B1:$AH727,18,FALSE)-AVERAGE('The List'!S2:S727))/STDEV('The List'!S2:S727)</f>
        <v>2.3711762707096571</v>
      </c>
      <c r="G67" s="39">
        <f>(VLOOKUP($A67,'The List'!$B1:$AH727,19,FALSE)-AVERAGE('The List'!T2:T727))/STDEV('The List'!T2:T727)</f>
        <v>0.85042147553266945</v>
      </c>
      <c r="H67" s="39">
        <f>(VLOOKUP($A67,'The List'!$B1:$AH727,20,FALSE)-AVERAGE('The List'!U2:U727))/STDEV('The List'!U2:U727)</f>
        <v>1.603071126591197</v>
      </c>
      <c r="I67" s="39">
        <f>(VLOOKUP($A67,'The List'!$B1:$AH727,21,FALSE)-AVERAGE('The List'!V2:V727))/STDEV('The List'!V2:V727)</f>
        <v>3.0377596596174263</v>
      </c>
      <c r="J67" s="39">
        <f>(VLOOKUP($A67,'The List'!$B1:$AH727,22,FALSE)-AVERAGE('The List'!W2:W727))/STDEV('The List'!W2:W727)</f>
        <v>3.4771159145569683</v>
      </c>
      <c r="K67" s="39">
        <f>(VLOOKUP($A67,'The List'!$B1:$AH727,23,FALSE)-AVERAGE('The List'!X2:X727))/STDEV('The List'!X2:X727)</f>
        <v>1.7634425185905094</v>
      </c>
      <c r="L67" s="39">
        <f>(VLOOKUP($A67,'The List'!$B1:$AH727,24,FALSE)-AVERAGE('The List'!Y2:Y727))/STDEV('The List'!Y2:Y727)</f>
        <v>-0.46127897343871921</v>
      </c>
      <c r="M67" s="39">
        <f>(VLOOKUP($A67,'The List'!$B1:$AH727,25,FALSE)-AVERAGE('The List'!Z2:Z727))/STDEV('The List'!Z2:Z727)</f>
        <v>-0.63095938491610859</v>
      </c>
      <c r="N67" s="39">
        <f>(VLOOKUP($A67,'The List'!$B1:$AH727,26,FALSE)-AVERAGE('The List'!AA2:AA727))/STDEV('The List'!AA2:AA727)</f>
        <v>-0.43855388579573917</v>
      </c>
      <c r="O67" s="39">
        <f>(VLOOKUP($A67,'The List'!$B1:$AH727,27,FALSE)-AVERAGE('The List'!AB2:AB727))/STDEV('The List'!AB2:AB727)</f>
        <v>1.1078018092893014</v>
      </c>
      <c r="P67" s="39">
        <f>(VLOOKUP($A67,'The List'!$B1:$AH727,28,FALSE)-AVERAGE('The List'!AC2:AC727))/STDEV('The List'!AC2:AC727)</f>
        <v>0.44957517402826952</v>
      </c>
      <c r="Q67" s="39">
        <f>(VLOOKUP($A67,'The List'!$B1:$AH727,29,FALSE)-AVERAGE('The List'!AD2:AD727))/STDEV('The List'!AD2:AD727)</f>
        <v>1.0122593743087061</v>
      </c>
      <c r="R67" s="39">
        <f>(VLOOKUP($A67,'The List'!$B1:$AH727,30,FALSE)-AVERAGE('The List'!AE2:AE727))/STDEV('The List'!AE2:AE727)</f>
        <v>2.3317899820420118</v>
      </c>
      <c r="S67" s="39">
        <f>(VLOOKUP($A67,'The List'!$B1:$AH727,31,FALSE)-AVERAGE('The List'!AF2:AF727))/STDEV('The List'!AF2:AF727)</f>
        <v>-0.45572287668998268</v>
      </c>
      <c r="T67" s="39">
        <f>(VLOOKUP($A67,'The List'!$B1:$AH727,32,FALSE)-AVERAGE('The List'!AG2:AG727))/STDEV('The List'!AG2:AG727)</f>
        <v>-0.43278052409964068</v>
      </c>
      <c r="U67" s="39">
        <f>(VLOOKUP($A67,'The List'!$B1:$AH727,33,FALSE)-AVERAGE('The List'!AH2:AH727))/STDEV('The List'!AH2:AH727)</f>
        <v>0.51763473193462839</v>
      </c>
      <c r="V67" s="39"/>
      <c r="W67" s="41"/>
      <c r="X67" s="39"/>
      <c r="Y67" s="39"/>
      <c r="Z67" s="39"/>
      <c r="AA67" s="39"/>
      <c r="AB67" s="39"/>
      <c r="AC67" s="39"/>
      <c r="AD67" s="39"/>
      <c r="AE67" s="39"/>
    </row>
    <row r="68" spans="1:31" ht="21.25" customHeight="1" x14ac:dyDescent="0.15">
      <c r="A68" s="8" t="s">
        <v>214</v>
      </c>
      <c r="B68" s="35" t="str">
        <f>VLOOKUP(A68,'Player Data'!A1:B734,2,FALSE)</f>
        <v>FLA</v>
      </c>
      <c r="C68" s="37">
        <f>((E68)*Settings!$C$12)+(F68*Settings!$C$2)+(G68*Settings!$C$3)+(H68*Settings!$C$4)+(I68*Settings!$C$5)+(K68*Settings!$C$9)+(N68*Settings!$C$6)+(J68*Settings!$C$8)+(O68*Settings!$C$7)+(P68*Settings!$C$14)+(Q68*Settings!$C$15)+(R68*Settings!$C$16)+(S68*Settings!$C$17)+(T68*Settings!$C$18)+(U68*Settings!$C$19)</f>
        <v>6.3865403584476832</v>
      </c>
      <c r="D68" s="41">
        <f>IF(Settings!$E$12="YES",VLOOKUP(A68,'Player Data'!A1:E734,5,FALSE),82)</f>
        <v>81.187142857142902</v>
      </c>
      <c r="E68" s="39">
        <f>(VLOOKUP($A68,'The List'!$B1:$AH727,17,FALSE)-AVERAGE('The List'!R2:R727))/STDEV('The List'!R2:R727)</f>
        <v>0.80453736974480328</v>
      </c>
      <c r="F68" s="39">
        <f>(VLOOKUP($A68,'The List'!$B1:$AH727,18,FALSE)-AVERAGE('The List'!S2:S727))/STDEV('The List'!S2:S727)</f>
        <v>1.7139823863245542</v>
      </c>
      <c r="G68" s="39">
        <f>(VLOOKUP($A68,'The List'!$B1:$AH727,19,FALSE)-AVERAGE('The List'!T2:T727))/STDEV('The List'!T2:T727)</f>
        <v>1.1070437254381533</v>
      </c>
      <c r="H68" s="39">
        <f>(VLOOKUP($A68,'The List'!$B1:$AH727,20,FALSE)-AVERAGE('The List'!U2:U727))/STDEV('The List'!U2:U727)</f>
        <v>1.4621397777474812</v>
      </c>
      <c r="I68" s="39">
        <f>(VLOOKUP($A68,'The List'!$B1:$AH727,21,FALSE)-AVERAGE('The List'!V2:V727))/STDEV('The List'!V2:V727)</f>
        <v>1.2980301845815714</v>
      </c>
      <c r="J68" s="39">
        <f>(VLOOKUP($A68,'The List'!$B1:$AH727,22,FALSE)-AVERAGE('The List'!W2:W727))/STDEV('The List'!W2:W727)</f>
        <v>2.9132273135987568</v>
      </c>
      <c r="K68" s="39">
        <f>(VLOOKUP($A68,'The List'!$B1:$AH727,23,FALSE)-AVERAGE('The List'!X2:X727))/STDEV('The List'!X2:X727)</f>
        <v>1.8550230970790851</v>
      </c>
      <c r="L68" s="39">
        <f>(VLOOKUP($A68,'The List'!$B1:$AH727,24,FALSE)-AVERAGE('The List'!Y2:Y727))/STDEV('The List'!Y2:Y727)</f>
        <v>-0.31201981298836745</v>
      </c>
      <c r="M68" s="39">
        <f>(VLOOKUP($A68,'The List'!$B1:$AH727,25,FALSE)-AVERAGE('The List'!Z2:Z727))/STDEV('The List'!Z2:Z727)</f>
        <v>2.3345100755030836</v>
      </c>
      <c r="N68" s="39">
        <f>(VLOOKUP($A68,'The List'!$B1:$AH727,26,FALSE)-AVERAGE('The List'!AA2:AA727))/STDEV('The List'!AA2:AA727)</f>
        <v>-0.37290611922718508</v>
      </c>
      <c r="O68" s="39">
        <f>(VLOOKUP($A68,'The List'!$B1:$AH727,27,FALSE)-AVERAGE('The List'!AB2:AB727))/STDEV('The List'!AB2:AB727)</f>
        <v>-0.69684060587763674</v>
      </c>
      <c r="P68" s="39">
        <f>(VLOOKUP($A68,'The List'!$B1:$AH727,28,FALSE)-AVERAGE('The List'!AC2:AC727))/STDEV('The List'!AC2:AC727)</f>
        <v>0.78536708425150403</v>
      </c>
      <c r="Q68" s="39">
        <f>(VLOOKUP($A68,'The List'!$B1:$AH727,29,FALSE)-AVERAGE('The List'!AD2:AD727))/STDEV('The List'!AD2:AD727)</f>
        <v>-0.98842365684037792</v>
      </c>
      <c r="R68" s="39">
        <f>(VLOOKUP($A68,'The List'!$B1:$AH727,30,FALSE)-AVERAGE('The List'!AE2:AE727))/STDEV('The List'!AE2:AE727)</f>
        <v>1.6264627760175121</v>
      </c>
      <c r="S68" s="39">
        <f>(VLOOKUP($A68,'The List'!$B1:$AH727,31,FALSE)-AVERAGE('The List'!AF2:AF727))/STDEV('The List'!AF2:AF727)</f>
        <v>0.51237324135227225</v>
      </c>
      <c r="T68" s="39">
        <f>(VLOOKUP($A68,'The List'!$B1:$AH727,32,FALSE)-AVERAGE('The List'!AG2:AG727))/STDEV('The List'!AG2:AG727)</f>
        <v>0.57044766586699802</v>
      </c>
      <c r="U68" s="39">
        <f>(VLOOKUP($A68,'The List'!$B1:$AH727,33,FALSE)-AVERAGE('The List'!AH2:AH727))/STDEV('The List'!AH2:AH727)</f>
        <v>0.97386771125027349</v>
      </c>
      <c r="V68" s="39"/>
      <c r="W68" s="43"/>
      <c r="X68" s="41"/>
      <c r="Y68" s="41"/>
      <c r="Z68" s="41"/>
      <c r="AA68" s="41"/>
      <c r="AB68" s="41"/>
      <c r="AC68" s="44"/>
      <c r="AD68" s="45"/>
      <c r="AE68" s="39"/>
    </row>
    <row r="69" spans="1:31" ht="21.25" customHeight="1" x14ac:dyDescent="0.15">
      <c r="A69" s="8" t="s">
        <v>215</v>
      </c>
      <c r="B69" s="35" t="str">
        <f>VLOOKUP(A69,'Player Data'!A1:B734,2,FALSE)</f>
        <v>WPG</v>
      </c>
      <c r="C69" s="37">
        <f>((E69)*Settings!$C$12)+(F69*Settings!$C$2)+(G69*Settings!$C$3)+(H69*Settings!$C$4)+(I69*Settings!$C$5)+(K69*Settings!$C$9)+(N69*Settings!$C$6)+(J69*Settings!$C$8)+(O69*Settings!$C$7)+(P69*Settings!$C$14)+(Q69*Settings!$C$15)+(R69*Settings!$C$16)+(S69*Settings!$C$17)+(T69*Settings!$C$18)+(U69*Settings!$C$19)</f>
        <v>5.079319746696231</v>
      </c>
      <c r="D69" s="41">
        <f>IF(Settings!$E$12="YES",VLOOKUP(A69,'Player Data'!A1:E734,5,FALSE),82)</f>
        <v>71.394642857142898</v>
      </c>
      <c r="E69" s="39">
        <f>(VLOOKUP($A69,'The List'!$B1:$AH727,17,FALSE)-AVERAGE('The List'!R2:R727))/STDEV('The List'!R2:R727)</f>
        <v>9.1816383223316464E-2</v>
      </c>
      <c r="F69" s="39">
        <f>(VLOOKUP($A69,'The List'!$B1:$AH727,18,FALSE)-AVERAGE('The List'!S2:S727))/STDEV('The List'!S2:S727)</f>
        <v>1.2342769031369325</v>
      </c>
      <c r="G69" s="39">
        <f>(VLOOKUP($A69,'The List'!$B1:$AH727,19,FALSE)-AVERAGE('The List'!T2:T727))/STDEV('The List'!T2:T727)</f>
        <v>1.0732953053684307</v>
      </c>
      <c r="H69" s="39">
        <f>(VLOOKUP($A69,'The List'!$B1:$AH727,20,FALSE)-AVERAGE('The List'!U2:U727))/STDEV('The List'!U2:U727)</f>
        <v>1.2230476774751513</v>
      </c>
      <c r="I69" s="39">
        <f>(VLOOKUP($A69,'The List'!$B1:$AH727,21,FALSE)-AVERAGE('The List'!V2:V727))/STDEV('The List'!V2:V727)</f>
        <v>1.5992016315088808</v>
      </c>
      <c r="J69" s="39">
        <f>(VLOOKUP($A69,'The List'!$B1:$AH727,22,FALSE)-AVERAGE('The List'!W2:W727))/STDEV('The List'!W2:W727)</f>
        <v>1.1165059124014836</v>
      </c>
      <c r="K69" s="39">
        <f>(VLOOKUP($A69,'The List'!$B1:$AH727,23,FALSE)-AVERAGE('The List'!X2:X727))/STDEV('The List'!X2:X727)</f>
        <v>1.215643047613657</v>
      </c>
      <c r="L69" s="39">
        <f>(VLOOKUP($A69,'The List'!$B1:$AH727,24,FALSE)-AVERAGE('The List'!Y2:Y727))/STDEV('The List'!Y2:Y727)</f>
        <v>-0.54402834717551152</v>
      </c>
      <c r="M69" s="39">
        <f>(VLOOKUP($A69,'The List'!$B1:$AH727,25,FALSE)-AVERAGE('The List'!Z2:Z727))/STDEV('The List'!Z2:Z727)</f>
        <v>-0.72372514007823274</v>
      </c>
      <c r="N69" s="39">
        <f>(VLOOKUP($A69,'The List'!$B1:$AH727,26,FALSE)-AVERAGE('The List'!AA2:AA727))/STDEV('The List'!AA2:AA727)</f>
        <v>-0.94185790244101009</v>
      </c>
      <c r="O69" s="39">
        <f>(VLOOKUP($A69,'The List'!$B1:$AH727,27,FALSE)-AVERAGE('The List'!AB2:AB727))/STDEV('The List'!AB2:AB727)</f>
        <v>-0.83595862882437511</v>
      </c>
      <c r="P69" s="39">
        <f>(VLOOKUP($A69,'The List'!$B1:$AH727,28,FALSE)-AVERAGE('The List'!AC2:AC727))/STDEV('The List'!AC2:AC727)</f>
        <v>0.89876076150933937</v>
      </c>
      <c r="Q69" s="39">
        <f>(VLOOKUP($A69,'The List'!$B1:$AH727,29,FALSE)-AVERAGE('The List'!AD2:AD727))/STDEV('The List'!AD2:AD727)</f>
        <v>-0.58829133453509364</v>
      </c>
      <c r="R69" s="39">
        <f>(VLOOKUP($A69,'The List'!$B1:$AH727,30,FALSE)-AVERAGE('The List'!AE2:AE727))/STDEV('The List'!AE2:AE727)</f>
        <v>1.3842350627493407</v>
      </c>
      <c r="S69" s="39">
        <f>(VLOOKUP($A69,'The List'!$B1:$AH727,31,FALSE)-AVERAGE('The List'!AF2:AF727))/STDEV('The List'!AF2:AF727)</f>
        <v>-0.54764980733709123</v>
      </c>
      <c r="T69" s="39">
        <f>(VLOOKUP($A69,'The List'!$B1:$AH727,32,FALSE)-AVERAGE('The List'!AG2:AG727))/STDEV('The List'!AG2:AG727)</f>
        <v>-0.59685521819580256</v>
      </c>
      <c r="U69" s="39">
        <f>(VLOOKUP($A69,'The List'!$B1:$AH727,33,FALSE)-AVERAGE('The List'!AH2:AH727))/STDEV('The List'!AH2:AH727)</f>
        <v>1.8548720178001576</v>
      </c>
      <c r="V69" s="39"/>
      <c r="W69" s="43"/>
      <c r="X69" s="41"/>
      <c r="Y69" s="41"/>
      <c r="Z69" s="41"/>
      <c r="AA69" s="41"/>
      <c r="AB69" s="41"/>
      <c r="AC69" s="44"/>
      <c r="AD69" s="45"/>
      <c r="AE69" s="39"/>
    </row>
    <row r="70" spans="1:31" ht="21.25" customHeight="1" x14ac:dyDescent="0.15">
      <c r="A70" s="8" t="s">
        <v>249</v>
      </c>
      <c r="B70" s="35" t="str">
        <f>VLOOKUP(A70,'Player Data'!A1:B734,2,FALSE)</f>
        <v>VAN</v>
      </c>
      <c r="C70" s="37">
        <f>((E70)*Settings!$C$12)+(F70*Settings!$C$2)+(G70*Settings!$C$3)+(H70*Settings!$C$4)+(I70*Settings!$C$5)+(K70*Settings!$C$9)+(N70*Settings!$C$6)+(J70*Settings!$C$8)+(O70*Settings!$C$7)+(P70*Settings!$C$14)+(Q70*Settings!$C$15)+(R70*Settings!$C$16)+(S70*Settings!$C$17)+(T70*Settings!$C$18)+(U70*Settings!$C$19)</f>
        <v>3.7697496855791277</v>
      </c>
      <c r="D70" s="41">
        <f>IF(Settings!$E$12="YES",VLOOKUP(A70,'Player Data'!A1:E734,5,FALSE),82)</f>
        <v>81.614999999999995</v>
      </c>
      <c r="E70" s="39">
        <f>(VLOOKUP($A70,'The List'!$B1:$AH727,17,FALSE)-AVERAGE('The List'!R2:R727))/STDEV('The List'!R2:R727)</f>
        <v>8.6940184082158756E-2</v>
      </c>
      <c r="F70" s="39">
        <f>(VLOOKUP($A70,'The List'!$B1:$AH727,18,FALSE)-AVERAGE('The List'!S2:S727))/STDEV('The List'!S2:S727)</f>
        <v>2.0536170140931769</v>
      </c>
      <c r="G70" s="39">
        <f>(VLOOKUP($A70,'The List'!$B1:$AH727,19,FALSE)-AVERAGE('The List'!T2:T727))/STDEV('The List'!T2:T727)</f>
        <v>0.85377637862621381</v>
      </c>
      <c r="H70" s="39">
        <f>(VLOOKUP($A70,'The List'!$B1:$AH727,20,FALSE)-AVERAGE('The List'!U2:U727))/STDEV('The List'!U2:U727)</f>
        <v>1.4606291153069861</v>
      </c>
      <c r="I70" s="39">
        <f>(VLOOKUP($A70,'The List'!$B1:$AH727,21,FALSE)-AVERAGE('The List'!V2:V727))/STDEV('The List'!V2:V727)</f>
        <v>0.29775594074844119</v>
      </c>
      <c r="J70" s="39">
        <f>(VLOOKUP($A70,'The List'!$B1:$AH727,22,FALSE)-AVERAGE('The List'!W2:W727))/STDEV('The List'!W2:W727)</f>
        <v>2.0321025785738436</v>
      </c>
      <c r="K70" s="39">
        <f>(VLOOKUP($A70,'The List'!$B1:$AH727,23,FALSE)-AVERAGE('The List'!X2:X727))/STDEV('The List'!X2:X727)</f>
        <v>0.91720764292342905</v>
      </c>
      <c r="L70" s="39">
        <f>(VLOOKUP($A70,'The List'!$B1:$AH727,24,FALSE)-AVERAGE('The List'!Y2:Y727))/STDEV('The List'!Y2:Y727)</f>
        <v>-0.54202133859835933</v>
      </c>
      <c r="M70" s="39">
        <f>(VLOOKUP($A70,'The List'!$B1:$AH727,25,FALSE)-AVERAGE('The List'!Z2:Z727))/STDEV('The List'!Z2:Z727)</f>
        <v>-0.72147700526120695</v>
      </c>
      <c r="N70" s="39">
        <f>(VLOOKUP($A70,'The List'!$B1:$AH727,26,FALSE)-AVERAGE('The List'!AA2:AA727))/STDEV('The List'!AA2:AA727)</f>
        <v>-0.96466370381852762</v>
      </c>
      <c r="O70" s="39">
        <f>(VLOOKUP($A70,'The List'!$B1:$AH727,27,FALSE)-AVERAGE('The List'!AB2:AB727))/STDEV('The List'!AB2:AB727)</f>
        <v>-1.4290971048479353</v>
      </c>
      <c r="P70" s="39">
        <f>(VLOOKUP($A70,'The List'!$B1:$AH727,28,FALSE)-AVERAGE('The List'!AC2:AC727))/STDEV('The List'!AC2:AC727)</f>
        <v>0.61205641300639435</v>
      </c>
      <c r="Q70" s="39">
        <f>(VLOOKUP($A70,'The List'!$B1:$AH727,29,FALSE)-AVERAGE('The List'!AD2:AD727))/STDEV('The List'!AD2:AD727)</f>
        <v>-1.0620411619539585</v>
      </c>
      <c r="R70" s="39">
        <f>(VLOOKUP($A70,'The List'!$B1:$AH727,30,FALSE)-AVERAGE('The List'!AE2:AE727))/STDEV('The List'!AE2:AE727)</f>
        <v>1.9033322142856492</v>
      </c>
      <c r="S70" s="39">
        <f>(VLOOKUP($A70,'The List'!$B1:$AH727,31,FALSE)-AVERAGE('The List'!AF2:AF727))/STDEV('The List'!AF2:AF727)</f>
        <v>-0.55804314905918151</v>
      </c>
      <c r="T70" s="39">
        <f>(VLOOKUP($A70,'The List'!$B1:$AH727,32,FALSE)-AVERAGE('The List'!AG2:AG727))/STDEV('The List'!AG2:AG727)</f>
        <v>-0.59648900665403515</v>
      </c>
      <c r="U70" s="39">
        <f>(VLOOKUP($A70,'The List'!$B1:$AH727,33,FALSE)-AVERAGE('The List'!AH2:AH727))/STDEV('The List'!AH2:AH727)</f>
        <v>-1.2395873372913611</v>
      </c>
      <c r="V70" s="39"/>
      <c r="W70" s="43"/>
      <c r="X70" s="41"/>
      <c r="Y70" s="41"/>
      <c r="Z70" s="41"/>
      <c r="AA70" s="41"/>
      <c r="AB70" s="41"/>
      <c r="AC70" s="44"/>
      <c r="AD70" s="45"/>
      <c r="AE70" s="39"/>
    </row>
    <row r="71" spans="1:31" ht="21.25" customHeight="1" x14ac:dyDescent="0.15">
      <c r="A71" s="8" t="s">
        <v>180</v>
      </c>
      <c r="B71" s="35" t="str">
        <f>VLOOKUP(A71,'Player Data'!A1:B734,2,FALSE)</f>
        <v>COL</v>
      </c>
      <c r="C71" s="37">
        <f>((E71)*Settings!$C$12)+(F71*Settings!$C$2)+(G71*Settings!$C$3)+(H71*Settings!$C$4)+(I71*Settings!$C$5)+(K71*Settings!$C$9)+(N71*Settings!$C$6)+(J71*Settings!$C$8)+(O71*Settings!$C$7)+(P71*Settings!$C$14)+(Q71*Settings!$C$15)+(R71*Settings!$C$16)+(S71*Settings!$C$17)+(T71*Settings!$C$18)+(U71*Settings!$C$19)</f>
        <v>6.3697287868745329</v>
      </c>
      <c r="D71" s="41">
        <f>IF(Settings!$E$12="YES",VLOOKUP(A71,'Player Data'!A1:E734,5,FALSE),82)</f>
        <v>73.986071428571407</v>
      </c>
      <c r="E71" s="39">
        <f>(VLOOKUP($A71,'The List'!$B1:$AH727,17,FALSE)-AVERAGE('The List'!R2:R727))/STDEV('The List'!R2:R727)</f>
        <v>1.0595812872272372</v>
      </c>
      <c r="F71" s="39">
        <f>(VLOOKUP($A71,'The List'!$B1:$AH727,18,FALSE)-AVERAGE('The List'!S2:S727))/STDEV('The List'!S2:S727)</f>
        <v>1.4245149825758769</v>
      </c>
      <c r="G71" s="39">
        <f>(VLOOKUP($A71,'The List'!$B1:$AH727,19,FALSE)-AVERAGE('The List'!T2:T727))/STDEV('The List'!T2:T727)</f>
        <v>1.0819004696439396</v>
      </c>
      <c r="H71" s="39">
        <f>(VLOOKUP($A71,'The List'!$B1:$AH727,20,FALSE)-AVERAGE('The List'!U2:U727))/STDEV('The List'!U2:U727)</f>
        <v>1.3149204894883042</v>
      </c>
      <c r="I71" s="39">
        <f>(VLOOKUP($A71,'The List'!$B1:$AH727,21,FALSE)-AVERAGE('The List'!V2:V727))/STDEV('The List'!V2:V727)</f>
        <v>1.4682820151855809</v>
      </c>
      <c r="J71" s="39">
        <f>(VLOOKUP($A71,'The List'!$B1:$AH727,22,FALSE)-AVERAGE('The List'!W2:W727))/STDEV('The List'!W2:W727)</f>
        <v>2.3326209465761814</v>
      </c>
      <c r="K71" s="39">
        <f>(VLOOKUP($A71,'The List'!$B1:$AH727,23,FALSE)-AVERAGE('The List'!X2:X727))/STDEV('The List'!X2:X727)</f>
        <v>1.3090165137327676</v>
      </c>
      <c r="L71" s="39">
        <f>(VLOOKUP($A71,'The List'!$B1:$AH727,24,FALSE)-AVERAGE('The List'!Y2:Y727))/STDEV('The List'!Y2:Y727)</f>
        <v>1.4615932024762786</v>
      </c>
      <c r="M71" s="39">
        <f>(VLOOKUP($A71,'The List'!$B1:$AH727,25,FALSE)-AVERAGE('The List'!Z2:Z727))/STDEV('The List'!Z2:Z727)</f>
        <v>2.0684671376191948</v>
      </c>
      <c r="N71" s="39">
        <f>(VLOOKUP($A71,'The List'!$B1:$AH727,26,FALSE)-AVERAGE('The List'!AA2:AA727))/STDEV('The List'!AA2:AA727)</f>
        <v>-0.33875213082114364</v>
      </c>
      <c r="O71" s="39">
        <f>(VLOOKUP($A71,'The List'!$B1:$AH727,27,FALSE)-AVERAGE('The List'!AB2:AB727))/STDEV('The List'!AB2:AB727)</f>
        <v>-0.11946833136071201</v>
      </c>
      <c r="P71" s="39">
        <f>(VLOOKUP($A71,'The List'!$B1:$AH727,28,FALSE)-AVERAGE('The List'!AC2:AC727))/STDEV('The List'!AC2:AC727)</f>
        <v>1.4247669365575113</v>
      </c>
      <c r="Q71" s="39">
        <f>(VLOOKUP($A71,'The List'!$B1:$AH727,29,FALSE)-AVERAGE('The List'!AD2:AD727))/STDEV('The List'!AD2:AD727)</f>
        <v>-1.1664850945136496</v>
      </c>
      <c r="R71" s="39">
        <f>(VLOOKUP($A71,'The List'!$B1:$AH727,30,FALSE)-AVERAGE('The List'!AE2:AE727))/STDEV('The List'!AE2:AE727)</f>
        <v>1.6173703872081908</v>
      </c>
      <c r="S71" s="39">
        <f>(VLOOKUP($A71,'The List'!$B1:$AH727,31,FALSE)-AVERAGE('The List'!AF2:AF727))/STDEV('The List'!AF2:AF727)</f>
        <v>-0.55632204516922057</v>
      </c>
      <c r="T71" s="39">
        <f>(VLOOKUP($A71,'The List'!$B1:$AH727,32,FALSE)-AVERAGE('The List'!AG2:AG727))/STDEV('The List'!AG2:AG727)</f>
        <v>-0.57377659369555278</v>
      </c>
      <c r="U71" s="39">
        <f>(VLOOKUP($A71,'The List'!$B1:$AH727,33,FALSE)-AVERAGE('The List'!AH2:AH727))/STDEV('The List'!AH2:AH727)</f>
        <v>-0.96618104709949471</v>
      </c>
      <c r="V71" s="39"/>
      <c r="W71" s="43"/>
      <c r="X71" s="41"/>
      <c r="Y71" s="41"/>
      <c r="Z71" s="41"/>
      <c r="AA71" s="41"/>
      <c r="AB71" s="41"/>
      <c r="AC71" s="44"/>
      <c r="AD71" s="45"/>
      <c r="AE71" s="39"/>
    </row>
    <row r="72" spans="1:31" ht="21.25" customHeight="1" x14ac:dyDescent="0.15">
      <c r="A72" s="8" t="s">
        <v>175</v>
      </c>
      <c r="B72" s="35" t="str">
        <f>VLOOKUP(A72,'Player Data'!A1:B734,2,FALSE)</f>
        <v>BUF</v>
      </c>
      <c r="C72" s="37">
        <f>((E72)*Settings!$C$12)+(F72*Settings!$C$2)+(G72*Settings!$C$3)+(H72*Settings!$C$4)+(I72*Settings!$C$5)+(K72*Settings!$C$9)+(N72*Settings!$C$6)+(J72*Settings!$C$8)+(O72*Settings!$C$7)+(P72*Settings!$C$14)+(Q72*Settings!$C$15)+(R72*Settings!$C$16)+(S72*Settings!$C$17)+(T72*Settings!$C$18)+(U72*Settings!$C$19)</f>
        <v>5.2201105750199828</v>
      </c>
      <c r="D72" s="41">
        <f>IF(Settings!$E$12="YES",VLOOKUP(A72,'Player Data'!A1:E734,5,FALSE),82)</f>
        <v>80.489999999999995</v>
      </c>
      <c r="E72" s="39">
        <f>(VLOOKUP($A72,'The List'!$B1:$AH727,17,FALSE)-AVERAGE('The List'!R2:R727))/STDEV('The List'!R2:R727)</f>
        <v>0.4261246045547597</v>
      </c>
      <c r="F72" s="39">
        <f>(VLOOKUP($A72,'The List'!$B1:$AH727,18,FALSE)-AVERAGE('The List'!S2:S727))/STDEV('The List'!S2:S727)</f>
        <v>1.7866599738579805</v>
      </c>
      <c r="G72" s="39">
        <f>(VLOOKUP($A72,'The List'!$B1:$AH727,19,FALSE)-AVERAGE('The List'!T2:T727))/STDEV('The List'!T2:T727)</f>
        <v>1.1767483622729189</v>
      </c>
      <c r="H72" s="39">
        <f>(VLOOKUP($A72,'The List'!$B1:$AH727,20,FALSE)-AVERAGE('The List'!U2:U727))/STDEV('The List'!U2:U727)</f>
        <v>1.5381652670268238</v>
      </c>
      <c r="I72" s="39">
        <f>(VLOOKUP($A72,'The List'!$B1:$AH727,21,FALSE)-AVERAGE('The List'!V2:V727))/STDEV('The List'!V2:V727)</f>
        <v>1.9886467127111358</v>
      </c>
      <c r="J72" s="39">
        <f>(VLOOKUP($A72,'The List'!$B1:$AH727,22,FALSE)-AVERAGE('The List'!W2:W727))/STDEV('The List'!W2:W727)</f>
        <v>1.3341453722621388</v>
      </c>
      <c r="K72" s="39">
        <f>(VLOOKUP($A72,'The List'!$B1:$AH727,23,FALSE)-AVERAGE('The List'!X2:X727))/STDEV('The List'!X2:X727)</f>
        <v>1.1622217745340682</v>
      </c>
      <c r="L72" s="39">
        <f>(VLOOKUP($A72,'The List'!$B1:$AH727,24,FALSE)-AVERAGE('The List'!Y2:Y727))/STDEV('The List'!Y2:Y727)</f>
        <v>-0.51848710854826296</v>
      </c>
      <c r="M72" s="39">
        <f>(VLOOKUP($A72,'The List'!$B1:$AH727,25,FALSE)-AVERAGE('The List'!Z2:Z727))/STDEV('The List'!Z2:Z727)</f>
        <v>-0.69498142017365638</v>
      </c>
      <c r="N72" s="39">
        <f>(VLOOKUP($A72,'The List'!$B1:$AH727,26,FALSE)-AVERAGE('The List'!AA2:AA727))/STDEV('The List'!AA2:AA727)</f>
        <v>-1.0347290966829901</v>
      </c>
      <c r="O72" s="39">
        <f>(VLOOKUP($A72,'The List'!$B1:$AH727,27,FALSE)-AVERAGE('The List'!AB2:AB727))/STDEV('The List'!AB2:AB727)</f>
        <v>-1.2751612675382278</v>
      </c>
      <c r="P72" s="39">
        <f>(VLOOKUP($A72,'The List'!$B1:$AH727,28,FALSE)-AVERAGE('The List'!AC2:AC727))/STDEV('The List'!AC2:AC727)</f>
        <v>0.1405628483268696</v>
      </c>
      <c r="Q72" s="39">
        <f>(VLOOKUP($A72,'The List'!$B1:$AH727,29,FALSE)-AVERAGE('The List'!AD2:AD727))/STDEV('The List'!AD2:AD727)</f>
        <v>6.5755265031894647E-2</v>
      </c>
      <c r="R72" s="39">
        <f>(VLOOKUP($A72,'The List'!$B1:$AH727,30,FALSE)-AVERAGE('The List'!AE2:AE727))/STDEV('The List'!AE2:AE727)</f>
        <v>1.4010873369194063</v>
      </c>
      <c r="S72" s="39">
        <f>(VLOOKUP($A72,'The List'!$B1:$AH727,31,FALSE)-AVERAGE('The List'!AF2:AF727))/STDEV('The List'!AF2:AF727)</f>
        <v>7.350074139032188E-2</v>
      </c>
      <c r="T72" s="39">
        <f>(VLOOKUP($A72,'The List'!$B1:$AH727,32,FALSE)-AVERAGE('The List'!AG2:AG727))/STDEV('The List'!AG2:AG727)</f>
        <v>0.2212767819099937</v>
      </c>
      <c r="U72" s="39">
        <f>(VLOOKUP($A72,'The List'!$B1:$AH727,33,FALSE)-AVERAGE('The List'!AH2:AH727))/STDEV('The List'!AH2:AH727)</f>
        <v>0.77821406530122572</v>
      </c>
      <c r="V72" s="39"/>
      <c r="W72" s="43"/>
      <c r="X72" s="41"/>
      <c r="Y72" s="41"/>
      <c r="Z72" s="41"/>
      <c r="AA72" s="41"/>
      <c r="AB72" s="41"/>
      <c r="AC72" s="44"/>
      <c r="AD72" s="45"/>
      <c r="AE72" s="39"/>
    </row>
    <row r="73" spans="1:31" ht="21.25" customHeight="1" x14ac:dyDescent="0.15">
      <c r="A73" s="8" t="s">
        <v>218</v>
      </c>
      <c r="B73" s="35" t="str">
        <f>VLOOKUP(A73,'Player Data'!A1:B734,2,FALSE)</f>
        <v>CGY</v>
      </c>
      <c r="C73" s="37">
        <f>((E73)*Settings!$C$12)+(F73*Settings!$C$2)+(G73*Settings!$C$3)+(H73*Settings!$C$4)+(I73*Settings!$C$5)+(K73*Settings!$C$9)+(N73*Settings!$C$6)+(J73*Settings!$C$8)+(O73*Settings!$C$7)+(P73*Settings!$C$14)+(Q73*Settings!$C$15)+(R73*Settings!$C$16)+(S73*Settings!$C$17)+(T73*Settings!$C$18)+(U73*Settings!$C$19)</f>
        <v>6.5464766857302283</v>
      </c>
      <c r="D73" s="41">
        <f>IF(Settings!$E$12="YES",VLOOKUP(A73,'Player Data'!A1:E734,5,FALSE),82)</f>
        <v>81.510000000000005</v>
      </c>
      <c r="E73" s="39">
        <f>(VLOOKUP($A73,'The List'!$B1:$AH727,17,FALSE)-AVERAGE('The List'!R2:R727))/STDEV('The List'!R2:R727)</f>
        <v>0.78851064680372773</v>
      </c>
      <c r="F73" s="39">
        <f>(VLOOKUP($A73,'The List'!$B1:$AH727,18,FALSE)-AVERAGE('The List'!S2:S727))/STDEV('The List'!S2:S727)</f>
        <v>1.628975677862019</v>
      </c>
      <c r="G73" s="39">
        <f>(VLOOKUP($A73,'The List'!$B1:$AH727,19,FALSE)-AVERAGE('The List'!T2:T727))/STDEV('The List'!T2:T727)</f>
        <v>1.3319470187091418</v>
      </c>
      <c r="H73" s="39">
        <f>(VLOOKUP($A73,'The List'!$B1:$AH727,20,FALSE)-AVERAGE('The List'!U2:U727))/STDEV('The List'!U2:U727)</f>
        <v>1.5620438861939103</v>
      </c>
      <c r="I73" s="39">
        <f>(VLOOKUP($A73,'The List'!$B1:$AH727,21,FALSE)-AVERAGE('The List'!V2:V727))/STDEV('The List'!V2:V727)</f>
        <v>1.2243310377050491</v>
      </c>
      <c r="J73" s="39">
        <f>(VLOOKUP($A73,'The List'!$B1:$AH727,22,FALSE)-AVERAGE('The List'!W2:W727))/STDEV('The List'!W2:W727)</f>
        <v>2.1396493700621684</v>
      </c>
      <c r="K73" s="39">
        <f>(VLOOKUP($A73,'The List'!$B1:$AH727,23,FALSE)-AVERAGE('The List'!X2:X727))/STDEV('The List'!X2:X727)</f>
        <v>1.4553910401766414</v>
      </c>
      <c r="L73" s="39">
        <f>(VLOOKUP($A73,'The List'!$B1:$AH727,24,FALSE)-AVERAGE('The List'!Y2:Y727))/STDEV('The List'!Y2:Y727)</f>
        <v>0.91658001305969672</v>
      </c>
      <c r="M73" s="39">
        <f>(VLOOKUP($A73,'The List'!$B1:$AH727,25,FALSE)-AVERAGE('The List'!Z2:Z727))/STDEV('The List'!Z2:Z727)</f>
        <v>1.7970242719435223</v>
      </c>
      <c r="N73" s="39">
        <f>(VLOOKUP($A73,'The List'!$B1:$AH727,26,FALSE)-AVERAGE('The List'!AA2:AA727))/STDEV('The List'!AA2:AA727)</f>
        <v>-0.20440952304340165</v>
      </c>
      <c r="O73" s="39">
        <f>(VLOOKUP($A73,'The List'!$B1:$AH727,27,FALSE)-AVERAGE('The List'!AB2:AB727))/STDEV('The List'!AB2:AB727)</f>
        <v>-1.5353501029296236E-2</v>
      </c>
      <c r="P73" s="39">
        <f>(VLOOKUP($A73,'The List'!$B1:$AH727,28,FALSE)-AVERAGE('The List'!AC2:AC727))/STDEV('The List'!AC2:AC727)</f>
        <v>1.1102414343207785</v>
      </c>
      <c r="Q73" s="39">
        <f>(VLOOKUP($A73,'The List'!$B1:$AH727,29,FALSE)-AVERAGE('The List'!AD2:AD727))/STDEV('The List'!AD2:AD727)</f>
        <v>-0.56752562986462018</v>
      </c>
      <c r="R73" s="39">
        <f>(VLOOKUP($A73,'The List'!$B1:$AH727,30,FALSE)-AVERAGE('The List'!AE2:AE727))/STDEV('The List'!AE2:AE727)</f>
        <v>1.9982874701734186</v>
      </c>
      <c r="S73" s="39">
        <f>(VLOOKUP($A73,'The List'!$B1:$AH727,31,FALSE)-AVERAGE('The List'!AF2:AF727))/STDEV('The List'!AF2:AF727)</f>
        <v>3.654164817836886</v>
      </c>
      <c r="T73" s="39">
        <f>(VLOOKUP($A73,'The List'!$B1:$AH727,32,FALSE)-AVERAGE('The List'!AG2:AG727))/STDEV('The List'!AG2:AG727)</f>
        <v>3.2017658914837805</v>
      </c>
      <c r="U73" s="39">
        <f>(VLOOKUP($A73,'The List'!$B1:$AH727,33,FALSE)-AVERAGE('The List'!AH2:AH727))/STDEV('The List'!AH2:AH727)</f>
        <v>1.1914842494780054</v>
      </c>
      <c r="V73" s="39"/>
      <c r="W73" s="43"/>
      <c r="X73" s="41"/>
      <c r="Y73" s="41"/>
      <c r="Z73" s="41"/>
      <c r="AA73" s="41"/>
      <c r="AB73" s="41"/>
      <c r="AC73" s="44"/>
      <c r="AD73" s="45"/>
      <c r="AE73" s="39"/>
    </row>
    <row r="74" spans="1:31" ht="21.25" customHeight="1" x14ac:dyDescent="0.15">
      <c r="A74" s="8" t="s">
        <v>239</v>
      </c>
      <c r="B74" s="35" t="str">
        <f>VLOOKUP(A74,'Player Data'!A1:B734,2,FALSE)</f>
        <v>SEA</v>
      </c>
      <c r="C74" s="37">
        <f>((E74)*Settings!$C$12)+(F74*Settings!$C$2)+(G74*Settings!$C$3)+(H74*Settings!$C$4)+(I74*Settings!$C$5)+(K74*Settings!$C$9)+(N74*Settings!$C$6)+(J74*Settings!$C$8)+(O74*Settings!$C$7)+(P74*Settings!$C$14)+(Q74*Settings!$C$15)+(R74*Settings!$C$16)+(S74*Settings!$C$17)+(T74*Settings!$C$18)+(U74*Settings!$C$19)</f>
        <v>5.1823057699138833</v>
      </c>
      <c r="D74" s="41">
        <f>IF(Settings!$E$12="YES",VLOOKUP(A74,'Player Data'!A1:E734,5,FALSE),82)</f>
        <v>81.2</v>
      </c>
      <c r="E74" s="39">
        <f>(VLOOKUP($A74,'The List'!$B1:$AH727,17,FALSE)-AVERAGE('The List'!R2:R727))/STDEV('The List'!R2:R727)</f>
        <v>0.58697366288280894</v>
      </c>
      <c r="F74" s="39">
        <f>(VLOOKUP($A74,'The List'!$B1:$AH727,18,FALSE)-AVERAGE('The List'!S2:S727))/STDEV('The List'!S2:S727)</f>
        <v>1.7142535162124257</v>
      </c>
      <c r="G74" s="39">
        <f>(VLOOKUP($A74,'The List'!$B1:$AH727,19,FALSE)-AVERAGE('The List'!T2:T727))/STDEV('The List'!T2:T727)</f>
        <v>1.4890093912163749</v>
      </c>
      <c r="H74" s="39">
        <f>(VLOOKUP($A74,'The List'!$B1:$AH727,20,FALSE)-AVERAGE('The List'!U2:U727))/STDEV('The List'!U2:U727)</f>
        <v>1.6976339191779632</v>
      </c>
      <c r="I74" s="39">
        <f>(VLOOKUP($A74,'The List'!$B1:$AH727,21,FALSE)-AVERAGE('The List'!V2:V727))/STDEV('The List'!V2:V727)</f>
        <v>0.75100837377310325</v>
      </c>
      <c r="J74" s="39">
        <f>(VLOOKUP($A74,'The List'!$B1:$AH727,22,FALSE)-AVERAGE('The List'!W2:W727))/STDEV('The List'!W2:W727)</f>
        <v>1.1988580780858933</v>
      </c>
      <c r="K74" s="39">
        <f>(VLOOKUP($A74,'The List'!$B1:$AH727,23,FALSE)-AVERAGE('The List'!X2:X727))/STDEV('The List'!X2:X727)</f>
        <v>0.97757538167848024</v>
      </c>
      <c r="L74" s="39">
        <f>(VLOOKUP($A74,'The List'!$B1:$AH727,24,FALSE)-AVERAGE('The List'!Y2:Y727))/STDEV('The List'!Y2:Y727)</f>
        <v>-0.3416702654880599</v>
      </c>
      <c r="M74" s="39">
        <f>(VLOOKUP($A74,'The List'!$B1:$AH727,25,FALSE)-AVERAGE('The List'!Z2:Z727))/STDEV('The List'!Z2:Z727)</f>
        <v>8.5963796996168032E-2</v>
      </c>
      <c r="N74" s="39">
        <f>(VLOOKUP($A74,'The List'!$B1:$AH727,26,FALSE)-AVERAGE('The List'!AA2:AA727))/STDEV('The List'!AA2:AA727)</f>
        <v>-0.22226748181346045</v>
      </c>
      <c r="O74" s="39">
        <f>(VLOOKUP($A74,'The List'!$B1:$AH727,27,FALSE)-AVERAGE('The List'!AB2:AB727))/STDEV('The List'!AB2:AB727)</f>
        <v>-0.14438332473898849</v>
      </c>
      <c r="P74" s="39">
        <f>(VLOOKUP($A74,'The List'!$B1:$AH727,28,FALSE)-AVERAGE('The List'!AC2:AC727))/STDEV('The List'!AC2:AC727)</f>
        <v>0.4727265888469605</v>
      </c>
      <c r="Q74" s="39">
        <f>(VLOOKUP($A74,'The List'!$B1:$AH727,29,FALSE)-AVERAGE('The List'!AD2:AD727))/STDEV('The List'!AD2:AD727)</f>
        <v>-1.3634069804484013</v>
      </c>
      <c r="R74" s="39">
        <f>(VLOOKUP($A74,'The List'!$B1:$AH727,30,FALSE)-AVERAGE('The List'!AE2:AE727))/STDEV('The List'!AE2:AE727)</f>
        <v>1.5699015715231972</v>
      </c>
      <c r="S74" s="39">
        <f>(VLOOKUP($A74,'The List'!$B1:$AH727,31,FALSE)-AVERAGE('The List'!AF2:AF727))/STDEV('The List'!AF2:AF727)</f>
        <v>1.6602445670675994</v>
      </c>
      <c r="T74" s="39">
        <f>(VLOOKUP($A74,'The List'!$B1:$AH727,32,FALSE)-AVERAGE('The List'!AG2:AG727))/STDEV('The List'!AG2:AG727)</f>
        <v>2.5910242417893015</v>
      </c>
      <c r="U74" s="39">
        <f>(VLOOKUP($A74,'The List'!$B1:$AH727,33,FALSE)-AVERAGE('The List'!AH2:AH727))/STDEV('The List'!AH2:AH727)</f>
        <v>0.66810748471014114</v>
      </c>
      <c r="V74" s="39"/>
      <c r="W74" s="43"/>
      <c r="X74" s="41"/>
      <c r="Y74" s="41"/>
      <c r="Z74" s="41"/>
      <c r="AA74" s="41"/>
      <c r="AB74" s="41"/>
      <c r="AC74" s="44"/>
      <c r="AD74" s="45"/>
      <c r="AE74" s="39"/>
    </row>
    <row r="75" spans="1:31" ht="21.25" customHeight="1" x14ac:dyDescent="0.15">
      <c r="A75" s="8" t="s">
        <v>229</v>
      </c>
      <c r="B75" s="35" t="str">
        <f>VLOOKUP(A75,'Player Data'!A1:B734,2,FALSE)</f>
        <v>NYI</v>
      </c>
      <c r="C75" s="37">
        <f>((E75)*Settings!$C$12)+(F75*Settings!$C$2)+(G75*Settings!$C$3)+(H75*Settings!$C$4)+(I75*Settings!$C$5)+(K75*Settings!$C$9)+(N75*Settings!$C$6)+(J75*Settings!$C$8)+(O75*Settings!$C$7)+(P75*Settings!$C$14)+(Q75*Settings!$C$15)+(R75*Settings!$C$16)+(S75*Settings!$C$17)+(T75*Settings!$C$18)+(U75*Settings!$C$19)</f>
        <v>5.5582522391025933</v>
      </c>
      <c r="D75" s="41">
        <f>IF(Settings!$E$12="YES",VLOOKUP(A75,'Player Data'!A1:E734,5,FALSE),82)</f>
        <v>80.655000000000001</v>
      </c>
      <c r="E75" s="39">
        <f>(VLOOKUP($A75,'The List'!$B1:$AH727,17,FALSE)-AVERAGE('The List'!R2:R727))/STDEV('The List'!R2:R727)</f>
        <v>0.59340644733944892</v>
      </c>
      <c r="F75" s="39">
        <f>(VLOOKUP($A75,'The List'!$B1:$AH727,18,FALSE)-AVERAGE('The List'!S2:S727))/STDEV('The List'!S2:S727)</f>
        <v>2.1421759022532112</v>
      </c>
      <c r="G75" s="39">
        <f>(VLOOKUP($A75,'The List'!$B1:$AH727,19,FALSE)-AVERAGE('The List'!T2:T727))/STDEV('The List'!T2:T727)</f>
        <v>0.80006669778296058</v>
      </c>
      <c r="H75" s="39">
        <f>(VLOOKUP($A75,'The List'!$B1:$AH727,20,FALSE)-AVERAGE('The List'!U2:U727))/STDEV('The List'!U2:U727)</f>
        <v>1.4678325512219457</v>
      </c>
      <c r="I75" s="39">
        <f>(VLOOKUP($A75,'The List'!$B1:$AH727,21,FALSE)-AVERAGE('The List'!V2:V727))/STDEV('The List'!V2:V727)</f>
        <v>1.411670694619789</v>
      </c>
      <c r="J75" s="39">
        <f>(VLOOKUP($A75,'The List'!$B1:$AH727,22,FALSE)-AVERAGE('The List'!W2:W727))/STDEV('The List'!W2:W727)</f>
        <v>1.837071672006219</v>
      </c>
      <c r="K75" s="39">
        <f>(VLOOKUP($A75,'The List'!$B1:$AH727,23,FALSE)-AVERAGE('The List'!X2:X727))/STDEV('The List'!X2:X727)</f>
        <v>1.1515961030840527</v>
      </c>
      <c r="L75" s="39">
        <f>(VLOOKUP($A75,'The List'!$B1:$AH727,24,FALSE)-AVERAGE('The List'!Y2:Y727))/STDEV('The List'!Y2:Y727)</f>
        <v>-0.39088313673923653</v>
      </c>
      <c r="M75" s="39">
        <f>(VLOOKUP($A75,'The List'!$B1:$AH727,25,FALSE)-AVERAGE('The List'!Z2:Z727))/STDEV('The List'!Z2:Z727)</f>
        <v>-0.55226199062784842</v>
      </c>
      <c r="N75" s="39">
        <f>(VLOOKUP($A75,'The List'!$B1:$AH727,26,FALSE)-AVERAGE('The List'!AA2:AA727))/STDEV('The List'!AA2:AA727)</f>
        <v>-0.39818356329245863</v>
      </c>
      <c r="O75" s="39">
        <f>(VLOOKUP($A75,'The List'!$B1:$AH727,27,FALSE)-AVERAGE('The List'!AB2:AB727))/STDEV('The List'!AB2:AB727)</f>
        <v>-0.87663117070823415</v>
      </c>
      <c r="P75" s="39">
        <f>(VLOOKUP($A75,'The List'!$B1:$AH727,28,FALSE)-AVERAGE('The List'!AC2:AC727))/STDEV('The List'!AC2:AC727)</f>
        <v>0.45092640465503847</v>
      </c>
      <c r="Q75" s="39">
        <f>(VLOOKUP($A75,'The List'!$B1:$AH727,29,FALSE)-AVERAGE('The List'!AD2:AD727))/STDEV('The List'!AD2:AD727)</f>
        <v>-0.11382121821329629</v>
      </c>
      <c r="R75" s="39">
        <f>(VLOOKUP($A75,'The List'!$B1:$AH727,30,FALSE)-AVERAGE('The List'!AE2:AE727))/STDEV('The List'!AE2:AE727)</f>
        <v>2.2761669974288354</v>
      </c>
      <c r="S75" s="39">
        <f>(VLOOKUP($A75,'The List'!$B1:$AH727,31,FALSE)-AVERAGE('The List'!AF2:AF727))/STDEV('The List'!AF2:AF727)</f>
        <v>1.9439493364862233</v>
      </c>
      <c r="T75" s="39">
        <f>(VLOOKUP($A75,'The List'!$B1:$AH727,32,FALSE)-AVERAGE('The List'!AG2:AG727))/STDEV('The List'!AG2:AG727)</f>
        <v>2.2090933521411484</v>
      </c>
      <c r="U75" s="39">
        <f>(VLOOKUP($A75,'The List'!$B1:$AH727,33,FALSE)-AVERAGE('The List'!AH2:AH727))/STDEV('The List'!AH2:AH727)</f>
        <v>0.94508955167846542</v>
      </c>
      <c r="V75" s="39"/>
      <c r="W75" s="41"/>
      <c r="X75" s="39"/>
      <c r="Y75" s="39"/>
      <c r="Z75" s="39"/>
      <c r="AA75" s="39"/>
      <c r="AB75" s="39"/>
      <c r="AC75" s="39"/>
      <c r="AD75" s="39"/>
      <c r="AE75" s="39"/>
    </row>
    <row r="76" spans="1:31" ht="21.25" customHeight="1" x14ac:dyDescent="0.15">
      <c r="A76" s="8" t="s">
        <v>256</v>
      </c>
      <c r="B76" s="35" t="str">
        <f>VLOOKUP(A76,'Player Data'!A1:B734,2,FALSE)</f>
        <v>SJS</v>
      </c>
      <c r="C76" s="37">
        <f>((E76)*Settings!$C$12)+(F76*Settings!$C$2)+(G76*Settings!$C$3)+(H76*Settings!$C$4)+(I76*Settings!$C$5)+(K76*Settings!$C$9)+(N76*Settings!$C$6)+(J76*Settings!$C$8)+(O76*Settings!$C$7)+(P76*Settings!$C$14)+(Q76*Settings!$C$15)+(R76*Settings!$C$16)+(S76*Settings!$C$17)+(T76*Settings!$C$18)+(U76*Settings!$C$19)</f>
        <v>4.6757603366467695</v>
      </c>
      <c r="D76" s="41">
        <f>IF(Settings!$E$12="YES",VLOOKUP(A76,'Player Data'!A1:E734,5,FALSE),82)</f>
        <v>80</v>
      </c>
      <c r="E76" s="39">
        <f>(VLOOKUP($A76,'The List'!$B1:$AH727,17,FALSE)-AVERAGE('The List'!R2:R727))/STDEV('The List'!R2:R727)</f>
        <v>0.82546865568429539</v>
      </c>
      <c r="F76" s="39">
        <f>(VLOOKUP($A76,'The List'!$B1:$AH727,18,FALSE)-AVERAGE('The List'!S2:S727))/STDEV('The List'!S2:S727)</f>
        <v>1.2142862426980567</v>
      </c>
      <c r="G76" s="39">
        <f>(VLOOKUP($A76,'The List'!$B1:$AH727,19,FALSE)-AVERAGE('The List'!T2:T727))/STDEV('The List'!T2:T727)</f>
        <v>1.194839287496227</v>
      </c>
      <c r="H76" s="39">
        <f>(VLOOKUP($A76,'The List'!$B1:$AH727,20,FALSE)-AVERAGE('The List'!U2:U727))/STDEV('The List'!U2:U727)</f>
        <v>1.2888471969882198</v>
      </c>
      <c r="I76" s="39">
        <f>(VLOOKUP($A76,'The List'!$B1:$AH727,21,FALSE)-AVERAGE('The List'!V2:V727))/STDEV('The List'!V2:V727)</f>
        <v>0.98497843732545431</v>
      </c>
      <c r="J76" s="39">
        <f>(VLOOKUP($A76,'The List'!$B1:$AH727,22,FALSE)-AVERAGE('The List'!W2:W727))/STDEV('The List'!W2:W727)</f>
        <v>1.0665466617348447</v>
      </c>
      <c r="K76" s="39">
        <f>(VLOOKUP($A76,'The List'!$B1:$AH727,23,FALSE)-AVERAGE('The List'!X2:X727))/STDEV('The List'!X2:X727)</f>
        <v>1.3775247166172</v>
      </c>
      <c r="L76" s="39">
        <f>(VLOOKUP($A76,'The List'!$B1:$AH727,24,FALSE)-AVERAGE('The List'!Y2:Y727))/STDEV('The List'!Y2:Y727)</f>
        <v>-0.43397272382748464</v>
      </c>
      <c r="M76" s="39">
        <f>(VLOOKUP($A76,'The List'!$B1:$AH727,25,FALSE)-AVERAGE('The List'!Z2:Z727))/STDEV('The List'!Z2:Z727)</f>
        <v>-0.56413843100574945</v>
      </c>
      <c r="N76" s="39">
        <f>(VLOOKUP($A76,'The List'!$B1:$AH727,26,FALSE)-AVERAGE('The List'!AA2:AA727))/STDEV('The List'!AA2:AA727)</f>
        <v>-0.12772155811111655</v>
      </c>
      <c r="O76" s="39">
        <f>(VLOOKUP($A76,'The List'!$B1:$AH727,27,FALSE)-AVERAGE('The List'!AB2:AB727))/STDEV('The List'!AB2:AB727)</f>
        <v>-1.8144006419095821E-2</v>
      </c>
      <c r="P76" s="39">
        <f>(VLOOKUP($A76,'The List'!$B1:$AH727,28,FALSE)-AVERAGE('The List'!AC2:AC727))/STDEV('The List'!AC2:AC727)</f>
        <v>3.1853210620948202E-2</v>
      </c>
      <c r="Q76" s="39">
        <f>(VLOOKUP($A76,'The List'!$B1:$AH727,29,FALSE)-AVERAGE('The List'!AD2:AD727))/STDEV('The List'!AD2:AD727)</f>
        <v>0.50208286286730108</v>
      </c>
      <c r="R76" s="39">
        <f>(VLOOKUP($A76,'The List'!$B1:$AH727,30,FALSE)-AVERAGE('The List'!AE2:AE727))/STDEV('The List'!AE2:AE727)</f>
        <v>0.79726075159645826</v>
      </c>
      <c r="S76" s="39">
        <f>(VLOOKUP($A76,'The List'!$B1:$AH727,31,FALSE)-AVERAGE('The List'!AF2:AF727))/STDEV('The List'!AF2:AF727)</f>
        <v>3.3334098601586408</v>
      </c>
      <c r="T76" s="39">
        <f>(VLOOKUP($A76,'The List'!$B1:$AH727,32,FALSE)-AVERAGE('The List'!AG2:AG727))/STDEV('The List'!AG2:AG727)</f>
        <v>2.8900139944134988</v>
      </c>
      <c r="U76" s="39">
        <f>(VLOOKUP($A76,'The List'!$B1:$AH727,33,FALSE)-AVERAGE('The List'!AH2:AH727))/STDEV('The List'!AH2:AH727)</f>
        <v>1.1985695538295946</v>
      </c>
      <c r="V76" s="39"/>
      <c r="W76" s="43"/>
      <c r="X76" s="41"/>
      <c r="Y76" s="41"/>
      <c r="Z76" s="41"/>
      <c r="AA76" s="41"/>
      <c r="AB76" s="41"/>
      <c r="AC76" s="44"/>
      <c r="AD76" s="45"/>
      <c r="AE76" s="39"/>
    </row>
    <row r="77" spans="1:31" ht="21.25" customHeight="1" x14ac:dyDescent="0.15">
      <c r="A77" s="8" t="s">
        <v>241</v>
      </c>
      <c r="B77" s="35" t="str">
        <f>VLOOKUP(A77,'Player Data'!A1:B734,2,FALSE)</f>
        <v>MTL</v>
      </c>
      <c r="C77" s="37">
        <f>((E77)*Settings!$C$12)+(F77*Settings!$C$2)+(G77*Settings!$C$3)+(H77*Settings!$C$4)+(I77*Settings!$C$5)+(K77*Settings!$C$9)+(N77*Settings!$C$6)+(J77*Settings!$C$8)+(O77*Settings!$C$7)+(P77*Settings!$C$14)+(Q77*Settings!$C$15)+(R77*Settings!$C$16)+(S77*Settings!$C$17)+(T77*Settings!$C$18)+(U77*Settings!$C$19)</f>
        <v>2.4982637819246918</v>
      </c>
      <c r="D77" s="41">
        <f>IF(Settings!$E$12="YES",VLOOKUP(A77,'Player Data'!A1:E734,5,FALSE),82)</f>
        <v>82.03</v>
      </c>
      <c r="E77" s="39">
        <f>(VLOOKUP($A77,'The List'!$B1:$AH727,17,FALSE)-AVERAGE('The List'!R2:R727))/STDEV('The List'!R2:R727)</f>
        <v>1.2183460734416462</v>
      </c>
      <c r="F77" s="39">
        <f>(VLOOKUP($A77,'The List'!$B1:$AH727,18,FALSE)-AVERAGE('The List'!S2:S727))/STDEV('The List'!S2:S727)</f>
        <v>1.3164216106339219</v>
      </c>
      <c r="G77" s="39">
        <f>(VLOOKUP($A77,'The List'!$B1:$AH727,19,FALSE)-AVERAGE('The List'!T2:T727))/STDEV('The List'!T2:T727)</f>
        <v>1.4883653514399589</v>
      </c>
      <c r="H77" s="39">
        <f>(VLOOKUP($A77,'The List'!$B1:$AH727,20,FALSE)-AVERAGE('The List'!U2:U727))/STDEV('The List'!U2:U727)</f>
        <v>1.5161986440275799</v>
      </c>
      <c r="I77" s="39">
        <f>(VLOOKUP($A77,'The List'!$B1:$AH727,21,FALSE)-AVERAGE('The List'!V2:V727))/STDEV('The List'!V2:V727)</f>
        <v>0.73890773362770779</v>
      </c>
      <c r="J77" s="39">
        <f>(VLOOKUP($A77,'The List'!$B1:$AH727,22,FALSE)-AVERAGE('The List'!W2:W727))/STDEV('The List'!W2:W727)</f>
        <v>1.4852666972387021</v>
      </c>
      <c r="K77" s="39">
        <f>(VLOOKUP($A77,'The List'!$B1:$AH727,23,FALSE)-AVERAGE('The List'!X2:X727))/STDEV('The List'!X2:X727)</f>
        <v>1.3213317339669601</v>
      </c>
      <c r="L77" s="39">
        <f>(VLOOKUP($A77,'The List'!$B1:$AH727,24,FALSE)-AVERAGE('The List'!Y2:Y727))/STDEV('The List'!Y2:Y727)</f>
        <v>2.4505089706552026</v>
      </c>
      <c r="M77" s="39">
        <f>(VLOOKUP($A77,'The List'!$B1:$AH727,25,FALSE)-AVERAGE('The List'!Z2:Z727))/STDEV('The List'!Z2:Z727)</f>
        <v>2.0795491761135581</v>
      </c>
      <c r="N77" s="39">
        <f>(VLOOKUP($A77,'The List'!$B1:$AH727,26,FALSE)-AVERAGE('The List'!AA2:AA727))/STDEV('The List'!AA2:AA727)</f>
        <v>-5.612081820854372E-2</v>
      </c>
      <c r="O77" s="39">
        <f>(VLOOKUP($A77,'The List'!$B1:$AH727,27,FALSE)-AVERAGE('The List'!AB2:AB727))/STDEV('The List'!AB2:AB727)</f>
        <v>-0.59249262872816422</v>
      </c>
      <c r="P77" s="39">
        <f>(VLOOKUP($A77,'The List'!$B1:$AH727,28,FALSE)-AVERAGE('The List'!AC2:AC727))/STDEV('The List'!AC2:AC727)</f>
        <v>-2.3106418295353137</v>
      </c>
      <c r="Q77" s="39">
        <f>(VLOOKUP($A77,'The List'!$B1:$AH727,29,FALSE)-AVERAGE('The List'!AD2:AD727))/STDEV('The List'!AD2:AD727)</f>
        <v>-6.0879602401310625E-3</v>
      </c>
      <c r="R77" s="39">
        <f>(VLOOKUP($A77,'The List'!$B1:$AH727,30,FALSE)-AVERAGE('The List'!AE2:AE727))/STDEV('The List'!AE2:AE727)</f>
        <v>0.6556994527337604</v>
      </c>
      <c r="S77" s="39">
        <f>(VLOOKUP($A77,'The List'!$B1:$AH727,31,FALSE)-AVERAGE('The List'!AF2:AF727))/STDEV('The List'!AF2:AF727)</f>
        <v>2.7202018589259414</v>
      </c>
      <c r="T77" s="39">
        <f>(VLOOKUP($A77,'The List'!$B1:$AH727,32,FALSE)-AVERAGE('The List'!AG2:AG727))/STDEV('The List'!AG2:AG727)</f>
        <v>3.1903668031788284</v>
      </c>
      <c r="U77" s="39">
        <f>(VLOOKUP($A77,'The List'!$B1:$AH727,33,FALSE)-AVERAGE('The List'!AH2:AH727))/STDEV('The List'!AH2:AH727)</f>
        <v>0.9121553906221348</v>
      </c>
      <c r="V77" s="39"/>
      <c r="W77" s="43"/>
      <c r="X77" s="41"/>
      <c r="Y77" s="41"/>
      <c r="Z77" s="41"/>
      <c r="AA77" s="41"/>
      <c r="AB77" s="41"/>
      <c r="AC77" s="44"/>
      <c r="AD77" s="45"/>
      <c r="AE77" s="39"/>
    </row>
    <row r="78" spans="1:31" ht="21.25" customHeight="1" x14ac:dyDescent="0.15">
      <c r="A78" s="8" t="s">
        <v>192</v>
      </c>
      <c r="B78" s="35" t="str">
        <f>VLOOKUP(A78,'Player Data'!A1:B734,2,FALSE)</f>
        <v>NYI</v>
      </c>
      <c r="C78" s="37">
        <f>((E78)*Settings!$C$12)+(F78*Settings!$C$2)+(G78*Settings!$C$3)+(H78*Settings!$C$4)+(I78*Settings!$C$5)+(K78*Settings!$C$9)+(N78*Settings!$C$6)+(J78*Settings!$C$8)+(O78*Settings!$C$7)+(P78*Settings!$C$14)+(Q78*Settings!$C$15)+(R78*Settings!$C$16)+(S78*Settings!$C$17)+(T78*Settings!$C$18)+(U78*Settings!$C$19)</f>
        <v>6.3087086260264673</v>
      </c>
      <c r="D78" s="41">
        <f>IF(Settings!$E$12="YES",VLOOKUP(A78,'Player Data'!A1:E734,5,FALSE),82)</f>
        <v>79.847499999999997</v>
      </c>
      <c r="E78" s="39">
        <f>(VLOOKUP($A78,'The List'!$B1:$AH727,17,FALSE)-AVERAGE('The List'!R2:R727))/STDEV('The List'!R2:R727)</f>
        <v>1.2211353336105277</v>
      </c>
      <c r="F78" s="39">
        <f>(VLOOKUP($A78,'The List'!$B1:$AH727,18,FALSE)-AVERAGE('The List'!S2:S727))/STDEV('The List'!S2:S727)</f>
        <v>2.4137926626827846</v>
      </c>
      <c r="G78" s="39">
        <f>(VLOOKUP($A78,'The List'!$B1:$AH727,19,FALSE)-AVERAGE('The List'!T2:T727))/STDEV('The List'!T2:T727)</f>
        <v>0.78420850943683584</v>
      </c>
      <c r="H78" s="39">
        <f>(VLOOKUP($A78,'The List'!$B1:$AH727,20,FALSE)-AVERAGE('The List'!U2:U727))/STDEV('The List'!U2:U727)</f>
        <v>1.581663212325034</v>
      </c>
      <c r="I78" s="39">
        <f>(VLOOKUP($A78,'The List'!$B1:$AH727,21,FALSE)-AVERAGE('The List'!V2:V727))/STDEV('The List'!V2:V727)</f>
        <v>1.7267363871189372</v>
      </c>
      <c r="J78" s="39">
        <f>(VLOOKUP($A78,'The List'!$B1:$AH727,22,FALSE)-AVERAGE('The List'!W2:W727))/STDEV('The List'!W2:W727)</f>
        <v>2.6794475708021963</v>
      </c>
      <c r="K78" s="39">
        <f>(VLOOKUP($A78,'The List'!$B1:$AH727,23,FALSE)-AVERAGE('The List'!X2:X727))/STDEV('The List'!X2:X727)</f>
        <v>1.4766589287769278</v>
      </c>
      <c r="L78" s="39">
        <f>(VLOOKUP($A78,'The List'!$B1:$AH727,24,FALSE)-AVERAGE('The List'!Y2:Y727))/STDEV('The List'!Y2:Y727)</f>
        <v>3.3292269219477824</v>
      </c>
      <c r="M78" s="39">
        <f>(VLOOKUP($A78,'The List'!$B1:$AH727,25,FALSE)-AVERAGE('The List'!Z2:Z727))/STDEV('The List'!Z2:Z727)</f>
        <v>2.5533419357636231</v>
      </c>
      <c r="N78" s="39">
        <f>(VLOOKUP($A78,'The List'!$B1:$AH727,26,FALSE)-AVERAGE('The List'!AA2:AA727))/STDEV('The List'!AA2:AA727)</f>
        <v>-8.839299333292884E-2</v>
      </c>
      <c r="O78" s="39">
        <f>(VLOOKUP($A78,'The List'!$B1:$AH727,27,FALSE)-AVERAGE('The List'!AB2:AB727))/STDEV('The List'!AB2:AB727)</f>
        <v>-0.35112804223164001</v>
      </c>
      <c r="P78" s="39">
        <f>(VLOOKUP($A78,'The List'!$B1:$AH727,28,FALSE)-AVERAGE('The List'!AC2:AC727))/STDEV('The List'!AC2:AC727)</f>
        <v>-4.2948686560898433E-3</v>
      </c>
      <c r="Q78" s="39">
        <f>(VLOOKUP($A78,'The List'!$B1:$AH727,29,FALSE)-AVERAGE('The List'!AD2:AD727))/STDEV('The List'!AD2:AD727)</f>
        <v>0.10317301419073016</v>
      </c>
      <c r="R78" s="39">
        <f>(VLOOKUP($A78,'The List'!$B1:$AH727,30,FALSE)-AVERAGE('The List'!AE2:AE727))/STDEV('The List'!AE2:AE727)</f>
        <v>2.5503266770684219</v>
      </c>
      <c r="S78" s="39">
        <f>(VLOOKUP($A78,'The List'!$B1:$AH727,31,FALSE)-AVERAGE('The List'!AF2:AF727))/STDEV('The List'!AF2:AF727)</f>
        <v>4.2959662271681243</v>
      </c>
      <c r="T78" s="39">
        <f>(VLOOKUP($A78,'The List'!$B1:$AH727,32,FALSE)-AVERAGE('The List'!AG2:AG727))/STDEV('The List'!AG2:AG727)</f>
        <v>3.3812764510470381</v>
      </c>
      <c r="U78" s="39">
        <f>(VLOOKUP($A78,'The List'!$B1:$AH727,33,FALSE)-AVERAGE('The List'!AH2:AH727))/STDEV('The List'!AH2:AH727)</f>
        <v>1.2984789729621158</v>
      </c>
      <c r="V78" s="39"/>
      <c r="W78" s="43"/>
      <c r="X78" s="41"/>
      <c r="Y78" s="41"/>
      <c r="Z78" s="41"/>
      <c r="AA78" s="41"/>
      <c r="AB78" s="41"/>
      <c r="AC78" s="44"/>
      <c r="AD78" s="45"/>
      <c r="AE78" s="39"/>
    </row>
    <row r="79" spans="1:31" ht="21.25" customHeight="1" x14ac:dyDescent="0.15">
      <c r="A79" s="8" t="s">
        <v>226</v>
      </c>
      <c r="B79" s="35" t="str">
        <f>VLOOKUP(A79,'Player Data'!A1:B734,2,FALSE)</f>
        <v>DAL</v>
      </c>
      <c r="C79" s="37">
        <f>((E79)*Settings!$C$12)+(F79*Settings!$C$2)+(G79*Settings!$C$3)+(H79*Settings!$C$4)+(I79*Settings!$C$5)+(K79*Settings!$C$9)+(N79*Settings!$C$6)+(J79*Settings!$C$8)+(O79*Settings!$C$7)+(P79*Settings!$C$14)+(Q79*Settings!$C$15)+(R79*Settings!$C$16)+(S79*Settings!$C$17)+(T79*Settings!$C$18)+(U79*Settings!$C$19)</f>
        <v>7.7721824178463255</v>
      </c>
      <c r="D79" s="41">
        <f>IF(Settings!$E$12="YES",VLOOKUP(A79,'Player Data'!A1:E734,5,FALSE),82)</f>
        <v>82.03</v>
      </c>
      <c r="E79" s="39">
        <f>(VLOOKUP($A79,'The List'!$B1:$AH727,17,FALSE)-AVERAGE('The List'!R2:R727))/STDEV('The List'!R2:R727)</f>
        <v>0.2556434833538736</v>
      </c>
      <c r="F79" s="39">
        <f>(VLOOKUP($A79,'The List'!$B1:$AH727,18,FALSE)-AVERAGE('The List'!S2:S727))/STDEV('The List'!S2:S727)</f>
        <v>1.2031015591194358</v>
      </c>
      <c r="G79" s="39">
        <f>(VLOOKUP($A79,'The List'!$B1:$AH727,19,FALSE)-AVERAGE('The List'!T2:T727))/STDEV('The List'!T2:T727)</f>
        <v>1.5667788723574854</v>
      </c>
      <c r="H79" s="39">
        <f>(VLOOKUP($A79,'The List'!$B1:$AH727,20,FALSE)-AVERAGE('The List'!U2:U727))/STDEV('The List'!U2:U727)</f>
        <v>1.5129500630478945</v>
      </c>
      <c r="I79" s="39">
        <f>(VLOOKUP($A79,'The List'!$B1:$AH727,21,FALSE)-AVERAGE('The List'!V2:V727))/STDEV('The List'!V2:V727)</f>
        <v>0.95705268368655994</v>
      </c>
      <c r="J79" s="39">
        <f>(VLOOKUP($A79,'The List'!$B1:$AH727,22,FALSE)-AVERAGE('The List'!W2:W727))/STDEV('The List'!W2:W727)</f>
        <v>2.4459182886782993</v>
      </c>
      <c r="K79" s="39">
        <f>(VLOOKUP($A79,'The List'!$B1:$AH727,23,FALSE)-AVERAGE('The List'!X2:X727))/STDEV('The List'!X2:X727)</f>
        <v>1.7738707878641746</v>
      </c>
      <c r="L79" s="39">
        <f>(VLOOKUP($A79,'The List'!$B1:$AH727,24,FALSE)-AVERAGE('The List'!Y2:Y727))/STDEV('The List'!Y2:Y727)</f>
        <v>-0.44900330455182313</v>
      </c>
      <c r="M79" s="39">
        <f>(VLOOKUP($A79,'The List'!$B1:$AH727,25,FALSE)-AVERAGE('The List'!Z2:Z727))/STDEV('The List'!Z2:Z727)</f>
        <v>-0.33346050847838943</v>
      </c>
      <c r="N79" s="39">
        <f>(VLOOKUP($A79,'The List'!$B1:$AH727,26,FALSE)-AVERAGE('The List'!AA2:AA727))/STDEV('The List'!AA2:AA727)</f>
        <v>2.3652937281107195E-2</v>
      </c>
      <c r="O79" s="39">
        <f>(VLOOKUP($A79,'The List'!$B1:$AH727,27,FALSE)-AVERAGE('The List'!AB2:AB727))/STDEV('The List'!AB2:AB727)</f>
        <v>2.5834891129389377E-3</v>
      </c>
      <c r="P79" s="39">
        <f>(VLOOKUP($A79,'The List'!$B1:$AH727,28,FALSE)-AVERAGE('The List'!AC2:AC727))/STDEV('The List'!AC2:AC727)</f>
        <v>2.2477255775375622</v>
      </c>
      <c r="Q79" s="39">
        <f>(VLOOKUP($A79,'The List'!$B1:$AH727,29,FALSE)-AVERAGE('The List'!AD2:AD727))/STDEV('The List'!AD2:AD727)</f>
        <v>-1.0780833952273567</v>
      </c>
      <c r="R79" s="39">
        <f>(VLOOKUP($A79,'The List'!$B1:$AH727,30,FALSE)-AVERAGE('The List'!AE2:AE727))/STDEV('The List'!AE2:AE727)</f>
        <v>1.4175417722361912</v>
      </c>
      <c r="S79" s="39">
        <f>(VLOOKUP($A79,'The List'!$B1:$AH727,31,FALSE)-AVERAGE('The List'!AF2:AF727))/STDEV('The List'!AF2:AF727)</f>
        <v>1.288953900341097</v>
      </c>
      <c r="T79" s="39">
        <f>(VLOOKUP($A79,'The List'!$B1:$AH727,32,FALSE)-AVERAGE('The List'!AG2:AG727))/STDEV('The List'!AG2:AG727)</f>
        <v>1.1356580298590901</v>
      </c>
      <c r="U79" s="39">
        <f>(VLOOKUP($A79,'The List'!$B1:$AH727,33,FALSE)-AVERAGE('The List'!AH2:AH727))/STDEV('The List'!AH2:AH727)</f>
        <v>1.145450968976947</v>
      </c>
      <c r="V79" s="39"/>
      <c r="W79" s="43"/>
      <c r="X79" s="41"/>
      <c r="Y79" s="41"/>
      <c r="Z79" s="41"/>
      <c r="AA79" s="41"/>
      <c r="AB79" s="41"/>
      <c r="AC79" s="44"/>
      <c r="AD79" s="45"/>
      <c r="AE79" s="39"/>
    </row>
    <row r="80" spans="1:31" ht="21.25" customHeight="1" x14ac:dyDescent="0.15">
      <c r="A80" s="8" t="s">
        <v>177</v>
      </c>
      <c r="B80" s="35" t="str">
        <f>VLOOKUP(A80,'Player Data'!A1:B734,2,FALSE)</f>
        <v>BUF</v>
      </c>
      <c r="C80" s="37">
        <f>((E80)*Settings!$C$12)+(F80*Settings!$C$2)+(G80*Settings!$C$3)+(H80*Settings!$C$4)+(I80*Settings!$C$5)+(K80*Settings!$C$9)+(N80*Settings!$C$6)+(J80*Settings!$C$8)+(O80*Settings!$C$7)+(P80*Settings!$C$14)+(Q80*Settings!$C$15)+(R80*Settings!$C$16)+(S80*Settings!$C$17)+(T80*Settings!$C$18)+(U80*Settings!$C$19)</f>
        <v>5.4292298069021507</v>
      </c>
      <c r="D80" s="41">
        <f>IF(Settings!$E$12="YES",VLOOKUP(A80,'Player Data'!A1:E734,5,FALSE),82)</f>
        <v>81.489999999999995</v>
      </c>
      <c r="E80" s="39">
        <f>(VLOOKUP($A80,'The List'!$B1:$AH727,17,FALSE)-AVERAGE('The List'!R2:R727))/STDEV('The List'!R2:R727)</f>
        <v>0.66531550364557268</v>
      </c>
      <c r="F80" s="39">
        <f>(VLOOKUP($A80,'The List'!$B1:$AH727,18,FALSE)-AVERAGE('The List'!S2:S727))/STDEV('The List'!S2:S727)</f>
        <v>1.7521413061848945</v>
      </c>
      <c r="G80" s="39">
        <f>(VLOOKUP($A80,'The List'!$B1:$AH727,19,FALSE)-AVERAGE('The List'!T2:T727))/STDEV('The List'!T2:T727)</f>
        <v>1.6156201335432603</v>
      </c>
      <c r="H80" s="39">
        <f>(VLOOKUP($A80,'The List'!$B1:$AH727,20,FALSE)-AVERAGE('The List'!U2:U727))/STDEV('The List'!U2:U727)</f>
        <v>1.7928939397398607</v>
      </c>
      <c r="I80" s="39">
        <f>(VLOOKUP($A80,'The List'!$B1:$AH727,21,FALSE)-AVERAGE('The List'!V2:V727))/STDEV('The List'!V2:V727)</f>
        <v>1.7612928891809392</v>
      </c>
      <c r="J80" s="39">
        <f>(VLOOKUP($A80,'The List'!$B1:$AH727,22,FALSE)-AVERAGE('The List'!W2:W727))/STDEV('The List'!W2:W727)</f>
        <v>1.2846336039643178</v>
      </c>
      <c r="K80" s="39">
        <f>(VLOOKUP($A80,'The List'!$B1:$AH727,23,FALSE)-AVERAGE('The List'!X2:X727))/STDEV('The List'!X2:X727)</f>
        <v>1.7689215481472458</v>
      </c>
      <c r="L80" s="39">
        <f>(VLOOKUP($A80,'The List'!$B1:$AH727,24,FALSE)-AVERAGE('The List'!Y2:Y727))/STDEV('The List'!Y2:Y727)</f>
        <v>0.90043851960505572</v>
      </c>
      <c r="M80" s="39">
        <f>(VLOOKUP($A80,'The List'!$B1:$AH727,25,FALSE)-AVERAGE('The List'!Z2:Z727))/STDEV('The List'!Z2:Z727)</f>
        <v>1.437626696016916</v>
      </c>
      <c r="N80" s="39">
        <f>(VLOOKUP($A80,'The List'!$B1:$AH727,26,FALSE)-AVERAGE('The List'!AA2:AA727))/STDEV('The List'!AA2:AA727)</f>
        <v>-0.67562835316117864</v>
      </c>
      <c r="O80" s="39">
        <f>(VLOOKUP($A80,'The List'!$B1:$AH727,27,FALSE)-AVERAGE('The List'!AB2:AB727))/STDEV('The List'!AB2:AB727)</f>
        <v>-0.67000806842593974</v>
      </c>
      <c r="P80" s="39">
        <f>(VLOOKUP($A80,'The List'!$B1:$AH727,28,FALSE)-AVERAGE('The List'!AC2:AC727))/STDEV('The List'!AC2:AC727)</f>
        <v>-0.7931177169930107</v>
      </c>
      <c r="Q80" s="39">
        <f>(VLOOKUP($A80,'The List'!$B1:$AH727,29,FALSE)-AVERAGE('The List'!AD2:AD727))/STDEV('The List'!AD2:AD727)</f>
        <v>0.96023134643727504</v>
      </c>
      <c r="R80" s="39">
        <f>(VLOOKUP($A80,'The List'!$B1:$AH727,30,FALSE)-AVERAGE('The List'!AE2:AE727))/STDEV('The List'!AE2:AE727)</f>
        <v>1.3720299001987781</v>
      </c>
      <c r="S80" s="39">
        <f>(VLOOKUP($A80,'The List'!$B1:$AH727,31,FALSE)-AVERAGE('The List'!AF2:AF727))/STDEV('The List'!AF2:AF727)</f>
        <v>2.343375854590338</v>
      </c>
      <c r="T80" s="39">
        <f>(VLOOKUP($A80,'The List'!$B1:$AH727,32,FALSE)-AVERAGE('The List'!AG2:AG727))/STDEV('The List'!AG2:AG727)</f>
        <v>2.8199571842292861</v>
      </c>
      <c r="U80" s="39">
        <f>(VLOOKUP($A80,'The List'!$B1:$AH727,33,FALSE)-AVERAGE('The List'!AH2:AH727))/STDEV('The List'!AH2:AH727)</f>
        <v>0.89038557695489684</v>
      </c>
      <c r="V80" s="39"/>
      <c r="W80" s="41"/>
      <c r="X80" s="41"/>
      <c r="Y80" s="41"/>
      <c r="Z80" s="41"/>
      <c r="AA80" s="41"/>
      <c r="AB80" s="41"/>
      <c r="AC80" s="44"/>
      <c r="AD80" s="45"/>
      <c r="AE80" s="39"/>
    </row>
    <row r="81" spans="1:31" ht="21.25" customHeight="1" x14ac:dyDescent="0.15">
      <c r="A81" s="8" t="s">
        <v>161</v>
      </c>
      <c r="B81" s="35" t="str">
        <f>VLOOKUP(A81,'Player Data'!A1:B734,2,FALSE)</f>
        <v>DET</v>
      </c>
      <c r="C81" s="37">
        <f>((E81)*Settings!$C$12)+(F81*Settings!$C$2)+(G81*Settings!$C$3)+(H81*Settings!$C$4)+(I81*Settings!$C$5)+(K81*Settings!$C$9)+(N81*Settings!$C$6)+(J81*Settings!$C$8)+(O81*Settings!$C$7)+(P81*Settings!$C$14)+(Q81*Settings!$C$15)+(R81*Settings!$C$16)+(S81*Settings!$C$17)+(T81*Settings!$C$18)+(U81*Settings!$C$19)</f>
        <v>5.2329393451736781</v>
      </c>
      <c r="D81" s="41">
        <f>IF(Settings!$E$12="YES",VLOOKUP(A81,'Player Data'!A1:E734,5,FALSE),82)</f>
        <v>81.444285714285698</v>
      </c>
      <c r="E81" s="39">
        <f>(VLOOKUP($A81,'The List'!$B1:$AH727,17,FALSE)-AVERAGE('The List'!R2:R727))/STDEV('The List'!R2:R727)</f>
        <v>0.50599756834634768</v>
      </c>
      <c r="F81" s="39">
        <f>(VLOOKUP($A81,'The List'!$B1:$AH727,18,FALSE)-AVERAGE('The List'!S2:S727))/STDEV('The List'!S2:S727)</f>
        <v>1.8230472205127408</v>
      </c>
      <c r="G81" s="39">
        <f>(VLOOKUP($A81,'The List'!$B1:$AH727,19,FALSE)-AVERAGE('The List'!T2:T727))/STDEV('The List'!T2:T727)</f>
        <v>1.0204038237616997</v>
      </c>
      <c r="H81" s="39">
        <f>(VLOOKUP($A81,'The List'!$B1:$AH727,20,FALSE)-AVERAGE('The List'!U2:U727))/STDEV('The List'!U2:U727)</f>
        <v>1.4583827969961198</v>
      </c>
      <c r="I81" s="39">
        <f>(VLOOKUP($A81,'The List'!$B1:$AH727,21,FALSE)-AVERAGE('The List'!V2:V727))/STDEV('The List'!V2:V727)</f>
        <v>1.8095250993935403</v>
      </c>
      <c r="J81" s="39">
        <f>(VLOOKUP($A81,'The List'!$B1:$AH727,22,FALSE)-AVERAGE('The List'!W2:W727))/STDEV('The List'!W2:W727)</f>
        <v>2.1899998737692692</v>
      </c>
      <c r="K81" s="39">
        <f>(VLOOKUP($A81,'The List'!$B1:$AH727,23,FALSE)-AVERAGE('The List'!X2:X727))/STDEV('The List'!X2:X727)</f>
        <v>1.8859306793291633</v>
      </c>
      <c r="L81" s="39">
        <f>(VLOOKUP($A81,'The List'!$B1:$AH727,24,FALSE)-AVERAGE('The List'!Y2:Y727))/STDEV('The List'!Y2:Y727)</f>
        <v>-0.50659444521140684</v>
      </c>
      <c r="M81" s="39">
        <f>(VLOOKUP($A81,'The List'!$B1:$AH727,25,FALSE)-AVERAGE('The List'!Z2:Z727))/STDEV('The List'!Z2:Z727)</f>
        <v>-0.69346267593704913</v>
      </c>
      <c r="N81" s="39">
        <f>(VLOOKUP($A81,'The List'!$B1:$AH727,26,FALSE)-AVERAGE('The List'!AA2:AA727))/STDEV('The List'!AA2:AA727)</f>
        <v>-0.60908650326300007</v>
      </c>
      <c r="O81" s="39">
        <f>(VLOOKUP($A81,'The List'!$B1:$AH727,27,FALSE)-AVERAGE('The List'!AB2:AB727))/STDEV('The List'!AB2:AB727)</f>
        <v>0.18262423189492158</v>
      </c>
      <c r="P81" s="39">
        <f>(VLOOKUP($A81,'The List'!$B1:$AH727,28,FALSE)-AVERAGE('The List'!AC2:AC727))/STDEV('The List'!AC2:AC727)</f>
        <v>-0.6968809745604676</v>
      </c>
      <c r="Q81" s="39">
        <f>(VLOOKUP($A81,'The List'!$B1:$AH727,29,FALSE)-AVERAGE('The List'!AD2:AD727))/STDEV('The List'!AD2:AD727)</f>
        <v>-0.56038343638479537</v>
      </c>
      <c r="R81" s="39">
        <f>(VLOOKUP($A81,'The List'!$B1:$AH727,30,FALSE)-AVERAGE('The List'!AE2:AE727))/STDEV('The List'!AE2:AE727)</f>
        <v>1.4366661348588061</v>
      </c>
      <c r="S81" s="39">
        <f>(VLOOKUP($A81,'The List'!$B1:$AH727,31,FALSE)-AVERAGE('The List'!AF2:AF727))/STDEV('The List'!AF2:AF727)</f>
        <v>-0.49595879960825245</v>
      </c>
      <c r="T81" s="39">
        <f>(VLOOKUP($A81,'The List'!$B1:$AH727,32,FALSE)-AVERAGE('The List'!AG2:AG727))/STDEV('The List'!AG2:AG727)</f>
        <v>-0.52035448388734873</v>
      </c>
      <c r="U81" s="39">
        <f>(VLOOKUP($A81,'The List'!$B1:$AH727,33,FALSE)-AVERAGE('The List'!AH2:AH727))/STDEV('The List'!AH2:AH727)</f>
        <v>0.76985078183761946</v>
      </c>
      <c r="V81" s="39"/>
      <c r="W81" s="43"/>
      <c r="X81" s="41"/>
      <c r="Y81" s="41"/>
      <c r="Z81" s="41"/>
      <c r="AA81" s="41"/>
      <c r="AB81" s="41"/>
      <c r="AC81" s="44"/>
      <c r="AD81" s="45"/>
      <c r="AE81" s="39"/>
    </row>
    <row r="82" spans="1:31" ht="21.25" customHeight="1" x14ac:dyDescent="0.15">
      <c r="A82" s="8" t="s">
        <v>228</v>
      </c>
      <c r="B82" s="35" t="str">
        <f>VLOOKUP(A82,'Player Data'!A1:B734,2,FALSE)</f>
        <v>CAR</v>
      </c>
      <c r="C82" s="37">
        <f>((E82)*Settings!$C$12)+(F82*Settings!$C$2)+(G82*Settings!$C$3)+(H82*Settings!$C$4)+(I82*Settings!$C$5)+(K82*Settings!$C$9)+(N82*Settings!$C$6)+(J82*Settings!$C$8)+(O82*Settings!$C$7)+(P82*Settings!$C$14)+(Q82*Settings!$C$15)+(R82*Settings!$C$16)+(S82*Settings!$C$17)+(T82*Settings!$C$18)+(U82*Settings!$C$19)</f>
        <v>6.0951409806100019</v>
      </c>
      <c r="D82" s="41">
        <f>IF(Settings!$E$12="YES",VLOOKUP(A82,'Player Data'!A1:E734,5,FALSE),82)</f>
        <v>81.040714285714301</v>
      </c>
      <c r="E82" s="39">
        <f>(VLOOKUP($A82,'The List'!$B1:$AH727,17,FALSE)-AVERAGE('The List'!R2:R727))/STDEV('The List'!R2:R727)</f>
        <v>0.50790815435204306</v>
      </c>
      <c r="F82" s="39">
        <f>(VLOOKUP($A82,'The List'!$B1:$AH727,18,FALSE)-AVERAGE('The List'!S2:S727))/STDEV('The List'!S2:S727)</f>
        <v>1.2239898776201728</v>
      </c>
      <c r="G82" s="39">
        <f>(VLOOKUP($A82,'The List'!$B1:$AH727,19,FALSE)-AVERAGE('The List'!T2:T727))/STDEV('The List'!T2:T727)</f>
        <v>1.415347928153962</v>
      </c>
      <c r="H82" s="39">
        <f>(VLOOKUP($A82,'The List'!$B1:$AH727,20,FALSE)-AVERAGE('The List'!U2:U727))/STDEV('The List'!U2:U727)</f>
        <v>1.4291424128970642</v>
      </c>
      <c r="I82" s="39">
        <f>(VLOOKUP($A82,'The List'!$B1:$AH727,21,FALSE)-AVERAGE('The List'!V2:V727))/STDEV('The List'!V2:V727)</f>
        <v>1.5231290104801936</v>
      </c>
      <c r="J82" s="39">
        <f>(VLOOKUP($A82,'The List'!$B1:$AH727,22,FALSE)-AVERAGE('The List'!W2:W727))/STDEV('The List'!W2:W727)</f>
        <v>1.1694573077558692</v>
      </c>
      <c r="K82" s="39">
        <f>(VLOOKUP($A82,'The List'!$B1:$AH727,23,FALSE)-AVERAGE('The List'!X2:X727))/STDEV('The List'!X2:X727)</f>
        <v>1.4198299462116117</v>
      </c>
      <c r="L82" s="39">
        <f>(VLOOKUP($A82,'The List'!$B1:$AH727,24,FALSE)-AVERAGE('The List'!Y2:Y727))/STDEV('The List'!Y2:Y727)</f>
        <v>-2.3125777535688289E-2</v>
      </c>
      <c r="M82" s="39">
        <f>(VLOOKUP($A82,'The List'!$B1:$AH727,25,FALSE)-AVERAGE('The List'!Z2:Z727))/STDEV('The List'!Z2:Z727)</f>
        <v>2.5921631537220307E-2</v>
      </c>
      <c r="N82" s="39">
        <f>(VLOOKUP($A82,'The List'!$B1:$AH727,26,FALSE)-AVERAGE('The List'!AA2:AA727))/STDEV('The List'!AA2:AA727)</f>
        <v>-0.89862381079677678</v>
      </c>
      <c r="O82" s="39">
        <f>(VLOOKUP($A82,'The List'!$B1:$AH727,27,FALSE)-AVERAGE('The List'!AB2:AB727))/STDEV('The List'!AB2:AB727)</f>
        <v>-0.63878904056314079</v>
      </c>
      <c r="P82" s="39">
        <f>(VLOOKUP($A82,'The List'!$B1:$AH727,28,FALSE)-AVERAGE('The List'!AC2:AC727))/STDEV('The List'!AC2:AC727)</f>
        <v>1.4114680289408383</v>
      </c>
      <c r="Q82" s="39">
        <f>(VLOOKUP($A82,'The List'!$B1:$AH727,29,FALSE)-AVERAGE('The List'!AD2:AD727))/STDEV('The List'!AD2:AD727)</f>
        <v>4.2085885923490642E-2</v>
      </c>
      <c r="R82" s="39">
        <f>(VLOOKUP($A82,'The List'!$B1:$AH727,30,FALSE)-AVERAGE('The List'!AE2:AE727))/STDEV('The List'!AE2:AE727)</f>
        <v>1.7589464568236866</v>
      </c>
      <c r="S82" s="39">
        <f>(VLOOKUP($A82,'The List'!$B1:$AH727,31,FALSE)-AVERAGE('The List'!AF2:AF727))/STDEV('The List'!AF2:AF727)</f>
        <v>0.20538488846717273</v>
      </c>
      <c r="T82" s="39">
        <f>(VLOOKUP($A82,'The List'!$B1:$AH727,32,FALSE)-AVERAGE('The List'!AG2:AG727))/STDEV('The List'!AG2:AG727)</f>
        <v>0.37154649140971346</v>
      </c>
      <c r="U82" s="39">
        <f>(VLOOKUP($A82,'The List'!$B1:$AH727,33,FALSE)-AVERAGE('The List'!AH2:AH727))/STDEV('The List'!AH2:AH727)</f>
        <v>0.80278097638570411</v>
      </c>
      <c r="V82" s="39"/>
      <c r="W82" s="41"/>
      <c r="X82" s="39"/>
      <c r="Y82" s="39"/>
      <c r="Z82" s="39"/>
      <c r="AA82" s="39"/>
      <c r="AB82" s="39"/>
      <c r="AC82" s="39"/>
      <c r="AD82" s="39"/>
      <c r="AE82" s="39"/>
    </row>
    <row r="83" spans="1:31" ht="21.25" customHeight="1" x14ac:dyDescent="0.15">
      <c r="A83" s="8" t="s">
        <v>216</v>
      </c>
      <c r="B83" s="35" t="str">
        <f>VLOOKUP(A83,'Player Data'!A1:B734,2,FALSE)</f>
        <v>SEA</v>
      </c>
      <c r="C83" s="37">
        <f>((E83)*Settings!$C$12)+(F83*Settings!$C$2)+(G83*Settings!$C$3)+(H83*Settings!$C$4)+(I83*Settings!$C$5)+(K83*Settings!$C$9)+(N83*Settings!$C$6)+(J83*Settings!$C$8)+(O83*Settings!$C$7)+(P83*Settings!$C$14)+(Q83*Settings!$C$15)+(R83*Settings!$C$16)+(S83*Settings!$C$17)+(T83*Settings!$C$18)+(U83*Settings!$C$19)</f>
        <v>4.7503340061717036</v>
      </c>
      <c r="D83" s="41">
        <f>IF(Settings!$E$12="YES",VLOOKUP(A83,'Player Data'!A1:E734,5,FALSE),82)</f>
        <v>77.7</v>
      </c>
      <c r="E83" s="39">
        <f>(VLOOKUP($A83,'The List'!$B1:$AH727,17,FALSE)-AVERAGE('The List'!R2:R727))/STDEV('The List'!R2:R727)</f>
        <v>0.17866094731000018</v>
      </c>
      <c r="F83" s="39">
        <f>(VLOOKUP($A83,'The List'!$B1:$AH727,18,FALSE)-AVERAGE('The List'!S2:S727))/STDEV('The List'!S2:S727)</f>
        <v>2.0445062845095667</v>
      </c>
      <c r="G83" s="39">
        <f>(VLOOKUP($A83,'The List'!$B1:$AH727,19,FALSE)-AVERAGE('The List'!T2:T727))/STDEV('The List'!T2:T727)</f>
        <v>0.58461675923538681</v>
      </c>
      <c r="H83" s="39">
        <f>(VLOOKUP($A83,'The List'!$B1:$AH727,20,FALSE)-AVERAGE('The List'!U2:U727))/STDEV('The List'!U2:U727)</f>
        <v>1.2906245273589407</v>
      </c>
      <c r="I83" s="39">
        <f>(VLOOKUP($A83,'The List'!$B1:$AH727,21,FALSE)-AVERAGE('The List'!V2:V727))/STDEV('The List'!V2:V727)</f>
        <v>1.3354418045197094</v>
      </c>
      <c r="J83" s="39">
        <f>(VLOOKUP($A83,'The List'!$B1:$AH727,22,FALSE)-AVERAGE('The List'!W2:W727))/STDEV('The List'!W2:W727)</f>
        <v>1.5438841202900857</v>
      </c>
      <c r="K83" s="39">
        <f>(VLOOKUP($A83,'The List'!$B1:$AH727,23,FALSE)-AVERAGE('The List'!X2:X727))/STDEV('The List'!X2:X727)</f>
        <v>1.0315786980111923</v>
      </c>
      <c r="L83" s="39">
        <f>(VLOOKUP($A83,'The List'!$B1:$AH727,24,FALSE)-AVERAGE('The List'!Y2:Y727))/STDEV('The List'!Y2:Y727)</f>
        <v>2.8453099397550212</v>
      </c>
      <c r="M83" s="39">
        <f>(VLOOKUP($A83,'The List'!$B1:$AH727,25,FALSE)-AVERAGE('The List'!Z2:Z727))/STDEV('The List'!Z2:Z727)</f>
        <v>1.4642477687242936</v>
      </c>
      <c r="N83" s="39">
        <f>(VLOOKUP($A83,'The List'!$B1:$AH727,26,FALSE)-AVERAGE('The List'!AA2:AA727))/STDEV('The List'!AA2:AA727)</f>
        <v>-0.7247736668473993</v>
      </c>
      <c r="O83" s="39">
        <f>(VLOOKUP($A83,'The List'!$B1:$AH727,27,FALSE)-AVERAGE('The List'!AB2:AB727))/STDEV('The List'!AB2:AB727)</f>
        <v>-0.44369334317267017</v>
      </c>
      <c r="P83" s="39">
        <f>(VLOOKUP($A83,'The List'!$B1:$AH727,28,FALSE)-AVERAGE('The List'!AC2:AC727))/STDEV('The List'!AC2:AC727)</f>
        <v>0.47896412674324823</v>
      </c>
      <c r="Q83" s="39">
        <f>(VLOOKUP($A83,'The List'!$B1:$AH727,29,FALSE)-AVERAGE('The List'!AD2:AD727))/STDEV('The List'!AD2:AD727)</f>
        <v>-0.68780562586099547</v>
      </c>
      <c r="R83" s="39">
        <f>(VLOOKUP($A83,'The List'!$B1:$AH727,30,FALSE)-AVERAGE('The List'!AE2:AE727))/STDEV('The List'!AE2:AE727)</f>
        <v>1.8731288935644985</v>
      </c>
      <c r="S83" s="39">
        <f>(VLOOKUP($A83,'The List'!$B1:$AH727,31,FALSE)-AVERAGE('The List'!AF2:AF727))/STDEV('The List'!AF2:AF727)</f>
        <v>-0.23901216625797941</v>
      </c>
      <c r="T83" s="39">
        <f>(VLOOKUP($A83,'The List'!$B1:$AH727,32,FALSE)-AVERAGE('The List'!AG2:AG727))/STDEV('The List'!AG2:AG727)</f>
        <v>-8.3007657895641712E-2</v>
      </c>
      <c r="U83" s="39">
        <f>(VLOOKUP($A83,'The List'!$B1:$AH727,33,FALSE)-AVERAGE('The List'!AH2:AH727))/STDEV('The List'!AH2:AH727)</f>
        <v>0.53487489194116877</v>
      </c>
      <c r="V83" s="39"/>
      <c r="W83" s="43"/>
      <c r="X83" s="41"/>
      <c r="Y83" s="41"/>
      <c r="Z83" s="41"/>
      <c r="AA83" s="41"/>
      <c r="AB83" s="41"/>
      <c r="AC83" s="44"/>
      <c r="AD83" s="45"/>
      <c r="AE83" s="39"/>
    </row>
    <row r="84" spans="1:31" ht="21.25" customHeight="1" x14ac:dyDescent="0.15">
      <c r="A84" s="8" t="s">
        <v>127</v>
      </c>
      <c r="B84" s="35" t="str">
        <f>VLOOKUP(A84,'Player Data'!A1:B734,2,FALSE)</f>
        <v>BUF</v>
      </c>
      <c r="C84" s="37">
        <f>((E84)*Settings!$C$12)+(F84*Settings!$C$2)+(G84*Settings!$C$3)+(H84*Settings!$C$4)+(I84*Settings!$C$5)+(K84*Settings!$C$9)+(N84*Settings!$C$6)+(J84*Settings!$C$8)+(O84*Settings!$C$7)+(P84*Settings!$C$14)+(Q84*Settings!$C$15)+(R84*Settings!$C$16)+(S84*Settings!$C$17)+(T84*Settings!$C$18)+(U84*Settings!$C$19)</f>
        <v>7.7295917969080383</v>
      </c>
      <c r="D84" s="41">
        <f>IF(Settings!$E$12="YES",VLOOKUP(A84,'Player Data'!A1:E734,5,FALSE),82)</f>
        <v>81.48</v>
      </c>
      <c r="E84" s="39">
        <f>(VLOOKUP($A84,'The List'!$B1:$AH727,17,FALSE)-AVERAGE('The List'!R2:R727))/STDEV('The List'!R2:R727)</f>
        <v>2.4599682502885396</v>
      </c>
      <c r="F84" s="39">
        <f>(VLOOKUP($A84,'The List'!$B1:$AH727,18,FALSE)-AVERAGE('The List'!S2:S727))/STDEV('The List'!S2:S727)</f>
        <v>0.19159609218530624</v>
      </c>
      <c r="G84" s="39">
        <f>(VLOOKUP($A84,'The List'!$B1:$AH727,19,FALSE)-AVERAGE('The List'!T2:T727))/STDEV('The List'!T2:T727)</f>
        <v>2.3967161509689463</v>
      </c>
      <c r="H84" s="39">
        <f>(VLOOKUP($A84,'The List'!$B1:$AH727,20,FALSE)-AVERAGE('The List'!U2:U727))/STDEV('The List'!U2:U727)</f>
        <v>1.5640667723485775</v>
      </c>
      <c r="I84" s="39">
        <f>(VLOOKUP($A84,'The List'!$B1:$AH727,21,FALSE)-AVERAGE('The List'!V2:V727))/STDEV('The List'!V2:V727)</f>
        <v>1.2848131412431936</v>
      </c>
      <c r="J84" s="39">
        <f>(VLOOKUP($A84,'The List'!$B1:$AH727,22,FALSE)-AVERAGE('The List'!W2:W727))/STDEV('The List'!W2:W727)</f>
        <v>0.69058832262658632</v>
      </c>
      <c r="K84" s="39">
        <f>(VLOOKUP($A84,'The List'!$B1:$AH727,23,FALSE)-AVERAGE('The List'!X2:X727))/STDEV('The List'!X2:X727)</f>
        <v>2.4553976208851744</v>
      </c>
      <c r="L84" s="39">
        <f>(VLOOKUP($A84,'The List'!$B1:$AH727,24,FALSE)-AVERAGE('The List'!Y2:Y727))/STDEV('The List'!Y2:Y727)</f>
        <v>-0.49902031071574782</v>
      </c>
      <c r="M84" s="39">
        <f>(VLOOKUP($A84,'The List'!$B1:$AH727,25,FALSE)-AVERAGE('The List'!Z2:Z727))/STDEV('The List'!Z2:Z727)</f>
        <v>-0.3819486245660132</v>
      </c>
      <c r="N84" s="39">
        <f>(VLOOKUP($A84,'The List'!$B1:$AH727,26,FALSE)-AVERAGE('The List'!AA2:AA727))/STDEV('The List'!AA2:AA727)</f>
        <v>1.6413626391616261</v>
      </c>
      <c r="O84" s="39">
        <f>(VLOOKUP($A84,'The List'!$B1:$AH727,27,FALSE)-AVERAGE('The List'!AB2:AB727))/STDEV('The List'!AB2:AB727)</f>
        <v>0.47910688265229179</v>
      </c>
      <c r="P84" s="39">
        <f>(VLOOKUP($A84,'The List'!$B1:$AH727,28,FALSE)-AVERAGE('The List'!AC2:AC727))/STDEV('The List'!AC2:AC727)</f>
        <v>-0.2402938475362083</v>
      </c>
      <c r="Q84" s="39">
        <f>(VLOOKUP($A84,'The List'!$B1:$AH727,29,FALSE)-AVERAGE('The List'!AD2:AD727))/STDEV('The List'!AD2:AD727)</f>
        <v>2.8717132434972235</v>
      </c>
      <c r="R84" s="39">
        <f>(VLOOKUP($A84,'The List'!$B1:$AH727,30,FALSE)-AVERAGE('The List'!AE2:AE727))/STDEV('The List'!AE2:AE727)</f>
        <v>5.8380015593501609E-2</v>
      </c>
      <c r="S84" s="39">
        <f>(VLOOKUP($A84,'The List'!$B1:$AH727,31,FALSE)-AVERAGE('The List'!AF2:AF727))/STDEV('The List'!AF2:AF727)</f>
        <v>-0.55804314905918151</v>
      </c>
      <c r="T84" s="39">
        <f>(VLOOKUP($A84,'The List'!$B1:$AH727,32,FALSE)-AVERAGE('The List'!AG2:AG727))/STDEV('The List'!AG2:AG727)</f>
        <v>-0.60188453558131205</v>
      </c>
      <c r="U84" s="39">
        <f>(VLOOKUP($A84,'The List'!$B1:$AH727,33,FALSE)-AVERAGE('The List'!AH2:AH727))/STDEV('The List'!AH2:AH727)</f>
        <v>-1.2395873372913611</v>
      </c>
      <c r="V84" s="39"/>
      <c r="W84" s="43"/>
      <c r="X84" s="41"/>
      <c r="Y84" s="41"/>
      <c r="Z84" s="41"/>
      <c r="AA84" s="41"/>
      <c r="AB84" s="41"/>
      <c r="AC84" s="44"/>
      <c r="AD84" s="45"/>
      <c r="AE84" s="39"/>
    </row>
    <row r="85" spans="1:31" ht="21.25" customHeight="1" x14ac:dyDescent="0.15">
      <c r="A85" s="8" t="s">
        <v>208</v>
      </c>
      <c r="B85" s="35" t="str">
        <f>VLOOKUP(A85,'Player Data'!A1:B734,2,FALSE)</f>
        <v>LAK</v>
      </c>
      <c r="C85" s="37">
        <f>((E85)*Settings!$C$12)+(F85*Settings!$C$2)+(G85*Settings!$C$3)+(H85*Settings!$C$4)+(I85*Settings!$C$5)+(K85*Settings!$C$9)+(N85*Settings!$C$6)+(J85*Settings!$C$8)+(O85*Settings!$C$7)+(P85*Settings!$C$14)+(Q85*Settings!$C$15)+(R85*Settings!$C$16)+(S85*Settings!$C$17)+(T85*Settings!$C$18)+(U85*Settings!$C$19)</f>
        <v>5.0224087455135056</v>
      </c>
      <c r="D85" s="41">
        <f>IF(Settings!$E$12="YES",VLOOKUP(A85,'Player Data'!A1:E734,5,FALSE),82)</f>
        <v>78.830714285714294</v>
      </c>
      <c r="E85" s="39">
        <f>(VLOOKUP($A85,'The List'!$B1:$AH727,17,FALSE)-AVERAGE('The List'!R2:R727))/STDEV('The List'!R2:R727)</f>
        <v>0.57046252933765107</v>
      </c>
      <c r="F85" s="39">
        <f>(VLOOKUP($A85,'The List'!$B1:$AH727,18,FALSE)-AVERAGE('The List'!S2:S727))/STDEV('The List'!S2:S727)</f>
        <v>1.4207939003366019</v>
      </c>
      <c r="G85" s="39">
        <f>(VLOOKUP($A85,'The List'!$B1:$AH727,19,FALSE)-AVERAGE('The List'!T2:T727))/STDEV('The List'!T2:T727)</f>
        <v>1.0263315002530224</v>
      </c>
      <c r="H85" s="39">
        <f>(VLOOKUP($A85,'The List'!$B1:$AH727,20,FALSE)-AVERAGE('The List'!U2:U727))/STDEV('The List'!U2:U727)</f>
        <v>1.2789850536038656</v>
      </c>
      <c r="I85" s="39">
        <f>(VLOOKUP($A85,'The List'!$B1:$AH727,21,FALSE)-AVERAGE('The List'!V2:V727))/STDEV('The List'!V2:V727)</f>
        <v>1.3739460790379816</v>
      </c>
      <c r="J85" s="39">
        <f>(VLOOKUP($A85,'The List'!$B1:$AH727,22,FALSE)-AVERAGE('The List'!W2:W727))/STDEV('The List'!W2:W727)</f>
        <v>2.2081016264218407</v>
      </c>
      <c r="K85" s="39">
        <f>(VLOOKUP($A85,'The List'!$B1:$AH727,23,FALSE)-AVERAGE('The List'!X2:X727))/STDEV('The List'!X2:X727)</f>
        <v>1.3225476757961481</v>
      </c>
      <c r="L85" s="39">
        <f>(VLOOKUP($A85,'The List'!$B1:$AH727,24,FALSE)-AVERAGE('The List'!Y2:Y727))/STDEV('The List'!Y2:Y727)</f>
        <v>-0.48418789208823754</v>
      </c>
      <c r="M85" s="39">
        <f>(VLOOKUP($A85,'The List'!$B1:$AH727,25,FALSE)-AVERAGE('The List'!Z2:Z727))/STDEV('The List'!Z2:Z727)</f>
        <v>-0.65673328997386993</v>
      </c>
      <c r="N85" s="39">
        <f>(VLOOKUP($A85,'The List'!$B1:$AH727,26,FALSE)-AVERAGE('The List'!AA2:AA727))/STDEV('The List'!AA2:AA727)</f>
        <v>-0.29618285275662909</v>
      </c>
      <c r="O85" s="39">
        <f>(VLOOKUP($A85,'The List'!$B1:$AH727,27,FALSE)-AVERAGE('The List'!AB2:AB727))/STDEV('The List'!AB2:AB727)</f>
        <v>-6.6097616529726039E-2</v>
      </c>
      <c r="P85" s="39">
        <f>(VLOOKUP($A85,'The List'!$B1:$AH727,28,FALSE)-AVERAGE('The List'!AC2:AC727))/STDEV('The List'!AC2:AC727)</f>
        <v>0.17497244284638058</v>
      </c>
      <c r="Q85" s="39">
        <f>(VLOOKUP($A85,'The List'!$B1:$AH727,29,FALSE)-AVERAGE('The List'!AD2:AD727))/STDEV('The List'!AD2:AD727)</f>
        <v>2.98474042241615</v>
      </c>
      <c r="R85" s="39">
        <f>(VLOOKUP($A85,'The List'!$B1:$AH727,30,FALSE)-AVERAGE('The List'!AE2:AE727))/STDEV('The List'!AE2:AE727)</f>
        <v>1.4406015117507953</v>
      </c>
      <c r="S85" s="39">
        <f>(VLOOKUP($A85,'The List'!$B1:$AH727,31,FALSE)-AVERAGE('The List'!AF2:AF727))/STDEV('The List'!AF2:AF727)</f>
        <v>1.9027374299103543</v>
      </c>
      <c r="T85" s="39">
        <f>(VLOOKUP($A85,'The List'!$B1:$AH727,32,FALSE)-AVERAGE('The List'!AG2:AG727))/STDEV('The List'!AG2:AG727)</f>
        <v>2.2734514313317331</v>
      </c>
      <c r="U85" s="39">
        <f>(VLOOKUP($A85,'The List'!$B1:$AH727,33,FALSE)-AVERAGE('The List'!AH2:AH727))/STDEV('The List'!AH2:AH727)</f>
        <v>0.90084466952143438</v>
      </c>
      <c r="V85" s="39"/>
      <c r="W85" s="43"/>
      <c r="X85" s="41"/>
      <c r="Y85" s="41"/>
      <c r="Z85" s="41"/>
      <c r="AA85" s="41"/>
      <c r="AB85" s="41"/>
      <c r="AC85" s="44"/>
      <c r="AD85" s="45"/>
      <c r="AE85" s="39"/>
    </row>
    <row r="86" spans="1:31" ht="21.25" customHeight="1" x14ac:dyDescent="0.15">
      <c r="A86" s="8" t="s">
        <v>219</v>
      </c>
      <c r="B86" s="35" t="str">
        <f>VLOOKUP(A86,'Player Data'!A1:B734,2,FALSE)</f>
        <v>TBL</v>
      </c>
      <c r="C86" s="37">
        <f>((E86)*Settings!$C$12)+(F86*Settings!$C$2)+(G86*Settings!$C$3)+(H86*Settings!$C$4)+(I86*Settings!$C$5)+(K86*Settings!$C$9)+(N86*Settings!$C$6)+(J86*Settings!$C$8)+(O86*Settings!$C$7)+(P86*Settings!$C$14)+(Q86*Settings!$C$15)+(R86*Settings!$C$16)+(S86*Settings!$C$17)+(T86*Settings!$C$18)+(U86*Settings!$C$19)</f>
        <v>4.4012702626795228</v>
      </c>
      <c r="D86" s="41">
        <f>IF(Settings!$E$12="YES",VLOOKUP(A86,'Player Data'!A1:E734,5,FALSE),82)</f>
        <v>81.2</v>
      </c>
      <c r="E86" s="39">
        <f>(VLOOKUP($A86,'The List'!$B1:$AH727,17,FALSE)-AVERAGE('The List'!R2:R727))/STDEV('The List'!R2:R727)</f>
        <v>0.805566035068494</v>
      </c>
      <c r="F86" s="39">
        <f>(VLOOKUP($A86,'The List'!$B1:$AH727,18,FALSE)-AVERAGE('The List'!S2:S727))/STDEV('The List'!S2:S727)</f>
        <v>1.789152096627574</v>
      </c>
      <c r="G86" s="39">
        <f>(VLOOKUP($A86,'The List'!$B1:$AH727,19,FALSE)-AVERAGE('The List'!T2:T727))/STDEV('The List'!T2:T727)</f>
        <v>0.88123351199118738</v>
      </c>
      <c r="H86" s="39">
        <f>(VLOOKUP($A86,'The List'!$B1:$AH727,20,FALSE)-AVERAGE('The List'!U2:U727))/STDEV('The List'!U2:U727)</f>
        <v>1.357200367011663</v>
      </c>
      <c r="I86" s="39">
        <f>(VLOOKUP($A86,'The List'!$B1:$AH727,21,FALSE)-AVERAGE('The List'!V2:V727))/STDEV('The List'!V2:V727)</f>
        <v>0.88357984211489449</v>
      </c>
      <c r="J86" s="39">
        <f>(VLOOKUP($A86,'The List'!$B1:$AH727,22,FALSE)-AVERAGE('The List'!W2:W727))/STDEV('The List'!W2:W727)</f>
        <v>1.5198159077786095</v>
      </c>
      <c r="K86" s="39">
        <f>(VLOOKUP($A86,'The List'!$B1:$AH727,23,FALSE)-AVERAGE('The List'!X2:X727))/STDEV('The List'!X2:X727)</f>
        <v>1.0042941328980624</v>
      </c>
      <c r="L86" s="39">
        <f>(VLOOKUP($A86,'The List'!$B1:$AH727,24,FALSE)-AVERAGE('The List'!Y2:Y727))/STDEV('The List'!Y2:Y727)</f>
        <v>1.4250358529193985</v>
      </c>
      <c r="M86" s="39">
        <f>(VLOOKUP($A86,'The List'!$B1:$AH727,25,FALSE)-AVERAGE('The List'!Z2:Z727))/STDEV('The List'!Z2:Z727)</f>
        <v>3.0685081274136232</v>
      </c>
      <c r="N86" s="39">
        <f>(VLOOKUP($A86,'The List'!$B1:$AH727,26,FALSE)-AVERAGE('The List'!AA2:AA727))/STDEV('The List'!AA2:AA727)</f>
        <v>-0.15593181092894354</v>
      </c>
      <c r="O86" s="39">
        <f>(VLOOKUP($A86,'The List'!$B1:$AH727,27,FALSE)-AVERAGE('The List'!AB2:AB727))/STDEV('The List'!AB2:AB727)</f>
        <v>-0.31993974219400395</v>
      </c>
      <c r="P86" s="39">
        <f>(VLOOKUP($A86,'The List'!$B1:$AH727,28,FALSE)-AVERAGE('The List'!AC2:AC727))/STDEV('The List'!AC2:AC727)</f>
        <v>-1.0575100232514225E-3</v>
      </c>
      <c r="Q86" s="39">
        <f>(VLOOKUP($A86,'The List'!$B1:$AH727,29,FALSE)-AVERAGE('The List'!AD2:AD727))/STDEV('The List'!AD2:AD727)</f>
        <v>0.65050990792497354</v>
      </c>
      <c r="R86" s="39">
        <f>(VLOOKUP($A86,'The List'!$B1:$AH727,30,FALSE)-AVERAGE('The List'!AE2:AE727))/STDEV('The List'!AE2:AE727)</f>
        <v>1.9596845237019416</v>
      </c>
      <c r="S86" s="39">
        <f>(VLOOKUP($A86,'The List'!$B1:$AH727,31,FALSE)-AVERAGE('The List'!AF2:AF727))/STDEV('The List'!AF2:AF727)</f>
        <v>-0.42077791118243812</v>
      </c>
      <c r="T86" s="39">
        <f>(VLOOKUP($A86,'The List'!$B1:$AH727,32,FALSE)-AVERAGE('The List'!AG2:AG727))/STDEV('The List'!AG2:AG727)</f>
        <v>-0.33058602988889013</v>
      </c>
      <c r="U86" s="39">
        <f>(VLOOKUP($A86,'The List'!$B1:$AH727,33,FALSE)-AVERAGE('The List'!AH2:AH727))/STDEV('The List'!AH2:AH727)</f>
        <v>0.32977502262105529</v>
      </c>
      <c r="V86" s="39"/>
      <c r="W86" s="41"/>
      <c r="X86" s="39"/>
      <c r="Y86" s="39"/>
      <c r="Z86" s="39"/>
      <c r="AA86" s="39"/>
      <c r="AB86" s="39"/>
      <c r="AC86" s="39"/>
      <c r="AD86" s="39"/>
      <c r="AE86" s="39"/>
    </row>
    <row r="87" spans="1:31" ht="21.25" customHeight="1" x14ac:dyDescent="0.15">
      <c r="A87" s="8" t="s">
        <v>268</v>
      </c>
      <c r="B87" s="35" t="str">
        <f>VLOOKUP(A87,'Player Data'!A1:B734,2,FALSE)</f>
        <v>BOS</v>
      </c>
      <c r="C87" s="37">
        <f>((E87)*Settings!$C$12)+(F87*Settings!$C$2)+(G87*Settings!$C$3)+(H87*Settings!$C$4)+(I87*Settings!$C$5)+(K87*Settings!$C$9)+(N87*Settings!$C$6)+(J87*Settings!$C$8)+(O87*Settings!$C$7)+(P87*Settings!$C$14)+(Q87*Settings!$C$15)+(R87*Settings!$C$16)+(S87*Settings!$C$17)+(T87*Settings!$C$18)+(U87*Settings!$C$19)</f>
        <v>4.060614073680247</v>
      </c>
      <c r="D87" s="41">
        <f>IF(Settings!$E$12="YES",VLOOKUP(A87,'Player Data'!A1:E734,5,FALSE),82)</f>
        <v>79.501428571428605</v>
      </c>
      <c r="E87" s="39">
        <f>(VLOOKUP($A87,'The List'!$B1:$AH727,17,FALSE)-AVERAGE('The List'!R2:R727))/STDEV('The List'!R2:R727)</f>
        <v>0.95647385462029644</v>
      </c>
      <c r="F87" s="39">
        <f>(VLOOKUP($A87,'The List'!$B1:$AH727,18,FALSE)-AVERAGE('The List'!S2:S727))/STDEV('The List'!S2:S727)</f>
        <v>1.232468400585891</v>
      </c>
      <c r="G87" s="39">
        <f>(VLOOKUP($A87,'The List'!$B1:$AH727,19,FALSE)-AVERAGE('The List'!T2:T727))/STDEV('The List'!T2:T727)</f>
        <v>1.1832046265283045</v>
      </c>
      <c r="H87" s="39">
        <f>(VLOOKUP($A87,'The List'!$B1:$AH727,20,FALSE)-AVERAGE('The List'!U2:U727))/STDEV('The List'!U2:U727)</f>
        <v>1.2899518313808385</v>
      </c>
      <c r="I87" s="39">
        <f>(VLOOKUP($A87,'The List'!$B1:$AH727,21,FALSE)-AVERAGE('The List'!V2:V727))/STDEV('The List'!V2:V727)</f>
        <v>0.80396223775832754</v>
      </c>
      <c r="J87" s="39">
        <f>(VLOOKUP($A87,'The List'!$B1:$AH727,22,FALSE)-AVERAGE('The List'!W2:W727))/STDEV('The List'!W2:W727)</f>
        <v>1.0022679483011283</v>
      </c>
      <c r="K87" s="39">
        <f>(VLOOKUP($A87,'The List'!$B1:$AH727,23,FALSE)-AVERAGE('The List'!X2:X727))/STDEV('The List'!X2:X727)</f>
        <v>0.80724552664396421</v>
      </c>
      <c r="L87" s="39">
        <f>(VLOOKUP($A87,'The List'!$B1:$AH727,24,FALSE)-AVERAGE('The List'!Y2:Y727))/STDEV('The List'!Y2:Y727)</f>
        <v>-0.204257484715412</v>
      </c>
      <c r="M87" s="39">
        <f>(VLOOKUP($A87,'The List'!$B1:$AH727,25,FALSE)-AVERAGE('The List'!Z2:Z727))/STDEV('The List'!Z2:Z727)</f>
        <v>0.45479624075965575</v>
      </c>
      <c r="N87" s="39">
        <f>(VLOOKUP($A87,'The List'!$B1:$AH727,26,FALSE)-AVERAGE('The List'!AA2:AA727))/STDEV('The List'!AA2:AA727)</f>
        <v>-0.80883195637074656</v>
      </c>
      <c r="O87" s="39">
        <f>(VLOOKUP($A87,'The List'!$B1:$AH727,27,FALSE)-AVERAGE('The List'!AB2:AB727))/STDEV('The List'!AB2:AB727)</f>
        <v>-0.13692095114812405</v>
      </c>
      <c r="P87" s="39">
        <f>(VLOOKUP($A87,'The List'!$B1:$AH727,28,FALSE)-AVERAGE('The List'!AC2:AC727))/STDEV('The List'!AC2:AC727)</f>
        <v>0.84256523853450671</v>
      </c>
      <c r="Q87" s="39">
        <f>(VLOOKUP($A87,'The List'!$B1:$AH727,29,FALSE)-AVERAGE('The List'!AD2:AD727))/STDEV('The List'!AD2:AD727)</f>
        <v>-0.39660600392758377</v>
      </c>
      <c r="R87" s="39">
        <f>(VLOOKUP($A87,'The List'!$B1:$AH727,30,FALSE)-AVERAGE('The List'!AE2:AE727))/STDEV('The List'!AE2:AE727)</f>
        <v>1.5784012721276783</v>
      </c>
      <c r="S87" s="39">
        <f>(VLOOKUP($A87,'The List'!$B1:$AH727,31,FALSE)-AVERAGE('The List'!AF2:AF727))/STDEV('The List'!AF2:AF727)</f>
        <v>0.52399040210936754</v>
      </c>
      <c r="T87" s="39">
        <f>(VLOOKUP($A87,'The List'!$B1:$AH727,32,FALSE)-AVERAGE('The List'!AG2:AG727))/STDEV('The List'!AG2:AG727)</f>
        <v>0.62684414995183468</v>
      </c>
      <c r="U87" s="39">
        <f>(VLOOKUP($A87,'The List'!$B1:$AH727,33,FALSE)-AVERAGE('The List'!AH2:AH727))/STDEV('The List'!AH2:AH727)</f>
        <v>0.93302761227442133</v>
      </c>
      <c r="V87" s="39"/>
      <c r="W87" s="43"/>
      <c r="X87" s="41"/>
      <c r="Y87" s="41"/>
      <c r="Z87" s="41"/>
      <c r="AA87" s="41"/>
      <c r="AB87" s="41"/>
      <c r="AC87" s="44"/>
      <c r="AD87" s="45"/>
      <c r="AE87" s="39"/>
    </row>
    <row r="88" spans="1:31" ht="21.25" customHeight="1" x14ac:dyDescent="0.15">
      <c r="A88" s="8" t="s">
        <v>187</v>
      </c>
      <c r="B88" s="35" t="str">
        <f>VLOOKUP(A88,'Player Data'!A1:B734,2,FALSE)</f>
        <v>MTL</v>
      </c>
      <c r="C88" s="37">
        <f>((E88)*Settings!$C$12)+(F88*Settings!$C$2)+(G88*Settings!$C$3)+(H88*Settings!$C$4)+(I88*Settings!$C$5)+(K88*Settings!$C$9)+(N88*Settings!$C$6)+(J88*Settings!$C$8)+(O88*Settings!$C$7)+(P88*Settings!$C$14)+(Q88*Settings!$C$15)+(R88*Settings!$C$16)+(S88*Settings!$C$17)+(T88*Settings!$C$18)+(U88*Settings!$C$19)</f>
        <v>2.5737649044892139</v>
      </c>
      <c r="D88" s="41">
        <f>IF(Settings!$E$12="YES",VLOOKUP(A88,'Player Data'!A1:E734,5,FALSE),82)</f>
        <v>73.03</v>
      </c>
      <c r="E88" s="39">
        <f>(VLOOKUP($A88,'The List'!$B1:$AH727,17,FALSE)-AVERAGE('The List'!R2:R727))/STDEV('The List'!R2:R727)</f>
        <v>0.44150552513185226</v>
      </c>
      <c r="F88" s="39">
        <f>(VLOOKUP($A88,'The List'!$B1:$AH727,18,FALSE)-AVERAGE('The List'!S2:S727))/STDEV('The List'!S2:S727)</f>
        <v>2.2655051265645465</v>
      </c>
      <c r="G88" s="39">
        <f>(VLOOKUP($A88,'The List'!$B1:$AH727,19,FALSE)-AVERAGE('The List'!T2:T727))/STDEV('The List'!T2:T727)</f>
        <v>0.23881977924628003</v>
      </c>
      <c r="H88" s="39">
        <f>(VLOOKUP($A88,'The List'!$B1:$AH727,20,FALSE)-AVERAGE('The List'!U2:U727))/STDEV('The List'!U2:U727)</f>
        <v>1.1781095466533236</v>
      </c>
      <c r="I88" s="39">
        <f>(VLOOKUP($A88,'The List'!$B1:$AH727,21,FALSE)-AVERAGE('The List'!V2:V727))/STDEV('The List'!V2:V727)</f>
        <v>1.8794856938780338</v>
      </c>
      <c r="J88" s="39">
        <f>(VLOOKUP($A88,'The List'!$B1:$AH727,22,FALSE)-AVERAGE('The List'!W2:W727))/STDEV('The List'!W2:W727)</f>
        <v>1.9297849686798176</v>
      </c>
      <c r="K88" s="39">
        <f>(VLOOKUP($A88,'The List'!$B1:$AH727,23,FALSE)-AVERAGE('The List'!X2:X727))/STDEV('The List'!X2:X727)</f>
        <v>1.1511501452984891</v>
      </c>
      <c r="L88" s="39">
        <f>(VLOOKUP($A88,'The List'!$B1:$AH727,24,FALSE)-AVERAGE('The List'!Y2:Y727))/STDEV('The List'!Y2:Y727)</f>
        <v>-0.53805097418525316</v>
      </c>
      <c r="M88" s="39">
        <f>(VLOOKUP($A88,'The List'!$B1:$AH727,25,FALSE)-AVERAGE('The List'!Z2:Z727))/STDEV('The List'!Z2:Z727)</f>
        <v>-0.71697063965795982</v>
      </c>
      <c r="N88" s="39">
        <f>(VLOOKUP($A88,'The List'!$B1:$AH727,26,FALSE)-AVERAGE('The List'!AA2:AA727))/STDEV('The List'!AA2:AA727)</f>
        <v>-1.0526257560588554</v>
      </c>
      <c r="O88" s="39">
        <f>(VLOOKUP($A88,'The List'!$B1:$AH727,27,FALSE)-AVERAGE('The List'!AB2:AB727))/STDEV('The List'!AB2:AB727)</f>
        <v>-1.2381523098381872</v>
      </c>
      <c r="P88" s="39">
        <f>(VLOOKUP($A88,'The List'!$B1:$AH727,28,FALSE)-AVERAGE('The List'!AC2:AC727))/STDEV('The List'!AC2:AC727)</f>
        <v>-1.9085700844392799</v>
      </c>
      <c r="Q88" s="39">
        <f>(VLOOKUP($A88,'The List'!$B1:$AH727,29,FALSE)-AVERAGE('The List'!AD2:AD727))/STDEV('The List'!AD2:AD727)</f>
        <v>-1.1989927603073454</v>
      </c>
      <c r="R88" s="39">
        <f>(VLOOKUP($A88,'The List'!$B1:$AH727,30,FALSE)-AVERAGE('The List'!AE2:AE727))/STDEV('The List'!AE2:AE727)</f>
        <v>1.3275411979303944</v>
      </c>
      <c r="S88" s="39">
        <f>(VLOOKUP($A88,'The List'!$B1:$AH727,31,FALSE)-AVERAGE('The List'!AF2:AF727))/STDEV('The List'!AF2:AF727)</f>
        <v>-0.55494088780535988</v>
      </c>
      <c r="T88" s="39">
        <f>(VLOOKUP($A88,'The List'!$B1:$AH727,32,FALSE)-AVERAGE('The List'!AG2:AG727))/STDEV('The List'!AG2:AG727)</f>
        <v>-0.59219656726839842</v>
      </c>
      <c r="U88" s="39">
        <f>(VLOOKUP($A88,'The List'!$B1:$AH727,33,FALSE)-AVERAGE('The List'!AH2:AH727))/STDEV('The List'!AH2:AH727)</f>
        <v>-0.10117340542789176</v>
      </c>
      <c r="V88" s="39"/>
      <c r="W88" s="43"/>
      <c r="X88" s="41"/>
      <c r="Y88" s="41"/>
      <c r="Z88" s="41"/>
      <c r="AA88" s="41"/>
      <c r="AB88" s="41"/>
      <c r="AC88" s="44"/>
      <c r="AD88" s="45"/>
      <c r="AE88" s="39"/>
    </row>
    <row r="89" spans="1:31" ht="21.25" customHeight="1" x14ac:dyDescent="0.15">
      <c r="A89" s="8" t="s">
        <v>191</v>
      </c>
      <c r="B89" s="35" t="str">
        <f>VLOOKUP(A89,'Player Data'!A1:B734,2,FALSE)</f>
        <v>OTT</v>
      </c>
      <c r="C89" s="37">
        <f>((E89)*Settings!$C$12)+(F89*Settings!$C$2)+(G89*Settings!$C$3)+(H89*Settings!$C$4)+(I89*Settings!$C$5)+(K89*Settings!$C$9)+(N89*Settings!$C$6)+(J89*Settings!$C$8)+(O89*Settings!$C$7)+(P89*Settings!$C$14)+(Q89*Settings!$C$15)+(R89*Settings!$C$16)+(S89*Settings!$C$17)+(T89*Settings!$C$18)+(U89*Settings!$C$19)</f>
        <v>4.5891402131302756</v>
      </c>
      <c r="D89" s="41">
        <f>IF(Settings!$E$12="YES",VLOOKUP(A89,'Player Data'!A1:E734,5,FALSE),82)</f>
        <v>77.08</v>
      </c>
      <c r="E89" s="39">
        <f>(VLOOKUP($A89,'The List'!$B1:$AH727,17,FALSE)-AVERAGE('The List'!R2:R727))/STDEV('The List'!R2:R727)</f>
        <v>0.47971554546783585</v>
      </c>
      <c r="F89" s="39">
        <f>(VLOOKUP($A89,'The List'!$B1:$AH727,18,FALSE)-AVERAGE('The List'!S2:S727))/STDEV('The List'!S2:S727)</f>
        <v>1.069399809330779</v>
      </c>
      <c r="G89" s="39">
        <f>(VLOOKUP($A89,'The List'!$B1:$AH727,19,FALSE)-AVERAGE('The List'!T2:T727))/STDEV('The List'!T2:T727)</f>
        <v>1.1436916752515986</v>
      </c>
      <c r="H89" s="39">
        <f>(VLOOKUP($A89,'The List'!$B1:$AH727,20,FALSE)-AVERAGE('The List'!U2:U727))/STDEV('The List'!U2:U727)</f>
        <v>1.1913971737121047</v>
      </c>
      <c r="I89" s="39">
        <f>(VLOOKUP($A89,'The List'!$B1:$AH727,21,FALSE)-AVERAGE('The List'!V2:V727))/STDEV('The List'!V2:V727)</f>
        <v>1.3805832824453406</v>
      </c>
      <c r="J89" s="39">
        <f>(VLOOKUP($A89,'The List'!$B1:$AH727,22,FALSE)-AVERAGE('The List'!W2:W727))/STDEV('The List'!W2:W727)</f>
        <v>1.8968803824545588</v>
      </c>
      <c r="K89" s="39">
        <f>(VLOOKUP($A89,'The List'!$B1:$AH727,23,FALSE)-AVERAGE('The List'!X2:X727))/STDEV('The List'!X2:X727)</f>
        <v>1.6978691796024994</v>
      </c>
      <c r="L89" s="39">
        <f>(VLOOKUP($A89,'The List'!$B1:$AH727,24,FALSE)-AVERAGE('The List'!Y2:Y727))/STDEV('The List'!Y2:Y727)</f>
        <v>-0.50905128990067894</v>
      </c>
      <c r="M89" s="39">
        <f>(VLOOKUP($A89,'The List'!$B1:$AH727,25,FALSE)-AVERAGE('The List'!Z2:Z727))/STDEV('The List'!Z2:Z727)</f>
        <v>-0.68463666519695898</v>
      </c>
      <c r="N89" s="39">
        <f>(VLOOKUP($A89,'The List'!$B1:$AH727,26,FALSE)-AVERAGE('The List'!AA2:AA727))/STDEV('The List'!AA2:AA727)</f>
        <v>-0.68669549196218349</v>
      </c>
      <c r="O89" s="39">
        <f>(VLOOKUP($A89,'The List'!$B1:$AH727,27,FALSE)-AVERAGE('The List'!AB2:AB727))/STDEV('The List'!AB2:AB727)</f>
        <v>0.43561212407383842</v>
      </c>
      <c r="P89" s="39">
        <f>(VLOOKUP($A89,'The List'!$B1:$AH727,28,FALSE)-AVERAGE('The List'!AC2:AC727))/STDEV('The List'!AC2:AC727)</f>
        <v>-1.5708241537759071E-2</v>
      </c>
      <c r="Q89" s="39">
        <f>(VLOOKUP($A89,'The List'!$B1:$AH727,29,FALSE)-AVERAGE('The List'!AD2:AD727))/STDEV('The List'!AD2:AD727)</f>
        <v>-0.1337560836032187</v>
      </c>
      <c r="R89" s="39">
        <f>(VLOOKUP($A89,'The List'!$B1:$AH727,30,FALSE)-AVERAGE('The List'!AE2:AE727))/STDEV('The List'!AE2:AE727)</f>
        <v>0.95219011749005067</v>
      </c>
      <c r="S89" s="39">
        <f>(VLOOKUP($A89,'The List'!$B1:$AH727,31,FALSE)-AVERAGE('The List'!AF2:AF727))/STDEV('The List'!AF2:AF727)</f>
        <v>-0.49102201120066247</v>
      </c>
      <c r="T89" s="39">
        <f>(VLOOKUP($A89,'The List'!$B1:$AH727,32,FALSE)-AVERAGE('The List'!AG2:AG727))/STDEV('The List'!AG2:AG727)</f>
        <v>-0.48192334845850393</v>
      </c>
      <c r="U89" s="39">
        <f>(VLOOKUP($A89,'The List'!$B1:$AH727,33,FALSE)-AVERAGE('The List'!AH2:AH727))/STDEV('The List'!AH2:AH727)</f>
        <v>0.43279501570464884</v>
      </c>
      <c r="V89" s="39"/>
      <c r="W89" s="43"/>
      <c r="X89" s="41"/>
      <c r="Y89" s="41"/>
      <c r="Z89" s="41"/>
      <c r="AA89" s="41"/>
      <c r="AB89" s="41"/>
      <c r="AC89" s="44"/>
      <c r="AD89" s="45"/>
      <c r="AE89" s="39"/>
    </row>
    <row r="90" spans="1:31" ht="21.25" customHeight="1" x14ac:dyDescent="0.15">
      <c r="A90" s="8" t="s">
        <v>260</v>
      </c>
      <c r="B90" s="35" t="str">
        <f>VLOOKUP(A90,'Player Data'!A1:B734,2,FALSE)</f>
        <v>SEA</v>
      </c>
      <c r="C90" s="37">
        <f>((E90)*Settings!$C$12)+(F90*Settings!$C$2)+(G90*Settings!$C$3)+(H90*Settings!$C$4)+(I90*Settings!$C$5)+(K90*Settings!$C$9)+(N90*Settings!$C$6)+(J90*Settings!$C$8)+(O90*Settings!$C$7)+(P90*Settings!$C$14)+(Q90*Settings!$C$15)+(R90*Settings!$C$16)+(S90*Settings!$C$17)+(T90*Settings!$C$18)+(U90*Settings!$C$19)</f>
        <v>2.5995219607312317</v>
      </c>
      <c r="D90" s="41">
        <f>IF(Settings!$E$12="YES",VLOOKUP(A90,'Player Data'!A1:E734,5,FALSE),82)</f>
        <v>75.458214285714305</v>
      </c>
      <c r="E90" s="39">
        <f>(VLOOKUP($A90,'The List'!$B1:$AH727,17,FALSE)-AVERAGE('The List'!R2:R727))/STDEV('The List'!R2:R727)</f>
        <v>5.0852890795938945E-2</v>
      </c>
      <c r="F90" s="39">
        <f>(VLOOKUP($A90,'The List'!$B1:$AH727,18,FALSE)-AVERAGE('The List'!S2:S727))/STDEV('The List'!S2:S727)</f>
        <v>0.87718789075181658</v>
      </c>
      <c r="G90" s="39">
        <f>(VLOOKUP($A90,'The List'!$B1:$AH727,19,FALSE)-AVERAGE('The List'!T2:T727))/STDEV('The List'!T2:T727)</f>
        <v>1.167218317441681</v>
      </c>
      <c r="H90" s="39">
        <f>(VLOOKUP($A90,'The List'!$B1:$AH727,20,FALSE)-AVERAGE('The List'!U2:U727))/STDEV('The List'!U2:U727)</f>
        <v>1.118426056386062</v>
      </c>
      <c r="I90" s="39">
        <f>(VLOOKUP($A90,'The List'!$B1:$AH727,21,FALSE)-AVERAGE('The List'!V2:V727))/STDEV('The List'!V2:V727)</f>
        <v>0.47742496043458205</v>
      </c>
      <c r="J90" s="39">
        <f>(VLOOKUP($A90,'The List'!$B1:$AH727,22,FALSE)-AVERAGE('The List'!W2:W727))/STDEV('The List'!W2:W727)</f>
        <v>0.94889012636060399</v>
      </c>
      <c r="K90" s="39">
        <f>(VLOOKUP($A90,'The List'!$B1:$AH727,23,FALSE)-AVERAGE('The List'!X2:X727))/STDEV('The List'!X2:X727)</f>
        <v>1.1425073526247207</v>
      </c>
      <c r="L90" s="39">
        <f>(VLOOKUP($A90,'The List'!$B1:$AH727,24,FALSE)-AVERAGE('The List'!Y2:Y727))/STDEV('The List'!Y2:Y727)</f>
        <v>-0.54112758328699728</v>
      </c>
      <c r="M90" s="39">
        <f>(VLOOKUP($A90,'The List'!$B1:$AH727,25,FALSE)-AVERAGE('The List'!Z2:Z727))/STDEV('The List'!Z2:Z727)</f>
        <v>-0.72045642509646024</v>
      </c>
      <c r="N90" s="39">
        <f>(VLOOKUP($A90,'The List'!$B1:$AH727,26,FALSE)-AVERAGE('The List'!AA2:AA727))/STDEV('The List'!AA2:AA727)</f>
        <v>-0.8112606857995639</v>
      </c>
      <c r="O90" s="39">
        <f>(VLOOKUP($A90,'The List'!$B1:$AH727,27,FALSE)-AVERAGE('The List'!AB2:AB727))/STDEV('The List'!AB2:AB727)</f>
        <v>-1.0948265677272198</v>
      </c>
      <c r="P90" s="39">
        <f>(VLOOKUP($A90,'The List'!$B1:$AH727,28,FALSE)-AVERAGE('The List'!AC2:AC727))/STDEV('The List'!AC2:AC727)</f>
        <v>-0.2535558747220048</v>
      </c>
      <c r="Q90" s="39">
        <f>(VLOOKUP($A90,'The List'!$B1:$AH727,29,FALSE)-AVERAGE('The List'!AD2:AD727))/STDEV('The List'!AD2:AD727)</f>
        <v>-0.70118979548989391</v>
      </c>
      <c r="R90" s="39">
        <f>(VLOOKUP($A90,'The List'!$B1:$AH727,30,FALSE)-AVERAGE('The List'!AE2:AE727))/STDEV('The List'!AE2:AE727)</f>
        <v>0.80133521161043897</v>
      </c>
      <c r="S90" s="39">
        <f>(VLOOKUP($A90,'The List'!$B1:$AH727,31,FALSE)-AVERAGE('The List'!AF2:AF727))/STDEV('The List'!AF2:AF727)</f>
        <v>-0.54266284126956632</v>
      </c>
      <c r="T90" s="39">
        <f>(VLOOKUP($A90,'The List'!$B1:$AH727,32,FALSE)-AVERAGE('The List'!AG2:AG727))/STDEV('The List'!AG2:AG727)</f>
        <v>-0.56078600798519773</v>
      </c>
      <c r="U90" s="39">
        <f>(VLOOKUP($A90,'The List'!$B1:$AH727,33,FALSE)-AVERAGE('The List'!AH2:AH727))/STDEV('The List'!AH2:AH727)</f>
        <v>3.6605459692776669E-2</v>
      </c>
      <c r="V90" s="39"/>
      <c r="W90" s="41"/>
      <c r="X90" s="41"/>
      <c r="Y90" s="41"/>
      <c r="Z90" s="41"/>
      <c r="AA90" s="41"/>
      <c r="AB90" s="41"/>
      <c r="AC90" s="44"/>
      <c r="AD90" s="45"/>
      <c r="AE90" s="39"/>
    </row>
    <row r="91" spans="1:31" ht="21.25" customHeight="1" x14ac:dyDescent="0.15">
      <c r="A91" s="8" t="s">
        <v>254</v>
      </c>
      <c r="B91" s="35" t="str">
        <f>VLOOKUP(A91,'Player Data'!A1:B734,2,FALSE)</f>
        <v>LAK</v>
      </c>
      <c r="C91" s="37">
        <f>((E91)*Settings!$C$12)+(F91*Settings!$C$2)+(G91*Settings!$C$3)+(H91*Settings!$C$4)+(I91*Settings!$C$5)+(K91*Settings!$C$9)+(N91*Settings!$C$6)+(J91*Settings!$C$8)+(O91*Settings!$C$7)+(P91*Settings!$C$14)+(Q91*Settings!$C$15)+(R91*Settings!$C$16)+(S91*Settings!$C$17)+(T91*Settings!$C$18)+(U91*Settings!$C$19)</f>
        <v>5.0122470214473545</v>
      </c>
      <c r="D91" s="41">
        <f>IF(Settings!$E$12="YES",VLOOKUP(A91,'Player Data'!A1:E734,5,FALSE),82)</f>
        <v>81.892499999999998</v>
      </c>
      <c r="E91" s="39">
        <f>(VLOOKUP($A91,'The List'!$B1:$AH727,17,FALSE)-AVERAGE('The List'!R2:R727))/STDEV('The List'!R2:R727)</f>
        <v>1.0151004326964355</v>
      </c>
      <c r="F91" s="39">
        <f>(VLOOKUP($A91,'The List'!$B1:$AH727,18,FALSE)-AVERAGE('The List'!S2:S727))/STDEV('The List'!S2:S727)</f>
        <v>0.83285155555636425</v>
      </c>
      <c r="G91" s="39">
        <f>(VLOOKUP($A91,'The List'!$B1:$AH727,19,FALSE)-AVERAGE('The List'!T2:T727))/STDEV('The List'!T2:T727)</f>
        <v>1.5690505399517456</v>
      </c>
      <c r="H91" s="39">
        <f>(VLOOKUP($A91,'The List'!$B1:$AH727,20,FALSE)-AVERAGE('The List'!U2:U727))/STDEV('The List'!U2:U727)</f>
        <v>1.3458629650189373</v>
      </c>
      <c r="I91" s="39">
        <f>(VLOOKUP($A91,'The List'!$B1:$AH727,21,FALSE)-AVERAGE('The List'!V2:V727))/STDEV('The List'!V2:V727)</f>
        <v>0.80552450319899316</v>
      </c>
      <c r="J91" s="39">
        <f>(VLOOKUP($A91,'The List'!$B1:$AH727,22,FALSE)-AVERAGE('The List'!W2:W727))/STDEV('The List'!W2:W727)</f>
        <v>0.79920590870423358</v>
      </c>
      <c r="K91" s="39">
        <f>(VLOOKUP($A91,'The List'!$B1:$AH727,23,FALSE)-AVERAGE('The List'!X2:X727))/STDEV('The List'!X2:X727)</f>
        <v>1.2216099173975097</v>
      </c>
      <c r="L91" s="39">
        <f>(VLOOKUP($A91,'The List'!$B1:$AH727,24,FALSE)-AVERAGE('The List'!Y2:Y727))/STDEV('The List'!Y2:Y727)</f>
        <v>-0.34212518991615914</v>
      </c>
      <c r="M91" s="39">
        <f>(VLOOKUP($A91,'The List'!$B1:$AH727,25,FALSE)-AVERAGE('The List'!Z2:Z727))/STDEV('The List'!Z2:Z727)</f>
        <v>0.29365632664589614</v>
      </c>
      <c r="N91" s="39">
        <f>(VLOOKUP($A91,'The List'!$B1:$AH727,26,FALSE)-AVERAGE('The List'!AA2:AA727))/STDEV('The List'!AA2:AA727)</f>
        <v>0.48242776512391861</v>
      </c>
      <c r="O91" s="39">
        <f>(VLOOKUP($A91,'The List'!$B1:$AH727,27,FALSE)-AVERAGE('The List'!AB2:AB727))/STDEV('The List'!AB2:AB727)</f>
        <v>-0.44017802236212533</v>
      </c>
      <c r="P91" s="39">
        <f>(VLOOKUP($A91,'The List'!$B1:$AH727,28,FALSE)-AVERAGE('The List'!AC2:AC727))/STDEV('The List'!AC2:AC727)</f>
        <v>0.10078274021882376</v>
      </c>
      <c r="Q91" s="39">
        <f>(VLOOKUP($A91,'The List'!$B1:$AH727,29,FALSE)-AVERAGE('The List'!AD2:AD727))/STDEV('The List'!AD2:AD727)</f>
        <v>-1.2381086796275127</v>
      </c>
      <c r="R91" s="39">
        <f>(VLOOKUP($A91,'The List'!$B1:$AH727,30,FALSE)-AVERAGE('The List'!AE2:AE727))/STDEV('The List'!AE2:AE727)</f>
        <v>0.8704208257089926</v>
      </c>
      <c r="S91" s="39">
        <f>(VLOOKUP($A91,'The List'!$B1:$AH727,31,FALSE)-AVERAGE('The List'!AF2:AF727))/STDEV('The List'!AF2:AF727)</f>
        <v>3.853987888255757</v>
      </c>
      <c r="T91" s="39">
        <f>(VLOOKUP($A91,'The List'!$B1:$AH727,32,FALSE)-AVERAGE('The List'!AG2:AG727))/STDEV('The List'!AG2:AG727)</f>
        <v>2.9715071842009833</v>
      </c>
      <c r="U91" s="39">
        <f>(VLOOKUP($A91,'The List'!$B1:$AH727,33,FALSE)-AVERAGE('The List'!AH2:AH727))/STDEV('The List'!AH2:AH727)</f>
        <v>1.3130266784631666</v>
      </c>
      <c r="V91" s="39"/>
      <c r="W91" s="41"/>
      <c r="X91" s="39"/>
      <c r="Y91" s="39"/>
      <c r="Z91" s="39"/>
      <c r="AA91" s="39"/>
      <c r="AB91" s="39"/>
      <c r="AC91" s="39"/>
      <c r="AD91" s="39"/>
      <c r="AE91" s="39"/>
    </row>
    <row r="92" spans="1:31" ht="21.25" customHeight="1" x14ac:dyDescent="0.15">
      <c r="A92" s="8" t="s">
        <v>285</v>
      </c>
      <c r="B92" s="35" t="str">
        <f>VLOOKUP(A92,'Player Data'!A1:B734,2,FALSE)</f>
        <v>VGK</v>
      </c>
      <c r="C92" s="37">
        <f>((E92)*Settings!$C$12)+(F92*Settings!$C$2)+(G92*Settings!$C$3)+(H92*Settings!$C$4)+(I92*Settings!$C$5)+(K92*Settings!$C$9)+(N92*Settings!$C$6)+(J92*Settings!$C$8)+(O92*Settings!$C$7)+(P92*Settings!$C$14)+(Q92*Settings!$C$15)+(R92*Settings!$C$16)+(S92*Settings!$C$17)+(T92*Settings!$C$18)+(U92*Settings!$C$19)</f>
        <v>4.3468715370893412</v>
      </c>
      <c r="D92" s="41">
        <f>IF(Settings!$E$12="YES",VLOOKUP(A92,'Player Data'!A1:E734,5,FALSE),82)</f>
        <v>80.707857142857094</v>
      </c>
      <c r="E92" s="39">
        <f>(VLOOKUP($A92,'The List'!$B1:$AH727,17,FALSE)-AVERAGE('The List'!R2:R727))/STDEV('The List'!R2:R727)</f>
        <v>0.75896354844020997</v>
      </c>
      <c r="F92" s="39">
        <f>(VLOOKUP($A92,'The List'!$B1:$AH727,18,FALSE)-AVERAGE('The List'!S2:S727))/STDEV('The List'!S2:S727)</f>
        <v>0.63019950462208352</v>
      </c>
      <c r="G92" s="39">
        <f>(VLOOKUP($A92,'The List'!$B1:$AH727,19,FALSE)-AVERAGE('The List'!T2:T727))/STDEV('The List'!T2:T727)</f>
        <v>1.6129004138539218</v>
      </c>
      <c r="H92" s="39">
        <f>(VLOOKUP($A92,'The List'!$B1:$AH727,20,FALSE)-AVERAGE('The List'!U2:U727))/STDEV('The List'!U2:U727)</f>
        <v>1.2806642966816295</v>
      </c>
      <c r="I92" s="39">
        <f>(VLOOKUP($A92,'The List'!$B1:$AH727,21,FALSE)-AVERAGE('The List'!V2:V727))/STDEV('The List'!V2:V727)</f>
        <v>3.408054198605507E-2</v>
      </c>
      <c r="J92" s="39">
        <f>(VLOOKUP($A92,'The List'!$B1:$AH727,22,FALSE)-AVERAGE('The List'!W2:W727))/STDEV('The List'!W2:W727)</f>
        <v>0.79516146258771503</v>
      </c>
      <c r="K92" s="39">
        <f>(VLOOKUP($A92,'The List'!$B1:$AH727,23,FALSE)-AVERAGE('The List'!X2:X727))/STDEV('The List'!X2:X727)</f>
        <v>0.7320760547049191</v>
      </c>
      <c r="L92" s="39">
        <f>(VLOOKUP($A92,'The List'!$B1:$AH727,24,FALSE)-AVERAGE('The List'!Y2:Y727))/STDEV('The List'!Y2:Y727)</f>
        <v>1.4437682555737188</v>
      </c>
      <c r="M92" s="39">
        <f>(VLOOKUP($A92,'The List'!$B1:$AH727,25,FALSE)-AVERAGE('The List'!Z2:Z727))/STDEV('The List'!Z2:Z727)</f>
        <v>2.3056296209548979</v>
      </c>
      <c r="N92" s="39">
        <f>(VLOOKUP($A92,'The List'!$B1:$AH727,26,FALSE)-AVERAGE('The List'!AA2:AA727))/STDEV('The List'!AA2:AA727)</f>
        <v>-0.18451599309716507</v>
      </c>
      <c r="O92" s="39">
        <f>(VLOOKUP($A92,'The List'!$B1:$AH727,27,FALSE)-AVERAGE('The List'!AB2:AB727))/STDEV('The List'!AB2:AB727)</f>
        <v>-0.36853943048052668</v>
      </c>
      <c r="P92" s="39">
        <f>(VLOOKUP($A92,'The List'!$B1:$AH727,28,FALSE)-AVERAGE('The List'!AC2:AC727))/STDEV('The List'!AC2:AC727)</f>
        <v>1.5221310150195271</v>
      </c>
      <c r="Q92" s="39">
        <f>(VLOOKUP($A92,'The List'!$B1:$AH727,29,FALSE)-AVERAGE('The List'!AD2:AD727))/STDEV('The List'!AD2:AD727)</f>
        <v>-0.43870840554392454</v>
      </c>
      <c r="R92" s="39">
        <f>(VLOOKUP($A92,'The List'!$B1:$AH727,30,FALSE)-AVERAGE('The List'!AE2:AE727))/STDEV('The List'!AE2:AE727)</f>
        <v>0.86196907946903178</v>
      </c>
      <c r="S92" s="39">
        <f>(VLOOKUP($A92,'The List'!$B1:$AH727,31,FALSE)-AVERAGE('The List'!AF2:AF727))/STDEV('The List'!AF2:AF727)</f>
        <v>2.6608081983429601</v>
      </c>
      <c r="T92" s="39">
        <f>(VLOOKUP($A92,'The List'!$B1:$AH727,32,FALSE)-AVERAGE('The List'!AG2:AG727))/STDEV('The List'!AG2:AG727)</f>
        <v>2.2189836186849319</v>
      </c>
      <c r="U92" s="39">
        <f>(VLOOKUP($A92,'The List'!$B1:$AH727,33,FALSE)-AVERAGE('The List'!AH2:AH727))/STDEV('The List'!AH2:AH727)</f>
        <v>1.2250792151099055</v>
      </c>
      <c r="V92" s="39"/>
      <c r="W92" s="43"/>
      <c r="X92" s="41"/>
      <c r="Y92" s="41"/>
      <c r="Z92" s="41"/>
      <c r="AA92" s="41"/>
      <c r="AB92" s="41"/>
      <c r="AC92" s="44"/>
      <c r="AD92" s="45"/>
      <c r="AE92" s="39"/>
    </row>
    <row r="93" spans="1:31" ht="21.25" customHeight="1" x14ac:dyDescent="0.15">
      <c r="A93" s="8" t="s">
        <v>174</v>
      </c>
      <c r="B93" s="35" t="str">
        <f>VLOOKUP(A93,'Player Data'!A1:B734,2,FALSE)</f>
        <v>VGK</v>
      </c>
      <c r="C93" s="37">
        <f>((E93)*Settings!$C$12)+(F93*Settings!$C$2)+(G93*Settings!$C$3)+(H93*Settings!$C$4)+(I93*Settings!$C$5)+(K93*Settings!$C$9)+(N93*Settings!$C$6)+(J93*Settings!$C$8)+(O93*Settings!$C$7)+(P93*Settings!$C$14)+(Q93*Settings!$C$15)+(R93*Settings!$C$16)+(S93*Settings!$C$17)+(T93*Settings!$C$18)+(U93*Settings!$C$19)</f>
        <v>5.9594550255847762</v>
      </c>
      <c r="D93" s="41">
        <f>IF(Settings!$E$12="YES",VLOOKUP(A93,'Player Data'!A1:E734,5,FALSE),82)</f>
        <v>79.9935714285714</v>
      </c>
      <c r="E93" s="39">
        <f>(VLOOKUP($A93,'The List'!$B1:$AH727,17,FALSE)-AVERAGE('The List'!R2:R727))/STDEV('The List'!R2:R727)</f>
        <v>0.31599934188926787</v>
      </c>
      <c r="F93" s="39">
        <f>(VLOOKUP($A93,'The List'!$B1:$AH727,18,FALSE)-AVERAGE('The List'!S2:S727))/STDEV('The List'!S2:S727)</f>
        <v>1.5764753561270635</v>
      </c>
      <c r="G93" s="39">
        <f>(VLOOKUP($A93,'The List'!$B1:$AH727,19,FALSE)-AVERAGE('The List'!T2:T727))/STDEV('The List'!T2:T727)</f>
        <v>0.86206344856028261</v>
      </c>
      <c r="H93" s="39">
        <f>(VLOOKUP($A93,'The List'!$B1:$AH727,20,FALSE)-AVERAGE('The List'!U2:U727))/STDEV('The List'!U2:U727)</f>
        <v>1.2486063719454208</v>
      </c>
      <c r="I93" s="39">
        <f>(VLOOKUP($A93,'The List'!$B1:$AH727,21,FALSE)-AVERAGE('The List'!V2:V727))/STDEV('The List'!V2:V727)</f>
        <v>2.1200277727231329</v>
      </c>
      <c r="J93" s="39">
        <f>(VLOOKUP($A93,'The List'!$B1:$AH727,22,FALSE)-AVERAGE('The List'!W2:W727))/STDEV('The List'!W2:W727)</f>
        <v>1.5830847913415322</v>
      </c>
      <c r="K93" s="39">
        <f>(VLOOKUP($A93,'The List'!$B1:$AH727,23,FALSE)-AVERAGE('The List'!X2:X727))/STDEV('The List'!X2:X727)</f>
        <v>1.2631567031794064</v>
      </c>
      <c r="L93" s="39">
        <f>(VLOOKUP($A93,'The List'!$B1:$AH727,24,FALSE)-AVERAGE('The List'!Y2:Y727))/STDEV('The List'!Y2:Y727)</f>
        <v>-0.54276262559675326</v>
      </c>
      <c r="M93" s="39">
        <f>(VLOOKUP($A93,'The List'!$B1:$AH727,25,FALSE)-AVERAGE('The List'!Z2:Z727))/STDEV('The List'!Z2:Z727)</f>
        <v>-0.72230083574774206</v>
      </c>
      <c r="N93" s="39">
        <f>(VLOOKUP($A93,'The List'!$B1:$AH727,26,FALSE)-AVERAGE('The List'!AA2:AA727))/STDEV('The List'!AA2:AA727)</f>
        <v>-1.0024823399270684</v>
      </c>
      <c r="O93" s="39">
        <f>(VLOOKUP($A93,'The List'!$B1:$AH727,27,FALSE)-AVERAGE('The List'!AB2:AB727))/STDEV('The List'!AB2:AB727)</f>
        <v>-0.33195900088671759</v>
      </c>
      <c r="P93" s="39">
        <f>(VLOOKUP($A93,'The List'!$B1:$AH727,28,FALSE)-AVERAGE('The List'!AC2:AC727))/STDEV('The List'!AC2:AC727)</f>
        <v>1.1402140849219586</v>
      </c>
      <c r="Q93" s="39">
        <f>(VLOOKUP($A93,'The List'!$B1:$AH727,29,FALSE)-AVERAGE('The List'!AD2:AD727))/STDEV('The List'!AD2:AD727)</f>
        <v>-0.11619684161983596</v>
      </c>
      <c r="R93" s="39">
        <f>(VLOOKUP($A93,'The List'!$B1:$AH727,30,FALSE)-AVERAGE('The List'!AE2:AE727))/STDEV('The List'!AE2:AE727)</f>
        <v>1.8721506047502194</v>
      </c>
      <c r="S93" s="39">
        <f>(VLOOKUP($A93,'The List'!$B1:$AH727,31,FALSE)-AVERAGE('The List'!AF2:AF727))/STDEV('The List'!AF2:AF727)</f>
        <v>-0.40500639299992208</v>
      </c>
      <c r="T93" s="39">
        <f>(VLOOKUP($A93,'The List'!$B1:$AH727,32,FALSE)-AVERAGE('The List'!AG2:AG727))/STDEV('The List'!AG2:AG727)</f>
        <v>-0.37279464359042264</v>
      </c>
      <c r="U93" s="39">
        <f>(VLOOKUP($A93,'The List'!$B1:$AH727,33,FALSE)-AVERAGE('The List'!AH2:AH727))/STDEV('The List'!AH2:AH727)</f>
        <v>0.62499617824485731</v>
      </c>
      <c r="V93" s="39"/>
      <c r="W93" s="43"/>
      <c r="X93" s="41"/>
      <c r="Y93" s="41"/>
      <c r="Z93" s="41"/>
      <c r="AA93" s="41"/>
      <c r="AB93" s="41"/>
      <c r="AC93" s="44"/>
      <c r="AD93" s="45"/>
      <c r="AE93" s="39"/>
    </row>
    <row r="94" spans="1:31" ht="21.25" customHeight="1" x14ac:dyDescent="0.15">
      <c r="A94" s="8" t="s">
        <v>379</v>
      </c>
      <c r="B94" s="35" t="str">
        <f>VLOOKUP(A94,'Player Data'!A1:B734,2,FALSE)</f>
        <v>PHI</v>
      </c>
      <c r="C94" s="37">
        <f>((E94)*Settings!$C$12)+(F94*Settings!$C$2)+(G94*Settings!$C$3)+(H94*Settings!$C$4)+(I94*Settings!$C$5)+(K94*Settings!$C$9)+(N94*Settings!$C$6)+(J94*Settings!$C$8)+(O94*Settings!$C$7)+(P94*Settings!$C$14)+(Q94*Settings!$C$15)+(R94*Settings!$C$16)+(S94*Settings!$C$17)+(T94*Settings!$C$18)+(U94*Settings!$C$19)</f>
        <v>0.1994399164516607</v>
      </c>
      <c r="D94" s="41">
        <f>IF(Settings!$E$12="YES",VLOOKUP(A94,'Player Data'!A1:E734,5,FALSE),82)</f>
        <v>58.576785714285698</v>
      </c>
      <c r="E94" s="39">
        <f>(VLOOKUP($A94,'The List'!$B1:$AH727,17,FALSE)-AVERAGE('The List'!R2:R727))/STDEV('The List'!R2:R727)</f>
        <v>1.0088666460972071</v>
      </c>
      <c r="F94" s="39">
        <f>(VLOOKUP($A94,'The List'!$B1:$AH727,18,FALSE)-AVERAGE('The List'!S2:S727))/STDEV('The List'!S2:S727)</f>
        <v>0.55867886724030213</v>
      </c>
      <c r="G94" s="39">
        <f>(VLOOKUP($A94,'The List'!$B1:$AH727,19,FALSE)-AVERAGE('The List'!T2:T727))/STDEV('The List'!T2:T727)</f>
        <v>0.36613513337870629</v>
      </c>
      <c r="H94" s="39">
        <f>(VLOOKUP($A94,'The List'!$B1:$AH727,20,FALSE)-AVERAGE('The List'!U2:U727))/STDEV('The List'!U2:U727)</f>
        <v>0.47984968521721083</v>
      </c>
      <c r="I94" s="39">
        <f>(VLOOKUP($A94,'The List'!$B1:$AH727,21,FALSE)-AVERAGE('The List'!V2:V727))/STDEV('The List'!V2:V727)</f>
        <v>0.5465711583814381</v>
      </c>
      <c r="J94" s="39">
        <f>(VLOOKUP($A94,'The List'!$B1:$AH727,22,FALSE)-AVERAGE('The List'!W2:W727))/STDEV('The List'!W2:W727)</f>
        <v>0.34998076114710253</v>
      </c>
      <c r="K94" s="39">
        <f>(VLOOKUP($A94,'The List'!$B1:$AH727,23,FALSE)-AVERAGE('The List'!X2:X727))/STDEV('The List'!X2:X727)</f>
        <v>0.36993340876221253</v>
      </c>
      <c r="L94" s="39">
        <f>(VLOOKUP($A94,'The List'!$B1:$AH727,24,FALSE)-AVERAGE('The List'!Y2:Y727))/STDEV('The List'!Y2:Y727)</f>
        <v>-2.8731779883661848E-2</v>
      </c>
      <c r="M94" s="39">
        <f>(VLOOKUP($A94,'The List'!$B1:$AH727,25,FALSE)-AVERAGE('The List'!Z2:Z727))/STDEV('The List'!Z2:Z727)</f>
        <v>0.53922261761679779</v>
      </c>
      <c r="N94" s="39">
        <f>(VLOOKUP($A94,'The List'!$B1:$AH727,26,FALSE)-AVERAGE('The List'!AA2:AA727))/STDEV('The List'!AA2:AA727)</f>
        <v>-0.63715298918146046</v>
      </c>
      <c r="O94" s="39">
        <f>(VLOOKUP($A94,'The List'!$B1:$AH727,27,FALSE)-AVERAGE('The List'!AB2:AB727))/STDEV('The List'!AB2:AB727)</f>
        <v>-0.83059504134994577</v>
      </c>
      <c r="P94" s="39">
        <f>(VLOOKUP($A94,'The List'!$B1:$AH727,28,FALSE)-AVERAGE('The List'!AC2:AC727))/STDEV('The List'!AC2:AC727)</f>
        <v>-1.004725662129538</v>
      </c>
      <c r="Q94" s="39">
        <f>(VLOOKUP($A94,'The List'!$B1:$AH727,29,FALSE)-AVERAGE('The List'!AD2:AD727))/STDEV('The List'!AD2:AD727)</f>
        <v>-2.2035150062588813</v>
      </c>
      <c r="R94" s="39">
        <f>(VLOOKUP($A94,'The List'!$B1:$AH727,30,FALSE)-AVERAGE('The List'!AE2:AE727))/STDEV('The List'!AE2:AE727)</f>
        <v>0.23035934904151223</v>
      </c>
      <c r="S94" s="39">
        <f>(VLOOKUP($A94,'The List'!$B1:$AH727,31,FALSE)-AVERAGE('The List'!AF2:AF727))/STDEV('The List'!AF2:AF727)</f>
        <v>2.0888676485085851</v>
      </c>
      <c r="T94" s="39">
        <f>(VLOOKUP($A94,'The List'!$B1:$AH727,32,FALSE)-AVERAGE('The List'!AG2:AG727))/STDEV('The List'!AG2:AG727)</f>
        <v>1.5608362745764131</v>
      </c>
      <c r="U94" s="39">
        <f>(VLOOKUP($A94,'The List'!$B1:$AH727,33,FALSE)-AVERAGE('The List'!AH2:AH727))/STDEV('The List'!AH2:AH727)</f>
        <v>1.3032567441382241</v>
      </c>
      <c r="V94" s="39"/>
      <c r="W94" s="43"/>
      <c r="X94" s="41"/>
      <c r="Y94" s="41"/>
      <c r="Z94" s="41"/>
      <c r="AA94" s="41"/>
      <c r="AB94" s="41"/>
      <c r="AC94" s="44"/>
      <c r="AD94" s="45"/>
      <c r="AE94" s="39"/>
    </row>
    <row r="95" spans="1:31" ht="21.25" customHeight="1" x14ac:dyDescent="0.15">
      <c r="A95" s="8" t="s">
        <v>221</v>
      </c>
      <c r="B95" s="35" t="str">
        <f>VLOOKUP(A95,'Player Data'!A1:B734,2,FALSE)</f>
        <v>OTT</v>
      </c>
      <c r="C95" s="37">
        <f>((E95)*Settings!$C$12)+(F95*Settings!$C$2)+(G95*Settings!$C$3)+(H95*Settings!$C$4)+(I95*Settings!$C$5)+(K95*Settings!$C$9)+(N95*Settings!$C$6)+(J95*Settings!$C$8)+(O95*Settings!$C$7)+(P95*Settings!$C$14)+(Q95*Settings!$C$15)+(R95*Settings!$C$16)+(S95*Settings!$C$17)+(T95*Settings!$C$18)+(U95*Settings!$C$19)</f>
        <v>4.2378814060059335</v>
      </c>
      <c r="D95" s="41">
        <f>IF(Settings!$E$12="YES",VLOOKUP(A95,'Player Data'!A1:E734,5,FALSE),82)</f>
        <v>80.774642857142894</v>
      </c>
      <c r="E95" s="39">
        <f>(VLOOKUP($A95,'The List'!$B1:$AH727,17,FALSE)-AVERAGE('The List'!R2:R727))/STDEV('The List'!R2:R727)</f>
        <v>0.45728217593401516</v>
      </c>
      <c r="F95" s="39">
        <f>(VLOOKUP($A95,'The List'!$B1:$AH727,18,FALSE)-AVERAGE('The List'!S2:S727))/STDEV('The List'!S2:S727)</f>
        <v>1.2116059808493136</v>
      </c>
      <c r="G95" s="39">
        <f>(VLOOKUP($A95,'The List'!$B1:$AH727,19,FALSE)-AVERAGE('The List'!T2:T727))/STDEV('The List'!T2:T727)</f>
        <v>1.1200420814336212</v>
      </c>
      <c r="H95" s="39">
        <f>(VLOOKUP($A95,'The List'!$B1:$AH727,20,FALSE)-AVERAGE('The List'!U2:U727))/STDEV('The List'!U2:U727)</f>
        <v>1.2415367830228945</v>
      </c>
      <c r="I95" s="39">
        <f>(VLOOKUP($A95,'The List'!$B1:$AH727,21,FALSE)-AVERAGE('The List'!V2:V727))/STDEV('The List'!V2:V727)</f>
        <v>1.14380729055377</v>
      </c>
      <c r="J95" s="39">
        <f>(VLOOKUP($A95,'The List'!$B1:$AH727,22,FALSE)-AVERAGE('The List'!W2:W727))/STDEV('The List'!W2:W727)</f>
        <v>0.2914093245304471</v>
      </c>
      <c r="K95" s="39">
        <f>(VLOOKUP($A95,'The List'!$B1:$AH727,23,FALSE)-AVERAGE('The List'!X2:X727))/STDEV('The List'!X2:X727)</f>
        <v>0.74959427716295302</v>
      </c>
      <c r="L95" s="39">
        <f>(VLOOKUP($A95,'The List'!$B1:$AH727,24,FALSE)-AVERAGE('The List'!Y2:Y727))/STDEV('The List'!Y2:Y727)</f>
        <v>-0.39747391421493172</v>
      </c>
      <c r="M95" s="39">
        <f>(VLOOKUP($A95,'The List'!$B1:$AH727,25,FALSE)-AVERAGE('The List'!Z2:Z727))/STDEV('The List'!Z2:Z727)</f>
        <v>-0.55693436694988729</v>
      </c>
      <c r="N95" s="39">
        <f>(VLOOKUP($A95,'The List'!$B1:$AH727,26,FALSE)-AVERAGE('The List'!AA2:AA727))/STDEV('The List'!AA2:AA727)</f>
        <v>-0.82275543364282333</v>
      </c>
      <c r="O95" s="39">
        <f>(VLOOKUP($A95,'The List'!$B1:$AH727,27,FALSE)-AVERAGE('The List'!AB2:AB727))/STDEV('The List'!AB2:AB727)</f>
        <v>-0.38776590685655526</v>
      </c>
      <c r="P95" s="39">
        <f>(VLOOKUP($A95,'The List'!$B1:$AH727,28,FALSE)-AVERAGE('The List'!AC2:AC727))/STDEV('The List'!AC2:AC727)</f>
        <v>0.83558720964909905</v>
      </c>
      <c r="Q95" s="39">
        <f>(VLOOKUP($A95,'The List'!$B1:$AH727,29,FALSE)-AVERAGE('The List'!AD2:AD727))/STDEV('The List'!AD2:AD727)</f>
        <v>-0.13360867437977847</v>
      </c>
      <c r="R95" s="39">
        <f>(VLOOKUP($A95,'The List'!$B1:$AH727,30,FALSE)-AVERAGE('The List'!AE2:AE727))/STDEV('The List'!AE2:AE727)</f>
        <v>1.0812171554286845</v>
      </c>
      <c r="S95" s="39">
        <f>(VLOOKUP($A95,'The List'!$B1:$AH727,31,FALSE)-AVERAGE('The List'!AF2:AF727))/STDEV('The List'!AF2:AF727)</f>
        <v>2.8874838231215136</v>
      </c>
      <c r="T95" s="39">
        <f>(VLOOKUP($A95,'The List'!$B1:$AH727,32,FALSE)-AVERAGE('The List'!AG2:AG727))/STDEV('The List'!AG2:AG727)</f>
        <v>1.8876262712868537</v>
      </c>
      <c r="U95" s="39">
        <f>(VLOOKUP($A95,'The List'!$B1:$AH727,33,FALSE)-AVERAGE('The List'!AH2:AH727))/STDEV('The List'!AH2:AH727)</f>
        <v>1.4387299454958138</v>
      </c>
      <c r="V95" s="39"/>
      <c r="W95" s="43"/>
      <c r="X95" s="41"/>
      <c r="Y95" s="41"/>
      <c r="Z95" s="41"/>
      <c r="AA95" s="41"/>
      <c r="AB95" s="41"/>
      <c r="AC95" s="44"/>
      <c r="AD95" s="45"/>
      <c r="AE95" s="39"/>
    </row>
    <row r="96" spans="1:31" ht="21.25" customHeight="1" x14ac:dyDescent="0.15">
      <c r="A96" s="8" t="s">
        <v>135</v>
      </c>
      <c r="B96" s="35" t="str">
        <f>VLOOKUP(A96,'Player Data'!A1:B734,2,FALSE)</f>
        <v>DAL</v>
      </c>
      <c r="C96" s="37">
        <f>((E96)*Settings!$C$12)+(F96*Settings!$C$2)+(G96*Settings!$C$3)+(H96*Settings!$C$4)+(I96*Settings!$C$5)+(K96*Settings!$C$9)+(N96*Settings!$C$6)+(J96*Settings!$C$8)+(O96*Settings!$C$7)+(P96*Settings!$C$14)+(Q96*Settings!$C$15)+(R96*Settings!$C$16)+(S96*Settings!$C$17)+(T96*Settings!$C$18)+(U96*Settings!$C$19)</f>
        <v>8.9834615879883835</v>
      </c>
      <c r="D96" s="41">
        <f>IF(Settings!$E$12="YES",VLOOKUP(A96,'Player Data'!A1:E734,5,FALSE),82)</f>
        <v>79.701071428571396</v>
      </c>
      <c r="E96" s="39">
        <f>(VLOOKUP($A96,'The List'!$B1:$AH727,17,FALSE)-AVERAGE('The List'!R2:R727))/STDEV('The List'!R2:R727)</f>
        <v>2.4571186672487739</v>
      </c>
      <c r="F96" s="39">
        <f>(VLOOKUP($A96,'The List'!$B1:$AH727,18,FALSE)-AVERAGE('The List'!S2:S727))/STDEV('The List'!S2:S727)</f>
        <v>-0.17065550146766098</v>
      </c>
      <c r="G96" s="39">
        <f>(VLOOKUP($A96,'The List'!$B1:$AH727,19,FALSE)-AVERAGE('The List'!T2:T727))/STDEV('The List'!T2:T727)</f>
        <v>2.4841334602665399</v>
      </c>
      <c r="H96" s="39">
        <f>(VLOOKUP($A96,'The List'!$B1:$AH727,20,FALSE)-AVERAGE('The List'!U2:U727))/STDEV('The List'!U2:U727)</f>
        <v>1.4530869797726755</v>
      </c>
      <c r="I96" s="39">
        <f>(VLOOKUP($A96,'The List'!$B1:$AH727,21,FALSE)-AVERAGE('The List'!V2:V727))/STDEV('The List'!V2:V727)</f>
        <v>1.269547713741771</v>
      </c>
      <c r="J96" s="39">
        <f>(VLOOKUP($A96,'The List'!$B1:$AH727,22,FALSE)-AVERAGE('The List'!W2:W727))/STDEV('The List'!W2:W727)</f>
        <v>0.29124143514025752</v>
      </c>
      <c r="K96" s="39">
        <f>(VLOOKUP($A96,'The List'!$B1:$AH727,23,FALSE)-AVERAGE('The List'!X2:X727))/STDEV('The List'!X2:X727)</f>
        <v>2.3806892440875451</v>
      </c>
      <c r="L96" s="39">
        <f>(VLOOKUP($A96,'The List'!$B1:$AH727,24,FALSE)-AVERAGE('The List'!Y2:Y727))/STDEV('The List'!Y2:Y727)</f>
        <v>-0.48678428025553028</v>
      </c>
      <c r="M96" s="39">
        <f>(VLOOKUP($A96,'The List'!$B1:$AH727,25,FALSE)-AVERAGE('The List'!Z2:Z727))/STDEV('The List'!Z2:Z727)</f>
        <v>-6.1978254227834505E-2</v>
      </c>
      <c r="N96" s="39">
        <f>(VLOOKUP($A96,'The List'!$B1:$AH727,26,FALSE)-AVERAGE('The List'!AA2:AA727))/STDEV('The List'!AA2:AA727)</f>
        <v>1.1829203809058899</v>
      </c>
      <c r="O96" s="39">
        <f>(VLOOKUP($A96,'The List'!$B1:$AH727,27,FALSE)-AVERAGE('The List'!AB2:AB727))/STDEV('The List'!AB2:AB727)</f>
        <v>-0.59749831787629137</v>
      </c>
      <c r="P96" s="39">
        <f>(VLOOKUP($A96,'The List'!$B1:$AH727,28,FALSE)-AVERAGE('The List'!AC2:AC727))/STDEV('The List'!AC2:AC727)</f>
        <v>1.8368262904542976</v>
      </c>
      <c r="Q96" s="39">
        <f>(VLOOKUP($A96,'The List'!$B1:$AH727,29,FALSE)-AVERAGE('The List'!AD2:AD727))/STDEV('The List'!AD2:AD727)</f>
        <v>-9.8434380869481721E-3</v>
      </c>
      <c r="R96" s="39">
        <f>(VLOOKUP($A96,'The List'!$B1:$AH727,30,FALSE)-AVERAGE('The List'!AE2:AE727))/STDEV('The List'!AE2:AE727)</f>
        <v>-1.8171703831996202E-2</v>
      </c>
      <c r="S96" s="39">
        <f>(VLOOKUP($A96,'The List'!$B1:$AH727,31,FALSE)-AVERAGE('The List'!AF2:AF727))/STDEV('The List'!AF2:AF727)</f>
        <v>-0.55804314905918151</v>
      </c>
      <c r="T96" s="39">
        <f>(VLOOKUP($A96,'The List'!$B1:$AH727,32,FALSE)-AVERAGE('The List'!AG2:AG727))/STDEV('The List'!AG2:AG727)</f>
        <v>-0.60188453558131205</v>
      </c>
      <c r="U96" s="39">
        <f>(VLOOKUP($A96,'The List'!$B1:$AH727,33,FALSE)-AVERAGE('The List'!AH2:AH727))/STDEV('The List'!AH2:AH727)</f>
        <v>-1.2395873372913611</v>
      </c>
      <c r="V96" s="39"/>
      <c r="W96" s="43"/>
      <c r="X96" s="41"/>
      <c r="Y96" s="41"/>
      <c r="Z96" s="41"/>
      <c r="AA96" s="41"/>
      <c r="AB96" s="41"/>
      <c r="AC96" s="44"/>
      <c r="AD96" s="45"/>
      <c r="AE96" s="39"/>
    </row>
    <row r="97" spans="1:31" ht="21.25" customHeight="1" x14ac:dyDescent="0.15">
      <c r="A97" s="8" t="s">
        <v>222</v>
      </c>
      <c r="B97" s="35" t="str">
        <f>VLOOKUP(A97,'Player Data'!A1:B734,2,FALSE)</f>
        <v>FLA</v>
      </c>
      <c r="C97" s="37">
        <f>((E97)*Settings!$C$12)+(F97*Settings!$C$2)+(G97*Settings!$C$3)+(H97*Settings!$C$4)+(I97*Settings!$C$5)+(K97*Settings!$C$9)+(N97*Settings!$C$6)+(J97*Settings!$C$8)+(O97*Settings!$C$7)+(P97*Settings!$C$14)+(Q97*Settings!$C$15)+(R97*Settings!$C$16)+(S97*Settings!$C$17)+(T97*Settings!$C$18)+(U97*Settings!$C$19)</f>
        <v>4.094809983552695</v>
      </c>
      <c r="D97" s="41">
        <f>IF(Settings!$E$12="YES",VLOOKUP(A97,'Player Data'!A1:E734,5,FALSE),82)</f>
        <v>62</v>
      </c>
      <c r="E97" s="39">
        <f>(VLOOKUP($A97,'The List'!$B1:$AH727,17,FALSE)-AVERAGE('The List'!R2:R727))/STDEV('The List'!R2:R727)</f>
        <v>1.9759013353286876</v>
      </c>
      <c r="F97" s="39">
        <f>(VLOOKUP($A97,'The List'!$B1:$AH727,18,FALSE)-AVERAGE('The List'!S2:S727))/STDEV('The List'!S2:S727)</f>
        <v>-0.22767753096264781</v>
      </c>
      <c r="G97" s="39">
        <f>(VLOOKUP($A97,'The List'!$B1:$AH727,19,FALSE)-AVERAGE('The List'!T2:T727))/STDEV('The List'!T2:T727)</f>
        <v>1.0721376588725438</v>
      </c>
      <c r="H97" s="39">
        <f>(VLOOKUP($A97,'The List'!$B1:$AH727,20,FALSE)-AVERAGE('The List'!U2:U727))/STDEV('The List'!U2:U727)</f>
        <v>0.557053573745805</v>
      </c>
      <c r="I97" s="39">
        <f>(VLOOKUP($A97,'The List'!$B1:$AH727,21,FALSE)-AVERAGE('The List'!V2:V727))/STDEV('The List'!V2:V727)</f>
        <v>0.69115899642658296</v>
      </c>
      <c r="J97" s="39">
        <f>(VLOOKUP($A97,'The List'!$B1:$AH727,22,FALSE)-AVERAGE('The List'!W2:W727))/STDEV('The List'!W2:W727)</f>
        <v>-0.1294440238811084</v>
      </c>
      <c r="K97" s="39">
        <f>(VLOOKUP($A97,'The List'!$B1:$AH727,23,FALSE)-AVERAGE('The List'!X2:X727))/STDEV('The List'!X2:X727)</f>
        <v>1.3182881884473454</v>
      </c>
      <c r="L97" s="39">
        <f>(VLOOKUP($A97,'The List'!$B1:$AH727,24,FALSE)-AVERAGE('The List'!Y2:Y727))/STDEV('The List'!Y2:Y727)</f>
        <v>-0.35266214883358943</v>
      </c>
      <c r="M97" s="39">
        <f>(VLOOKUP($A97,'The List'!$B1:$AH727,25,FALSE)-AVERAGE('The List'!Z2:Z727))/STDEV('The List'!Z2:Z727)</f>
        <v>-0.55420874546704024</v>
      </c>
      <c r="N97" s="39">
        <f>(VLOOKUP($A97,'The List'!$B1:$AH727,26,FALSE)-AVERAGE('The List'!AA2:AA727))/STDEV('The List'!AA2:AA727)</f>
        <v>0.3904776274846975</v>
      </c>
      <c r="O97" s="39">
        <f>(VLOOKUP($A97,'The List'!$B1:$AH727,27,FALSE)-AVERAGE('The List'!AB2:AB727))/STDEV('The List'!AB2:AB727)</f>
        <v>-0.48644818968044423</v>
      </c>
      <c r="P97" s="39">
        <f>(VLOOKUP($A97,'The List'!$B1:$AH727,28,FALSE)-AVERAGE('The List'!AC2:AC727))/STDEV('The List'!AC2:AC727)</f>
        <v>0.85042504328417334</v>
      </c>
      <c r="Q97" s="39">
        <f>(VLOOKUP($A97,'The List'!$B1:$AH727,29,FALSE)-AVERAGE('The List'!AD2:AD727))/STDEV('The List'!AD2:AD727)</f>
        <v>0.96057987983863025</v>
      </c>
      <c r="R97" s="39">
        <f>(VLOOKUP($A97,'The List'!$B1:$AH727,30,FALSE)-AVERAGE('The List'!AE2:AE727))/STDEV('The List'!AE2:AE727)</f>
        <v>-0.19297715838748869</v>
      </c>
      <c r="S97" s="39">
        <f>(VLOOKUP($A97,'The List'!$B1:$AH727,31,FALSE)-AVERAGE('The List'!AF2:AF727))/STDEV('The List'!AF2:AF727)</f>
        <v>-0.55804314905918151</v>
      </c>
      <c r="T97" s="39">
        <f>(VLOOKUP($A97,'The List'!$B1:$AH727,32,FALSE)-AVERAGE('The List'!AG2:AG727))/STDEV('The List'!AG2:AG727)</f>
        <v>-0.60188453558131205</v>
      </c>
      <c r="U97" s="39">
        <f>(VLOOKUP($A97,'The List'!$B1:$AH727,33,FALSE)-AVERAGE('The List'!AH2:AH727))/STDEV('The List'!AH2:AH727)</f>
        <v>-1.2395873372913611</v>
      </c>
      <c r="V97" s="39"/>
      <c r="W97" s="43"/>
      <c r="X97" s="41"/>
      <c r="Y97" s="41"/>
      <c r="Z97" s="41"/>
      <c r="AA97" s="41"/>
      <c r="AB97" s="41"/>
      <c r="AC97" s="44"/>
      <c r="AD97" s="45"/>
      <c r="AE97" s="39"/>
    </row>
    <row r="98" spans="1:31" ht="21.25" customHeight="1" x14ac:dyDescent="0.15">
      <c r="A98" s="8" t="s">
        <v>238</v>
      </c>
      <c r="B98" s="35" t="str">
        <f>VLOOKUP(A98,'Player Data'!A1:B734,2,FALSE)</f>
        <v>COL</v>
      </c>
      <c r="C98" s="37">
        <f>((E98)*Settings!$C$12)+(F98*Settings!$C$2)+(G98*Settings!$C$3)+(H98*Settings!$C$4)+(I98*Settings!$C$5)+(K98*Settings!$C$9)+(N98*Settings!$C$6)+(J98*Settings!$C$8)+(O98*Settings!$C$7)+(P98*Settings!$C$14)+(Q98*Settings!$C$15)+(R98*Settings!$C$16)+(S98*Settings!$C$17)+(T98*Settings!$C$18)+(U98*Settings!$C$19)</f>
        <v>5.1180935576611279</v>
      </c>
      <c r="D98" s="41">
        <f>IF(Settings!$E$12="YES",VLOOKUP(A98,'Player Data'!A1:E734,5,FALSE),82)</f>
        <v>76.417142857142906</v>
      </c>
      <c r="E98" s="39">
        <f>(VLOOKUP($A98,'The List'!$B1:$AH727,17,FALSE)-AVERAGE('The List'!R2:R727))/STDEV('The List'!R2:R727)</f>
        <v>0.86082229754216022</v>
      </c>
      <c r="F98" s="39">
        <f>(VLOOKUP($A98,'The List'!$B1:$AH727,18,FALSE)-AVERAGE('The List'!S2:S727))/STDEV('The List'!S2:S727)</f>
        <v>1.2121574455835364</v>
      </c>
      <c r="G98" s="39">
        <f>(VLOOKUP($A98,'The List'!$B1:$AH727,19,FALSE)-AVERAGE('The List'!T2:T727))/STDEV('The List'!T2:T727)</f>
        <v>0.80401807774209944</v>
      </c>
      <c r="H98" s="39">
        <f>(VLOOKUP($A98,'The List'!$B1:$AH727,20,FALSE)-AVERAGE('The List'!U2:U727))/STDEV('The List'!U2:U727)</f>
        <v>1.0470508329843917</v>
      </c>
      <c r="I98" s="39">
        <f>(VLOOKUP($A98,'The List'!$B1:$AH727,21,FALSE)-AVERAGE('The List'!V2:V727))/STDEV('The List'!V2:V727)</f>
        <v>0.93649655462198667</v>
      </c>
      <c r="J98" s="39">
        <f>(VLOOKUP($A98,'The List'!$B1:$AH727,22,FALSE)-AVERAGE('The List'!W2:W727))/STDEV('The List'!W2:W727)</f>
        <v>1.6259257139442747</v>
      </c>
      <c r="K98" s="39">
        <f>(VLOOKUP($A98,'The List'!$B1:$AH727,23,FALSE)-AVERAGE('The List'!X2:X727))/STDEV('The List'!X2:X727)</f>
        <v>1.3762145473491181</v>
      </c>
      <c r="L98" s="39">
        <f>(VLOOKUP($A98,'The List'!$B1:$AH727,24,FALSE)-AVERAGE('The List'!Y2:Y727))/STDEV('The List'!Y2:Y727)</f>
        <v>1.9943588766170526</v>
      </c>
      <c r="M98" s="39">
        <f>(VLOOKUP($A98,'The List'!$B1:$AH727,25,FALSE)-AVERAGE('The List'!Z2:Z727))/STDEV('The List'!Z2:Z727)</f>
        <v>1.1188297631372774</v>
      </c>
      <c r="N98" s="39">
        <f>(VLOOKUP($A98,'The List'!$B1:$AH727,26,FALSE)-AVERAGE('The List'!AA2:AA727))/STDEV('The List'!AA2:AA727)</f>
        <v>-0.2973135838017405</v>
      </c>
      <c r="O98" s="39">
        <f>(VLOOKUP($A98,'The List'!$B1:$AH727,27,FALSE)-AVERAGE('The List'!AB2:AB727))/STDEV('The List'!AB2:AB727)</f>
        <v>0.30147372347771034</v>
      </c>
      <c r="P98" s="39">
        <f>(VLOOKUP($A98,'The List'!$B1:$AH727,28,FALSE)-AVERAGE('The List'!AC2:AC727))/STDEV('The List'!AC2:AC727)</f>
        <v>1.086520516166128</v>
      </c>
      <c r="Q98" s="39">
        <f>(VLOOKUP($A98,'The List'!$B1:$AH727,29,FALSE)-AVERAGE('The List'!AD2:AD727))/STDEV('The List'!AD2:AD727)</f>
        <v>-5.5830960658309607E-2</v>
      </c>
      <c r="R98" s="39">
        <f>(VLOOKUP($A98,'The List'!$B1:$AH727,30,FALSE)-AVERAGE('The List'!AE2:AE727))/STDEV('The List'!AE2:AE727)</f>
        <v>1.3979016738884498</v>
      </c>
      <c r="S98" s="39">
        <f>(VLOOKUP($A98,'The List'!$B1:$AH727,31,FALSE)-AVERAGE('The List'!AF2:AF727))/STDEV('The List'!AF2:AF727)</f>
        <v>-0.52433895000362551</v>
      </c>
      <c r="T98" s="39">
        <f>(VLOOKUP($A98,'The List'!$B1:$AH727,32,FALSE)-AVERAGE('The List'!AG2:AG727))/STDEV('The List'!AG2:AG727)</f>
        <v>-0.48970228364586271</v>
      </c>
      <c r="U98" s="39">
        <f>(VLOOKUP($A98,'The List'!$B1:$AH727,33,FALSE)-AVERAGE('The List'!AH2:AH727))/STDEV('The List'!AH2:AH727)</f>
        <v>-0.15459643648413374</v>
      </c>
      <c r="V98" s="39"/>
      <c r="W98" s="43"/>
      <c r="X98" s="41"/>
      <c r="Y98" s="41"/>
      <c r="Z98" s="41"/>
      <c r="AA98" s="41"/>
      <c r="AB98" s="41"/>
      <c r="AC98" s="44"/>
      <c r="AD98" s="45"/>
      <c r="AE98" s="39"/>
    </row>
    <row r="99" spans="1:31" ht="21.25" customHeight="1" x14ac:dyDescent="0.15">
      <c r="A99" s="8" t="s">
        <v>129</v>
      </c>
      <c r="B99" s="35" t="str">
        <f>VLOOKUP(A99,'Player Data'!A1:B734,2,FALSE)</f>
        <v>NJD</v>
      </c>
      <c r="C99" s="37">
        <f>((E99)*Settings!$C$12)+(F99*Settings!$C$2)+(G99*Settings!$C$3)+(H99*Settings!$C$4)+(I99*Settings!$C$5)+(K99*Settings!$C$9)+(N99*Settings!$C$6)+(J99*Settings!$C$8)+(O99*Settings!$C$7)+(P99*Settings!$C$14)+(Q99*Settings!$C$15)+(R99*Settings!$C$16)+(S99*Settings!$C$17)+(T99*Settings!$C$18)+(U99*Settings!$C$19)</f>
        <v>7.5466528519148675</v>
      </c>
      <c r="D99" s="41">
        <f>IF(Settings!$E$12="YES",VLOOKUP(A99,'Player Data'!A1:E734,5,FALSE),82)</f>
        <v>79.1335714285714</v>
      </c>
      <c r="E99" s="39">
        <f>(VLOOKUP($A99,'The List'!$B1:$AH727,17,FALSE)-AVERAGE('The List'!R2:R727))/STDEV('The List'!R2:R727)</f>
        <v>1.6102630587590803</v>
      </c>
      <c r="F99" s="39">
        <f>(VLOOKUP($A99,'The List'!$B1:$AH727,18,FALSE)-AVERAGE('The List'!S2:S727))/STDEV('The List'!S2:S727)</f>
        <v>0.41832862251302394</v>
      </c>
      <c r="G99" s="39">
        <f>(VLOOKUP($A99,'The List'!$B1:$AH727,19,FALSE)-AVERAGE('The List'!T2:T727))/STDEV('The List'!T2:T727)</f>
        <v>1.7438654633050543</v>
      </c>
      <c r="H99" s="39">
        <f>(VLOOKUP($A99,'The List'!$B1:$AH727,20,FALSE)-AVERAGE('The List'!U2:U727))/STDEV('The List'!U2:U727)</f>
        <v>1.2649516566025159</v>
      </c>
      <c r="I99" s="39">
        <f>(VLOOKUP($A99,'The List'!$B1:$AH727,21,FALSE)-AVERAGE('The List'!V2:V727))/STDEV('The List'!V2:V727)</f>
        <v>2.2274930051510644</v>
      </c>
      <c r="J99" s="39">
        <f>(VLOOKUP($A99,'The List'!$B1:$AH727,22,FALSE)-AVERAGE('The List'!W2:W727))/STDEV('The List'!W2:W727)</f>
        <v>1.0065837561912523</v>
      </c>
      <c r="K99" s="39">
        <f>(VLOOKUP($A99,'The List'!$B1:$AH727,23,FALSE)-AVERAGE('The List'!X2:X727))/STDEV('The List'!X2:X727)</f>
        <v>1.9128489994404183</v>
      </c>
      <c r="L99" s="39">
        <f>(VLOOKUP($A99,'The List'!$B1:$AH727,24,FALSE)-AVERAGE('The List'!Y2:Y727))/STDEV('The List'!Y2:Y727)</f>
        <v>-0.31161709264767778</v>
      </c>
      <c r="M99" s="39">
        <f>(VLOOKUP($A99,'The List'!$B1:$AH727,25,FALSE)-AVERAGE('The List'!Z2:Z727))/STDEV('The List'!Z2:Z727)</f>
        <v>-0.51836966555792208</v>
      </c>
      <c r="N99" s="39">
        <f>(VLOOKUP($A99,'The List'!$B1:$AH727,26,FALSE)-AVERAGE('The List'!AA2:AA727))/STDEV('The List'!AA2:AA727)</f>
        <v>0.98998299015780633</v>
      </c>
      <c r="O99" s="39">
        <f>(VLOOKUP($A99,'The List'!$B1:$AH727,27,FALSE)-AVERAGE('The List'!AB2:AB727))/STDEV('The List'!AB2:AB727)</f>
        <v>-0.31084749324084526</v>
      </c>
      <c r="P99" s="39">
        <f>(VLOOKUP($A99,'The List'!$B1:$AH727,28,FALSE)-AVERAGE('The List'!AC2:AC727))/STDEV('The List'!AC2:AC727)</f>
        <v>0.25413377134750059</v>
      </c>
      <c r="Q99" s="39">
        <f>(VLOOKUP($A99,'The List'!$B1:$AH727,29,FALSE)-AVERAGE('The List'!AD2:AD727))/STDEV('The List'!AD2:AD727)</f>
        <v>1.2038875601427748</v>
      </c>
      <c r="R99" s="39">
        <f>(VLOOKUP($A99,'The List'!$B1:$AH727,30,FALSE)-AVERAGE('The List'!AE2:AE727))/STDEV('The List'!AE2:AE727)</f>
        <v>0.45417928541571745</v>
      </c>
      <c r="S99" s="39">
        <f>(VLOOKUP($A99,'The List'!$B1:$AH727,31,FALSE)-AVERAGE('The List'!AF2:AF727))/STDEV('The List'!AF2:AF727)</f>
        <v>-0.55804314905918151</v>
      </c>
      <c r="T99" s="39">
        <f>(VLOOKUP($A99,'The List'!$B1:$AH727,32,FALSE)-AVERAGE('The List'!AG2:AG727))/STDEV('The List'!AG2:AG727)</f>
        <v>-0.60188453558131205</v>
      </c>
      <c r="U99" s="39">
        <f>(VLOOKUP($A99,'The List'!$B1:$AH727,33,FALSE)-AVERAGE('The List'!AH2:AH727))/STDEV('The List'!AH2:AH727)</f>
        <v>-1.2395873372913611</v>
      </c>
      <c r="V99" s="39"/>
      <c r="W99" s="41"/>
      <c r="X99" s="39"/>
      <c r="Y99" s="39"/>
      <c r="Z99" s="39"/>
      <c r="AA99" s="39"/>
      <c r="AB99" s="39"/>
      <c r="AC99" s="39"/>
      <c r="AD99" s="39"/>
      <c r="AE99" s="39"/>
    </row>
    <row r="100" spans="1:31" ht="21.25" customHeight="1" x14ac:dyDescent="0.15">
      <c r="A100" s="8" t="s">
        <v>204</v>
      </c>
      <c r="B100" s="35" t="str">
        <f>VLOOKUP(A100,'Player Data'!A1:B734,2,FALSE)</f>
        <v>MIN</v>
      </c>
      <c r="C100" s="37">
        <f>((E100)*Settings!$C$12)+(F100*Settings!$C$2)+(G100*Settings!$C$3)+(H100*Settings!$C$4)+(I100*Settings!$C$5)+(K100*Settings!$C$9)+(N100*Settings!$C$6)+(J100*Settings!$C$8)+(O100*Settings!$C$7)+(P100*Settings!$C$14)+(Q100*Settings!$C$15)+(R100*Settings!$C$16)+(S100*Settings!$C$17)+(T100*Settings!$C$18)+(U100*Settings!$C$19)</f>
        <v>6.942721142001675</v>
      </c>
      <c r="D100" s="41">
        <f>IF(Settings!$E$12="YES",VLOOKUP(A100,'Player Data'!A1:E734,5,FALSE),82)</f>
        <v>80.632499999999993</v>
      </c>
      <c r="E100" s="39">
        <f>(VLOOKUP($A100,'The List'!$B1:$AH727,17,FALSE)-AVERAGE('The List'!R2:R727))/STDEV('The List'!R2:R727)</f>
        <v>0.78897968041999467</v>
      </c>
      <c r="F100" s="39">
        <f>(VLOOKUP($A100,'The List'!$B1:$AH727,18,FALSE)-AVERAGE('The List'!S2:S727))/STDEV('The List'!S2:S727)</f>
        <v>1.5518101447125396</v>
      </c>
      <c r="G100" s="39">
        <f>(VLOOKUP($A100,'The List'!$B1:$AH727,19,FALSE)-AVERAGE('The List'!T2:T727))/STDEV('The List'!T2:T727)</f>
        <v>0.95800124753459448</v>
      </c>
      <c r="H100" s="39">
        <f>(VLOOKUP($A100,'The List'!$B1:$AH727,20,FALSE)-AVERAGE('The List'!U2:U727))/STDEV('The List'!U2:U727)</f>
        <v>1.2964999124091079</v>
      </c>
      <c r="I100" s="39">
        <f>(VLOOKUP($A100,'The List'!$B1:$AH727,21,FALSE)-AVERAGE('The List'!V2:V727))/STDEV('The List'!V2:V727)</f>
        <v>2.0326381384467873</v>
      </c>
      <c r="J100" s="39">
        <f>(VLOOKUP($A100,'The List'!$B1:$AH727,22,FALSE)-AVERAGE('The List'!W2:W727))/STDEV('The List'!W2:W727)</f>
        <v>2.7077297017647863</v>
      </c>
      <c r="K100" s="39">
        <f>(VLOOKUP($A100,'The List'!$B1:$AH727,23,FALSE)-AVERAGE('The List'!X2:X727))/STDEV('The List'!X2:X727)</f>
        <v>1.6021759245059688</v>
      </c>
      <c r="L100" s="39">
        <f>(VLOOKUP($A100,'The List'!$B1:$AH727,24,FALSE)-AVERAGE('The List'!Y2:Y727))/STDEV('The List'!Y2:Y727)</f>
        <v>1.467485925801165</v>
      </c>
      <c r="M100" s="39">
        <f>(VLOOKUP($A100,'The List'!$B1:$AH727,25,FALSE)-AVERAGE('The List'!Z2:Z727))/STDEV('The List'!Z2:Z727)</f>
        <v>1.1887420588483779</v>
      </c>
      <c r="N100" s="39">
        <f>(VLOOKUP($A100,'The List'!$B1:$AH727,26,FALSE)-AVERAGE('The List'!AA2:AA727))/STDEV('The List'!AA2:AA727)</f>
        <v>-0.12895682453229021</v>
      </c>
      <c r="O100" s="39">
        <f>(VLOOKUP($A100,'The List'!$B1:$AH727,27,FALSE)-AVERAGE('The List'!AB2:AB727))/STDEV('The List'!AB2:AB727)</f>
        <v>0.80343692301514091</v>
      </c>
      <c r="P100" s="39">
        <f>(VLOOKUP($A100,'The List'!$B1:$AH727,28,FALSE)-AVERAGE('The List'!AC2:AC727))/STDEV('The List'!AC2:AC727)</f>
        <v>0.92705251133407462</v>
      </c>
      <c r="Q100" s="39">
        <f>(VLOOKUP($A100,'The List'!$B1:$AH727,29,FALSE)-AVERAGE('The List'!AD2:AD727))/STDEV('The List'!AD2:AD727)</f>
        <v>0.53773322534895607</v>
      </c>
      <c r="R100" s="39">
        <f>(VLOOKUP($A100,'The List'!$B1:$AH727,30,FALSE)-AVERAGE('The List'!AE2:AE727))/STDEV('The List'!AE2:AE727)</f>
        <v>1.7928240401199547</v>
      </c>
      <c r="S100" s="39">
        <f>(VLOOKUP($A100,'The List'!$B1:$AH727,31,FALSE)-AVERAGE('The List'!AF2:AF727))/STDEV('The List'!AF2:AF727)</f>
        <v>2.9493087654426331</v>
      </c>
      <c r="T100" s="39">
        <f>(VLOOKUP($A100,'The List'!$B1:$AH727,32,FALSE)-AVERAGE('The List'!AG2:AG727))/STDEV('The List'!AG2:AG727)</f>
        <v>3.3468393944915222</v>
      </c>
      <c r="U100" s="39">
        <f>(VLOOKUP($A100,'The List'!$B1:$AH727,33,FALSE)-AVERAGE('The List'!AH2:AH727))/STDEV('The List'!AH2:AH727)</f>
        <v>0.94273594834191754</v>
      </c>
      <c r="V100" s="39"/>
      <c r="W100" s="43"/>
      <c r="X100" s="41"/>
      <c r="Y100" s="41"/>
      <c r="Z100" s="41"/>
      <c r="AA100" s="41"/>
      <c r="AB100" s="41"/>
      <c r="AC100" s="44"/>
      <c r="AD100" s="45"/>
      <c r="AE100" s="39"/>
    </row>
    <row r="101" spans="1:31" ht="21.25" customHeight="1" x14ac:dyDescent="0.15">
      <c r="A101" s="8" t="s">
        <v>151</v>
      </c>
      <c r="B101" s="35" t="str">
        <f>VLOOKUP(A101,'Player Data'!A1:B734,2,FALSE)</f>
        <v>TBL</v>
      </c>
      <c r="C101" s="37">
        <f>((E101)*Settings!$C$12)+(F101*Settings!$C$2)+(G101*Settings!$C$3)+(H101*Settings!$C$4)+(I101*Settings!$C$5)+(K101*Settings!$C$9)+(N101*Settings!$C$6)+(J101*Settings!$C$8)+(O101*Settings!$C$7)+(P101*Settings!$C$14)+(Q101*Settings!$C$15)+(R101*Settings!$C$16)+(S101*Settings!$C$17)+(T101*Settings!$C$18)+(U101*Settings!$C$19)</f>
        <v>6.4938006224785667</v>
      </c>
      <c r="D101" s="41">
        <f>IF(Settings!$E$12="YES",VLOOKUP(A101,'Player Data'!A1:E734,5,FALSE),82)</f>
        <v>81.400000000000006</v>
      </c>
      <c r="E101" s="39">
        <f>(VLOOKUP($A101,'The List'!$B1:$AH727,17,FALSE)-AVERAGE('The List'!R2:R727))/STDEV('The List'!R2:R727)</f>
        <v>2.0061667489325479</v>
      </c>
      <c r="F101" s="39">
        <f>(VLOOKUP($A101,'The List'!$B1:$AH727,18,FALSE)-AVERAGE('The List'!S2:S727))/STDEV('The List'!S2:S727)</f>
        <v>-2.2349516081691598E-2</v>
      </c>
      <c r="G101" s="39">
        <f>(VLOOKUP($A101,'The List'!$B1:$AH727,19,FALSE)-AVERAGE('The List'!T2:T727))/STDEV('The List'!T2:T727)</f>
        <v>1.9153304973593506</v>
      </c>
      <c r="H101" s="39">
        <f>(VLOOKUP($A101,'The List'!$B1:$AH727,20,FALSE)-AVERAGE('The List'!U2:U727))/STDEV('The List'!U2:U727)</f>
        <v>1.170073860331124</v>
      </c>
      <c r="I101" s="39">
        <f>(VLOOKUP($A101,'The List'!$B1:$AH727,21,FALSE)-AVERAGE('The List'!V2:V727))/STDEV('The List'!V2:V727)</f>
        <v>1.1233364456431627</v>
      </c>
      <c r="J101" s="39">
        <f>(VLOOKUP($A101,'The List'!$B1:$AH727,22,FALSE)-AVERAGE('The List'!W2:W727))/STDEV('The List'!W2:W727)</f>
        <v>-1.7110341154523825E-2</v>
      </c>
      <c r="K101" s="39">
        <f>(VLOOKUP($A101,'The List'!$B1:$AH727,23,FALSE)-AVERAGE('The List'!X2:X727))/STDEV('The List'!X2:X727)</f>
        <v>1.5763536838181886</v>
      </c>
      <c r="L101" s="39">
        <f>(VLOOKUP($A101,'The List'!$B1:$AH727,24,FALSE)-AVERAGE('The List'!Y2:Y727))/STDEV('The List'!Y2:Y727)</f>
        <v>0.22382810185805729</v>
      </c>
      <c r="M101" s="39">
        <f>(VLOOKUP($A101,'The List'!$B1:$AH727,25,FALSE)-AVERAGE('The List'!Z2:Z727))/STDEV('The List'!Z2:Z727)</f>
        <v>0.29206532839167249</v>
      </c>
      <c r="N101" s="39">
        <f>(VLOOKUP($A101,'The List'!$B1:$AH727,26,FALSE)-AVERAGE('The List'!AA2:AA727))/STDEV('The List'!AA2:AA727)</f>
        <v>1.9960381975413124</v>
      </c>
      <c r="O101" s="39">
        <f>(VLOOKUP($A101,'The List'!$B1:$AH727,27,FALSE)-AVERAGE('The List'!AB2:AB727))/STDEV('The List'!AB2:AB727)</f>
        <v>0.1375805242350544</v>
      </c>
      <c r="P101" s="39">
        <f>(VLOOKUP($A101,'The List'!$B1:$AH727,28,FALSE)-AVERAGE('The List'!AC2:AC727))/STDEV('The List'!AC2:AC727)</f>
        <v>-9.4908685801756404E-2</v>
      </c>
      <c r="Q101" s="39">
        <f>(VLOOKUP($A101,'The List'!$B1:$AH727,29,FALSE)-AVERAGE('The List'!AD2:AD727))/STDEV('The List'!AD2:AD727)</f>
        <v>0.42359377576894597</v>
      </c>
      <c r="R101" s="39">
        <f>(VLOOKUP($A101,'The List'!$B1:$AH727,30,FALSE)-AVERAGE('The List'!AE2:AE727))/STDEV('The List'!AE2:AE727)</f>
        <v>0.10781163331179509</v>
      </c>
      <c r="S101" s="39">
        <f>(VLOOKUP($A101,'The List'!$B1:$AH727,31,FALSE)-AVERAGE('The List'!AF2:AF727))/STDEV('The List'!AF2:AF727)</f>
        <v>-0.55804314905918151</v>
      </c>
      <c r="T101" s="39">
        <f>(VLOOKUP($A101,'The List'!$B1:$AH727,32,FALSE)-AVERAGE('The List'!AG2:AG727))/STDEV('The List'!AG2:AG727)</f>
        <v>-0.60188453558131205</v>
      </c>
      <c r="U101" s="39">
        <f>(VLOOKUP($A101,'The List'!$B1:$AH727,33,FALSE)-AVERAGE('The List'!AH2:AH727))/STDEV('The List'!AH2:AH727)</f>
        <v>-1.2395873372913611</v>
      </c>
      <c r="V101" s="39"/>
      <c r="W101" s="41"/>
      <c r="X101" s="39"/>
      <c r="Y101" s="39"/>
      <c r="Z101" s="39"/>
      <c r="AA101" s="39"/>
      <c r="AB101" s="39"/>
      <c r="AC101" s="39"/>
      <c r="AD101" s="39"/>
      <c r="AE101" s="39"/>
    </row>
    <row r="102" spans="1:31" ht="21.25" customHeight="1" x14ac:dyDescent="0.15">
      <c r="A102" s="8" t="s">
        <v>237</v>
      </c>
      <c r="B102" s="35" t="str">
        <f>VLOOKUP(A102,'Player Data'!A1:B734,2,FALSE)</f>
        <v>LAK</v>
      </c>
      <c r="C102" s="37">
        <f>((E102)*Settings!$C$12)+(F102*Settings!$C$2)+(G102*Settings!$C$3)+(H102*Settings!$C$4)+(I102*Settings!$C$5)+(K102*Settings!$C$9)+(N102*Settings!$C$6)+(J102*Settings!$C$8)+(O102*Settings!$C$7)+(P102*Settings!$C$14)+(Q102*Settings!$C$15)+(R102*Settings!$C$16)+(S102*Settings!$C$17)+(T102*Settings!$C$18)+(U102*Settings!$C$19)</f>
        <v>4.73038219428157</v>
      </c>
      <c r="D102" s="41">
        <f>IF(Settings!$E$12="YES",VLOOKUP(A102,'Player Data'!A1:E734,5,FALSE),82)</f>
        <v>81.48</v>
      </c>
      <c r="E102" s="39">
        <f>(VLOOKUP($A102,'The List'!$B1:$AH727,17,FALSE)-AVERAGE('The List'!R2:R727))/STDEV('The List'!R2:R727)</f>
        <v>0.61748044547195113</v>
      </c>
      <c r="F102" s="39">
        <f>(VLOOKUP($A102,'The List'!$B1:$AH727,18,FALSE)-AVERAGE('The List'!S2:S727))/STDEV('The List'!S2:S727)</f>
        <v>2.2222144124596293</v>
      </c>
      <c r="G102" s="39">
        <f>(VLOOKUP($A102,'The List'!$B1:$AH727,19,FALSE)-AVERAGE('The List'!T2:T727))/STDEV('The List'!T2:T727)</f>
        <v>0.24713169249279476</v>
      </c>
      <c r="H102" s="39">
        <f>(VLOOKUP($A102,'The List'!$B1:$AH727,20,FALSE)-AVERAGE('The List'!U2:U727))/STDEV('The List'!U2:U727)</f>
        <v>1.1635314402383787</v>
      </c>
      <c r="I102" s="39">
        <f>(VLOOKUP($A102,'The List'!$B1:$AH727,21,FALSE)-AVERAGE('The List'!V2:V727))/STDEV('The List'!V2:V727)</f>
        <v>1.8260324387799798</v>
      </c>
      <c r="J102" s="39">
        <f>(VLOOKUP($A102,'The List'!$B1:$AH727,22,FALSE)-AVERAGE('The List'!W2:W727))/STDEV('The List'!W2:W727)</f>
        <v>1.6623217292950117</v>
      </c>
      <c r="K102" s="39">
        <f>(VLOOKUP($A102,'The List'!$B1:$AH727,23,FALSE)-AVERAGE('The List'!X2:X727))/STDEV('The List'!X2:X727)</f>
        <v>1.1831061411097523</v>
      </c>
      <c r="L102" s="39">
        <f>(VLOOKUP($A102,'The List'!$B1:$AH727,24,FALSE)-AVERAGE('The List'!Y2:Y727))/STDEV('The List'!Y2:Y727)</f>
        <v>4.0813657590252159</v>
      </c>
      <c r="M102" s="39">
        <f>(VLOOKUP($A102,'The List'!$B1:$AH727,25,FALSE)-AVERAGE('The List'!Z2:Z727))/STDEV('The List'!Z2:Z727)</f>
        <v>2.2318762745061256</v>
      </c>
      <c r="N102" s="39">
        <f>(VLOOKUP($A102,'The List'!$B1:$AH727,26,FALSE)-AVERAGE('The List'!AA2:AA727))/STDEV('The List'!AA2:AA727)</f>
        <v>-0.67746873178078559</v>
      </c>
      <c r="O102" s="39">
        <f>(VLOOKUP($A102,'The List'!$B1:$AH727,27,FALSE)-AVERAGE('The List'!AB2:AB727))/STDEV('The List'!AB2:AB727)</f>
        <v>0.4740732868121576</v>
      </c>
      <c r="P102" s="39">
        <f>(VLOOKUP($A102,'The List'!$B1:$AH727,28,FALSE)-AVERAGE('The List'!AC2:AC727))/STDEV('The List'!AC2:AC727)</f>
        <v>-7.0633758779800604E-2</v>
      </c>
      <c r="Q102" s="39">
        <f>(VLOOKUP($A102,'The List'!$B1:$AH727,29,FALSE)-AVERAGE('The List'!AD2:AD727))/STDEV('The List'!AD2:AD727)</f>
        <v>0.97416737400507458</v>
      </c>
      <c r="R102" s="39">
        <f>(VLOOKUP($A102,'The List'!$B1:$AH727,30,FALSE)-AVERAGE('The List'!AE2:AE727))/STDEV('The List'!AE2:AE727)</f>
        <v>2.2178112185649677</v>
      </c>
      <c r="S102" s="39">
        <f>(VLOOKUP($A102,'The List'!$B1:$AH727,31,FALSE)-AVERAGE('The List'!AF2:AF727))/STDEV('The List'!AF2:AF727)</f>
        <v>-0.44765460547261471</v>
      </c>
      <c r="T102" s="39">
        <f>(VLOOKUP($A102,'The List'!$B1:$AH727,32,FALSE)-AVERAGE('The List'!AG2:AG727))/STDEV('The List'!AG2:AG727)</f>
        <v>-0.42455578316602971</v>
      </c>
      <c r="U102" s="39">
        <f>(VLOOKUP($A102,'The List'!$B1:$AH727,33,FALSE)-AVERAGE('The List'!AH2:AH727))/STDEV('The List'!AH2:AH727)</f>
        <v>0.5482314409260951</v>
      </c>
      <c r="V102" s="39"/>
      <c r="W102" s="43"/>
      <c r="X102" s="41"/>
      <c r="Y102" s="41"/>
      <c r="Z102" s="41"/>
      <c r="AA102" s="41"/>
      <c r="AB102" s="41"/>
      <c r="AC102" s="44"/>
      <c r="AD102" s="45"/>
      <c r="AE102" s="39"/>
    </row>
    <row r="103" spans="1:31" ht="21.25" customHeight="1" x14ac:dyDescent="0.15">
      <c r="A103" s="8" t="s">
        <v>244</v>
      </c>
      <c r="B103" s="35" t="str">
        <f>VLOOKUP(A103,'Player Data'!A1:B734,2,FALSE)</f>
        <v>CGY</v>
      </c>
      <c r="C103" s="37">
        <f>((E103)*Settings!$C$12)+(F103*Settings!$C$2)+(G103*Settings!$C$3)+(H103*Settings!$C$4)+(I103*Settings!$C$5)+(K103*Settings!$C$9)+(N103*Settings!$C$6)+(J103*Settings!$C$8)+(O103*Settings!$C$7)+(P103*Settings!$C$14)+(Q103*Settings!$C$15)+(R103*Settings!$C$16)+(S103*Settings!$C$17)+(T103*Settings!$C$18)+(U103*Settings!$C$19)</f>
        <v>4.9902627935812349</v>
      </c>
      <c r="D103" s="41">
        <f>IF(Settings!$E$12="YES",VLOOKUP(A103,'Player Data'!A1:E734,5,FALSE),82)</f>
        <v>80.517499999999998</v>
      </c>
      <c r="E103" s="39">
        <f>(VLOOKUP($A103,'The List'!$B1:$AH727,17,FALSE)-AVERAGE('The List'!R2:R727))/STDEV('The List'!R2:R727)</f>
        <v>0.12851155879921036</v>
      </c>
      <c r="F103" s="39">
        <f>(VLOOKUP($A103,'The List'!$B1:$AH727,18,FALSE)-AVERAGE('The List'!S2:S727))/STDEV('The List'!S2:S727)</f>
        <v>0.89679151505470966</v>
      </c>
      <c r="G103" s="39">
        <f>(VLOOKUP($A103,'The List'!$B1:$AH727,19,FALSE)-AVERAGE('The List'!T2:T727))/STDEV('The List'!T2:T727)</f>
        <v>1.1709996716470721</v>
      </c>
      <c r="H103" s="39">
        <f>(VLOOKUP($A103,'The List'!$B1:$AH727,20,FALSE)-AVERAGE('The List'!U2:U727))/STDEV('The List'!U2:U727)</f>
        <v>1.1296770374470886</v>
      </c>
      <c r="I103" s="39">
        <f>(VLOOKUP($A103,'The List'!$B1:$AH727,21,FALSE)-AVERAGE('The List'!V2:V727))/STDEV('The List'!V2:V727)</f>
        <v>1.9313409512942503</v>
      </c>
      <c r="J103" s="39">
        <f>(VLOOKUP($A103,'The List'!$B1:$AH727,22,FALSE)-AVERAGE('The List'!W2:W727))/STDEV('The List'!W2:W727)</f>
        <v>1.3998785870399872</v>
      </c>
      <c r="K103" s="39">
        <f>(VLOOKUP($A103,'The List'!$B1:$AH727,23,FALSE)-AVERAGE('The List'!X2:X727))/STDEV('The List'!X2:X727)</f>
        <v>1.2134474850620225</v>
      </c>
      <c r="L103" s="39">
        <f>(VLOOKUP($A103,'The List'!$B1:$AH727,24,FALSE)-AVERAGE('The List'!Y2:Y727))/STDEV('The List'!Y2:Y727)</f>
        <v>-0.49156579600437117</v>
      </c>
      <c r="M103" s="39">
        <f>(VLOOKUP($A103,'The List'!$B1:$AH727,25,FALSE)-AVERAGE('The List'!Z2:Z727))/STDEV('The List'!Z2:Z727)</f>
        <v>-0.66386547162188203</v>
      </c>
      <c r="N103" s="39">
        <f>(VLOOKUP($A103,'The List'!$B1:$AH727,26,FALSE)-AVERAGE('The List'!AA2:AA727))/STDEV('The List'!AA2:AA727)</f>
        <v>-0.79068584801460506</v>
      </c>
      <c r="O103" s="39">
        <f>(VLOOKUP($A103,'The List'!$B1:$AH727,27,FALSE)-AVERAGE('The List'!AB2:AB727))/STDEV('The List'!AB2:AB727)</f>
        <v>-0.19090340470242778</v>
      </c>
      <c r="P103" s="39">
        <f>(VLOOKUP($A103,'The List'!$B1:$AH727,28,FALSE)-AVERAGE('The List'!AC2:AC727))/STDEV('The List'!AC2:AC727)</f>
        <v>0.56836901853778543</v>
      </c>
      <c r="Q103" s="39">
        <f>(VLOOKUP($A103,'The List'!$B1:$AH727,29,FALSE)-AVERAGE('The List'!AD2:AD727))/STDEV('The List'!AD2:AD727)</f>
        <v>0.94513717711187206</v>
      </c>
      <c r="R103" s="39">
        <f>(VLOOKUP($A103,'The List'!$B1:$AH727,30,FALSE)-AVERAGE('The List'!AE2:AE727))/STDEV('The List'!AE2:AE727)</f>
        <v>1.1990987754609412</v>
      </c>
      <c r="S103" s="39">
        <f>(VLOOKUP($A103,'The List'!$B1:$AH727,31,FALSE)-AVERAGE('The List'!AF2:AF727))/STDEV('The List'!AF2:AF727)</f>
        <v>2.3062605019838442</v>
      </c>
      <c r="T103" s="39">
        <f>(VLOOKUP($A103,'The List'!$B1:$AH727,32,FALSE)-AVERAGE('The List'!AG2:AG727))/STDEV('The List'!AG2:AG727)</f>
        <v>2.505820269925934</v>
      </c>
      <c r="U103" s="39">
        <f>(VLOOKUP($A103,'The List'!$B1:$AH727,33,FALSE)-AVERAGE('The List'!AH2:AH727))/STDEV('The List'!AH2:AH727)</f>
        <v>0.98446800612374874</v>
      </c>
      <c r="V103" s="39"/>
      <c r="W103" s="41"/>
      <c r="X103" s="39"/>
      <c r="Y103" s="39"/>
      <c r="Z103" s="39"/>
      <c r="AA103" s="39"/>
      <c r="AB103" s="39"/>
      <c r="AC103" s="39"/>
      <c r="AD103" s="39"/>
      <c r="AE103" s="39"/>
    </row>
    <row r="104" spans="1:31" ht="21.25" customHeight="1" x14ac:dyDescent="0.15">
      <c r="A104" s="8" t="s">
        <v>304</v>
      </c>
      <c r="B104" s="35" t="str">
        <f>VLOOKUP(A104,'Player Data'!A1:B734,2,FALSE)</f>
        <v>STL</v>
      </c>
      <c r="C104" s="37">
        <f>((E104)*Settings!$C$12)+(F104*Settings!$C$2)+(G104*Settings!$C$3)+(H104*Settings!$C$4)+(I104*Settings!$C$5)+(K104*Settings!$C$9)+(N104*Settings!$C$6)+(J104*Settings!$C$8)+(O104*Settings!$C$7)+(P104*Settings!$C$14)+(Q104*Settings!$C$15)+(R104*Settings!$C$16)+(S104*Settings!$C$17)+(T104*Settings!$C$18)+(U104*Settings!$C$19)</f>
        <v>1.0544624166726235</v>
      </c>
      <c r="D104" s="41">
        <f>IF(Settings!$E$12="YES",VLOOKUP(A104,'Player Data'!A1:E734,5,FALSE),82)</f>
        <v>79.28</v>
      </c>
      <c r="E104" s="39">
        <f>(VLOOKUP($A104,'The List'!$B1:$AH727,17,FALSE)-AVERAGE('The List'!R2:R727))/STDEV('The List'!R2:R727)</f>
        <v>0.39608188650591369</v>
      </c>
      <c r="F104" s="39">
        <f>(VLOOKUP($A104,'The List'!$B1:$AH727,18,FALSE)-AVERAGE('The List'!S2:S727))/STDEV('The List'!S2:S727)</f>
        <v>0.85425339650937016</v>
      </c>
      <c r="G104" s="39">
        <f>(VLOOKUP($A104,'The List'!$B1:$AH727,19,FALSE)-AVERAGE('The List'!T2:T727))/STDEV('The List'!T2:T727)</f>
        <v>1.1173616482342152</v>
      </c>
      <c r="H104" s="39">
        <f>(VLOOKUP($A104,'The List'!$B1:$AH727,20,FALSE)-AVERAGE('The List'!U2:U727))/STDEV('The List'!U2:U727)</f>
        <v>1.0772672877063323</v>
      </c>
      <c r="I104" s="39">
        <f>(VLOOKUP($A104,'The List'!$B1:$AH727,21,FALSE)-AVERAGE('The List'!V2:V727))/STDEV('The List'!V2:V727)</f>
        <v>0.20491652856963824</v>
      </c>
      <c r="J104" s="39">
        <f>(VLOOKUP($A104,'The List'!$B1:$AH727,22,FALSE)-AVERAGE('The List'!W2:W727))/STDEV('The List'!W2:W727)</f>
        <v>1.1529134328461874</v>
      </c>
      <c r="K104" s="39">
        <f>(VLOOKUP($A104,'The List'!$B1:$AH727,23,FALSE)-AVERAGE('The List'!X2:X727))/STDEV('The List'!X2:X727)</f>
        <v>0.90906613333124919</v>
      </c>
      <c r="L104" s="39">
        <f>(VLOOKUP($A104,'The List'!$B1:$AH727,24,FALSE)-AVERAGE('The List'!Y2:Y727))/STDEV('The List'!Y2:Y727)</f>
        <v>-0.35166937074124743</v>
      </c>
      <c r="M104" s="39">
        <f>(VLOOKUP($A104,'The List'!$B1:$AH727,25,FALSE)-AVERAGE('The List'!Z2:Z727))/STDEV('The List'!Z2:Z727)</f>
        <v>-0.50450426679649274</v>
      </c>
      <c r="N104" s="39">
        <f>(VLOOKUP($A104,'The List'!$B1:$AH727,26,FALSE)-AVERAGE('The List'!AA2:AA727))/STDEV('The List'!AA2:AA727)</f>
        <v>-0.59073715676872074</v>
      </c>
      <c r="O104" s="39">
        <f>(VLOOKUP($A104,'The List'!$B1:$AH727,27,FALSE)-AVERAGE('The List'!AB2:AB727))/STDEV('The List'!AB2:AB727)</f>
        <v>0.83208310828507981</v>
      </c>
      <c r="P104" s="39">
        <f>(VLOOKUP($A104,'The List'!$B1:$AH727,28,FALSE)-AVERAGE('The List'!AC2:AC727))/STDEV('The List'!AC2:AC727)</f>
        <v>-1.4403981332031286</v>
      </c>
      <c r="Q104" s="39">
        <f>(VLOOKUP($A104,'The List'!$B1:$AH727,29,FALSE)-AVERAGE('The List'!AD2:AD727))/STDEV('The List'!AD2:AD727)</f>
        <v>0.62967614201940281</v>
      </c>
      <c r="R104" s="39">
        <f>(VLOOKUP($A104,'The List'!$B1:$AH727,30,FALSE)-AVERAGE('The List'!AE2:AE727))/STDEV('The List'!AE2:AE727)</f>
        <v>0.42260790142350607</v>
      </c>
      <c r="S104" s="39">
        <f>(VLOOKUP($A104,'The List'!$B1:$AH727,31,FALSE)-AVERAGE('The List'!AF2:AF727))/STDEV('The List'!AF2:AF727)</f>
        <v>1.6311542406753141</v>
      </c>
      <c r="T104" s="39">
        <f>(VLOOKUP($A104,'The List'!$B1:$AH727,32,FALSE)-AVERAGE('The List'!AG2:AG727))/STDEV('The List'!AG2:AG727)</f>
        <v>1.8352589826042371</v>
      </c>
      <c r="U104" s="39">
        <f>(VLOOKUP($A104,'The List'!$B1:$AH727,33,FALSE)-AVERAGE('The List'!AH2:AH727))/STDEV('The List'!AH2:AH727)</f>
        <v>0.95541827035017246</v>
      </c>
      <c r="V104" s="39"/>
      <c r="W104" s="43"/>
      <c r="X104" s="41"/>
      <c r="Y104" s="41"/>
      <c r="Z104" s="41"/>
      <c r="AA104" s="41"/>
      <c r="AB104" s="41"/>
      <c r="AC104" s="44"/>
      <c r="AD104" s="45"/>
      <c r="AE104" s="39"/>
    </row>
    <row r="105" spans="1:31" ht="21.25" customHeight="1" x14ac:dyDescent="0.15">
      <c r="A105" s="8" t="s">
        <v>319</v>
      </c>
      <c r="B105" s="35" t="str">
        <f>VLOOKUP(A105,'Player Data'!A1:B734,2,FALSE)</f>
        <v>ARI</v>
      </c>
      <c r="C105" s="37">
        <f>((E105)*Settings!$C$12)+(F105*Settings!$C$2)+(G105*Settings!$C$3)+(H105*Settings!$C$4)+(I105*Settings!$C$5)+(K105*Settings!$C$9)+(N105*Settings!$C$6)+(J105*Settings!$C$8)+(O105*Settings!$C$7)+(P105*Settings!$C$14)+(Q105*Settings!$C$15)+(R105*Settings!$C$16)+(S105*Settings!$C$17)+(T105*Settings!$C$18)+(U105*Settings!$C$19)</f>
        <v>0.26348216872944352</v>
      </c>
      <c r="D105" s="41">
        <f>IF(Settings!$E$12="YES",VLOOKUP(A105,'Player Data'!A1:E734,5,FALSE),82)</f>
        <v>74.56</v>
      </c>
      <c r="E105" s="39">
        <f>(VLOOKUP($A105,'The List'!$B1:$AH727,17,FALSE)-AVERAGE('The List'!R2:R727))/STDEV('The List'!R2:R727)</f>
        <v>1.7279070781030283E-2</v>
      </c>
      <c r="F105" s="39">
        <f>(VLOOKUP($A105,'The List'!$B1:$AH727,18,FALSE)-AVERAGE('The List'!S2:S727))/STDEV('The List'!S2:S727)</f>
        <v>0.16130957280028421</v>
      </c>
      <c r="G105" s="39">
        <f>(VLOOKUP($A105,'The List'!$B1:$AH727,19,FALSE)-AVERAGE('The List'!T2:T727))/STDEV('The List'!T2:T727)</f>
        <v>1.3514905464038884</v>
      </c>
      <c r="H105" s="39">
        <f>(VLOOKUP($A105,'The List'!$B1:$AH727,20,FALSE)-AVERAGE('The List'!U2:U727))/STDEV('The List'!U2:U727)</f>
        <v>0.90620686891242341</v>
      </c>
      <c r="I105" s="39">
        <f>(VLOOKUP($A105,'The List'!$B1:$AH727,21,FALSE)-AVERAGE('The List'!V2:V727))/STDEV('The List'!V2:V727)</f>
        <v>-0.6960178896561674</v>
      </c>
      <c r="J105" s="39">
        <f>(VLOOKUP($A105,'The List'!$B1:$AH727,22,FALSE)-AVERAGE('The List'!W2:W727))/STDEV('The List'!W2:W727)</f>
        <v>-5.6576314233381476E-2</v>
      </c>
      <c r="K105" s="39">
        <f>(VLOOKUP($A105,'The List'!$B1:$AH727,23,FALSE)-AVERAGE('The List'!X2:X727))/STDEV('The List'!X2:X727)</f>
        <v>0.92344249720833715</v>
      </c>
      <c r="L105" s="39">
        <f>(VLOOKUP($A105,'The List'!$B1:$AH727,24,FALSE)-AVERAGE('The List'!Y2:Y727))/STDEV('The List'!Y2:Y727)</f>
        <v>-0.38573163468990707</v>
      </c>
      <c r="M105" s="39">
        <f>(VLOOKUP($A105,'The List'!$B1:$AH727,25,FALSE)-AVERAGE('The List'!Z2:Z727))/STDEV('The List'!Z2:Z727)</f>
        <v>-0.55217249773284849</v>
      </c>
      <c r="N105" s="39">
        <f>(VLOOKUP($A105,'The List'!$B1:$AH727,26,FALSE)-AVERAGE('The List'!AA2:AA727))/STDEV('The List'!AA2:AA727)</f>
        <v>-0.83593136356137743</v>
      </c>
      <c r="O105" s="39">
        <f>(VLOOKUP($A105,'The List'!$B1:$AH727,27,FALSE)-AVERAGE('The List'!AB2:AB727))/STDEV('The List'!AB2:AB727)</f>
        <v>-1.1264428763259091</v>
      </c>
      <c r="P105" s="39">
        <f>(VLOOKUP($A105,'The List'!$B1:$AH727,28,FALSE)-AVERAGE('The List'!AC2:AC727))/STDEV('The List'!AC2:AC727)</f>
        <v>-0.64081119446552148</v>
      </c>
      <c r="Q105" s="39">
        <f>(VLOOKUP($A105,'The List'!$B1:$AH727,29,FALSE)-AVERAGE('The List'!AD2:AD727))/STDEV('The List'!AD2:AD727)</f>
        <v>-0.50782909886558203</v>
      </c>
      <c r="R105" s="39">
        <f>(VLOOKUP($A105,'The List'!$B1:$AH727,30,FALSE)-AVERAGE('The List'!AE2:AE727))/STDEV('The List'!AE2:AE727)</f>
        <v>-2.052437781803855E-2</v>
      </c>
      <c r="S105" s="39">
        <f>(VLOOKUP($A105,'The List'!$B1:$AH727,31,FALSE)-AVERAGE('The List'!AF2:AF727))/STDEV('The List'!AF2:AF727)</f>
        <v>-0.549116119629388</v>
      </c>
      <c r="T105" s="39">
        <f>(VLOOKUP($A105,'The List'!$B1:$AH727,32,FALSE)-AVERAGE('The List'!AG2:AG727))/STDEV('The List'!AG2:AG727)</f>
        <v>-0.56708483890926975</v>
      </c>
      <c r="U105" s="39">
        <f>(VLOOKUP($A105,'The List'!$B1:$AH727,33,FALSE)-AVERAGE('The List'!AH2:AH727))/STDEV('The List'!AH2:AH727)</f>
        <v>-0.27948625728319298</v>
      </c>
      <c r="V105" s="39"/>
      <c r="W105" s="41"/>
      <c r="X105" s="39"/>
      <c r="Y105" s="39"/>
      <c r="Z105" s="39"/>
      <c r="AA105" s="39"/>
      <c r="AB105" s="39"/>
      <c r="AC105" s="39"/>
      <c r="AD105" s="39"/>
      <c r="AE105" s="39"/>
    </row>
    <row r="106" spans="1:31" ht="21.25" customHeight="1" x14ac:dyDescent="0.15">
      <c r="A106" s="8" t="s">
        <v>316</v>
      </c>
      <c r="B106" s="35" t="str">
        <f>VLOOKUP(A106,'Player Data'!A1:B734,2,FALSE)</f>
        <v>NSH</v>
      </c>
      <c r="C106" s="37">
        <f>((E106)*Settings!$C$12)+(F106*Settings!$C$2)+(G106*Settings!$C$3)+(H106*Settings!$C$4)+(I106*Settings!$C$5)+(K106*Settings!$C$9)+(N106*Settings!$C$6)+(J106*Settings!$C$8)+(O106*Settings!$C$7)+(P106*Settings!$C$14)+(Q106*Settings!$C$15)+(R106*Settings!$C$16)+(S106*Settings!$C$17)+(T106*Settings!$C$18)+(U106*Settings!$C$19)</f>
        <v>1.9154611711935297</v>
      </c>
      <c r="D106" s="41">
        <f>IF(Settings!$E$12="YES",VLOOKUP(A106,'Player Data'!A1:E734,5,FALSE),82)</f>
        <v>74.09</v>
      </c>
      <c r="E106" s="39">
        <f>(VLOOKUP($A106,'The List'!$B1:$AH727,17,FALSE)-AVERAGE('The List'!R2:R727))/STDEV('The List'!R2:R727)</f>
        <v>-0.20634019003364584</v>
      </c>
      <c r="F106" s="39">
        <f>(VLOOKUP($A106,'The List'!$B1:$AH727,18,FALSE)-AVERAGE('The List'!S2:S727))/STDEV('The List'!S2:S727)</f>
        <v>0.77979961225501049</v>
      </c>
      <c r="G106" s="39">
        <f>(VLOOKUP($A106,'The List'!$B1:$AH727,19,FALSE)-AVERAGE('The List'!T2:T727))/STDEV('The List'!T2:T727)</f>
        <v>0.85518770282139955</v>
      </c>
      <c r="H106" s="39">
        <f>(VLOOKUP($A106,'The List'!$B1:$AH727,20,FALSE)-AVERAGE('The List'!U2:U727))/STDEV('The List'!U2:U727)</f>
        <v>0.88183215758156652</v>
      </c>
      <c r="I106" s="39">
        <f>(VLOOKUP($A106,'The List'!$B1:$AH727,21,FALSE)-AVERAGE('The List'!V2:V727))/STDEV('The List'!V2:V727)</f>
        <v>0.1828334757228765</v>
      </c>
      <c r="J106" s="39">
        <f>(VLOOKUP($A106,'The List'!$B1:$AH727,22,FALSE)-AVERAGE('The List'!W2:W727))/STDEV('The List'!W2:W727)</f>
        <v>1.2648931083197663</v>
      </c>
      <c r="K106" s="39">
        <f>(VLOOKUP($A106,'The List'!$B1:$AH727,23,FALSE)-AVERAGE('The List'!X2:X727))/STDEV('The List'!X2:X727)</f>
        <v>1.1462469318768804</v>
      </c>
      <c r="L106" s="39">
        <f>(VLOOKUP($A106,'The List'!$B1:$AH727,24,FALSE)-AVERAGE('The List'!Y2:Y727))/STDEV('The List'!Y2:Y727)</f>
        <v>-0.5340505576149347</v>
      </c>
      <c r="M106" s="39">
        <f>(VLOOKUP($A106,'The List'!$B1:$AH727,25,FALSE)-AVERAGE('The List'!Z2:Z727))/STDEV('The List'!Z2:Z727)</f>
        <v>-0.7125503090113452</v>
      </c>
      <c r="N106" s="39">
        <f>(VLOOKUP($A106,'The List'!$B1:$AH727,26,FALSE)-AVERAGE('The List'!AA2:AA727))/STDEV('The List'!AA2:AA727)</f>
        <v>-0.65165932554796602</v>
      </c>
      <c r="O106" s="39">
        <f>(VLOOKUP($A106,'The List'!$B1:$AH727,27,FALSE)-AVERAGE('The List'!AB2:AB727))/STDEV('The List'!AB2:AB727)</f>
        <v>-1.313253077652432</v>
      </c>
      <c r="P106" s="39">
        <f>(VLOOKUP($A106,'The List'!$B1:$AH727,28,FALSE)-AVERAGE('The List'!AC2:AC727))/STDEV('The List'!AC2:AC727)</f>
        <v>-0.39694722593467135</v>
      </c>
      <c r="Q106" s="39">
        <f>(VLOOKUP($A106,'The List'!$B1:$AH727,29,FALSE)-AVERAGE('The List'!AD2:AD727))/STDEV('The List'!AD2:AD727)</f>
        <v>-0.94342855743481058</v>
      </c>
      <c r="R106" s="39">
        <f>(VLOOKUP($A106,'The List'!$B1:$AH727,30,FALSE)-AVERAGE('The List'!AE2:AE727))/STDEV('The List'!AE2:AE727)</f>
        <v>0.78594986756834306</v>
      </c>
      <c r="S106" s="39">
        <f>(VLOOKUP($A106,'The List'!$B1:$AH727,31,FALSE)-AVERAGE('The List'!AF2:AF727))/STDEV('The List'!AF2:AF727)</f>
        <v>0.78989308551774962</v>
      </c>
      <c r="T106" s="39">
        <f>(VLOOKUP($A106,'The List'!$B1:$AH727,32,FALSE)-AVERAGE('The List'!AG2:AG727))/STDEV('The List'!AG2:AG727)</f>
        <v>1.1750883548230004</v>
      </c>
      <c r="U106" s="39">
        <f>(VLOOKUP($A106,'The List'!$B1:$AH727,33,FALSE)-AVERAGE('The List'!AH2:AH727))/STDEV('The List'!AH2:AH727)</f>
        <v>0.76554643964457136</v>
      </c>
      <c r="V106" s="39"/>
      <c r="W106" s="41"/>
      <c r="X106" s="39"/>
      <c r="Y106" s="39"/>
      <c r="Z106" s="39"/>
      <c r="AA106" s="39"/>
      <c r="AB106" s="39"/>
      <c r="AC106" s="39"/>
      <c r="AD106" s="39"/>
      <c r="AE106" s="39"/>
    </row>
    <row r="107" spans="1:31" ht="21.25" customHeight="1" x14ac:dyDescent="0.15">
      <c r="A107" s="8" t="s">
        <v>186</v>
      </c>
      <c r="B107" s="35" t="str">
        <f>VLOOKUP(A107,'Player Data'!A1:B734,2,FALSE)</f>
        <v>WSH</v>
      </c>
      <c r="C107" s="37">
        <f>((E107)*Settings!$C$12)+(F107*Settings!$C$2)+(G107*Settings!$C$3)+(H107*Settings!$C$4)+(I107*Settings!$C$5)+(K107*Settings!$C$9)+(N107*Settings!$C$6)+(J107*Settings!$C$8)+(O107*Settings!$C$7)+(P107*Settings!$C$14)+(Q107*Settings!$C$15)+(R107*Settings!$C$16)+(S107*Settings!$C$17)+(T107*Settings!$C$18)+(U107*Settings!$C$19)</f>
        <v>4.2078573157573391</v>
      </c>
      <c r="D107" s="41">
        <f>IF(Settings!$E$12="YES",VLOOKUP(A107,'Player Data'!A1:E734,5,FALSE),82)</f>
        <v>72.599999999999994</v>
      </c>
      <c r="E107" s="39">
        <f>(VLOOKUP($A107,'The List'!$B1:$AH727,17,FALSE)-AVERAGE('The List'!R2:R727))/STDEV('The List'!R2:R727)</f>
        <v>1.7732976801134714</v>
      </c>
      <c r="F107" s="39">
        <f>(VLOOKUP($A107,'The List'!$B1:$AH727,18,FALSE)-AVERAGE('The List'!S2:S727))/STDEV('The List'!S2:S727)</f>
        <v>-5.3117405114885934E-2</v>
      </c>
      <c r="G107" s="39">
        <f>(VLOOKUP($A107,'The List'!$B1:$AH727,19,FALSE)-AVERAGE('The List'!T2:T727))/STDEV('The List'!T2:T727)</f>
        <v>1.1906982205713574</v>
      </c>
      <c r="H107" s="39">
        <f>(VLOOKUP($A107,'The List'!$B1:$AH727,20,FALSE)-AVERAGE('The List'!U2:U727))/STDEV('The List'!U2:U727)</f>
        <v>0.70954746415944314</v>
      </c>
      <c r="I107" s="39">
        <f>(VLOOKUP($A107,'The List'!$B1:$AH727,21,FALSE)-AVERAGE('The List'!V2:V727))/STDEV('The List'!V2:V727)</f>
        <v>0.86650796034073685</v>
      </c>
      <c r="J107" s="39">
        <f>(VLOOKUP($A107,'The List'!$B1:$AH727,22,FALSE)-AVERAGE('The List'!W2:W727))/STDEV('The List'!W2:W727)</f>
        <v>0.43023595380048385</v>
      </c>
      <c r="K107" s="39">
        <f>(VLOOKUP($A107,'The List'!$B1:$AH727,23,FALSE)-AVERAGE('The List'!X2:X727))/STDEV('The List'!X2:X727)</f>
        <v>1.1273971184582505</v>
      </c>
      <c r="L107" s="39">
        <f>(VLOOKUP($A107,'The List'!$B1:$AH727,24,FALSE)-AVERAGE('The List'!Y2:Y727))/STDEV('The List'!Y2:Y727)</f>
        <v>0.33761430157348782</v>
      </c>
      <c r="M107" s="39">
        <f>(VLOOKUP($A107,'The List'!$B1:$AH727,25,FALSE)-AVERAGE('The List'!Z2:Z727))/STDEV('The List'!Z2:Z727)</f>
        <v>0.80507796610490068</v>
      </c>
      <c r="N107" s="39">
        <f>(VLOOKUP($A107,'The List'!$B1:$AH727,26,FALSE)-AVERAGE('The List'!AA2:AA727))/STDEV('The List'!AA2:AA727)</f>
        <v>1.7625478284007328</v>
      </c>
      <c r="O107" s="39">
        <f>(VLOOKUP($A107,'The List'!$B1:$AH727,27,FALSE)-AVERAGE('The List'!AB2:AB727))/STDEV('The List'!AB2:AB727)</f>
        <v>-0.13890930480802205</v>
      </c>
      <c r="P107" s="39">
        <f>(VLOOKUP($A107,'The List'!$B1:$AH727,28,FALSE)-AVERAGE('The List'!AC2:AC727))/STDEV('The List'!AC2:AC727)</f>
        <v>-0.6861764068988524</v>
      </c>
      <c r="Q107" s="39">
        <f>(VLOOKUP($A107,'The List'!$B1:$AH727,29,FALSE)-AVERAGE('The List'!AD2:AD727))/STDEV('The List'!AD2:AD727)</f>
        <v>-0.62187648309044352</v>
      </c>
      <c r="R107" s="39">
        <f>(VLOOKUP($A107,'The List'!$B1:$AH727,30,FALSE)-AVERAGE('The List'!AE2:AE727))/STDEV('The List'!AE2:AE727)</f>
        <v>-0.19513588518756309</v>
      </c>
      <c r="S107" s="39">
        <f>(VLOOKUP($A107,'The List'!$B1:$AH727,31,FALSE)-AVERAGE('The List'!AF2:AF727))/STDEV('The List'!AF2:AF727)</f>
        <v>-0.55804314905918151</v>
      </c>
      <c r="T107" s="39">
        <f>(VLOOKUP($A107,'The List'!$B1:$AH727,32,FALSE)-AVERAGE('The List'!AG2:AG727))/STDEV('The List'!AG2:AG727)</f>
        <v>-0.60188453558131205</v>
      </c>
      <c r="U107" s="39">
        <f>(VLOOKUP($A107,'The List'!$B1:$AH727,33,FALSE)-AVERAGE('The List'!AH2:AH727))/STDEV('The List'!AH2:AH727)</f>
        <v>-1.2395873372913611</v>
      </c>
      <c r="V107" s="39"/>
      <c r="W107" s="41"/>
      <c r="X107" s="39"/>
      <c r="Y107" s="39"/>
      <c r="Z107" s="39"/>
      <c r="AA107" s="39"/>
      <c r="AB107" s="39"/>
      <c r="AC107" s="39"/>
      <c r="AD107" s="39"/>
      <c r="AE107" s="39"/>
    </row>
    <row r="108" spans="1:31" ht="21.25" customHeight="1" x14ac:dyDescent="0.15">
      <c r="A108" s="8" t="s">
        <v>302</v>
      </c>
      <c r="B108" s="35" t="str">
        <f>VLOOKUP(A108,'Player Data'!A1:B734,2,FALSE)</f>
        <v>OTT</v>
      </c>
      <c r="C108" s="37">
        <f>((E108)*Settings!$C$12)+(F108*Settings!$C$2)+(G108*Settings!$C$3)+(H108*Settings!$C$4)+(I108*Settings!$C$5)+(K108*Settings!$C$9)+(N108*Settings!$C$6)+(J108*Settings!$C$8)+(O108*Settings!$C$7)+(P108*Settings!$C$14)+(Q108*Settings!$C$15)+(R108*Settings!$C$16)+(S108*Settings!$C$17)+(T108*Settings!$C$18)+(U108*Settings!$C$19)</f>
        <v>3.468977183717687</v>
      </c>
      <c r="D108" s="41">
        <f>IF(Settings!$E$12="YES",VLOOKUP(A108,'Player Data'!A1:E734,5,FALSE),82)</f>
        <v>72.552499999999995</v>
      </c>
      <c r="E108" s="39">
        <f>(VLOOKUP($A108,'The List'!$B1:$AH727,17,FALSE)-AVERAGE('The List'!R2:R727))/STDEV('The List'!R2:R727)</f>
        <v>0.51249352024353445</v>
      </c>
      <c r="F108" s="39">
        <f>(VLOOKUP($A108,'The List'!$B1:$AH727,18,FALSE)-AVERAGE('The List'!S2:S727))/STDEV('The List'!S2:S727)</f>
        <v>1.6241070432690667</v>
      </c>
      <c r="G108" s="39">
        <f>(VLOOKUP($A108,'The List'!$B1:$AH727,19,FALSE)-AVERAGE('The List'!T2:T727))/STDEV('The List'!T2:T727)</f>
        <v>0.1433952452263261</v>
      </c>
      <c r="H108" s="39">
        <f>(VLOOKUP($A108,'The List'!$B1:$AH727,20,FALSE)-AVERAGE('The List'!U2:U727))/STDEV('The List'!U2:U727)</f>
        <v>0.82743180587252529</v>
      </c>
      <c r="I108" s="39">
        <f>(VLOOKUP($A108,'The List'!$B1:$AH727,21,FALSE)-AVERAGE('The List'!V2:V727))/STDEV('The List'!V2:V727)</f>
        <v>0.48800627516845574</v>
      </c>
      <c r="J108" s="39">
        <f>(VLOOKUP($A108,'The List'!$B1:$AH727,22,FALSE)-AVERAGE('The List'!W2:W727))/STDEV('The List'!W2:W727)</f>
        <v>2.28789480885384</v>
      </c>
      <c r="K108" s="39">
        <f>(VLOOKUP($A108,'The List'!$B1:$AH727,23,FALSE)-AVERAGE('The List'!X2:X727))/STDEV('The List'!X2:X727)</f>
        <v>1.2773346010496673</v>
      </c>
      <c r="L108" s="39">
        <f>(VLOOKUP($A108,'The List'!$B1:$AH727,24,FALSE)-AVERAGE('The List'!Y2:Y727))/STDEV('The List'!Y2:Y727)</f>
        <v>0.29205825493707682</v>
      </c>
      <c r="M108" s="39">
        <f>(VLOOKUP($A108,'The List'!$B1:$AH727,25,FALSE)-AVERAGE('The List'!Z2:Z727))/STDEV('The List'!Z2:Z727)</f>
        <v>0.14940191136403896</v>
      </c>
      <c r="N108" s="39">
        <f>(VLOOKUP($A108,'The List'!$B1:$AH727,26,FALSE)-AVERAGE('The List'!AA2:AA727))/STDEV('The List'!AA2:AA727)</f>
        <v>-0.31949024642152485</v>
      </c>
      <c r="O108" s="39">
        <f>(VLOOKUP($A108,'The List'!$B1:$AH727,27,FALSE)-AVERAGE('The List'!AB2:AB727))/STDEV('The List'!AB2:AB727)</f>
        <v>-0.25179882143232774</v>
      </c>
      <c r="P108" s="39">
        <f>(VLOOKUP($A108,'The List'!$B1:$AH727,28,FALSE)-AVERAGE('The List'!AC2:AC727))/STDEV('The List'!AC2:AC727)</f>
        <v>0.25562426542569572</v>
      </c>
      <c r="Q108" s="39">
        <f>(VLOOKUP($A108,'The List'!$B1:$AH727,29,FALSE)-AVERAGE('The List'!AD2:AD727))/STDEV('The List'!AD2:AD727)</f>
        <v>-0.46435689834825999</v>
      </c>
      <c r="R108" s="39">
        <f>(VLOOKUP($A108,'The List'!$B1:$AH727,30,FALSE)-AVERAGE('The List'!AE2:AE727))/STDEV('The List'!AE2:AE727)</f>
        <v>1.4554891695207066</v>
      </c>
      <c r="S108" s="39">
        <f>(VLOOKUP($A108,'The List'!$B1:$AH727,31,FALSE)-AVERAGE('The List'!AF2:AF727))/STDEV('The List'!AF2:AF727)</f>
        <v>1.8856981569191014</v>
      </c>
      <c r="T108" s="39">
        <f>(VLOOKUP($A108,'The List'!$B1:$AH727,32,FALSE)-AVERAGE('The List'!AG2:AG727))/STDEV('The List'!AG2:AG727)</f>
        <v>1.766511342443525</v>
      </c>
      <c r="U108" s="39">
        <f>(VLOOKUP($A108,'The List'!$B1:$AH727,33,FALSE)-AVERAGE('The List'!AH2:AH727))/STDEV('The List'!AH2:AH727)</f>
        <v>1.1119038215987904</v>
      </c>
      <c r="V108" s="39"/>
      <c r="W108" s="43"/>
      <c r="X108" s="41"/>
      <c r="Y108" s="41"/>
      <c r="Z108" s="41"/>
      <c r="AA108" s="41"/>
      <c r="AB108" s="41"/>
      <c r="AC108" s="44"/>
      <c r="AD108" s="45"/>
      <c r="AE108" s="39"/>
    </row>
    <row r="109" spans="1:31" ht="21.25" customHeight="1" x14ac:dyDescent="0.15">
      <c r="A109" s="8" t="s">
        <v>335</v>
      </c>
      <c r="B109" s="35" t="str">
        <f>VLOOKUP(A109,'Player Data'!A1:B734,2,FALSE)</f>
        <v>SJS</v>
      </c>
      <c r="C109" s="37">
        <f>((E109)*Settings!$C$12)+(F109*Settings!$C$2)+(G109*Settings!$C$3)+(H109*Settings!$C$4)+(I109*Settings!$C$5)+(K109*Settings!$C$9)+(N109*Settings!$C$6)+(J109*Settings!$C$8)+(O109*Settings!$C$7)+(P109*Settings!$C$14)+(Q109*Settings!$C$15)+(R109*Settings!$C$16)+(S109*Settings!$C$17)+(T109*Settings!$C$18)+(U109*Settings!$C$19)</f>
        <v>1.9430184351944413</v>
      </c>
      <c r="D109" s="41">
        <f>IF(Settings!$E$12="YES",VLOOKUP(A109,'Player Data'!A1:E734,5,FALSE),82)</f>
        <v>71.3</v>
      </c>
      <c r="E109" s="39">
        <f>(VLOOKUP($A109,'The List'!$B1:$AH727,17,FALSE)-AVERAGE('The List'!R2:R727))/STDEV('The List'!R2:R727)</f>
        <v>0.43154399171473656</v>
      </c>
      <c r="F109" s="39">
        <f>(VLOOKUP($A109,'The List'!$B1:$AH727,18,FALSE)-AVERAGE('The List'!S2:S727))/STDEV('The List'!S2:S727)</f>
        <v>0.71462664604384929</v>
      </c>
      <c r="G109" s="39">
        <f>(VLOOKUP($A109,'The List'!$B1:$AH727,19,FALSE)-AVERAGE('The List'!T2:T727))/STDEV('The List'!T2:T727)</f>
        <v>0.54329806333009845</v>
      </c>
      <c r="H109" s="39">
        <f>(VLOOKUP($A109,'The List'!$B1:$AH727,20,FALSE)-AVERAGE('The List'!U2:U727))/STDEV('The List'!U2:U727)</f>
        <v>0.65998511195651433</v>
      </c>
      <c r="I109" s="39">
        <f>(VLOOKUP($A109,'The List'!$B1:$AH727,21,FALSE)-AVERAGE('The List'!V2:V727))/STDEV('The List'!V2:V727)</f>
        <v>0.46781538026568775</v>
      </c>
      <c r="J109" s="39">
        <f>(VLOOKUP($A109,'The List'!$B1:$AH727,22,FALSE)-AVERAGE('The List'!W2:W727))/STDEV('The List'!W2:W727)</f>
        <v>0.52813093304571257</v>
      </c>
      <c r="K109" s="39">
        <f>(VLOOKUP($A109,'The List'!$B1:$AH727,23,FALSE)-AVERAGE('The List'!X2:X727))/STDEV('The List'!X2:X727)</f>
        <v>1.0241911740137351</v>
      </c>
      <c r="L109" s="39">
        <f>(VLOOKUP($A109,'The List'!$B1:$AH727,24,FALSE)-AVERAGE('The List'!Y2:Y727))/STDEV('The List'!Y2:Y727)</f>
        <v>-0.3317390232670766</v>
      </c>
      <c r="M109" s="39">
        <f>(VLOOKUP($A109,'The List'!$B1:$AH727,25,FALSE)-AVERAGE('The List'!Z2:Z727))/STDEV('The List'!Z2:Z727)</f>
        <v>-0.48786984362735486</v>
      </c>
      <c r="N109" s="39">
        <f>(VLOOKUP($A109,'The List'!$B1:$AH727,26,FALSE)-AVERAGE('The List'!AA2:AA727))/STDEV('The List'!AA2:AA727)</f>
        <v>-0.54959771081078646</v>
      </c>
      <c r="O109" s="39">
        <f>(VLOOKUP($A109,'The List'!$B1:$AH727,27,FALSE)-AVERAGE('The List'!AB2:AB727))/STDEV('The List'!AB2:AB727)</f>
        <v>-0.62758933108779225</v>
      </c>
      <c r="P109" s="39">
        <f>(VLOOKUP($A109,'The List'!$B1:$AH727,28,FALSE)-AVERAGE('The List'!AC2:AC727))/STDEV('The List'!AC2:AC727)</f>
        <v>-0.25731511764814252</v>
      </c>
      <c r="Q109" s="39">
        <f>(VLOOKUP($A109,'The List'!$B1:$AH727,29,FALSE)-AVERAGE('The List'!AD2:AD727))/STDEV('The List'!AD2:AD727)</f>
        <v>0.21933398555221714</v>
      </c>
      <c r="R109" s="39">
        <f>(VLOOKUP($A109,'The List'!$B1:$AH727,30,FALSE)-AVERAGE('The List'!AE2:AE727))/STDEV('The List'!AE2:AE727)</f>
        <v>0.40095735257887838</v>
      </c>
      <c r="S109" s="39">
        <f>(VLOOKUP($A109,'The List'!$B1:$AH727,31,FALSE)-AVERAGE('The List'!AF2:AF727))/STDEV('The List'!AF2:AF727)</f>
        <v>-0.46633896741971209</v>
      </c>
      <c r="T109" s="39">
        <f>(VLOOKUP($A109,'The List'!$B1:$AH727,32,FALSE)-AVERAGE('The List'!AG2:AG727))/STDEV('The List'!AG2:AG727)</f>
        <v>-0.42281092940375276</v>
      </c>
      <c r="U109" s="39">
        <f>(VLOOKUP($A109,'The List'!$B1:$AH727,33,FALSE)-AVERAGE('The List'!AH2:AH727))/STDEV('The List'!AH2:AH727)</f>
        <v>0.34216581085364484</v>
      </c>
      <c r="V109" s="39"/>
      <c r="W109" s="43"/>
      <c r="X109" s="41"/>
      <c r="Y109" s="41"/>
      <c r="Z109" s="41"/>
      <c r="AA109" s="41"/>
      <c r="AB109" s="41"/>
      <c r="AC109" s="44"/>
      <c r="AD109" s="45"/>
      <c r="AE109" s="39"/>
    </row>
    <row r="110" spans="1:31" ht="21.25" customHeight="1" x14ac:dyDescent="0.15">
      <c r="A110" s="8" t="s">
        <v>263</v>
      </c>
      <c r="B110" s="35" t="str">
        <f>VLOOKUP(A110,'Player Data'!A1:B734,2,FALSE)</f>
        <v>OTT</v>
      </c>
      <c r="C110" s="37">
        <f>((E110)*Settings!$C$12)+(F110*Settings!$C$2)+(G110*Settings!$C$3)+(H110*Settings!$C$4)+(I110*Settings!$C$5)+(K110*Settings!$C$9)+(N110*Settings!$C$6)+(J110*Settings!$C$8)+(O110*Settings!$C$7)+(P110*Settings!$C$14)+(Q110*Settings!$C$15)+(R110*Settings!$C$16)+(S110*Settings!$C$17)+(T110*Settings!$C$18)+(U110*Settings!$C$19)</f>
        <v>2.3523701886878037</v>
      </c>
      <c r="D110" s="41">
        <f>IF(Settings!$E$12="YES",VLOOKUP(A110,'Player Data'!A1:E734,5,FALSE),82)</f>
        <v>74.074285714285693</v>
      </c>
      <c r="E110" s="39">
        <f>(VLOOKUP($A110,'The List'!$B1:$AH727,17,FALSE)-AVERAGE('The List'!R2:R727))/STDEV('The List'!R2:R727)</f>
        <v>-8.7869073802302022E-2</v>
      </c>
      <c r="F110" s="39">
        <f>(VLOOKUP($A110,'The List'!$B1:$AH727,18,FALSE)-AVERAGE('The List'!S2:S727))/STDEV('The List'!S2:S727)</f>
        <v>0.78866722600038031</v>
      </c>
      <c r="G110" s="39">
        <f>(VLOOKUP($A110,'The List'!$B1:$AH727,19,FALSE)-AVERAGE('The List'!T2:T727))/STDEV('The List'!T2:T727)</f>
        <v>0.81479018490312027</v>
      </c>
      <c r="H110" s="39">
        <f>(VLOOKUP($A110,'The List'!$B1:$AH727,20,FALSE)-AVERAGE('The List'!U2:U727))/STDEV('The List'!U2:U727)</f>
        <v>0.86097415421996926</v>
      </c>
      <c r="I110" s="39">
        <f>(VLOOKUP($A110,'The List'!$B1:$AH727,21,FALSE)-AVERAGE('The List'!V2:V727))/STDEV('The List'!V2:V727)</f>
        <v>0.77902013508436363</v>
      </c>
      <c r="J110" s="39">
        <f>(VLOOKUP($A110,'The List'!$B1:$AH727,22,FALSE)-AVERAGE('The List'!W2:W727))/STDEV('The List'!W2:W727)</f>
        <v>0.16766035452540609</v>
      </c>
      <c r="K110" s="39">
        <f>(VLOOKUP($A110,'The List'!$B1:$AH727,23,FALSE)-AVERAGE('The List'!X2:X727))/STDEV('The List'!X2:X727)</f>
        <v>0.52692232627033597</v>
      </c>
      <c r="L110" s="39">
        <f>(VLOOKUP($A110,'The List'!$B1:$AH727,24,FALSE)-AVERAGE('The List'!Y2:Y727))/STDEV('The List'!Y2:Y727)</f>
        <v>-0.52901875618431715</v>
      </c>
      <c r="M110" s="39">
        <f>(VLOOKUP($A110,'The List'!$B1:$AH727,25,FALSE)-AVERAGE('The List'!Z2:Z727))/STDEV('The List'!Z2:Z727)</f>
        <v>-0.70670115626759256</v>
      </c>
      <c r="N110" s="39">
        <f>(VLOOKUP($A110,'The List'!$B1:$AH727,26,FALSE)-AVERAGE('The List'!AA2:AA727))/STDEV('The List'!AA2:AA727)</f>
        <v>-0.52164926690922531</v>
      </c>
      <c r="O110" s="39">
        <f>(VLOOKUP($A110,'The List'!$B1:$AH727,27,FALSE)-AVERAGE('The List'!AB2:AB727))/STDEV('The List'!AB2:AB727)</f>
        <v>-0.27908223047934777</v>
      </c>
      <c r="P110" s="39">
        <f>(VLOOKUP($A110,'The List'!$B1:$AH727,28,FALSE)-AVERAGE('The List'!AC2:AC727))/STDEV('The List'!AC2:AC727)</f>
        <v>-3.538041666117131E-2</v>
      </c>
      <c r="Q110" s="39">
        <f>(VLOOKUP($A110,'The List'!$B1:$AH727,29,FALSE)-AVERAGE('The List'!AD2:AD727))/STDEV('The List'!AD2:AD727)</f>
        <v>-1.0876357402769978</v>
      </c>
      <c r="R110" s="39">
        <f>(VLOOKUP($A110,'The List'!$B1:$AH727,30,FALSE)-AVERAGE('The List'!AE2:AE727))/STDEV('The List'!AE2:AE727)</f>
        <v>0.69747477501801636</v>
      </c>
      <c r="S110" s="39">
        <f>(VLOOKUP($A110,'The List'!$B1:$AH727,31,FALSE)-AVERAGE('The List'!AF2:AF727))/STDEV('The List'!AF2:AF727)</f>
        <v>-0.55544534384479238</v>
      </c>
      <c r="T110" s="39">
        <f>(VLOOKUP($A110,'The List'!$B1:$AH727,32,FALSE)-AVERAGE('The List'!AG2:AG727))/STDEV('The List'!AG2:AG727)</f>
        <v>-0.58707140808821712</v>
      </c>
      <c r="U110" s="39">
        <f>(VLOOKUP($A110,'The List'!$B1:$AH727,33,FALSE)-AVERAGE('The List'!AH2:AH727))/STDEV('The List'!AH2:AH727)</f>
        <v>-0.53591469523015189</v>
      </c>
      <c r="V110" s="39"/>
      <c r="W110" s="41"/>
      <c r="X110" s="39"/>
      <c r="Y110" s="39"/>
      <c r="Z110" s="39"/>
      <c r="AA110" s="39"/>
      <c r="AB110" s="39"/>
      <c r="AC110" s="39"/>
      <c r="AD110" s="39"/>
      <c r="AE110" s="39"/>
    </row>
    <row r="111" spans="1:31" ht="21.25" customHeight="1" x14ac:dyDescent="0.15">
      <c r="A111" s="8" t="s">
        <v>201</v>
      </c>
      <c r="B111" s="35" t="str">
        <f>VLOOKUP(A111,'Player Data'!A1:B734,2,FALSE)</f>
        <v>NYR</v>
      </c>
      <c r="C111" s="37">
        <f>((E111)*Settings!$C$12)+(F111*Settings!$C$2)+(G111*Settings!$C$3)+(H111*Settings!$C$4)+(I111*Settings!$C$5)+(K111*Settings!$C$9)+(N111*Settings!$C$6)+(J111*Settings!$C$8)+(O111*Settings!$C$7)+(P111*Settings!$C$14)+(Q111*Settings!$C$15)+(R111*Settings!$C$16)+(S111*Settings!$C$17)+(T111*Settings!$C$18)+(U111*Settings!$C$19)</f>
        <v>6.4045697527198202</v>
      </c>
      <c r="D111" s="41">
        <f>IF(Settings!$E$12="YES",VLOOKUP(A111,'Player Data'!A1:E734,5,FALSE),82)</f>
        <v>80.481428571428594</v>
      </c>
      <c r="E111" s="39">
        <f>(VLOOKUP($A111,'The List'!$B1:$AH727,17,FALSE)-AVERAGE('The List'!R2:R727))/STDEV('The List'!R2:R727)</f>
        <v>0.55653214074279556</v>
      </c>
      <c r="F111" s="39">
        <f>(VLOOKUP($A111,'The List'!$B1:$AH727,18,FALSE)-AVERAGE('The List'!S2:S727))/STDEV('The List'!S2:S727)</f>
        <v>2.4505644141094156</v>
      </c>
      <c r="G111" s="39">
        <f>(VLOOKUP($A111,'The List'!$B1:$AH727,19,FALSE)-AVERAGE('The List'!T2:T727))/STDEV('The List'!T2:T727)</f>
        <v>-7.6965718981454462E-2</v>
      </c>
      <c r="H111" s="39">
        <f>(VLOOKUP($A111,'The List'!$B1:$AH727,20,FALSE)-AVERAGE('The List'!U2:U727))/STDEV('The List'!U2:U727)</f>
        <v>1.0677331710841278</v>
      </c>
      <c r="I111" s="39">
        <f>(VLOOKUP($A111,'The List'!$B1:$AH727,21,FALSE)-AVERAGE('The List'!V2:V727))/STDEV('The List'!V2:V727)</f>
        <v>1.6235549019740754</v>
      </c>
      <c r="J111" s="39">
        <f>(VLOOKUP($A111,'The List'!$B1:$AH727,22,FALSE)-AVERAGE('The List'!W2:W727))/STDEV('The List'!W2:W727)</f>
        <v>3.1524872460540179</v>
      </c>
      <c r="K111" s="39">
        <f>(VLOOKUP($A111,'The List'!$B1:$AH727,23,FALSE)-AVERAGE('The List'!X2:X727))/STDEV('The List'!X2:X727)</f>
        <v>1.6321808034962249</v>
      </c>
      <c r="L111" s="39">
        <f>(VLOOKUP($A111,'The List'!$B1:$AH727,24,FALSE)-AVERAGE('The List'!Y2:Y727))/STDEV('The List'!Y2:Y727)</f>
        <v>5.4226785168385545</v>
      </c>
      <c r="M111" s="39">
        <f>(VLOOKUP($A111,'The List'!$B1:$AH727,25,FALSE)-AVERAGE('The List'!Z2:Z727))/STDEV('The List'!Z2:Z727)</f>
        <v>3.0237576872792515</v>
      </c>
      <c r="N111" s="39">
        <f>(VLOOKUP($A111,'The List'!$B1:$AH727,26,FALSE)-AVERAGE('The List'!AA2:AA727))/STDEV('The List'!AA2:AA727)</f>
        <v>-0.69545547419057174</v>
      </c>
      <c r="O111" s="39">
        <f>(VLOOKUP($A111,'The List'!$B1:$AH727,27,FALSE)-AVERAGE('The List'!AB2:AB727))/STDEV('The List'!AB2:AB727)</f>
        <v>0.830301692587333</v>
      </c>
      <c r="P111" s="39">
        <f>(VLOOKUP($A111,'The List'!$B1:$AH727,28,FALSE)-AVERAGE('The List'!AC2:AC727))/STDEV('The List'!AC2:AC727)</f>
        <v>1.470690826312131</v>
      </c>
      <c r="Q111" s="39">
        <f>(VLOOKUP($A111,'The List'!$B1:$AH727,29,FALSE)-AVERAGE('The List'!AD2:AD727))/STDEV('The List'!AD2:AD727)</f>
        <v>5.0200902877461873E-2</v>
      </c>
      <c r="R111" s="39">
        <f>(VLOOKUP($A111,'The List'!$B1:$AH727,30,FALSE)-AVERAGE('The List'!AE2:AE727))/STDEV('The List'!AE2:AE727)</f>
        <v>2.9757778764998548</v>
      </c>
      <c r="S111" s="39">
        <f>(VLOOKUP($A111,'The List'!$B1:$AH727,31,FALSE)-AVERAGE('The List'!AF2:AF727))/STDEV('The List'!AF2:AF727)</f>
        <v>-0.3371900327654459</v>
      </c>
      <c r="T111" s="39">
        <f>(VLOOKUP($A111,'The List'!$B1:$AH727,32,FALSE)-AVERAGE('The List'!AG2:AG727))/STDEV('The List'!AG2:AG727)</f>
        <v>-0.32735975028522241</v>
      </c>
      <c r="U111" s="39">
        <f>(VLOOKUP($A111,'The List'!$B1:$AH727,33,FALSE)-AVERAGE('The List'!AH2:AH727))/STDEV('The List'!AH2:AH727)</f>
        <v>0.83131114456853317</v>
      </c>
      <c r="V111" s="39"/>
      <c r="W111" s="41"/>
      <c r="X111" s="39"/>
      <c r="Y111" s="39"/>
      <c r="Z111" s="39"/>
      <c r="AA111" s="39"/>
      <c r="AB111" s="39"/>
      <c r="AC111" s="39"/>
      <c r="AD111" s="39"/>
      <c r="AE111" s="39"/>
    </row>
    <row r="112" spans="1:31" ht="21.25" customHeight="1" x14ac:dyDescent="0.15">
      <c r="A112" s="8" t="s">
        <v>245</v>
      </c>
      <c r="B112" s="35" t="str">
        <f>VLOOKUP(A112,'Player Data'!A1:B734,2,FALSE)</f>
        <v>DET</v>
      </c>
      <c r="C112" s="37">
        <f>((E112)*Settings!$C$12)+(F112*Settings!$C$2)+(G112*Settings!$C$3)+(H112*Settings!$C$4)+(I112*Settings!$C$5)+(K112*Settings!$C$9)+(N112*Settings!$C$6)+(J112*Settings!$C$8)+(O112*Settings!$C$7)+(P112*Settings!$C$14)+(Q112*Settings!$C$15)+(R112*Settings!$C$16)+(S112*Settings!$C$17)+(T112*Settings!$C$18)+(U112*Settings!$C$19)</f>
        <v>2.1681194989698414</v>
      </c>
      <c r="D112" s="41">
        <f>IF(Settings!$E$12="YES",VLOOKUP(A112,'Player Data'!A1:E734,5,FALSE),82)</f>
        <v>80.209999999999994</v>
      </c>
      <c r="E112" s="39">
        <f>(VLOOKUP($A112,'The List'!$B1:$AH727,17,FALSE)-AVERAGE('The List'!R2:R727))/STDEV('The List'!R2:R727)</f>
        <v>0.39729507189765473</v>
      </c>
      <c r="F112" s="39">
        <f>(VLOOKUP($A112,'The List'!$B1:$AH727,18,FALSE)-AVERAGE('The List'!S2:S727))/STDEV('The List'!S2:S727)</f>
        <v>1.1199509069581874</v>
      </c>
      <c r="G112" s="39">
        <f>(VLOOKUP($A112,'The List'!$B1:$AH727,19,FALSE)-AVERAGE('The List'!T2:T727))/STDEV('The List'!T2:T727)</f>
        <v>1.1038374598349627</v>
      </c>
      <c r="H112" s="39">
        <f>(VLOOKUP($A112,'The List'!$B1:$AH727,20,FALSE)-AVERAGE('The List'!U2:U727))/STDEV('The List'!U2:U727)</f>
        <v>1.1898425519216402</v>
      </c>
      <c r="I112" s="39">
        <f>(VLOOKUP($A112,'The List'!$B1:$AH727,21,FALSE)-AVERAGE('The List'!V2:V727))/STDEV('The List'!V2:V727)</f>
        <v>0.58929015433217236</v>
      </c>
      <c r="J112" s="39">
        <f>(VLOOKUP($A112,'The List'!$B1:$AH727,22,FALSE)-AVERAGE('The List'!W2:W727))/STDEV('The List'!W2:W727)</f>
        <v>1.1211902553033928</v>
      </c>
      <c r="K112" s="39">
        <f>(VLOOKUP($A112,'The List'!$B1:$AH727,23,FALSE)-AVERAGE('The List'!X2:X727))/STDEV('The List'!X2:X727)</f>
        <v>1.5650838243480978</v>
      </c>
      <c r="L112" s="39">
        <f>(VLOOKUP($A112,'The List'!$B1:$AH727,24,FALSE)-AVERAGE('The List'!Y2:Y727))/STDEV('The List'!Y2:Y727)</f>
        <v>-0.51113452479339816</v>
      </c>
      <c r="M112" s="39">
        <f>(VLOOKUP($A112,'The List'!$B1:$AH727,25,FALSE)-AVERAGE('The List'!Z2:Z727))/STDEV('The List'!Z2:Z727)</f>
        <v>-0.68722524998576506</v>
      </c>
      <c r="N112" s="39">
        <f>(VLOOKUP($A112,'The List'!$B1:$AH727,26,FALSE)-AVERAGE('The List'!AA2:AA727))/STDEV('The List'!AA2:AA727)</f>
        <v>-0.89290627303480496</v>
      </c>
      <c r="O112" s="39">
        <f>(VLOOKUP($A112,'The List'!$B1:$AH727,27,FALSE)-AVERAGE('The List'!AB2:AB727))/STDEV('The List'!AB2:AB727)</f>
        <v>-0.77893457926266341</v>
      </c>
      <c r="P112" s="39">
        <f>(VLOOKUP($A112,'The List'!$B1:$AH727,28,FALSE)-AVERAGE('The List'!AC2:AC727))/STDEV('The List'!AC2:AC727)</f>
        <v>-1.3171365734687741</v>
      </c>
      <c r="Q112" s="39">
        <f>(VLOOKUP($A112,'The List'!$B1:$AH727,29,FALSE)-AVERAGE('The List'!AD2:AD727))/STDEV('The List'!AD2:AD727)</f>
        <v>-0.47305132670466449</v>
      </c>
      <c r="R112" s="39">
        <f>(VLOOKUP($A112,'The List'!$B1:$AH727,30,FALSE)-AVERAGE('The List'!AE2:AE727))/STDEV('The List'!AE2:AE727)</f>
        <v>0.84369116316348358</v>
      </c>
      <c r="S112" s="39">
        <f>(VLOOKUP($A112,'The List'!$B1:$AH727,31,FALSE)-AVERAGE('The List'!AF2:AF727))/STDEV('The List'!AF2:AF727)</f>
        <v>-0.52269407475671348</v>
      </c>
      <c r="T112" s="39">
        <f>(VLOOKUP($A112,'The List'!$B1:$AH727,32,FALSE)-AVERAGE('The List'!AG2:AG727))/STDEV('The List'!AG2:AG727)</f>
        <v>-0.52959239433379968</v>
      </c>
      <c r="U112" s="39">
        <f>(VLOOKUP($A112,'The List'!$B1:$AH727,33,FALSE)-AVERAGE('The List'!AH2:AH727))/STDEV('The List'!AH2:AH727)</f>
        <v>0.29499429177607289</v>
      </c>
      <c r="V112" s="39"/>
      <c r="W112" s="43"/>
      <c r="X112" s="41"/>
      <c r="Y112" s="41"/>
      <c r="Z112" s="41"/>
      <c r="AA112" s="41"/>
      <c r="AB112" s="41"/>
      <c r="AC112" s="44"/>
      <c r="AD112" s="45"/>
      <c r="AE112" s="39"/>
    </row>
    <row r="113" spans="1:31" ht="21.25" customHeight="1" x14ac:dyDescent="0.15">
      <c r="A113" s="8" t="s">
        <v>248</v>
      </c>
      <c r="B113" s="35" t="str">
        <f>VLOOKUP(A113,'Player Data'!A1:B734,2,FALSE)</f>
        <v>BOS</v>
      </c>
      <c r="C113" s="37">
        <f>((E113)*Settings!$C$12)+(F113*Settings!$C$2)+(G113*Settings!$C$3)+(H113*Settings!$C$4)+(I113*Settings!$C$5)+(K113*Settings!$C$9)+(N113*Settings!$C$6)+(J113*Settings!$C$8)+(O113*Settings!$C$7)+(P113*Settings!$C$14)+(Q113*Settings!$C$15)+(R113*Settings!$C$16)+(S113*Settings!$C$17)+(T113*Settings!$C$18)+(U113*Settings!$C$19)</f>
        <v>4.8681263433743904</v>
      </c>
      <c r="D113" s="41">
        <f>IF(Settings!$E$12="YES",VLOOKUP(A113,'Player Data'!A1:E734,5,FALSE),82)</f>
        <v>75.951071428571396</v>
      </c>
      <c r="E113" s="39">
        <f>(VLOOKUP($A113,'The List'!$B1:$AH727,17,FALSE)-AVERAGE('The List'!R2:R727))/STDEV('The List'!R2:R727)</f>
        <v>0.34533478236589871</v>
      </c>
      <c r="F113" s="39">
        <f>(VLOOKUP($A113,'The List'!$B1:$AH727,18,FALSE)-AVERAGE('The List'!S2:S727))/STDEV('The List'!S2:S727)</f>
        <v>1.504565254761983</v>
      </c>
      <c r="G113" s="39">
        <f>(VLOOKUP($A113,'The List'!$B1:$AH727,19,FALSE)-AVERAGE('The List'!T2:T727))/STDEV('The List'!T2:T727)</f>
        <v>0.31780686124162938</v>
      </c>
      <c r="H113" s="39">
        <f>(VLOOKUP($A113,'The List'!$B1:$AH727,20,FALSE)-AVERAGE('The List'!U2:U727))/STDEV('The List'!U2:U727)</f>
        <v>0.88050685537043905</v>
      </c>
      <c r="I113" s="39">
        <f>(VLOOKUP($A113,'The List'!$B1:$AH727,21,FALSE)-AVERAGE('The List'!V2:V727))/STDEV('The List'!V2:V727)</f>
        <v>1.5632235785307238</v>
      </c>
      <c r="J113" s="39">
        <f>(VLOOKUP($A113,'The List'!$B1:$AH727,22,FALSE)-AVERAGE('The List'!W2:W727))/STDEV('The List'!W2:W727)</f>
        <v>1.3380996890703045</v>
      </c>
      <c r="K113" s="39">
        <f>(VLOOKUP($A113,'The List'!$B1:$AH727,23,FALSE)-AVERAGE('The List'!X2:X727))/STDEV('The List'!X2:X727)</f>
        <v>0.90413785549200487</v>
      </c>
      <c r="L113" s="39">
        <f>(VLOOKUP($A113,'The List'!$B1:$AH727,24,FALSE)-AVERAGE('The List'!Y2:Y727))/STDEV('The List'!Y2:Y727)</f>
        <v>-0.31401578243381378</v>
      </c>
      <c r="M113" s="39">
        <f>(VLOOKUP($A113,'The List'!$B1:$AH727,25,FALSE)-AVERAGE('The List'!Z2:Z727))/STDEV('The List'!Z2:Z727)</f>
        <v>0.2041269472543685</v>
      </c>
      <c r="N113" s="39">
        <f>(VLOOKUP($A113,'The List'!$B1:$AH727,26,FALSE)-AVERAGE('The List'!AA2:AA727))/STDEV('The List'!AA2:AA727)</f>
        <v>-0.74883154571034272</v>
      </c>
      <c r="O113" s="39">
        <f>(VLOOKUP($A113,'The List'!$B1:$AH727,27,FALSE)-AVERAGE('The List'!AB2:AB727))/STDEV('The List'!AB2:AB727)</f>
        <v>3.8252068748899762E-2</v>
      </c>
      <c r="P113" s="39">
        <f>(VLOOKUP($A113,'The List'!$B1:$AH727,28,FALSE)-AVERAGE('The List'!AC2:AC727))/STDEV('The List'!AC2:AC727)</f>
        <v>1.327224339058392</v>
      </c>
      <c r="Q113" s="39">
        <f>(VLOOKUP($A113,'The List'!$B1:$AH727,29,FALSE)-AVERAGE('The List'!AD2:AD727))/STDEV('The List'!AD2:AD727)</f>
        <v>-0.82712240611331722</v>
      </c>
      <c r="R113" s="39">
        <f>(VLOOKUP($A113,'The List'!$B1:$AH727,30,FALSE)-AVERAGE('The List'!AE2:AE727))/STDEV('The List'!AE2:AE727)</f>
        <v>1.8767886237806382</v>
      </c>
      <c r="S113" s="39">
        <f>(VLOOKUP($A113,'The List'!$B1:$AH727,31,FALSE)-AVERAGE('The List'!AF2:AF727))/STDEV('The List'!AF2:AF727)</f>
        <v>-0.52027865630100234</v>
      </c>
      <c r="T113" s="39">
        <f>(VLOOKUP($A113,'The List'!$B1:$AH727,32,FALSE)-AVERAGE('The List'!AG2:AG727))/STDEV('The List'!AG2:AG727)</f>
        <v>-0.5318714631657987</v>
      </c>
      <c r="U113" s="39">
        <f>(VLOOKUP($A113,'The List'!$B1:$AH727,33,FALSE)-AVERAGE('The List'!AH2:AH727))/STDEV('The List'!AH2:AH727)</f>
        <v>0.39594034575936043</v>
      </c>
      <c r="V113" s="39"/>
      <c r="W113" s="43"/>
      <c r="X113" s="41"/>
      <c r="Y113" s="41"/>
      <c r="Z113" s="41"/>
      <c r="AA113" s="41"/>
      <c r="AB113" s="41"/>
      <c r="AC113" s="44"/>
      <c r="AD113" s="45"/>
      <c r="AE113" s="39"/>
    </row>
    <row r="114" spans="1:31" ht="21.25" customHeight="1" x14ac:dyDescent="0.15">
      <c r="A114" s="8" t="s">
        <v>231</v>
      </c>
      <c r="B114" s="35" t="str">
        <f>VLOOKUP(A114,'Player Data'!A1:B734,2,FALSE)</f>
        <v>CHI</v>
      </c>
      <c r="C114" s="37">
        <f>((E114)*Settings!$C$12)+(F114*Settings!$C$2)+(G114*Settings!$C$3)+(H114*Settings!$C$4)+(I114*Settings!$C$5)+(K114*Settings!$C$9)+(N114*Settings!$C$6)+(J114*Settings!$C$8)+(O114*Settings!$C$7)+(P114*Settings!$C$14)+(Q114*Settings!$C$15)+(R114*Settings!$C$16)+(S114*Settings!$C$17)+(T114*Settings!$C$18)+(U114*Settings!$C$19)</f>
        <v>2.7616218823837544</v>
      </c>
      <c r="D114" s="41">
        <f>IF(Settings!$E$12="YES",VLOOKUP(A114,'Player Data'!A1:E734,5,FALSE),82)</f>
        <v>77.725714285714304</v>
      </c>
      <c r="E114" s="39">
        <f>(VLOOKUP($A114,'The List'!$B1:$AH727,17,FALSE)-AVERAGE('The List'!R2:R727))/STDEV('The List'!R2:R727)</f>
        <v>0.4599585048673121</v>
      </c>
      <c r="F114" s="39">
        <f>(VLOOKUP($A114,'The List'!$B1:$AH727,18,FALSE)-AVERAGE('The List'!S2:S727))/STDEV('The List'!S2:S727)</f>
        <v>0.89620794183420105</v>
      </c>
      <c r="G114" s="39">
        <f>(VLOOKUP($A114,'The List'!$B1:$AH727,19,FALSE)-AVERAGE('The List'!T2:T727))/STDEV('The List'!T2:T727)</f>
        <v>1.0645783702870628</v>
      </c>
      <c r="H114" s="39">
        <f>(VLOOKUP($A114,'The List'!$B1:$AH727,20,FALSE)-AVERAGE('The List'!U2:U727))/STDEV('The List'!U2:U727)</f>
        <v>1.0638336892960714</v>
      </c>
      <c r="I114" s="39">
        <f>(VLOOKUP($A114,'The List'!$B1:$AH727,21,FALSE)-AVERAGE('The List'!V2:V727))/STDEV('The List'!V2:V727)</f>
        <v>1.5467242576870881</v>
      </c>
      <c r="J114" s="39">
        <f>(VLOOKUP($A114,'The List'!$B1:$AH727,22,FALSE)-AVERAGE('The List'!W2:W727))/STDEV('The List'!W2:W727)</f>
        <v>1.1333528409592277</v>
      </c>
      <c r="K114" s="39">
        <f>(VLOOKUP($A114,'The List'!$B1:$AH727,23,FALSE)-AVERAGE('The List'!X2:X727))/STDEV('The List'!X2:X727)</f>
        <v>0.85156967267906691</v>
      </c>
      <c r="L114" s="39">
        <f>(VLOOKUP($A114,'The List'!$B1:$AH727,24,FALSE)-AVERAGE('The List'!Y2:Y727))/STDEV('The List'!Y2:Y727)</f>
        <v>-0.52952621576264436</v>
      </c>
      <c r="M114" s="39">
        <f>(VLOOKUP($A114,'The List'!$B1:$AH727,25,FALSE)-AVERAGE('The List'!Z2:Z727))/STDEV('The List'!Z2:Z727)</f>
        <v>-0.7072055590416968</v>
      </c>
      <c r="N114" s="39">
        <f>(VLOOKUP($A114,'The List'!$B1:$AH727,26,FALSE)-AVERAGE('The List'!AA2:AA727))/STDEV('The List'!AA2:AA727)</f>
        <v>-0.44758679582926442</v>
      </c>
      <c r="O114" s="39">
        <f>(VLOOKUP($A114,'The List'!$B1:$AH727,27,FALSE)-AVERAGE('The List'!AB2:AB727))/STDEV('The List'!AB2:AB727)</f>
        <v>-0.74423011263867223</v>
      </c>
      <c r="P114" s="39">
        <f>(VLOOKUP($A114,'The List'!$B1:$AH727,28,FALSE)-AVERAGE('The List'!AC2:AC727))/STDEV('The List'!AC2:AC727)</f>
        <v>-1.1498715642744</v>
      </c>
      <c r="Q114" s="39">
        <f>(VLOOKUP($A114,'The List'!$B1:$AH727,29,FALSE)-AVERAGE('The List'!AD2:AD727))/STDEV('The List'!AD2:AD727)</f>
        <v>0.35013468754495186</v>
      </c>
      <c r="R114" s="39">
        <f>(VLOOKUP($A114,'The List'!$B1:$AH727,30,FALSE)-AVERAGE('The List'!AE2:AE727))/STDEV('The List'!AE2:AE727)</f>
        <v>0.48431447421149543</v>
      </c>
      <c r="S114" s="39">
        <f>(VLOOKUP($A114,'The List'!$B1:$AH727,31,FALSE)-AVERAGE('The List'!AF2:AF727))/STDEV('The List'!AF2:AF727)</f>
        <v>-0.51394411657886452</v>
      </c>
      <c r="T114" s="39">
        <f>(VLOOKUP($A114,'The List'!$B1:$AH727,32,FALSE)-AVERAGE('The List'!AG2:AG727))/STDEV('The List'!AG2:AG727)</f>
        <v>-0.54395371880738386</v>
      </c>
      <c r="U114" s="39">
        <f>(VLOOKUP($A114,'The List'!$B1:$AH727,33,FALSE)-AVERAGE('The List'!AH2:AH727))/STDEV('The List'!AH2:AH727)</f>
        <v>0.76947826868690694</v>
      </c>
      <c r="V114" s="39"/>
      <c r="W114" s="43"/>
      <c r="X114" s="41"/>
      <c r="Y114" s="41"/>
      <c r="Z114" s="41"/>
      <c r="AA114" s="41"/>
      <c r="AB114" s="41"/>
      <c r="AC114" s="44"/>
      <c r="AD114" s="45"/>
      <c r="AE114" s="39"/>
    </row>
    <row r="115" spans="1:31" ht="21.25" customHeight="1" x14ac:dyDescent="0.15">
      <c r="A115" s="8" t="s">
        <v>262</v>
      </c>
      <c r="B115" s="35" t="str">
        <f>VLOOKUP(A115,'Player Data'!A1:B734,2,FALSE)</f>
        <v>SJS</v>
      </c>
      <c r="C115" s="37">
        <f>((E115)*Settings!$C$12)+(F115*Settings!$C$2)+(G115*Settings!$C$3)+(H115*Settings!$C$4)+(I115*Settings!$C$5)+(K115*Settings!$C$9)+(N115*Settings!$C$6)+(J115*Settings!$C$8)+(O115*Settings!$C$7)+(P115*Settings!$C$14)+(Q115*Settings!$C$15)+(R115*Settings!$C$16)+(S115*Settings!$C$17)+(T115*Settings!$C$18)+(U115*Settings!$C$19)</f>
        <v>4.4037236099585009</v>
      </c>
      <c r="D115" s="41">
        <f>IF(Settings!$E$12="YES",VLOOKUP(A115,'Player Data'!A1:E734,5,FALSE),82)</f>
        <v>80.599999999999994</v>
      </c>
      <c r="E115" s="39">
        <f>(VLOOKUP($A115,'The List'!$B1:$AH727,17,FALSE)-AVERAGE('The List'!R2:R727))/STDEV('The List'!R2:R727)</f>
        <v>0.74521787987590005</v>
      </c>
      <c r="F115" s="39">
        <f>(VLOOKUP($A115,'The List'!$B1:$AH727,18,FALSE)-AVERAGE('The List'!S2:S727))/STDEV('The List'!S2:S727)</f>
        <v>1.0123384512763254</v>
      </c>
      <c r="G115" s="39">
        <f>(VLOOKUP($A115,'The List'!$B1:$AH727,19,FALSE)-AVERAGE('The List'!T2:T727))/STDEV('The List'!T2:T727)</f>
        <v>0.9240453620260688</v>
      </c>
      <c r="H115" s="39">
        <f>(VLOOKUP($A115,'The List'!$B1:$AH727,20,FALSE)-AVERAGE('The List'!U2:U727))/STDEV('The List'!U2:U727)</f>
        <v>1.0300826044081941</v>
      </c>
      <c r="I115" s="39">
        <f>(VLOOKUP($A115,'The List'!$B1:$AH727,21,FALSE)-AVERAGE('The List'!V2:V727))/STDEV('The List'!V2:V727)</f>
        <v>1.130790659581173</v>
      </c>
      <c r="J115" s="39">
        <f>(VLOOKUP($A115,'The List'!$B1:$AH727,22,FALSE)-AVERAGE('The List'!W2:W727))/STDEV('The List'!W2:W727)</f>
        <v>0.7561521100801305</v>
      </c>
      <c r="K115" s="39">
        <f>(VLOOKUP($A115,'The List'!$B1:$AH727,23,FALSE)-AVERAGE('The List'!X2:X727))/STDEV('The List'!X2:X727)</f>
        <v>1.2111418828603395</v>
      </c>
      <c r="L115" s="39">
        <f>(VLOOKUP($A115,'The List'!$B1:$AH727,24,FALSE)-AVERAGE('The List'!Y2:Y727))/STDEV('The List'!Y2:Y727)</f>
        <v>1.7214136366277999</v>
      </c>
      <c r="M115" s="39">
        <f>(VLOOKUP($A115,'The List'!$B1:$AH727,25,FALSE)-AVERAGE('The List'!Z2:Z727))/STDEV('The List'!Z2:Z727)</f>
        <v>1.0934800462097594</v>
      </c>
      <c r="N115" s="39">
        <f>(VLOOKUP($A115,'The List'!$B1:$AH727,26,FALSE)-AVERAGE('The List'!AA2:AA727))/STDEV('The List'!AA2:AA727)</f>
        <v>0.12278967299789538</v>
      </c>
      <c r="O115" s="39">
        <f>(VLOOKUP($A115,'The List'!$B1:$AH727,27,FALSE)-AVERAGE('The List'!AB2:AB727))/STDEV('The List'!AB2:AB727)</f>
        <v>0.43569747467721415</v>
      </c>
      <c r="P115" s="39">
        <f>(VLOOKUP($A115,'The List'!$B1:$AH727,28,FALSE)-AVERAGE('The List'!AC2:AC727))/STDEV('The List'!AC2:AC727)</f>
        <v>2.6175812166982057E-3</v>
      </c>
      <c r="Q115" s="39">
        <f>(VLOOKUP($A115,'The List'!$B1:$AH727,29,FALSE)-AVERAGE('The List'!AD2:AD727))/STDEV('The List'!AD2:AD727)</f>
        <v>-0.44182287568425432</v>
      </c>
      <c r="R115" s="39">
        <f>(VLOOKUP($A115,'The List'!$B1:$AH727,30,FALSE)-AVERAGE('The List'!AE2:AE727))/STDEV('The List'!AE2:AE727)</f>
        <v>0.6370865115729758</v>
      </c>
      <c r="S115" s="39">
        <f>(VLOOKUP($A115,'The List'!$B1:$AH727,31,FALSE)-AVERAGE('The List'!AF2:AF727))/STDEV('The List'!AF2:AF727)</f>
        <v>2.6242130103815904</v>
      </c>
      <c r="T115" s="39">
        <f>(VLOOKUP($A115,'The List'!$B1:$AH727,32,FALSE)-AVERAGE('The List'!AG2:AG727))/STDEV('The List'!AG2:AG727)</f>
        <v>2.9913822138174302</v>
      </c>
      <c r="U115" s="39">
        <f>(VLOOKUP($A115,'The List'!$B1:$AH727,33,FALSE)-AVERAGE('The List'!AH2:AH727))/STDEV('The List'!AH2:AH727)</f>
        <v>0.93941911930939059</v>
      </c>
      <c r="V115" s="39"/>
      <c r="W115" s="43"/>
      <c r="X115" s="41"/>
      <c r="Y115" s="41"/>
      <c r="Z115" s="41"/>
      <c r="AA115" s="41"/>
      <c r="AB115" s="41"/>
      <c r="AC115" s="44"/>
      <c r="AD115" s="45"/>
      <c r="AE115" s="39"/>
    </row>
    <row r="116" spans="1:31" ht="21.25" customHeight="1" x14ac:dyDescent="0.15">
      <c r="A116" s="8" t="s">
        <v>224</v>
      </c>
      <c r="B116" s="35" t="str">
        <f>VLOOKUP(A116,'Player Data'!A1:B734,2,FALSE)</f>
        <v>UFA</v>
      </c>
      <c r="C116" s="37">
        <f>((E116)*Settings!$C$12)+(F116*Settings!$C$2)+(G116*Settings!$C$3)+(H116*Settings!$C$4)+(I116*Settings!$C$5)+(K116*Settings!$C$9)+(N116*Settings!$C$6)+(J116*Settings!$C$8)+(O116*Settings!$C$7)+(P116*Settings!$C$14)+(Q116*Settings!$C$15)+(R116*Settings!$C$16)+(S116*Settings!$C$17)+(T116*Settings!$C$18)+(U116*Settings!$C$19)</f>
        <v>2.991677961158242</v>
      </c>
      <c r="D116" s="41">
        <f>IF(Settings!$E$12="YES",VLOOKUP(A116,'Player Data'!A1:E734,5,FALSE),82)</f>
        <v>79.882499999999993</v>
      </c>
      <c r="E116" s="39">
        <f>(VLOOKUP($A116,'The List'!$B1:$AH727,17,FALSE)-AVERAGE('The List'!R2:R727))/STDEV('The List'!R2:R727)</f>
        <v>3.0472508991812502E-2</v>
      </c>
      <c r="F116" s="39">
        <f>(VLOOKUP($A116,'The List'!$B1:$AH727,18,FALSE)-AVERAGE('The List'!S2:S727))/STDEV('The List'!S2:S727)</f>
        <v>0.46077716521885298</v>
      </c>
      <c r="G116" s="39">
        <f>(VLOOKUP($A116,'The List'!$B1:$AH727,19,FALSE)-AVERAGE('The List'!T2:T727))/STDEV('The List'!T2:T727)</f>
        <v>1.2906460311581596</v>
      </c>
      <c r="H116" s="39">
        <f>(VLOOKUP($A116,'The List'!$B1:$AH727,20,FALSE)-AVERAGE('The List'!U2:U727))/STDEV('The List'!U2:U727)</f>
        <v>1.0049904125077027</v>
      </c>
      <c r="I116" s="39">
        <f>(VLOOKUP($A116,'The List'!$B1:$AH727,21,FALSE)-AVERAGE('The List'!V2:V727))/STDEV('The List'!V2:V727)</f>
        <v>1.3256622711553616</v>
      </c>
      <c r="J116" s="39">
        <f>(VLOOKUP($A116,'The List'!$B1:$AH727,22,FALSE)-AVERAGE('The List'!W2:W727))/STDEV('The List'!W2:W727)</f>
        <v>0.53883550429931815</v>
      </c>
      <c r="K116" s="39">
        <f>(VLOOKUP($A116,'The List'!$B1:$AH727,23,FALSE)-AVERAGE('The List'!X2:X727))/STDEV('The List'!X2:X727)</f>
        <v>1.2564808225188475</v>
      </c>
      <c r="L116" s="39">
        <f>(VLOOKUP($A116,'The List'!$B1:$AH727,24,FALSE)-AVERAGE('The List'!Y2:Y727))/STDEV('The List'!Y2:Y727)</f>
        <v>-0.54402834717551152</v>
      </c>
      <c r="M116" s="39">
        <f>(VLOOKUP($A116,'The List'!$B1:$AH727,25,FALSE)-AVERAGE('The List'!Z2:Z727))/STDEV('The List'!Z2:Z727)</f>
        <v>-0.72372514007823274</v>
      </c>
      <c r="N116" s="39">
        <f>(VLOOKUP($A116,'The List'!$B1:$AH727,26,FALSE)-AVERAGE('The List'!AA2:AA727))/STDEV('The List'!AA2:AA727)</f>
        <v>-0.99934743561217554</v>
      </c>
      <c r="O116" s="39">
        <f>(VLOOKUP($A116,'The List'!$B1:$AH727,27,FALSE)-AVERAGE('The List'!AB2:AB727))/STDEV('The List'!AB2:AB727)</f>
        <v>-1.5639677086147694</v>
      </c>
      <c r="P116" s="39">
        <f>(VLOOKUP($A116,'The List'!$B1:$AH727,28,FALSE)-AVERAGE('The List'!AC2:AC727))/STDEV('The List'!AC2:AC727)</f>
        <v>-0.34254089328080395</v>
      </c>
      <c r="Q116" s="39">
        <f>(VLOOKUP($A116,'The List'!$B1:$AH727,29,FALSE)-AVERAGE('The List'!AD2:AD727))/STDEV('The List'!AD2:AD727)</f>
        <v>-0.98032287641821791</v>
      </c>
      <c r="R116" s="39">
        <f>(VLOOKUP($A116,'The List'!$B1:$AH727,30,FALSE)-AVERAGE('The List'!AE2:AE727))/STDEV('The List'!AE2:AE727)</f>
        <v>-1.1921764565772743</v>
      </c>
      <c r="S116" s="39">
        <f>(VLOOKUP($A116,'The List'!$B1:$AH727,31,FALSE)-AVERAGE('The List'!AF2:AF727))/STDEV('The List'!AF2:AF727)</f>
        <v>-0.55054123893886797</v>
      </c>
      <c r="T116" s="39">
        <f>(VLOOKUP($A116,'The List'!$B1:$AH727,32,FALSE)-AVERAGE('The List'!AG2:AG727))/STDEV('The List'!AG2:AG727)</f>
        <v>-0.59246385944247859</v>
      </c>
      <c r="U116" s="39">
        <f>(VLOOKUP($A116,'The List'!$B1:$AH727,33,FALSE)-AVERAGE('The List'!AH2:AH727))/STDEV('The List'!AH2:AH727)</f>
        <v>0.81986919542696102</v>
      </c>
      <c r="V116" s="39"/>
      <c r="W116" s="43"/>
      <c r="X116" s="41"/>
      <c r="Y116" s="41"/>
      <c r="Z116" s="41"/>
      <c r="AA116" s="41"/>
      <c r="AB116" s="41"/>
      <c r="AC116" s="44"/>
      <c r="AD116" s="45"/>
      <c r="AE116" s="39"/>
    </row>
    <row r="117" spans="1:31" ht="21.25" customHeight="1" x14ac:dyDescent="0.15">
      <c r="A117" s="8" t="s">
        <v>189</v>
      </c>
      <c r="B117" s="35" t="str">
        <f>VLOOKUP(A117,'Player Data'!A1:B734,2,FALSE)</f>
        <v>BOS</v>
      </c>
      <c r="C117" s="37">
        <f>((E117)*Settings!$C$12)+(F117*Settings!$C$2)+(G117*Settings!$C$3)+(H117*Settings!$C$4)+(I117*Settings!$C$5)+(K117*Settings!$C$9)+(N117*Settings!$C$6)+(J117*Settings!$C$8)+(O117*Settings!$C$7)+(P117*Settings!$C$14)+(Q117*Settings!$C$15)+(R117*Settings!$C$16)+(S117*Settings!$C$17)+(T117*Settings!$C$18)+(U117*Settings!$C$19)</f>
        <v>6.8542757243838404</v>
      </c>
      <c r="D117" s="41">
        <f>IF(Settings!$E$12="YES",VLOOKUP(A117,'Player Data'!A1:E734,5,FALSE),82)</f>
        <v>78.085357142857106</v>
      </c>
      <c r="E117" s="39">
        <f>(VLOOKUP($A117,'The List'!$B1:$AH727,17,FALSE)-AVERAGE('The List'!R2:R727))/STDEV('The List'!R2:R727)</f>
        <v>1.8472194294142836</v>
      </c>
      <c r="F117" s="39">
        <f>(VLOOKUP($A117,'The List'!$B1:$AH727,18,FALSE)-AVERAGE('The List'!S2:S727))/STDEV('The List'!S2:S727)</f>
        <v>-0.39378147533500851</v>
      </c>
      <c r="G117" s="39">
        <f>(VLOOKUP($A117,'The List'!$B1:$AH727,19,FALSE)-AVERAGE('The List'!T2:T727))/STDEV('The List'!T2:T727)</f>
        <v>1.8103216037698064</v>
      </c>
      <c r="H117" s="39">
        <f>(VLOOKUP($A117,'The List'!$B1:$AH727,20,FALSE)-AVERAGE('The List'!U2:U727))/STDEV('The List'!U2:U727)</f>
        <v>0.93634162886739802</v>
      </c>
      <c r="I117" s="39">
        <f>(VLOOKUP($A117,'The List'!$B1:$AH727,21,FALSE)-AVERAGE('The List'!V2:V727))/STDEV('The List'!V2:V727)</f>
        <v>0.164360915829876</v>
      </c>
      <c r="J117" s="39">
        <f>(VLOOKUP($A117,'The List'!$B1:$AH727,22,FALSE)-AVERAGE('The List'!W2:W727))/STDEV('The List'!W2:W727)</f>
        <v>8.7759784540869981E-2</v>
      </c>
      <c r="K117" s="39">
        <f>(VLOOKUP($A117,'The List'!$B1:$AH727,23,FALSE)-AVERAGE('The List'!X2:X727))/STDEV('The List'!X2:X727)</f>
        <v>1.3499371299672644</v>
      </c>
      <c r="L117" s="39">
        <f>(VLOOKUP($A117,'The List'!$B1:$AH727,24,FALSE)-AVERAGE('The List'!Y2:Y727))/STDEV('The List'!Y2:Y727)</f>
        <v>-0.4886232873247181</v>
      </c>
      <c r="M117" s="39">
        <f>(VLOOKUP($A117,'The List'!$B1:$AH727,25,FALSE)-AVERAGE('The List'!Z2:Z727))/STDEV('The List'!Z2:Z727)</f>
        <v>-0.41662742839560563</v>
      </c>
      <c r="N117" s="39">
        <f>(VLOOKUP($A117,'The List'!$B1:$AH727,26,FALSE)-AVERAGE('The List'!AA2:AA727))/STDEV('The List'!AA2:AA727)</f>
        <v>2.0992793621304675</v>
      </c>
      <c r="O117" s="39">
        <f>(VLOOKUP($A117,'The List'!$B1:$AH727,27,FALSE)-AVERAGE('The List'!AB2:AB727))/STDEV('The List'!AB2:AB727)</f>
        <v>0.43130071946757942</v>
      </c>
      <c r="P117" s="39">
        <f>(VLOOKUP($A117,'The List'!$B1:$AH727,28,FALSE)-AVERAGE('The List'!AC2:AC727))/STDEV('The List'!AC2:AC727)</f>
        <v>1.8241581880214348</v>
      </c>
      <c r="Q117" s="39">
        <f>(VLOOKUP($A117,'The List'!$B1:$AH727,29,FALSE)-AVERAGE('The List'!AD2:AD727))/STDEV('The List'!AD2:AD727)</f>
        <v>2.0741974970150987</v>
      </c>
      <c r="R117" s="39">
        <f>(VLOOKUP($A117,'The List'!$B1:$AH727,30,FALSE)-AVERAGE('The List'!AE2:AE727))/STDEV('The List'!AE2:AE727)</f>
        <v>-0.20497985174209263</v>
      </c>
      <c r="S117" s="39">
        <f>(VLOOKUP($A117,'The List'!$B1:$AH727,31,FALSE)-AVERAGE('The List'!AF2:AF727))/STDEV('The List'!AF2:AF727)</f>
        <v>-0.55804314905918151</v>
      </c>
      <c r="T117" s="39">
        <f>(VLOOKUP($A117,'The List'!$B1:$AH727,32,FALSE)-AVERAGE('The List'!AG2:AG727))/STDEV('The List'!AG2:AG727)</f>
        <v>-0.60188453558131205</v>
      </c>
      <c r="U117" s="39">
        <f>(VLOOKUP($A117,'The List'!$B1:$AH727,33,FALSE)-AVERAGE('The List'!AH2:AH727))/STDEV('The List'!AH2:AH727)</f>
        <v>-1.2395873372913611</v>
      </c>
      <c r="V117" s="39"/>
      <c r="W117" s="43"/>
      <c r="X117" s="41"/>
      <c r="Y117" s="41"/>
      <c r="Z117" s="41"/>
      <c r="AA117" s="41"/>
      <c r="AB117" s="41"/>
      <c r="AC117" s="44"/>
      <c r="AD117" s="45"/>
      <c r="AE117" s="39"/>
    </row>
    <row r="118" spans="1:31" ht="21.25" customHeight="1" x14ac:dyDescent="0.15">
      <c r="A118" s="8" t="s">
        <v>170</v>
      </c>
      <c r="B118" s="35" t="str">
        <f>VLOOKUP(A118,'Player Data'!A1:B734,2,FALSE)</f>
        <v>TBL</v>
      </c>
      <c r="C118" s="37">
        <f>((E118)*Settings!$C$12)+(F118*Settings!$C$2)+(G118*Settings!$C$3)+(H118*Settings!$C$4)+(I118*Settings!$C$5)+(K118*Settings!$C$9)+(N118*Settings!$C$6)+(J118*Settings!$C$8)+(O118*Settings!$C$7)+(P118*Settings!$C$14)+(Q118*Settings!$C$15)+(R118*Settings!$C$16)+(S118*Settings!$C$17)+(T118*Settings!$C$18)+(U118*Settings!$C$19)</f>
        <v>6.0713462930662132</v>
      </c>
      <c r="D118" s="41">
        <f>IF(Settings!$E$12="YES",VLOOKUP(A118,'Player Data'!A1:E734,5,FALSE),82)</f>
        <v>81.3</v>
      </c>
      <c r="E118" s="39">
        <f>(VLOOKUP($A118,'The List'!$B1:$AH727,17,FALSE)-AVERAGE('The List'!R2:R727))/STDEV('The List'!R2:R727)</f>
        <v>2.0492610973674696</v>
      </c>
      <c r="F118" s="39">
        <f>(VLOOKUP($A118,'The List'!$B1:$AH727,18,FALSE)-AVERAGE('The List'!S2:S727))/STDEV('The List'!S2:S727)</f>
        <v>-0.35597920612650458</v>
      </c>
      <c r="G118" s="39">
        <f>(VLOOKUP($A118,'The List'!$B1:$AH727,19,FALSE)-AVERAGE('The List'!T2:T727))/STDEV('The List'!T2:T727)</f>
        <v>1.9418019485035871</v>
      </c>
      <c r="H118" s="39">
        <f>(VLOOKUP($A118,'The List'!$B1:$AH727,20,FALSE)-AVERAGE('The List'!U2:U727))/STDEV('The List'!U2:U727)</f>
        <v>1.0345634259721943</v>
      </c>
      <c r="I118" s="39">
        <f>(VLOOKUP($A118,'The List'!$B1:$AH727,21,FALSE)-AVERAGE('The List'!V2:V727))/STDEV('The List'!V2:V727)</f>
        <v>0.58639133554016498</v>
      </c>
      <c r="J118" s="39">
        <f>(VLOOKUP($A118,'The List'!$B1:$AH727,22,FALSE)-AVERAGE('The List'!W2:W727))/STDEV('The List'!W2:W727)</f>
        <v>-1.328604991267608E-2</v>
      </c>
      <c r="K118" s="39">
        <f>(VLOOKUP($A118,'The List'!$B1:$AH727,23,FALSE)-AVERAGE('The List'!X2:X727))/STDEV('The List'!X2:X727)</f>
        <v>1.5374334170001727</v>
      </c>
      <c r="L118" s="39">
        <f>(VLOOKUP($A118,'The List'!$B1:$AH727,24,FALSE)-AVERAGE('The List'!Y2:Y727))/STDEV('The List'!Y2:Y727)</f>
        <v>-0.49869917528270841</v>
      </c>
      <c r="M118" s="39">
        <f>(VLOOKUP($A118,'The List'!$B1:$AH727,25,FALSE)-AVERAGE('The List'!Z2:Z727))/STDEV('The List'!Z2:Z727)</f>
        <v>0.28283513670618354</v>
      </c>
      <c r="N118" s="39">
        <f>(VLOOKUP($A118,'The List'!$B1:$AH727,26,FALSE)-AVERAGE('The List'!AA2:AA727))/STDEV('The List'!AA2:AA727)</f>
        <v>2.2042306930543352</v>
      </c>
      <c r="O118" s="39">
        <f>(VLOOKUP($A118,'The List'!$B1:$AH727,27,FALSE)-AVERAGE('The List'!AB2:AB727))/STDEV('The List'!AB2:AB727)</f>
        <v>0.7857713261549909</v>
      </c>
      <c r="P118" s="39">
        <f>(VLOOKUP($A118,'The List'!$B1:$AH727,28,FALSE)-AVERAGE('The List'!AC2:AC727))/STDEV('The List'!AC2:AC727)</f>
        <v>0.15746810509445741</v>
      </c>
      <c r="Q118" s="39">
        <f>(VLOOKUP($A118,'The List'!$B1:$AH727,29,FALSE)-AVERAGE('The List'!AD2:AD727))/STDEV('The List'!AD2:AD727)</f>
        <v>1.7789175521754326</v>
      </c>
      <c r="R118" s="39">
        <f>(VLOOKUP($A118,'The List'!$B1:$AH727,30,FALSE)-AVERAGE('The List'!AE2:AE727))/STDEV('The List'!AE2:AE727)</f>
        <v>-0.23325335613594131</v>
      </c>
      <c r="S118" s="39">
        <f>(VLOOKUP($A118,'The List'!$B1:$AH727,31,FALSE)-AVERAGE('The List'!AF2:AF727))/STDEV('The List'!AF2:AF727)</f>
        <v>-0.55804314905918151</v>
      </c>
      <c r="T118" s="39">
        <f>(VLOOKUP($A118,'The List'!$B1:$AH727,32,FALSE)-AVERAGE('The List'!AG2:AG727))/STDEV('The List'!AG2:AG727)</f>
        <v>-0.60188453558131205</v>
      </c>
      <c r="U118" s="39">
        <f>(VLOOKUP($A118,'The List'!$B1:$AH727,33,FALSE)-AVERAGE('The List'!AH2:AH727))/STDEV('The List'!AH2:AH727)</f>
        <v>-1.2395873372913611</v>
      </c>
      <c r="V118" s="39"/>
      <c r="W118" s="43"/>
      <c r="X118" s="41"/>
      <c r="Y118" s="41"/>
      <c r="Z118" s="41"/>
      <c r="AA118" s="41"/>
      <c r="AB118" s="41"/>
      <c r="AC118" s="44"/>
      <c r="AD118" s="45"/>
      <c r="AE118" s="39"/>
    </row>
    <row r="119" spans="1:31" ht="21.25" customHeight="1" x14ac:dyDescent="0.15">
      <c r="A119" s="8" t="s">
        <v>291</v>
      </c>
      <c r="B119" s="35" t="str">
        <f>VLOOKUP(A119,'Player Data'!A1:B734,2,FALSE)</f>
        <v>WSH</v>
      </c>
      <c r="C119" s="37">
        <f>((E119)*Settings!$C$12)+(F119*Settings!$C$2)+(G119*Settings!$C$3)+(H119*Settings!$C$4)+(I119*Settings!$C$5)+(K119*Settings!$C$9)+(N119*Settings!$C$6)+(J119*Settings!$C$8)+(O119*Settings!$C$7)+(P119*Settings!$C$14)+(Q119*Settings!$C$15)+(R119*Settings!$C$16)+(S119*Settings!$C$17)+(T119*Settings!$C$18)+(U119*Settings!$C$19)</f>
        <v>1.533819579016324</v>
      </c>
      <c r="D119" s="41">
        <f>IF(Settings!$E$12="YES",VLOOKUP(A119,'Player Data'!A1:E734,5,FALSE),82)</f>
        <v>79.2435714285714</v>
      </c>
      <c r="E119" s="39">
        <f>(VLOOKUP($A119,'The List'!$B1:$AH727,17,FALSE)-AVERAGE('The List'!R2:R727))/STDEV('The List'!R2:R727)</f>
        <v>0.47679973587355345</v>
      </c>
      <c r="F119" s="39">
        <f>(VLOOKUP($A119,'The List'!$B1:$AH727,18,FALSE)-AVERAGE('The List'!S2:S727))/STDEV('The List'!S2:S727)</f>
        <v>0.23589718738313764</v>
      </c>
      <c r="G119" s="39">
        <f>(VLOOKUP($A119,'The List'!$B1:$AH727,19,FALSE)-AVERAGE('The List'!T2:T727))/STDEV('The List'!T2:T727)</f>
        <v>1.3522820592580791</v>
      </c>
      <c r="H119" s="39">
        <f>(VLOOKUP($A119,'The List'!$B1:$AH727,20,FALSE)-AVERAGE('The List'!U2:U727))/STDEV('The List'!U2:U727)</f>
        <v>0.94063663847782508</v>
      </c>
      <c r="I119" s="39">
        <f>(VLOOKUP($A119,'The List'!$B1:$AH727,21,FALSE)-AVERAGE('The List'!V2:V727))/STDEV('The List'!V2:V727)</f>
        <v>0.68236542151196045</v>
      </c>
      <c r="J119" s="39">
        <f>(VLOOKUP($A119,'The List'!$B1:$AH727,22,FALSE)-AVERAGE('The List'!W2:W727))/STDEV('The List'!W2:W727)</f>
        <v>0.50584149336731599</v>
      </c>
      <c r="K119" s="39">
        <f>(VLOOKUP($A119,'The List'!$B1:$AH727,23,FALSE)-AVERAGE('The List'!X2:X727))/STDEV('The List'!X2:X727)</f>
        <v>0.9991238776374548</v>
      </c>
      <c r="L119" s="39">
        <f>(VLOOKUP($A119,'The List'!$B1:$AH727,24,FALSE)-AVERAGE('The List'!Y2:Y727))/STDEV('The List'!Y2:Y727)</f>
        <v>0.86284671173114369</v>
      </c>
      <c r="M119" s="39">
        <f>(VLOOKUP($A119,'The List'!$B1:$AH727,25,FALSE)-AVERAGE('The List'!Z2:Z727))/STDEV('The List'!Z2:Z727)</f>
        <v>1.0577033865377858</v>
      </c>
      <c r="N119" s="39">
        <f>(VLOOKUP($A119,'The List'!$B1:$AH727,26,FALSE)-AVERAGE('The List'!AA2:AA727))/STDEV('The List'!AA2:AA727)</f>
        <v>-0.74657324765092314</v>
      </c>
      <c r="O119" s="39">
        <f>(VLOOKUP($A119,'The List'!$B1:$AH727,27,FALSE)-AVERAGE('The List'!AB2:AB727))/STDEV('The List'!AB2:AB727)</f>
        <v>-0.95969830909395837</v>
      </c>
      <c r="P119" s="39">
        <f>(VLOOKUP($A119,'The List'!$B1:$AH727,28,FALSE)-AVERAGE('The List'!AC2:AC727))/STDEV('The List'!AC2:AC727)</f>
        <v>-0.98927571912338508</v>
      </c>
      <c r="Q119" s="39">
        <f>(VLOOKUP($A119,'The List'!$B1:$AH727,29,FALSE)-AVERAGE('The List'!AD2:AD727))/STDEV('The List'!AD2:AD727)</f>
        <v>0.80314719461963469</v>
      </c>
      <c r="R119" s="39">
        <f>(VLOOKUP($A119,'The List'!$B1:$AH727,30,FALSE)-AVERAGE('The List'!AE2:AE727))/STDEV('The List'!AE2:AE727)</f>
        <v>3.7085796721684008E-2</v>
      </c>
      <c r="S119" s="39">
        <f>(VLOOKUP($A119,'The List'!$B1:$AH727,31,FALSE)-AVERAGE('The List'!AF2:AF727))/STDEV('The List'!AF2:AF727)</f>
        <v>1.7831044416077484</v>
      </c>
      <c r="T119" s="39">
        <f>(VLOOKUP($A119,'The List'!$B1:$AH727,32,FALSE)-AVERAGE('The List'!AG2:AG727))/STDEV('The List'!AG2:AG727)</f>
        <v>2.3997462944761132</v>
      </c>
      <c r="U119" s="39">
        <f>(VLOOKUP($A119,'The List'!$B1:$AH727,33,FALSE)-AVERAGE('The List'!AH2:AH727))/STDEV('The List'!AH2:AH727)</f>
        <v>0.79662046208732817</v>
      </c>
      <c r="V119" s="39"/>
      <c r="W119" s="43"/>
      <c r="X119" s="41"/>
      <c r="Y119" s="41"/>
      <c r="Z119" s="41"/>
      <c r="AA119" s="41"/>
      <c r="AB119" s="41"/>
      <c r="AC119" s="44"/>
      <c r="AD119" s="45"/>
      <c r="AE119" s="39"/>
    </row>
    <row r="120" spans="1:31" ht="21.25" customHeight="1" x14ac:dyDescent="0.15">
      <c r="A120" s="8" t="s">
        <v>294</v>
      </c>
      <c r="B120" s="35" t="str">
        <f>VLOOKUP(A120,'Player Data'!A1:B734,2,FALSE)</f>
        <v>NSH</v>
      </c>
      <c r="C120" s="37">
        <f>((E120)*Settings!$C$12)+(F120*Settings!$C$2)+(G120*Settings!$C$3)+(H120*Settings!$C$4)+(I120*Settings!$C$5)+(K120*Settings!$C$9)+(N120*Settings!$C$6)+(J120*Settings!$C$8)+(O120*Settings!$C$7)+(P120*Settings!$C$14)+(Q120*Settings!$C$15)+(R120*Settings!$C$16)+(S120*Settings!$C$17)+(T120*Settings!$C$18)+(U120*Settings!$C$19)</f>
        <v>1.0254164211875738</v>
      </c>
      <c r="D120" s="41">
        <f>IF(Settings!$E$12="YES",VLOOKUP(A120,'Player Data'!A1:E734,5,FALSE),82)</f>
        <v>72.900000000000006</v>
      </c>
      <c r="E120" s="39">
        <f>(VLOOKUP($A120,'The List'!$B1:$AH727,17,FALSE)-AVERAGE('The List'!R2:R727))/STDEV('The List'!R2:R727)</f>
        <v>3.9395798628932228E-2</v>
      </c>
      <c r="F120" s="39">
        <f>(VLOOKUP($A120,'The List'!$B1:$AH727,18,FALSE)-AVERAGE('The List'!S2:S727))/STDEV('The List'!S2:S727)</f>
        <v>0.82513872134747934</v>
      </c>
      <c r="G120" s="39">
        <f>(VLOOKUP($A120,'The List'!$B1:$AH727,19,FALSE)-AVERAGE('The List'!T2:T727))/STDEV('The List'!T2:T727)</f>
        <v>0.37992435151545151</v>
      </c>
      <c r="H120" s="39">
        <f>(VLOOKUP($A120,'The List'!$B1:$AH727,20,FALSE)-AVERAGE('The List'!U2:U727))/STDEV('The List'!U2:U727)</f>
        <v>0.60960263610914522</v>
      </c>
      <c r="I120" s="39">
        <f>(VLOOKUP($A120,'The List'!$B1:$AH727,21,FALSE)-AVERAGE('The List'!V2:V727))/STDEV('The List'!V2:V727)</f>
        <v>0.49978484319631983</v>
      </c>
      <c r="J120" s="39">
        <f>(VLOOKUP($A120,'The List'!$B1:$AH727,22,FALSE)-AVERAGE('The List'!W2:W727))/STDEV('The List'!W2:W727)</f>
        <v>0.15966073065233177</v>
      </c>
      <c r="K120" s="39">
        <f>(VLOOKUP($A120,'The List'!$B1:$AH727,23,FALSE)-AVERAGE('The List'!X2:X727))/STDEV('The List'!X2:X727)</f>
        <v>0.37198011858212504</v>
      </c>
      <c r="L120" s="39">
        <f>(VLOOKUP($A120,'The List'!$B1:$AH727,24,FALSE)-AVERAGE('The List'!Y2:Y727))/STDEV('The List'!Y2:Y727)</f>
        <v>-0.54086230732762752</v>
      </c>
      <c r="M120" s="39">
        <f>(VLOOKUP($A120,'The List'!$B1:$AH727,25,FALSE)-AVERAGE('The List'!Z2:Z727))/STDEV('The List'!Z2:Z727)</f>
        <v>-0.72018906812652617</v>
      </c>
      <c r="N120" s="39">
        <f>(VLOOKUP($A120,'The List'!$B1:$AH727,26,FALSE)-AVERAGE('The List'!AA2:AA727))/STDEV('The List'!AA2:AA727)</f>
        <v>-0.91190136470884231</v>
      </c>
      <c r="O120" s="39">
        <f>(VLOOKUP($A120,'The List'!$B1:$AH727,27,FALSE)-AVERAGE('The List'!AB2:AB727))/STDEV('The List'!AB2:AB727)</f>
        <v>-0.99523292558773113</v>
      </c>
      <c r="P120" s="39">
        <f>(VLOOKUP($A120,'The List'!$B1:$AH727,28,FALSE)-AVERAGE('The List'!AC2:AC727))/STDEV('The List'!AC2:AC727)</f>
        <v>-0.13951024874495979</v>
      </c>
      <c r="Q120" s="39">
        <f>(VLOOKUP($A120,'The List'!$B1:$AH727,29,FALSE)-AVERAGE('The List'!AD2:AD727))/STDEV('The List'!AD2:AD727)</f>
        <v>-0.40395078099065468</v>
      </c>
      <c r="R120" s="39">
        <f>(VLOOKUP($A120,'The List'!$B1:$AH727,30,FALSE)-AVERAGE('The List'!AE2:AE727))/STDEV('The List'!AE2:AE727)</f>
        <v>0.82919733979626409</v>
      </c>
      <c r="S120" s="39">
        <f>(VLOOKUP($A120,'The List'!$B1:$AH727,31,FALSE)-AVERAGE('The List'!AF2:AF727))/STDEV('The List'!AF2:AF727)</f>
        <v>-0.55804314905918151</v>
      </c>
      <c r="T120" s="39">
        <f>(VLOOKUP($A120,'The List'!$B1:$AH727,32,FALSE)-AVERAGE('The List'!AG2:AG727))/STDEV('The List'!AG2:AG727)</f>
        <v>-0.60188453558131205</v>
      </c>
      <c r="U120" s="39">
        <f>(VLOOKUP($A120,'The List'!$B1:$AH727,33,FALSE)-AVERAGE('The List'!AH2:AH727))/STDEV('The List'!AH2:AH727)</f>
        <v>-1.2395873372913611</v>
      </c>
      <c r="V120" s="39"/>
      <c r="W120" s="43"/>
      <c r="X120" s="41"/>
      <c r="Y120" s="41"/>
      <c r="Z120" s="41"/>
      <c r="AA120" s="41"/>
      <c r="AB120" s="41"/>
      <c r="AC120" s="44"/>
      <c r="AD120" s="45"/>
      <c r="AE120" s="39"/>
    </row>
    <row r="121" spans="1:31" ht="21.25" customHeight="1" x14ac:dyDescent="0.15">
      <c r="A121" s="8" t="s">
        <v>311</v>
      </c>
      <c r="B121" s="35" t="str">
        <f>VLOOKUP(A121,'Player Data'!A1:B734,2,FALSE)</f>
        <v>ARI</v>
      </c>
      <c r="C121" s="37">
        <f>((E121)*Settings!$C$12)+(F121*Settings!$C$2)+(G121*Settings!$C$3)+(H121*Settings!$C$4)+(I121*Settings!$C$5)+(K121*Settings!$C$9)+(N121*Settings!$C$6)+(J121*Settings!$C$8)+(O121*Settings!$C$7)+(P121*Settings!$C$14)+(Q121*Settings!$C$15)+(R121*Settings!$C$16)+(S121*Settings!$C$17)+(T121*Settings!$C$18)+(U121*Settings!$C$19)</f>
        <v>2.3268448424132155</v>
      </c>
      <c r="D121" s="41">
        <f>IF(Settings!$E$12="YES",VLOOKUP(A121,'Player Data'!A1:E734,5,FALSE),82)</f>
        <v>78</v>
      </c>
      <c r="E121" s="39">
        <f>(VLOOKUP($A121,'The List'!$B1:$AH727,17,FALSE)-AVERAGE('The List'!R2:R727))/STDEV('The List'!R2:R727)</f>
        <v>0.27748009620824016</v>
      </c>
      <c r="F121" s="39">
        <f>(VLOOKUP($A121,'The List'!$B1:$AH727,18,FALSE)-AVERAGE('The List'!S2:S727))/STDEV('The List'!S2:S727)</f>
        <v>0.80058895087598414</v>
      </c>
      <c r="G121" s="39">
        <f>(VLOOKUP($A121,'The List'!$B1:$AH727,19,FALSE)-AVERAGE('The List'!T2:T727))/STDEV('The List'!T2:T727)</f>
        <v>0.84938351015530045</v>
      </c>
      <c r="H121" s="39">
        <f>(VLOOKUP($A121,'The List'!$B1:$AH727,20,FALSE)-AVERAGE('The List'!U2:U727))/STDEV('The List'!U2:U727)</f>
        <v>0.88771601060975847</v>
      </c>
      <c r="I121" s="39">
        <f>(VLOOKUP($A121,'The List'!$B1:$AH727,21,FALSE)-AVERAGE('The List'!V2:V727))/STDEV('The List'!V2:V727)</f>
        <v>0.47463568184611127</v>
      </c>
      <c r="J121" s="39">
        <f>(VLOOKUP($A121,'The List'!$B1:$AH727,22,FALSE)-AVERAGE('The List'!W2:W727))/STDEV('The List'!W2:W727)</f>
        <v>0.90819585218875909</v>
      </c>
      <c r="K121" s="39">
        <f>(VLOOKUP($A121,'The List'!$B1:$AH727,23,FALSE)-AVERAGE('The List'!X2:X727))/STDEV('The List'!X2:X727)</f>
        <v>0.81740204715708009</v>
      </c>
      <c r="L121" s="39">
        <f>(VLOOKUP($A121,'The List'!$B1:$AH727,24,FALSE)-AVERAGE('The List'!Y2:Y727))/STDEV('The List'!Y2:Y727)</f>
        <v>-0.54402834717551152</v>
      </c>
      <c r="M121" s="39">
        <f>(VLOOKUP($A121,'The List'!$B1:$AH727,25,FALSE)-AVERAGE('The List'!Z2:Z727))/STDEV('The List'!Z2:Z727)</f>
        <v>-0.72372514007823274</v>
      </c>
      <c r="N121" s="39">
        <f>(VLOOKUP($A121,'The List'!$B1:$AH727,26,FALSE)-AVERAGE('The List'!AA2:AA727))/STDEV('The List'!AA2:AA727)</f>
        <v>-0.62093492426016406</v>
      </c>
      <c r="O121" s="39">
        <f>(VLOOKUP($A121,'The List'!$B1:$AH727,27,FALSE)-AVERAGE('The List'!AB2:AB727))/STDEV('The List'!AB2:AB727)</f>
        <v>-0.72304694795028002</v>
      </c>
      <c r="P121" s="39">
        <f>(VLOOKUP($A121,'The List'!$B1:$AH727,28,FALSE)-AVERAGE('The List'!AC2:AC727))/STDEV('The List'!AC2:AC727)</f>
        <v>5.7695766389034443E-3</v>
      </c>
      <c r="Q121" s="39">
        <f>(VLOOKUP($A121,'The List'!$B1:$AH727,29,FALSE)-AVERAGE('The List'!AD2:AD727))/STDEV('The List'!AD2:AD727)</f>
        <v>2.6060048472078677E-2</v>
      </c>
      <c r="R121" s="39">
        <f>(VLOOKUP($A121,'The List'!$B1:$AH727,30,FALSE)-AVERAGE('The List'!AE2:AE727))/STDEV('The List'!AE2:AE727)</f>
        <v>0.494152558864555</v>
      </c>
      <c r="S121" s="39">
        <f>(VLOOKUP($A121,'The List'!$B1:$AH727,31,FALSE)-AVERAGE('The List'!AF2:AF727))/STDEV('The List'!AF2:AF727)</f>
        <v>1.4307033903928008</v>
      </c>
      <c r="T121" s="39">
        <f>(VLOOKUP($A121,'The List'!$B1:$AH727,32,FALSE)-AVERAGE('The List'!AG2:AG727))/STDEV('The List'!AG2:AG727)</f>
        <v>2.28723418672377</v>
      </c>
      <c r="U121" s="39">
        <f>(VLOOKUP($A121,'The List'!$B1:$AH727,33,FALSE)-AVERAGE('The List'!AH2:AH727))/STDEV('The List'!AH2:AH727)</f>
        <v>0.65791966189944151</v>
      </c>
      <c r="V121" s="39"/>
      <c r="W121" s="41"/>
      <c r="X121" s="41"/>
      <c r="Y121" s="41"/>
      <c r="Z121" s="41"/>
      <c r="AA121" s="41"/>
      <c r="AB121" s="41"/>
      <c r="AC121" s="44"/>
      <c r="AD121" s="45"/>
      <c r="AE121" s="39"/>
    </row>
    <row r="122" spans="1:31" ht="21.25" customHeight="1" x14ac:dyDescent="0.15">
      <c r="A122" s="8" t="s">
        <v>272</v>
      </c>
      <c r="B122" s="35" t="str">
        <f>VLOOKUP(A122,'Player Data'!A1:B734,2,FALSE)</f>
        <v>ANA</v>
      </c>
      <c r="C122" s="37">
        <f>((E122)*Settings!$C$12)+(F122*Settings!$C$2)+(G122*Settings!$C$3)+(H122*Settings!$C$4)+(I122*Settings!$C$5)+(K122*Settings!$C$9)+(N122*Settings!$C$6)+(J122*Settings!$C$8)+(O122*Settings!$C$7)+(P122*Settings!$C$14)+(Q122*Settings!$C$15)+(R122*Settings!$C$16)+(S122*Settings!$C$17)+(T122*Settings!$C$18)+(U122*Settings!$C$19)</f>
        <v>0.45909847292318218</v>
      </c>
      <c r="D122" s="41">
        <f>IF(Settings!$E$12="YES",VLOOKUP(A122,'Player Data'!A1:E734,5,FALSE),82)</f>
        <v>82</v>
      </c>
      <c r="E122" s="39">
        <f>(VLOOKUP($A122,'The List'!$B1:$AH727,17,FALSE)-AVERAGE('The List'!R2:R727))/STDEV('The List'!R2:R727)</f>
        <v>0.52541154761021969</v>
      </c>
      <c r="F122" s="39">
        <f>(VLOOKUP($A122,'The List'!$B1:$AH727,18,FALSE)-AVERAGE('The List'!S2:S727))/STDEV('The List'!S2:S727)</f>
        <v>1.116389981577748</v>
      </c>
      <c r="G122" s="39">
        <f>(VLOOKUP($A122,'The List'!$B1:$AH727,19,FALSE)-AVERAGE('The List'!T2:T727))/STDEV('The List'!T2:T727)</f>
        <v>0.79672064410878485</v>
      </c>
      <c r="H122" s="39">
        <f>(VLOOKUP($A122,'The List'!$B1:$AH727,20,FALSE)-AVERAGE('The List'!U2:U727))/STDEV('The List'!U2:U727)</f>
        <v>0.99897389828356786</v>
      </c>
      <c r="I122" s="39">
        <f>(VLOOKUP($A122,'The List'!$B1:$AH727,21,FALSE)-AVERAGE('The List'!V2:V727))/STDEV('The List'!V2:V727)</f>
        <v>0.48944816126929974</v>
      </c>
      <c r="J122" s="39">
        <f>(VLOOKUP($A122,'The List'!$B1:$AH727,22,FALSE)-AVERAGE('The List'!W2:W727))/STDEV('The List'!W2:W727)</f>
        <v>0.47475220833057097</v>
      </c>
      <c r="K122" s="39">
        <f>(VLOOKUP($A122,'The List'!$B1:$AH727,23,FALSE)-AVERAGE('The List'!X2:X727))/STDEV('The List'!X2:X727)</f>
        <v>0.40935204475792242</v>
      </c>
      <c r="L122" s="39">
        <f>(VLOOKUP($A122,'The List'!$B1:$AH727,24,FALSE)-AVERAGE('The List'!Y2:Y727))/STDEV('The List'!Y2:Y727)</f>
        <v>0.54167749013711264</v>
      </c>
      <c r="M122" s="39">
        <f>(VLOOKUP($A122,'The List'!$B1:$AH727,25,FALSE)-AVERAGE('The List'!Z2:Z727))/STDEV('The List'!Z2:Z727)</f>
        <v>0.77781158546389606</v>
      </c>
      <c r="N122" s="39">
        <f>(VLOOKUP($A122,'The List'!$B1:$AH727,26,FALSE)-AVERAGE('The List'!AA2:AA727))/STDEV('The List'!AA2:AA727)</f>
        <v>-0.68703400572396112</v>
      </c>
      <c r="O122" s="39">
        <f>(VLOOKUP($A122,'The List'!$B1:$AH727,27,FALSE)-AVERAGE('The List'!AB2:AB727))/STDEV('The List'!AB2:AB727)</f>
        <v>-0.34857894852690935</v>
      </c>
      <c r="P122" s="39">
        <f>(VLOOKUP($A122,'The List'!$B1:$AH727,28,FALSE)-AVERAGE('The List'!AC2:AC727))/STDEV('The List'!AC2:AC727)</f>
        <v>-1.6657783530666117</v>
      </c>
      <c r="Q122" s="39">
        <f>(VLOOKUP($A122,'The List'!$B1:$AH727,29,FALSE)-AVERAGE('The List'!AD2:AD727))/STDEV('The List'!AD2:AD727)</f>
        <v>1.5420493012861047</v>
      </c>
      <c r="R122" s="39">
        <f>(VLOOKUP($A122,'The List'!$B1:$AH727,30,FALSE)-AVERAGE('The List'!AE2:AE727))/STDEV('The List'!AE2:AE727)</f>
        <v>0.51473522006328953</v>
      </c>
      <c r="S122" s="39">
        <f>(VLOOKUP($A122,'The List'!$B1:$AH727,31,FALSE)-AVERAGE('The List'!AF2:AF727))/STDEV('The List'!AF2:AF727)</f>
        <v>-0.55137622071409786</v>
      </c>
      <c r="T122" s="39">
        <f>(VLOOKUP($A122,'The List'!$B1:$AH727,32,FALSE)-AVERAGE('The List'!AG2:AG727))/STDEV('The List'!AG2:AG727)</f>
        <v>-0.58829676611852444</v>
      </c>
      <c r="U122" s="39">
        <f>(VLOOKUP($A122,'The List'!$B1:$AH727,33,FALSE)-AVERAGE('The List'!AH2:AH727))/STDEV('The List'!AH2:AH727)</f>
        <v>0.29847433674431212</v>
      </c>
      <c r="V122" s="39"/>
      <c r="W122" s="43"/>
      <c r="X122" s="41"/>
      <c r="Y122" s="41"/>
      <c r="Z122" s="41"/>
      <c r="AA122" s="41"/>
      <c r="AB122" s="41"/>
      <c r="AC122" s="44"/>
      <c r="AD122" s="45"/>
      <c r="AE122" s="39"/>
    </row>
    <row r="123" spans="1:31" ht="21.25" customHeight="1" x14ac:dyDescent="0.15">
      <c r="A123" s="8" t="s">
        <v>251</v>
      </c>
      <c r="B123" s="35" t="str">
        <f>VLOOKUP(A123,'Player Data'!A1:B734,2,FALSE)</f>
        <v>DAL</v>
      </c>
      <c r="C123" s="37">
        <f>((E123)*Settings!$C$12)+(F123*Settings!$C$2)+(G123*Settings!$C$3)+(H123*Settings!$C$4)+(I123*Settings!$C$5)+(K123*Settings!$C$9)+(N123*Settings!$C$6)+(J123*Settings!$C$8)+(O123*Settings!$C$7)+(P123*Settings!$C$14)+(Q123*Settings!$C$15)+(R123*Settings!$C$16)+(S123*Settings!$C$17)+(T123*Settings!$C$18)+(U123*Settings!$C$19)</f>
        <v>4.9020658931367151</v>
      </c>
      <c r="D123" s="41">
        <f>IF(Settings!$E$12="YES",VLOOKUP(A123,'Player Data'!A1:E734,5,FALSE),82)</f>
        <v>81.444285714285698</v>
      </c>
      <c r="E123" s="39">
        <f>(VLOOKUP($A123,'The List'!$B1:$AH727,17,FALSE)-AVERAGE('The List'!R2:R727))/STDEV('The List'!R2:R727)</f>
        <v>-0.10524493381963704</v>
      </c>
      <c r="F123" s="39">
        <f>(VLOOKUP($A123,'The List'!$B1:$AH727,18,FALSE)-AVERAGE('The List'!S2:S727))/STDEV('The List'!S2:S727)</f>
        <v>0.98430115217129932</v>
      </c>
      <c r="G123" s="39">
        <f>(VLOOKUP($A123,'The List'!$B1:$AH727,19,FALSE)-AVERAGE('The List'!T2:T727))/STDEV('The List'!T2:T727)</f>
        <v>0.84698660039994911</v>
      </c>
      <c r="H123" s="39">
        <f>(VLOOKUP($A123,'The List'!$B1:$AH727,20,FALSE)-AVERAGE('The List'!U2:U727))/STDEV('The List'!U2:U727)</f>
        <v>0.9698395603777441</v>
      </c>
      <c r="I123" s="39">
        <f>(VLOOKUP($A123,'The List'!$B1:$AH727,21,FALSE)-AVERAGE('The List'!V2:V727))/STDEV('The List'!V2:V727)</f>
        <v>0.82706337821767306</v>
      </c>
      <c r="J123" s="39">
        <f>(VLOOKUP($A123,'The List'!$B1:$AH727,22,FALSE)-AVERAGE('The List'!W2:W727))/STDEV('The List'!W2:W727)</f>
        <v>1.4287664446054535</v>
      </c>
      <c r="K123" s="39">
        <f>(VLOOKUP($A123,'The List'!$B1:$AH727,23,FALSE)-AVERAGE('The List'!X2:X727))/STDEV('The List'!X2:X727)</f>
        <v>1.2811905980881817</v>
      </c>
      <c r="L123" s="39">
        <f>(VLOOKUP($A123,'The List'!$B1:$AH727,24,FALSE)-AVERAGE('The List'!Y2:Y727))/STDEV('The List'!Y2:Y727)</f>
        <v>2.3814887177492774</v>
      </c>
      <c r="M123" s="39">
        <f>(VLOOKUP($A123,'The List'!$B1:$AH727,25,FALSE)-AVERAGE('The List'!Z2:Z727))/STDEV('The List'!Z2:Z727)</f>
        <v>1.8805778288554038</v>
      </c>
      <c r="N123" s="39">
        <f>(VLOOKUP($A123,'The List'!$B1:$AH727,26,FALSE)-AVERAGE('The List'!AA2:AA727))/STDEV('The List'!AA2:AA727)</f>
        <v>-0.37302292609408338</v>
      </c>
      <c r="O123" s="39">
        <f>(VLOOKUP($A123,'The List'!$B1:$AH727,27,FALSE)-AVERAGE('The List'!AB2:AB727))/STDEV('The List'!AB2:AB727)</f>
        <v>0.30988443805993454</v>
      </c>
      <c r="P123" s="39">
        <f>(VLOOKUP($A123,'The List'!$B1:$AH727,28,FALSE)-AVERAGE('The List'!AC2:AC727))/STDEV('The List'!AC2:AC727)</f>
        <v>1.335547090353695</v>
      </c>
      <c r="Q123" s="39">
        <f>(VLOOKUP($A123,'The List'!$B1:$AH727,29,FALSE)-AVERAGE('The List'!AD2:AD727))/STDEV('The List'!AD2:AD727)</f>
        <v>1.0212705692275119</v>
      </c>
      <c r="R123" s="39">
        <f>(VLOOKUP($A123,'The List'!$B1:$AH727,30,FALSE)-AVERAGE('The List'!AE2:AE727))/STDEV('The List'!AE2:AE727)</f>
        <v>1.188873471386551</v>
      </c>
      <c r="S123" s="39">
        <f>(VLOOKUP($A123,'The List'!$B1:$AH727,31,FALSE)-AVERAGE('The List'!AF2:AF727))/STDEV('The List'!AF2:AF727)</f>
        <v>1.847535817657086</v>
      </c>
      <c r="T123" s="39">
        <f>(VLOOKUP($A123,'The List'!$B1:$AH727,32,FALSE)-AVERAGE('The List'!AG2:AG727))/STDEV('The List'!AG2:AG727)</f>
        <v>1.2683836270348845</v>
      </c>
      <c r="U123" s="39">
        <f>(VLOOKUP($A123,'The List'!$B1:$AH727,33,FALSE)-AVERAGE('The List'!AH2:AH727))/STDEV('The List'!AH2:AH727)</f>
        <v>1.358302137049499</v>
      </c>
      <c r="V123" s="39"/>
      <c r="W123" s="43"/>
      <c r="X123" s="41"/>
      <c r="Y123" s="41"/>
      <c r="Z123" s="41"/>
      <c r="AA123" s="41"/>
      <c r="AB123" s="41"/>
      <c r="AC123" s="44"/>
      <c r="AD123" s="45"/>
      <c r="AE123" s="39"/>
    </row>
    <row r="124" spans="1:31" ht="21.25" customHeight="1" x14ac:dyDescent="0.15">
      <c r="A124" s="8" t="s">
        <v>247</v>
      </c>
      <c r="B124" s="35" t="str">
        <f>VLOOKUP(A124,'Player Data'!A1:B734,2,FALSE)</f>
        <v>NJD</v>
      </c>
      <c r="C124" s="37">
        <f>((E124)*Settings!$C$12)+(F124*Settings!$C$2)+(G124*Settings!$C$3)+(H124*Settings!$C$4)+(I124*Settings!$C$5)+(K124*Settings!$C$9)+(N124*Settings!$C$6)+(J124*Settings!$C$8)+(O124*Settings!$C$7)+(P124*Settings!$C$14)+(Q124*Settings!$C$15)+(R124*Settings!$C$16)+(S124*Settings!$C$17)+(T124*Settings!$C$18)+(U124*Settings!$C$19)</f>
        <v>2.9259848679696874</v>
      </c>
      <c r="D124" s="41">
        <f>IF(Settings!$E$12="YES",VLOOKUP(A124,'Player Data'!A1:E734,5,FALSE),82)</f>
        <v>80.344285714285704</v>
      </c>
      <c r="E124" s="39">
        <f>(VLOOKUP($A124,'The List'!$B1:$AH727,17,FALSE)-AVERAGE('The List'!R2:R727))/STDEV('The List'!R2:R727)</f>
        <v>-4.5296758714686025E-2</v>
      </c>
      <c r="F124" s="39">
        <f>(VLOOKUP($A124,'The List'!$B1:$AH727,18,FALSE)-AVERAGE('The List'!S2:S727))/STDEV('The List'!S2:S727)</f>
        <v>1.1425532833609648</v>
      </c>
      <c r="G124" s="39">
        <f>(VLOOKUP($A124,'The List'!$B1:$AH727,19,FALSE)-AVERAGE('The List'!T2:T727))/STDEV('The List'!T2:T727)</f>
        <v>0.46593055046201959</v>
      </c>
      <c r="H124" s="39">
        <f>(VLOOKUP($A124,'The List'!$B1:$AH727,20,FALSE)-AVERAGE('The List'!U2:U727))/STDEV('The List'!U2:U727)</f>
        <v>0.80704393620231041</v>
      </c>
      <c r="I124" s="39">
        <f>(VLOOKUP($A124,'The List'!$B1:$AH727,21,FALSE)-AVERAGE('The List'!V2:V727))/STDEV('The List'!V2:V727)</f>
        <v>1.6191379031027797</v>
      </c>
      <c r="J124" s="39">
        <f>(VLOOKUP($A124,'The List'!$B1:$AH727,22,FALSE)-AVERAGE('The List'!W2:W727))/STDEV('The List'!W2:W727)</f>
        <v>0.72947851381792228</v>
      </c>
      <c r="K124" s="39">
        <f>(VLOOKUP($A124,'The List'!$B1:$AH727,23,FALSE)-AVERAGE('The List'!X2:X727))/STDEV('The List'!X2:X727)</f>
        <v>0.47606948080725392</v>
      </c>
      <c r="L124" s="39">
        <f>(VLOOKUP($A124,'The List'!$B1:$AH727,24,FALSE)-AVERAGE('The List'!Y2:Y727))/STDEV('The List'!Y2:Y727)</f>
        <v>0.23661339718979679</v>
      </c>
      <c r="M124" s="39">
        <f>(VLOOKUP($A124,'The List'!$B1:$AH727,25,FALSE)-AVERAGE('The List'!Z2:Z727))/STDEV('The List'!Z2:Z727)</f>
        <v>0.11762678854773084</v>
      </c>
      <c r="N124" s="39">
        <f>(VLOOKUP($A124,'The List'!$B1:$AH727,26,FALSE)-AVERAGE('The List'!AA2:AA727))/STDEV('The List'!AA2:AA727)</f>
        <v>-0.99401551718531789</v>
      </c>
      <c r="O124" s="39">
        <f>(VLOOKUP($A124,'The List'!$B1:$AH727,27,FALSE)-AVERAGE('The List'!AB2:AB727))/STDEV('The List'!AB2:AB727)</f>
        <v>-0.39228419488413396</v>
      </c>
      <c r="P124" s="39">
        <f>(VLOOKUP($A124,'The List'!$B1:$AH727,28,FALSE)-AVERAGE('The List'!AC2:AC727))/STDEV('The List'!AC2:AC727)</f>
        <v>0.21630916742198711</v>
      </c>
      <c r="Q124" s="39">
        <f>(VLOOKUP($A124,'The List'!$B1:$AH727,29,FALSE)-AVERAGE('The List'!AD2:AD727))/STDEV('The List'!AD2:AD727)</f>
        <v>-0.35827376975052988</v>
      </c>
      <c r="R124" s="39">
        <f>(VLOOKUP($A124,'The List'!$B1:$AH727,30,FALSE)-AVERAGE('The List'!AE2:AE727))/STDEV('The List'!AE2:AE727)</f>
        <v>1.1505018947213446</v>
      </c>
      <c r="S124" s="39">
        <f>(VLOOKUP($A124,'The List'!$B1:$AH727,31,FALSE)-AVERAGE('The List'!AF2:AF727))/STDEV('The List'!AF2:AF727)</f>
        <v>-0.50090240081486437</v>
      </c>
      <c r="T124" s="39">
        <f>(VLOOKUP($A124,'The List'!$B1:$AH727,32,FALSE)-AVERAGE('The List'!AG2:AG727))/STDEV('The List'!AG2:AG727)</f>
        <v>-0.5483153572445244</v>
      </c>
      <c r="U124" s="39">
        <f>(VLOOKUP($A124,'The List'!$B1:$AH727,33,FALSE)-AVERAGE('The List'!AH2:AH727))/STDEV('The List'!AH2:AH727)</f>
        <v>1.1493399690397392</v>
      </c>
      <c r="V124" s="39"/>
      <c r="W124" s="41"/>
      <c r="X124" s="39"/>
      <c r="Y124" s="39"/>
      <c r="Z124" s="39"/>
      <c r="AA124" s="39"/>
      <c r="AB124" s="39"/>
      <c r="AC124" s="39"/>
      <c r="AD124" s="39"/>
      <c r="AE124" s="39"/>
    </row>
    <row r="125" spans="1:31" ht="21.25" customHeight="1" x14ac:dyDescent="0.15">
      <c r="A125" s="8" t="s">
        <v>286</v>
      </c>
      <c r="B125" s="35" t="str">
        <f>VLOOKUP(A125,'Player Data'!A1:B734,2,FALSE)</f>
        <v>NYR</v>
      </c>
      <c r="C125" s="37">
        <f>((E125)*Settings!$C$12)+(F125*Settings!$C$2)+(G125*Settings!$C$3)+(H125*Settings!$C$4)+(I125*Settings!$C$5)+(K125*Settings!$C$9)+(N125*Settings!$C$6)+(J125*Settings!$C$8)+(O125*Settings!$C$7)+(P125*Settings!$C$14)+(Q125*Settings!$C$15)+(R125*Settings!$C$16)+(S125*Settings!$C$17)+(T125*Settings!$C$18)+(U125*Settings!$C$19)</f>
        <v>4.2156288196432925</v>
      </c>
      <c r="D125" s="41">
        <f>IF(Settings!$E$12="YES",VLOOKUP(A125,'Player Data'!A1:E734,5,FALSE),82)</f>
        <v>80.574642857142905</v>
      </c>
      <c r="E125" s="39">
        <f>(VLOOKUP($A125,'The List'!$B1:$AH727,17,FALSE)-AVERAGE('The List'!R2:R727))/STDEV('The List'!R2:R727)</f>
        <v>0.48929641229542142</v>
      </c>
      <c r="F125" s="39">
        <f>(VLOOKUP($A125,'The List'!$B1:$AH727,18,FALSE)-AVERAGE('The List'!S2:S727))/STDEV('The List'!S2:S727)</f>
        <v>0.76823700169713105</v>
      </c>
      <c r="G125" s="39">
        <f>(VLOOKUP($A125,'The List'!$B1:$AH727,19,FALSE)-AVERAGE('The List'!T2:T727))/STDEV('The List'!T2:T727)</f>
        <v>0.95125680098964216</v>
      </c>
      <c r="H125" s="39">
        <f>(VLOOKUP($A125,'The List'!$B1:$AH727,20,FALSE)-AVERAGE('The List'!U2:U727))/STDEV('The List'!U2:U727)</f>
        <v>0.93576910912035949</v>
      </c>
      <c r="I125" s="39">
        <f>(VLOOKUP($A125,'The List'!$B1:$AH727,21,FALSE)-AVERAGE('The List'!V2:V727))/STDEV('The List'!V2:V727)</f>
        <v>1.1292030465643417</v>
      </c>
      <c r="J125" s="39">
        <f>(VLOOKUP($A125,'The List'!$B1:$AH727,22,FALSE)-AVERAGE('The List'!W2:W727))/STDEV('The List'!W2:W727)</f>
        <v>0.80414055345179347</v>
      </c>
      <c r="K125" s="39">
        <f>(VLOOKUP($A125,'The List'!$B1:$AH727,23,FALSE)-AVERAGE('The List'!X2:X727))/STDEV('The List'!X2:X727)</f>
        <v>0.51396422597131841</v>
      </c>
      <c r="L125" s="39">
        <f>(VLOOKUP($A125,'The List'!$B1:$AH727,24,FALSE)-AVERAGE('The List'!Y2:Y727))/STDEV('The List'!Y2:Y727)</f>
        <v>-0.41698559682401914</v>
      </c>
      <c r="M125" s="39">
        <f>(VLOOKUP($A125,'The List'!$B1:$AH727,25,FALSE)-AVERAGE('The List'!Z2:Z727))/STDEV('The List'!Z2:Z727)</f>
        <v>-0.57921395559452105</v>
      </c>
      <c r="N125" s="39">
        <f>(VLOOKUP($A125,'The List'!$B1:$AH727,26,FALSE)-AVERAGE('The List'!AA2:AA727))/STDEV('The List'!AA2:AA727)</f>
        <v>-0.41143524542506227</v>
      </c>
      <c r="O125" s="39">
        <f>(VLOOKUP($A125,'The List'!$B1:$AH727,27,FALSE)-AVERAGE('The List'!AB2:AB727))/STDEV('The List'!AB2:AB727)</f>
        <v>1.6977673659555774</v>
      </c>
      <c r="P125" s="39">
        <f>(VLOOKUP($A125,'The List'!$B1:$AH727,28,FALSE)-AVERAGE('The List'!AC2:AC727))/STDEV('The List'!AC2:AC727)</f>
        <v>1.2644029898459217</v>
      </c>
      <c r="Q125" s="39">
        <f>(VLOOKUP($A125,'The List'!$B1:$AH727,29,FALSE)-AVERAGE('The List'!AD2:AD727))/STDEV('The List'!AD2:AD727)</f>
        <v>1.5513081746888271</v>
      </c>
      <c r="R125" s="39">
        <f>(VLOOKUP($A125,'The List'!$B1:$AH727,30,FALSE)-AVERAGE('The List'!AE2:AE727))/STDEV('The List'!AE2:AE727)</f>
        <v>1.10323206361016</v>
      </c>
      <c r="S125" s="39">
        <f>(VLOOKUP($A125,'The List'!$B1:$AH727,31,FALSE)-AVERAGE('The List'!AF2:AF727))/STDEV('The List'!AF2:AF727)</f>
        <v>2.7709217319743291</v>
      </c>
      <c r="T125" s="39">
        <f>(VLOOKUP($A125,'The List'!$B1:$AH727,32,FALSE)-AVERAGE('The List'!AG2:AG727))/STDEV('The List'!AG2:AG727)</f>
        <v>2.2021437522914704</v>
      </c>
      <c r="U125" s="39">
        <f>(VLOOKUP($A125,'The List'!$B1:$AH727,33,FALSE)-AVERAGE('The List'!AH2:AH727))/STDEV('The List'!AH2:AH727)</f>
        <v>1.2693768698770285</v>
      </c>
      <c r="V125" s="39"/>
      <c r="W125" s="43"/>
      <c r="X125" s="41"/>
      <c r="Y125" s="41"/>
      <c r="Z125" s="41"/>
      <c r="AA125" s="41"/>
      <c r="AB125" s="41"/>
      <c r="AC125" s="44"/>
      <c r="AD125" s="45"/>
      <c r="AE125" s="39"/>
    </row>
    <row r="126" spans="1:31" ht="21.25" customHeight="1" x14ac:dyDescent="0.15">
      <c r="A126" s="8" t="s">
        <v>255</v>
      </c>
      <c r="B126" s="35" t="str">
        <f>VLOOKUP(A126,'Player Data'!A1:B734,2,FALSE)</f>
        <v>DET</v>
      </c>
      <c r="C126" s="37">
        <f>((E126)*Settings!$C$12)+(F126*Settings!$C$2)+(G126*Settings!$C$3)+(H126*Settings!$C$4)+(I126*Settings!$C$5)+(K126*Settings!$C$9)+(N126*Settings!$C$6)+(J126*Settings!$C$8)+(O126*Settings!$C$7)+(P126*Settings!$C$14)+(Q126*Settings!$C$15)+(R126*Settings!$C$16)+(S126*Settings!$C$17)+(T126*Settings!$C$18)+(U126*Settings!$C$19)</f>
        <v>2.8674811720049003</v>
      </c>
      <c r="D126" s="41">
        <f>IF(Settings!$E$12="YES",VLOOKUP(A126,'Player Data'!A1:E734,5,FALSE),82)</f>
        <v>79.967500000000001</v>
      </c>
      <c r="E126" s="39">
        <f>(VLOOKUP($A126,'The List'!$B1:$AH727,17,FALSE)-AVERAGE('The List'!R2:R727))/STDEV('The List'!R2:R727)</f>
        <v>4.1361875159958469E-2</v>
      </c>
      <c r="F126" s="39">
        <f>(VLOOKUP($A126,'The List'!$B1:$AH727,18,FALSE)-AVERAGE('The List'!S2:S727))/STDEV('The List'!S2:S727)</f>
        <v>1.001192473949573</v>
      </c>
      <c r="G126" s="39">
        <f>(VLOOKUP($A126,'The List'!$B1:$AH727,19,FALSE)-AVERAGE('The List'!T2:T727))/STDEV('The List'!T2:T727)</f>
        <v>0.73014280491543671</v>
      </c>
      <c r="H126" s="39">
        <f>(VLOOKUP($A126,'The List'!$B1:$AH727,20,FALSE)-AVERAGE('The List'!U2:U727))/STDEV('The List'!U2:U727)</f>
        <v>0.90552594611735249</v>
      </c>
      <c r="I126" s="39">
        <f>(VLOOKUP($A126,'The List'!$B1:$AH727,21,FALSE)-AVERAGE('The List'!V2:V727))/STDEV('The List'!V2:V727)</f>
        <v>0.97964289147297656</v>
      </c>
      <c r="J126" s="39">
        <f>(VLOOKUP($A126,'The List'!$B1:$AH727,22,FALSE)-AVERAGE('The List'!W2:W727))/STDEV('The List'!W2:W727)</f>
        <v>1.3306811844441477</v>
      </c>
      <c r="K126" s="39">
        <f>(VLOOKUP($A126,'The List'!$B1:$AH727,23,FALSE)-AVERAGE('The List'!X2:X727))/STDEV('The List'!X2:X727)</f>
        <v>1.5807300834644895</v>
      </c>
      <c r="L126" s="39">
        <f>(VLOOKUP($A126,'The List'!$B1:$AH727,24,FALSE)-AVERAGE('The List'!Y2:Y727))/STDEV('The List'!Y2:Y727)</f>
        <v>-0.54082201688711151</v>
      </c>
      <c r="M126" s="39">
        <f>(VLOOKUP($A126,'The List'!$B1:$AH727,25,FALSE)-AVERAGE('The List'!Z2:Z727))/STDEV('The List'!Z2:Z727)</f>
        <v>-0.72008616247673884</v>
      </c>
      <c r="N126" s="39">
        <f>(VLOOKUP($A126,'The List'!$B1:$AH727,26,FALSE)-AVERAGE('The List'!AA2:AA727))/STDEV('The List'!AA2:AA727)</f>
        <v>-0.93443710629035093</v>
      </c>
      <c r="O126" s="39">
        <f>(VLOOKUP($A126,'The List'!$B1:$AH727,27,FALSE)-AVERAGE('The List'!AB2:AB727))/STDEV('The List'!AB2:AB727)</f>
        <v>0.10053677731901296</v>
      </c>
      <c r="P126" s="39">
        <f>(VLOOKUP($A126,'The List'!$B1:$AH727,28,FALSE)-AVERAGE('The List'!AC2:AC727))/STDEV('The List'!AC2:AC727)</f>
        <v>-0.48978997550722486</v>
      </c>
      <c r="Q126" s="39">
        <f>(VLOOKUP($A126,'The List'!$B1:$AH727,29,FALSE)-AVERAGE('The List'!AD2:AD727))/STDEV('The List'!AD2:AD727)</f>
        <v>0.76034502106009461</v>
      </c>
      <c r="R126" s="39">
        <f>(VLOOKUP($A126,'The List'!$B1:$AH727,30,FALSE)-AVERAGE('The List'!AE2:AE727))/STDEV('The List'!AE2:AE727)</f>
        <v>0.7435330808435141</v>
      </c>
      <c r="S126" s="39">
        <f>(VLOOKUP($A126,'The List'!$B1:$AH727,31,FALSE)-AVERAGE('The List'!AF2:AF727))/STDEV('The List'!AF2:AF727)</f>
        <v>-0.55031694857849345</v>
      </c>
      <c r="T126" s="39">
        <f>(VLOOKUP($A126,'The List'!$B1:$AH727,32,FALSE)-AVERAGE('The List'!AG2:AG727))/STDEV('The List'!AG2:AG727)</f>
        <v>-0.56103034926933115</v>
      </c>
      <c r="U126" s="39">
        <f>(VLOOKUP($A126,'The List'!$B1:$AH727,33,FALSE)-AVERAGE('The List'!AH2:AH727))/STDEV('The List'!AH2:AH727)</f>
        <v>-0.4899160288688082</v>
      </c>
      <c r="V126" s="39"/>
      <c r="W126" s="41"/>
      <c r="X126" s="39"/>
      <c r="Y126" s="39"/>
      <c r="Z126" s="39"/>
      <c r="AA126" s="39"/>
      <c r="AB126" s="39"/>
      <c r="AC126" s="39"/>
      <c r="AD126" s="39"/>
      <c r="AE126" s="39"/>
    </row>
    <row r="127" spans="1:31" ht="21.25" customHeight="1" x14ac:dyDescent="0.15">
      <c r="A127" s="8" t="s">
        <v>167</v>
      </c>
      <c r="B127" s="35" t="str">
        <f>VLOOKUP(A127,'Player Data'!A1:B734,2,FALSE)</f>
        <v>WPG</v>
      </c>
      <c r="C127" s="37">
        <f>((E127)*Settings!$C$12)+(F127*Settings!$C$2)+(G127*Settings!$C$3)+(H127*Settings!$C$4)+(I127*Settings!$C$5)+(K127*Settings!$C$9)+(N127*Settings!$C$6)+(J127*Settings!$C$8)+(O127*Settings!$C$7)+(P127*Settings!$C$14)+(Q127*Settings!$C$15)+(R127*Settings!$C$16)+(S127*Settings!$C$17)+(T127*Settings!$C$18)+(U127*Settings!$C$19)</f>
        <v>6.3091161549248103</v>
      </c>
      <c r="D127" s="41">
        <f>IF(Settings!$E$12="YES",VLOOKUP(A127,'Player Data'!A1:E734,5,FALSE),82)</f>
        <v>80.52</v>
      </c>
      <c r="E127" s="39">
        <f>(VLOOKUP($A127,'The List'!$B1:$AH727,17,FALSE)-AVERAGE('The List'!R2:R727))/STDEV('The List'!R2:R727)</f>
        <v>2.0338432961014625</v>
      </c>
      <c r="F127" s="39">
        <f>(VLOOKUP($A127,'The List'!$B1:$AH727,18,FALSE)-AVERAGE('The List'!S2:S727))/STDEV('The List'!S2:S727)</f>
        <v>6.5159021908856992E-3</v>
      </c>
      <c r="G127" s="39">
        <f>(VLOOKUP($A127,'The List'!$B1:$AH727,19,FALSE)-AVERAGE('The List'!T2:T727))/STDEV('The List'!T2:T727)</f>
        <v>1.691520355776216</v>
      </c>
      <c r="H127" s="39">
        <f>(VLOOKUP($A127,'The List'!$B1:$AH727,20,FALSE)-AVERAGE('The List'!U2:U727))/STDEV('The List'!U2:U727)</f>
        <v>1.045295561866521</v>
      </c>
      <c r="I127" s="39">
        <f>(VLOOKUP($A127,'The List'!$B1:$AH727,21,FALSE)-AVERAGE('The List'!V2:V727))/STDEV('The List'!V2:V727)</f>
        <v>0.84084368555270339</v>
      </c>
      <c r="J127" s="39">
        <f>(VLOOKUP($A127,'The List'!$B1:$AH727,22,FALSE)-AVERAGE('The List'!W2:W727))/STDEV('The List'!W2:W727)</f>
        <v>0.32219726010346844</v>
      </c>
      <c r="K127" s="39">
        <f>(VLOOKUP($A127,'The List'!$B1:$AH727,23,FALSE)-AVERAGE('The List'!X2:X727))/STDEV('The List'!X2:X727)</f>
        <v>1.741610151924837</v>
      </c>
      <c r="L127" s="39">
        <f>(VLOOKUP($A127,'The List'!$B1:$AH727,24,FALSE)-AVERAGE('The List'!Y2:Y727))/STDEV('The List'!Y2:Y727)</f>
        <v>-0.5244323266112435</v>
      </c>
      <c r="M127" s="39">
        <f>(VLOOKUP($A127,'The List'!$B1:$AH727,25,FALSE)-AVERAGE('The List'!Z2:Z727))/STDEV('The List'!Z2:Z727)</f>
        <v>-0.67900776702186527</v>
      </c>
      <c r="N127" s="39">
        <f>(VLOOKUP($A127,'The List'!$B1:$AH727,26,FALSE)-AVERAGE('The List'!AA2:AA727))/STDEV('The List'!AA2:AA727)</f>
        <v>1.4786382317400459</v>
      </c>
      <c r="O127" s="39">
        <f>(VLOOKUP($A127,'The List'!$B1:$AH727,27,FALSE)-AVERAGE('The List'!AB2:AB727))/STDEV('The List'!AB2:AB727)</f>
        <v>0.37092364566766001</v>
      </c>
      <c r="P127" s="39">
        <f>(VLOOKUP($A127,'The List'!$B1:$AH727,28,FALSE)-AVERAGE('The List'!AC2:AC727))/STDEV('The List'!AC2:AC727)</f>
        <v>0.54998782774012278</v>
      </c>
      <c r="Q127" s="39">
        <f>(VLOOKUP($A127,'The List'!$B1:$AH727,29,FALSE)-AVERAGE('The List'!AD2:AD727))/STDEV('The List'!AD2:AD727)</f>
        <v>1.1897051234525753</v>
      </c>
      <c r="R127" s="39">
        <f>(VLOOKUP($A127,'The List'!$B1:$AH727,30,FALSE)-AVERAGE('The List'!AE2:AE727))/STDEV('The List'!AE2:AE727)</f>
        <v>0.13309811395880011</v>
      </c>
      <c r="S127" s="39">
        <f>(VLOOKUP($A127,'The List'!$B1:$AH727,31,FALSE)-AVERAGE('The List'!AF2:AF727))/STDEV('The List'!AF2:AF727)</f>
        <v>-0.55804314905918151</v>
      </c>
      <c r="T127" s="39">
        <f>(VLOOKUP($A127,'The List'!$B1:$AH727,32,FALSE)-AVERAGE('The List'!AG2:AG727))/STDEV('The List'!AG2:AG727)</f>
        <v>-0.60188453558131205</v>
      </c>
      <c r="U127" s="39">
        <f>(VLOOKUP($A127,'The List'!$B1:$AH727,33,FALSE)-AVERAGE('The List'!AH2:AH727))/STDEV('The List'!AH2:AH727)</f>
        <v>-1.2395873372913611</v>
      </c>
      <c r="V127" s="39"/>
      <c r="W127" s="43"/>
      <c r="X127" s="41"/>
      <c r="Y127" s="41"/>
      <c r="Z127" s="41"/>
      <c r="AA127" s="41"/>
      <c r="AB127" s="41"/>
      <c r="AC127" s="44"/>
      <c r="AD127" s="45"/>
      <c r="AE127" s="39"/>
    </row>
    <row r="128" spans="1:31" ht="21.25" customHeight="1" x14ac:dyDescent="0.15">
      <c r="A128" s="8" t="s">
        <v>299</v>
      </c>
      <c r="B128" s="35" t="str">
        <f>VLOOKUP(A128,'Player Data'!A1:B734,2,FALSE)</f>
        <v>CHI</v>
      </c>
      <c r="C128" s="37">
        <f>((E128)*Settings!$C$12)+(F128*Settings!$C$2)+(G128*Settings!$C$3)+(H128*Settings!$C$4)+(I128*Settings!$C$5)+(K128*Settings!$C$9)+(N128*Settings!$C$6)+(J128*Settings!$C$8)+(O128*Settings!$C$7)+(P128*Settings!$C$14)+(Q128*Settings!$C$15)+(R128*Settings!$C$16)+(S128*Settings!$C$17)+(T128*Settings!$C$18)+(U128*Settings!$C$19)</f>
        <v>0.32423744998847992</v>
      </c>
      <c r="D128" s="41">
        <f>IF(Settings!$E$12="YES",VLOOKUP(A128,'Player Data'!A1:E734,5,FALSE),82)</f>
        <v>73.375</v>
      </c>
      <c r="E128" s="39">
        <f>(VLOOKUP($A128,'The List'!$B1:$AH727,17,FALSE)-AVERAGE('The List'!R2:R727))/STDEV('The List'!R2:R727)</f>
        <v>0.19520918736550241</v>
      </c>
      <c r="F128" s="39">
        <f>(VLOOKUP($A128,'The List'!$B1:$AH727,18,FALSE)-AVERAGE('The List'!S2:S727))/STDEV('The List'!S2:S727)</f>
        <v>0.82540598923080011</v>
      </c>
      <c r="G128" s="39">
        <f>(VLOOKUP($A128,'The List'!$B1:$AH727,19,FALSE)-AVERAGE('The List'!T2:T727))/STDEV('The List'!T2:T727)</f>
        <v>0.50995185552180144</v>
      </c>
      <c r="H128" s="39">
        <f>(VLOOKUP($A128,'The List'!$B1:$AH727,20,FALSE)-AVERAGE('The List'!U2:U727))/STDEV('The List'!U2:U727)</f>
        <v>0.68984840497341371</v>
      </c>
      <c r="I128" s="39">
        <f>(VLOOKUP($A128,'The List'!$B1:$AH727,21,FALSE)-AVERAGE('The List'!V2:V727))/STDEV('The List'!V2:V727)</f>
        <v>0.34398027995473701</v>
      </c>
      <c r="J128" s="39">
        <f>(VLOOKUP($A128,'The List'!$B1:$AH727,22,FALSE)-AVERAGE('The List'!W2:W727))/STDEV('The List'!W2:W727)</f>
        <v>0.2612960624248844</v>
      </c>
      <c r="K128" s="39">
        <f>(VLOOKUP($A128,'The List'!$B1:$AH727,23,FALSE)-AVERAGE('The List'!X2:X727))/STDEV('The List'!X2:X727)</f>
        <v>0.68798250173485731</v>
      </c>
      <c r="L128" s="39">
        <f>(VLOOKUP($A128,'The List'!$B1:$AH727,24,FALSE)-AVERAGE('The List'!Y2:Y727))/STDEV('The List'!Y2:Y727)</f>
        <v>-0.54160068710565201</v>
      </c>
      <c r="M128" s="39">
        <f>(VLOOKUP($A128,'The List'!$B1:$AH727,25,FALSE)-AVERAGE('The List'!Z2:Z727))/STDEV('The List'!Z2:Z727)</f>
        <v>-0.72101933475625613</v>
      </c>
      <c r="N128" s="39">
        <f>(VLOOKUP($A128,'The List'!$B1:$AH727,26,FALSE)-AVERAGE('The List'!AA2:AA727))/STDEV('The List'!AA2:AA727)</f>
        <v>-0.4565280374947488</v>
      </c>
      <c r="O128" s="39">
        <f>(VLOOKUP($A128,'The List'!$B1:$AH727,27,FALSE)-AVERAGE('The List'!AB2:AB727))/STDEV('The List'!AB2:AB727)</f>
        <v>-1.1035478861505268</v>
      </c>
      <c r="P128" s="39">
        <f>(VLOOKUP($A128,'The List'!$B1:$AH727,28,FALSE)-AVERAGE('The List'!AC2:AC727))/STDEV('The List'!AC2:AC727)</f>
        <v>-1.5865551389589676</v>
      </c>
      <c r="Q128" s="39">
        <f>(VLOOKUP($A128,'The List'!$B1:$AH727,29,FALSE)-AVERAGE('The List'!AD2:AD727))/STDEV('The List'!AD2:AD727)</f>
        <v>-0.47989773637928412</v>
      </c>
      <c r="R128" s="39">
        <f>(VLOOKUP($A128,'The List'!$B1:$AH727,30,FALSE)-AVERAGE('The List'!AE2:AE727))/STDEV('The List'!AE2:AE727)</f>
        <v>0.43011917982976627</v>
      </c>
      <c r="S128" s="39">
        <f>(VLOOKUP($A128,'The List'!$B1:$AH727,31,FALSE)-AVERAGE('The List'!AF2:AF727))/STDEV('The List'!AF2:AF727)</f>
        <v>-0.42897016902305102</v>
      </c>
      <c r="T128" s="39">
        <f>(VLOOKUP($A128,'The List'!$B1:$AH727,32,FALSE)-AVERAGE('The List'!AG2:AG727))/STDEV('The List'!AG2:AG727)</f>
        <v>-0.37625600026557454</v>
      </c>
      <c r="U128" s="39">
        <f>(VLOOKUP($A128,'The List'!$B1:$AH727,33,FALSE)-AVERAGE('The List'!AH2:AH727))/STDEV('The List'!AH2:AH727)</f>
        <v>0.45777956359645439</v>
      </c>
      <c r="V128" s="39"/>
      <c r="W128" s="43"/>
      <c r="X128" s="41"/>
      <c r="Y128" s="41"/>
      <c r="Z128" s="41"/>
      <c r="AA128" s="41"/>
      <c r="AB128" s="41"/>
      <c r="AC128" s="44"/>
      <c r="AD128" s="45"/>
      <c r="AE128" s="39"/>
    </row>
    <row r="129" spans="1:31" ht="21.25" customHeight="1" x14ac:dyDescent="0.15">
      <c r="A129" s="8" t="s">
        <v>276</v>
      </c>
      <c r="B129" s="35" t="str">
        <f>VLOOKUP(A129,'Player Data'!A1:B734,2,FALSE)</f>
        <v>ANA</v>
      </c>
      <c r="C129" s="37">
        <f>((E129)*Settings!$C$12)+(F129*Settings!$C$2)+(G129*Settings!$C$3)+(H129*Settings!$C$4)+(I129*Settings!$C$5)+(K129*Settings!$C$9)+(N129*Settings!$C$6)+(J129*Settings!$C$8)+(O129*Settings!$C$7)+(P129*Settings!$C$14)+(Q129*Settings!$C$15)+(R129*Settings!$C$16)+(S129*Settings!$C$17)+(T129*Settings!$C$18)+(U129*Settings!$C$19)</f>
        <v>1.0841273329434147</v>
      </c>
      <c r="D129" s="41">
        <f>IF(Settings!$E$12="YES",VLOOKUP(A129,'Player Data'!A1:E734,5,FALSE),82)</f>
        <v>81.2</v>
      </c>
      <c r="E129" s="39">
        <f>(VLOOKUP($A129,'The List'!$B1:$AH727,17,FALSE)-AVERAGE('The List'!R2:R727))/STDEV('The List'!R2:R727)</f>
        <v>0.27880502875046698</v>
      </c>
      <c r="F129" s="39">
        <f>(VLOOKUP($A129,'The List'!$B1:$AH727,18,FALSE)-AVERAGE('The List'!S2:S727))/STDEV('The List'!S2:S727)</f>
        <v>1.0023880884505989</v>
      </c>
      <c r="G129" s="39">
        <f>(VLOOKUP($A129,'The List'!$B1:$AH727,19,FALSE)-AVERAGE('The List'!T2:T727))/STDEV('The List'!T2:T727)</f>
        <v>0.77224026108604771</v>
      </c>
      <c r="H129" s="39">
        <f>(VLOOKUP($A129,'The List'!$B1:$AH727,20,FALSE)-AVERAGE('The List'!U2:U727))/STDEV('The List'!U2:U727)</f>
        <v>0.93201086565522806</v>
      </c>
      <c r="I129" s="39">
        <f>(VLOOKUP($A129,'The List'!$B1:$AH727,21,FALSE)-AVERAGE('The List'!V2:V727))/STDEV('The List'!V2:V727)</f>
        <v>0.93705265090321832</v>
      </c>
      <c r="J129" s="39">
        <f>(VLOOKUP($A129,'The List'!$B1:$AH727,22,FALSE)-AVERAGE('The List'!W2:W727))/STDEV('The List'!W2:W727)</f>
        <v>1.6865898985714114</v>
      </c>
      <c r="K129" s="39">
        <f>(VLOOKUP($A129,'The List'!$B1:$AH727,23,FALSE)-AVERAGE('The List'!X2:X727))/STDEV('The List'!X2:X727)</f>
        <v>1.2048455352477032</v>
      </c>
      <c r="L129" s="39">
        <f>(VLOOKUP($A129,'The List'!$B1:$AH727,24,FALSE)-AVERAGE('The List'!Y2:Y727))/STDEV('The List'!Y2:Y727)</f>
        <v>-0.50348702479588792</v>
      </c>
      <c r="M129" s="39">
        <f>(VLOOKUP($A129,'The List'!$B1:$AH727,25,FALSE)-AVERAGE('The List'!Z2:Z727))/STDEV('The List'!Z2:Z727)</f>
        <v>-0.67861719363005379</v>
      </c>
      <c r="N129" s="39">
        <f>(VLOOKUP($A129,'The List'!$B1:$AH727,26,FALSE)-AVERAGE('The List'!AA2:AA727))/STDEV('The List'!AA2:AA727)</f>
        <v>-0.42122693077333523</v>
      </c>
      <c r="O129" s="39">
        <f>(VLOOKUP($A129,'The List'!$B1:$AH727,27,FALSE)-AVERAGE('The List'!AB2:AB727))/STDEV('The List'!AB2:AB727)</f>
        <v>-0.51255162261832798</v>
      </c>
      <c r="P129" s="39">
        <f>(VLOOKUP($A129,'The List'!$B1:$AH727,28,FALSE)-AVERAGE('The List'!AC2:AC727))/STDEV('The List'!AC2:AC727)</f>
        <v>-2.4111722719708184</v>
      </c>
      <c r="Q129" s="39">
        <f>(VLOOKUP($A129,'The List'!$B1:$AH727,29,FALSE)-AVERAGE('The List'!AD2:AD727))/STDEV('The List'!AD2:AD727)</f>
        <v>0.99507455642038534</v>
      </c>
      <c r="R129" s="39">
        <f>(VLOOKUP($A129,'The List'!$B1:$AH727,30,FALSE)-AVERAGE('The List'!AE2:AE727))/STDEV('The List'!AE2:AE727)</f>
        <v>0.43400498065737048</v>
      </c>
      <c r="S129" s="39">
        <f>(VLOOKUP($A129,'The List'!$B1:$AH727,31,FALSE)-AVERAGE('The List'!AF2:AF727))/STDEV('The List'!AF2:AF727)</f>
        <v>1.0328656550163369</v>
      </c>
      <c r="T129" s="39">
        <f>(VLOOKUP($A129,'The List'!$B1:$AH727,32,FALSE)-AVERAGE('The List'!AG2:AG727))/STDEV('The List'!AG2:AG727)</f>
        <v>1.9911387283763475</v>
      </c>
      <c r="U129" s="39">
        <f>(VLOOKUP($A129,'The List'!$B1:$AH727,33,FALSE)-AVERAGE('The List'!AH2:AH727))/STDEV('The List'!AH2:AH727)</f>
        <v>0.53256883999149374</v>
      </c>
      <c r="V129" s="39"/>
      <c r="W129" s="43"/>
      <c r="X129" s="41"/>
      <c r="Y129" s="41"/>
      <c r="Z129" s="41"/>
      <c r="AA129" s="41"/>
      <c r="AB129" s="41"/>
      <c r="AC129" s="44"/>
      <c r="AD129" s="45"/>
      <c r="AE129" s="39"/>
    </row>
    <row r="130" spans="1:31" ht="21.25" customHeight="1" x14ac:dyDescent="0.15">
      <c r="A130" s="8" t="s">
        <v>197</v>
      </c>
      <c r="B130" s="35" t="str">
        <f>VLOOKUP(A130,'Player Data'!A1:B734,2,FALSE)</f>
        <v>VGK</v>
      </c>
      <c r="C130" s="37">
        <f>((E130)*Settings!$C$12)+(F130*Settings!$C$2)+(G130*Settings!$C$3)+(H130*Settings!$C$4)+(I130*Settings!$C$5)+(K130*Settings!$C$9)+(N130*Settings!$C$6)+(J130*Settings!$C$8)+(O130*Settings!$C$7)+(P130*Settings!$C$14)+(Q130*Settings!$C$15)+(R130*Settings!$C$16)+(S130*Settings!$C$17)+(T130*Settings!$C$18)+(U130*Settings!$C$19)</f>
        <v>5.8001693551039786</v>
      </c>
      <c r="D130" s="41">
        <f>IF(Settings!$E$12="YES",VLOOKUP(A130,'Player Data'!A1:E734,5,FALSE),82)</f>
        <v>76.248214285714297</v>
      </c>
      <c r="E130" s="39">
        <f>(VLOOKUP($A130,'The List'!$B1:$AH727,17,FALSE)-AVERAGE('The List'!R2:R727))/STDEV('The List'!R2:R727)</f>
        <v>1.4396878539757454</v>
      </c>
      <c r="F130" s="39">
        <f>(VLOOKUP($A130,'The List'!$B1:$AH727,18,FALSE)-AVERAGE('The List'!S2:S727))/STDEV('The List'!S2:S727)</f>
        <v>-0.15024019323689741</v>
      </c>
      <c r="G130" s="39">
        <f>(VLOOKUP($A130,'The List'!$B1:$AH727,19,FALSE)-AVERAGE('The List'!T2:T727))/STDEV('The List'!T2:T727)</f>
        <v>1.3681768606605982</v>
      </c>
      <c r="H130" s="39">
        <f>(VLOOKUP($A130,'The List'!$B1:$AH727,20,FALSE)-AVERAGE('The List'!U2:U727))/STDEV('The List'!U2:U727)</f>
        <v>0.77471449020725358</v>
      </c>
      <c r="I130" s="39">
        <f>(VLOOKUP($A130,'The List'!$B1:$AH727,21,FALSE)-AVERAGE('The List'!V2:V727))/STDEV('The List'!V2:V727)</f>
        <v>0.9978038317775354</v>
      </c>
      <c r="J130" s="39">
        <f>(VLOOKUP($A130,'The List'!$B1:$AH727,22,FALSE)-AVERAGE('The List'!W2:W727))/STDEV('The List'!W2:W727)</f>
        <v>-0.24871669725528317</v>
      </c>
      <c r="K130" s="39">
        <f>(VLOOKUP($A130,'The List'!$B1:$AH727,23,FALSE)-AVERAGE('The List'!X2:X727))/STDEV('The List'!X2:X727)</f>
        <v>0.78742819908277673</v>
      </c>
      <c r="L130" s="39">
        <f>(VLOOKUP($A130,'The List'!$B1:$AH727,24,FALSE)-AVERAGE('The List'!Y2:Y727))/STDEV('The List'!Y2:Y727)</f>
        <v>-0.53922989600419258</v>
      </c>
      <c r="M130" s="39">
        <f>(VLOOKUP($A130,'The List'!$B1:$AH727,25,FALSE)-AVERAGE('The List'!Z2:Z727))/STDEV('The List'!Z2:Z727)</f>
        <v>-0.7127829964851724</v>
      </c>
      <c r="N130" s="39">
        <f>(VLOOKUP($A130,'The List'!$B1:$AH727,26,FALSE)-AVERAGE('The List'!AA2:AA727))/STDEV('The List'!AA2:AA727)</f>
        <v>1.1727516837060208</v>
      </c>
      <c r="O130" s="39">
        <f>(VLOOKUP($A130,'The List'!$B1:$AH727,27,FALSE)-AVERAGE('The List'!AB2:AB727))/STDEV('The List'!AB2:AB727)</f>
        <v>-1.1228534981317966</v>
      </c>
      <c r="P130" s="39">
        <f>(VLOOKUP($A130,'The List'!$B1:$AH727,28,FALSE)-AVERAGE('The List'!AC2:AC727))/STDEV('The List'!AC2:AC727)</f>
        <v>1.6242489731139447</v>
      </c>
      <c r="Q130" s="39">
        <f>(VLOOKUP($A130,'The List'!$B1:$AH727,29,FALSE)-AVERAGE('The List'!AD2:AD727))/STDEV('The List'!AD2:AD727)</f>
        <v>-0.32799924332549663</v>
      </c>
      <c r="R130" s="39">
        <f>(VLOOKUP($A130,'The List'!$B1:$AH727,30,FALSE)-AVERAGE('The List'!AE2:AE727))/STDEV('The List'!AE2:AE727)</f>
        <v>2.8823265677737311E-2</v>
      </c>
      <c r="S130" s="39">
        <f>(VLOOKUP($A130,'The List'!$B1:$AH727,31,FALSE)-AVERAGE('The List'!AF2:AF727))/STDEV('The List'!AF2:AF727)</f>
        <v>-0.55804314905918151</v>
      </c>
      <c r="T130" s="39">
        <f>(VLOOKUP($A130,'The List'!$B1:$AH727,32,FALSE)-AVERAGE('The List'!AG2:AG727))/STDEV('The List'!AG2:AG727)</f>
        <v>-0.60188453558131205</v>
      </c>
      <c r="U130" s="39">
        <f>(VLOOKUP($A130,'The List'!$B1:$AH727,33,FALSE)-AVERAGE('The List'!AH2:AH727))/STDEV('The List'!AH2:AH727)</f>
        <v>-1.2395873372913611</v>
      </c>
      <c r="V130" s="39"/>
      <c r="W130" s="41"/>
      <c r="X130" s="39"/>
      <c r="Y130" s="39"/>
      <c r="Z130" s="39"/>
      <c r="AA130" s="39"/>
      <c r="AB130" s="39"/>
      <c r="AC130" s="39"/>
      <c r="AD130" s="39"/>
      <c r="AE130" s="39"/>
    </row>
    <row r="131" spans="1:31" ht="21.25" customHeight="1" x14ac:dyDescent="0.15">
      <c r="A131" s="8" t="s">
        <v>328</v>
      </c>
      <c r="B131" s="35" t="str">
        <f>VLOOKUP(A131,'Player Data'!A1:B734,2,FALSE)</f>
        <v>BUF</v>
      </c>
      <c r="C131" s="37">
        <f>((E131)*Settings!$C$12)+(F131*Settings!$C$2)+(G131*Settings!$C$3)+(H131*Settings!$C$4)+(I131*Settings!$C$5)+(K131*Settings!$C$9)+(N131*Settings!$C$6)+(J131*Settings!$C$8)+(O131*Settings!$C$7)+(P131*Settings!$C$14)+(Q131*Settings!$C$15)+(R131*Settings!$C$16)+(S131*Settings!$C$17)+(T131*Settings!$C$18)+(U131*Settings!$C$19)</f>
        <v>0.90831439068631548</v>
      </c>
      <c r="D131" s="41">
        <f>IF(Settings!$E$12="YES",VLOOKUP(A131,'Player Data'!A1:E734,5,FALSE),82)</f>
        <v>78.400000000000006</v>
      </c>
      <c r="E131" s="39">
        <f>(VLOOKUP($A131,'The List'!$B1:$AH727,17,FALSE)-AVERAGE('The List'!R2:R727))/STDEV('The List'!R2:R727)</f>
        <v>1.3922847628912162E-2</v>
      </c>
      <c r="F131" s="39">
        <f>(VLOOKUP($A131,'The List'!$B1:$AH727,18,FALSE)-AVERAGE('The List'!S2:S727))/STDEV('The List'!S2:S727)</f>
        <v>0.38559282656458371</v>
      </c>
      <c r="G131" s="39">
        <f>(VLOOKUP($A131,'The List'!$B1:$AH727,19,FALSE)-AVERAGE('The List'!T2:T727))/STDEV('The List'!T2:T727)</f>
        <v>1.2358251164564595</v>
      </c>
      <c r="H131" s="39">
        <f>(VLOOKUP($A131,'The List'!$B1:$AH727,20,FALSE)-AVERAGE('The List'!U2:U727))/STDEV('The List'!U2:U727)</f>
        <v>0.93699568123166943</v>
      </c>
      <c r="I131" s="39">
        <f>(VLOOKUP($A131,'The List'!$B1:$AH727,21,FALSE)-AVERAGE('The List'!V2:V727))/STDEV('The List'!V2:V727)</f>
        <v>0.18147906735755562</v>
      </c>
      <c r="J131" s="39">
        <f>(VLOOKUP($A131,'The List'!$B1:$AH727,22,FALSE)-AVERAGE('The List'!W2:W727))/STDEV('The List'!W2:W727)</f>
        <v>0.49138779735206117</v>
      </c>
      <c r="K131" s="39">
        <f>(VLOOKUP($A131,'The List'!$B1:$AH727,23,FALSE)-AVERAGE('The List'!X2:X727))/STDEV('The List'!X2:X727)</f>
        <v>0.80010755109505471</v>
      </c>
      <c r="L131" s="39">
        <f>(VLOOKUP($A131,'The List'!$B1:$AH727,24,FALSE)-AVERAGE('The List'!Y2:Y727))/STDEV('The List'!Y2:Y727)</f>
        <v>-0.10149551169191851</v>
      </c>
      <c r="M131" s="39">
        <f>(VLOOKUP($A131,'The List'!$B1:$AH727,25,FALSE)-AVERAGE('The List'!Z2:Z727))/STDEV('The List'!Z2:Z727)</f>
        <v>-0.36438463072412197</v>
      </c>
      <c r="N131" s="39">
        <f>(VLOOKUP($A131,'The List'!$B1:$AH727,26,FALSE)-AVERAGE('The List'!AA2:AA727))/STDEV('The List'!AA2:AA727)</f>
        <v>-1.0154655280880072</v>
      </c>
      <c r="O131" s="39">
        <f>(VLOOKUP($A131,'The List'!$B1:$AH727,27,FALSE)-AVERAGE('The List'!AB2:AB727))/STDEV('The List'!AB2:AB727)</f>
        <v>-1.1426622658331083</v>
      </c>
      <c r="P131" s="39">
        <f>(VLOOKUP($A131,'The List'!$B1:$AH727,28,FALSE)-AVERAGE('The List'!AC2:AC727))/STDEV('The List'!AC2:AC727)</f>
        <v>-0.67922464269933103</v>
      </c>
      <c r="Q131" s="39">
        <f>(VLOOKUP($A131,'The List'!$B1:$AH727,29,FALSE)-AVERAGE('The List'!AD2:AD727))/STDEV('The List'!AD2:AD727)</f>
        <v>-1.0204172663322584</v>
      </c>
      <c r="R131" s="39">
        <f>(VLOOKUP($A131,'The List'!$B1:$AH727,30,FALSE)-AVERAGE('The List'!AE2:AE727))/STDEV('The List'!AE2:AE727)</f>
        <v>0.22168434375069901</v>
      </c>
      <c r="S131" s="39">
        <f>(VLOOKUP($A131,'The List'!$B1:$AH727,31,FALSE)-AVERAGE('The List'!AF2:AF727))/STDEV('The List'!AF2:AF727)</f>
        <v>1.1813304132982916</v>
      </c>
      <c r="T131" s="39">
        <f>(VLOOKUP($A131,'The List'!$B1:$AH727,32,FALSE)-AVERAGE('The List'!AG2:AG727))/STDEV('The List'!AG2:AG727)</f>
        <v>1.5327463242939117</v>
      </c>
      <c r="U131" s="39">
        <f>(VLOOKUP($A131,'The List'!$B1:$AH727,33,FALSE)-AVERAGE('The List'!AH2:AH727))/STDEV('The List'!AH2:AH727)</f>
        <v>0.84564754509013074</v>
      </c>
      <c r="V131" s="39"/>
      <c r="W131" s="43"/>
      <c r="X131" s="41"/>
      <c r="Y131" s="41"/>
      <c r="Z131" s="41"/>
      <c r="AA131" s="41"/>
      <c r="AB131" s="41"/>
      <c r="AC131" s="44"/>
      <c r="AD131" s="45"/>
      <c r="AE131" s="39"/>
    </row>
    <row r="132" spans="1:31" ht="21.25" customHeight="1" x14ac:dyDescent="0.15">
      <c r="A132" s="8" t="s">
        <v>352</v>
      </c>
      <c r="B132" s="35" t="str">
        <f>VLOOKUP(A132,'Player Data'!A1:B734,2,FALSE)</f>
        <v>DAL</v>
      </c>
      <c r="C132" s="37">
        <f>((E132)*Settings!$C$12)+(F132*Settings!$C$2)+(G132*Settings!$C$3)+(H132*Settings!$C$4)+(I132*Settings!$C$5)+(K132*Settings!$C$9)+(N132*Settings!$C$6)+(J132*Settings!$C$8)+(O132*Settings!$C$7)+(P132*Settings!$C$14)+(Q132*Settings!$C$15)+(R132*Settings!$C$16)+(S132*Settings!$C$17)+(T132*Settings!$C$18)+(U132*Settings!$C$19)</f>
        <v>2.7487226713986268</v>
      </c>
      <c r="D132" s="41">
        <f>IF(Settings!$E$12="YES",VLOOKUP(A132,'Player Data'!A1:E734,5,FALSE),82)</f>
        <v>76.3060714285714</v>
      </c>
      <c r="E132" s="39">
        <f>(VLOOKUP($A132,'The List'!$B1:$AH727,17,FALSE)-AVERAGE('The List'!R2:R727))/STDEV('The List'!R2:R727)</f>
        <v>-0.17945853433947698</v>
      </c>
      <c r="F132" s="39">
        <f>(VLOOKUP($A132,'The List'!$B1:$AH727,18,FALSE)-AVERAGE('The List'!S2:S727))/STDEV('The List'!S2:S727)</f>
        <v>0.94665997756247255</v>
      </c>
      <c r="G132" s="39">
        <f>(VLOOKUP($A132,'The List'!$B1:$AH727,19,FALSE)-AVERAGE('The List'!T2:T727))/STDEV('The List'!T2:T727)</f>
        <v>0.52042310271104963</v>
      </c>
      <c r="H132" s="39">
        <f>(VLOOKUP($A132,'The List'!$B1:$AH727,20,FALSE)-AVERAGE('The List'!U2:U727))/STDEV('The List'!U2:U727)</f>
        <v>0.75147903623379519</v>
      </c>
      <c r="I132" s="39">
        <f>(VLOOKUP($A132,'The List'!$B1:$AH727,21,FALSE)-AVERAGE('The List'!V2:V727))/STDEV('The List'!V2:V727)</f>
        <v>0.4695712362034748</v>
      </c>
      <c r="J132" s="39">
        <f>(VLOOKUP($A132,'The List'!$B1:$AH727,22,FALSE)-AVERAGE('The List'!W2:W727))/STDEV('The List'!W2:W727)</f>
        <v>0.70155845220341784</v>
      </c>
      <c r="K132" s="39">
        <f>(VLOOKUP($A132,'The List'!$B1:$AH727,23,FALSE)-AVERAGE('The List'!X2:X727))/STDEV('The List'!X2:X727)</f>
        <v>0.39838966418743949</v>
      </c>
      <c r="L132" s="39">
        <f>(VLOOKUP($A132,'The List'!$B1:$AH727,24,FALSE)-AVERAGE('The List'!Y2:Y727))/STDEV('The List'!Y2:Y727)</f>
        <v>-0.52873753949819235</v>
      </c>
      <c r="M132" s="39">
        <f>(VLOOKUP($A132,'The List'!$B1:$AH727,25,FALSE)-AVERAGE('The List'!Z2:Z727))/STDEV('The List'!Z2:Z727)</f>
        <v>-0.70645782190139428</v>
      </c>
      <c r="N132" s="39">
        <f>(VLOOKUP($A132,'The List'!$B1:$AH727,26,FALSE)-AVERAGE('The List'!AA2:AA727))/STDEV('The List'!AA2:AA727)</f>
        <v>-0.77985305442953456</v>
      </c>
      <c r="O132" s="39">
        <f>(VLOOKUP($A132,'The List'!$B1:$AH727,27,FALSE)-AVERAGE('The List'!AB2:AB727))/STDEV('The List'!AB2:AB727)</f>
        <v>-1.2606450015194164</v>
      </c>
      <c r="P132" s="39">
        <f>(VLOOKUP($A132,'The List'!$B1:$AH727,28,FALSE)-AVERAGE('The List'!AC2:AC727))/STDEV('The List'!AC2:AC727)</f>
        <v>1.1935317451637248</v>
      </c>
      <c r="Q132" s="39">
        <f>(VLOOKUP($A132,'The List'!$B1:$AH727,29,FALSE)-AVERAGE('The List'!AD2:AD727))/STDEV('The List'!AD2:AD727)</f>
        <v>-0.44081306838870343</v>
      </c>
      <c r="R132" s="39">
        <f>(VLOOKUP($A132,'The List'!$B1:$AH727,30,FALSE)-AVERAGE('The List'!AE2:AE727))/STDEV('The List'!AE2:AE727)</f>
        <v>1.1495346805687454</v>
      </c>
      <c r="S132" s="39">
        <f>(VLOOKUP($A132,'The List'!$B1:$AH727,31,FALSE)-AVERAGE('The List'!AF2:AF727))/STDEV('The List'!AF2:AF727)</f>
        <v>0.12050586282139994</v>
      </c>
      <c r="T132" s="39">
        <f>(VLOOKUP($A132,'The List'!$B1:$AH727,32,FALSE)-AVERAGE('The List'!AG2:AG727))/STDEV('The List'!AG2:AG727)</f>
        <v>1.8155325726114582E-2</v>
      </c>
      <c r="U132" s="39">
        <f>(VLOOKUP($A132,'The List'!$B1:$AH727,33,FALSE)-AVERAGE('The List'!AH2:AH727))/STDEV('The List'!AH2:AH727)</f>
        <v>1.1781687874895572</v>
      </c>
      <c r="V132" s="39"/>
      <c r="W132" s="41"/>
      <c r="X132" s="39"/>
      <c r="Y132" s="39"/>
      <c r="Z132" s="39"/>
      <c r="AA132" s="39"/>
      <c r="AB132" s="39"/>
      <c r="AC132" s="39"/>
      <c r="AD132" s="39"/>
      <c r="AE132" s="39"/>
    </row>
    <row r="133" spans="1:31" ht="21.25" customHeight="1" x14ac:dyDescent="0.15">
      <c r="A133" s="8" t="s">
        <v>279</v>
      </c>
      <c r="B133" s="35" t="str">
        <f>VLOOKUP(A133,'Player Data'!A1:B734,2,FALSE)</f>
        <v>NJD</v>
      </c>
      <c r="C133" s="37">
        <f>((E133)*Settings!$C$12)+(F133*Settings!$C$2)+(G133*Settings!$C$3)+(H133*Settings!$C$4)+(I133*Settings!$C$5)+(K133*Settings!$C$9)+(N133*Settings!$C$6)+(J133*Settings!$C$8)+(O133*Settings!$C$7)+(P133*Settings!$C$14)+(Q133*Settings!$C$15)+(R133*Settings!$C$16)+(S133*Settings!$C$17)+(T133*Settings!$C$18)+(U133*Settings!$C$19)</f>
        <v>3.0961507477008974</v>
      </c>
      <c r="D133" s="41">
        <f>IF(Settings!$E$12="YES",VLOOKUP(A133,'Player Data'!A1:E734,5,FALSE),82)</f>
        <v>81.510000000000005</v>
      </c>
      <c r="E133" s="39">
        <f>(VLOOKUP($A133,'The List'!$B1:$AH727,17,FALSE)-AVERAGE('The List'!R2:R727))/STDEV('The List'!R2:R727)</f>
        <v>0.24562457350352557</v>
      </c>
      <c r="F133" s="39">
        <f>(VLOOKUP($A133,'The List'!$B1:$AH727,18,FALSE)-AVERAGE('The List'!S2:S727))/STDEV('The List'!S2:S727)</f>
        <v>1.3836511652971382</v>
      </c>
      <c r="G133" s="39">
        <f>(VLOOKUP($A133,'The List'!$B1:$AH727,19,FALSE)-AVERAGE('The List'!T2:T727))/STDEV('The List'!T2:T727)</f>
        <v>0.82645949766747662</v>
      </c>
      <c r="H133" s="39">
        <f>(VLOOKUP($A133,'The List'!$B1:$AH727,20,FALSE)-AVERAGE('The List'!U2:U727))/STDEV('The List'!U2:U727)</f>
        <v>1.1389198165034577</v>
      </c>
      <c r="I133" s="39">
        <f>(VLOOKUP($A133,'The List'!$B1:$AH727,21,FALSE)-AVERAGE('The List'!V2:V727))/STDEV('The List'!V2:V727)</f>
        <v>0.71550719449264499</v>
      </c>
      <c r="J133" s="39">
        <f>(VLOOKUP($A133,'The List'!$B1:$AH727,22,FALSE)-AVERAGE('The List'!W2:W727))/STDEV('The List'!W2:W727)</f>
        <v>0.10181338553345057</v>
      </c>
      <c r="K133" s="39">
        <f>(VLOOKUP($A133,'The List'!$B1:$AH727,23,FALSE)-AVERAGE('The List'!X2:X727))/STDEV('The List'!X2:X727)</f>
        <v>0.32282175777411082</v>
      </c>
      <c r="L133" s="39">
        <f>(VLOOKUP($A133,'The List'!$B1:$AH727,24,FALSE)-AVERAGE('The List'!Y2:Y727))/STDEV('The List'!Y2:Y727)</f>
        <v>1.9129624719076015</v>
      </c>
      <c r="M133" s="39">
        <f>(VLOOKUP($A133,'The List'!$B1:$AH727,25,FALSE)-AVERAGE('The List'!Z2:Z727))/STDEV('The List'!Z2:Z727)</f>
        <v>1.7864014065602547</v>
      </c>
      <c r="N133" s="39">
        <f>(VLOOKUP($A133,'The List'!$B1:$AH727,26,FALSE)-AVERAGE('The List'!AA2:AA727))/STDEV('The List'!AA2:AA727)</f>
        <v>-8.4400015714534024E-2</v>
      </c>
      <c r="O133" s="39">
        <f>(VLOOKUP($A133,'The List'!$B1:$AH727,27,FALSE)-AVERAGE('The List'!AB2:AB727))/STDEV('The List'!AB2:AB727)</f>
        <v>-1.0851436550677334</v>
      </c>
      <c r="P133" s="39">
        <f>(VLOOKUP($A133,'The List'!$B1:$AH727,28,FALSE)-AVERAGE('The List'!AC2:AC727))/STDEV('The List'!AC2:AC727)</f>
        <v>-6.7888851815939288E-2</v>
      </c>
      <c r="Q133" s="39">
        <f>(VLOOKUP($A133,'The List'!$B1:$AH727,29,FALSE)-AVERAGE('The List'!AD2:AD727))/STDEV('The List'!AD2:AD727)</f>
        <v>-0.53254989657943541</v>
      </c>
      <c r="R133" s="39">
        <f>(VLOOKUP($A133,'The List'!$B1:$AH727,30,FALSE)-AVERAGE('The List'!AE2:AE727))/STDEV('The List'!AE2:AE727)</f>
        <v>1.3823110491504338</v>
      </c>
      <c r="S133" s="39">
        <f>(VLOOKUP($A133,'The List'!$B1:$AH727,31,FALSE)-AVERAGE('The List'!AF2:AF727))/STDEV('The List'!AF2:AF727)</f>
        <v>-7.8922149784999993E-2</v>
      </c>
      <c r="T133" s="39">
        <f>(VLOOKUP($A133,'The List'!$B1:$AH727,32,FALSE)-AVERAGE('The List'!AG2:AG727))/STDEV('The List'!AG2:AG727)</f>
        <v>0.1781552392974694</v>
      </c>
      <c r="U133" s="39">
        <f>(VLOOKUP($A133,'The List'!$B1:$AH727,33,FALSE)-AVERAGE('The List'!AH2:AH727))/STDEV('The List'!AH2:AH727)</f>
        <v>0.53378312524168836</v>
      </c>
      <c r="V133" s="39"/>
      <c r="W133" s="41"/>
      <c r="X133" s="39"/>
      <c r="Y133" s="39"/>
      <c r="Z133" s="39"/>
      <c r="AA133" s="39"/>
      <c r="AB133" s="39"/>
      <c r="AC133" s="39"/>
      <c r="AD133" s="39"/>
      <c r="AE133" s="39"/>
    </row>
    <row r="134" spans="1:31" ht="21.25" customHeight="1" x14ac:dyDescent="0.15">
      <c r="A134" s="8" t="s">
        <v>213</v>
      </c>
      <c r="B134" s="35" t="str">
        <f>VLOOKUP(A134,'Player Data'!A1:B734,2,FALSE)</f>
        <v>SEA</v>
      </c>
      <c r="C134" s="37">
        <f>((E134)*Settings!$C$12)+(F134*Settings!$C$2)+(G134*Settings!$C$3)+(H134*Settings!$C$4)+(I134*Settings!$C$5)+(K134*Settings!$C$9)+(N134*Settings!$C$6)+(J134*Settings!$C$8)+(O134*Settings!$C$7)+(P134*Settings!$C$14)+(Q134*Settings!$C$15)+(R134*Settings!$C$16)+(S134*Settings!$C$17)+(T134*Settings!$C$18)+(U134*Settings!$C$19)</f>
        <v>3.9559951350970812</v>
      </c>
      <c r="D134" s="41">
        <f>IF(Settings!$E$12="YES",VLOOKUP(A134,'Player Data'!A1:E734,5,FALSE),82)</f>
        <v>78.711428571428598</v>
      </c>
      <c r="E134" s="39">
        <f>(VLOOKUP($A134,'The List'!$B1:$AH727,17,FALSE)-AVERAGE('The List'!R2:R727))/STDEV('The List'!R2:R727)</f>
        <v>1.9060652358102224</v>
      </c>
      <c r="F134" s="39">
        <f>(VLOOKUP($A134,'The List'!$B1:$AH727,18,FALSE)-AVERAGE('The List'!S2:S727))/STDEV('The List'!S2:S727)</f>
        <v>-0.12873292123705435</v>
      </c>
      <c r="G134" s="39">
        <f>(VLOOKUP($A134,'The List'!$B1:$AH727,19,FALSE)-AVERAGE('The List'!T2:T727))/STDEV('The List'!T2:T727)</f>
        <v>1.5655135971687237</v>
      </c>
      <c r="H134" s="39">
        <f>(VLOOKUP($A134,'The List'!$B1:$AH727,20,FALSE)-AVERAGE('The List'!U2:U727))/STDEV('The List'!U2:U727)</f>
        <v>0.90610235891284874</v>
      </c>
      <c r="I134" s="39">
        <f>(VLOOKUP($A134,'The List'!$B1:$AH727,21,FALSE)-AVERAGE('The List'!V2:V727))/STDEV('The List'!V2:V727)</f>
        <v>0.34654817702877327</v>
      </c>
      <c r="J134" s="39">
        <f>(VLOOKUP($A134,'The List'!$B1:$AH727,22,FALSE)-AVERAGE('The List'!W2:W727))/STDEV('The List'!W2:W727)</f>
        <v>-0.2715012534584787</v>
      </c>
      <c r="K134" s="39">
        <f>(VLOOKUP($A134,'The List'!$B1:$AH727,23,FALSE)-AVERAGE('The List'!X2:X727))/STDEV('The List'!X2:X727)</f>
        <v>0.92382513210771999</v>
      </c>
      <c r="L134" s="39">
        <f>(VLOOKUP($A134,'The List'!$B1:$AH727,24,FALSE)-AVERAGE('The List'!Y2:Y727))/STDEV('The List'!Y2:Y727)</f>
        <v>-0.5044455901154653</v>
      </c>
      <c r="M134" s="39">
        <f>(VLOOKUP($A134,'The List'!$B1:$AH727,25,FALSE)-AVERAGE('The List'!Z2:Z727))/STDEV('The List'!Z2:Z727)</f>
        <v>-0.63372110069989396</v>
      </c>
      <c r="N134" s="39">
        <f>(VLOOKUP($A134,'The List'!$B1:$AH727,26,FALSE)-AVERAGE('The List'!AA2:AA727))/STDEV('The List'!AA2:AA727)</f>
        <v>0.78570731418341622</v>
      </c>
      <c r="O134" s="39">
        <f>(VLOOKUP($A134,'The List'!$B1:$AH727,27,FALSE)-AVERAGE('The List'!AB2:AB727))/STDEV('The List'!AB2:AB727)</f>
        <v>0.28348829933889041</v>
      </c>
      <c r="P134" s="39">
        <f>(VLOOKUP($A134,'The List'!$B1:$AH727,28,FALSE)-AVERAGE('The List'!AC2:AC727))/STDEV('The List'!AC2:AC727)</f>
        <v>0.46313383584550216</v>
      </c>
      <c r="Q134" s="39">
        <f>(VLOOKUP($A134,'The List'!$B1:$AH727,29,FALSE)-AVERAGE('The List'!AD2:AD727))/STDEV('The List'!AD2:AD727)</f>
        <v>1.9124241312947741</v>
      </c>
      <c r="R134" s="39">
        <f>(VLOOKUP($A134,'The List'!$B1:$AH727,30,FALSE)-AVERAGE('The List'!AE2:AE727))/STDEV('The List'!AE2:AE727)</f>
        <v>-0.12226847406874111</v>
      </c>
      <c r="S134" s="39">
        <f>(VLOOKUP($A134,'The List'!$B1:$AH727,31,FALSE)-AVERAGE('The List'!AF2:AF727))/STDEV('The List'!AF2:AF727)</f>
        <v>-0.55804314905918151</v>
      </c>
      <c r="T134" s="39">
        <f>(VLOOKUP($A134,'The List'!$B1:$AH727,32,FALSE)-AVERAGE('The List'!AG2:AG727))/STDEV('The List'!AG2:AG727)</f>
        <v>-0.60188453558131205</v>
      </c>
      <c r="U134" s="39">
        <f>(VLOOKUP($A134,'The List'!$B1:$AH727,33,FALSE)-AVERAGE('The List'!AH2:AH727))/STDEV('The List'!AH2:AH727)</f>
        <v>-1.2395873372913611</v>
      </c>
      <c r="V134" s="39"/>
      <c r="W134" s="43"/>
      <c r="X134" s="41"/>
      <c r="Y134" s="41"/>
      <c r="Z134" s="41"/>
      <c r="AA134" s="41"/>
      <c r="AB134" s="41"/>
      <c r="AC134" s="44"/>
      <c r="AD134" s="45"/>
      <c r="AE134" s="39"/>
    </row>
    <row r="135" spans="1:31" ht="21.25" customHeight="1" x14ac:dyDescent="0.15">
      <c r="A135" s="8" t="s">
        <v>265</v>
      </c>
      <c r="B135" s="35" t="str">
        <f>VLOOKUP(A135,'Player Data'!A1:B734,2,FALSE)</f>
        <v>VAN</v>
      </c>
      <c r="C135" s="37">
        <f>((E135)*Settings!$C$12)+(F135*Settings!$C$2)+(G135*Settings!$C$3)+(H135*Settings!$C$4)+(I135*Settings!$C$5)+(K135*Settings!$C$9)+(N135*Settings!$C$6)+(J135*Settings!$C$8)+(O135*Settings!$C$7)+(P135*Settings!$C$14)+(Q135*Settings!$C$15)+(R135*Settings!$C$16)+(S135*Settings!$C$17)+(T135*Settings!$C$18)+(U135*Settings!$C$19)</f>
        <v>1.7372154129414561</v>
      </c>
      <c r="D135" s="41">
        <f>IF(Settings!$E$12="YES",VLOOKUP(A135,'Player Data'!A1:E734,5,FALSE),82)</f>
        <v>79.097499999999997</v>
      </c>
      <c r="E135" s="39">
        <f>(VLOOKUP($A135,'The List'!$B1:$AH727,17,FALSE)-AVERAGE('The List'!R2:R727))/STDEV('The List'!R2:R727)</f>
        <v>9.188482939664569E-2</v>
      </c>
      <c r="F135" s="39">
        <f>(VLOOKUP($A135,'The List'!$B1:$AH727,18,FALSE)-AVERAGE('The List'!S2:S727))/STDEV('The List'!S2:S727)</f>
        <v>0.76373706193256508</v>
      </c>
      <c r="G135" s="39">
        <f>(VLOOKUP($A135,'The List'!$B1:$AH727,19,FALSE)-AVERAGE('The List'!T2:T727))/STDEV('The List'!T2:T727)</f>
        <v>0.69241024731123058</v>
      </c>
      <c r="H135" s="39">
        <f>(VLOOKUP($A135,'The List'!$B1:$AH727,20,FALSE)-AVERAGE('The List'!U2:U727))/STDEV('The List'!U2:U727)</f>
        <v>0.77421772512037723</v>
      </c>
      <c r="I135" s="39">
        <f>(VLOOKUP($A135,'The List'!$B1:$AH727,21,FALSE)-AVERAGE('The List'!V2:V727))/STDEV('The List'!V2:V727)</f>
        <v>0.82559061058923722</v>
      </c>
      <c r="J135" s="39">
        <f>(VLOOKUP($A135,'The List'!$B1:$AH727,22,FALSE)-AVERAGE('The List'!W2:W727))/STDEV('The List'!W2:W727)</f>
        <v>1.1052000808637537</v>
      </c>
      <c r="K135" s="39">
        <f>(VLOOKUP($A135,'The List'!$B1:$AH727,23,FALSE)-AVERAGE('The List'!X2:X727))/STDEV('The List'!X2:X727)</f>
        <v>0.60761825820106108</v>
      </c>
      <c r="L135" s="39">
        <f>(VLOOKUP($A135,'The List'!$B1:$AH727,24,FALSE)-AVERAGE('The List'!Y2:Y727))/STDEV('The List'!Y2:Y727)</f>
        <v>-0.53605893376468672</v>
      </c>
      <c r="M135" s="39">
        <f>(VLOOKUP($A135,'The List'!$B1:$AH727,25,FALSE)-AVERAGE('The List'!Z2:Z727))/STDEV('The List'!Z2:Z727)</f>
        <v>-0.71478816660716027</v>
      </c>
      <c r="N135" s="39">
        <f>(VLOOKUP($A135,'The List'!$B1:$AH727,26,FALSE)-AVERAGE('The List'!AA2:AA727))/STDEV('The List'!AA2:AA727)</f>
        <v>-0.69061365893921467</v>
      </c>
      <c r="O135" s="39">
        <f>(VLOOKUP($A135,'The List'!$B1:$AH727,27,FALSE)-AVERAGE('The List'!AB2:AB727))/STDEV('The List'!AB2:AB727)</f>
        <v>-0.85450053623979683</v>
      </c>
      <c r="P135" s="39">
        <f>(VLOOKUP($A135,'The List'!$B1:$AH727,28,FALSE)-AVERAGE('The List'!AC2:AC727))/STDEV('The List'!AC2:AC727)</f>
        <v>-0.46152710615342285</v>
      </c>
      <c r="Q135" s="39">
        <f>(VLOOKUP($A135,'The List'!$B1:$AH727,29,FALSE)-AVERAGE('The List'!AD2:AD727))/STDEV('The List'!AD2:AD727)</f>
        <v>-0.50177515132245487</v>
      </c>
      <c r="R135" s="39">
        <f>(VLOOKUP($A135,'The List'!$B1:$AH727,30,FALSE)-AVERAGE('The List'!AE2:AE727))/STDEV('The List'!AE2:AE727)</f>
        <v>0.71059198118461631</v>
      </c>
      <c r="S135" s="39">
        <f>(VLOOKUP($A135,'The List'!$B1:$AH727,31,FALSE)-AVERAGE('The List'!AF2:AF727))/STDEV('The List'!AF2:AF727)</f>
        <v>-0.4438660671020801</v>
      </c>
      <c r="T135" s="39">
        <f>(VLOOKUP($A135,'The List'!$B1:$AH727,32,FALSE)-AVERAGE('The List'!AG2:AG727))/STDEV('The List'!AG2:AG727)</f>
        <v>-0.44015084358989554</v>
      </c>
      <c r="U135" s="39">
        <f>(VLOOKUP($A135,'The List'!$B1:$AH727,33,FALSE)-AVERAGE('The List'!AH2:AH727))/STDEV('The List'!AH2:AH727)</f>
        <v>0.68575948632529338</v>
      </c>
      <c r="V135" s="39"/>
      <c r="W135" s="43"/>
      <c r="X135" s="41"/>
      <c r="Y135" s="41"/>
      <c r="Z135" s="41"/>
      <c r="AA135" s="41"/>
      <c r="AB135" s="41"/>
      <c r="AC135" s="44"/>
      <c r="AD135" s="45"/>
      <c r="AE135" s="39"/>
    </row>
    <row r="136" spans="1:31" ht="21.25" customHeight="1" x14ac:dyDescent="0.15">
      <c r="A136" s="8" t="s">
        <v>235</v>
      </c>
      <c r="B136" s="35" t="str">
        <f>VLOOKUP(A136,'Player Data'!A1:B734,2,FALSE)</f>
        <v>PIT</v>
      </c>
      <c r="C136" s="37">
        <f>((E136)*Settings!$C$12)+(F136*Settings!$C$2)+(G136*Settings!$C$3)+(H136*Settings!$C$4)+(I136*Settings!$C$5)+(K136*Settings!$C$9)+(N136*Settings!$C$6)+(J136*Settings!$C$8)+(O136*Settings!$C$7)+(P136*Settings!$C$14)+(Q136*Settings!$C$15)+(R136*Settings!$C$16)+(S136*Settings!$C$17)+(T136*Settings!$C$18)+(U136*Settings!$C$19)</f>
        <v>4.6233963730116479</v>
      </c>
      <c r="D136" s="41">
        <f>IF(Settings!$E$12="YES",VLOOKUP(A136,'Player Data'!A1:E734,5,FALSE),82)</f>
        <v>79.794285714285706</v>
      </c>
      <c r="E136" s="39">
        <f>(VLOOKUP($A136,'The List'!$B1:$AH727,17,FALSE)-AVERAGE('The List'!R2:R727))/STDEV('The List'!R2:R727)</f>
        <v>0.43868664510751121</v>
      </c>
      <c r="F136" s="39">
        <f>(VLOOKUP($A136,'The List'!$B1:$AH727,18,FALSE)-AVERAGE('The List'!S2:S727))/STDEV('The List'!S2:S727)</f>
        <v>1.0378593578284157</v>
      </c>
      <c r="G136" s="39">
        <f>(VLOOKUP($A136,'The List'!$B1:$AH727,19,FALSE)-AVERAGE('The List'!T2:T727))/STDEV('The List'!T2:T727)</f>
        <v>0.50798432269400884</v>
      </c>
      <c r="H136" s="39">
        <f>(VLOOKUP($A136,'The List'!$B1:$AH727,20,FALSE)-AVERAGE('The List'!U2:U727))/STDEV('The List'!U2:U727)</f>
        <v>0.78531557039794853</v>
      </c>
      <c r="I136" s="39">
        <f>(VLOOKUP($A136,'The List'!$B1:$AH727,21,FALSE)-AVERAGE('The List'!V2:V727))/STDEV('The List'!V2:V727)</f>
        <v>1.5788243293127504</v>
      </c>
      <c r="J136" s="39">
        <f>(VLOOKUP($A136,'The List'!$B1:$AH727,22,FALSE)-AVERAGE('The List'!W2:W727))/STDEV('The List'!W2:W727)</f>
        <v>1.3865217918536783</v>
      </c>
      <c r="K136" s="39">
        <f>(VLOOKUP($A136,'The List'!$B1:$AH727,23,FALSE)-AVERAGE('The List'!X2:X727))/STDEV('The List'!X2:X727)</f>
        <v>0.90468558685534162</v>
      </c>
      <c r="L136" s="39">
        <f>(VLOOKUP($A136,'The List'!$B1:$AH727,24,FALSE)-AVERAGE('The List'!Y2:Y727))/STDEV('The List'!Y2:Y727)</f>
        <v>-0.53745962879598597</v>
      </c>
      <c r="M136" s="39">
        <f>(VLOOKUP($A136,'The List'!$B1:$AH727,25,FALSE)-AVERAGE('The List'!Z2:Z727))/STDEV('The List'!Z2:Z727)</f>
        <v>-0.71631564171107942</v>
      </c>
      <c r="N136" s="39">
        <f>(VLOOKUP($A136,'The List'!$B1:$AH727,26,FALSE)-AVERAGE('The List'!AA2:AA727))/STDEV('The List'!AA2:AA727)</f>
        <v>-0.2738898437643712</v>
      </c>
      <c r="O136" s="39">
        <f>(VLOOKUP($A136,'The List'!$B1:$AH727,27,FALSE)-AVERAGE('The List'!AB2:AB727))/STDEV('The List'!AB2:AB727)</f>
        <v>0.68903222115073715</v>
      </c>
      <c r="P136" s="39">
        <f>(VLOOKUP($A136,'The List'!$B1:$AH727,28,FALSE)-AVERAGE('The List'!AC2:AC727))/STDEV('The List'!AC2:AC727)</f>
        <v>0.86793262008550232</v>
      </c>
      <c r="Q136" s="39">
        <f>(VLOOKUP($A136,'The List'!$B1:$AH727,29,FALSE)-AVERAGE('The List'!AD2:AD727))/STDEV('The List'!AD2:AD727)</f>
        <v>-0.87658334577021912</v>
      </c>
      <c r="R136" s="39">
        <f>(VLOOKUP($A136,'The List'!$B1:$AH727,30,FALSE)-AVERAGE('The List'!AE2:AE727))/STDEV('The List'!AE2:AE727)</f>
        <v>1.2319981662483741</v>
      </c>
      <c r="S136" s="39">
        <f>(VLOOKUP($A136,'The List'!$B1:$AH727,31,FALSE)-AVERAGE('The List'!AF2:AF727))/STDEV('The List'!AF2:AF727)</f>
        <v>-0.49307829916234541</v>
      </c>
      <c r="T136" s="39">
        <f>(VLOOKUP($A136,'The List'!$B1:$AH727,32,FALSE)-AVERAGE('The List'!AG2:AG727))/STDEV('The List'!AG2:AG727)</f>
        <v>-0.51636381956848376</v>
      </c>
      <c r="U136" s="39">
        <f>(VLOOKUP($A136,'The List'!$B1:$AH727,33,FALSE)-AVERAGE('The List'!AH2:AH727))/STDEV('The List'!AH2:AH727)</f>
        <v>0.76713495983801194</v>
      </c>
      <c r="V136" s="39"/>
      <c r="W136" s="41"/>
      <c r="X136" s="39"/>
      <c r="Y136" s="39"/>
      <c r="Z136" s="39"/>
      <c r="AA136" s="39"/>
      <c r="AB136" s="39"/>
      <c r="AC136" s="39"/>
      <c r="AD136" s="39"/>
      <c r="AE136" s="39"/>
    </row>
    <row r="137" spans="1:31" ht="21.25" customHeight="1" x14ac:dyDescent="0.15">
      <c r="A137" s="8" t="s">
        <v>320</v>
      </c>
      <c r="B137" s="35" t="str">
        <f>VLOOKUP(A137,'Player Data'!A1:B734,2,FALSE)</f>
        <v>STL</v>
      </c>
      <c r="C137" s="37">
        <f>((E137)*Settings!$C$12)+(F137*Settings!$C$2)+(G137*Settings!$C$3)+(H137*Settings!$C$4)+(I137*Settings!$C$5)+(K137*Settings!$C$9)+(N137*Settings!$C$6)+(J137*Settings!$C$8)+(O137*Settings!$C$7)+(P137*Settings!$C$14)+(Q137*Settings!$C$15)+(R137*Settings!$C$16)+(S137*Settings!$C$17)+(T137*Settings!$C$18)+(U137*Settings!$C$19)</f>
        <v>0.48700847575000139</v>
      </c>
      <c r="D137" s="41">
        <f>IF(Settings!$E$12="YES",VLOOKUP(A137,'Player Data'!A1:E734,5,FALSE),82)</f>
        <v>70.2</v>
      </c>
      <c r="E137" s="39">
        <f>(VLOOKUP($A137,'The List'!$B1:$AH727,17,FALSE)-AVERAGE('The List'!R2:R727))/STDEV('The List'!R2:R727)</f>
        <v>-0.22227864147948379</v>
      </c>
      <c r="F137" s="39">
        <f>(VLOOKUP($A137,'The List'!$B1:$AH727,18,FALSE)-AVERAGE('The List'!S2:S727))/STDEV('The List'!S2:S727)</f>
        <v>1.3645000504685563</v>
      </c>
      <c r="G137" s="39">
        <f>(VLOOKUP($A137,'The List'!$B1:$AH727,19,FALSE)-AVERAGE('The List'!T2:T727))/STDEV('The List'!T2:T727)</f>
        <v>-0.19850231534953924</v>
      </c>
      <c r="H137" s="39">
        <f>(VLOOKUP($A137,'The List'!$B1:$AH727,20,FALSE)-AVERAGE('The List'!U2:U727))/STDEV('The List'!U2:U727)</f>
        <v>0.49861395389299623</v>
      </c>
      <c r="I137" s="39">
        <f>(VLOOKUP($A137,'The List'!$B1:$AH727,21,FALSE)-AVERAGE('The List'!V2:V727))/STDEV('The List'!V2:V727)</f>
        <v>0.58749888882593815</v>
      </c>
      <c r="J137" s="39">
        <f>(VLOOKUP($A137,'The List'!$B1:$AH727,22,FALSE)-AVERAGE('The List'!W2:W727))/STDEV('The List'!W2:W727)</f>
        <v>1.2507048673135743</v>
      </c>
      <c r="K137" s="39">
        <f>(VLOOKUP($A137,'The List'!$B1:$AH727,23,FALSE)-AVERAGE('The List'!X2:X727))/STDEV('The List'!X2:X727)</f>
        <v>0.35860313408365213</v>
      </c>
      <c r="L137" s="39">
        <f>(VLOOKUP($A137,'The List'!$B1:$AH727,24,FALSE)-AVERAGE('The List'!Y2:Y727))/STDEV('The List'!Y2:Y727)</f>
        <v>-0.54402834717551152</v>
      </c>
      <c r="M137" s="39">
        <f>(VLOOKUP($A137,'The List'!$B1:$AH727,25,FALSE)-AVERAGE('The List'!Z2:Z727))/STDEV('The List'!Z2:Z727)</f>
        <v>-0.72372514007823274</v>
      </c>
      <c r="N137" s="39">
        <f>(VLOOKUP($A137,'The List'!$B1:$AH727,26,FALSE)-AVERAGE('The List'!AA2:AA727))/STDEV('The List'!AA2:AA727)</f>
        <v>-0.91839565010153412</v>
      </c>
      <c r="O137" s="39">
        <f>(VLOOKUP($A137,'The List'!$B1:$AH727,27,FALSE)-AVERAGE('The List'!AB2:AB727))/STDEV('The List'!AB2:AB727)</f>
        <v>-0.80841504675785314</v>
      </c>
      <c r="P137" s="39">
        <f>(VLOOKUP($A137,'The List'!$B1:$AH727,28,FALSE)-AVERAGE('The List'!AC2:AC727))/STDEV('The List'!AC2:AC727)</f>
        <v>-0.70669563217707154</v>
      </c>
      <c r="Q137" s="39">
        <f>(VLOOKUP($A137,'The List'!$B1:$AH727,29,FALSE)-AVERAGE('The List'!AD2:AD727))/STDEV('The List'!AD2:AD727)</f>
        <v>-0.58193606153961697</v>
      </c>
      <c r="R137" s="39">
        <f>(VLOOKUP($A137,'The List'!$B1:$AH727,30,FALSE)-AVERAGE('The List'!AE2:AE727))/STDEV('The List'!AE2:AE727)</f>
        <v>0.80614703898312146</v>
      </c>
      <c r="S137" s="39">
        <f>(VLOOKUP($A137,'The List'!$B1:$AH727,31,FALSE)-AVERAGE('The List'!AF2:AF727))/STDEV('The List'!AF2:AF727)</f>
        <v>-0.52710178870297142</v>
      </c>
      <c r="T137" s="39">
        <f>(VLOOKUP($A137,'The List'!$B1:$AH727,32,FALSE)-AVERAGE('The List'!AG2:AG727))/STDEV('The List'!AG2:AG727)</f>
        <v>-0.54438746890992173</v>
      </c>
      <c r="U137" s="39">
        <f>(VLOOKUP($A137,'The List'!$B1:$AH727,33,FALSE)-AVERAGE('The List'!AH2:AH727))/STDEV('The List'!AH2:AH727)</f>
        <v>0.39351254475961084</v>
      </c>
      <c r="V137" s="39"/>
      <c r="W137" s="43"/>
      <c r="X137" s="41"/>
      <c r="Y137" s="41"/>
      <c r="Z137" s="41"/>
      <c r="AA137" s="41"/>
      <c r="AB137" s="41"/>
      <c r="AC137" s="44"/>
      <c r="AD137" s="45"/>
      <c r="AE137" s="39"/>
    </row>
    <row r="138" spans="1:31" ht="21.25" customHeight="1" x14ac:dyDescent="0.15">
      <c r="A138" s="8" t="s">
        <v>188</v>
      </c>
      <c r="B138" s="35" t="str">
        <f>VLOOKUP(A138,'Player Data'!A1:B734,2,FALSE)</f>
        <v>TOR</v>
      </c>
      <c r="C138" s="37">
        <f>((E138)*Settings!$C$12)+(F138*Settings!$C$2)+(G138*Settings!$C$3)+(H138*Settings!$C$4)+(I138*Settings!$C$5)+(K138*Settings!$C$9)+(N138*Settings!$C$6)+(J138*Settings!$C$8)+(O138*Settings!$C$7)+(P138*Settings!$C$14)+(Q138*Settings!$C$15)+(R138*Settings!$C$16)+(S138*Settings!$C$17)+(T138*Settings!$C$18)+(U138*Settings!$C$19)</f>
        <v>5.3830596067190744</v>
      </c>
      <c r="D138" s="41">
        <f>IF(Settings!$E$12="YES",VLOOKUP(A138,'Player Data'!A1:E734,5,FALSE),82)</f>
        <v>78.866071428571402</v>
      </c>
      <c r="E138" s="39">
        <f>(VLOOKUP($A138,'The List'!$B1:$AH727,17,FALSE)-AVERAGE('The List'!R2:R727))/STDEV('The List'!R2:R727)</f>
        <v>1.4154675670267449</v>
      </c>
      <c r="F138" s="39">
        <f>(VLOOKUP($A138,'The List'!$B1:$AH727,18,FALSE)-AVERAGE('The List'!S2:S727))/STDEV('The List'!S2:S727)</f>
        <v>-0.57530705499898327</v>
      </c>
      <c r="G138" s="39">
        <f>(VLOOKUP($A138,'The List'!$B1:$AH727,19,FALSE)-AVERAGE('The List'!T2:T727))/STDEV('The List'!T2:T727)</f>
        <v>1.8141761847603122</v>
      </c>
      <c r="H138" s="39">
        <f>(VLOOKUP($A138,'The List'!$B1:$AH727,20,FALSE)-AVERAGE('The List'!U2:U727))/STDEV('The List'!U2:U727)</f>
        <v>0.85611135920972481</v>
      </c>
      <c r="I138" s="39">
        <f>(VLOOKUP($A138,'The List'!$B1:$AH727,21,FALSE)-AVERAGE('The List'!V2:V727))/STDEV('The List'!V2:V727)</f>
        <v>0.5779348913457818</v>
      </c>
      <c r="J138" s="39">
        <f>(VLOOKUP($A138,'The List'!$B1:$AH727,22,FALSE)-AVERAGE('The List'!W2:W727))/STDEV('The List'!W2:W727)</f>
        <v>-0.25182620520097027</v>
      </c>
      <c r="K138" s="39">
        <f>(VLOOKUP($A138,'The List'!$B1:$AH727,23,FALSE)-AVERAGE('The List'!X2:X727))/STDEV('The List'!X2:X727)</f>
        <v>1.3721211057516751</v>
      </c>
      <c r="L138" s="39">
        <f>(VLOOKUP($A138,'The List'!$B1:$AH727,24,FALSE)-AVERAGE('The List'!Y2:Y727))/STDEV('The List'!Y2:Y727)</f>
        <v>-0.50087029861640309</v>
      </c>
      <c r="M138" s="39">
        <f>(VLOOKUP($A138,'The List'!$B1:$AH727,25,FALSE)-AVERAGE('The List'!Z2:Z727))/STDEV('The List'!Z2:Z727)</f>
        <v>0.2226836419950956</v>
      </c>
      <c r="N138" s="39">
        <f>(VLOOKUP($A138,'The List'!$B1:$AH727,26,FALSE)-AVERAGE('The List'!AA2:AA727))/STDEV('The List'!AA2:AA727)</f>
        <v>1.033735364839008</v>
      </c>
      <c r="O138" s="39">
        <f>(VLOOKUP($A138,'The List'!$B1:$AH727,27,FALSE)-AVERAGE('The List'!AB2:AB727))/STDEV('The List'!AB2:AB727)</f>
        <v>1.8330598704285668E-2</v>
      </c>
      <c r="P138" s="39">
        <f>(VLOOKUP($A138,'The List'!$B1:$AH727,28,FALSE)-AVERAGE('The List'!AC2:AC727))/STDEV('The List'!AC2:AC727)</f>
        <v>1.1603991150212809</v>
      </c>
      <c r="Q138" s="39">
        <f>(VLOOKUP($A138,'The List'!$B1:$AH727,29,FALSE)-AVERAGE('The List'!AD2:AD727))/STDEV('The List'!AD2:AD727)</f>
        <v>-8.8209687793490546E-2</v>
      </c>
      <c r="R138" s="39">
        <f>(VLOOKUP($A138,'The List'!$B1:$AH727,30,FALSE)-AVERAGE('The List'!AE2:AE727))/STDEV('The List'!AE2:AE727)</f>
        <v>-0.43798950884033255</v>
      </c>
      <c r="S138" s="39">
        <f>(VLOOKUP($A138,'The List'!$B1:$AH727,31,FALSE)-AVERAGE('The List'!AF2:AF727))/STDEV('The List'!AF2:AF727)</f>
        <v>-0.55804314905918151</v>
      </c>
      <c r="T138" s="39">
        <f>(VLOOKUP($A138,'The List'!$B1:$AH727,32,FALSE)-AVERAGE('The List'!AG2:AG727))/STDEV('The List'!AG2:AG727)</f>
        <v>-0.60188453558131205</v>
      </c>
      <c r="U138" s="39">
        <f>(VLOOKUP($A138,'The List'!$B1:$AH727,33,FALSE)-AVERAGE('The List'!AH2:AH727))/STDEV('The List'!AH2:AH727)</f>
        <v>-1.2395873372913611</v>
      </c>
      <c r="V138" s="39"/>
      <c r="W138" s="43"/>
      <c r="X138" s="41"/>
      <c r="Y138" s="41"/>
      <c r="Z138" s="41"/>
      <c r="AA138" s="41"/>
      <c r="AB138" s="41"/>
      <c r="AC138" s="44"/>
      <c r="AD138" s="45"/>
      <c r="AE138" s="39"/>
    </row>
    <row r="139" spans="1:31" ht="21.25" customHeight="1" x14ac:dyDescent="0.15">
      <c r="A139" s="8" t="s">
        <v>370</v>
      </c>
      <c r="B139" s="35" t="str">
        <f>VLOOKUP(A139,'Player Data'!A1:B734,2,FALSE)</f>
        <v>SJS</v>
      </c>
      <c r="C139" s="37">
        <f>((E139)*Settings!$C$12)+(F139*Settings!$C$2)+(G139*Settings!$C$3)+(H139*Settings!$C$4)+(I139*Settings!$C$5)+(K139*Settings!$C$9)+(N139*Settings!$C$6)+(J139*Settings!$C$8)+(O139*Settings!$C$7)+(P139*Settings!$C$14)+(Q139*Settings!$C$15)+(R139*Settings!$C$16)+(S139*Settings!$C$17)+(T139*Settings!$C$18)+(U139*Settings!$C$19)</f>
        <v>0.33400635880329321</v>
      </c>
      <c r="D139" s="41">
        <f>IF(Settings!$E$12="YES",VLOOKUP(A139,'Player Data'!A1:E734,5,FALSE),82)</f>
        <v>66.7</v>
      </c>
      <c r="E139" s="39">
        <f>(VLOOKUP($A139,'The List'!$B1:$AH727,17,FALSE)-AVERAGE('The List'!R2:R727))/STDEV('The List'!R2:R727)</f>
        <v>-0.26055348742786594</v>
      </c>
      <c r="F139" s="39">
        <f>(VLOOKUP($A139,'The List'!$B1:$AH727,18,FALSE)-AVERAGE('The List'!S2:S727))/STDEV('The List'!S2:S727)</f>
        <v>0.589827015492429</v>
      </c>
      <c r="G139" s="39">
        <f>(VLOOKUP($A139,'The List'!$B1:$AH727,19,FALSE)-AVERAGE('The List'!T2:T727))/STDEV('The List'!T2:T727)</f>
        <v>0.176342312704001</v>
      </c>
      <c r="H139" s="39">
        <f>(VLOOKUP($A139,'The List'!$B1:$AH727,20,FALSE)-AVERAGE('The List'!U2:U727))/STDEV('The List'!U2:U727)</f>
        <v>0.37707195811107241</v>
      </c>
      <c r="I139" s="39">
        <f>(VLOOKUP($A139,'The List'!$B1:$AH727,21,FALSE)-AVERAGE('The List'!V2:V727))/STDEV('The List'!V2:V727)</f>
        <v>0.30241821981784434</v>
      </c>
      <c r="J139" s="39">
        <f>(VLOOKUP($A139,'The List'!$B1:$AH727,22,FALSE)-AVERAGE('The List'!W2:W727))/STDEV('The List'!W2:W727)</f>
        <v>0.17414163638588584</v>
      </c>
      <c r="K139" s="39">
        <f>(VLOOKUP($A139,'The List'!$B1:$AH727,23,FALSE)-AVERAGE('The List'!X2:X727))/STDEV('The List'!X2:X727)</f>
        <v>2.2700272923231106E-3</v>
      </c>
      <c r="L139" s="39">
        <f>(VLOOKUP($A139,'The List'!$B1:$AH727,24,FALSE)-AVERAGE('The List'!Y2:Y727))/STDEV('The List'!Y2:Y727)</f>
        <v>-0.52631890755024824</v>
      </c>
      <c r="M139" s="39">
        <f>(VLOOKUP($A139,'The List'!$B1:$AH727,25,FALSE)-AVERAGE('The List'!Z2:Z727))/STDEV('The List'!Z2:Z727)</f>
        <v>-0.68594254358905238</v>
      </c>
      <c r="N139" s="39">
        <f>(VLOOKUP($A139,'The List'!$B1:$AH727,26,FALSE)-AVERAGE('The List'!AA2:AA727))/STDEV('The List'!AA2:AA727)</f>
        <v>-0.91691337274488338</v>
      </c>
      <c r="O139" s="39">
        <f>(VLOOKUP($A139,'The List'!$B1:$AH727,27,FALSE)-AVERAGE('The List'!AB2:AB727))/STDEV('The List'!AB2:AB727)</f>
        <v>-0.78763281724776013</v>
      </c>
      <c r="P139" s="39">
        <f>(VLOOKUP($A139,'The List'!$B1:$AH727,28,FALSE)-AVERAGE('The List'!AC2:AC727))/STDEV('The List'!AC2:AC727)</f>
        <v>0.1800621562415792</v>
      </c>
      <c r="Q139" s="39">
        <f>(VLOOKUP($A139,'The List'!$B1:$AH727,29,FALSE)-AVERAGE('The List'!AD2:AD727))/STDEV('The List'!AD2:AD727)</f>
        <v>-0.74054642888544731</v>
      </c>
      <c r="R139" s="39">
        <f>(VLOOKUP($A139,'The List'!$B1:$AH727,30,FALSE)-AVERAGE('The List'!AE2:AE727))/STDEV('The List'!AE2:AE727)</f>
        <v>0.30197292775276091</v>
      </c>
      <c r="S139" s="39">
        <f>(VLOOKUP($A139,'The List'!$B1:$AH727,31,FALSE)-AVERAGE('The List'!AF2:AF727))/STDEV('The List'!AF2:AF727)</f>
        <v>-0.55624410374194766</v>
      </c>
      <c r="T139" s="39">
        <f>(VLOOKUP($A139,'The List'!$B1:$AH727,32,FALSE)-AVERAGE('The List'!AG2:AG727))/STDEV('The List'!AG2:AG727)</f>
        <v>-0.59713915645717097</v>
      </c>
      <c r="U139" s="39">
        <f>(VLOOKUP($A139,'The List'!$B1:$AH727,33,FALSE)-AVERAGE('The List'!AH2:AH727))/STDEV('The List'!AH2:AH727)</f>
        <v>4.8514707386507087E-2</v>
      </c>
      <c r="V139" s="39"/>
      <c r="W139" s="41"/>
      <c r="X139" s="39"/>
      <c r="Y139" s="39"/>
      <c r="Z139" s="39"/>
      <c r="AA139" s="39"/>
      <c r="AB139" s="39"/>
      <c r="AC139" s="39"/>
      <c r="AD139" s="39"/>
      <c r="AE139" s="39"/>
    </row>
    <row r="140" spans="1:31" ht="21.25" customHeight="1" x14ac:dyDescent="0.15">
      <c r="A140" s="8" t="s">
        <v>258</v>
      </c>
      <c r="B140" s="35" t="str">
        <f>VLOOKUP(A140,'Player Data'!A1:B734,2,FALSE)</f>
        <v>LAK</v>
      </c>
      <c r="C140" s="37">
        <f>((E140)*Settings!$C$12)+(F140*Settings!$C$2)+(G140*Settings!$C$3)+(H140*Settings!$C$4)+(I140*Settings!$C$5)+(K140*Settings!$C$9)+(N140*Settings!$C$6)+(J140*Settings!$C$8)+(O140*Settings!$C$7)+(P140*Settings!$C$14)+(Q140*Settings!$C$15)+(R140*Settings!$C$16)+(S140*Settings!$C$17)+(T140*Settings!$C$18)+(U140*Settings!$C$19)</f>
        <v>3.51999138450803</v>
      </c>
      <c r="D140" s="41">
        <f>IF(Settings!$E$12="YES",VLOOKUP(A140,'Player Data'!A1:E734,5,FALSE),82)</f>
        <v>78.063928571428605</v>
      </c>
      <c r="E140" s="39">
        <f>(VLOOKUP($A140,'The List'!$B1:$AH727,17,FALSE)-AVERAGE('The List'!R2:R727))/STDEV('The List'!R2:R727)</f>
        <v>-2.2699994493495198E-3</v>
      </c>
      <c r="F140" s="39">
        <f>(VLOOKUP($A140,'The List'!$B1:$AH727,18,FALSE)-AVERAGE('The List'!S2:S727))/STDEV('The List'!S2:S727)</f>
        <v>0.80979162908148061</v>
      </c>
      <c r="G140" s="39">
        <f>(VLOOKUP($A140,'The List'!$B1:$AH727,19,FALSE)-AVERAGE('The List'!T2:T727))/STDEV('The List'!T2:T727)</f>
        <v>0.55895251012357716</v>
      </c>
      <c r="H140" s="39">
        <f>(VLOOKUP($A140,'The List'!$B1:$AH727,20,FALSE)-AVERAGE('The List'!U2:U727))/STDEV('The List'!U2:U727)</f>
        <v>0.71293754857583702</v>
      </c>
      <c r="I140" s="39">
        <f>(VLOOKUP($A140,'The List'!$B1:$AH727,21,FALSE)-AVERAGE('The List'!V2:V727))/STDEV('The List'!V2:V727)</f>
        <v>1.5230680547260234</v>
      </c>
      <c r="J140" s="39">
        <f>(VLOOKUP($A140,'The List'!$B1:$AH727,22,FALSE)-AVERAGE('The List'!W2:W727))/STDEV('The List'!W2:W727)</f>
        <v>1.0148198748378792</v>
      </c>
      <c r="K140" s="39">
        <f>(VLOOKUP($A140,'The List'!$B1:$AH727,23,FALSE)-AVERAGE('The List'!X2:X727))/STDEV('The List'!X2:X727)</f>
        <v>0.79189453330220871</v>
      </c>
      <c r="L140" s="39">
        <f>(VLOOKUP($A140,'The List'!$B1:$AH727,24,FALSE)-AVERAGE('The List'!Y2:Y727))/STDEV('The List'!Y2:Y727)</f>
        <v>-0.3567487585196179</v>
      </c>
      <c r="M140" s="39">
        <f>(VLOOKUP($A140,'The List'!$B1:$AH727,25,FALSE)-AVERAGE('The List'!Z2:Z727))/STDEV('The List'!Z2:Z727)</f>
        <v>-0.59042326264655765</v>
      </c>
      <c r="N140" s="39">
        <f>(VLOOKUP($A140,'The List'!$B1:$AH727,26,FALSE)-AVERAGE('The List'!AA2:AA727))/STDEV('The List'!AA2:AA727)</f>
        <v>-0.31061415300604772</v>
      </c>
      <c r="O140" s="39">
        <f>(VLOOKUP($A140,'The List'!$B1:$AH727,27,FALSE)-AVERAGE('The List'!AB2:AB727))/STDEV('The List'!AB2:AB727)</f>
        <v>-1.2806499709460966</v>
      </c>
      <c r="P140" s="39">
        <f>(VLOOKUP($A140,'The List'!$B1:$AH727,28,FALSE)-AVERAGE('The List'!AC2:AC727))/STDEV('The List'!AC2:AC727)</f>
        <v>0.14689881028078822</v>
      </c>
      <c r="Q140" s="39">
        <f>(VLOOKUP($A140,'The List'!$B1:$AH727,29,FALSE)-AVERAGE('The List'!AD2:AD727))/STDEV('The List'!AD2:AD727)</f>
        <v>-0.3040262178235511</v>
      </c>
      <c r="R140" s="39">
        <f>(VLOOKUP($A140,'The List'!$B1:$AH727,30,FALSE)-AVERAGE('The List'!AE2:AE727))/STDEV('The List'!AE2:AE727)</f>
        <v>0.84805753649491922</v>
      </c>
      <c r="S140" s="39">
        <f>(VLOOKUP($A140,'The List'!$B1:$AH727,31,FALSE)-AVERAGE('The List'!AF2:AF727))/STDEV('The List'!AF2:AF727)</f>
        <v>-0.45048001332179838</v>
      </c>
      <c r="T140" s="39">
        <f>(VLOOKUP($A140,'The List'!$B1:$AH727,32,FALSE)-AVERAGE('The List'!AG2:AG727))/STDEV('The List'!AG2:AG727)</f>
        <v>-0.41154139001493761</v>
      </c>
      <c r="U140" s="39">
        <f>(VLOOKUP($A140,'The List'!$B1:$AH727,33,FALSE)-AVERAGE('The List'!AH2:AH727))/STDEV('The List'!AH2:AH727)</f>
        <v>0.44483073743632473</v>
      </c>
      <c r="V140" s="39"/>
      <c r="W140" s="41"/>
      <c r="X140" s="39"/>
      <c r="Y140" s="39"/>
      <c r="Z140" s="39"/>
      <c r="AA140" s="39"/>
      <c r="AB140" s="39"/>
      <c r="AC140" s="39"/>
      <c r="AD140" s="39"/>
      <c r="AE140" s="39"/>
    </row>
    <row r="141" spans="1:31" ht="21.25" customHeight="1" x14ac:dyDescent="0.15">
      <c r="A141" s="8" t="s">
        <v>198</v>
      </c>
      <c r="B141" s="35" t="str">
        <f>VLOOKUP(A141,'Player Data'!A1:B734,2,FALSE)</f>
        <v>CBJ</v>
      </c>
      <c r="C141" s="37">
        <f>((E141)*Settings!$C$12)+(F141*Settings!$C$2)+(G141*Settings!$C$3)+(H141*Settings!$C$4)+(I141*Settings!$C$5)+(K141*Settings!$C$9)+(N141*Settings!$C$6)+(J141*Settings!$C$8)+(O141*Settings!$C$7)+(P141*Settings!$C$14)+(Q141*Settings!$C$15)+(R141*Settings!$C$16)+(S141*Settings!$C$17)+(T141*Settings!$C$18)+(U141*Settings!$C$19)</f>
        <v>2.8238012096048122</v>
      </c>
      <c r="D141" s="41">
        <f>IF(Settings!$E$12="YES",VLOOKUP(A141,'Player Data'!A1:E734,5,FALSE),82)</f>
        <v>72.38</v>
      </c>
      <c r="E141" s="39">
        <f>(VLOOKUP($A141,'The List'!$B1:$AH727,17,FALSE)-AVERAGE('The List'!R2:R727))/STDEV('The List'!R2:R727)</f>
        <v>1.946818527126531</v>
      </c>
      <c r="F141" s="39">
        <f>(VLOOKUP($A141,'The List'!$B1:$AH727,18,FALSE)-AVERAGE('The List'!S2:S727))/STDEV('The List'!S2:S727)</f>
        <v>-5.4329857192538807E-2</v>
      </c>
      <c r="G141" s="39">
        <f>(VLOOKUP($A141,'The List'!$B1:$AH727,19,FALSE)-AVERAGE('The List'!T2:T727))/STDEV('The List'!T2:T727)</f>
        <v>1.0932003403620054</v>
      </c>
      <c r="H141" s="39">
        <f>(VLOOKUP($A141,'The List'!$B1:$AH727,20,FALSE)-AVERAGE('The List'!U2:U727))/STDEV('The List'!U2:U727)</f>
        <v>0.64891663105473785</v>
      </c>
      <c r="I141" s="39">
        <f>(VLOOKUP($A141,'The List'!$B1:$AH727,21,FALSE)-AVERAGE('The List'!V2:V727))/STDEV('The List'!V2:V727)</f>
        <v>1.2073250451498998</v>
      </c>
      <c r="J141" s="39">
        <f>(VLOOKUP($A141,'The List'!$B1:$AH727,22,FALSE)-AVERAGE('The List'!W2:W727))/STDEV('The List'!W2:W727)</f>
        <v>9.8402692558340249E-2</v>
      </c>
      <c r="K141" s="39">
        <f>(VLOOKUP($A141,'The List'!$B1:$AH727,23,FALSE)-AVERAGE('The List'!X2:X727))/STDEV('The List'!X2:X727)</f>
        <v>0.83103898066914261</v>
      </c>
      <c r="L141" s="39">
        <f>(VLOOKUP($A141,'The List'!$B1:$AH727,24,FALSE)-AVERAGE('The List'!Y2:Y727))/STDEV('The List'!Y2:Y727)</f>
        <v>-0.49176875641511597</v>
      </c>
      <c r="M141" s="39">
        <f>(VLOOKUP($A141,'The List'!$B1:$AH727,25,FALSE)-AVERAGE('The List'!Z2:Z727))/STDEV('The List'!Z2:Z727)</f>
        <v>-0.32472652019695025</v>
      </c>
      <c r="N141" s="39">
        <f>(VLOOKUP($A141,'The List'!$B1:$AH727,26,FALSE)-AVERAGE('The List'!AA2:AA727))/STDEV('The List'!AA2:AA727)</f>
        <v>1.1394915513857184</v>
      </c>
      <c r="O141" s="39">
        <f>(VLOOKUP($A141,'The List'!$B1:$AH727,27,FALSE)-AVERAGE('The List'!AB2:AB727))/STDEV('The List'!AB2:AB727)</f>
        <v>-0.81877843072903522</v>
      </c>
      <c r="P141" s="39">
        <f>(VLOOKUP($A141,'The List'!$B1:$AH727,28,FALSE)-AVERAGE('The List'!AC2:AC727))/STDEV('The List'!AC2:AC727)</f>
        <v>-1.3929248507694154</v>
      </c>
      <c r="Q141" s="39">
        <f>(VLOOKUP($A141,'The List'!$B1:$AH727,29,FALSE)-AVERAGE('The List'!AD2:AD727))/STDEV('The List'!AD2:AD727)</f>
        <v>-0.4662977571027177</v>
      </c>
      <c r="R141" s="39">
        <f>(VLOOKUP($A141,'The List'!$B1:$AH727,30,FALSE)-AVERAGE('The List'!AE2:AE727))/STDEV('The List'!AE2:AE727)</f>
        <v>-0.32445075011135377</v>
      </c>
      <c r="S141" s="39">
        <f>(VLOOKUP($A141,'The List'!$B1:$AH727,31,FALSE)-AVERAGE('The List'!AF2:AF727))/STDEV('The List'!AF2:AF727)</f>
        <v>-0.55804314905918151</v>
      </c>
      <c r="T141" s="39">
        <f>(VLOOKUP($A141,'The List'!$B1:$AH727,32,FALSE)-AVERAGE('The List'!AG2:AG727))/STDEV('The List'!AG2:AG727)</f>
        <v>-0.60188453558131205</v>
      </c>
      <c r="U141" s="39">
        <f>(VLOOKUP($A141,'The List'!$B1:$AH727,33,FALSE)-AVERAGE('The List'!AH2:AH727))/STDEV('The List'!AH2:AH727)</f>
        <v>-1.2395873372913611</v>
      </c>
      <c r="V141" s="39"/>
      <c r="W141" s="43"/>
      <c r="X141" s="41"/>
      <c r="Y141" s="41"/>
      <c r="Z141" s="41"/>
      <c r="AA141" s="41"/>
      <c r="AB141" s="41"/>
      <c r="AC141" s="44"/>
      <c r="AD141" s="45"/>
      <c r="AE141" s="39"/>
    </row>
    <row r="142" spans="1:31" ht="21.25" customHeight="1" x14ac:dyDescent="0.15">
      <c r="A142" s="8" t="s">
        <v>142</v>
      </c>
      <c r="B142" s="35" t="str">
        <f>VLOOKUP(A142,'Player Data'!A1:B734,2,FALSE)</f>
        <v>EDM</v>
      </c>
      <c r="C142" s="37">
        <f>((E142)*Settings!$C$12)+(F142*Settings!$C$2)+(G142*Settings!$C$3)+(H142*Settings!$C$4)+(I142*Settings!$C$5)+(K142*Settings!$C$9)+(N142*Settings!$C$6)+(J142*Settings!$C$8)+(O142*Settings!$C$7)+(P142*Settings!$C$14)+(Q142*Settings!$C$15)+(R142*Settings!$C$16)+(S142*Settings!$C$17)+(T142*Settings!$C$18)+(U142*Settings!$C$19)</f>
        <v>8.7702779311042125</v>
      </c>
      <c r="D142" s="41">
        <f>IF(Settings!$E$12="YES",VLOOKUP(A142,'Player Data'!A1:E734,5,FALSE),82)</f>
        <v>81.692499999999995</v>
      </c>
      <c r="E142" s="39">
        <f>(VLOOKUP($A142,'The List'!$B1:$AH727,17,FALSE)-AVERAGE('The List'!R2:R727))/STDEV('The List'!R2:R727)</f>
        <v>1.3632225484719631</v>
      </c>
      <c r="F142" s="39">
        <f>(VLOOKUP($A142,'The List'!$B1:$AH727,18,FALSE)-AVERAGE('The List'!S2:S727))/STDEV('The List'!S2:S727)</f>
        <v>0.16940770062475108</v>
      </c>
      <c r="G142" s="39">
        <f>(VLOOKUP($A142,'The List'!$B1:$AH727,19,FALSE)-AVERAGE('The List'!T2:T727))/STDEV('The List'!T2:T727)</f>
        <v>1.9811370964517654</v>
      </c>
      <c r="H142" s="39">
        <f>(VLOOKUP($A142,'The List'!$B1:$AH727,20,FALSE)-AVERAGE('The List'!U2:U727))/STDEV('The List'!U2:U727)</f>
        <v>1.2978860257039797</v>
      </c>
      <c r="I142" s="39">
        <f>(VLOOKUP($A142,'The List'!$B1:$AH727,21,FALSE)-AVERAGE('The List'!V2:V727))/STDEV('The List'!V2:V727)</f>
        <v>1.5137186826218378</v>
      </c>
      <c r="J142" s="39">
        <f>(VLOOKUP($A142,'The List'!$B1:$AH727,22,FALSE)-AVERAGE('The List'!W2:W727))/STDEV('The List'!W2:W727)</f>
        <v>0.7367665351246917</v>
      </c>
      <c r="K142" s="39">
        <f>(VLOOKUP($A142,'The List'!$B1:$AH727,23,FALSE)-AVERAGE('The List'!X2:X727))/STDEV('The List'!X2:X727)</f>
        <v>1.9697959598936763</v>
      </c>
      <c r="L142" s="39">
        <f>(VLOOKUP($A142,'The List'!$B1:$AH727,24,FALSE)-AVERAGE('The List'!Y2:Y727))/STDEV('The List'!Y2:Y727)</f>
        <v>-0.53023875946259202</v>
      </c>
      <c r="M142" s="39">
        <f>(VLOOKUP($A142,'The List'!$B1:$AH727,25,FALSE)-AVERAGE('The List'!Z2:Z727))/STDEV('The List'!Z2:Z727)</f>
        <v>-0.48999309289961662</v>
      </c>
      <c r="N142" s="39">
        <f>(VLOOKUP($A142,'The List'!$B1:$AH727,26,FALSE)-AVERAGE('The List'!AA2:AA727))/STDEV('The List'!AA2:AA727)</f>
        <v>0.98642468402961736</v>
      </c>
      <c r="O142" s="39">
        <f>(VLOOKUP($A142,'The List'!$B1:$AH727,27,FALSE)-AVERAGE('The List'!AB2:AB727))/STDEV('The List'!AB2:AB727)</f>
        <v>0.32161703984529871</v>
      </c>
      <c r="P142" s="39">
        <f>(VLOOKUP($A142,'The List'!$B1:$AH727,28,FALSE)-AVERAGE('The List'!AC2:AC727))/STDEV('The List'!AC2:AC727)</f>
        <v>2.1497938074825655</v>
      </c>
      <c r="Q142" s="39">
        <f>(VLOOKUP($A142,'The List'!$B1:$AH727,29,FALSE)-AVERAGE('The List'!AD2:AD727))/STDEV('The List'!AD2:AD727)</f>
        <v>0.14900235550145416</v>
      </c>
      <c r="R142" s="39">
        <f>(VLOOKUP($A142,'The List'!$B1:$AH727,30,FALSE)-AVERAGE('The List'!AE2:AE727))/STDEV('The List'!AE2:AE727)</f>
        <v>0.32094283747233471</v>
      </c>
      <c r="S142" s="39">
        <f>(VLOOKUP($A142,'The List'!$B1:$AH727,31,FALSE)-AVERAGE('The List'!AF2:AF727))/STDEV('The List'!AF2:AF727)</f>
        <v>-0.55804314905918151</v>
      </c>
      <c r="T142" s="39">
        <f>(VLOOKUP($A142,'The List'!$B1:$AH727,32,FALSE)-AVERAGE('The List'!AG2:AG727))/STDEV('The List'!AG2:AG727)</f>
        <v>-0.60188453558131205</v>
      </c>
      <c r="U142" s="39">
        <f>(VLOOKUP($A142,'The List'!$B1:$AH727,33,FALSE)-AVERAGE('The List'!AH2:AH727))/STDEV('The List'!AH2:AH727)</f>
        <v>-1.2395873372913611</v>
      </c>
      <c r="V142" s="39"/>
      <c r="W142" s="41"/>
      <c r="X142" s="41"/>
      <c r="Y142" s="41"/>
      <c r="Z142" s="41"/>
      <c r="AA142" s="41"/>
      <c r="AB142" s="41"/>
      <c r="AC142" s="44"/>
      <c r="AD142" s="45"/>
      <c r="AE142" s="39"/>
    </row>
    <row r="143" spans="1:31" ht="21.25" customHeight="1" x14ac:dyDescent="0.15">
      <c r="A143" s="8" t="s">
        <v>246</v>
      </c>
      <c r="B143" s="35" t="str">
        <f>VLOOKUP(A143,'Player Data'!A1:B734,2,FALSE)</f>
        <v>PHI</v>
      </c>
      <c r="C143" s="37">
        <f>((E143)*Settings!$C$12)+(F143*Settings!$C$2)+(G143*Settings!$C$3)+(H143*Settings!$C$4)+(I143*Settings!$C$5)+(K143*Settings!$C$9)+(N143*Settings!$C$6)+(J143*Settings!$C$8)+(O143*Settings!$C$7)+(P143*Settings!$C$14)+(Q143*Settings!$C$15)+(R143*Settings!$C$16)+(S143*Settings!$C$17)+(T143*Settings!$C$18)+(U143*Settings!$C$19)</f>
        <v>2.1164637482350903</v>
      </c>
      <c r="D143" s="41">
        <f>IF(Settings!$E$12="YES",VLOOKUP(A143,'Player Data'!A1:E734,5,FALSE),82)</f>
        <v>76.919285714285706</v>
      </c>
      <c r="E143" s="39">
        <f>(VLOOKUP($A143,'The List'!$B1:$AH727,17,FALSE)-AVERAGE('The List'!R2:R727))/STDEV('The List'!R2:R727)</f>
        <v>0.35044178274902416</v>
      </c>
      <c r="F143" s="39">
        <f>(VLOOKUP($A143,'The List'!$B1:$AH727,18,FALSE)-AVERAGE('The List'!S2:S727))/STDEV('The List'!S2:S727)</f>
        <v>1.2071055058229274</v>
      </c>
      <c r="G143" s="39">
        <f>(VLOOKUP($A143,'The List'!$B1:$AH727,19,FALSE)-AVERAGE('The List'!T2:T727))/STDEV('The List'!T2:T727)</f>
        <v>0.19123907998553183</v>
      </c>
      <c r="H143" s="39">
        <f>(VLOOKUP($A143,'The List'!$B1:$AH727,20,FALSE)-AVERAGE('The List'!U2:U727))/STDEV('The List'!U2:U727)</f>
        <v>0.66715182341836932</v>
      </c>
      <c r="I143" s="39">
        <f>(VLOOKUP($A143,'The List'!$B1:$AH727,21,FALSE)-AVERAGE('The List'!V2:V727))/STDEV('The List'!V2:V727)</f>
        <v>1.6184467599591255</v>
      </c>
      <c r="J143" s="39">
        <f>(VLOOKUP($A143,'The List'!$B1:$AH727,22,FALSE)-AVERAGE('The List'!W2:W727))/STDEV('The List'!W2:W727)</f>
        <v>1.4795495503882186</v>
      </c>
      <c r="K143" s="39">
        <f>(VLOOKUP($A143,'The List'!$B1:$AH727,23,FALSE)-AVERAGE('The List'!X2:X727))/STDEV('The List'!X2:X727)</f>
        <v>0.69384209430358301</v>
      </c>
      <c r="L143" s="39">
        <f>(VLOOKUP($A143,'The List'!$B1:$AH727,24,FALSE)-AVERAGE('The List'!Y2:Y727))/STDEV('The List'!Y2:Y727)</f>
        <v>-0.4217640485247805</v>
      </c>
      <c r="M143" s="39">
        <f>(VLOOKUP($A143,'The List'!$B1:$AH727,25,FALSE)-AVERAGE('The List'!Z2:Z727))/STDEV('The List'!Z2:Z727)</f>
        <v>-0.58628141452042959</v>
      </c>
      <c r="N143" s="39">
        <f>(VLOOKUP($A143,'The List'!$B1:$AH727,26,FALSE)-AVERAGE('The List'!AA2:AA727))/STDEV('The List'!AA2:AA727)</f>
        <v>-8.5035297030420606E-2</v>
      </c>
      <c r="O143" s="39">
        <f>(VLOOKUP($A143,'The List'!$B1:$AH727,27,FALSE)-AVERAGE('The List'!AB2:AB727))/STDEV('The List'!AB2:AB727)</f>
        <v>0.72790314544151724</v>
      </c>
      <c r="P143" s="39">
        <f>(VLOOKUP($A143,'The List'!$B1:$AH727,28,FALSE)-AVERAGE('The List'!AC2:AC727))/STDEV('The List'!AC2:AC727)</f>
        <v>-1.5091343948056568</v>
      </c>
      <c r="Q143" s="39">
        <f>(VLOOKUP($A143,'The List'!$B1:$AH727,29,FALSE)-AVERAGE('The List'!AD2:AD727))/STDEV('The List'!AD2:AD727)</f>
        <v>-0.75162534787240776</v>
      </c>
      <c r="R143" s="39">
        <f>(VLOOKUP($A143,'The List'!$B1:$AH727,30,FALSE)-AVERAGE('The List'!AE2:AE727))/STDEV('The List'!AE2:AE727)</f>
        <v>0.72823912005444491</v>
      </c>
      <c r="S143" s="39">
        <f>(VLOOKUP($A143,'The List'!$B1:$AH727,31,FALSE)-AVERAGE('The List'!AF2:AF727))/STDEV('The List'!AF2:AF727)</f>
        <v>-0.46017243077387071</v>
      </c>
      <c r="T143" s="39">
        <f>(VLOOKUP($A143,'The List'!$B1:$AH727,32,FALSE)-AVERAGE('The List'!AG2:AG727))/STDEV('The List'!AG2:AG727)</f>
        <v>-0.52180314043354992</v>
      </c>
      <c r="U143" s="39">
        <f>(VLOOKUP($A143,'The List'!$B1:$AH727,33,FALSE)-AVERAGE('The List'!AH2:AH727))/STDEV('The List'!AH2:AH727)</f>
        <v>1.3016755241270048</v>
      </c>
      <c r="V143" s="39"/>
      <c r="W143" s="43"/>
      <c r="X143" s="41"/>
      <c r="Y143" s="41"/>
      <c r="Z143" s="41"/>
      <c r="AA143" s="41"/>
      <c r="AB143" s="41"/>
      <c r="AC143" s="44"/>
      <c r="AD143" s="45"/>
      <c r="AE143" s="39"/>
    </row>
    <row r="144" spans="1:31" ht="21.25" customHeight="1" x14ac:dyDescent="0.15">
      <c r="A144" s="8" t="s">
        <v>321</v>
      </c>
      <c r="B144" s="35" t="str">
        <f>VLOOKUP(A144,'Player Data'!A1:B734,2,FALSE)</f>
        <v>CAR</v>
      </c>
      <c r="C144" s="37">
        <f>((E144)*Settings!$C$12)+(F144*Settings!$C$2)+(G144*Settings!$C$3)+(H144*Settings!$C$4)+(I144*Settings!$C$5)+(K144*Settings!$C$9)+(N144*Settings!$C$6)+(J144*Settings!$C$8)+(O144*Settings!$C$7)+(P144*Settings!$C$14)+(Q144*Settings!$C$15)+(R144*Settings!$C$16)+(S144*Settings!$C$17)+(T144*Settings!$C$18)+(U144*Settings!$C$19)</f>
        <v>2.7026062887488203</v>
      </c>
      <c r="D144" s="41">
        <f>IF(Settings!$E$12="YES",VLOOKUP(A144,'Player Data'!A1:E734,5,FALSE),82)</f>
        <v>76.492500000000007</v>
      </c>
      <c r="E144" s="39">
        <f>(VLOOKUP($A144,'The List'!$B1:$AH727,17,FALSE)-AVERAGE('The List'!R2:R727))/STDEV('The List'!R2:R727)</f>
        <v>-0.21755574421409959</v>
      </c>
      <c r="F144" s="39">
        <f>(VLOOKUP($A144,'The List'!$B1:$AH727,18,FALSE)-AVERAGE('The List'!S2:S727))/STDEV('The List'!S2:S727)</f>
        <v>0.83956847481822405</v>
      </c>
      <c r="G144" s="39">
        <f>(VLOOKUP($A144,'The List'!$B1:$AH727,19,FALSE)-AVERAGE('The List'!T2:T727))/STDEV('The List'!T2:T727)</f>
        <v>0.42523396415913156</v>
      </c>
      <c r="H144" s="39">
        <f>(VLOOKUP($A144,'The List'!$B1:$AH727,20,FALSE)-AVERAGE('The List'!U2:U727))/STDEV('The List'!U2:U727)</f>
        <v>0.64408927741847133</v>
      </c>
      <c r="I144" s="39">
        <f>(VLOOKUP($A144,'The List'!$B1:$AH727,21,FALSE)-AVERAGE('The List'!V2:V727))/STDEV('The List'!V2:V727)</f>
        <v>0.47620265372494452</v>
      </c>
      <c r="J144" s="39">
        <f>(VLOOKUP($A144,'The List'!$B1:$AH727,22,FALSE)-AVERAGE('The List'!W2:W727))/STDEV('The List'!W2:W727)</f>
        <v>0.59302546121961197</v>
      </c>
      <c r="K144" s="39">
        <f>(VLOOKUP($A144,'The List'!$B1:$AH727,23,FALSE)-AVERAGE('The List'!X2:X727))/STDEV('The List'!X2:X727)</f>
        <v>2.7494234305865985E-2</v>
      </c>
      <c r="L144" s="39">
        <f>(VLOOKUP($A144,'The List'!$B1:$AH727,24,FALSE)-AVERAGE('The List'!Y2:Y727))/STDEV('The List'!Y2:Y727)</f>
        <v>-0.54206108969232303</v>
      </c>
      <c r="M144" s="39">
        <f>(VLOOKUP($A144,'The List'!$B1:$AH727,25,FALSE)-AVERAGE('The List'!Z2:Z727))/STDEV('The List'!Z2:Z727)</f>
        <v>-0.72151587339178536</v>
      </c>
      <c r="N144" s="39">
        <f>(VLOOKUP($A144,'The List'!$B1:$AH727,26,FALSE)-AVERAGE('The List'!AA2:AA727))/STDEV('The List'!AA2:AA727)</f>
        <v>-1.0221857083780204</v>
      </c>
      <c r="O144" s="39">
        <f>(VLOOKUP($A144,'The List'!$B1:$AH727,27,FALSE)-AVERAGE('The List'!AB2:AB727))/STDEV('The List'!AB2:AB727)</f>
        <v>-0.24779366818472801</v>
      </c>
      <c r="P144" s="39">
        <f>(VLOOKUP($A144,'The List'!$B1:$AH727,28,FALSE)-AVERAGE('The List'!AC2:AC727))/STDEV('The List'!AC2:AC727)</f>
        <v>1.9562926701186747</v>
      </c>
      <c r="Q144" s="39">
        <f>(VLOOKUP($A144,'The List'!$B1:$AH727,29,FALSE)-AVERAGE('The List'!AD2:AD727))/STDEV('The List'!AD2:AD727)</f>
        <v>2.0377502086487658</v>
      </c>
      <c r="R144" s="39">
        <f>(VLOOKUP($A144,'The List'!$B1:$AH727,30,FALSE)-AVERAGE('The List'!AE2:AE727))/STDEV('The List'!AE2:AE727)</f>
        <v>1.3083982144166597</v>
      </c>
      <c r="S144" s="39">
        <f>(VLOOKUP($A144,'The List'!$B1:$AH727,31,FALSE)-AVERAGE('The List'!AF2:AF727))/STDEV('The List'!AF2:AF727)</f>
        <v>-0.54460691320392662</v>
      </c>
      <c r="T144" s="39">
        <f>(VLOOKUP($A144,'The List'!$B1:$AH727,32,FALSE)-AVERAGE('The List'!AG2:AG727))/STDEV('The List'!AG2:AG727)</f>
        <v>-0.58245687614496044</v>
      </c>
      <c r="U144" s="39">
        <f>(VLOOKUP($A144,'The List'!$B1:$AH727,33,FALSE)-AVERAGE('The List'!AH2:AH727))/STDEV('The List'!AH2:AH727)</f>
        <v>0.66309903206451026</v>
      </c>
      <c r="V144" s="39"/>
      <c r="W144" s="43"/>
      <c r="X144" s="41"/>
      <c r="Y144" s="41"/>
      <c r="Z144" s="41"/>
      <c r="AA144" s="41"/>
      <c r="AB144" s="41"/>
      <c r="AC144" s="44"/>
      <c r="AD144" s="45"/>
      <c r="AE144" s="39"/>
    </row>
    <row r="145" spans="1:31" ht="21.25" customHeight="1" x14ac:dyDescent="0.15">
      <c r="A145" s="8" t="s">
        <v>437</v>
      </c>
      <c r="B145" s="35" t="str">
        <f>VLOOKUP(A145,'Player Data'!A1:B734,2,FALSE)</f>
        <v>WSH</v>
      </c>
      <c r="C145" s="37">
        <f>((E145)*Settings!$C$12)+(F145*Settings!$C$2)+(G145*Settings!$C$3)+(H145*Settings!$C$4)+(I145*Settings!$C$5)+(K145*Settings!$C$9)+(N145*Settings!$C$6)+(J145*Settings!$C$8)+(O145*Settings!$C$7)+(P145*Settings!$C$14)+(Q145*Settings!$C$15)+(R145*Settings!$C$16)+(S145*Settings!$C$17)+(T145*Settings!$C$18)+(U145*Settings!$C$19)</f>
        <v>-0.86429365294083604</v>
      </c>
      <c r="D145" s="41">
        <f>IF(Settings!$E$12="YES",VLOOKUP(A145,'Player Data'!A1:E734,5,FALSE),82)</f>
        <v>53.6</v>
      </c>
      <c r="E145" s="39">
        <f>(VLOOKUP($A145,'The List'!$B1:$AH727,17,FALSE)-AVERAGE('The List'!R2:R727))/STDEV('The List'!R2:R727)</f>
        <v>-0.43108391703424687</v>
      </c>
      <c r="F145" s="39">
        <f>(VLOOKUP($A145,'The List'!$B1:$AH727,18,FALSE)-AVERAGE('The List'!S2:S727))/STDEV('The List'!S2:S727)</f>
        <v>0.47340778034174175</v>
      </c>
      <c r="G145" s="39">
        <f>(VLOOKUP($A145,'The List'!$B1:$AH727,19,FALSE)-AVERAGE('The List'!T2:T727))/STDEV('The List'!T2:T727)</f>
        <v>-0.407196957971871</v>
      </c>
      <c r="H145" s="39">
        <f>(VLOOKUP($A145,'The List'!$B1:$AH727,20,FALSE)-AVERAGE('The List'!U2:U727))/STDEV('The List'!U2:U727)</f>
        <v>-3.5488350752709667E-2</v>
      </c>
      <c r="I145" s="39">
        <f>(VLOOKUP($A145,'The List'!$B1:$AH727,21,FALSE)-AVERAGE('The List'!V2:V727))/STDEV('The List'!V2:V727)</f>
        <v>0.23618071375788888</v>
      </c>
      <c r="J145" s="39">
        <f>(VLOOKUP($A145,'The List'!$B1:$AH727,22,FALSE)-AVERAGE('The List'!W2:W727))/STDEV('The List'!W2:W727)</f>
        <v>0.199174039500566</v>
      </c>
      <c r="K145" s="39">
        <f>(VLOOKUP($A145,'The List'!$B1:$AH727,23,FALSE)-AVERAGE('The List'!X2:X727))/STDEV('The List'!X2:X727)</f>
        <v>1.0299967382054097E-2</v>
      </c>
      <c r="L145" s="39">
        <f>(VLOOKUP($A145,'The List'!$B1:$AH727,24,FALSE)-AVERAGE('The List'!Y2:Y727))/STDEV('The List'!Y2:Y727)</f>
        <v>-0.54402834717551152</v>
      </c>
      <c r="M145" s="39">
        <f>(VLOOKUP($A145,'The List'!$B1:$AH727,25,FALSE)-AVERAGE('The List'!Z2:Z727))/STDEV('The List'!Z2:Z727)</f>
        <v>-0.72372514007823274</v>
      </c>
      <c r="N145" s="39">
        <f>(VLOOKUP($A145,'The List'!$B1:$AH727,26,FALSE)-AVERAGE('The List'!AA2:AA727))/STDEV('The List'!AA2:AA727)</f>
        <v>-0.89525618503765592</v>
      </c>
      <c r="O145" s="39">
        <f>(VLOOKUP($A145,'The List'!$B1:$AH727,27,FALSE)-AVERAGE('The List'!AB2:AB727))/STDEV('The List'!AB2:AB727)</f>
        <v>-0.96316251550927412</v>
      </c>
      <c r="P145" s="39">
        <f>(VLOOKUP($A145,'The List'!$B1:$AH727,28,FALSE)-AVERAGE('The List'!AC2:AC727))/STDEV('The List'!AC2:AC727)</f>
        <v>-0.28172897141299386</v>
      </c>
      <c r="Q145" s="39">
        <f>(VLOOKUP($A145,'The List'!$B1:$AH727,29,FALSE)-AVERAGE('The List'!AD2:AD727))/STDEV('The List'!AD2:AD727)</f>
        <v>-0.78052480787285372</v>
      </c>
      <c r="R145" s="39">
        <f>(VLOOKUP($A145,'The List'!$B1:$AH727,30,FALSE)-AVERAGE('The List'!AE2:AE727))/STDEV('The List'!AE2:AE727)</f>
        <v>0.22792429000117154</v>
      </c>
      <c r="S145" s="39">
        <f>(VLOOKUP($A145,'The List'!$B1:$AH727,31,FALSE)-AVERAGE('The List'!AF2:AF727))/STDEV('The List'!AF2:AF727)</f>
        <v>-0.52345421158469219</v>
      </c>
      <c r="T145" s="39">
        <f>(VLOOKUP($A145,'The List'!$B1:$AH727,32,FALSE)-AVERAGE('The List'!AG2:AG727))/STDEV('The List'!AG2:AG727)</f>
        <v>-0.52352349038153734</v>
      </c>
      <c r="U145" s="39">
        <f>(VLOOKUP($A145,'The List'!$B1:$AH727,33,FALSE)-AVERAGE('The List'!AH2:AH727))/STDEV('The List'!AH2:AH727)</f>
        <v>0.193041981827385</v>
      </c>
      <c r="V145" s="39"/>
      <c r="W145" s="43"/>
      <c r="X145" s="41"/>
      <c r="Y145" s="41"/>
      <c r="Z145" s="41"/>
      <c r="AA145" s="41"/>
      <c r="AB145" s="41"/>
      <c r="AC145" s="44"/>
      <c r="AD145" s="45"/>
      <c r="AE145" s="39"/>
    </row>
    <row r="146" spans="1:31" ht="21.25" customHeight="1" x14ac:dyDescent="0.15">
      <c r="A146" s="8" t="s">
        <v>233</v>
      </c>
      <c r="B146" s="35" t="str">
        <f>VLOOKUP(A146,'Player Data'!A1:B734,2,FALSE)</f>
        <v>LAK</v>
      </c>
      <c r="C146" s="37">
        <f>((E146)*Settings!$C$12)+(F146*Settings!$C$2)+(G146*Settings!$C$3)+(H146*Settings!$C$4)+(I146*Settings!$C$5)+(K146*Settings!$C$9)+(N146*Settings!$C$6)+(J146*Settings!$C$8)+(O146*Settings!$C$7)+(P146*Settings!$C$14)+(Q146*Settings!$C$15)+(R146*Settings!$C$16)+(S146*Settings!$C$17)+(T146*Settings!$C$18)+(U146*Settings!$C$19)</f>
        <v>3.5236178423222118</v>
      </c>
      <c r="D146" s="41">
        <f>IF(Settings!$E$12="YES",VLOOKUP(A146,'Player Data'!A1:E734,5,FALSE),82)</f>
        <v>75.94</v>
      </c>
      <c r="E146" s="39">
        <f>(VLOOKUP($A146,'The List'!$B1:$AH727,17,FALSE)-AVERAGE('The List'!R2:R727))/STDEV('The List'!R2:R727)</f>
        <v>2.6092807312241404</v>
      </c>
      <c r="F146" s="39">
        <f>(VLOOKUP($A146,'The List'!$B1:$AH727,18,FALSE)-AVERAGE('The List'!S2:S727))/STDEV('The List'!S2:S727)</f>
        <v>-0.40969619708849186</v>
      </c>
      <c r="G146" s="39">
        <f>(VLOOKUP($A146,'The List'!$B1:$AH727,19,FALSE)-AVERAGE('The List'!T2:T727))/STDEV('The List'!T2:T727)</f>
        <v>1.1084868761257571</v>
      </c>
      <c r="H146" s="39">
        <f>(VLOOKUP($A146,'The List'!$B1:$AH727,20,FALSE)-AVERAGE('The List'!U2:U727))/STDEV('The List'!U2:U727)</f>
        <v>0.49662241296580245</v>
      </c>
      <c r="I146" s="39">
        <f>(VLOOKUP($A146,'The List'!$B1:$AH727,21,FALSE)-AVERAGE('The List'!V2:V727))/STDEV('The List'!V2:V727)</f>
        <v>0.20274307240006442</v>
      </c>
      <c r="J146" s="39">
        <f>(VLOOKUP($A146,'The List'!$B1:$AH727,22,FALSE)-AVERAGE('The List'!W2:W727))/STDEV('The List'!W2:W727)</f>
        <v>0.50225885608522391</v>
      </c>
      <c r="K146" s="39">
        <f>(VLOOKUP($A146,'The List'!$B1:$AH727,23,FALSE)-AVERAGE('The List'!X2:X727))/STDEV('The List'!X2:X727)</f>
        <v>1.4731815349158857</v>
      </c>
      <c r="L146" s="39">
        <f>(VLOOKUP($A146,'The List'!$B1:$AH727,24,FALSE)-AVERAGE('The List'!Y2:Y727))/STDEV('The List'!Y2:Y727)</f>
        <v>-0.50082827088751924</v>
      </c>
      <c r="M146" s="39">
        <f>(VLOOKUP($A146,'The List'!$B1:$AH727,25,FALSE)-AVERAGE('The List'!Z2:Z727))/STDEV('The List'!Z2:Z727)</f>
        <v>-0.39184910605768597</v>
      </c>
      <c r="N146" s="39">
        <f>(VLOOKUP($A146,'The List'!$B1:$AH727,26,FALSE)-AVERAGE('The List'!AA2:AA727))/STDEV('The List'!AA2:AA727)</f>
        <v>1.2081034701798365</v>
      </c>
      <c r="O146" s="39">
        <f>(VLOOKUP($A146,'The List'!$B1:$AH727,27,FALSE)-AVERAGE('The List'!AB2:AB727))/STDEV('The List'!AB2:AB727)</f>
        <v>0.39554106070733813</v>
      </c>
      <c r="P146" s="39">
        <f>(VLOOKUP($A146,'The List'!$B1:$AH727,28,FALSE)-AVERAGE('The List'!AC2:AC727))/STDEV('The List'!AC2:AC727)</f>
        <v>-5.9200914210840047E-2</v>
      </c>
      <c r="Q146" s="39">
        <f>(VLOOKUP($A146,'The List'!$B1:$AH727,29,FALSE)-AVERAGE('The List'!AD2:AD727))/STDEV('The List'!AD2:AD727)</f>
        <v>0.63902833182207708</v>
      </c>
      <c r="R146" s="39">
        <f>(VLOOKUP($A146,'The List'!$B1:$AH727,30,FALSE)-AVERAGE('The List'!AE2:AE727))/STDEV('The List'!AE2:AE727)</f>
        <v>-0.33458972733691555</v>
      </c>
      <c r="S146" s="39">
        <f>(VLOOKUP($A146,'The List'!$B1:$AH727,31,FALSE)-AVERAGE('The List'!AF2:AF727))/STDEV('The List'!AF2:AF727)</f>
        <v>-0.55804314905918151</v>
      </c>
      <c r="T146" s="39">
        <f>(VLOOKUP($A146,'The List'!$B1:$AH727,32,FALSE)-AVERAGE('The List'!AG2:AG727))/STDEV('The List'!AG2:AG727)</f>
        <v>-0.60188453558131205</v>
      </c>
      <c r="U146" s="39">
        <f>(VLOOKUP($A146,'The List'!$B1:$AH727,33,FALSE)-AVERAGE('The List'!AH2:AH727))/STDEV('The List'!AH2:AH727)</f>
        <v>-1.2395873372913611</v>
      </c>
      <c r="V146" s="39"/>
      <c r="W146" s="41"/>
      <c r="X146" s="39"/>
      <c r="Y146" s="39"/>
      <c r="Z146" s="39"/>
      <c r="AA146" s="39"/>
      <c r="AB146" s="39"/>
      <c r="AC146" s="39"/>
      <c r="AD146" s="39"/>
      <c r="AE146" s="39"/>
    </row>
    <row r="147" spans="1:31" ht="21.25" customHeight="1" x14ac:dyDescent="0.15">
      <c r="A147" s="8" t="s">
        <v>356</v>
      </c>
      <c r="B147" s="35" t="str">
        <f>VLOOKUP(A147,'Player Data'!A1:B734,2,FALSE)</f>
        <v>CBJ</v>
      </c>
      <c r="C147" s="37">
        <f>((E147)*Settings!$C$12)+(F147*Settings!$C$2)+(G147*Settings!$C$3)+(H147*Settings!$C$4)+(I147*Settings!$C$5)+(K147*Settings!$C$9)+(N147*Settings!$C$6)+(J147*Settings!$C$8)+(O147*Settings!$C$7)+(P147*Settings!$C$14)+(Q147*Settings!$C$15)+(R147*Settings!$C$16)+(S147*Settings!$C$17)+(T147*Settings!$C$18)+(U147*Settings!$C$19)</f>
        <v>1.6333764455486004</v>
      </c>
      <c r="D147" s="41">
        <f>IF(Settings!$E$12="YES",VLOOKUP(A147,'Player Data'!A1:E734,5,FALSE),82)</f>
        <v>78</v>
      </c>
      <c r="E147" s="39">
        <f>(VLOOKUP($A147,'The List'!$B1:$AH727,17,FALSE)-AVERAGE('The List'!R2:R727))/STDEV('The List'!R2:R727)</f>
        <v>-0.12604579591202264</v>
      </c>
      <c r="F147" s="39">
        <f>(VLOOKUP($A147,'The List'!$B1:$AH727,18,FALSE)-AVERAGE('The List'!S2:S727))/STDEV('The List'!S2:S727)</f>
        <v>0.75494833700030961</v>
      </c>
      <c r="G147" s="39">
        <f>(VLOOKUP($A147,'The List'!$B1:$AH727,19,FALSE)-AVERAGE('The List'!T2:T727))/STDEV('The List'!T2:T727)</f>
        <v>0.52258121543486036</v>
      </c>
      <c r="H147" s="39">
        <f>(VLOOKUP($A147,'The List'!$B1:$AH727,20,FALSE)-AVERAGE('The List'!U2:U727))/STDEV('The List'!U2:U727)</f>
        <v>0.66556809209395873</v>
      </c>
      <c r="I147" s="39">
        <f>(VLOOKUP($A147,'The List'!$B1:$AH727,21,FALSE)-AVERAGE('The List'!V2:V727))/STDEV('The List'!V2:V727)</f>
        <v>0.43847307438101457</v>
      </c>
      <c r="J147" s="39">
        <f>(VLOOKUP($A147,'The List'!$B1:$AH727,22,FALSE)-AVERAGE('The List'!W2:W727))/STDEV('The List'!W2:W727)</f>
        <v>0.80660066671803821</v>
      </c>
      <c r="K147" s="39">
        <f>(VLOOKUP($A147,'The List'!$B1:$AH727,23,FALSE)-AVERAGE('The List'!X2:X727))/STDEV('The List'!X2:X727)</f>
        <v>0.61092719231361425</v>
      </c>
      <c r="L147" s="39">
        <f>(VLOOKUP($A147,'The List'!$B1:$AH727,24,FALSE)-AVERAGE('The List'!Y2:Y727))/STDEV('The List'!Y2:Y727)</f>
        <v>-0.54402834717551152</v>
      </c>
      <c r="M147" s="39">
        <f>(VLOOKUP($A147,'The List'!$B1:$AH727,25,FALSE)-AVERAGE('The List'!Z2:Z727))/STDEV('The List'!Z2:Z727)</f>
        <v>-0.72372514007823274</v>
      </c>
      <c r="N147" s="39">
        <f>(VLOOKUP($A147,'The List'!$B1:$AH727,26,FALSE)-AVERAGE('The List'!AA2:AA727))/STDEV('The List'!AA2:AA727)</f>
        <v>-0.64303628306176575</v>
      </c>
      <c r="O147" s="39">
        <f>(VLOOKUP($A147,'The List'!$B1:$AH727,27,FALSE)-AVERAGE('The List'!AB2:AB727))/STDEV('The List'!AB2:AB727)</f>
        <v>-0.62088703420850655</v>
      </c>
      <c r="P147" s="39">
        <f>(VLOOKUP($A147,'The List'!$B1:$AH727,28,FALSE)-AVERAGE('The List'!AC2:AC727))/STDEV('The List'!AC2:AC727)</f>
        <v>-5.0517090519432845E-2</v>
      </c>
      <c r="Q147" s="39">
        <f>(VLOOKUP($A147,'The List'!$B1:$AH727,29,FALSE)-AVERAGE('The List'!AD2:AD727))/STDEV('The List'!AD2:AD727)</f>
        <v>0.35225730383995296</v>
      </c>
      <c r="R147" s="39">
        <f>(VLOOKUP($A147,'The List'!$B1:$AH727,30,FALSE)-AVERAGE('The List'!AE2:AE727))/STDEV('The List'!AE2:AE727)</f>
        <v>0.24201677702434529</v>
      </c>
      <c r="S147" s="39">
        <f>(VLOOKUP($A147,'The List'!$B1:$AH727,31,FALSE)-AVERAGE('The List'!AF2:AF727))/STDEV('The List'!AF2:AF727)</f>
        <v>1.2602394012969191</v>
      </c>
      <c r="T147" s="39">
        <f>(VLOOKUP($A147,'The List'!$B1:$AH727,32,FALSE)-AVERAGE('The List'!AG2:AG727))/STDEV('The List'!AG2:AG727)</f>
        <v>2.0395954390976185</v>
      </c>
      <c r="U147" s="39">
        <f>(VLOOKUP($A147,'The List'!$B1:$AH727,33,FALSE)-AVERAGE('The List'!AH2:AH727))/STDEV('The List'!AH2:AH727)</f>
        <v>0.65791966189944151</v>
      </c>
      <c r="V147" s="39"/>
      <c r="W147" s="41"/>
      <c r="X147" s="39"/>
      <c r="Y147" s="39"/>
      <c r="Z147" s="39"/>
      <c r="AA147" s="39"/>
      <c r="AB147" s="39"/>
      <c r="AC147" s="39"/>
      <c r="AD147" s="39"/>
      <c r="AE147" s="39"/>
    </row>
    <row r="148" spans="1:31" ht="21.25" customHeight="1" x14ac:dyDescent="0.15">
      <c r="A148" s="8" t="s">
        <v>310</v>
      </c>
      <c r="B148" s="35" t="str">
        <f>VLOOKUP(A148,'Player Data'!A1:B734,2,FALSE)</f>
        <v>WSH</v>
      </c>
      <c r="C148" s="37">
        <f>((E148)*Settings!$C$12)+(F148*Settings!$C$2)+(G148*Settings!$C$3)+(H148*Settings!$C$4)+(I148*Settings!$C$5)+(K148*Settings!$C$9)+(N148*Settings!$C$6)+(J148*Settings!$C$8)+(O148*Settings!$C$7)+(P148*Settings!$C$14)+(Q148*Settings!$C$15)+(R148*Settings!$C$16)+(S148*Settings!$C$17)+(T148*Settings!$C$18)+(U148*Settings!$C$19)</f>
        <v>0.39868648346332236</v>
      </c>
      <c r="D148" s="41">
        <f>IF(Settings!$E$12="YES",VLOOKUP(A148,'Player Data'!A1:E734,5,FALSE),82)</f>
        <v>70.599999999999994</v>
      </c>
      <c r="E148" s="39">
        <f>(VLOOKUP($A148,'The List'!$B1:$AH727,17,FALSE)-AVERAGE('The List'!R2:R727))/STDEV('The List'!R2:R727)</f>
        <v>0.48119721151484185</v>
      </c>
      <c r="F148" s="39">
        <f>(VLOOKUP($A148,'The List'!$B1:$AH727,18,FALSE)-AVERAGE('The List'!S2:S727))/STDEV('The List'!S2:S727)</f>
        <v>0.82889739453731226</v>
      </c>
      <c r="G148" s="39">
        <f>(VLOOKUP($A148,'The List'!$B1:$AH727,19,FALSE)-AVERAGE('The List'!T2:T727))/STDEV('The List'!T2:T727)</f>
        <v>0.10197051118601559</v>
      </c>
      <c r="H148" s="39">
        <f>(VLOOKUP($A148,'The List'!$B1:$AH727,20,FALSE)-AVERAGE('The List'!U2:U727))/STDEV('The List'!U2:U727)</f>
        <v>0.44003535182443831</v>
      </c>
      <c r="I148" s="39">
        <f>(VLOOKUP($A148,'The List'!$B1:$AH727,21,FALSE)-AVERAGE('The List'!V2:V727))/STDEV('The List'!V2:V727)</f>
        <v>0.37414581068004671</v>
      </c>
      <c r="J148" s="39">
        <f>(VLOOKUP($A148,'The List'!$B1:$AH727,22,FALSE)-AVERAGE('The List'!W2:W727))/STDEV('The List'!W2:W727)</f>
        <v>0.22979281770744173</v>
      </c>
      <c r="K148" s="39">
        <f>(VLOOKUP($A148,'The List'!$B1:$AH727,23,FALSE)-AVERAGE('The List'!X2:X727))/STDEV('The List'!X2:X727)</f>
        <v>-6.4002526743691834E-2</v>
      </c>
      <c r="L148" s="39">
        <f>(VLOOKUP($A148,'The List'!$B1:$AH727,24,FALSE)-AVERAGE('The List'!Y2:Y727))/STDEV('The List'!Y2:Y727)</f>
        <v>1.7201065501050001</v>
      </c>
      <c r="M148" s="39">
        <f>(VLOOKUP($A148,'The List'!$B1:$AH727,25,FALSE)-AVERAGE('The List'!Z2:Z727))/STDEV('The List'!Z2:Z727)</f>
        <v>1.279393501534853</v>
      </c>
      <c r="N148" s="39">
        <f>(VLOOKUP($A148,'The List'!$B1:$AH727,26,FALSE)-AVERAGE('The List'!AA2:AA727))/STDEV('The List'!AA2:AA727)</f>
        <v>-6.090229853377982E-2</v>
      </c>
      <c r="O148" s="39">
        <f>(VLOOKUP($A148,'The List'!$B1:$AH727,27,FALSE)-AVERAGE('The List'!AB2:AB727))/STDEV('The List'!AB2:AB727)</f>
        <v>2.1102044727527249</v>
      </c>
      <c r="P148" s="39">
        <f>(VLOOKUP($A148,'The List'!$B1:$AH727,28,FALSE)-AVERAGE('The List'!AC2:AC727))/STDEV('The List'!AC2:AC727)</f>
        <v>-0.78142240766258064</v>
      </c>
      <c r="Q148" s="39">
        <f>(VLOOKUP($A148,'The List'!$B1:$AH727,29,FALSE)-AVERAGE('The List'!AD2:AD727))/STDEV('The List'!AD2:AD727)</f>
        <v>3.3599406834034293</v>
      </c>
      <c r="R148" s="39">
        <f>(VLOOKUP($A148,'The List'!$B1:$AH727,30,FALSE)-AVERAGE('The List'!AE2:AE727))/STDEV('The List'!AE2:AE727)</f>
        <v>0.51355829690803179</v>
      </c>
      <c r="S148" s="39">
        <f>(VLOOKUP($A148,'The List'!$B1:$AH727,31,FALSE)-AVERAGE('The List'!AF2:AF727))/STDEV('The List'!AF2:AF727)</f>
        <v>-0.48226085958645781</v>
      </c>
      <c r="T148" s="39">
        <f>(VLOOKUP($A148,'The List'!$B1:$AH727,32,FALSE)-AVERAGE('The List'!AG2:AG727))/STDEV('The List'!AG2:AG727)</f>
        <v>-0.48219863722782902</v>
      </c>
      <c r="U148" s="39">
        <f>(VLOOKUP($A148,'The List'!$B1:$AH727,33,FALSE)-AVERAGE('The List'!AH2:AH727))/STDEV('The List'!AH2:AH727)</f>
        <v>0.56662163558738932</v>
      </c>
      <c r="V148" s="39"/>
      <c r="W148" s="43"/>
      <c r="X148" s="41"/>
      <c r="Y148" s="41"/>
      <c r="Z148" s="41"/>
      <c r="AA148" s="41"/>
      <c r="AB148" s="41"/>
      <c r="AC148" s="44"/>
      <c r="AD148" s="45"/>
      <c r="AE148" s="39"/>
    </row>
    <row r="149" spans="1:31" ht="21.25" customHeight="1" x14ac:dyDescent="0.15">
      <c r="A149" s="8" t="s">
        <v>345</v>
      </c>
      <c r="B149" s="35" t="str">
        <f>VLOOKUP(A149,'Player Data'!A1:B734,2,FALSE)</f>
        <v>SJS</v>
      </c>
      <c r="C149" s="37">
        <f>((E149)*Settings!$C$12)+(F149*Settings!$C$2)+(G149*Settings!$C$3)+(H149*Settings!$C$4)+(I149*Settings!$C$5)+(K149*Settings!$C$9)+(N149*Settings!$C$6)+(J149*Settings!$C$8)+(O149*Settings!$C$7)+(P149*Settings!$C$14)+(Q149*Settings!$C$15)+(R149*Settings!$C$16)+(S149*Settings!$C$17)+(T149*Settings!$C$18)+(U149*Settings!$C$19)</f>
        <v>0.83820879308226737</v>
      </c>
      <c r="D149" s="41">
        <f>IF(Settings!$E$12="YES",VLOOKUP(A149,'Player Data'!A1:E734,5,FALSE),82)</f>
        <v>72.916428571428597</v>
      </c>
      <c r="E149" s="39">
        <f>(VLOOKUP($A149,'The List'!$B1:$AH727,17,FALSE)-AVERAGE('The List'!R2:R727))/STDEV('The List'!R2:R727)</f>
        <v>0.27148951886384881</v>
      </c>
      <c r="F149" s="39">
        <f>(VLOOKUP($A149,'The List'!$B1:$AH727,18,FALSE)-AVERAGE('The List'!S2:S727))/STDEV('The List'!S2:S727)</f>
        <v>0.14528188393063504</v>
      </c>
      <c r="G149" s="39">
        <f>(VLOOKUP($A149,'The List'!$B1:$AH727,19,FALSE)-AVERAGE('The List'!T2:T727))/STDEV('The List'!T2:T727)</f>
        <v>0.71211465247384231</v>
      </c>
      <c r="H149" s="39">
        <f>(VLOOKUP($A149,'The List'!$B1:$AH727,20,FALSE)-AVERAGE('The List'!U2:U727))/STDEV('The List'!U2:U727)</f>
        <v>0.50492395435496196</v>
      </c>
      <c r="I149" s="39">
        <f>(VLOOKUP($A149,'The List'!$B1:$AH727,21,FALSE)-AVERAGE('The List'!V2:V727))/STDEV('The List'!V2:V727)</f>
        <v>-6.3746620106185398E-2</v>
      </c>
      <c r="J149" s="39">
        <f>(VLOOKUP($A149,'The List'!$B1:$AH727,22,FALSE)-AVERAGE('The List'!W2:W727))/STDEV('The List'!W2:W727)</f>
        <v>0.32303815111642931</v>
      </c>
      <c r="K149" s="39">
        <f>(VLOOKUP($A149,'The List'!$B1:$AH727,23,FALSE)-AVERAGE('The List'!X2:X727))/STDEV('The List'!X2:X727)</f>
        <v>0.63793227337461311</v>
      </c>
      <c r="L149" s="39">
        <f>(VLOOKUP($A149,'The List'!$B1:$AH727,24,FALSE)-AVERAGE('The List'!Y2:Y727))/STDEV('The List'!Y2:Y727)</f>
        <v>-0.53100084006036086</v>
      </c>
      <c r="M149" s="39">
        <f>(VLOOKUP($A149,'The List'!$B1:$AH727,25,FALSE)-AVERAGE('The List'!Z2:Z727))/STDEV('The List'!Z2:Z727)</f>
        <v>-0.70883080045759683</v>
      </c>
      <c r="N149" s="39">
        <f>(VLOOKUP($A149,'The List'!$B1:$AH727,26,FALSE)-AVERAGE('The List'!AA2:AA727))/STDEV('The List'!AA2:AA727)</f>
        <v>-0.52564038602163043</v>
      </c>
      <c r="O149" s="39">
        <f>(VLOOKUP($A149,'The List'!$B1:$AH727,27,FALSE)-AVERAGE('The List'!AB2:AB727))/STDEV('The List'!AB2:AB727)</f>
        <v>-0.90577278058776645</v>
      </c>
      <c r="P149" s="39">
        <f>(VLOOKUP($A149,'The List'!$B1:$AH727,28,FALSE)-AVERAGE('The List'!AC2:AC727))/STDEV('The List'!AC2:AC727)</f>
        <v>-6.7733010569007296E-2</v>
      </c>
      <c r="Q149" s="39">
        <f>(VLOOKUP($A149,'The List'!$B1:$AH727,29,FALSE)-AVERAGE('The List'!AD2:AD727))/STDEV('The List'!AD2:AD727)</f>
        <v>-0.67547161082458052</v>
      </c>
      <c r="R149" s="39">
        <f>(VLOOKUP($A149,'The List'!$B1:$AH727,30,FALSE)-AVERAGE('The List'!AE2:AE727))/STDEV('The List'!AE2:AE727)</f>
        <v>-5.0616610873836794E-2</v>
      </c>
      <c r="S149" s="39">
        <f>(VLOOKUP($A149,'The List'!$B1:$AH727,31,FALSE)-AVERAGE('The List'!AF2:AF727))/STDEV('The List'!AF2:AF727)</f>
        <v>-0.55578837105797541</v>
      </c>
      <c r="T149" s="39">
        <f>(VLOOKUP($A149,'The List'!$B1:$AH727,32,FALSE)-AVERAGE('The List'!AG2:AG727))/STDEV('The List'!AG2:AG727)</f>
        <v>-0.59043479022613621</v>
      </c>
      <c r="U149" s="39">
        <f>(VLOOKUP($A149,'The List'!$B1:$AH727,33,FALSE)-AVERAGE('The List'!AH2:AH727))/STDEV('The List'!AH2:AH727)</f>
        <v>-0.464263972215403</v>
      </c>
      <c r="V149" s="39"/>
      <c r="W149" s="43"/>
      <c r="X149" s="41"/>
      <c r="Y149" s="41"/>
      <c r="Z149" s="41"/>
      <c r="AA149" s="41"/>
      <c r="AB149" s="41"/>
      <c r="AC149" s="44"/>
      <c r="AD149" s="45"/>
      <c r="AE149" s="39"/>
    </row>
    <row r="150" spans="1:31" ht="21.25" customHeight="1" x14ac:dyDescent="0.15">
      <c r="A150" s="8" t="s">
        <v>274</v>
      </c>
      <c r="B150" s="35" t="str">
        <f>VLOOKUP(A150,'Player Data'!A1:B734,2,FALSE)</f>
        <v>CGY</v>
      </c>
      <c r="C150" s="37">
        <f>((E150)*Settings!$C$12)+(F150*Settings!$C$2)+(G150*Settings!$C$3)+(H150*Settings!$C$4)+(I150*Settings!$C$5)+(K150*Settings!$C$9)+(N150*Settings!$C$6)+(J150*Settings!$C$8)+(O150*Settings!$C$7)+(P150*Settings!$C$14)+(Q150*Settings!$C$15)+(R150*Settings!$C$16)+(S150*Settings!$C$17)+(T150*Settings!$C$18)+(U150*Settings!$C$19)</f>
        <v>3.3634718235644696</v>
      </c>
      <c r="D150" s="41">
        <f>IF(Settings!$E$12="YES",VLOOKUP(A150,'Player Data'!A1:E734,5,FALSE),82)</f>
        <v>81.8</v>
      </c>
      <c r="E150" s="39">
        <f>(VLOOKUP($A150,'The List'!$B1:$AH727,17,FALSE)-AVERAGE('The List'!R2:R727))/STDEV('The List'!R2:R727)</f>
        <v>0.29040472368503822</v>
      </c>
      <c r="F150" s="39">
        <f>(VLOOKUP($A150,'The List'!$B1:$AH727,18,FALSE)-AVERAGE('The List'!S2:S727))/STDEV('The List'!S2:S727)</f>
        <v>1.2627537367429009</v>
      </c>
      <c r="G150" s="39">
        <f>(VLOOKUP($A150,'The List'!$B1:$AH727,19,FALSE)-AVERAGE('The List'!T2:T727))/STDEV('The List'!T2:T727)</f>
        <v>0.30171580667411185</v>
      </c>
      <c r="H150" s="39">
        <f>(VLOOKUP($A150,'The List'!$B1:$AH727,20,FALSE)-AVERAGE('The List'!U2:U727))/STDEV('The List'!U2:U727)</f>
        <v>0.76055202699789792</v>
      </c>
      <c r="I150" s="39">
        <f>(VLOOKUP($A150,'The List'!$B1:$AH727,21,FALSE)-AVERAGE('The List'!V2:V727))/STDEV('The List'!V2:V727)</f>
        <v>0.9742815050342748</v>
      </c>
      <c r="J150" s="39">
        <f>(VLOOKUP($A150,'The List'!$B1:$AH727,22,FALSE)-AVERAGE('The List'!W2:W727))/STDEV('The List'!W2:W727)</f>
        <v>0.97245468786573375</v>
      </c>
      <c r="K150" s="39">
        <f>(VLOOKUP($A150,'The List'!$B1:$AH727,23,FALSE)-AVERAGE('The List'!X2:X727))/STDEV('The List'!X2:X727)</f>
        <v>0.40193656018646468</v>
      </c>
      <c r="L150" s="39">
        <f>(VLOOKUP($A150,'The List'!$B1:$AH727,24,FALSE)-AVERAGE('The List'!Y2:Y727))/STDEV('The List'!Y2:Y727)</f>
        <v>0.69777226127451564</v>
      </c>
      <c r="M150" s="39">
        <f>(VLOOKUP($A150,'The List'!$B1:$AH727,25,FALSE)-AVERAGE('The List'!Z2:Z727))/STDEV('The List'!Z2:Z727)</f>
        <v>1.28372223424291</v>
      </c>
      <c r="N150" s="39">
        <f>(VLOOKUP($A150,'The List'!$B1:$AH727,26,FALSE)-AVERAGE('The List'!AA2:AA727))/STDEV('The List'!AA2:AA727)</f>
        <v>-0.73632736659541098</v>
      </c>
      <c r="O150" s="39">
        <f>(VLOOKUP($A150,'The List'!$B1:$AH727,27,FALSE)-AVERAGE('The List'!AB2:AB727))/STDEV('The List'!AB2:AB727)</f>
        <v>-0.1530358718379923</v>
      </c>
      <c r="P150" s="39">
        <f>(VLOOKUP($A150,'The List'!$B1:$AH727,28,FALSE)-AVERAGE('The List'!AC2:AC727))/STDEV('The List'!AC2:AC727)</f>
        <v>1.1591115815221282</v>
      </c>
      <c r="Q150" s="39">
        <f>(VLOOKUP($A150,'The List'!$B1:$AH727,29,FALSE)-AVERAGE('The List'!AD2:AD727))/STDEV('The List'!AD2:AD727)</f>
        <v>0.42256210417505086</v>
      </c>
      <c r="R150" s="39">
        <f>(VLOOKUP($A150,'The List'!$B1:$AH727,30,FALSE)-AVERAGE('The List'!AE2:AE727))/STDEV('The List'!AE2:AE727)</f>
        <v>1.5985513792207409</v>
      </c>
      <c r="S150" s="39">
        <f>(VLOOKUP($A150,'The List'!$B1:$AH727,31,FALSE)-AVERAGE('The List'!AF2:AF727))/STDEV('The List'!AF2:AF727)</f>
        <v>-0.52232300129506692</v>
      </c>
      <c r="T150" s="39">
        <f>(VLOOKUP($A150,'The List'!$B1:$AH727,32,FALSE)-AVERAGE('The List'!AG2:AG727))/STDEV('The List'!AG2:AG727)</f>
        <v>-0.52279338136318898</v>
      </c>
      <c r="U150" s="39">
        <f>(VLOOKUP($A150,'The List'!$B1:$AH727,33,FALSE)-AVERAGE('The List'!AH2:AH727))/STDEV('The List'!AH2:AH727)</f>
        <v>0.21554597383893623</v>
      </c>
      <c r="V150" s="39"/>
      <c r="W150" s="43"/>
      <c r="X150" s="41"/>
      <c r="Y150" s="41"/>
      <c r="Z150" s="41"/>
      <c r="AA150" s="41"/>
      <c r="AB150" s="41"/>
      <c r="AC150" s="44"/>
      <c r="AD150" s="45"/>
      <c r="AE150" s="39"/>
    </row>
    <row r="151" spans="1:31" ht="21.25" customHeight="1" x14ac:dyDescent="0.15">
      <c r="A151" s="8" t="s">
        <v>412</v>
      </c>
      <c r="B151" s="35" t="str">
        <f>VLOOKUP(A151,'Player Data'!A1:B734,2,FALSE)</f>
        <v>WPG</v>
      </c>
      <c r="C151" s="37">
        <f>((E151)*Settings!$C$12)+(F151*Settings!$C$2)+(G151*Settings!$C$3)+(H151*Settings!$C$4)+(I151*Settings!$C$5)+(K151*Settings!$C$9)+(N151*Settings!$C$6)+(J151*Settings!$C$8)+(O151*Settings!$C$7)+(P151*Settings!$C$14)+(Q151*Settings!$C$15)+(R151*Settings!$C$16)+(S151*Settings!$C$17)+(T151*Settings!$C$18)+(U151*Settings!$C$19)</f>
        <v>1.4027573376563585</v>
      </c>
      <c r="D151" s="41">
        <f>IF(Settings!$E$12="YES",VLOOKUP(A151,'Player Data'!A1:E734,5,FALSE),82)</f>
        <v>70.527142857142906</v>
      </c>
      <c r="E151" s="39">
        <f>(VLOOKUP($A151,'The List'!$B1:$AH727,17,FALSE)-AVERAGE('The List'!R2:R727))/STDEV('The List'!R2:R727)</f>
        <v>-8.3567217770294641E-4</v>
      </c>
      <c r="F151" s="39">
        <f>(VLOOKUP($A151,'The List'!$B1:$AH727,18,FALSE)-AVERAGE('The List'!S2:S727))/STDEV('The List'!S2:S727)</f>
        <v>1.023307397918392</v>
      </c>
      <c r="G151" s="39">
        <f>(VLOOKUP($A151,'The List'!$B1:$AH727,19,FALSE)-AVERAGE('The List'!T2:T727))/STDEV('The List'!T2:T727)</f>
        <v>-5.1160642835089851E-2</v>
      </c>
      <c r="H151" s="39">
        <f>(VLOOKUP($A151,'The List'!$B1:$AH727,20,FALSE)-AVERAGE('The List'!U2:U727))/STDEV('The List'!U2:U727)</f>
        <v>0.43414324170419705</v>
      </c>
      <c r="I151" s="39">
        <f>(VLOOKUP($A151,'The List'!$B1:$AH727,21,FALSE)-AVERAGE('The List'!V2:V727))/STDEV('The List'!V2:V727)</f>
        <v>0.13368872261455866</v>
      </c>
      <c r="J151" s="39">
        <f>(VLOOKUP($A151,'The List'!$B1:$AH727,22,FALSE)-AVERAGE('The List'!W2:W727))/STDEV('The List'!W2:W727)</f>
        <v>0.97770574368187102</v>
      </c>
      <c r="K151" s="39">
        <f>(VLOOKUP($A151,'The List'!$B1:$AH727,23,FALSE)-AVERAGE('The List'!X2:X727))/STDEV('The List'!X2:X727)</f>
        <v>0.38320473776620978</v>
      </c>
      <c r="L151" s="39">
        <f>(VLOOKUP($A151,'The List'!$B1:$AH727,24,FALSE)-AVERAGE('The List'!Y2:Y727))/STDEV('The List'!Y2:Y727)</f>
        <v>-0.52299025199230675</v>
      </c>
      <c r="M151" s="39">
        <f>(VLOOKUP($A151,'The List'!$B1:$AH727,25,FALSE)-AVERAGE('The List'!Z2:Z727))/STDEV('The List'!Z2:Z727)</f>
        <v>-0.70006816017942719</v>
      </c>
      <c r="N151" s="39">
        <f>(VLOOKUP($A151,'The List'!$B1:$AH727,26,FALSE)-AVERAGE('The List'!AA2:AA727))/STDEV('The List'!AA2:AA727)</f>
        <v>-0.58493795172452945</v>
      </c>
      <c r="O151" s="39">
        <f>(VLOOKUP($A151,'The List'!$B1:$AH727,27,FALSE)-AVERAGE('The List'!AB2:AB727))/STDEV('The List'!AB2:AB727)</f>
        <v>-0.91622404973882754</v>
      </c>
      <c r="P151" s="39">
        <f>(VLOOKUP($A151,'The List'!$B1:$AH727,28,FALSE)-AVERAGE('The List'!AC2:AC727))/STDEV('The List'!AC2:AC727)</f>
        <v>0.4986550739168174</v>
      </c>
      <c r="Q151" s="39">
        <f>(VLOOKUP($A151,'The List'!$B1:$AH727,29,FALSE)-AVERAGE('The List'!AD2:AD727))/STDEV('The List'!AD2:AD727)</f>
        <v>-0.69407867767782905</v>
      </c>
      <c r="R151" s="39">
        <f>(VLOOKUP($A151,'The List'!$B1:$AH727,30,FALSE)-AVERAGE('The List'!AE2:AE727))/STDEV('The List'!AE2:AE727)</f>
        <v>1.1692488049649739</v>
      </c>
      <c r="S151" s="39">
        <f>(VLOOKUP($A151,'The List'!$B1:$AH727,31,FALSE)-AVERAGE('The List'!AF2:AF727))/STDEV('The List'!AF2:AF727)</f>
        <v>3.2501139984189575E-2</v>
      </c>
      <c r="T151" s="39">
        <f>(VLOOKUP($A151,'The List'!$B1:$AH727,32,FALSE)-AVERAGE('The List'!AG2:AG727))/STDEV('The List'!AG2:AG727)</f>
        <v>0.11422947982358304</v>
      </c>
      <c r="U151" s="39">
        <f>(VLOOKUP($A151,'The List'!$B1:$AH727,33,FALSE)-AVERAGE('The List'!AH2:AH727))/STDEV('The List'!AH2:AH727)</f>
        <v>0.8590978048943535</v>
      </c>
      <c r="V151" s="39"/>
      <c r="W151" s="43"/>
      <c r="X151" s="41"/>
      <c r="Y151" s="41"/>
      <c r="Z151" s="41"/>
      <c r="AA151" s="41"/>
      <c r="AB151" s="41"/>
      <c r="AC151" s="44"/>
      <c r="AD151" s="45"/>
      <c r="AE151" s="39"/>
    </row>
    <row r="152" spans="1:31" ht="21.25" customHeight="1" x14ac:dyDescent="0.15">
      <c r="A152" s="8" t="s">
        <v>315</v>
      </c>
      <c r="B152" s="35" t="str">
        <f>VLOOKUP(A152,'Player Data'!A1:B734,2,FALSE)</f>
        <v>FLA</v>
      </c>
      <c r="C152" s="37">
        <f>((E152)*Settings!$C$12)+(F152*Settings!$C$2)+(G152*Settings!$C$3)+(H152*Settings!$C$4)+(I152*Settings!$C$5)+(K152*Settings!$C$9)+(N152*Settings!$C$6)+(J152*Settings!$C$8)+(O152*Settings!$C$7)+(P152*Settings!$C$14)+(Q152*Settings!$C$15)+(R152*Settings!$C$16)+(S152*Settings!$C$17)+(T152*Settings!$C$18)+(U152*Settings!$C$19)</f>
        <v>3.3979635206851713</v>
      </c>
      <c r="D152" s="41">
        <f>IF(Settings!$E$12="YES",VLOOKUP(A152,'Player Data'!A1:E734,5,FALSE),82)</f>
        <v>75.973571428571404</v>
      </c>
      <c r="E152" s="39">
        <f>(VLOOKUP($A152,'The List'!$B1:$AH727,17,FALSE)-AVERAGE('The List'!R2:R727))/STDEV('The List'!R2:R727)</f>
        <v>0.16749500452003613</v>
      </c>
      <c r="F152" s="39">
        <f>(VLOOKUP($A152,'The List'!$B1:$AH727,18,FALSE)-AVERAGE('The List'!S2:S727))/STDEV('The List'!S2:S727)</f>
        <v>0.86626695467809767</v>
      </c>
      <c r="G152" s="39">
        <f>(VLOOKUP($A152,'The List'!$B1:$AH727,19,FALSE)-AVERAGE('The List'!T2:T727))/STDEV('The List'!T2:T727)</f>
        <v>0.31012116011904722</v>
      </c>
      <c r="H152" s="39">
        <f>(VLOOKUP($A152,'The List'!$B1:$AH727,20,FALSE)-AVERAGE('The List'!U2:U727))/STDEV('The List'!U2:U727)</f>
        <v>0.58530518664834297</v>
      </c>
      <c r="I152" s="39">
        <f>(VLOOKUP($A152,'The List'!$B1:$AH727,21,FALSE)-AVERAGE('The List'!V2:V727))/STDEV('The List'!V2:V727)</f>
        <v>1.5037521768641187</v>
      </c>
      <c r="J152" s="39">
        <f>(VLOOKUP($A152,'The List'!$B1:$AH727,22,FALSE)-AVERAGE('The List'!W2:W727))/STDEV('The List'!W2:W727)</f>
        <v>0.38450669241816143</v>
      </c>
      <c r="K152" s="39">
        <f>(VLOOKUP($A152,'The List'!$B1:$AH727,23,FALSE)-AVERAGE('The List'!X2:X727))/STDEV('The List'!X2:X727)</f>
        <v>0.11858131231427411</v>
      </c>
      <c r="L152" s="39">
        <f>(VLOOKUP($A152,'The List'!$B1:$AH727,24,FALSE)-AVERAGE('The List'!Y2:Y727))/STDEV('The List'!Y2:Y727)</f>
        <v>-0.3327201256627299</v>
      </c>
      <c r="M152" s="39">
        <f>(VLOOKUP($A152,'The List'!$B1:$AH727,25,FALSE)-AVERAGE('The List'!Z2:Z727))/STDEV('The List'!Z2:Z727)</f>
        <v>-0.13425205467605142</v>
      </c>
      <c r="N152" s="39">
        <f>(VLOOKUP($A152,'The List'!$B1:$AH727,26,FALSE)-AVERAGE('The List'!AA2:AA727))/STDEV('The List'!AA2:AA727)</f>
        <v>-0.5372668546651721</v>
      </c>
      <c r="O152" s="39">
        <f>(VLOOKUP($A152,'The List'!$B1:$AH727,27,FALSE)-AVERAGE('The List'!AB2:AB727))/STDEV('The List'!AB2:AB727)</f>
        <v>1.3482490437254111</v>
      </c>
      <c r="P152" s="39">
        <f>(VLOOKUP($A152,'The List'!$B1:$AH727,28,FALSE)-AVERAGE('The List'!AC2:AC727))/STDEV('The List'!AC2:AC727)</f>
        <v>1.1365087713748054</v>
      </c>
      <c r="Q152" s="39">
        <f>(VLOOKUP($A152,'The List'!$B1:$AH727,29,FALSE)-AVERAGE('The List'!AD2:AD727))/STDEV('The List'!AD2:AD727)</f>
        <v>2.1951521882445375</v>
      </c>
      <c r="R152" s="39">
        <f>(VLOOKUP($A152,'The List'!$B1:$AH727,30,FALSE)-AVERAGE('The List'!AE2:AE727))/STDEV('The List'!AE2:AE727)</f>
        <v>0.8321077524540309</v>
      </c>
      <c r="S152" s="39">
        <f>(VLOOKUP($A152,'The List'!$B1:$AH727,31,FALSE)-AVERAGE('The List'!AF2:AF727))/STDEV('The List'!AF2:AF727)</f>
        <v>1.741820305266278</v>
      </c>
      <c r="T152" s="39">
        <f>(VLOOKUP($A152,'The List'!$B1:$AH727,32,FALSE)-AVERAGE('The List'!AG2:AG727))/STDEV('The List'!AG2:AG727)</f>
        <v>2.1279080781333239</v>
      </c>
      <c r="U152" s="39">
        <f>(VLOOKUP($A152,'The List'!$B1:$AH727,33,FALSE)-AVERAGE('The List'!AH2:AH727))/STDEV('The List'!AH2:AH727)</f>
        <v>0.88318537372936334</v>
      </c>
      <c r="V152" s="39"/>
      <c r="W152" s="43"/>
      <c r="X152" s="41"/>
      <c r="Y152" s="41"/>
      <c r="Z152" s="41"/>
      <c r="AA152" s="41"/>
      <c r="AB152" s="41"/>
      <c r="AC152" s="44"/>
      <c r="AD152" s="45"/>
      <c r="AE152" s="39"/>
    </row>
    <row r="153" spans="1:31" ht="21.25" customHeight="1" x14ac:dyDescent="0.15">
      <c r="A153" s="8" t="s">
        <v>331</v>
      </c>
      <c r="B153" s="35" t="str">
        <f>VLOOKUP(A153,'Player Data'!A1:B734,2,FALSE)</f>
        <v>NYR</v>
      </c>
      <c r="C153" s="37">
        <f>((E153)*Settings!$C$12)+(F153*Settings!$C$2)+(G153*Settings!$C$3)+(H153*Settings!$C$4)+(I153*Settings!$C$5)+(K153*Settings!$C$9)+(N153*Settings!$C$6)+(J153*Settings!$C$8)+(O153*Settings!$C$7)+(P153*Settings!$C$14)+(Q153*Settings!$C$15)+(R153*Settings!$C$16)+(S153*Settings!$C$17)+(T153*Settings!$C$18)+(U153*Settings!$C$19)</f>
        <v>1.2130505867866543</v>
      </c>
      <c r="D153" s="41">
        <f>IF(Settings!$E$12="YES",VLOOKUP(A153,'Player Data'!A1:E734,5,FALSE),82)</f>
        <v>76.040000000000006</v>
      </c>
      <c r="E153" s="39">
        <f>(VLOOKUP($A153,'The List'!$B1:$AH727,17,FALSE)-AVERAGE('The List'!R2:R727))/STDEV('The List'!R2:R727)</f>
        <v>-0.14877214075949632</v>
      </c>
      <c r="F153" s="39">
        <f>(VLOOKUP($A153,'The List'!$B1:$AH727,18,FALSE)-AVERAGE('The List'!S2:S727))/STDEV('The List'!S2:S727)</f>
        <v>3.91392611097197E-2</v>
      </c>
      <c r="G153" s="39">
        <f>(VLOOKUP($A153,'The List'!$B1:$AH727,19,FALSE)-AVERAGE('The List'!T2:T727))/STDEV('The List'!T2:T727)</f>
        <v>0.74639288942589099</v>
      </c>
      <c r="H153" s="39">
        <f>(VLOOKUP($A153,'The List'!$B1:$AH727,20,FALSE)-AVERAGE('The List'!U2:U727))/STDEV('The List'!U2:U727)</f>
        <v>0.47774498419411898</v>
      </c>
      <c r="I153" s="39">
        <f>(VLOOKUP($A153,'The List'!$B1:$AH727,21,FALSE)-AVERAGE('The List'!V2:V727))/STDEV('The List'!V2:V727)</f>
        <v>2.4769134273204634E-2</v>
      </c>
      <c r="J153" s="39">
        <f>(VLOOKUP($A153,'The List'!$B1:$AH727,22,FALSE)-AVERAGE('The List'!W2:W727))/STDEV('The List'!W2:W727)</f>
        <v>5.1865646050698828E-2</v>
      </c>
      <c r="K153" s="39">
        <f>(VLOOKUP($A153,'The List'!$B1:$AH727,23,FALSE)-AVERAGE('The List'!X2:X727))/STDEV('The List'!X2:X727)</f>
        <v>0.21485940428303585</v>
      </c>
      <c r="L153" s="39">
        <f>(VLOOKUP($A153,'The List'!$B1:$AH727,24,FALSE)-AVERAGE('The List'!Y2:Y727))/STDEV('The List'!Y2:Y727)</f>
        <v>-0.40086014205260911</v>
      </c>
      <c r="M153" s="39">
        <f>(VLOOKUP($A153,'The List'!$B1:$AH727,25,FALSE)-AVERAGE('The List'!Z2:Z727))/STDEV('The List'!Z2:Z727)</f>
        <v>-0.55463324114271606</v>
      </c>
      <c r="N153" s="39">
        <f>(VLOOKUP($A153,'The List'!$B1:$AH727,26,FALSE)-AVERAGE('The List'!AA2:AA727))/STDEV('The List'!AA2:AA727)</f>
        <v>-0.59112150602651536</v>
      </c>
      <c r="O153" s="39">
        <f>(VLOOKUP($A153,'The List'!$B1:$AH727,27,FALSE)-AVERAGE('The List'!AB2:AB727))/STDEV('The List'!AB2:AB727)</f>
        <v>-0.67453680209181843</v>
      </c>
      <c r="P153" s="39">
        <f>(VLOOKUP($A153,'The List'!$B1:$AH727,28,FALSE)-AVERAGE('The List'!AC2:AC727))/STDEV('The List'!AC2:AC727)</f>
        <v>0.77901140372131839</v>
      </c>
      <c r="Q153" s="39">
        <f>(VLOOKUP($A153,'The List'!$B1:$AH727,29,FALSE)-AVERAGE('The List'!AD2:AD727))/STDEV('The List'!AD2:AD727)</f>
        <v>0.6890295629311588</v>
      </c>
      <c r="R153" s="39">
        <f>(VLOOKUP($A153,'The List'!$B1:$AH727,30,FALSE)-AVERAGE('The List'!AE2:AE727))/STDEV('The List'!AE2:AE727)</f>
        <v>0.29169626430540646</v>
      </c>
      <c r="S153" s="39">
        <f>(VLOOKUP($A153,'The List'!$B1:$AH727,31,FALSE)-AVERAGE('The List'!AF2:AF727))/STDEV('The List'!AF2:AF727)</f>
        <v>-0.38744886390325123</v>
      </c>
      <c r="T153" s="39">
        <f>(VLOOKUP($A153,'The List'!$B1:$AH727,32,FALSE)-AVERAGE('The List'!AG2:AG727))/STDEV('The List'!AG2:AG727)</f>
        <v>-0.28821336283836352</v>
      </c>
      <c r="U153" s="39">
        <f>(VLOOKUP($A153,'The List'!$B1:$AH727,33,FALSE)-AVERAGE('The List'!AH2:AH727))/STDEV('The List'!AH2:AH727)</f>
        <v>0.40456436851263627</v>
      </c>
      <c r="V153" s="39"/>
      <c r="W153" s="43"/>
      <c r="X153" s="41"/>
      <c r="Y153" s="41"/>
      <c r="Z153" s="41"/>
      <c r="AA153" s="41"/>
      <c r="AB153" s="41"/>
      <c r="AC153" s="44"/>
      <c r="AD153" s="45"/>
      <c r="AE153" s="39"/>
    </row>
    <row r="154" spans="1:31" ht="21.25" customHeight="1" x14ac:dyDescent="0.15">
      <c r="A154" s="8" t="s">
        <v>157</v>
      </c>
      <c r="B154" s="35" t="str">
        <f>VLOOKUP(A154,'Player Data'!A1:B734,2,FALSE)</f>
        <v>DET</v>
      </c>
      <c r="C154" s="37">
        <f>((E154)*Settings!$C$12)+(F154*Settings!$C$2)+(G154*Settings!$C$3)+(H154*Settings!$C$4)+(I154*Settings!$C$5)+(K154*Settings!$C$9)+(N154*Settings!$C$6)+(J154*Settings!$C$8)+(O154*Settings!$C$7)+(P154*Settings!$C$14)+(Q154*Settings!$C$15)+(R154*Settings!$C$16)+(S154*Settings!$C$17)+(T154*Settings!$C$18)+(U154*Settings!$C$19)</f>
        <v>6.0682497443744712</v>
      </c>
      <c r="D154" s="41">
        <f>IF(Settings!$E$12="YES",VLOOKUP(A154,'Player Data'!A1:E734,5,FALSE),82)</f>
        <v>82.03</v>
      </c>
      <c r="E154" s="39">
        <f>(VLOOKUP($A154,'The List'!$B1:$AH727,17,FALSE)-AVERAGE('The List'!R2:R727))/STDEV('The List'!R2:R727)</f>
        <v>2.4377481012647682</v>
      </c>
      <c r="F154" s="39">
        <f>(VLOOKUP($A154,'The List'!$B1:$AH727,18,FALSE)-AVERAGE('The List'!S2:S727))/STDEV('The List'!S2:S727)</f>
        <v>-0.47941636066792759</v>
      </c>
      <c r="G154" s="39">
        <f>(VLOOKUP($A154,'The List'!$B1:$AH727,19,FALSE)-AVERAGE('The List'!T2:T727))/STDEV('The List'!T2:T727)</f>
        <v>1.9590389867426887</v>
      </c>
      <c r="H154" s="39">
        <f>(VLOOKUP($A154,'The List'!$B1:$AH727,20,FALSE)-AVERAGE('The List'!U2:U727))/STDEV('The List'!U2:U727)</f>
        <v>0.98901341808865395</v>
      </c>
      <c r="I154" s="39">
        <f>(VLOOKUP($A154,'The List'!$B1:$AH727,21,FALSE)-AVERAGE('The List'!V2:V727))/STDEV('The List'!V2:V727)</f>
        <v>0.80866248635317572</v>
      </c>
      <c r="J154" s="39">
        <f>(VLOOKUP($A154,'The List'!$B1:$AH727,22,FALSE)-AVERAGE('The List'!W2:W727))/STDEV('The List'!W2:W727)</f>
        <v>-5.6862635787723222E-2</v>
      </c>
      <c r="K154" s="39">
        <f>(VLOOKUP($A154,'The List'!$B1:$AH727,23,FALSE)-AVERAGE('The List'!X2:X727))/STDEV('The List'!X2:X727)</f>
        <v>1.5223900713016327</v>
      </c>
      <c r="L154" s="39">
        <f>(VLOOKUP($A154,'The List'!$B1:$AH727,24,FALSE)-AVERAGE('The List'!Y2:Y727))/STDEV('The List'!Y2:Y727)</f>
        <v>0.56161790018966873</v>
      </c>
      <c r="M154" s="39">
        <f>(VLOOKUP($A154,'The List'!$B1:$AH727,25,FALSE)-AVERAGE('The List'!Z2:Z727))/STDEV('The List'!Z2:Z727)</f>
        <v>1.446752695620229</v>
      </c>
      <c r="N154" s="39">
        <f>(VLOOKUP($A154,'The List'!$B1:$AH727,26,FALSE)-AVERAGE('The List'!AA2:AA727))/STDEV('The List'!AA2:AA727)</f>
        <v>3.3242369698867975</v>
      </c>
      <c r="O154" s="39">
        <f>(VLOOKUP($A154,'The List'!$B1:$AH727,27,FALSE)-AVERAGE('The List'!AB2:AB727))/STDEV('The List'!AB2:AB727)</f>
        <v>2.1555124724814831</v>
      </c>
      <c r="P154" s="39">
        <f>(VLOOKUP($A154,'The List'!$B1:$AH727,28,FALSE)-AVERAGE('The List'!AC2:AC727))/STDEV('The List'!AC2:AC727)</f>
        <v>-1.0666624092418959</v>
      </c>
      <c r="Q154" s="39">
        <f>(VLOOKUP($A154,'The List'!$B1:$AH727,29,FALSE)-AVERAGE('The List'!AD2:AD727))/STDEV('The List'!AD2:AD727)</f>
        <v>0.84417731341160063</v>
      </c>
      <c r="R154" s="39">
        <f>(VLOOKUP($A154,'The List'!$B1:$AH727,30,FALSE)-AVERAGE('The List'!AE2:AE727))/STDEV('The List'!AE2:AE727)</f>
        <v>-0.50517774991102926</v>
      </c>
      <c r="S154" s="39">
        <f>(VLOOKUP($A154,'The List'!$B1:$AH727,31,FALSE)-AVERAGE('The List'!AF2:AF727))/STDEV('The List'!AF2:AF727)</f>
        <v>-0.55804314905918151</v>
      </c>
      <c r="T154" s="39">
        <f>(VLOOKUP($A154,'The List'!$B1:$AH727,32,FALSE)-AVERAGE('The List'!AG2:AG727))/STDEV('The List'!AG2:AG727)</f>
        <v>-0.60188453558131205</v>
      </c>
      <c r="U154" s="39">
        <f>(VLOOKUP($A154,'The List'!$B1:$AH727,33,FALSE)-AVERAGE('The List'!AH2:AH727))/STDEV('The List'!AH2:AH727)</f>
        <v>-1.2395873372913611</v>
      </c>
      <c r="V154" s="39"/>
      <c r="W154" s="41"/>
      <c r="X154" s="39"/>
      <c r="Y154" s="39"/>
      <c r="Z154" s="39"/>
      <c r="AA154" s="39"/>
      <c r="AB154" s="39"/>
      <c r="AC154" s="39"/>
      <c r="AD154" s="39"/>
      <c r="AE154" s="39"/>
    </row>
    <row r="155" spans="1:31" ht="21.25" customHeight="1" x14ac:dyDescent="0.15">
      <c r="A155" s="8" t="s">
        <v>236</v>
      </c>
      <c r="B155" s="35" t="str">
        <f>VLOOKUP(A155,'Player Data'!A1:B734,2,FALSE)</f>
        <v>COL</v>
      </c>
      <c r="C155" s="37">
        <f>((E155)*Settings!$C$12)+(F155*Settings!$C$2)+(G155*Settings!$C$3)+(H155*Settings!$C$4)+(I155*Settings!$C$5)+(K155*Settings!$C$9)+(N155*Settings!$C$6)+(J155*Settings!$C$8)+(O155*Settings!$C$7)+(P155*Settings!$C$14)+(Q155*Settings!$C$15)+(R155*Settings!$C$16)+(S155*Settings!$C$17)+(T155*Settings!$C$18)+(U155*Settings!$C$19)</f>
        <v>5.5451727676841926</v>
      </c>
      <c r="D155" s="41">
        <f>IF(Settings!$E$12="YES",VLOOKUP(A155,'Player Data'!A1:E734,5,FALSE),82)</f>
        <v>79.035714285714306</v>
      </c>
      <c r="E155" s="39">
        <f>(VLOOKUP($A155,'The List'!$B1:$AH727,17,FALSE)-AVERAGE('The List'!R2:R727))/STDEV('The List'!R2:R727)</f>
        <v>2.1977380353393872</v>
      </c>
      <c r="F155" s="39">
        <f>(VLOOKUP($A155,'The List'!$B1:$AH727,18,FALSE)-AVERAGE('The List'!S2:S727))/STDEV('The List'!S2:S727)</f>
        <v>-0.28962867059742753</v>
      </c>
      <c r="G155" s="39">
        <f>(VLOOKUP($A155,'The List'!$B1:$AH727,19,FALSE)-AVERAGE('The List'!T2:T727))/STDEV('The List'!T2:T727)</f>
        <v>1.2840149184270502</v>
      </c>
      <c r="H155" s="39">
        <f>(VLOOKUP($A155,'The List'!$B1:$AH727,20,FALSE)-AVERAGE('The List'!U2:U727))/STDEV('The List'!U2:U727)</f>
        <v>0.65942264682349994</v>
      </c>
      <c r="I155" s="39">
        <f>(VLOOKUP($A155,'The List'!$B1:$AH727,21,FALSE)-AVERAGE('The List'!V2:V727))/STDEV('The List'!V2:V727)</f>
        <v>0.54262540824204841</v>
      </c>
      <c r="J155" s="39">
        <f>(VLOOKUP($A155,'The List'!$B1:$AH727,22,FALSE)-AVERAGE('The List'!W2:W727))/STDEV('The List'!W2:W727)</f>
        <v>-0.3286498102602935</v>
      </c>
      <c r="K155" s="39">
        <f>(VLOOKUP($A155,'The List'!$B1:$AH727,23,FALSE)-AVERAGE('The List'!X2:X727))/STDEV('The List'!X2:X727)</f>
        <v>3.8818410938170679E-3</v>
      </c>
      <c r="L155" s="39">
        <f>(VLOOKUP($A155,'The List'!$B1:$AH727,24,FALSE)-AVERAGE('The List'!Y2:Y727))/STDEV('The List'!Y2:Y727)</f>
        <v>-0.49703876487600873</v>
      </c>
      <c r="M155" s="39">
        <f>(VLOOKUP($A155,'The List'!$B1:$AH727,25,FALSE)-AVERAGE('The List'!Z2:Z727))/STDEV('The List'!Z2:Z727)</f>
        <v>-0.56999246653407321</v>
      </c>
      <c r="N155" s="39">
        <f>(VLOOKUP($A155,'The List'!$B1:$AH727,26,FALSE)-AVERAGE('The List'!AA2:AA727))/STDEV('The List'!AA2:AA727)</f>
        <v>1.8270454186917511</v>
      </c>
      <c r="O155" s="39">
        <f>(VLOOKUP($A155,'The List'!$B1:$AH727,27,FALSE)-AVERAGE('The List'!AB2:AB727))/STDEV('The List'!AB2:AB727)</f>
        <v>-6.5191627086291365E-2</v>
      </c>
      <c r="P155" s="39">
        <f>(VLOOKUP($A155,'The List'!$B1:$AH727,28,FALSE)-AVERAGE('The List'!AC2:AC727))/STDEV('The List'!AC2:AC727)</f>
        <v>2.1772338518269532</v>
      </c>
      <c r="Q155" s="39">
        <f>(VLOOKUP($A155,'The List'!$B1:$AH727,29,FALSE)-AVERAGE('The List'!AD2:AD727))/STDEV('The List'!AD2:AD727)</f>
        <v>-0.26764381467542397</v>
      </c>
      <c r="R155" s="39">
        <f>(VLOOKUP($A155,'The List'!$B1:$AH727,30,FALSE)-AVERAGE('The List'!AE2:AE727))/STDEV('The List'!AE2:AE727)</f>
        <v>-0.15417446745220567</v>
      </c>
      <c r="S155" s="39">
        <f>(VLOOKUP($A155,'The List'!$B1:$AH727,31,FALSE)-AVERAGE('The List'!AF2:AF727))/STDEV('The List'!AF2:AF727)</f>
        <v>-0.55804314905918151</v>
      </c>
      <c r="T155" s="39">
        <f>(VLOOKUP($A155,'The List'!$B1:$AH727,32,FALSE)-AVERAGE('The List'!AG2:AG727))/STDEV('The List'!AG2:AG727)</f>
        <v>-0.60188453558131205</v>
      </c>
      <c r="U155" s="39">
        <f>(VLOOKUP($A155,'The List'!$B1:$AH727,33,FALSE)-AVERAGE('The List'!AH2:AH727))/STDEV('The List'!AH2:AH727)</f>
        <v>-1.2395873372913611</v>
      </c>
      <c r="V155" s="39"/>
      <c r="W155" s="41"/>
      <c r="X155" s="39"/>
      <c r="Y155" s="39"/>
      <c r="Z155" s="39"/>
      <c r="AA155" s="39"/>
      <c r="AB155" s="39"/>
      <c r="AC155" s="39"/>
      <c r="AD155" s="39"/>
      <c r="AE155" s="39"/>
    </row>
    <row r="156" spans="1:31" ht="21.25" customHeight="1" x14ac:dyDescent="0.15">
      <c r="A156" s="8" t="s">
        <v>375</v>
      </c>
      <c r="B156" s="35" t="str">
        <f>VLOOKUP(A156,'Player Data'!A1:B734,2,FALSE)</f>
        <v>MTL</v>
      </c>
      <c r="C156" s="37">
        <f>((E156)*Settings!$C$12)+(F156*Settings!$C$2)+(G156*Settings!$C$3)+(H156*Settings!$C$4)+(I156*Settings!$C$5)+(K156*Settings!$C$9)+(N156*Settings!$C$6)+(J156*Settings!$C$8)+(O156*Settings!$C$7)+(P156*Settings!$C$14)+(Q156*Settings!$C$15)+(R156*Settings!$C$16)+(S156*Settings!$C$17)+(T156*Settings!$C$18)+(U156*Settings!$C$19)</f>
        <v>0.13246424306784732</v>
      </c>
      <c r="D156" s="41">
        <f>IF(Settings!$E$12="YES",VLOOKUP(A156,'Player Data'!A1:E734,5,FALSE),82)</f>
        <v>70.555714285714302</v>
      </c>
      <c r="E156" s="39">
        <f>(VLOOKUP($A156,'The List'!$B1:$AH727,17,FALSE)-AVERAGE('The List'!R2:R727))/STDEV('The List'!R2:R727)</f>
        <v>0.47987873830230893</v>
      </c>
      <c r="F156" s="39">
        <f>(VLOOKUP($A156,'The List'!$B1:$AH727,18,FALSE)-AVERAGE('The List'!S2:S727))/STDEV('The List'!S2:S727)</f>
        <v>0.47448816360028101</v>
      </c>
      <c r="G156" s="39">
        <f>(VLOOKUP($A156,'The List'!$B1:$AH727,19,FALSE)-AVERAGE('The List'!T2:T727))/STDEV('The List'!T2:T727)</f>
        <v>0.48115235891000147</v>
      </c>
      <c r="H156" s="39">
        <f>(VLOOKUP($A156,'The List'!$B1:$AH727,20,FALSE)-AVERAGE('The List'!U2:U727))/STDEV('The List'!U2:U727)</f>
        <v>0.51241232015621063</v>
      </c>
      <c r="I156" s="39">
        <f>(VLOOKUP($A156,'The List'!$B1:$AH727,21,FALSE)-AVERAGE('The List'!V2:V727))/STDEV('The List'!V2:V727)</f>
        <v>8.9794688474623616E-2</v>
      </c>
      <c r="J156" s="39">
        <f>(VLOOKUP($A156,'The List'!$B1:$AH727,22,FALSE)-AVERAGE('The List'!W2:W727))/STDEV('The List'!W2:W727)</f>
        <v>1.0351100152635953</v>
      </c>
      <c r="K156" s="39">
        <f>(VLOOKUP($A156,'The List'!$B1:$AH727,23,FALSE)-AVERAGE('The List'!X2:X727))/STDEV('The List'!X2:X727)</f>
        <v>1.0117935785360943</v>
      </c>
      <c r="L156" s="39">
        <f>(VLOOKUP($A156,'The List'!$B1:$AH727,24,FALSE)-AVERAGE('The List'!Y2:Y727))/STDEV('The List'!Y2:Y727)</f>
        <v>-0.45826287657896797</v>
      </c>
      <c r="M156" s="39">
        <f>(VLOOKUP($A156,'The List'!$B1:$AH727,25,FALSE)-AVERAGE('The List'!Z2:Z727))/STDEV('The List'!Z2:Z727)</f>
        <v>5.4447966351815532E-3</v>
      </c>
      <c r="N156" s="39">
        <f>(VLOOKUP($A156,'The List'!$B1:$AH727,26,FALSE)-AVERAGE('The List'!AA2:AA727))/STDEV('The List'!AA2:AA727)</f>
        <v>-0.39953012854111525</v>
      </c>
      <c r="O156" s="39">
        <f>(VLOOKUP($A156,'The List'!$B1:$AH727,27,FALSE)-AVERAGE('The List'!AB2:AB727))/STDEV('The List'!AB2:AB727)</f>
        <v>-0.66512008985175974</v>
      </c>
      <c r="P156" s="39">
        <f>(VLOOKUP($A156,'The List'!$B1:$AH727,28,FALSE)-AVERAGE('The List'!AC2:AC727))/STDEV('The List'!AC2:AC727)</f>
        <v>-1.5252344179120378</v>
      </c>
      <c r="Q156" s="39">
        <f>(VLOOKUP($A156,'The List'!$B1:$AH727,29,FALSE)-AVERAGE('The List'!AD2:AD727))/STDEV('The List'!AD2:AD727)</f>
        <v>0.92040641724823091</v>
      </c>
      <c r="R156" s="39">
        <f>(VLOOKUP($A156,'The List'!$B1:$AH727,30,FALSE)-AVERAGE('The List'!AE2:AE727))/STDEV('The List'!AE2:AE727)</f>
        <v>5.9707607021586E-2</v>
      </c>
      <c r="S156" s="39">
        <f>(VLOOKUP($A156,'The List'!$B1:$AH727,31,FALSE)-AVERAGE('The List'!AF2:AF727))/STDEV('The List'!AF2:AF727)</f>
        <v>5.870076931698557E-2</v>
      </c>
      <c r="T156" s="39">
        <f>(VLOOKUP($A156,'The List'!$B1:$AH727,32,FALSE)-AVERAGE('The List'!AG2:AG727))/STDEV('The List'!AG2:AG727)</f>
        <v>0.55073935195633328</v>
      </c>
      <c r="U156" s="39">
        <f>(VLOOKUP($A156,'The List'!$B1:$AH727,33,FALSE)-AVERAGE('The List'!AH2:AH727))/STDEV('The List'!AH2:AH727)</f>
        <v>0.38757109398788597</v>
      </c>
      <c r="V156" s="39"/>
      <c r="W156" s="41"/>
      <c r="X156" s="39"/>
      <c r="Y156" s="39"/>
      <c r="Z156" s="39"/>
      <c r="AA156" s="39"/>
      <c r="AB156" s="39"/>
      <c r="AC156" s="39"/>
      <c r="AD156" s="39"/>
      <c r="AE156" s="39"/>
    </row>
    <row r="157" spans="1:31" ht="21.25" customHeight="1" x14ac:dyDescent="0.15">
      <c r="A157" s="8" t="s">
        <v>223</v>
      </c>
      <c r="B157" s="35" t="str">
        <f>VLOOKUP(A157,'Player Data'!A1:B734,2,FALSE)</f>
        <v>PIT</v>
      </c>
      <c r="C157" s="37">
        <f>((E157)*Settings!$C$12)+(F157*Settings!$C$2)+(G157*Settings!$C$3)+(H157*Settings!$C$4)+(I157*Settings!$C$5)+(K157*Settings!$C$9)+(N157*Settings!$C$6)+(J157*Settings!$C$8)+(O157*Settings!$C$7)+(P157*Settings!$C$14)+(Q157*Settings!$C$15)+(R157*Settings!$C$16)+(S157*Settings!$C$17)+(T157*Settings!$C$18)+(U157*Settings!$C$19)</f>
        <v>4.2939416005871855</v>
      </c>
      <c r="D157" s="41">
        <f>IF(Settings!$E$12="YES",VLOOKUP(A157,'Player Data'!A1:E734,5,FALSE),82)</f>
        <v>78.138571428571396</v>
      </c>
      <c r="E157" s="39">
        <f>(VLOOKUP($A157,'The List'!$B1:$AH727,17,FALSE)-AVERAGE('The List'!R2:R727))/STDEV('The List'!R2:R727)</f>
        <v>1.9543109546969994</v>
      </c>
      <c r="F157" s="39">
        <f>(VLOOKUP($A157,'The List'!$B1:$AH727,18,FALSE)-AVERAGE('The List'!S2:S727))/STDEV('The List'!S2:S727)</f>
        <v>-0.39546062003487659</v>
      </c>
      <c r="G157" s="39">
        <f>(VLOOKUP($A157,'The List'!$B1:$AH727,19,FALSE)-AVERAGE('The List'!T2:T727))/STDEV('The List'!T2:T727)</f>
        <v>1.1223052655947787</v>
      </c>
      <c r="H157" s="39">
        <f>(VLOOKUP($A157,'The List'!$B1:$AH727,20,FALSE)-AVERAGE('The List'!U2:U727))/STDEV('The List'!U2:U727)</f>
        <v>0.5116155101653177</v>
      </c>
      <c r="I157" s="39">
        <f>(VLOOKUP($A157,'The List'!$B1:$AH727,21,FALSE)-AVERAGE('The List'!V2:V727))/STDEV('The List'!V2:V727)</f>
        <v>0.81410017465596807</v>
      </c>
      <c r="J157" s="39">
        <f>(VLOOKUP($A157,'The List'!$B1:$AH727,22,FALSE)-AVERAGE('The List'!W2:W727))/STDEV('The List'!W2:W727)</f>
        <v>-4.3088959084063107E-2</v>
      </c>
      <c r="K157" s="39">
        <f>(VLOOKUP($A157,'The List'!$B1:$AH727,23,FALSE)-AVERAGE('The List'!X2:X727))/STDEV('The List'!X2:X727)</f>
        <v>0.66841351684603767</v>
      </c>
      <c r="L157" s="39">
        <f>(VLOOKUP($A157,'The List'!$B1:$AH727,24,FALSE)-AVERAGE('The List'!Y2:Y727))/STDEV('The List'!Y2:Y727)</f>
        <v>9.3898954648330937E-2</v>
      </c>
      <c r="M157" s="39">
        <f>(VLOOKUP($A157,'The List'!$B1:$AH727,25,FALSE)-AVERAGE('The List'!Z2:Z727))/STDEV('The List'!Z2:Z727)</f>
        <v>-0.11153092545429272</v>
      </c>
      <c r="N157" s="39">
        <f>(VLOOKUP($A157,'The List'!$B1:$AH727,26,FALSE)-AVERAGE('The List'!AA2:AA727))/STDEV('The List'!AA2:AA727)</f>
        <v>1.6415451312901945</v>
      </c>
      <c r="O157" s="39">
        <f>(VLOOKUP($A157,'The List'!$B1:$AH727,27,FALSE)-AVERAGE('The List'!AB2:AB727))/STDEV('The List'!AB2:AB727)</f>
        <v>1.5842164942000752</v>
      </c>
      <c r="P157" s="39">
        <f>(VLOOKUP($A157,'The List'!$B1:$AH727,28,FALSE)-AVERAGE('The List'!AC2:AC727))/STDEV('The List'!AC2:AC727)</f>
        <v>0.44303813223508265</v>
      </c>
      <c r="Q157" s="39">
        <f>(VLOOKUP($A157,'The List'!$B1:$AH727,29,FALSE)-AVERAGE('The List'!AD2:AD727))/STDEV('The List'!AD2:AD727)</f>
        <v>0.72658629390311935</v>
      </c>
      <c r="R157" s="39">
        <f>(VLOOKUP($A157,'The List'!$B1:$AH727,30,FALSE)-AVERAGE('The List'!AE2:AE727))/STDEV('The List'!AE2:AE727)</f>
        <v>-0.25806664179807121</v>
      </c>
      <c r="S157" s="39">
        <f>(VLOOKUP($A157,'The List'!$B1:$AH727,31,FALSE)-AVERAGE('The List'!AF2:AF727))/STDEV('The List'!AF2:AF727)</f>
        <v>-0.55804314905918151</v>
      </c>
      <c r="T157" s="39">
        <f>(VLOOKUP($A157,'The List'!$B1:$AH727,32,FALSE)-AVERAGE('The List'!AG2:AG727))/STDEV('The List'!AG2:AG727)</f>
        <v>-0.60101872151436653</v>
      </c>
      <c r="U157" s="39">
        <f>(VLOOKUP($A157,'The List'!$B1:$AH727,33,FALSE)-AVERAGE('The List'!AH2:AH727))/STDEV('The List'!AH2:AH727)</f>
        <v>-1.2395873372913611</v>
      </c>
      <c r="V157" s="39"/>
      <c r="W157" s="43"/>
      <c r="X157" s="41"/>
      <c r="Y157" s="41"/>
      <c r="Z157" s="41"/>
      <c r="AA157" s="41"/>
      <c r="AB157" s="41"/>
      <c r="AC157" s="44"/>
      <c r="AD157" s="45"/>
      <c r="AE157" s="39"/>
    </row>
    <row r="158" spans="1:31" ht="21.25" customHeight="1" x14ac:dyDescent="0.15">
      <c r="A158" s="8" t="s">
        <v>273</v>
      </c>
      <c r="B158" s="35" t="str">
        <f>VLOOKUP(A158,'Player Data'!A1:B734,2,FALSE)</f>
        <v>SEA</v>
      </c>
      <c r="C158" s="37">
        <f>((E158)*Settings!$C$12)+(F158*Settings!$C$2)+(G158*Settings!$C$3)+(H158*Settings!$C$4)+(I158*Settings!$C$5)+(K158*Settings!$C$9)+(N158*Settings!$C$6)+(J158*Settings!$C$8)+(O158*Settings!$C$7)+(P158*Settings!$C$14)+(Q158*Settings!$C$15)+(R158*Settings!$C$16)+(S158*Settings!$C$17)+(T158*Settings!$C$18)+(U158*Settings!$C$19)</f>
        <v>1.9371792232004756</v>
      </c>
      <c r="D158" s="41">
        <f>IF(Settings!$E$12="YES",VLOOKUP(A158,'Player Data'!A1:E734,5,FALSE),82)</f>
        <v>81.471071428571406</v>
      </c>
      <c r="E158" s="39">
        <f>(VLOOKUP($A158,'The List'!$B1:$AH727,17,FALSE)-AVERAGE('The List'!R2:R727))/STDEV('The List'!R2:R727)</f>
        <v>9.5413433266481301E-2</v>
      </c>
      <c r="F158" s="39">
        <f>(VLOOKUP($A158,'The List'!$B1:$AH727,18,FALSE)-AVERAGE('The List'!S2:S727))/STDEV('The List'!S2:S727)</f>
        <v>0.57458327429980605</v>
      </c>
      <c r="G158" s="39">
        <f>(VLOOKUP($A158,'The List'!$B1:$AH727,19,FALSE)-AVERAGE('The List'!T2:T727))/STDEV('The List'!T2:T727)</f>
        <v>0.73342637266549349</v>
      </c>
      <c r="H158" s="39">
        <f>(VLOOKUP($A158,'The List'!$B1:$AH727,20,FALSE)-AVERAGE('The List'!U2:U727))/STDEV('The List'!U2:U727)</f>
        <v>0.71341542930923618</v>
      </c>
      <c r="I158" s="39">
        <f>(VLOOKUP($A158,'The List'!$B1:$AH727,21,FALSE)-AVERAGE('The List'!V2:V727))/STDEV('The List'!V2:V727)</f>
        <v>0.7368082671775984</v>
      </c>
      <c r="J158" s="39">
        <f>(VLOOKUP($A158,'The List'!$B1:$AH727,22,FALSE)-AVERAGE('The List'!W2:W727))/STDEV('The List'!W2:W727)</f>
        <v>0.23771434853603049</v>
      </c>
      <c r="K158" s="39">
        <f>(VLOOKUP($A158,'The List'!$B1:$AH727,23,FALSE)-AVERAGE('The List'!X2:X727))/STDEV('The List'!X2:X727)</f>
        <v>0.47209217121967162</v>
      </c>
      <c r="L158" s="39">
        <f>(VLOOKUP($A158,'The List'!$B1:$AH727,24,FALSE)-AVERAGE('The List'!Y2:Y727))/STDEV('The List'!Y2:Y727)</f>
        <v>-0.52874321823960968</v>
      </c>
      <c r="M158" s="39">
        <f>(VLOOKUP($A158,'The List'!$B1:$AH727,25,FALSE)-AVERAGE('The List'!Z2:Z727))/STDEV('The List'!Z2:Z727)</f>
        <v>-0.7061787431199652</v>
      </c>
      <c r="N158" s="39">
        <f>(VLOOKUP($A158,'The List'!$B1:$AH727,26,FALSE)-AVERAGE('The List'!AA2:AA727))/STDEV('The List'!AA2:AA727)</f>
        <v>-0.7562002082256627</v>
      </c>
      <c r="O158" s="39">
        <f>(VLOOKUP($A158,'The List'!$B1:$AH727,27,FALSE)-AVERAGE('The List'!AB2:AB727))/STDEV('The List'!AB2:AB727)</f>
        <v>-0.91833012551555548</v>
      </c>
      <c r="P158" s="39">
        <f>(VLOOKUP($A158,'The List'!$B1:$AH727,28,FALSE)-AVERAGE('The List'!AC2:AC727))/STDEV('The List'!AC2:AC727)</f>
        <v>0.17646934606356859</v>
      </c>
      <c r="Q158" s="39">
        <f>(VLOOKUP($A158,'The List'!$B1:$AH727,29,FALSE)-AVERAGE('The List'!AD2:AD727))/STDEV('The List'!AD2:AD727)</f>
        <v>-0.2872614776994134</v>
      </c>
      <c r="R158" s="39">
        <f>(VLOOKUP($A158,'The List'!$B1:$AH727,30,FALSE)-AVERAGE('The List'!AE2:AE727))/STDEV('The List'!AE2:AE727)</f>
        <v>0.52349352096480894</v>
      </c>
      <c r="S158" s="39">
        <f>(VLOOKUP($A158,'The List'!$B1:$AH727,31,FALSE)-AVERAGE('The List'!AF2:AF727))/STDEV('The List'!AF2:AF727)</f>
        <v>-0.44199370685699985</v>
      </c>
      <c r="T158" s="39">
        <f>(VLOOKUP($A158,'The List'!$B1:$AH727,32,FALSE)-AVERAGE('The List'!AG2:AG727))/STDEV('The List'!AG2:AG727)</f>
        <v>-0.40714064268403372</v>
      </c>
      <c r="U158" s="39">
        <f>(VLOOKUP($A158,'The List'!$B1:$AH727,33,FALSE)-AVERAGE('The List'!AH2:AH727))/STDEV('The List'!AH2:AH727)</f>
        <v>0.50127426716943568</v>
      </c>
      <c r="V158" s="39"/>
      <c r="W158" s="43"/>
      <c r="X158" s="41"/>
      <c r="Y158" s="41"/>
      <c r="Z158" s="41"/>
      <c r="AA158" s="41"/>
      <c r="AB158" s="41"/>
      <c r="AC158" s="44"/>
      <c r="AD158" s="45"/>
      <c r="AE158" s="39"/>
    </row>
    <row r="159" spans="1:31" ht="21.25" customHeight="1" x14ac:dyDescent="0.15">
      <c r="A159" s="8" t="s">
        <v>384</v>
      </c>
      <c r="B159" s="35" t="str">
        <f>VLOOKUP(A159,'Player Data'!A1:B734,2,FALSE)</f>
        <v>VGK</v>
      </c>
      <c r="C159" s="37">
        <f>((E159)*Settings!$C$12)+(F159*Settings!$C$2)+(G159*Settings!$C$3)+(H159*Settings!$C$4)+(I159*Settings!$C$5)+(K159*Settings!$C$9)+(N159*Settings!$C$6)+(J159*Settings!$C$8)+(O159*Settings!$C$7)+(P159*Settings!$C$14)+(Q159*Settings!$C$15)+(R159*Settings!$C$16)+(S159*Settings!$C$17)+(T159*Settings!$C$18)+(U159*Settings!$C$19)</f>
        <v>1.756525728376273</v>
      </c>
      <c r="D159" s="41">
        <f>IF(Settings!$E$12="YES",VLOOKUP(A159,'Player Data'!A1:E734,5,FALSE),82)</f>
        <v>79.256785714285698</v>
      </c>
      <c r="E159" s="39">
        <f>(VLOOKUP($A159,'The List'!$B1:$AH727,17,FALSE)-AVERAGE('The List'!R2:R727))/STDEV('The List'!R2:R727)</f>
        <v>0.21332672575265099</v>
      </c>
      <c r="F159" s="39">
        <f>(VLOOKUP($A159,'The List'!$B1:$AH727,18,FALSE)-AVERAGE('The List'!S2:S727))/STDEV('The List'!S2:S727)</f>
        <v>0.73215828342699396</v>
      </c>
      <c r="G159" s="39">
        <f>(VLOOKUP($A159,'The List'!$B1:$AH727,19,FALSE)-AVERAGE('The List'!T2:T727))/STDEV('The List'!T2:T727)</f>
        <v>0.68171113377597847</v>
      </c>
      <c r="H159" s="39">
        <f>(VLOOKUP($A159,'The List'!$B1:$AH727,20,FALSE)-AVERAGE('The List'!U2:U727))/STDEV('The List'!U2:U727)</f>
        <v>0.75325451253830222</v>
      </c>
      <c r="I159" s="39">
        <f>(VLOOKUP($A159,'The List'!$B1:$AH727,21,FALSE)-AVERAGE('The List'!V2:V727))/STDEV('The List'!V2:V727)</f>
        <v>-3.0653961216235523E-2</v>
      </c>
      <c r="J159" s="39">
        <f>(VLOOKUP($A159,'The List'!$B1:$AH727,22,FALSE)-AVERAGE('The List'!W2:W727))/STDEV('The List'!W2:W727)</f>
        <v>0.16776590987099882</v>
      </c>
      <c r="K159" s="39">
        <f>(VLOOKUP($A159,'The List'!$B1:$AH727,23,FALSE)-AVERAGE('The List'!X2:X727))/STDEV('The List'!X2:X727)</f>
        <v>-1.2578760206797528E-2</v>
      </c>
      <c r="L159" s="39">
        <f>(VLOOKUP($A159,'The List'!$B1:$AH727,24,FALSE)-AVERAGE('The List'!Y2:Y727))/STDEV('The List'!Y2:Y727)</f>
        <v>4.0866504183282339E-2</v>
      </c>
      <c r="M159" s="39">
        <f>(VLOOKUP($A159,'The List'!$B1:$AH727,25,FALSE)-AVERAGE('The List'!Z2:Z727))/STDEV('The List'!Z2:Z727)</f>
        <v>-1.6476557104168871E-2</v>
      </c>
      <c r="N159" s="39">
        <f>(VLOOKUP($A159,'The List'!$B1:$AH727,26,FALSE)-AVERAGE('The List'!AA2:AA727))/STDEV('The List'!AA2:AA727)</f>
        <v>-0.48788929693767735</v>
      </c>
      <c r="O159" s="39">
        <f>(VLOOKUP($A159,'The List'!$B1:$AH727,27,FALSE)-AVERAGE('The List'!AB2:AB727))/STDEV('The List'!AB2:AB727)</f>
        <v>1.582474585332498</v>
      </c>
      <c r="P159" s="39">
        <f>(VLOOKUP($A159,'The List'!$B1:$AH727,28,FALSE)-AVERAGE('The List'!AC2:AC727))/STDEV('The List'!AC2:AC727)</f>
        <v>0.87377832953401102</v>
      </c>
      <c r="Q159" s="39">
        <f>(VLOOKUP($A159,'The List'!$B1:$AH727,29,FALSE)-AVERAGE('The List'!AD2:AD727))/STDEV('The List'!AD2:AD727)</f>
        <v>0.479248994559829</v>
      </c>
      <c r="R159" s="39">
        <f>(VLOOKUP($A159,'The List'!$B1:$AH727,30,FALSE)-AVERAGE('The List'!AE2:AE727))/STDEV('The List'!AE2:AE727)</f>
        <v>0.97081352955739042</v>
      </c>
      <c r="S159" s="39">
        <f>(VLOOKUP($A159,'The List'!$B1:$AH727,31,FALSE)-AVERAGE('The List'!AF2:AF727))/STDEV('The List'!AF2:AF727)</f>
        <v>-0.17517049497831466</v>
      </c>
      <c r="T159" s="39">
        <f>(VLOOKUP($A159,'The List'!$B1:$AH727,32,FALSE)-AVERAGE('The List'!AG2:AG727))/STDEV('The List'!AG2:AG727)</f>
        <v>7.5962605640558208E-3</v>
      </c>
      <c r="U159" s="39">
        <f>(VLOOKUP($A159,'The List'!$B1:$AH727,33,FALSE)-AVERAGE('The List'!AH2:AH727))/STDEV('The List'!AH2:AH727)</f>
        <v>0.55806532780964435</v>
      </c>
      <c r="V159" s="39"/>
      <c r="W159" s="41"/>
      <c r="X159" s="39"/>
      <c r="Y159" s="39"/>
      <c r="Z159" s="39"/>
      <c r="AA159" s="39"/>
      <c r="AB159" s="39"/>
      <c r="AC159" s="39"/>
      <c r="AD159" s="39"/>
      <c r="AE159" s="39"/>
    </row>
    <row r="160" spans="1:31" ht="21.25" customHeight="1" x14ac:dyDescent="0.15">
      <c r="A160" s="8" t="s">
        <v>393</v>
      </c>
      <c r="B160" s="35" t="str">
        <f>VLOOKUP(A160,'Player Data'!A1:B734,2,FALSE)</f>
        <v>WSH</v>
      </c>
      <c r="C160" s="37">
        <f>((E160)*Settings!$C$12)+(F160*Settings!$C$2)+(G160*Settings!$C$3)+(H160*Settings!$C$4)+(I160*Settings!$C$5)+(K160*Settings!$C$9)+(N160*Settings!$C$6)+(J160*Settings!$C$8)+(O160*Settings!$C$7)+(P160*Settings!$C$14)+(Q160*Settings!$C$15)+(R160*Settings!$C$16)+(S160*Settings!$C$17)+(T160*Settings!$C$18)+(U160*Settings!$C$19)</f>
        <v>0.58940897809363935</v>
      </c>
      <c r="D160" s="41">
        <f>IF(Settings!$E$12="YES",VLOOKUP(A160,'Player Data'!A1:E734,5,FALSE),82)</f>
        <v>77.722142857142899</v>
      </c>
      <c r="E160" s="39">
        <f>(VLOOKUP($A160,'The List'!$B1:$AH727,17,FALSE)-AVERAGE('The List'!R2:R727))/STDEV('The List'!R2:R727)</f>
        <v>-0.26787308230374812</v>
      </c>
      <c r="F160" s="39">
        <f>(VLOOKUP($A160,'The List'!$B1:$AH727,18,FALSE)-AVERAGE('The List'!S2:S727))/STDEV('The List'!S2:S727)</f>
        <v>0.69475472424319795</v>
      </c>
      <c r="G160" s="39">
        <f>(VLOOKUP($A160,'The List'!$B1:$AH727,19,FALSE)-AVERAGE('The List'!T2:T727))/STDEV('The List'!T2:T727)</f>
        <v>0.44909036331644792</v>
      </c>
      <c r="H160" s="39">
        <f>(VLOOKUP($A160,'The List'!$B1:$AH727,20,FALSE)-AVERAGE('The List'!U2:U727))/STDEV('The List'!U2:U727)</f>
        <v>0.59289049181852738</v>
      </c>
      <c r="I160" s="39">
        <f>(VLOOKUP($A160,'The List'!$B1:$AH727,21,FALSE)-AVERAGE('The List'!V2:V727))/STDEV('The List'!V2:V727)</f>
        <v>8.433239849738032E-2</v>
      </c>
      <c r="J160" s="39">
        <f>(VLOOKUP($A160,'The List'!$B1:$AH727,22,FALSE)-AVERAGE('The List'!W2:W727))/STDEV('The List'!W2:W727)</f>
        <v>-3.9443414935457048E-3</v>
      </c>
      <c r="K160" s="39">
        <f>(VLOOKUP($A160,'The List'!$B1:$AH727,23,FALSE)-AVERAGE('The List'!X2:X727))/STDEV('The List'!X2:X727)</f>
        <v>0.27421308309984638</v>
      </c>
      <c r="L160" s="39">
        <f>(VLOOKUP($A160,'The List'!$B1:$AH727,24,FALSE)-AVERAGE('The List'!Y2:Y727))/STDEV('The List'!Y2:Y727)</f>
        <v>-0.52462141326747502</v>
      </c>
      <c r="M160" s="39">
        <f>(VLOOKUP($A160,'The List'!$B1:$AH727,25,FALSE)-AVERAGE('The List'!Z2:Z727))/STDEV('The List'!Z2:Z727)</f>
        <v>-0.70196112624553364</v>
      </c>
      <c r="N160" s="39">
        <f>(VLOOKUP($A160,'The List'!$B1:$AH727,26,FALSE)-AVERAGE('The List'!AA2:AA727))/STDEV('The List'!AA2:AA727)</f>
        <v>-0.51717987227804674</v>
      </c>
      <c r="O160" s="39">
        <f>(VLOOKUP($A160,'The List'!$B1:$AH727,27,FALSE)-AVERAGE('The List'!AB2:AB727))/STDEV('The List'!AB2:AB727)</f>
        <v>-1.4384673876211549</v>
      </c>
      <c r="P160" s="39">
        <f>(VLOOKUP($A160,'The List'!$B1:$AH727,28,FALSE)-AVERAGE('The List'!AC2:AC727))/STDEV('The List'!AC2:AC727)</f>
        <v>-0.39580171878518661</v>
      </c>
      <c r="Q160" s="39">
        <f>(VLOOKUP($A160,'The List'!$B1:$AH727,29,FALSE)-AVERAGE('The List'!AD2:AD727))/STDEV('The List'!AD2:AD727)</f>
        <v>-0.40391117934451393</v>
      </c>
      <c r="R160" s="39">
        <f>(VLOOKUP($A160,'The List'!$B1:$AH727,30,FALSE)-AVERAGE('The List'!AE2:AE727))/STDEV('The List'!AE2:AE727)</f>
        <v>0.40577537756733978</v>
      </c>
      <c r="S160" s="39">
        <f>(VLOOKUP($A160,'The List'!$B1:$AH727,31,FALSE)-AVERAGE('The List'!AF2:AF727))/STDEV('The List'!AF2:AF727)</f>
        <v>1.7488678353869542</v>
      </c>
      <c r="T160" s="39">
        <f>(VLOOKUP($A160,'The List'!$B1:$AH727,32,FALSE)-AVERAGE('The List'!AG2:AG727))/STDEV('The List'!AG2:AG727)</f>
        <v>1.8385598897905717</v>
      </c>
      <c r="U160" s="39">
        <f>(VLOOKUP($A160,'The List'!$B1:$AH727,33,FALSE)-AVERAGE('The List'!AH2:AH727))/STDEV('The List'!AH2:AH727)</f>
        <v>1.0130277126736982</v>
      </c>
      <c r="V160" s="39"/>
      <c r="W160" s="43"/>
      <c r="X160" s="41"/>
      <c r="Y160" s="41"/>
      <c r="Z160" s="41"/>
      <c r="AA160" s="41"/>
      <c r="AB160" s="41"/>
      <c r="AC160" s="44"/>
      <c r="AD160" s="45"/>
      <c r="AE160" s="39"/>
    </row>
    <row r="161" spans="1:31" ht="21.25" customHeight="1" x14ac:dyDescent="0.15">
      <c r="A161" s="8" t="s">
        <v>486</v>
      </c>
      <c r="B161" s="35" t="str">
        <f>VLOOKUP(A161,'Player Data'!A1:B734,2,FALSE)</f>
        <v>WPG</v>
      </c>
      <c r="C161" s="37">
        <f>((E161)*Settings!$C$12)+(F161*Settings!$C$2)+(G161*Settings!$C$3)+(H161*Settings!$C$4)+(I161*Settings!$C$5)+(K161*Settings!$C$9)+(N161*Settings!$C$6)+(J161*Settings!$C$8)+(O161*Settings!$C$7)+(P161*Settings!$C$14)+(Q161*Settings!$C$15)+(R161*Settings!$C$16)+(S161*Settings!$C$17)+(T161*Settings!$C$18)+(U161*Settings!$C$19)</f>
        <v>0.13972521009579048</v>
      </c>
      <c r="D161" s="41">
        <f>IF(Settings!$E$12="YES",VLOOKUP(A161,'Player Data'!A1:E734,5,FALSE),82)</f>
        <v>68.2</v>
      </c>
      <c r="E161" s="39">
        <f>(VLOOKUP($A161,'The List'!$B1:$AH727,17,FALSE)-AVERAGE('The List'!R2:R727))/STDEV('The List'!R2:R727)</f>
        <v>-0.21752700828694871</v>
      </c>
      <c r="F161" s="39">
        <f>(VLOOKUP($A161,'The List'!$B1:$AH727,18,FALSE)-AVERAGE('The List'!S2:S727))/STDEV('The List'!S2:S727)</f>
        <v>5.8956391374102406E-2</v>
      </c>
      <c r="G161" s="39">
        <f>(VLOOKUP($A161,'The List'!$B1:$AH727,19,FALSE)-AVERAGE('The List'!T2:T727))/STDEV('The List'!T2:T727)</f>
        <v>0.47204554235670038</v>
      </c>
      <c r="H161" s="39">
        <f>(VLOOKUP($A161,'The List'!$B1:$AH727,20,FALSE)-AVERAGE('The List'!U2:U727))/STDEV('The List'!U2:U727)</f>
        <v>0.31770765711338383</v>
      </c>
      <c r="I161" s="39">
        <f>(VLOOKUP($A161,'The List'!$B1:$AH727,21,FALSE)-AVERAGE('The List'!V2:V727))/STDEV('The List'!V2:V727)</f>
        <v>-9.1370246757992477E-2</v>
      </c>
      <c r="J161" s="39">
        <f>(VLOOKUP($A161,'The List'!$B1:$AH727,22,FALSE)-AVERAGE('The List'!W2:W727))/STDEV('The List'!W2:W727)</f>
        <v>-9.3868802537052584E-2</v>
      </c>
      <c r="K161" s="39">
        <f>(VLOOKUP($A161,'The List'!$B1:$AH727,23,FALSE)-AVERAGE('The List'!X2:X727))/STDEV('The List'!X2:X727)</f>
        <v>-2.5570739504790146E-2</v>
      </c>
      <c r="L161" s="39">
        <f>(VLOOKUP($A161,'The List'!$B1:$AH727,24,FALSE)-AVERAGE('The List'!Y2:Y727))/STDEV('The List'!Y2:Y727)</f>
        <v>-0.54212907741110394</v>
      </c>
      <c r="M161" s="39">
        <f>(VLOOKUP($A161,'The List'!$B1:$AH727,25,FALSE)-AVERAGE('The List'!Z2:Z727))/STDEV('The List'!Z2:Z727)</f>
        <v>-0.72165107021253494</v>
      </c>
      <c r="N161" s="39">
        <f>(VLOOKUP($A161,'The List'!$B1:$AH727,26,FALSE)-AVERAGE('The List'!AA2:AA727))/STDEV('The List'!AA2:AA727)</f>
        <v>-0.80039855964138529</v>
      </c>
      <c r="O161" s="39">
        <f>(VLOOKUP($A161,'The List'!$B1:$AH727,27,FALSE)-AVERAGE('The List'!AB2:AB727))/STDEV('The List'!AB2:AB727)</f>
        <v>-0.79329394046109003</v>
      </c>
      <c r="P161" s="39">
        <f>(VLOOKUP($A161,'The List'!$B1:$AH727,28,FALSE)-AVERAGE('The List'!AC2:AC727))/STDEV('The List'!AC2:AC727)</f>
        <v>0.52606282226915568</v>
      </c>
      <c r="Q161" s="39">
        <f>(VLOOKUP($A161,'The List'!$B1:$AH727,29,FALSE)-AVERAGE('The List'!AD2:AD727))/STDEV('The List'!AD2:AD727)</f>
        <v>-0.69450395163449741</v>
      </c>
      <c r="R161" s="39">
        <f>(VLOOKUP($A161,'The List'!$B1:$AH727,30,FALSE)-AVERAGE('The List'!AE2:AE727))/STDEV('The List'!AE2:AE727)</f>
        <v>0.18653704350551872</v>
      </c>
      <c r="S161" s="39">
        <f>(VLOOKUP($A161,'The List'!$B1:$AH727,31,FALSE)-AVERAGE('The List'!AF2:AF727))/STDEV('The List'!AF2:AF727)</f>
        <v>-0.54204768071199561</v>
      </c>
      <c r="T161" s="39">
        <f>(VLOOKUP($A161,'The List'!$B1:$AH727,32,FALSE)-AVERAGE('The List'!AG2:AG727))/STDEV('The List'!AG2:AG727)</f>
        <v>-0.53994139069377056</v>
      </c>
      <c r="U161" s="39">
        <f>(VLOOKUP($A161,'The List'!$B1:$AH727,33,FALSE)-AVERAGE('The List'!AH2:AH727))/STDEV('The List'!AH2:AH727)</f>
        <v>-0.27447650074779995</v>
      </c>
      <c r="V161" s="39"/>
      <c r="W161" s="43"/>
      <c r="X161" s="41"/>
      <c r="Y161" s="41"/>
      <c r="Z161" s="41"/>
      <c r="AA161" s="41"/>
      <c r="AB161" s="41"/>
      <c r="AC161" s="44"/>
      <c r="AD161" s="45"/>
      <c r="AE161" s="39"/>
    </row>
    <row r="162" spans="1:31" ht="21.25" customHeight="1" x14ac:dyDescent="0.15">
      <c r="A162" s="8" t="s">
        <v>283</v>
      </c>
      <c r="B162" s="35" t="str">
        <f>VLOOKUP(A162,'Player Data'!A1:B734,2,FALSE)</f>
        <v>PIT</v>
      </c>
      <c r="C162" s="37">
        <f>((E162)*Settings!$C$12)+(F162*Settings!$C$2)+(G162*Settings!$C$3)+(H162*Settings!$C$4)+(I162*Settings!$C$5)+(K162*Settings!$C$9)+(N162*Settings!$C$6)+(J162*Settings!$C$8)+(O162*Settings!$C$7)+(P162*Settings!$C$14)+(Q162*Settings!$C$15)+(R162*Settings!$C$16)+(S162*Settings!$C$17)+(T162*Settings!$C$18)+(U162*Settings!$C$19)</f>
        <v>1.5949016072482189</v>
      </c>
      <c r="D162" s="41">
        <f>IF(Settings!$E$12="YES",VLOOKUP(A162,'Player Data'!A1:E734,5,FALSE),82)</f>
        <v>77.305714285714302</v>
      </c>
      <c r="E162" s="39">
        <f>(VLOOKUP($A162,'The List'!$B1:$AH727,17,FALSE)-AVERAGE('The List'!R2:R727))/STDEV('The List'!R2:R727)</f>
        <v>0.24320710374593152</v>
      </c>
      <c r="F162" s="39">
        <f>(VLOOKUP($A162,'The List'!$B1:$AH727,18,FALSE)-AVERAGE('The List'!S2:S727))/STDEV('The List'!S2:S727)</f>
        <v>0.85443072775663331</v>
      </c>
      <c r="G162" s="39">
        <f>(VLOOKUP($A162,'The List'!$B1:$AH727,19,FALSE)-AVERAGE('The List'!T2:T727))/STDEV('The List'!T2:T727)</f>
        <v>0.29279162818163801</v>
      </c>
      <c r="H162" s="39">
        <f>(VLOOKUP($A162,'The List'!$B1:$AH727,20,FALSE)-AVERAGE('The List'!U2:U727))/STDEV('The List'!U2:U727)</f>
        <v>0.56924034558217862</v>
      </c>
      <c r="I162" s="39">
        <f>(VLOOKUP($A162,'The List'!$B1:$AH727,21,FALSE)-AVERAGE('The List'!V2:V727))/STDEV('The List'!V2:V727)</f>
        <v>0.75019956050593684</v>
      </c>
      <c r="J162" s="39">
        <f>(VLOOKUP($A162,'The List'!$B1:$AH727,22,FALSE)-AVERAGE('The List'!W2:W727))/STDEV('The List'!W2:W727)</f>
        <v>0.26621859284687904</v>
      </c>
      <c r="K162" s="39">
        <f>(VLOOKUP($A162,'The List'!$B1:$AH727,23,FALSE)-AVERAGE('The List'!X2:X727))/STDEV('The List'!X2:X727)</f>
        <v>-8.718933865698579E-2</v>
      </c>
      <c r="L162" s="39">
        <f>(VLOOKUP($A162,'The List'!$B1:$AH727,24,FALSE)-AVERAGE('The List'!Y2:Y727))/STDEV('The List'!Y2:Y727)</f>
        <v>5.5155766802057649</v>
      </c>
      <c r="M162" s="39">
        <f>(VLOOKUP($A162,'The List'!$B1:$AH727,25,FALSE)-AVERAGE('The List'!Z2:Z727))/STDEV('The List'!Z2:Z727)</f>
        <v>3.9114869845430835</v>
      </c>
      <c r="N162" s="39">
        <f>(VLOOKUP($A162,'The List'!$B1:$AH727,26,FALSE)-AVERAGE('The List'!AA2:AA727))/STDEV('The List'!AA2:AA727)</f>
        <v>-0.63985256875778473</v>
      </c>
      <c r="O162" s="39">
        <f>(VLOOKUP($A162,'The List'!$B1:$AH727,27,FALSE)-AVERAGE('The List'!AB2:AB727))/STDEV('The List'!AB2:AB727)</f>
        <v>-0.4171127173605631</v>
      </c>
      <c r="P162" s="39">
        <f>(VLOOKUP($A162,'The List'!$B1:$AH727,28,FALSE)-AVERAGE('The List'!AC2:AC727))/STDEV('The List'!AC2:AC727)</f>
        <v>0.42452159821878122</v>
      </c>
      <c r="Q162" s="39">
        <f>(VLOOKUP($A162,'The List'!$B1:$AH727,29,FALSE)-AVERAGE('The List'!AD2:AD727))/STDEV('The List'!AD2:AD727)</f>
        <v>-0.80766494950047563</v>
      </c>
      <c r="R162" s="39">
        <f>(VLOOKUP($A162,'The List'!$B1:$AH727,30,FALSE)-AVERAGE('The List'!AE2:AE727))/STDEV('The List'!AE2:AE727)</f>
        <v>1.0413076360950337</v>
      </c>
      <c r="S162" s="39">
        <f>(VLOOKUP($A162,'The List'!$B1:$AH727,31,FALSE)-AVERAGE('The List'!AF2:AF727))/STDEV('The List'!AF2:AF727)</f>
        <v>-0.54234681516920624</v>
      </c>
      <c r="T162" s="39">
        <f>(VLOOKUP($A162,'The List'!$B1:$AH727,32,FALSE)-AVERAGE('The List'!AG2:AG727))/STDEV('The List'!AG2:AG727)</f>
        <v>-0.58017612640745608</v>
      </c>
      <c r="U162" s="39">
        <f>(VLOOKUP($A162,'The List'!$B1:$AH727,33,FALSE)-AVERAGE('The List'!AH2:AH727))/STDEV('The List'!AH2:AH727)</f>
        <v>0.7122415281707184</v>
      </c>
      <c r="V162" s="39"/>
      <c r="W162" s="43"/>
      <c r="X162" s="41"/>
      <c r="Y162" s="41"/>
      <c r="Z162" s="41"/>
      <c r="AA162" s="41"/>
      <c r="AB162" s="41"/>
      <c r="AC162" s="44"/>
      <c r="AD162" s="45"/>
      <c r="AE162" s="39"/>
    </row>
    <row r="163" spans="1:31" ht="21.25" customHeight="1" x14ac:dyDescent="0.15">
      <c r="A163" s="8" t="s">
        <v>572</v>
      </c>
      <c r="B163" s="35" t="str">
        <f>VLOOKUP(A163,'Player Data'!A1:B734,2,FALSE)</f>
        <v>SJS</v>
      </c>
      <c r="C163" s="37">
        <f>((E163)*Settings!$C$12)+(F163*Settings!$C$2)+(G163*Settings!$C$3)+(H163*Settings!$C$4)+(I163*Settings!$C$5)+(K163*Settings!$C$9)+(N163*Settings!$C$6)+(J163*Settings!$C$8)+(O163*Settings!$C$7)+(P163*Settings!$C$14)+(Q163*Settings!$C$15)+(R163*Settings!$C$16)+(S163*Settings!$C$17)+(T163*Settings!$C$18)+(U163*Settings!$C$19)</f>
        <v>-1.1460251608676402</v>
      </c>
      <c r="D163" s="41">
        <f>IF(Settings!$E$12="YES",VLOOKUP(A163,'Player Data'!A1:E734,5,FALSE),82)</f>
        <v>54.3</v>
      </c>
      <c r="E163" s="39">
        <f>(VLOOKUP($A163,'The List'!$B1:$AH727,17,FALSE)-AVERAGE('The List'!R2:R727))/STDEV('The List'!R2:R727)</f>
        <v>0.26111487947226086</v>
      </c>
      <c r="F163" s="39">
        <f>(VLOOKUP($A163,'The List'!$B1:$AH727,18,FALSE)-AVERAGE('The List'!S2:S727))/STDEV('The List'!S2:S727)</f>
        <v>0.31176930546775267</v>
      </c>
      <c r="G163" s="39">
        <f>(VLOOKUP($A163,'The List'!$B1:$AH727,19,FALSE)-AVERAGE('The List'!T2:T727))/STDEV('The List'!T2:T727)</f>
        <v>-0.35309444148850067</v>
      </c>
      <c r="H163" s="39">
        <f>(VLOOKUP($A163,'The List'!$B1:$AH727,20,FALSE)-AVERAGE('The List'!U2:U727))/STDEV('The List'!U2:U727)</f>
        <v>-7.5705502738240948E-2</v>
      </c>
      <c r="I163" s="39">
        <f>(VLOOKUP($A163,'The List'!$B1:$AH727,21,FALSE)-AVERAGE('The List'!V2:V727))/STDEV('The List'!V2:V727)</f>
        <v>-0.28935929112592668</v>
      </c>
      <c r="J163" s="39">
        <f>(VLOOKUP($A163,'The List'!$B1:$AH727,22,FALSE)-AVERAGE('The List'!W2:W727))/STDEV('The List'!W2:W727)</f>
        <v>0.72160416485326018</v>
      </c>
      <c r="K163" s="39">
        <f>(VLOOKUP($A163,'The List'!$B1:$AH727,23,FALSE)-AVERAGE('The List'!X2:X727))/STDEV('The List'!X2:X727)</f>
        <v>0.26005056519872971</v>
      </c>
      <c r="L163" s="39">
        <f>(VLOOKUP($A163,'The List'!$B1:$AH727,24,FALSE)-AVERAGE('The List'!Y2:Y727))/STDEV('The List'!Y2:Y727)</f>
        <v>-0.17336031393060619</v>
      </c>
      <c r="M163" s="39">
        <f>(VLOOKUP($A163,'The List'!$B1:$AH727,25,FALSE)-AVERAGE('The List'!Z2:Z727))/STDEV('The List'!Z2:Z727)</f>
        <v>-0.30744137123231446</v>
      </c>
      <c r="N163" s="39">
        <f>(VLOOKUP($A163,'The List'!$B1:$AH727,26,FALSE)-AVERAGE('The List'!AA2:AA727))/STDEV('The List'!AA2:AA727)</f>
        <v>-0.85191081649074452</v>
      </c>
      <c r="O163" s="39">
        <f>(VLOOKUP($A163,'The List'!$B1:$AH727,27,FALSE)-AVERAGE('The List'!AB2:AB727))/STDEV('The List'!AB2:AB727)</f>
        <v>-1.0318188501640866</v>
      </c>
      <c r="P163" s="39">
        <f>(VLOOKUP($A163,'The List'!$B1:$AH727,28,FALSE)-AVERAGE('The List'!AC2:AC727))/STDEV('The List'!AC2:AC727)</f>
        <v>-0.22348048242895077</v>
      </c>
      <c r="Q163" s="39">
        <f>(VLOOKUP($A163,'The List'!$B1:$AH727,29,FALSE)-AVERAGE('The List'!AD2:AD727))/STDEV('The List'!AD2:AD727)</f>
        <v>-0.81149656300821449</v>
      </c>
      <c r="R163" s="39">
        <f>(VLOOKUP($A163,'The List'!$B1:$AH727,30,FALSE)-AVERAGE('The List'!AE2:AE727))/STDEV('The List'!AE2:AE727)</f>
        <v>8.1432351040720011E-2</v>
      </c>
      <c r="S163" s="39">
        <f>(VLOOKUP($A163,'The List'!$B1:$AH727,31,FALSE)-AVERAGE('The List'!AF2:AF727))/STDEV('The List'!AF2:AF727)</f>
        <v>-0.38727510997976944</v>
      </c>
      <c r="T163" s="39">
        <f>(VLOOKUP($A163,'The List'!$B1:$AH727,32,FALSE)-AVERAGE('The List'!AG2:AG727))/STDEV('The List'!AG2:AG727)</f>
        <v>-0.42904698597871355</v>
      </c>
      <c r="U163" s="39">
        <f>(VLOOKUP($A163,'The List'!$B1:$AH727,33,FALSE)-AVERAGE('The List'!AH2:AH727))/STDEV('The List'!AH2:AH727)</f>
        <v>1.0629727615743909</v>
      </c>
      <c r="V163" s="39"/>
      <c r="W163" s="43"/>
      <c r="X163" s="41"/>
      <c r="Y163" s="41"/>
      <c r="Z163" s="41"/>
      <c r="AA163" s="41"/>
      <c r="AB163" s="41"/>
      <c r="AC163" s="44"/>
      <c r="AD163" s="45"/>
      <c r="AE163" s="39"/>
    </row>
    <row r="164" spans="1:31" ht="21.25" customHeight="1" x14ac:dyDescent="0.15">
      <c r="A164" s="8" t="s">
        <v>199</v>
      </c>
      <c r="B164" s="35" t="str">
        <f>VLOOKUP(A164,'Player Data'!A1:B734,2,FALSE)</f>
        <v>CGY</v>
      </c>
      <c r="C164" s="37">
        <f>((E164)*Settings!$C$12)+(F164*Settings!$C$2)+(G164*Settings!$C$3)+(H164*Settings!$C$4)+(I164*Settings!$C$5)+(K164*Settings!$C$9)+(N164*Settings!$C$6)+(J164*Settings!$C$8)+(O164*Settings!$C$7)+(P164*Settings!$C$14)+(Q164*Settings!$C$15)+(R164*Settings!$C$16)+(S164*Settings!$C$17)+(T164*Settings!$C$18)+(U164*Settings!$C$19)</f>
        <v>5.4957105994551672</v>
      </c>
      <c r="D164" s="41">
        <f>IF(Settings!$E$12="YES",VLOOKUP(A164,'Player Data'!A1:E734,5,FALSE),82)</f>
        <v>80.8</v>
      </c>
      <c r="E164" s="39">
        <f>(VLOOKUP($A164,'The List'!$B1:$AH727,17,FALSE)-AVERAGE('The List'!R2:R727))/STDEV('The List'!R2:R727)</f>
        <v>2.0392272147611257</v>
      </c>
      <c r="F164" s="39">
        <f>(VLOOKUP($A164,'The List'!$B1:$AH727,18,FALSE)-AVERAGE('The List'!S2:S727))/STDEV('The List'!S2:S727)</f>
        <v>-0.47775657711692454</v>
      </c>
      <c r="G164" s="39">
        <f>(VLOOKUP($A164,'The List'!$B1:$AH727,19,FALSE)-AVERAGE('The List'!T2:T727))/STDEV('The List'!T2:T727)</f>
        <v>1.4200238820305855</v>
      </c>
      <c r="H164" s="39">
        <f>(VLOOKUP($A164,'The List'!$B1:$AH727,20,FALSE)-AVERAGE('The List'!U2:U727))/STDEV('The List'!U2:U727)</f>
        <v>0.65762265273128573</v>
      </c>
      <c r="I164" s="39">
        <f>(VLOOKUP($A164,'The List'!$B1:$AH727,21,FALSE)-AVERAGE('The List'!V2:V727))/STDEV('The List'!V2:V727)</f>
        <v>0.52919454633003338</v>
      </c>
      <c r="J164" s="39">
        <f>(VLOOKUP($A164,'The List'!$B1:$AH727,22,FALSE)-AVERAGE('The List'!W2:W727))/STDEV('The List'!W2:W727)</f>
        <v>-0.25810300905223749</v>
      </c>
      <c r="K164" s="39">
        <f>(VLOOKUP($A164,'The List'!$B1:$AH727,23,FALSE)-AVERAGE('The List'!X2:X727))/STDEV('The List'!X2:X727)</f>
        <v>1.3328938875443375</v>
      </c>
      <c r="L164" s="39">
        <f>(VLOOKUP($A164,'The List'!$B1:$AH727,24,FALSE)-AVERAGE('The List'!Y2:Y727))/STDEV('The List'!Y2:Y727)</f>
        <v>0.38208568873633014</v>
      </c>
      <c r="M164" s="39">
        <f>(VLOOKUP($A164,'The List'!$B1:$AH727,25,FALSE)-AVERAGE('The List'!Z2:Z727))/STDEV('The List'!Z2:Z727)</f>
        <v>0.81861912907126411</v>
      </c>
      <c r="N164" s="39">
        <f>(VLOOKUP($A164,'The List'!$B1:$AH727,26,FALSE)-AVERAGE('The List'!AA2:AA727))/STDEV('The List'!AA2:AA727)</f>
        <v>1.9556132869874923</v>
      </c>
      <c r="O164" s="39">
        <f>(VLOOKUP($A164,'The List'!$B1:$AH727,27,FALSE)-AVERAGE('The List'!AB2:AB727))/STDEV('The List'!AB2:AB727)</f>
        <v>-0.58796911580028133</v>
      </c>
      <c r="P164" s="39">
        <f>(VLOOKUP($A164,'The List'!$B1:$AH727,28,FALSE)-AVERAGE('The List'!AC2:AC727))/STDEV('The List'!AC2:AC727)</f>
        <v>0.73574157367964366</v>
      </c>
      <c r="Q164" s="39">
        <f>(VLOOKUP($A164,'The List'!$B1:$AH727,29,FALSE)-AVERAGE('The List'!AD2:AD727))/STDEV('The List'!AD2:AD727)</f>
        <v>0.36858012117408623</v>
      </c>
      <c r="R164" s="39">
        <f>(VLOOKUP($A164,'The List'!$B1:$AH727,30,FALSE)-AVERAGE('The List'!AE2:AE727))/STDEV('The List'!AE2:AE727)</f>
        <v>-0.30123864154936641</v>
      </c>
      <c r="S164" s="39">
        <f>(VLOOKUP($A164,'The List'!$B1:$AH727,31,FALSE)-AVERAGE('The List'!AF2:AF727))/STDEV('The List'!AF2:AF727)</f>
        <v>-0.55804314905918151</v>
      </c>
      <c r="T164" s="39">
        <f>(VLOOKUP($A164,'The List'!$B1:$AH727,32,FALSE)-AVERAGE('The List'!AG2:AG727))/STDEV('The List'!AG2:AG727)</f>
        <v>-0.60188453558131205</v>
      </c>
      <c r="U164" s="39">
        <f>(VLOOKUP($A164,'The List'!$B1:$AH727,33,FALSE)-AVERAGE('The List'!AH2:AH727))/STDEV('The List'!AH2:AH727)</f>
        <v>-1.2395873372913611</v>
      </c>
      <c r="V164" s="39"/>
      <c r="W164" s="43"/>
      <c r="X164" s="41"/>
      <c r="Y164" s="41"/>
      <c r="Z164" s="41"/>
      <c r="AA164" s="41"/>
      <c r="AB164" s="41"/>
      <c r="AC164" s="44"/>
      <c r="AD164" s="45"/>
      <c r="AE164" s="39"/>
    </row>
    <row r="165" spans="1:31" ht="21.25" customHeight="1" x14ac:dyDescent="0.15">
      <c r="A165" s="8" t="s">
        <v>184</v>
      </c>
      <c r="B165" s="35" t="str">
        <f>VLOOKUP(A165,'Player Data'!A1:B734,2,FALSE)</f>
        <v>NYI</v>
      </c>
      <c r="C165" s="37">
        <f>((E165)*Settings!$C$12)+(F165*Settings!$C$2)+(G165*Settings!$C$3)+(H165*Settings!$C$4)+(I165*Settings!$C$5)+(K165*Settings!$C$9)+(N165*Settings!$C$6)+(J165*Settings!$C$8)+(O165*Settings!$C$7)+(P165*Settings!$C$14)+(Q165*Settings!$C$15)+(R165*Settings!$C$16)+(S165*Settings!$C$17)+(T165*Settings!$C$18)+(U165*Settings!$C$19)</f>
        <v>5.0749052237577565</v>
      </c>
      <c r="D165" s="41">
        <f>IF(Settings!$E$12="YES",VLOOKUP(A165,'Player Data'!A1:E734,5,FALSE),82)</f>
        <v>79.580714285714294</v>
      </c>
      <c r="E165" s="39">
        <f>(VLOOKUP($A165,'The List'!$B1:$AH727,17,FALSE)-AVERAGE('The List'!R2:R727))/STDEV('The List'!R2:R727)</f>
        <v>1.0918670793232721</v>
      </c>
      <c r="F165" s="39">
        <f>(VLOOKUP($A165,'The List'!$B1:$AH727,18,FALSE)-AVERAGE('The List'!S2:S727))/STDEV('The List'!S2:S727)</f>
        <v>-0.12007760857761904</v>
      </c>
      <c r="G165" s="39">
        <f>(VLOOKUP($A165,'The List'!$B1:$AH727,19,FALSE)-AVERAGE('The List'!T2:T727))/STDEV('The List'!T2:T727)</f>
        <v>1.0974445717606964</v>
      </c>
      <c r="H165" s="39">
        <f>(VLOOKUP($A165,'The List'!$B1:$AH727,20,FALSE)-AVERAGE('The List'!U2:U727))/STDEV('The List'!U2:U727)</f>
        <v>0.62161262438816567</v>
      </c>
      <c r="I165" s="39">
        <f>(VLOOKUP($A165,'The List'!$B1:$AH727,21,FALSE)-AVERAGE('The List'!V2:V727))/STDEV('The List'!V2:V727)</f>
        <v>1.0339087860007332</v>
      </c>
      <c r="J165" s="39">
        <f>(VLOOKUP($A165,'The List'!$B1:$AH727,22,FALSE)-AVERAGE('The List'!W2:W727))/STDEV('The List'!W2:W727)</f>
        <v>0.30045616279310089</v>
      </c>
      <c r="K165" s="39">
        <f>(VLOOKUP($A165,'The List'!$B1:$AH727,23,FALSE)-AVERAGE('The List'!X2:X727))/STDEV('The List'!X2:X727)</f>
        <v>1.4660889065895533</v>
      </c>
      <c r="L165" s="39">
        <f>(VLOOKUP($A165,'The List'!$B1:$AH727,24,FALSE)-AVERAGE('The List'!Y2:Y727))/STDEV('The List'!Y2:Y727)</f>
        <v>-0.50848056868636671</v>
      </c>
      <c r="M165" s="39">
        <f>(VLOOKUP($A165,'The List'!$B1:$AH727,25,FALSE)-AVERAGE('The List'!Z2:Z727))/STDEV('The List'!Z2:Z727)</f>
        <v>-0.64299487474861006</v>
      </c>
      <c r="N165" s="39">
        <f>(VLOOKUP($A165,'The List'!$B1:$AH727,26,FALSE)-AVERAGE('The List'!AA2:AA727))/STDEV('The List'!AA2:AA727)</f>
        <v>1.4366210560875676</v>
      </c>
      <c r="O165" s="39">
        <f>(VLOOKUP($A165,'The List'!$B1:$AH727,27,FALSE)-AVERAGE('The List'!AB2:AB727))/STDEV('The List'!AB2:AB727)</f>
        <v>-0.34118272798940991</v>
      </c>
      <c r="P165" s="39">
        <f>(VLOOKUP($A165,'The List'!$B1:$AH727,28,FALSE)-AVERAGE('The List'!AC2:AC727))/STDEV('The List'!AC2:AC727)</f>
        <v>0.16091951189682524</v>
      </c>
      <c r="Q165" s="39">
        <f>(VLOOKUP($A165,'The List'!$B1:$AH727,29,FALSE)-AVERAGE('The List'!AD2:AD727))/STDEV('The List'!AD2:AD727)</f>
        <v>-0.64218722911437465</v>
      </c>
      <c r="R165" s="39">
        <f>(VLOOKUP($A165,'The List'!$B1:$AH727,30,FALSE)-AVERAGE('The List'!AE2:AE727))/STDEV('The List'!AE2:AE727)</f>
        <v>-7.2660897340842256E-3</v>
      </c>
      <c r="S165" s="39">
        <f>(VLOOKUP($A165,'The List'!$B1:$AH727,31,FALSE)-AVERAGE('The List'!AF2:AF727))/STDEV('The List'!AF2:AF727)</f>
        <v>-0.55804314905918151</v>
      </c>
      <c r="T165" s="39">
        <f>(VLOOKUP($A165,'The List'!$B1:$AH727,32,FALSE)-AVERAGE('The List'!AG2:AG727))/STDEV('The List'!AG2:AG727)</f>
        <v>-0.60188453558131205</v>
      </c>
      <c r="U165" s="39">
        <f>(VLOOKUP($A165,'The List'!$B1:$AH727,33,FALSE)-AVERAGE('The List'!AH2:AH727))/STDEV('The List'!AH2:AH727)</f>
        <v>-1.2395873372913611</v>
      </c>
      <c r="V165" s="39"/>
      <c r="W165" s="43"/>
      <c r="X165" s="41"/>
      <c r="Y165" s="41"/>
      <c r="Z165" s="41"/>
      <c r="AA165" s="41"/>
      <c r="AB165" s="41"/>
      <c r="AC165" s="44"/>
      <c r="AD165" s="45"/>
      <c r="AE165" s="39"/>
    </row>
    <row r="166" spans="1:31" ht="21.25" customHeight="1" x14ac:dyDescent="0.15">
      <c r="A166" s="8" t="s">
        <v>293</v>
      </c>
      <c r="B166" s="35" t="str">
        <f>VLOOKUP(A166,'Player Data'!A1:B734,2,FALSE)</f>
        <v>MIN</v>
      </c>
      <c r="C166" s="37">
        <f>((E166)*Settings!$C$12)+(F166*Settings!$C$2)+(G166*Settings!$C$3)+(H166*Settings!$C$4)+(I166*Settings!$C$5)+(K166*Settings!$C$9)+(N166*Settings!$C$6)+(J166*Settings!$C$8)+(O166*Settings!$C$7)+(P166*Settings!$C$14)+(Q166*Settings!$C$15)+(R166*Settings!$C$16)+(S166*Settings!$C$17)+(T166*Settings!$C$18)+(U166*Settings!$C$19)</f>
        <v>2.1915369097381636</v>
      </c>
      <c r="D166" s="41">
        <f>IF(Settings!$E$12="YES",VLOOKUP(A166,'Player Data'!A1:E734,5,FALSE),82)</f>
        <v>77.400000000000006</v>
      </c>
      <c r="E166" s="39">
        <f>(VLOOKUP($A166,'The List'!$B1:$AH727,17,FALSE)-AVERAGE('The List'!R2:R727))/STDEV('The List'!R2:R727)</f>
        <v>-5.3733771290037612E-2</v>
      </c>
      <c r="F166" s="39">
        <f>(VLOOKUP($A166,'The List'!$B1:$AH727,18,FALSE)-AVERAGE('The List'!S2:S727))/STDEV('The List'!S2:S727)</f>
        <v>0.83441078370488631</v>
      </c>
      <c r="G166" s="39">
        <f>(VLOOKUP($A166,'The List'!$B1:$AH727,19,FALSE)-AVERAGE('The List'!T2:T727))/STDEV('The List'!T2:T727)</f>
        <v>0.2734279788532763</v>
      </c>
      <c r="H166" s="39">
        <f>(VLOOKUP($A166,'The List'!$B1:$AH727,20,FALSE)-AVERAGE('The List'!U2:U727))/STDEV('The List'!U2:U727)</f>
        <v>0.54819795924821169</v>
      </c>
      <c r="I166" s="39">
        <f>(VLOOKUP($A166,'The List'!$B1:$AH727,21,FALSE)-AVERAGE('The List'!V2:V727))/STDEV('The List'!V2:V727)</f>
        <v>0.81733177840166393</v>
      </c>
      <c r="J166" s="39">
        <f>(VLOOKUP($A166,'The List'!$B1:$AH727,22,FALSE)-AVERAGE('The List'!W2:W727))/STDEV('The List'!W2:W727)</f>
        <v>-0.4648715599702935</v>
      </c>
      <c r="K166" s="39">
        <f>(VLOOKUP($A166,'The List'!$B1:$AH727,23,FALSE)-AVERAGE('The List'!X2:X727))/STDEV('The List'!X2:X727)</f>
        <v>-0.36936619646837759</v>
      </c>
      <c r="L166" s="39">
        <f>(VLOOKUP($A166,'The List'!$B1:$AH727,24,FALSE)-AVERAGE('The List'!Y2:Y727))/STDEV('The List'!Y2:Y727)</f>
        <v>1.3419702275092202</v>
      </c>
      <c r="M166" s="39">
        <f>(VLOOKUP($A166,'The List'!$B1:$AH727,25,FALSE)-AVERAGE('The List'!Z2:Z727))/STDEV('The List'!Z2:Z727)</f>
        <v>1.1392298510158927</v>
      </c>
      <c r="N166" s="39">
        <f>(VLOOKUP($A166,'The List'!$B1:$AH727,26,FALSE)-AVERAGE('The List'!AA2:AA727))/STDEV('The List'!AA2:AA727)</f>
        <v>-0.14463971119721536</v>
      </c>
      <c r="O166" s="39">
        <f>(VLOOKUP($A166,'The List'!$B1:$AH727,27,FALSE)-AVERAGE('The List'!AB2:AB727))/STDEV('The List'!AB2:AB727)</f>
        <v>-0.32203905875131361</v>
      </c>
      <c r="P166" s="39">
        <f>(VLOOKUP($A166,'The List'!$B1:$AH727,28,FALSE)-AVERAGE('The List'!AC2:AC727))/STDEV('The List'!AC2:AC727)</f>
        <v>0.78037227644393037</v>
      </c>
      <c r="Q166" s="39">
        <f>(VLOOKUP($A166,'The List'!$B1:$AH727,29,FALSE)-AVERAGE('The List'!AD2:AD727))/STDEV('The List'!AD2:AD727)</f>
        <v>2.6159289992558561</v>
      </c>
      <c r="R166" s="39">
        <f>(VLOOKUP($A166,'The List'!$B1:$AH727,30,FALSE)-AVERAGE('The List'!AE2:AE727))/STDEV('The List'!AE2:AE727)</f>
        <v>1.0403355805423935</v>
      </c>
      <c r="S166" s="39">
        <f>(VLOOKUP($A166,'The List'!$B1:$AH727,31,FALSE)-AVERAGE('The List'!AF2:AF727))/STDEV('The List'!AF2:AF727)</f>
        <v>1.1426460580072046</v>
      </c>
      <c r="T166" s="39">
        <f>(VLOOKUP($A166,'The List'!$B1:$AH727,32,FALSE)-AVERAGE('The List'!AG2:AG727))/STDEV('The List'!AG2:AG727)</f>
        <v>1.7150626849960509</v>
      </c>
      <c r="U166" s="39">
        <f>(VLOOKUP($A166,'The List'!$B1:$AH727,33,FALSE)-AVERAGE('The List'!AH2:AH727))/STDEV('The List'!AH2:AH727)</f>
        <v>0.72894888941630098</v>
      </c>
      <c r="V166" s="39"/>
      <c r="W166" s="43"/>
      <c r="X166" s="41"/>
      <c r="Y166" s="41"/>
      <c r="Z166" s="41"/>
      <c r="AA166" s="41"/>
      <c r="AB166" s="41"/>
      <c r="AC166" s="44"/>
      <c r="AD166" s="45"/>
      <c r="AE166" s="39"/>
    </row>
    <row r="167" spans="1:31" ht="21.25" customHeight="1" x14ac:dyDescent="0.15">
      <c r="A167" s="8" t="s">
        <v>383</v>
      </c>
      <c r="B167" s="35" t="str">
        <f>VLOOKUP(A167,'Player Data'!A1:B734,2,FALSE)</f>
        <v>NSH</v>
      </c>
      <c r="C167" s="37">
        <f>((E167)*Settings!$C$12)+(F167*Settings!$C$2)+(G167*Settings!$C$3)+(H167*Settings!$C$4)+(I167*Settings!$C$5)+(K167*Settings!$C$9)+(N167*Settings!$C$6)+(J167*Settings!$C$8)+(O167*Settings!$C$7)+(P167*Settings!$C$14)+(Q167*Settings!$C$15)+(R167*Settings!$C$16)+(S167*Settings!$C$17)+(T167*Settings!$C$18)+(U167*Settings!$C$19)</f>
        <v>0.73956591754264844</v>
      </c>
      <c r="D167" s="41">
        <f>IF(Settings!$E$12="YES",VLOOKUP(A167,'Player Data'!A1:E734,5,FALSE),82)</f>
        <v>76.332499999999996</v>
      </c>
      <c r="E167" s="39">
        <f>(VLOOKUP($A167,'The List'!$B1:$AH727,17,FALSE)-AVERAGE('The List'!R2:R727))/STDEV('The List'!R2:R727)</f>
        <v>0.53319247692115768</v>
      </c>
      <c r="F167" s="39">
        <f>(VLOOKUP($A167,'The List'!$B1:$AH727,18,FALSE)-AVERAGE('The List'!S2:S727))/STDEV('The List'!S2:S727)</f>
        <v>0.69851630787630814</v>
      </c>
      <c r="G167" s="39">
        <f>(VLOOKUP($A167,'The List'!$B1:$AH727,19,FALSE)-AVERAGE('The List'!T2:T727))/STDEV('The List'!T2:T727)</f>
        <v>0.32497669561315662</v>
      </c>
      <c r="H167" s="39">
        <f>(VLOOKUP($A167,'The List'!$B1:$AH727,20,FALSE)-AVERAGE('The List'!U2:U727))/STDEV('The List'!U2:U727)</f>
        <v>0.51812226288921703</v>
      </c>
      <c r="I167" s="39">
        <f>(VLOOKUP($A167,'The List'!$B1:$AH727,21,FALSE)-AVERAGE('The List'!V2:V727))/STDEV('The List'!V2:V727)</f>
        <v>0.39450476599420259</v>
      </c>
      <c r="J167" s="39">
        <f>(VLOOKUP($A167,'The List'!$B1:$AH727,22,FALSE)-AVERAGE('The List'!W2:W727))/STDEV('The List'!W2:W727)</f>
        <v>0.23097413538628023</v>
      </c>
      <c r="K167" s="39">
        <f>(VLOOKUP($A167,'The List'!$B1:$AH727,23,FALSE)-AVERAGE('The List'!X2:X727))/STDEV('The List'!X2:X727)</f>
        <v>0.13303988586466156</v>
      </c>
      <c r="L167" s="39">
        <f>(VLOOKUP($A167,'The List'!$B1:$AH727,24,FALSE)-AVERAGE('The List'!Y2:Y727))/STDEV('The List'!Y2:Y727)</f>
        <v>1.5782803972078008</v>
      </c>
      <c r="M167" s="39">
        <f>(VLOOKUP($A167,'The List'!$B1:$AH727,25,FALSE)-AVERAGE('The List'!Z2:Z727))/STDEV('The List'!Z2:Z727)</f>
        <v>1.110982993396592</v>
      </c>
      <c r="N167" s="39">
        <f>(VLOOKUP($A167,'The List'!$B1:$AH727,26,FALSE)-AVERAGE('The List'!AA2:AA727))/STDEV('The List'!AA2:AA727)</f>
        <v>-0.58548559542405743</v>
      </c>
      <c r="O167" s="39">
        <f>(VLOOKUP($A167,'The List'!$B1:$AH727,27,FALSE)-AVERAGE('The List'!AB2:AB727))/STDEV('The List'!AB2:AB727)</f>
        <v>-1.2709499940930142</v>
      </c>
      <c r="P167" s="39">
        <f>(VLOOKUP($A167,'The List'!$B1:$AH727,28,FALSE)-AVERAGE('The List'!AC2:AC727))/STDEV('The List'!AC2:AC727)</f>
        <v>-0.22598614238162285</v>
      </c>
      <c r="Q167" s="39">
        <f>(VLOOKUP($A167,'The List'!$B1:$AH727,29,FALSE)-AVERAGE('The List'!AD2:AD727))/STDEV('The List'!AD2:AD727)</f>
        <v>-0.70024991508159928</v>
      </c>
      <c r="R167" s="39">
        <f>(VLOOKUP($A167,'The List'!$B1:$AH727,30,FALSE)-AVERAGE('The List'!AE2:AE727))/STDEV('The List'!AE2:AE727)</f>
        <v>0.70841641975528746</v>
      </c>
      <c r="S167" s="39">
        <f>(VLOOKUP($A167,'The List'!$B1:$AH727,31,FALSE)-AVERAGE('The List'!AF2:AF727))/STDEV('The List'!AF2:AF727)</f>
        <v>3.3114078503044024</v>
      </c>
      <c r="T167" s="39">
        <f>(VLOOKUP($A167,'The List'!$B1:$AH727,32,FALSE)-AVERAGE('The List'!AG2:AG727))/STDEV('The List'!AG2:AG727)</f>
        <v>2.479299294007574</v>
      </c>
      <c r="U167" s="39">
        <f>(VLOOKUP($A167,'The List'!$B1:$AH727,33,FALSE)-AVERAGE('The List'!AH2:AH727))/STDEV('The List'!AH2:AH727)</f>
        <v>1.3318583611492965</v>
      </c>
      <c r="V167" s="39"/>
      <c r="W167" s="41"/>
      <c r="X167" s="39"/>
      <c r="Y167" s="39"/>
      <c r="Z167" s="39"/>
      <c r="AA167" s="39"/>
      <c r="AB167" s="39"/>
      <c r="AC167" s="39"/>
      <c r="AD167" s="39"/>
      <c r="AE167" s="39"/>
    </row>
    <row r="168" spans="1:31" ht="21.25" customHeight="1" x14ac:dyDescent="0.15">
      <c r="A168" s="8" t="s">
        <v>336</v>
      </c>
      <c r="B168" s="35" t="str">
        <f>VLOOKUP(A168,'Player Data'!A1:B734,2,FALSE)</f>
        <v>CAR</v>
      </c>
      <c r="C168" s="37">
        <f>((E168)*Settings!$C$12)+(F168*Settings!$C$2)+(G168*Settings!$C$3)+(H168*Settings!$C$4)+(I168*Settings!$C$5)+(K168*Settings!$C$9)+(N168*Settings!$C$6)+(J168*Settings!$C$8)+(O168*Settings!$C$7)+(P168*Settings!$C$14)+(Q168*Settings!$C$15)+(R168*Settings!$C$16)+(S168*Settings!$C$17)+(T168*Settings!$C$18)+(U168*Settings!$C$19)</f>
        <v>3.883577876930532</v>
      </c>
      <c r="D168" s="41">
        <f>IF(Settings!$E$12="YES",VLOOKUP(A168,'Player Data'!A1:E734,5,FALSE),82)</f>
        <v>79.405000000000001</v>
      </c>
      <c r="E168" s="39">
        <f>(VLOOKUP($A168,'The List'!$B1:$AH727,17,FALSE)-AVERAGE('The List'!R2:R727))/STDEV('The List'!R2:R727)</f>
        <v>8.5507358394893665E-2</v>
      </c>
      <c r="F168" s="39">
        <f>(VLOOKUP($A168,'The List'!$B1:$AH727,18,FALSE)-AVERAGE('The List'!S2:S727))/STDEV('The List'!S2:S727)</f>
        <v>0.66737640942277987</v>
      </c>
      <c r="G168" s="39">
        <f>(VLOOKUP($A168,'The List'!$B1:$AH727,19,FALSE)-AVERAGE('The List'!T2:T727))/STDEV('The List'!T2:T727)</f>
        <v>0.65355944313485825</v>
      </c>
      <c r="H168" s="39">
        <f>(VLOOKUP($A168,'The List'!$B1:$AH727,20,FALSE)-AVERAGE('The List'!U2:U727))/STDEV('The List'!U2:U727)</f>
        <v>0.70642737506083875</v>
      </c>
      <c r="I168" s="39">
        <f>(VLOOKUP($A168,'The List'!$B1:$AH727,21,FALSE)-AVERAGE('The List'!V2:V727))/STDEV('The List'!V2:V727)</f>
        <v>0.89949701952436367</v>
      </c>
      <c r="J168" s="39">
        <f>(VLOOKUP($A168,'The List'!$B1:$AH727,22,FALSE)-AVERAGE('The List'!W2:W727))/STDEV('The List'!W2:W727)</f>
        <v>-0.20071370558028295</v>
      </c>
      <c r="K168" s="39">
        <f>(VLOOKUP($A168,'The List'!$B1:$AH727,23,FALSE)-AVERAGE('The List'!X2:X727))/STDEV('The List'!X2:X727)</f>
        <v>0.10644302652497391</v>
      </c>
      <c r="L168" s="39">
        <f>(VLOOKUP($A168,'The List'!$B1:$AH727,24,FALSE)-AVERAGE('The List'!Y2:Y727))/STDEV('The List'!Y2:Y727)</f>
        <v>0.12718549601930371</v>
      </c>
      <c r="M168" s="39">
        <f>(VLOOKUP($A168,'The List'!$B1:$AH727,25,FALSE)-AVERAGE('The List'!Z2:Z727))/STDEV('The List'!Z2:Z727)</f>
        <v>-0.25558007109845438</v>
      </c>
      <c r="N168" s="39">
        <f>(VLOOKUP($A168,'The List'!$B1:$AH727,26,FALSE)-AVERAGE('The List'!AA2:AA727))/STDEV('The List'!AA2:AA727)</f>
        <v>-0.4265282338716036</v>
      </c>
      <c r="O168" s="39">
        <f>(VLOOKUP($A168,'The List'!$B1:$AH727,27,FALSE)-AVERAGE('The List'!AB2:AB727))/STDEV('The List'!AB2:AB727)</f>
        <v>-0.27647488099854628</v>
      </c>
      <c r="P168" s="39">
        <f>(VLOOKUP($A168,'The List'!$B1:$AH727,28,FALSE)-AVERAGE('The List'!AC2:AC727))/STDEV('The List'!AC2:AC727)</f>
        <v>1.9832302121951599</v>
      </c>
      <c r="Q168" s="39">
        <f>(VLOOKUP($A168,'The List'!$B1:$AH727,29,FALSE)-AVERAGE('The List'!AD2:AD727))/STDEV('The List'!AD2:AD727)</f>
        <v>-0.76965216585563445</v>
      </c>
      <c r="R168" s="39">
        <f>(VLOOKUP($A168,'The List'!$B1:$AH727,30,FALSE)-AVERAGE('The List'!AE2:AE727))/STDEV('The List'!AE2:AE727)</f>
        <v>1.1065862657195185</v>
      </c>
      <c r="S168" s="39">
        <f>(VLOOKUP($A168,'The List'!$B1:$AH727,31,FALSE)-AVERAGE('The List'!AF2:AF727))/STDEV('The List'!AF2:AF727)</f>
        <v>-0.50692280417201807</v>
      </c>
      <c r="T168" s="39">
        <f>(VLOOKUP($A168,'The List'!$B1:$AH727,32,FALSE)-AVERAGE('The List'!AG2:AG727))/STDEV('The List'!AG2:AG727)</f>
        <v>-0.51448927692934054</v>
      </c>
      <c r="U168" s="39">
        <f>(VLOOKUP($A168,'The List'!$B1:$AH727,33,FALSE)-AVERAGE('The List'!AH2:AH727))/STDEV('The List'!AH2:AH727)</f>
        <v>0.48142530453766219</v>
      </c>
      <c r="V168" s="39"/>
      <c r="W168" s="41"/>
      <c r="X168" s="39"/>
      <c r="Y168" s="39"/>
      <c r="Z168" s="39"/>
      <c r="AA168" s="39"/>
      <c r="AB168" s="39"/>
      <c r="AC168" s="39"/>
      <c r="AD168" s="39"/>
      <c r="AE168" s="39"/>
    </row>
    <row r="169" spans="1:31" ht="21.25" customHeight="1" x14ac:dyDescent="0.15">
      <c r="A169" s="8" t="s">
        <v>242</v>
      </c>
      <c r="B169" s="35" t="str">
        <f>VLOOKUP(A169,'Player Data'!A1:B734,2,FALSE)</f>
        <v>MTL</v>
      </c>
      <c r="C169" s="37">
        <f>((E169)*Settings!$C$12)+(F169*Settings!$C$2)+(G169*Settings!$C$3)+(H169*Settings!$C$4)+(I169*Settings!$C$5)+(K169*Settings!$C$9)+(N169*Settings!$C$6)+(J169*Settings!$C$8)+(O169*Settings!$C$7)+(P169*Settings!$C$14)+(Q169*Settings!$C$15)+(R169*Settings!$C$16)+(S169*Settings!$C$17)+(T169*Settings!$C$18)+(U169*Settings!$C$19)</f>
        <v>1.8330940245074665</v>
      </c>
      <c r="D169" s="41">
        <f>IF(Settings!$E$12="YES",VLOOKUP(A169,'Player Data'!A1:E734,5,FALSE),82)</f>
        <v>73.137857142857101</v>
      </c>
      <c r="E169" s="39">
        <f>(VLOOKUP($A169,'The List'!$B1:$AH727,17,FALSE)-AVERAGE('The List'!R2:R727))/STDEV('The List'!R2:R727)</f>
        <v>2.1800035551559582</v>
      </c>
      <c r="F169" s="39">
        <f>(VLOOKUP($A169,'The List'!$B1:$AH727,18,FALSE)-AVERAGE('The List'!S2:S727))/STDEV('The List'!S2:S727)</f>
        <v>-0.29364024590148918</v>
      </c>
      <c r="G169" s="39">
        <f>(VLOOKUP($A169,'The List'!$B1:$AH727,19,FALSE)-AVERAGE('The List'!T2:T727))/STDEV('The List'!T2:T727)</f>
        <v>0.73656053193431303</v>
      </c>
      <c r="H169" s="39">
        <f>(VLOOKUP($A169,'The List'!$B1:$AH727,20,FALSE)-AVERAGE('The List'!U2:U727))/STDEV('The List'!U2:U727)</f>
        <v>0.32025069515256427</v>
      </c>
      <c r="I169" s="39">
        <f>(VLOOKUP($A169,'The List'!$B1:$AH727,21,FALSE)-AVERAGE('The List'!V2:V727))/STDEV('The List'!V2:V727)</f>
        <v>0.81833243044140325</v>
      </c>
      <c r="J169" s="39">
        <f>(VLOOKUP($A169,'The List'!$B1:$AH727,22,FALSE)-AVERAGE('The List'!W2:W727))/STDEV('The List'!W2:W727)</f>
        <v>-0.58436220011314877</v>
      </c>
      <c r="K169" s="39">
        <f>(VLOOKUP($A169,'The List'!$B1:$AH727,23,FALSE)-AVERAGE('The List'!X2:X727))/STDEV('The List'!X2:X727)</f>
        <v>0.44694681840616174</v>
      </c>
      <c r="L169" s="39">
        <f>(VLOOKUP($A169,'The List'!$B1:$AH727,24,FALSE)-AVERAGE('The List'!Y2:Y727))/STDEV('The List'!Y2:Y727)</f>
        <v>-0.46172302837654766</v>
      </c>
      <c r="M169" s="39">
        <f>(VLOOKUP($A169,'The List'!$B1:$AH727,25,FALSE)-AVERAGE('The List'!Z2:Z727))/STDEV('The List'!Z2:Z727)</f>
        <v>1.5580653569065752</v>
      </c>
      <c r="N169" s="39">
        <f>(VLOOKUP($A169,'The List'!$B1:$AH727,26,FALSE)-AVERAGE('The List'!AA2:AA727))/STDEV('The List'!AA2:AA727)</f>
        <v>1.4970374484737097</v>
      </c>
      <c r="O169" s="39">
        <f>(VLOOKUP($A169,'The List'!$B1:$AH727,27,FALSE)-AVERAGE('The List'!AB2:AB727))/STDEV('The List'!AB2:AB727)</f>
        <v>2.3328109048930089E-3</v>
      </c>
      <c r="P169" s="39">
        <f>(VLOOKUP($A169,'The List'!$B1:$AH727,28,FALSE)-AVERAGE('The List'!AC2:AC727))/STDEV('The List'!AC2:AC727)</f>
        <v>-1.3721429588466323</v>
      </c>
      <c r="Q169" s="39">
        <f>(VLOOKUP($A169,'The List'!$B1:$AH727,29,FALSE)-AVERAGE('The List'!AD2:AD727))/STDEV('The List'!AD2:AD727)</f>
        <v>1.2916381609849623</v>
      </c>
      <c r="R169" s="39">
        <f>(VLOOKUP($A169,'The List'!$B1:$AH727,30,FALSE)-AVERAGE('The List'!AE2:AE727))/STDEV('The List'!AE2:AE727)</f>
        <v>-0.48403877832023112</v>
      </c>
      <c r="S169" s="39">
        <f>(VLOOKUP($A169,'The List'!$B1:$AH727,31,FALSE)-AVERAGE('The List'!AF2:AF727))/STDEV('The List'!AF2:AF727)</f>
        <v>-0.55804314905918151</v>
      </c>
      <c r="T169" s="39">
        <f>(VLOOKUP($A169,'The List'!$B1:$AH727,32,FALSE)-AVERAGE('The List'!AG2:AG727))/STDEV('The List'!AG2:AG727)</f>
        <v>-0.60188453558131205</v>
      </c>
      <c r="U169" s="39">
        <f>(VLOOKUP($A169,'The List'!$B1:$AH727,33,FALSE)-AVERAGE('The List'!AH2:AH727))/STDEV('The List'!AH2:AH727)</f>
        <v>-1.2395873372913611</v>
      </c>
      <c r="V169" s="39"/>
      <c r="W169" s="41"/>
      <c r="X169" s="41"/>
      <c r="Y169" s="41"/>
      <c r="Z169" s="41"/>
      <c r="AA169" s="41"/>
      <c r="AB169" s="41"/>
      <c r="AC169" s="44"/>
      <c r="AD169" s="45"/>
      <c r="AE169" s="39"/>
    </row>
    <row r="170" spans="1:31" ht="21.25" customHeight="1" x14ac:dyDescent="0.15">
      <c r="A170" s="8" t="s">
        <v>340</v>
      </c>
      <c r="B170" s="35" t="str">
        <f>VLOOKUP(A170,'Player Data'!A1:B734,2,FALSE)</f>
        <v>EDM</v>
      </c>
      <c r="C170" s="37">
        <f>((E170)*Settings!$C$12)+(F170*Settings!$C$2)+(G170*Settings!$C$3)+(H170*Settings!$C$4)+(I170*Settings!$C$5)+(K170*Settings!$C$9)+(N170*Settings!$C$6)+(J170*Settings!$C$8)+(O170*Settings!$C$7)+(P170*Settings!$C$14)+(Q170*Settings!$C$15)+(R170*Settings!$C$16)+(S170*Settings!$C$17)+(T170*Settings!$C$18)+(U170*Settings!$C$19)</f>
        <v>1.4587059199642356</v>
      </c>
      <c r="D170" s="41">
        <f>IF(Settings!$E$12="YES",VLOOKUP(A170,'Player Data'!A1:E734,5,FALSE),82)</f>
        <v>69.39</v>
      </c>
      <c r="E170" s="39">
        <f>(VLOOKUP($A170,'The List'!$B1:$AH727,17,FALSE)-AVERAGE('The List'!R2:R727))/STDEV('The List'!R2:R727)</f>
        <v>-8.2815470590775625E-2</v>
      </c>
      <c r="F170" s="39">
        <f>(VLOOKUP($A170,'The List'!$B1:$AH727,18,FALSE)-AVERAGE('The List'!S2:S727))/STDEV('The List'!S2:S727)</f>
        <v>0.89672018981693802</v>
      </c>
      <c r="G170" s="39">
        <f>(VLOOKUP($A170,'The List'!$B1:$AH727,19,FALSE)-AVERAGE('The List'!T2:T727))/STDEV('The List'!T2:T727)</f>
        <v>-0.15336898567918683</v>
      </c>
      <c r="H170" s="39">
        <f>(VLOOKUP($A170,'The List'!$B1:$AH727,20,FALSE)-AVERAGE('The List'!U2:U727))/STDEV('The List'!U2:U727)</f>
        <v>0.3135564186639368</v>
      </c>
      <c r="I170" s="39">
        <f>(VLOOKUP($A170,'The List'!$B1:$AH727,21,FALSE)-AVERAGE('The List'!V2:V727))/STDEV('The List'!V2:V727)</f>
        <v>1.1134080983981041</v>
      </c>
      <c r="J170" s="39">
        <f>(VLOOKUP($A170,'The List'!$B1:$AH727,22,FALSE)-AVERAGE('The List'!W2:W727))/STDEV('The List'!W2:W727)</f>
        <v>-0.23730651899227431</v>
      </c>
      <c r="K170" s="39">
        <f>(VLOOKUP($A170,'The List'!$B1:$AH727,23,FALSE)-AVERAGE('The List'!X2:X727))/STDEV('The List'!X2:X727)</f>
        <v>-0.39722096328905171</v>
      </c>
      <c r="L170" s="39">
        <f>(VLOOKUP($A170,'The List'!$B1:$AH727,24,FALSE)-AVERAGE('The List'!Y2:Y727))/STDEV('The List'!Y2:Y727)</f>
        <v>0.64821570891757641</v>
      </c>
      <c r="M170" s="39">
        <f>(VLOOKUP($A170,'The List'!$B1:$AH727,25,FALSE)-AVERAGE('The List'!Z2:Z727))/STDEV('The List'!Z2:Z727)</f>
        <v>0.88580315010516208</v>
      </c>
      <c r="N170" s="39">
        <f>(VLOOKUP($A170,'The List'!$B1:$AH727,26,FALSE)-AVERAGE('The List'!AA2:AA727))/STDEV('The List'!AA2:AA727)</f>
        <v>-0.94464122795459171</v>
      </c>
      <c r="O170" s="39">
        <f>(VLOOKUP($A170,'The List'!$B1:$AH727,27,FALSE)-AVERAGE('The List'!AB2:AB727))/STDEV('The List'!AB2:AB727)</f>
        <v>1.4360281112362179</v>
      </c>
      <c r="P170" s="39">
        <f>(VLOOKUP($A170,'The List'!$B1:$AH727,28,FALSE)-AVERAGE('The List'!AC2:AC727))/STDEV('The List'!AC2:AC727)</f>
        <v>0.94380880867202377</v>
      </c>
      <c r="Q170" s="39">
        <f>(VLOOKUP($A170,'The List'!$B1:$AH727,29,FALSE)-AVERAGE('The List'!AD2:AD727))/STDEV('The List'!AD2:AD727)</f>
        <v>1.7088643216423869</v>
      </c>
      <c r="R170" s="39">
        <f>(VLOOKUP($A170,'The List'!$B1:$AH727,30,FALSE)-AVERAGE('The List'!AE2:AE727))/STDEV('The List'!AE2:AE727)</f>
        <v>1.072963208617328</v>
      </c>
      <c r="S170" s="39">
        <f>(VLOOKUP($A170,'The List'!$B1:$AH727,31,FALSE)-AVERAGE('The List'!AF2:AF727))/STDEV('The List'!AF2:AF727)</f>
        <v>-0.46399000299924437</v>
      </c>
      <c r="T170" s="39">
        <f>(VLOOKUP($A170,'The List'!$B1:$AH727,32,FALSE)-AVERAGE('The List'!AG2:AG727))/STDEV('The List'!AG2:AG727)</f>
        <v>-0.45374303571473396</v>
      </c>
      <c r="U170" s="39">
        <f>(VLOOKUP($A170,'The List'!$B1:$AH727,33,FALSE)-AVERAGE('The List'!AH2:AH727))/STDEV('The List'!AH2:AH727)</f>
        <v>0.56954764396629987</v>
      </c>
      <c r="V170" s="39"/>
      <c r="W170" s="43"/>
      <c r="X170" s="41"/>
      <c r="Y170" s="41"/>
      <c r="Z170" s="41"/>
      <c r="AA170" s="41"/>
      <c r="AB170" s="41"/>
      <c r="AC170" s="44"/>
      <c r="AD170" s="45"/>
      <c r="AE170" s="39"/>
    </row>
    <row r="171" spans="1:31" ht="21.25" customHeight="1" x14ac:dyDescent="0.15">
      <c r="A171" s="8" t="s">
        <v>372</v>
      </c>
      <c r="B171" s="35" t="str">
        <f>VLOOKUP(A171,'Player Data'!A1:B734,2,FALSE)</f>
        <v>ANA</v>
      </c>
      <c r="C171" s="37">
        <f>((E171)*Settings!$C$12)+(F171*Settings!$C$2)+(G171*Settings!$C$3)+(H171*Settings!$C$4)+(I171*Settings!$C$5)+(K171*Settings!$C$9)+(N171*Settings!$C$6)+(J171*Settings!$C$8)+(O171*Settings!$C$7)+(P171*Settings!$C$14)+(Q171*Settings!$C$15)+(R171*Settings!$C$16)+(S171*Settings!$C$17)+(T171*Settings!$C$18)+(U171*Settings!$C$19)</f>
        <v>0.37010160934291214</v>
      </c>
      <c r="D171" s="41">
        <f>IF(Settings!$E$12="YES",VLOOKUP(A171,'Player Data'!A1:E734,5,FALSE),82)</f>
        <v>74.41</v>
      </c>
      <c r="E171" s="39">
        <f>(VLOOKUP($A171,'The List'!$B1:$AH727,17,FALSE)-AVERAGE('The List'!R2:R727))/STDEV('The List'!R2:R727)</f>
        <v>0.70394526406252567</v>
      </c>
      <c r="F171" s="39">
        <f>(VLOOKUP($A171,'The List'!$B1:$AH727,18,FALSE)-AVERAGE('The List'!S2:S727))/STDEV('The List'!S2:S727)</f>
        <v>0.95741229805795081</v>
      </c>
      <c r="G171" s="39">
        <f>(VLOOKUP($A171,'The List'!$B1:$AH727,19,FALSE)-AVERAGE('The List'!T2:T727))/STDEV('The List'!T2:T727)</f>
        <v>1.2991276097252553E-2</v>
      </c>
      <c r="H171" s="39">
        <f>(VLOOKUP($A171,'The List'!$B1:$AH727,20,FALSE)-AVERAGE('The List'!U2:U727))/STDEV('The List'!U2:U727)</f>
        <v>0.4436878509447596</v>
      </c>
      <c r="I171" s="39">
        <f>(VLOOKUP($A171,'The List'!$B1:$AH727,21,FALSE)-AVERAGE('The List'!V2:V727))/STDEV('The List'!V2:V727)</f>
        <v>0.60758058988522534</v>
      </c>
      <c r="J171" s="39">
        <f>(VLOOKUP($A171,'The List'!$B1:$AH727,22,FALSE)-AVERAGE('The List'!W2:W727))/STDEV('The List'!W2:W727)</f>
        <v>0.60779089907916806</v>
      </c>
      <c r="K171" s="39">
        <f>(VLOOKUP($A171,'The List'!$B1:$AH727,23,FALSE)-AVERAGE('The List'!X2:X727))/STDEV('The List'!X2:X727)</f>
        <v>0.3350499746123895</v>
      </c>
      <c r="L171" s="39">
        <f>(VLOOKUP($A171,'The List'!$B1:$AH727,24,FALSE)-AVERAGE('The List'!Y2:Y727))/STDEV('The List'!Y2:Y727)</f>
        <v>-0.33351752894362235</v>
      </c>
      <c r="M171" s="39">
        <f>(VLOOKUP($A171,'The List'!$B1:$AH727,25,FALSE)-AVERAGE('The List'!Z2:Z727))/STDEV('The List'!Z2:Z727)</f>
        <v>-0.15978109836454857</v>
      </c>
      <c r="N171" s="39">
        <f>(VLOOKUP($A171,'The List'!$B1:$AH727,26,FALSE)-AVERAGE('The List'!AA2:AA727))/STDEV('The List'!AA2:AA727)</f>
        <v>-2.582481275707963E-4</v>
      </c>
      <c r="O171" s="39">
        <f>(VLOOKUP($A171,'The List'!$B1:$AH727,27,FALSE)-AVERAGE('The List'!AB2:AB727))/STDEV('The List'!AB2:AB727)</f>
        <v>-1.0549900439443429</v>
      </c>
      <c r="P171" s="39">
        <f>(VLOOKUP($A171,'The List'!$B1:$AH727,28,FALSE)-AVERAGE('The List'!AC2:AC727))/STDEV('The List'!AC2:AC727)</f>
        <v>-1.5426742811823353</v>
      </c>
      <c r="Q171" s="39">
        <f>(VLOOKUP($A171,'The List'!$B1:$AH727,29,FALSE)-AVERAGE('The List'!AD2:AD727))/STDEV('The List'!AD2:AD727)</f>
        <v>-0.34059106405127249</v>
      </c>
      <c r="R171" s="39">
        <f>(VLOOKUP($A171,'The List'!$B1:$AH727,30,FALSE)-AVERAGE('The List'!AE2:AE727))/STDEV('The List'!AE2:AE727)</f>
        <v>0.40215545407259501</v>
      </c>
      <c r="S171" s="39">
        <f>(VLOOKUP($A171,'The List'!$B1:$AH727,31,FALSE)-AVERAGE('The List'!AF2:AF727))/STDEV('The List'!AF2:AF727)</f>
        <v>-0.55618370320188382</v>
      </c>
      <c r="T171" s="39">
        <f>(VLOOKUP($A171,'The List'!$B1:$AH727,32,FALSE)-AVERAGE('The List'!AG2:AG727))/STDEV('The List'!AG2:AG727)</f>
        <v>-0.60017705291310941</v>
      </c>
      <c r="U171" s="39">
        <f>(VLOOKUP($A171,'The List'!$B1:$AH727,33,FALSE)-AVERAGE('The List'!AH2:AH727))/STDEV('The List'!AH2:AH727)</f>
        <v>1.1726444096507842</v>
      </c>
      <c r="V171" s="39"/>
      <c r="W171" s="41"/>
      <c r="X171" s="39"/>
      <c r="Y171" s="39"/>
      <c r="Z171" s="39"/>
      <c r="AA171" s="39"/>
      <c r="AB171" s="39"/>
      <c r="AC171" s="39"/>
      <c r="AD171" s="39"/>
      <c r="AE171" s="39"/>
    </row>
    <row r="172" spans="1:31" ht="21.25" customHeight="1" x14ac:dyDescent="0.15">
      <c r="A172" s="8" t="s">
        <v>346</v>
      </c>
      <c r="B172" s="35" t="str">
        <f>VLOOKUP(A172,'Player Data'!A1:B734,2,FALSE)</f>
        <v>LAK</v>
      </c>
      <c r="C172" s="37">
        <f>((E172)*Settings!$C$12)+(F172*Settings!$C$2)+(G172*Settings!$C$3)+(H172*Settings!$C$4)+(I172*Settings!$C$5)+(K172*Settings!$C$9)+(N172*Settings!$C$6)+(J172*Settings!$C$8)+(O172*Settings!$C$7)+(P172*Settings!$C$14)+(Q172*Settings!$C$15)+(R172*Settings!$C$16)+(S172*Settings!$C$17)+(T172*Settings!$C$18)+(U172*Settings!$C$19)</f>
        <v>2.2542269348796151</v>
      </c>
      <c r="D172" s="41">
        <f>IF(Settings!$E$12="YES",VLOOKUP(A172,'Player Data'!A1:E734,5,FALSE),82)</f>
        <v>81.178214285714304</v>
      </c>
      <c r="E172" s="39">
        <f>(VLOOKUP($A172,'The List'!$B1:$AH727,17,FALSE)-AVERAGE('The List'!R2:R727))/STDEV('The List'!R2:R727)</f>
        <v>0.37578587734473218</v>
      </c>
      <c r="F172" s="39">
        <f>(VLOOKUP($A172,'The List'!$B1:$AH727,18,FALSE)-AVERAGE('The List'!S2:S727))/STDEV('The List'!S2:S727)</f>
        <v>0.55230750632355186</v>
      </c>
      <c r="G172" s="39">
        <f>(VLOOKUP($A172,'The List'!$B1:$AH727,19,FALSE)-AVERAGE('The List'!T2:T727))/STDEV('The List'!T2:T727)</f>
        <v>0.60371574411987017</v>
      </c>
      <c r="H172" s="39">
        <f>(VLOOKUP($A172,'The List'!$B1:$AH727,20,FALSE)-AVERAGE('The List'!U2:U727))/STDEV('The List'!U2:U727)</f>
        <v>0.6233496772675734</v>
      </c>
      <c r="I172" s="39">
        <f>(VLOOKUP($A172,'The List'!$B1:$AH727,21,FALSE)-AVERAGE('The List'!V2:V727))/STDEV('The List'!V2:V727)</f>
        <v>0.41613157863400424</v>
      </c>
      <c r="J172" s="39">
        <f>(VLOOKUP($A172,'The List'!$B1:$AH727,22,FALSE)-AVERAGE('The List'!W2:W727))/STDEV('The List'!W2:W727)</f>
        <v>8.9009819924419711E-3</v>
      </c>
      <c r="K172" s="39">
        <f>(VLOOKUP($A172,'The List'!$B1:$AH727,23,FALSE)-AVERAGE('The List'!X2:X727))/STDEV('The List'!X2:X727)</f>
        <v>0.50949789091043396</v>
      </c>
      <c r="L172" s="39">
        <f>(VLOOKUP($A172,'The List'!$B1:$AH727,24,FALSE)-AVERAGE('The List'!Y2:Y727))/STDEV('The List'!Y2:Y727)</f>
        <v>-0.3371977054893146</v>
      </c>
      <c r="M172" s="39">
        <f>(VLOOKUP($A172,'The List'!$B1:$AH727,25,FALSE)-AVERAGE('The List'!Z2:Z727))/STDEV('The List'!Z2:Z727)</f>
        <v>1.5664638461095051</v>
      </c>
      <c r="N172" s="39">
        <f>(VLOOKUP($A172,'The List'!$B1:$AH727,26,FALSE)-AVERAGE('The List'!AA2:AA727))/STDEV('The List'!AA2:AA727)</f>
        <v>9.787024225030086E-2</v>
      </c>
      <c r="O172" s="39">
        <f>(VLOOKUP($A172,'The List'!$B1:$AH727,27,FALSE)-AVERAGE('The List'!AB2:AB727))/STDEV('The List'!AB2:AB727)</f>
        <v>-0.24971702880042781</v>
      </c>
      <c r="P172" s="39">
        <f>(VLOOKUP($A172,'The List'!$B1:$AH727,28,FALSE)-AVERAGE('The List'!AC2:AC727))/STDEV('The List'!AC2:AC727)</f>
        <v>7.4703972641453731E-2</v>
      </c>
      <c r="Q172" s="39">
        <f>(VLOOKUP($A172,'The List'!$B1:$AH727,29,FALSE)-AVERAGE('The List'!AD2:AD727))/STDEV('The List'!AD2:AD727)</f>
        <v>0.95564079306889149</v>
      </c>
      <c r="R172" s="39">
        <f>(VLOOKUP($A172,'The List'!$B1:$AH727,30,FALSE)-AVERAGE('The List'!AE2:AE727))/STDEV('The List'!AE2:AE727)</f>
        <v>0.5983519742703356</v>
      </c>
      <c r="S172" s="39">
        <f>(VLOOKUP($A172,'The List'!$B1:$AH727,31,FALSE)-AVERAGE('The List'!AF2:AF727))/STDEV('The List'!AF2:AF727)</f>
        <v>2.774515206883251</v>
      </c>
      <c r="T172" s="39">
        <f>(VLOOKUP($A172,'The List'!$B1:$AH727,32,FALSE)-AVERAGE('The List'!AG2:AG727))/STDEV('The List'!AG2:AG727)</f>
        <v>2.4091285901974375</v>
      </c>
      <c r="U172" s="39">
        <f>(VLOOKUP($A172,'The List'!$B1:$AH727,33,FALSE)-AVERAGE('The List'!AH2:AH727))/STDEV('The List'!AH2:AH727)</f>
        <v>1.1908531063544689</v>
      </c>
      <c r="V172" s="39"/>
      <c r="W172" s="43"/>
      <c r="X172" s="41"/>
      <c r="Y172" s="41"/>
      <c r="Z172" s="41"/>
      <c r="AA172" s="41"/>
      <c r="AB172" s="41"/>
      <c r="AC172" s="44"/>
      <c r="AD172" s="45"/>
      <c r="AE172" s="39"/>
    </row>
    <row r="173" spans="1:31" ht="21.25" customHeight="1" x14ac:dyDescent="0.15">
      <c r="A173" s="8" t="s">
        <v>284</v>
      </c>
      <c r="B173" s="35" t="str">
        <f>VLOOKUP(A173,'Player Data'!A1:B734,2,FALSE)</f>
        <v>NYI</v>
      </c>
      <c r="C173" s="37">
        <f>((E173)*Settings!$C$12)+(F173*Settings!$C$2)+(G173*Settings!$C$3)+(H173*Settings!$C$4)+(I173*Settings!$C$5)+(K173*Settings!$C$9)+(N173*Settings!$C$6)+(J173*Settings!$C$8)+(O173*Settings!$C$7)+(P173*Settings!$C$14)+(Q173*Settings!$C$15)+(R173*Settings!$C$16)+(S173*Settings!$C$17)+(T173*Settings!$C$18)+(U173*Settings!$C$19)</f>
        <v>3.0467987799274754</v>
      </c>
      <c r="D173" s="41">
        <f>IF(Settings!$E$12="YES",VLOOKUP(A173,'Player Data'!A1:E734,5,FALSE),82)</f>
        <v>76.958571428571403</v>
      </c>
      <c r="E173" s="39">
        <f>(VLOOKUP($A173,'The List'!$B1:$AH727,17,FALSE)-AVERAGE('The List'!R2:R727))/STDEV('The List'!R2:R727)</f>
        <v>0.23989316514649422</v>
      </c>
      <c r="F173" s="39">
        <f>(VLOOKUP($A173,'The List'!$B1:$AH727,18,FALSE)-AVERAGE('The List'!S2:S727))/STDEV('The List'!S2:S727)</f>
        <v>1.2449165193029303</v>
      </c>
      <c r="G173" s="39">
        <f>(VLOOKUP($A173,'The List'!$B1:$AH727,19,FALSE)-AVERAGE('The List'!T2:T727))/STDEV('The List'!T2:T727)</f>
        <v>-0.10830739799932393</v>
      </c>
      <c r="H173" s="39">
        <f>(VLOOKUP($A173,'The List'!$B1:$AH727,20,FALSE)-AVERAGE('The List'!U2:U727))/STDEV('The List'!U2:U727)</f>
        <v>0.4997749026903805</v>
      </c>
      <c r="I173" s="39">
        <f>(VLOOKUP($A173,'The List'!$B1:$AH727,21,FALSE)-AVERAGE('The List'!V2:V727))/STDEV('The List'!V2:V727)</f>
        <v>1.0656437611326046</v>
      </c>
      <c r="J173" s="39">
        <f>(VLOOKUP($A173,'The List'!$B1:$AH727,22,FALSE)-AVERAGE('The List'!W2:W727))/STDEV('The List'!W2:W727)</f>
        <v>1.3271415252362428</v>
      </c>
      <c r="K173" s="39">
        <f>(VLOOKUP($A173,'The List'!$B1:$AH727,23,FALSE)-AVERAGE('The List'!X2:X727))/STDEV('The List'!X2:X727)</f>
        <v>0.68307711120132142</v>
      </c>
      <c r="L173" s="39">
        <f>(VLOOKUP($A173,'The List'!$B1:$AH727,24,FALSE)-AVERAGE('The List'!Y2:Y727))/STDEV('The List'!Y2:Y727)</f>
        <v>-0.53337606257353842</v>
      </c>
      <c r="M173" s="39">
        <f>(VLOOKUP($A173,'The List'!$B1:$AH727,25,FALSE)-AVERAGE('The List'!Z2:Z727))/STDEV('The List'!Z2:Z727)</f>
        <v>-0.71185646593294705</v>
      </c>
      <c r="N173" s="39">
        <f>(VLOOKUP($A173,'The List'!$B1:$AH727,26,FALSE)-AVERAGE('The List'!AA2:AA727))/STDEV('The List'!AA2:AA727)</f>
        <v>-0.345296116161799</v>
      </c>
      <c r="O173" s="39">
        <f>(VLOOKUP($A173,'The List'!$B1:$AH727,27,FALSE)-AVERAGE('The List'!AB2:AB727))/STDEV('The List'!AB2:AB727)</f>
        <v>0.35320723905006696</v>
      </c>
      <c r="P173" s="39">
        <f>(VLOOKUP($A173,'The List'!$B1:$AH727,28,FALSE)-AVERAGE('The List'!AC2:AC727))/STDEV('The List'!AC2:AC727)</f>
        <v>0.50676490245174199</v>
      </c>
      <c r="Q173" s="39">
        <f>(VLOOKUP($A173,'The List'!$B1:$AH727,29,FALSE)-AVERAGE('The List'!AD2:AD727))/STDEV('The List'!AD2:AD727)</f>
        <v>0.65676962254403048</v>
      </c>
      <c r="R173" s="39">
        <f>(VLOOKUP($A173,'The List'!$B1:$AH727,30,FALSE)-AVERAGE('The List'!AE2:AE727))/STDEV('The List'!AE2:AE727)</f>
        <v>1.3705073297624937</v>
      </c>
      <c r="S173" s="39">
        <f>(VLOOKUP($A173,'The List'!$B1:$AH727,31,FALSE)-AVERAGE('The List'!AF2:AF727))/STDEV('The List'!AF2:AF727)</f>
        <v>-0.35942857329235428</v>
      </c>
      <c r="T173" s="39">
        <f>(VLOOKUP($A173,'The List'!$B1:$AH727,32,FALSE)-AVERAGE('The List'!AG2:AG727))/STDEV('The List'!AG2:AG727)</f>
        <v>-0.40442277334985499</v>
      </c>
      <c r="U173" s="39">
        <f>(VLOOKUP($A173,'The List'!$B1:$AH727,33,FALSE)-AVERAGE('The List'!AH2:AH727))/STDEV('The List'!AH2:AH727)</f>
        <v>1.0831416352404541</v>
      </c>
      <c r="V173" s="39"/>
      <c r="W173" s="41"/>
      <c r="X173" s="39"/>
      <c r="Y173" s="39"/>
      <c r="Z173" s="39"/>
      <c r="AA173" s="39"/>
      <c r="AB173" s="39"/>
      <c r="AC173" s="39"/>
      <c r="AD173" s="39"/>
      <c r="AE173" s="39"/>
    </row>
    <row r="174" spans="1:31" ht="21.25" customHeight="1" x14ac:dyDescent="0.15">
      <c r="A174" s="8" t="s">
        <v>322</v>
      </c>
      <c r="B174" s="35" t="str">
        <f>VLOOKUP(A174,'Player Data'!A1:B734,2,FALSE)</f>
        <v>TOR</v>
      </c>
      <c r="C174" s="37">
        <f>((E174)*Settings!$C$12)+(F174*Settings!$C$2)+(G174*Settings!$C$3)+(H174*Settings!$C$4)+(I174*Settings!$C$5)+(K174*Settings!$C$9)+(N174*Settings!$C$6)+(J174*Settings!$C$8)+(O174*Settings!$C$7)+(P174*Settings!$C$14)+(Q174*Settings!$C$15)+(R174*Settings!$C$16)+(S174*Settings!$C$17)+(T174*Settings!$C$18)+(U174*Settings!$C$19)</f>
        <v>2.1530229143302781</v>
      </c>
      <c r="D174" s="41">
        <f>IF(Settings!$E$12="YES",VLOOKUP(A174,'Player Data'!A1:E734,5,FALSE),82)</f>
        <v>67.542857142857102</v>
      </c>
      <c r="E174" s="39">
        <f>(VLOOKUP($A174,'The List'!$B1:$AH727,17,FALSE)-AVERAGE('The List'!R2:R727))/STDEV('The List'!R2:R727)</f>
        <v>-0.18722135692642319</v>
      </c>
      <c r="F174" s="39">
        <f>(VLOOKUP($A174,'The List'!$B1:$AH727,18,FALSE)-AVERAGE('The List'!S2:S727))/STDEV('The List'!S2:S727)</f>
        <v>0.61976514958966422</v>
      </c>
      <c r="G174" s="39">
        <f>(VLOOKUP($A174,'The List'!$B1:$AH727,19,FALSE)-AVERAGE('The List'!T2:T727))/STDEV('The List'!T2:T727)</f>
        <v>0.51652470495006142</v>
      </c>
      <c r="H174" s="39">
        <f>(VLOOKUP($A174,'The List'!$B1:$AH727,20,FALSE)-AVERAGE('The List'!U2:U727))/STDEV('The List'!U2:U727)</f>
        <v>0.60031920502196157</v>
      </c>
      <c r="I174" s="39">
        <f>(VLOOKUP($A174,'The List'!$B1:$AH727,21,FALSE)-AVERAGE('The List'!V2:V727))/STDEV('The List'!V2:V727)</f>
        <v>0.34570542107257057</v>
      </c>
      <c r="J174" s="39">
        <f>(VLOOKUP($A174,'The List'!$B1:$AH727,22,FALSE)-AVERAGE('The List'!W2:W727))/STDEV('The List'!W2:W727)</f>
        <v>0.42553582453379973</v>
      </c>
      <c r="K174" s="39">
        <f>(VLOOKUP($A174,'The List'!$B1:$AH727,23,FALSE)-AVERAGE('The List'!X2:X727))/STDEV('The List'!X2:X727)</f>
        <v>0.24734446553338749</v>
      </c>
      <c r="L174" s="39">
        <f>(VLOOKUP($A174,'The List'!$B1:$AH727,24,FALSE)-AVERAGE('The List'!Y2:Y727))/STDEV('The List'!Y2:Y727)</f>
        <v>-0.52294257740549877</v>
      </c>
      <c r="M174" s="39">
        <f>(VLOOKUP($A174,'The List'!$B1:$AH727,25,FALSE)-AVERAGE('The List'!Z2:Z727))/STDEV('The List'!Z2:Z727)</f>
        <v>-0.69817473507286631</v>
      </c>
      <c r="N174" s="39">
        <f>(VLOOKUP($A174,'The List'!$B1:$AH727,26,FALSE)-AVERAGE('The List'!AA2:AA727))/STDEV('The List'!AA2:AA727)</f>
        <v>-0.72184804758319809</v>
      </c>
      <c r="O174" s="39">
        <f>(VLOOKUP($A174,'The List'!$B1:$AH727,27,FALSE)-AVERAGE('The List'!AB2:AB727))/STDEV('The List'!AB2:AB727)</f>
        <v>-0.53598335714796796</v>
      </c>
      <c r="P174" s="39">
        <f>(VLOOKUP($A174,'The List'!$B1:$AH727,28,FALSE)-AVERAGE('The List'!AC2:AC727))/STDEV('The List'!AC2:AC727)</f>
        <v>1.1455312207677923</v>
      </c>
      <c r="Q174" s="39">
        <f>(VLOOKUP($A174,'The List'!$B1:$AH727,29,FALSE)-AVERAGE('The List'!AD2:AD727))/STDEV('The List'!AD2:AD727)</f>
        <v>-0.30116996193372253</v>
      </c>
      <c r="R174" s="39">
        <f>(VLOOKUP($A174,'The List'!$B1:$AH727,30,FALSE)-AVERAGE('The List'!AE2:AE727))/STDEV('The List'!AE2:AE727)</f>
        <v>0.81610785818582376</v>
      </c>
      <c r="S174" s="39">
        <f>(VLOOKUP($A174,'The List'!$B1:$AH727,31,FALSE)-AVERAGE('The List'!AF2:AF727))/STDEV('The List'!AF2:AF727)</f>
        <v>-0.53124719085514005</v>
      </c>
      <c r="T174" s="39">
        <f>(VLOOKUP($A174,'The List'!$B1:$AH727,32,FALSE)-AVERAGE('The List'!AG2:AG727))/STDEV('The List'!AG2:AG727)</f>
        <v>-0.52276035077033045</v>
      </c>
      <c r="U174" s="39">
        <f>(VLOOKUP($A174,'The List'!$B1:$AH727,33,FALSE)-AVERAGE('The List'!AH2:AH727))/STDEV('The List'!AH2:AH727)</f>
        <v>-5.2839703562366509E-2</v>
      </c>
      <c r="V174" s="39"/>
      <c r="W174" s="41"/>
      <c r="X174" s="41"/>
      <c r="Y174" s="41"/>
      <c r="Z174" s="41"/>
      <c r="AA174" s="41"/>
      <c r="AB174" s="41"/>
      <c r="AC174" s="44"/>
      <c r="AD174" s="45"/>
      <c r="AE174" s="39"/>
    </row>
    <row r="175" spans="1:31" ht="21.25" customHeight="1" x14ac:dyDescent="0.15">
      <c r="A175" s="8" t="s">
        <v>479</v>
      </c>
      <c r="B175" s="35" t="str">
        <f>VLOOKUP(A175,'Player Data'!A1:B734,2,FALSE)</f>
        <v>WSH</v>
      </c>
      <c r="C175" s="37">
        <f>((E175)*Settings!$C$12)+(F175*Settings!$C$2)+(G175*Settings!$C$3)+(H175*Settings!$C$4)+(I175*Settings!$C$5)+(K175*Settings!$C$9)+(N175*Settings!$C$6)+(J175*Settings!$C$8)+(O175*Settings!$C$7)+(P175*Settings!$C$14)+(Q175*Settings!$C$15)+(R175*Settings!$C$16)+(S175*Settings!$C$17)+(T175*Settings!$C$18)+(U175*Settings!$C$19)</f>
        <v>-0.86881675747788745</v>
      </c>
      <c r="D175" s="41">
        <f>IF(Settings!$E$12="YES",VLOOKUP(A175,'Player Data'!A1:E734,5,FALSE),82)</f>
        <v>66.7</v>
      </c>
      <c r="E175" s="39">
        <f>(VLOOKUP($A175,'The List'!$B1:$AH727,17,FALSE)-AVERAGE('The List'!R2:R727))/STDEV('The List'!R2:R727)</f>
        <v>0.11688940172780665</v>
      </c>
      <c r="F175" s="39">
        <f>(VLOOKUP($A175,'The List'!$B1:$AH727,18,FALSE)-AVERAGE('The List'!S2:S727))/STDEV('The List'!S2:S727)</f>
        <v>-0.1605982142553698</v>
      </c>
      <c r="G175" s="39">
        <f>(VLOOKUP($A175,'The List'!$B1:$AH727,19,FALSE)-AVERAGE('The List'!T2:T727))/STDEV('The List'!T2:T727)</f>
        <v>0.45762280374716369</v>
      </c>
      <c r="H175" s="39">
        <f>(VLOOKUP($A175,'The List'!$B1:$AH727,20,FALSE)-AVERAGE('The List'!U2:U727))/STDEV('The List'!U2:U727)</f>
        <v>0.20890914828967086</v>
      </c>
      <c r="I175" s="39">
        <f>(VLOOKUP($A175,'The List'!$B1:$AH727,21,FALSE)-AVERAGE('The List'!V2:V727))/STDEV('The List'!V2:V727)</f>
        <v>-0.39332921440054514</v>
      </c>
      <c r="J175" s="39">
        <f>(VLOOKUP($A175,'The List'!$B1:$AH727,22,FALSE)-AVERAGE('The List'!W2:W727))/STDEV('The List'!W2:W727)</f>
        <v>0.46359296820853196</v>
      </c>
      <c r="K175" s="39">
        <f>(VLOOKUP($A175,'The List'!$B1:$AH727,23,FALSE)-AVERAGE('The List'!X2:X727))/STDEV('The List'!X2:X727)</f>
        <v>0.83991740930316683</v>
      </c>
      <c r="L175" s="39">
        <f>(VLOOKUP($A175,'The List'!$B1:$AH727,24,FALSE)-AVERAGE('The List'!Y2:Y727))/STDEV('The List'!Y2:Y727)</f>
        <v>-0.48776418036186892</v>
      </c>
      <c r="M175" s="39">
        <f>(VLOOKUP($A175,'The List'!$B1:$AH727,25,FALSE)-AVERAGE('The List'!Z2:Z727))/STDEV('The List'!Z2:Z727)</f>
        <v>-0.65676866845030268</v>
      </c>
      <c r="N175" s="39">
        <f>(VLOOKUP($A175,'The List'!$B1:$AH727,26,FALSE)-AVERAGE('The List'!AA2:AA727))/STDEV('The List'!AA2:AA727)</f>
        <v>-0.6719297808910577</v>
      </c>
      <c r="O175" s="39">
        <f>(VLOOKUP($A175,'The List'!$B1:$AH727,27,FALSE)-AVERAGE('The List'!AB2:AB727))/STDEV('The List'!AB2:AB727)</f>
        <v>-1.0852943980191894</v>
      </c>
      <c r="P175" s="39">
        <f>(VLOOKUP($A175,'The List'!$B1:$AH727,28,FALSE)-AVERAGE('The List'!AC2:AC727))/STDEV('The List'!AC2:AC727)</f>
        <v>-0.94049976098124533</v>
      </c>
      <c r="Q175" s="39">
        <f>(VLOOKUP($A175,'The List'!$B1:$AH727,29,FALSE)-AVERAGE('The List'!AD2:AD727))/STDEV('The List'!AD2:AD727)</f>
        <v>-0.71578293539689131</v>
      </c>
      <c r="R175" s="39">
        <f>(VLOOKUP($A175,'The List'!$B1:$AH727,30,FALSE)-AVERAGE('The List'!AE2:AE727))/STDEV('The List'!AE2:AE727)</f>
        <v>-0.28149614144950491</v>
      </c>
      <c r="S175" s="39">
        <f>(VLOOKUP($A175,'The List'!$B1:$AH727,31,FALSE)-AVERAGE('The List'!AF2:AF727))/STDEV('The List'!AF2:AF727)</f>
        <v>1.5046282472444157</v>
      </c>
      <c r="T175" s="39">
        <f>(VLOOKUP($A175,'The List'!$B1:$AH727,32,FALSE)-AVERAGE('The List'!AG2:AG727))/STDEV('The List'!AG2:AG727)</f>
        <v>1.7179069460585288</v>
      </c>
      <c r="U175" s="39">
        <f>(VLOOKUP($A175,'The List'!$B1:$AH727,33,FALSE)-AVERAGE('The List'!AH2:AH727))/STDEV('The List'!AH2:AH727)</f>
        <v>0.94392708228420563</v>
      </c>
      <c r="V175" s="39"/>
      <c r="W175" s="43"/>
      <c r="X175" s="41"/>
      <c r="Y175" s="41"/>
      <c r="Z175" s="41"/>
      <c r="AA175" s="41"/>
      <c r="AB175" s="41"/>
      <c r="AC175" s="44"/>
      <c r="AD175" s="45"/>
      <c r="AE175" s="39"/>
    </row>
    <row r="176" spans="1:31" ht="21.25" customHeight="1" x14ac:dyDescent="0.15">
      <c r="A176" s="8" t="s">
        <v>271</v>
      </c>
      <c r="B176" s="35" t="str">
        <f>VLOOKUP(A176,'Player Data'!A1:B734,2,FALSE)</f>
        <v>PIT</v>
      </c>
      <c r="C176" s="37">
        <f>((E176)*Settings!$C$12)+(F176*Settings!$C$2)+(G176*Settings!$C$3)+(H176*Settings!$C$4)+(I176*Settings!$C$5)+(K176*Settings!$C$9)+(N176*Settings!$C$6)+(J176*Settings!$C$8)+(O176*Settings!$C$7)+(P176*Settings!$C$14)+(Q176*Settings!$C$15)+(R176*Settings!$C$16)+(S176*Settings!$C$17)+(T176*Settings!$C$18)+(U176*Settings!$C$19)</f>
        <v>2.7913858733508965</v>
      </c>
      <c r="D176" s="41">
        <f>IF(Settings!$E$12="YES",VLOOKUP(A176,'Player Data'!A1:E734,5,FALSE),82)</f>
        <v>78.827500000000001</v>
      </c>
      <c r="E176" s="39">
        <f>(VLOOKUP($A176,'The List'!$B1:$AH727,17,FALSE)-AVERAGE('The List'!R2:R727))/STDEV('The List'!R2:R727)</f>
        <v>0.36048709097675929</v>
      </c>
      <c r="F176" s="39">
        <f>(VLOOKUP($A176,'The List'!$B1:$AH727,18,FALSE)-AVERAGE('The List'!S2:S727))/STDEV('The List'!S2:S727)</f>
        <v>0.73180213163553753</v>
      </c>
      <c r="G176" s="39">
        <f>(VLOOKUP($A176,'The List'!$B1:$AH727,19,FALSE)-AVERAGE('The List'!T2:T727))/STDEV('The List'!T2:T727)</f>
        <v>0.31285160737936507</v>
      </c>
      <c r="H176" s="39">
        <f>(VLOOKUP($A176,'The List'!$B1:$AH727,20,FALSE)-AVERAGE('The List'!U2:U727))/STDEV('The List'!U2:U727)</f>
        <v>0.52579780458867242</v>
      </c>
      <c r="I176" s="39">
        <f>(VLOOKUP($A176,'The List'!$B1:$AH727,21,FALSE)-AVERAGE('The List'!V2:V727))/STDEV('The List'!V2:V727)</f>
        <v>1.0980095199299458</v>
      </c>
      <c r="J176" s="39">
        <f>(VLOOKUP($A176,'The List'!$B1:$AH727,22,FALSE)-AVERAGE('The List'!W2:W727))/STDEV('The List'!W2:W727)</f>
        <v>0.27058920553069715</v>
      </c>
      <c r="K176" s="39">
        <f>(VLOOKUP($A176,'The List'!$B1:$AH727,23,FALSE)-AVERAGE('The List'!X2:X727))/STDEV('The List'!X2:X727)</f>
        <v>0.29032085098086813</v>
      </c>
      <c r="L176" s="39">
        <f>(VLOOKUP($A176,'The List'!$B1:$AH727,24,FALSE)-AVERAGE('The List'!Y2:Y727))/STDEV('The List'!Y2:Y727)</f>
        <v>-0.23242846670755138</v>
      </c>
      <c r="M176" s="39">
        <f>(VLOOKUP($A176,'The List'!$B1:$AH727,25,FALSE)-AVERAGE('The List'!Z2:Z727))/STDEV('The List'!Z2:Z727)</f>
        <v>0.36760012898237904</v>
      </c>
      <c r="N176" s="39">
        <f>(VLOOKUP($A176,'The List'!$B1:$AH727,26,FALSE)-AVERAGE('The List'!AA2:AA727))/STDEV('The List'!AA2:AA727)</f>
        <v>-0.29379418318788902</v>
      </c>
      <c r="O176" s="39">
        <f>(VLOOKUP($A176,'The List'!$B1:$AH727,27,FALSE)-AVERAGE('The List'!AB2:AB727))/STDEV('The List'!AB2:AB727)</f>
        <v>-0.13874763708087137</v>
      </c>
      <c r="P176" s="39">
        <f>(VLOOKUP($A176,'The List'!$B1:$AH727,28,FALSE)-AVERAGE('The List'!AC2:AC727))/STDEV('The List'!AC2:AC727)</f>
        <v>0.65219594661306857</v>
      </c>
      <c r="Q176" s="39">
        <f>(VLOOKUP($A176,'The List'!$B1:$AH727,29,FALSE)-AVERAGE('The List'!AD2:AD727))/STDEV('The List'!AD2:AD727)</f>
        <v>-0.32204589756071134</v>
      </c>
      <c r="R176" s="39">
        <f>(VLOOKUP($A176,'The List'!$B1:$AH727,30,FALSE)-AVERAGE('The List'!AE2:AE727))/STDEV('The List'!AE2:AE727)</f>
        <v>0.91382420018242672</v>
      </c>
      <c r="S176" s="39">
        <f>(VLOOKUP($A176,'The List'!$B1:$AH727,31,FALSE)-AVERAGE('The List'!AF2:AF727))/STDEV('The List'!AF2:AF727)</f>
        <v>-0.54010336663690584</v>
      </c>
      <c r="T176" s="39">
        <f>(VLOOKUP($A176,'The List'!$B1:$AH727,32,FALSE)-AVERAGE('The List'!AG2:AG727))/STDEV('The List'!AG2:AG727)</f>
        <v>-0.57326286704655505</v>
      </c>
      <c r="U176" s="39">
        <f>(VLOOKUP($A176,'The List'!$B1:$AH727,33,FALSE)-AVERAGE('The List'!AH2:AH727))/STDEV('The List'!AH2:AH727)</f>
        <v>0.55564316870007935</v>
      </c>
      <c r="V176" s="39"/>
      <c r="W176" s="41"/>
      <c r="X176" s="39"/>
      <c r="Y176" s="39"/>
      <c r="Z176" s="39"/>
      <c r="AA176" s="39"/>
      <c r="AB176" s="39"/>
      <c r="AC176" s="39"/>
      <c r="AD176" s="39"/>
      <c r="AE176" s="39"/>
    </row>
    <row r="177" spans="1:31" ht="21.25" customHeight="1" x14ac:dyDescent="0.15">
      <c r="A177" s="8" t="s">
        <v>202</v>
      </c>
      <c r="B177" s="35" t="str">
        <f>VLOOKUP(A177,'Player Data'!A1:B734,2,FALSE)</f>
        <v>VGK</v>
      </c>
      <c r="C177" s="37">
        <f>((E177)*Settings!$C$12)+(F177*Settings!$C$2)+(G177*Settings!$C$3)+(H177*Settings!$C$4)+(I177*Settings!$C$5)+(K177*Settings!$C$9)+(N177*Settings!$C$6)+(J177*Settings!$C$8)+(O177*Settings!$C$7)+(P177*Settings!$C$14)+(Q177*Settings!$C$15)+(R177*Settings!$C$16)+(S177*Settings!$C$17)+(T177*Settings!$C$18)+(U177*Settings!$C$19)</f>
        <v>6.4635469329039088</v>
      </c>
      <c r="D177" s="41">
        <f>IF(Settings!$E$12="YES",VLOOKUP(A177,'Player Data'!A1:E734,5,FALSE),82)</f>
        <v>77.961071428571401</v>
      </c>
      <c r="E177" s="39">
        <f>(VLOOKUP($A177,'The List'!$B1:$AH727,17,FALSE)-AVERAGE('The List'!R2:R727))/STDEV('The List'!R2:R727)</f>
        <v>2.1649092963328678</v>
      </c>
      <c r="F177" s="39">
        <f>(VLOOKUP($A177,'The List'!$B1:$AH727,18,FALSE)-AVERAGE('The List'!S2:S727))/STDEV('The List'!S2:S727)</f>
        <v>-0.21433427957883133</v>
      </c>
      <c r="G177" s="39">
        <f>(VLOOKUP($A177,'The List'!$B1:$AH727,19,FALSE)-AVERAGE('The List'!T2:T727))/STDEV('The List'!T2:T727)</f>
        <v>0.96070556945121377</v>
      </c>
      <c r="H177" s="39">
        <f>(VLOOKUP($A177,'The List'!$B1:$AH727,20,FALSE)-AVERAGE('The List'!U2:U727))/STDEV('The List'!U2:U727)</f>
        <v>0.49446010853734962</v>
      </c>
      <c r="I177" s="39">
        <f>(VLOOKUP($A177,'The List'!$B1:$AH727,21,FALSE)-AVERAGE('The List'!V2:V727))/STDEV('The List'!V2:V727)</f>
        <v>1.0585336189698522</v>
      </c>
      <c r="J177" s="39">
        <f>(VLOOKUP($A177,'The List'!$B1:$AH727,22,FALSE)-AVERAGE('The List'!W2:W727))/STDEV('The List'!W2:W727)</f>
        <v>-0.26479596652760928</v>
      </c>
      <c r="K177" s="39">
        <f>(VLOOKUP($A177,'The List'!$B1:$AH727,23,FALSE)-AVERAGE('The List'!X2:X727))/STDEV('The List'!X2:X727)</f>
        <v>0.44058773728680284</v>
      </c>
      <c r="L177" s="39">
        <f>(VLOOKUP($A177,'The List'!$B1:$AH727,24,FALSE)-AVERAGE('The List'!Y2:Y727))/STDEV('The List'!Y2:Y727)</f>
        <v>4.9366018180360224E-2</v>
      </c>
      <c r="M177" s="39">
        <f>(VLOOKUP($A177,'The List'!$B1:$AH727,25,FALSE)-AVERAGE('The List'!Z2:Z727))/STDEV('The List'!Z2:Z727)</f>
        <v>1.8679147627555577</v>
      </c>
      <c r="N177" s="39">
        <f>(VLOOKUP($A177,'The List'!$B1:$AH727,26,FALSE)-AVERAGE('The List'!AA2:AA727))/STDEV('The List'!AA2:AA727)</f>
        <v>2.9670785851803378</v>
      </c>
      <c r="O177" s="39">
        <f>(VLOOKUP($A177,'The List'!$B1:$AH727,27,FALSE)-AVERAGE('The List'!AB2:AB727))/STDEV('The List'!AB2:AB727)</f>
        <v>-0.3841022256304642</v>
      </c>
      <c r="P177" s="39">
        <f>(VLOOKUP($A177,'The List'!$B1:$AH727,28,FALSE)-AVERAGE('The List'!AC2:AC727))/STDEV('The List'!AC2:AC727)</f>
        <v>1.2509757015945329</v>
      </c>
      <c r="Q177" s="39">
        <f>(VLOOKUP($A177,'The List'!$B1:$AH727,29,FALSE)-AVERAGE('The List'!AD2:AD727))/STDEV('The List'!AD2:AD727)</f>
        <v>-0.24646941472905712</v>
      </c>
      <c r="R177" s="39">
        <f>(VLOOKUP($A177,'The List'!$B1:$AH727,30,FALSE)-AVERAGE('The List'!AE2:AE727))/STDEV('The List'!AE2:AE727)</f>
        <v>-3.9599342591745711E-2</v>
      </c>
      <c r="S177" s="39">
        <f>(VLOOKUP($A177,'The List'!$B1:$AH727,31,FALSE)-AVERAGE('The List'!AF2:AF727))/STDEV('The List'!AF2:AF727)</f>
        <v>-0.55628942092123779</v>
      </c>
      <c r="T177" s="39">
        <f>(VLOOKUP($A177,'The List'!$B1:$AH727,32,FALSE)-AVERAGE('The List'!AG2:AG727))/STDEV('The List'!AG2:AG727)</f>
        <v>-0.59953992269489875</v>
      </c>
      <c r="U177" s="39">
        <f>(VLOOKUP($A177,'The List'!$B1:$AH727,33,FALSE)-AVERAGE('The List'!AH2:AH727))/STDEV('The List'!AH2:AH727)</f>
        <v>0.74990166498150246</v>
      </c>
      <c r="V177" s="39"/>
      <c r="W177" s="41"/>
      <c r="X177" s="39"/>
      <c r="Y177" s="39"/>
      <c r="Z177" s="39"/>
      <c r="AA177" s="39"/>
      <c r="AB177" s="39"/>
      <c r="AC177" s="39"/>
      <c r="AD177" s="39"/>
      <c r="AE177" s="39"/>
    </row>
    <row r="178" spans="1:31" ht="21.25" customHeight="1" x14ac:dyDescent="0.15">
      <c r="A178" s="8" t="s">
        <v>378</v>
      </c>
      <c r="B178" s="35" t="str">
        <f>VLOOKUP(A178,'Player Data'!A1:B734,2,FALSE)</f>
        <v>VGK</v>
      </c>
      <c r="C178" s="37">
        <f>((E178)*Settings!$C$12)+(F178*Settings!$C$2)+(G178*Settings!$C$3)+(H178*Settings!$C$4)+(I178*Settings!$C$5)+(K178*Settings!$C$9)+(N178*Settings!$C$6)+(J178*Settings!$C$8)+(O178*Settings!$C$7)+(P178*Settings!$C$14)+(Q178*Settings!$C$15)+(R178*Settings!$C$16)+(S178*Settings!$C$17)+(T178*Settings!$C$18)+(U178*Settings!$C$19)</f>
        <v>2.463721791205205</v>
      </c>
      <c r="D178" s="41">
        <f>IF(Settings!$E$12="YES",VLOOKUP(A178,'Player Data'!A1:E734,5,FALSE),82)</f>
        <v>79.967500000000001</v>
      </c>
      <c r="E178" s="39">
        <f>(VLOOKUP($A178,'The List'!$B1:$AH727,17,FALSE)-AVERAGE('The List'!R2:R727))/STDEV('The List'!R2:R727)</f>
        <v>0.39448625038572943</v>
      </c>
      <c r="F178" s="39">
        <f>(VLOOKUP($A178,'The List'!$B1:$AH727,18,FALSE)-AVERAGE('The List'!S2:S727))/STDEV('The List'!S2:S727)</f>
        <v>0.16108715121443867</v>
      </c>
      <c r="G178" s="39">
        <f>(VLOOKUP($A178,'The List'!$B1:$AH727,19,FALSE)-AVERAGE('The List'!T2:T727))/STDEV('The List'!T2:T727)</f>
        <v>0.76500756303914241</v>
      </c>
      <c r="H178" s="39">
        <f>(VLOOKUP($A178,'The List'!$B1:$AH727,20,FALSE)-AVERAGE('The List'!U2:U727))/STDEV('The List'!U2:U727)</f>
        <v>0.54470943852964349</v>
      </c>
      <c r="I178" s="39">
        <f>(VLOOKUP($A178,'The List'!$B1:$AH727,21,FALSE)-AVERAGE('The List'!V2:V727))/STDEV('The List'!V2:V727)</f>
        <v>0.45200564188681103</v>
      </c>
      <c r="J178" s="39">
        <f>(VLOOKUP($A178,'The List'!$B1:$AH727,22,FALSE)-AVERAGE('The List'!W2:W727))/STDEV('The List'!W2:W727)</f>
        <v>-0.32885171102694133</v>
      </c>
      <c r="K178" s="39">
        <f>(VLOOKUP($A178,'The List'!$B1:$AH727,23,FALSE)-AVERAGE('The List'!X2:X727))/STDEV('The List'!X2:X727)</f>
        <v>-9.11666427013164E-2</v>
      </c>
      <c r="L178" s="39">
        <f>(VLOOKUP($A178,'The List'!$B1:$AH727,24,FALSE)-AVERAGE('The List'!Y2:Y727))/STDEV('The List'!Y2:Y727)</f>
        <v>2.1943231123080347</v>
      </c>
      <c r="M178" s="39">
        <f>(VLOOKUP($A178,'The List'!$B1:$AH727,25,FALSE)-AVERAGE('The List'!Z2:Z727))/STDEV('The List'!Z2:Z727)</f>
        <v>3.189011981478389</v>
      </c>
      <c r="N178" s="39">
        <f>(VLOOKUP($A178,'The List'!$B1:$AH727,26,FALSE)-AVERAGE('The List'!AA2:AA727))/STDEV('The List'!AA2:AA727)</f>
        <v>-0.26050310193628345</v>
      </c>
      <c r="O178" s="39">
        <f>(VLOOKUP($A178,'The List'!$B1:$AH727,27,FALSE)-AVERAGE('The List'!AB2:AB727))/STDEV('The List'!AB2:AB727)</f>
        <v>-0.81621983932501496</v>
      </c>
      <c r="P178" s="39">
        <f>(VLOOKUP($A178,'The List'!$B1:$AH727,28,FALSE)-AVERAGE('The List'!AC2:AC727))/STDEV('The List'!AC2:AC727)</f>
        <v>1.4372911797024124</v>
      </c>
      <c r="Q178" s="39">
        <f>(VLOOKUP($A178,'The List'!$B1:$AH727,29,FALSE)-AVERAGE('The List'!AD2:AD727))/STDEV('The List'!AD2:AD727)</f>
        <v>-1.2250908029434533</v>
      </c>
      <c r="R178" s="39">
        <f>(VLOOKUP($A178,'The List'!$B1:$AH727,30,FALSE)-AVERAGE('The List'!AE2:AE727))/STDEV('The List'!AE2:AE727)</f>
        <v>0.36117575166732097</v>
      </c>
      <c r="S178" s="39">
        <f>(VLOOKUP($A178,'The List'!$B1:$AH727,31,FALSE)-AVERAGE('The List'!AF2:AF727))/STDEV('The List'!AF2:AF727)</f>
        <v>2.5308816403607413</v>
      </c>
      <c r="T178" s="39">
        <f>(VLOOKUP($A178,'The List'!$B1:$AH727,32,FALSE)-AVERAGE('The List'!AG2:AG727))/STDEV('The List'!AG2:AG727)</f>
        <v>2.1772190912530922</v>
      </c>
      <c r="U178" s="39">
        <f>(VLOOKUP($A178,'The List'!$B1:$AH727,33,FALSE)-AVERAGE('The List'!AH2:AH727))/STDEV('The List'!AH2:AH727)</f>
        <v>1.1956035166631245</v>
      </c>
      <c r="V178" s="39"/>
      <c r="W178" s="43"/>
      <c r="X178" s="41"/>
      <c r="Y178" s="41"/>
      <c r="Z178" s="41"/>
      <c r="AA178" s="41"/>
      <c r="AB178" s="41"/>
      <c r="AC178" s="44"/>
      <c r="AD178" s="45"/>
      <c r="AE178" s="39"/>
    </row>
    <row r="179" spans="1:31" ht="21.25" customHeight="1" x14ac:dyDescent="0.15">
      <c r="A179" s="8" t="s">
        <v>361</v>
      </c>
      <c r="B179" s="35" t="str">
        <f>VLOOKUP(A179,'Player Data'!A1:B734,2,FALSE)</f>
        <v>CBJ</v>
      </c>
      <c r="C179" s="37">
        <f>((E179)*Settings!$C$12)+(F179*Settings!$C$2)+(G179*Settings!$C$3)+(H179*Settings!$C$4)+(I179*Settings!$C$5)+(K179*Settings!$C$9)+(N179*Settings!$C$6)+(J179*Settings!$C$8)+(O179*Settings!$C$7)+(P179*Settings!$C$14)+(Q179*Settings!$C$15)+(R179*Settings!$C$16)+(S179*Settings!$C$17)+(T179*Settings!$C$18)+(U179*Settings!$C$19)</f>
        <v>0.69708209167312729</v>
      </c>
      <c r="D179" s="41">
        <f>IF(Settings!$E$12="YES",VLOOKUP(A179,'Player Data'!A1:E734,5,FALSE),82)</f>
        <v>74.489999999999995</v>
      </c>
      <c r="E179" s="39">
        <f>(VLOOKUP($A179,'The List'!$B1:$AH727,17,FALSE)-AVERAGE('The List'!R2:R727))/STDEV('The List'!R2:R727)</f>
        <v>0.45848056661119441</v>
      </c>
      <c r="F179" s="39">
        <f>(VLOOKUP($A179,'The List'!$B1:$AH727,18,FALSE)-AVERAGE('The List'!S2:S727))/STDEV('The List'!S2:S727)</f>
        <v>0.96404069373817003</v>
      </c>
      <c r="G179" s="39">
        <f>(VLOOKUP($A179,'The List'!$B1:$AH727,19,FALSE)-AVERAGE('The List'!T2:T727))/STDEV('The List'!T2:T727)</f>
        <v>-7.0946375108146414E-2</v>
      </c>
      <c r="H179" s="39">
        <f>(VLOOKUP($A179,'The List'!$B1:$AH727,20,FALSE)-AVERAGE('The List'!U2:U727))/STDEV('The List'!U2:U727)</f>
        <v>0.39498103219543929</v>
      </c>
      <c r="I179" s="39">
        <f>(VLOOKUP($A179,'The List'!$B1:$AH727,21,FALSE)-AVERAGE('The List'!V2:V727))/STDEV('The List'!V2:V727)</f>
        <v>1.0747857482708141</v>
      </c>
      <c r="J179" s="39">
        <f>(VLOOKUP($A179,'The List'!$B1:$AH727,22,FALSE)-AVERAGE('The List'!W2:W727))/STDEV('The List'!W2:W727)</f>
        <v>0.73595663608476736</v>
      </c>
      <c r="K179" s="39">
        <f>(VLOOKUP($A179,'The List'!$B1:$AH727,23,FALSE)-AVERAGE('The List'!X2:X727))/STDEV('The List'!X2:X727)</f>
        <v>6.1647602039086147E-2</v>
      </c>
      <c r="L179" s="39">
        <f>(VLOOKUP($A179,'The List'!$B1:$AH727,24,FALSE)-AVERAGE('The List'!Y2:Y727))/STDEV('The List'!Y2:Y727)</f>
        <v>-0.22470178825224824</v>
      </c>
      <c r="M179" s="39">
        <f>(VLOOKUP($A179,'The List'!$B1:$AH727,25,FALSE)-AVERAGE('The List'!Z2:Z727))/STDEV('The List'!Z2:Z727)</f>
        <v>-0.46527504983824419</v>
      </c>
      <c r="N179" s="39">
        <f>(VLOOKUP($A179,'The List'!$B1:$AH727,26,FALSE)-AVERAGE('The List'!AA2:AA727))/STDEV('The List'!AA2:AA727)</f>
        <v>0.17701747832590403</v>
      </c>
      <c r="O179" s="39">
        <f>(VLOOKUP($A179,'The List'!$B1:$AH727,27,FALSE)-AVERAGE('The List'!AB2:AB727))/STDEV('The List'!AB2:AB727)</f>
        <v>0.55697224845325144</v>
      </c>
      <c r="P179" s="39">
        <f>(VLOOKUP($A179,'The List'!$B1:$AH727,28,FALSE)-AVERAGE('The List'!AC2:AC727))/STDEV('The List'!AC2:AC727)</f>
        <v>-1.5094630555927004</v>
      </c>
      <c r="Q179" s="39">
        <f>(VLOOKUP($A179,'The List'!$B1:$AH727,29,FALSE)-AVERAGE('The List'!AD2:AD727))/STDEV('The List'!AD2:AD727)</f>
        <v>2.4244478385160989E-4</v>
      </c>
      <c r="R179" s="39">
        <f>(VLOOKUP($A179,'The List'!$B1:$AH727,30,FALSE)-AVERAGE('The List'!AE2:AE727))/STDEV('The List'!AE2:AE727)</f>
        <v>0.3883743968319594</v>
      </c>
      <c r="S179" s="39">
        <f>(VLOOKUP($A179,'The List'!$B1:$AH727,31,FALSE)-AVERAGE('The List'!AF2:AF727))/STDEV('The List'!AF2:AF727)</f>
        <v>3.005033141128695</v>
      </c>
      <c r="T179" s="39">
        <f>(VLOOKUP($A179,'The List'!$B1:$AH727,32,FALSE)-AVERAGE('The List'!AG2:AG727))/STDEV('The List'!AG2:AG727)</f>
        <v>2.5444620196545937</v>
      </c>
      <c r="U179" s="39">
        <f>(VLOOKUP($A179,'The List'!$B1:$AH727,33,FALSE)-AVERAGE('The List'!AH2:AH727))/STDEV('The List'!AH2:AH727)</f>
        <v>1.2165663098847836</v>
      </c>
      <c r="V179" s="39"/>
      <c r="W179" s="43"/>
      <c r="X179" s="41"/>
      <c r="Y179" s="41"/>
      <c r="Z179" s="41"/>
      <c r="AA179" s="41"/>
      <c r="AB179" s="41"/>
      <c r="AC179" s="44"/>
      <c r="AD179" s="45"/>
      <c r="AE179" s="39"/>
    </row>
    <row r="180" spans="1:31" ht="21.25" customHeight="1" x14ac:dyDescent="0.15">
      <c r="A180" s="8" t="s">
        <v>324</v>
      </c>
      <c r="B180" s="35" t="str">
        <f>VLOOKUP(A180,'Player Data'!A1:B734,2,FALSE)</f>
        <v>CAR</v>
      </c>
      <c r="C180" s="37">
        <f>((E180)*Settings!$C$12)+(F180*Settings!$C$2)+(G180*Settings!$C$3)+(H180*Settings!$C$4)+(I180*Settings!$C$5)+(K180*Settings!$C$9)+(N180*Settings!$C$6)+(J180*Settings!$C$8)+(O180*Settings!$C$7)+(P180*Settings!$C$14)+(Q180*Settings!$C$15)+(R180*Settings!$C$16)+(S180*Settings!$C$17)+(T180*Settings!$C$18)+(U180*Settings!$C$19)</f>
        <v>2.2375866839667324</v>
      </c>
      <c r="D180" s="41">
        <f>IF(Settings!$E$12="YES",VLOOKUP(A180,'Player Data'!A1:E734,5,FALSE),82)</f>
        <v>73.732500000000002</v>
      </c>
      <c r="E180" s="39">
        <f>(VLOOKUP($A180,'The List'!$B1:$AH727,17,FALSE)-AVERAGE('The List'!R2:R727))/STDEV('The List'!R2:R727)</f>
        <v>3.2931237147661468E-2</v>
      </c>
      <c r="F180" s="39">
        <f>(VLOOKUP($A180,'The List'!$B1:$AH727,18,FALSE)-AVERAGE('The List'!S2:S727))/STDEV('The List'!S2:S727)</f>
        <v>0.18508855964260076</v>
      </c>
      <c r="G180" s="39">
        <f>(VLOOKUP($A180,'The List'!$B1:$AH727,19,FALSE)-AVERAGE('The List'!T2:T727))/STDEV('The List'!T2:T727)</f>
        <v>0.46839390503367373</v>
      </c>
      <c r="H180" s="39">
        <f>(VLOOKUP($A180,'The List'!$B1:$AH727,20,FALSE)-AVERAGE('The List'!U2:U727))/STDEV('The List'!U2:U727)</f>
        <v>0.37285551402477629</v>
      </c>
      <c r="I180" s="39">
        <f>(VLOOKUP($A180,'The List'!$B1:$AH727,21,FALSE)-AVERAGE('The List'!V2:V727))/STDEV('The List'!V2:V727)</f>
        <v>0.40724422980461361</v>
      </c>
      <c r="J180" s="39">
        <f>(VLOOKUP($A180,'The List'!$B1:$AH727,22,FALSE)-AVERAGE('The List'!W2:W727))/STDEV('The List'!W2:W727)</f>
        <v>0.62620222232921541</v>
      </c>
      <c r="K180" s="39">
        <f>(VLOOKUP($A180,'The List'!$B1:$AH727,23,FALSE)-AVERAGE('The List'!X2:X727))/STDEV('The List'!X2:X727)</f>
        <v>0.65762857425237453</v>
      </c>
      <c r="L180" s="39">
        <f>(VLOOKUP($A180,'The List'!$B1:$AH727,24,FALSE)-AVERAGE('The List'!Y2:Y727))/STDEV('The List'!Y2:Y727)</f>
        <v>2.7075212211054414</v>
      </c>
      <c r="M180" s="39">
        <f>(VLOOKUP($A180,'The List'!$B1:$AH727,25,FALSE)-AVERAGE('The List'!Z2:Z727))/STDEV('The List'!Z2:Z727)</f>
        <v>2.3500403771021556</v>
      </c>
      <c r="N180" s="39">
        <f>(VLOOKUP($A180,'The List'!$B1:$AH727,26,FALSE)-AVERAGE('The List'!AA2:AA727))/STDEV('The List'!AA2:AA727)</f>
        <v>-0.87959490517937078</v>
      </c>
      <c r="O180" s="39">
        <f>(VLOOKUP($A180,'The List'!$B1:$AH727,27,FALSE)-AVERAGE('The List'!AB2:AB727))/STDEV('The List'!AB2:AB727)</f>
        <v>-1.4051646655229717</v>
      </c>
      <c r="P180" s="39">
        <f>(VLOOKUP($A180,'The List'!$B1:$AH727,28,FALSE)-AVERAGE('The List'!AC2:AC727))/STDEV('The List'!AC2:AC727)</f>
        <v>1.3988263204128408</v>
      </c>
      <c r="Q180" s="39">
        <f>(VLOOKUP($A180,'The List'!$B1:$AH727,29,FALSE)-AVERAGE('The List'!AD2:AD727))/STDEV('The List'!AD2:AD727)</f>
        <v>-0.68162983245393827</v>
      </c>
      <c r="R180" s="39">
        <f>(VLOOKUP($A180,'The List'!$B1:$AH727,30,FALSE)-AVERAGE('The List'!AE2:AE727))/STDEV('The List'!AE2:AE727)</f>
        <v>0.54133692874471684</v>
      </c>
      <c r="S180" s="39">
        <f>(VLOOKUP($A180,'The List'!$B1:$AH727,31,FALSE)-AVERAGE('The List'!AF2:AF727))/STDEV('The List'!AF2:AF727)</f>
        <v>-0.40473729157796784</v>
      </c>
      <c r="T180" s="39">
        <f>(VLOOKUP($A180,'The List'!$B1:$AH727,32,FALSE)-AVERAGE('The List'!AG2:AG727))/STDEV('The List'!AG2:AG727)</f>
        <v>-0.48812632874022399</v>
      </c>
      <c r="U180" s="39">
        <f>(VLOOKUP($A180,'The List'!$B1:$AH727,33,FALSE)-AVERAGE('The List'!AH2:AH727))/STDEV('The List'!AH2:AH727)</f>
        <v>1.4096177375410432</v>
      </c>
      <c r="V180" s="39"/>
      <c r="W180" s="43"/>
      <c r="X180" s="41"/>
      <c r="Y180" s="41"/>
      <c r="Z180" s="41"/>
      <c r="AA180" s="41"/>
      <c r="AB180" s="41"/>
      <c r="AC180" s="44"/>
      <c r="AD180" s="45"/>
      <c r="AE180" s="39"/>
    </row>
    <row r="181" spans="1:31" ht="21.25" customHeight="1" x14ac:dyDescent="0.15">
      <c r="A181" s="8" t="s">
        <v>301</v>
      </c>
      <c r="B181" s="35" t="str">
        <f>VLOOKUP(A181,'Player Data'!A1:B734,2,FALSE)</f>
        <v>VAN</v>
      </c>
      <c r="C181" s="37">
        <f>((E181)*Settings!$C$12)+(F181*Settings!$C$2)+(G181*Settings!$C$3)+(H181*Settings!$C$4)+(I181*Settings!$C$5)+(K181*Settings!$C$9)+(N181*Settings!$C$6)+(J181*Settings!$C$8)+(O181*Settings!$C$7)+(P181*Settings!$C$14)+(Q181*Settings!$C$15)+(R181*Settings!$C$16)+(S181*Settings!$C$17)+(T181*Settings!$C$18)+(U181*Settings!$C$19)</f>
        <v>1.1724616072262513</v>
      </c>
      <c r="D181" s="41">
        <f>IF(Settings!$E$12="YES",VLOOKUP(A181,'Player Data'!A1:E734,5,FALSE),82)</f>
        <v>80.14</v>
      </c>
      <c r="E181" s="39">
        <f>(VLOOKUP($A181,'The List'!$B1:$AH727,17,FALSE)-AVERAGE('The List'!R2:R727))/STDEV('The List'!R2:R727)</f>
        <v>-0.35259694523229451</v>
      </c>
      <c r="F181" s="39">
        <f>(VLOOKUP($A181,'The List'!$B1:$AH727,18,FALSE)-AVERAGE('The List'!S2:S727))/STDEV('The List'!S2:S727)</f>
        <v>0.41890713194376816</v>
      </c>
      <c r="G181" s="39">
        <f>(VLOOKUP($A181,'The List'!$B1:$AH727,19,FALSE)-AVERAGE('The List'!T2:T727))/STDEV('The List'!T2:T727)</f>
        <v>0.57281990084599088</v>
      </c>
      <c r="H181" s="39">
        <f>(VLOOKUP($A181,'The List'!$B1:$AH727,20,FALSE)-AVERAGE('The List'!U2:U727))/STDEV('The List'!U2:U727)</f>
        <v>0.54360585610312639</v>
      </c>
      <c r="I181" s="39">
        <f>(VLOOKUP($A181,'The List'!$B1:$AH727,21,FALSE)-AVERAGE('The List'!V2:V727))/STDEV('The List'!V2:V727)</f>
        <v>0.68271936275625444</v>
      </c>
      <c r="J181" s="39">
        <f>(VLOOKUP($A181,'The List'!$B1:$AH727,22,FALSE)-AVERAGE('The List'!W2:W727))/STDEV('The List'!W2:W727)</f>
        <v>-0.14560402263488686</v>
      </c>
      <c r="K181" s="39">
        <f>(VLOOKUP($A181,'The List'!$B1:$AH727,23,FALSE)-AVERAGE('The List'!X2:X727))/STDEV('The List'!X2:X727)</f>
        <v>8.6050702744263505E-2</v>
      </c>
      <c r="L181" s="39">
        <f>(VLOOKUP($A181,'The List'!$B1:$AH727,24,FALSE)-AVERAGE('The List'!Y2:Y727))/STDEV('The List'!Y2:Y727)</f>
        <v>-0.53430878299213846</v>
      </c>
      <c r="M181" s="39">
        <f>(VLOOKUP($A181,'The List'!$B1:$AH727,25,FALSE)-AVERAGE('The List'!Z2:Z727))/STDEV('The List'!Z2:Z727)</f>
        <v>-0.71278619853895953</v>
      </c>
      <c r="N181" s="39">
        <f>(VLOOKUP($A181,'The List'!$B1:$AH727,26,FALSE)-AVERAGE('The List'!AA2:AA727))/STDEV('The List'!AA2:AA727)</f>
        <v>-0.95037040600007738</v>
      </c>
      <c r="O181" s="39">
        <f>(VLOOKUP($A181,'The List'!$B1:$AH727,27,FALSE)-AVERAGE('The List'!AB2:AB727))/STDEV('The List'!AB2:AB727)</f>
        <v>-0.86871142377963873</v>
      </c>
      <c r="P181" s="39">
        <f>(VLOOKUP($A181,'The List'!$B1:$AH727,28,FALSE)-AVERAGE('The List'!AC2:AC727))/STDEV('The List'!AC2:AC727)</f>
        <v>0.36233491493605186</v>
      </c>
      <c r="Q181" s="39">
        <f>(VLOOKUP($A181,'The List'!$B1:$AH727,29,FALSE)-AVERAGE('The List'!AD2:AD727))/STDEV('The List'!AD2:AD727)</f>
        <v>-0.35406410203998007</v>
      </c>
      <c r="R181" s="39">
        <f>(VLOOKUP($A181,'The List'!$B1:$AH727,30,FALSE)-AVERAGE('The List'!AE2:AE727))/STDEV('The List'!AE2:AE727)</f>
        <v>0.3917308884247005</v>
      </c>
      <c r="S181" s="39">
        <f>(VLOOKUP($A181,'The List'!$B1:$AH727,31,FALSE)-AVERAGE('The List'!AF2:AF727))/STDEV('The List'!AF2:AF727)</f>
        <v>-0.53288134027067591</v>
      </c>
      <c r="T181" s="39">
        <f>(VLOOKUP($A181,'The List'!$B1:$AH727,32,FALSE)-AVERAGE('The List'!AG2:AG727))/STDEV('The List'!AG2:AG727)</f>
        <v>-0.55132348294993005</v>
      </c>
      <c r="U181" s="39">
        <f>(VLOOKUP($A181,'The List'!$B1:$AH727,33,FALSE)-AVERAGE('The List'!AH2:AH727))/STDEV('The List'!AH2:AH727)</f>
        <v>0.31286770144529374</v>
      </c>
      <c r="V181" s="39"/>
      <c r="W181" s="43"/>
      <c r="X181" s="41"/>
      <c r="Y181" s="41"/>
      <c r="Z181" s="41"/>
      <c r="AA181" s="41"/>
      <c r="AB181" s="41"/>
      <c r="AC181" s="44"/>
      <c r="AD181" s="45"/>
      <c r="AE181" s="39"/>
    </row>
    <row r="182" spans="1:31" ht="21.25" customHeight="1" x14ac:dyDescent="0.15">
      <c r="A182" s="8" t="s">
        <v>250</v>
      </c>
      <c r="B182" s="35" t="str">
        <f>VLOOKUP(A182,'Player Data'!A1:B734,2,FALSE)</f>
        <v>OTT</v>
      </c>
      <c r="C182" s="37">
        <f>((E182)*Settings!$C$12)+(F182*Settings!$C$2)+(G182*Settings!$C$3)+(H182*Settings!$C$4)+(I182*Settings!$C$5)+(K182*Settings!$C$9)+(N182*Settings!$C$6)+(J182*Settings!$C$8)+(O182*Settings!$C$7)+(P182*Settings!$C$14)+(Q182*Settings!$C$15)+(R182*Settings!$C$16)+(S182*Settings!$C$17)+(T182*Settings!$C$18)+(U182*Settings!$C$19)</f>
        <v>3.2642323347856008</v>
      </c>
      <c r="D182" s="41">
        <f>IF(Settings!$E$12="YES",VLOOKUP(A182,'Player Data'!A1:E734,5,FALSE),82)</f>
        <v>71.182500000000005</v>
      </c>
      <c r="E182" s="39">
        <f>(VLOOKUP($A182,'The List'!$B1:$AH727,17,FALSE)-AVERAGE('The List'!R2:R727))/STDEV('The List'!R2:R727)</f>
        <v>1.553414373452884</v>
      </c>
      <c r="F182" s="39">
        <f>(VLOOKUP($A182,'The List'!$B1:$AH727,18,FALSE)-AVERAGE('The List'!S2:S727))/STDEV('The List'!S2:S727)</f>
        <v>2.7385559473448414E-4</v>
      </c>
      <c r="G182" s="39">
        <f>(VLOOKUP($A182,'The List'!$B1:$AH727,19,FALSE)-AVERAGE('The List'!T2:T727))/STDEV('The List'!T2:T727)</f>
        <v>0.48532820108170971</v>
      </c>
      <c r="H182" s="39">
        <f>(VLOOKUP($A182,'The List'!$B1:$AH727,20,FALSE)-AVERAGE('The List'!U2:U727))/STDEV('The List'!U2:U727)</f>
        <v>0.29918832780654253</v>
      </c>
      <c r="I182" s="39">
        <f>(VLOOKUP($A182,'The List'!$B1:$AH727,21,FALSE)-AVERAGE('The List'!V2:V727))/STDEV('The List'!V2:V727)</f>
        <v>1.0566581499983703</v>
      </c>
      <c r="J182" s="39">
        <f>(VLOOKUP($A182,'The List'!$B1:$AH727,22,FALSE)-AVERAGE('The List'!W2:W727))/STDEV('The List'!W2:W727)</f>
        <v>0.23485962681019154</v>
      </c>
      <c r="K182" s="39">
        <f>(VLOOKUP($A182,'The List'!$B1:$AH727,23,FALSE)-AVERAGE('The List'!X2:X727))/STDEV('The List'!X2:X727)</f>
        <v>9.4433918808158407E-2</v>
      </c>
      <c r="L182" s="39">
        <f>(VLOOKUP($A182,'The List'!$B1:$AH727,24,FALSE)-AVERAGE('The List'!Y2:Y727))/STDEV('The List'!Y2:Y727)</f>
        <v>-0.48977572791192525</v>
      </c>
      <c r="M182" s="39">
        <f>(VLOOKUP($A182,'The List'!$B1:$AH727,25,FALSE)-AVERAGE('The List'!Z2:Z727))/STDEV('The List'!Z2:Z727)</f>
        <v>-0.59992017620437543</v>
      </c>
      <c r="N182" s="39">
        <f>(VLOOKUP($A182,'The List'!$B1:$AH727,26,FALSE)-AVERAGE('The List'!AA2:AA727))/STDEV('The List'!AA2:AA727)</f>
        <v>1.3693413076453895</v>
      </c>
      <c r="O182" s="39">
        <f>(VLOOKUP($A182,'The List'!$B1:$AH727,27,FALSE)-AVERAGE('The List'!AB2:AB727))/STDEV('The List'!AB2:AB727)</f>
        <v>-0.25575160233322619</v>
      </c>
      <c r="P182" s="39">
        <f>(VLOOKUP($A182,'The List'!$B1:$AH727,28,FALSE)-AVERAGE('The List'!AC2:AC727))/STDEV('The List'!AC2:AC727)</f>
        <v>0.25819690165723863</v>
      </c>
      <c r="Q182" s="39">
        <f>(VLOOKUP($A182,'The List'!$B1:$AH727,29,FALSE)-AVERAGE('The List'!AD2:AD727))/STDEV('The List'!AD2:AD727)</f>
        <v>1.1390753563711427</v>
      </c>
      <c r="R182" s="39">
        <f>(VLOOKUP($A182,'The List'!$B1:$AH727,30,FALSE)-AVERAGE('The List'!AE2:AE727))/STDEV('The List'!AE2:AE727)</f>
        <v>-1.7853260521104208E-2</v>
      </c>
      <c r="S182" s="39">
        <f>(VLOOKUP($A182,'The List'!$B1:$AH727,31,FALSE)-AVERAGE('The List'!AF2:AF727))/STDEV('The List'!AF2:AF727)</f>
        <v>-0.55804314905918151</v>
      </c>
      <c r="T182" s="39">
        <f>(VLOOKUP($A182,'The List'!$B1:$AH727,32,FALSE)-AVERAGE('The List'!AG2:AG727))/STDEV('The List'!AG2:AG727)</f>
        <v>-0.60188453558131205</v>
      </c>
      <c r="U182" s="39">
        <f>(VLOOKUP($A182,'The List'!$B1:$AH727,33,FALSE)-AVERAGE('The List'!AH2:AH727))/STDEV('The List'!AH2:AH727)</f>
        <v>-1.2395873372913611</v>
      </c>
      <c r="V182" s="39"/>
      <c r="W182" s="43"/>
      <c r="X182" s="41"/>
      <c r="Y182" s="41"/>
      <c r="Z182" s="41"/>
      <c r="AA182" s="41"/>
      <c r="AB182" s="41"/>
      <c r="AC182" s="44"/>
      <c r="AD182" s="45"/>
      <c r="AE182" s="39"/>
    </row>
    <row r="183" spans="1:31" ht="21.25" customHeight="1" x14ac:dyDescent="0.15">
      <c r="A183" s="8" t="s">
        <v>390</v>
      </c>
      <c r="B183" s="35" t="str">
        <f>VLOOKUP(A183,'Player Data'!A1:B734,2,FALSE)</f>
        <v>FLA</v>
      </c>
      <c r="C183" s="37">
        <f>((E183)*Settings!$C$12)+(F183*Settings!$C$2)+(G183*Settings!$C$3)+(H183*Settings!$C$4)+(I183*Settings!$C$5)+(K183*Settings!$C$9)+(N183*Settings!$C$6)+(J183*Settings!$C$8)+(O183*Settings!$C$7)+(P183*Settings!$C$14)+(Q183*Settings!$C$15)+(R183*Settings!$C$16)+(S183*Settings!$C$17)+(T183*Settings!$C$18)+(U183*Settings!$C$19)</f>
        <v>1.8326367075128531</v>
      </c>
      <c r="D183" s="41">
        <f>IF(Settings!$E$12="YES",VLOOKUP(A183,'Player Data'!A1:E734,5,FALSE),82)</f>
        <v>76.795000000000002</v>
      </c>
      <c r="E183" s="39">
        <f>(VLOOKUP($A183,'The List'!$B1:$AH727,17,FALSE)-AVERAGE('The List'!R2:R727))/STDEV('The List'!R2:R727)</f>
        <v>4.1711615959444226E-2</v>
      </c>
      <c r="F183" s="39">
        <f>(VLOOKUP($A183,'The List'!$B1:$AH727,18,FALSE)-AVERAGE('The List'!S2:S727))/STDEV('The List'!S2:S727)</f>
        <v>0.4818029755670904</v>
      </c>
      <c r="G183" s="39">
        <f>(VLOOKUP($A183,'The List'!$B1:$AH727,19,FALSE)-AVERAGE('The List'!T2:T727))/STDEV('The List'!T2:T727)</f>
        <v>0.37063395103881963</v>
      </c>
      <c r="H183" s="39">
        <f>(VLOOKUP($A183,'The List'!$B1:$AH727,20,FALSE)-AVERAGE('The List'!U2:U727))/STDEV('The List'!U2:U727)</f>
        <v>0.44763855675955083</v>
      </c>
      <c r="I183" s="39">
        <f>(VLOOKUP($A183,'The List'!$B1:$AH727,21,FALSE)-AVERAGE('The List'!V2:V727))/STDEV('The List'!V2:V727)</f>
        <v>0.48424595371526546</v>
      </c>
      <c r="J183" s="39">
        <f>(VLOOKUP($A183,'The List'!$B1:$AH727,22,FALSE)-AVERAGE('The List'!W2:W727))/STDEV('The List'!W2:W727)</f>
        <v>-0.38341770053097662</v>
      </c>
      <c r="K183" s="39">
        <f>(VLOOKUP($A183,'The List'!$B1:$AH727,23,FALSE)-AVERAGE('The List'!X2:X727))/STDEV('The List'!X2:X727)</f>
        <v>-0.12172441790823281</v>
      </c>
      <c r="L183" s="39">
        <f>(VLOOKUP($A183,'The List'!$B1:$AH727,24,FALSE)-AVERAGE('The List'!Y2:Y727))/STDEV('The List'!Y2:Y727)</f>
        <v>2.4045372983208066</v>
      </c>
      <c r="M183" s="39">
        <f>(VLOOKUP($A183,'The List'!$B1:$AH727,25,FALSE)-AVERAGE('The List'!Z2:Z727))/STDEV('The List'!Z2:Z727)</f>
        <v>2.2827422992190867</v>
      </c>
      <c r="N183" s="39">
        <f>(VLOOKUP($A183,'The List'!$B1:$AH727,26,FALSE)-AVERAGE('The List'!AA2:AA727))/STDEV('The List'!AA2:AA727)</f>
        <v>-0.40961811699104228</v>
      </c>
      <c r="O183" s="39">
        <f>(VLOOKUP($A183,'The List'!$B1:$AH727,27,FALSE)-AVERAGE('The List'!AB2:AB727))/STDEV('The List'!AB2:AB727)</f>
        <v>-1.0912910311644115</v>
      </c>
      <c r="P183" s="39">
        <f>(VLOOKUP($A183,'The List'!$B1:$AH727,28,FALSE)-AVERAGE('The List'!AC2:AC727))/STDEV('The List'!AC2:AC727)</f>
        <v>1.0272963620909528</v>
      </c>
      <c r="Q183" s="39">
        <f>(VLOOKUP($A183,'The List'!$B1:$AH727,29,FALSE)-AVERAGE('The List'!AD2:AD727))/STDEV('The List'!AD2:AD727)</f>
        <v>0.33534581149199505</v>
      </c>
      <c r="R183" s="39">
        <f>(VLOOKUP($A183,'The List'!$B1:$AH727,30,FALSE)-AVERAGE('The List'!AE2:AE727))/STDEV('The List'!AE2:AE727)</f>
        <v>0.47184429400445055</v>
      </c>
      <c r="S183" s="39">
        <f>(VLOOKUP($A183,'The List'!$B1:$AH727,31,FALSE)-AVERAGE('The List'!AF2:AF727))/STDEV('The List'!AF2:AF727)</f>
        <v>0.93948013354279836</v>
      </c>
      <c r="T183" s="39">
        <f>(VLOOKUP($A183,'The List'!$B1:$AH727,32,FALSE)-AVERAGE('The List'!AG2:AG727))/STDEV('The List'!AG2:AG727)</f>
        <v>1.2657012223712516</v>
      </c>
      <c r="U183" s="39">
        <f>(VLOOKUP($A183,'The List'!$B1:$AH727,33,FALSE)-AVERAGE('The List'!AH2:AH727))/STDEV('The List'!AH2:AH727)</f>
        <v>0.82762116052194878</v>
      </c>
      <c r="V183" s="39"/>
      <c r="W183" s="43"/>
      <c r="X183" s="41"/>
      <c r="Y183" s="41"/>
      <c r="Z183" s="41"/>
      <c r="AA183" s="41"/>
      <c r="AB183" s="41"/>
      <c r="AC183" s="44"/>
      <c r="AD183" s="45"/>
      <c r="AE183" s="39"/>
    </row>
    <row r="184" spans="1:31" ht="21.25" customHeight="1" x14ac:dyDescent="0.15">
      <c r="A184" s="8" t="s">
        <v>234</v>
      </c>
      <c r="B184" s="35" t="str">
        <f>VLOOKUP(A184,'Player Data'!A1:B734,2,FALSE)</f>
        <v>OTT</v>
      </c>
      <c r="C184" s="37">
        <f>((E184)*Settings!$C$12)+(F184*Settings!$C$2)+(G184*Settings!$C$3)+(H184*Settings!$C$4)+(I184*Settings!$C$5)+(K184*Settings!$C$9)+(N184*Settings!$C$6)+(J184*Settings!$C$8)+(O184*Settings!$C$7)+(P184*Settings!$C$14)+(Q184*Settings!$C$15)+(R184*Settings!$C$16)+(S184*Settings!$C$17)+(T184*Settings!$C$18)+(U184*Settings!$C$19)</f>
        <v>3.8698619480634062</v>
      </c>
      <c r="D184" s="41">
        <f>IF(Settings!$E$12="YES",VLOOKUP(A184,'Player Data'!A1:E734,5,FALSE),82)</f>
        <v>75.357500000000002</v>
      </c>
      <c r="E184" s="39">
        <f>(VLOOKUP($A184,'The List'!$B1:$AH727,17,FALSE)-AVERAGE('The List'!R2:R727))/STDEV('The List'!R2:R727)</f>
        <v>1.808723950068488</v>
      </c>
      <c r="F184" s="39">
        <f>(VLOOKUP($A184,'The List'!$B1:$AH727,18,FALSE)-AVERAGE('The List'!S2:S727))/STDEV('The List'!S2:S727)</f>
        <v>-0.32095231283817965</v>
      </c>
      <c r="G184" s="39">
        <f>(VLOOKUP($A184,'The List'!$B1:$AH727,19,FALSE)-AVERAGE('The List'!T2:T727))/STDEV('The List'!T2:T727)</f>
        <v>0.89735501224456349</v>
      </c>
      <c r="H184" s="39">
        <f>(VLOOKUP($A184,'The List'!$B1:$AH727,20,FALSE)-AVERAGE('The List'!U2:U727))/STDEV('The List'!U2:U727)</f>
        <v>0.40690503495799374</v>
      </c>
      <c r="I184" s="39">
        <f>(VLOOKUP($A184,'The List'!$B1:$AH727,21,FALSE)-AVERAGE('The List'!V2:V727))/STDEV('The List'!V2:V727)</f>
        <v>0.67642070715904989</v>
      </c>
      <c r="J184" s="39">
        <f>(VLOOKUP($A184,'The List'!$B1:$AH727,22,FALSE)-AVERAGE('The List'!W2:W727))/STDEV('The List'!W2:W727)</f>
        <v>0.1590565886376972</v>
      </c>
      <c r="K184" s="39">
        <f>(VLOOKUP($A184,'The List'!$B1:$AH727,23,FALSE)-AVERAGE('The List'!X2:X727))/STDEV('The List'!X2:X727)</f>
        <v>0.93101113852468209</v>
      </c>
      <c r="L184" s="39">
        <f>(VLOOKUP($A184,'The List'!$B1:$AH727,24,FALSE)-AVERAGE('The List'!Y2:Y727))/STDEV('The List'!Y2:Y727)</f>
        <v>-0.52646784186239393</v>
      </c>
      <c r="M184" s="39">
        <f>(VLOOKUP($A184,'The List'!$B1:$AH727,25,FALSE)-AVERAGE('The List'!Z2:Z727))/STDEV('The List'!Z2:Z727)</f>
        <v>-0.68375070378978375</v>
      </c>
      <c r="N184" s="39">
        <f>(VLOOKUP($A184,'The List'!$B1:$AH727,26,FALSE)-AVERAGE('The List'!AA2:AA727))/STDEV('The List'!AA2:AA727)</f>
        <v>1.4858981509328364</v>
      </c>
      <c r="O184" s="39">
        <f>(VLOOKUP($A184,'The List'!$B1:$AH727,27,FALSE)-AVERAGE('The List'!AB2:AB727))/STDEV('The List'!AB2:AB727)</f>
        <v>-0.14647529769225953</v>
      </c>
      <c r="P184" s="39">
        <f>(VLOOKUP($A184,'The List'!$B1:$AH727,28,FALSE)-AVERAGE('The List'!AC2:AC727))/STDEV('The List'!AC2:AC727)</f>
        <v>0.20012925204045448</v>
      </c>
      <c r="Q184" s="39">
        <f>(VLOOKUP($A184,'The List'!$B1:$AH727,29,FALSE)-AVERAGE('The List'!AD2:AD727))/STDEV('The List'!AD2:AD727)</f>
        <v>0.96953121497537387</v>
      </c>
      <c r="R184" s="39">
        <f>(VLOOKUP($A184,'The List'!$B1:$AH727,30,FALSE)-AVERAGE('The List'!AE2:AE727))/STDEV('The List'!AE2:AE727)</f>
        <v>-0.30930939479915509</v>
      </c>
      <c r="S184" s="39">
        <f>(VLOOKUP($A184,'The List'!$B1:$AH727,31,FALSE)-AVERAGE('The List'!AF2:AF727))/STDEV('The List'!AF2:AF727)</f>
        <v>-0.55804314905918151</v>
      </c>
      <c r="T184" s="39">
        <f>(VLOOKUP($A184,'The List'!$B1:$AH727,32,FALSE)-AVERAGE('The List'!AG2:AG727))/STDEV('The List'!AG2:AG727)</f>
        <v>-0.60188453558131205</v>
      </c>
      <c r="U184" s="39">
        <f>(VLOOKUP($A184,'The List'!$B1:$AH727,33,FALSE)-AVERAGE('The List'!AH2:AH727))/STDEV('The List'!AH2:AH727)</f>
        <v>-1.2395873372913611</v>
      </c>
      <c r="V184" s="39"/>
      <c r="W184" s="41"/>
      <c r="X184" s="41"/>
      <c r="Y184" s="41"/>
      <c r="Z184" s="41"/>
      <c r="AA184" s="41"/>
      <c r="AB184" s="41"/>
      <c r="AC184" s="44"/>
      <c r="AD184" s="45"/>
      <c r="AE184" s="39"/>
    </row>
    <row r="185" spans="1:31" ht="21.25" customHeight="1" x14ac:dyDescent="0.15">
      <c r="A185" s="8" t="s">
        <v>364</v>
      </c>
      <c r="B185" s="35" t="str">
        <f>VLOOKUP(A185,'Player Data'!A1:B734,2,FALSE)</f>
        <v>CBJ</v>
      </c>
      <c r="C185" s="37">
        <f>((E185)*Settings!$C$12)+(F185*Settings!$C$2)+(G185*Settings!$C$3)+(H185*Settings!$C$4)+(I185*Settings!$C$5)+(K185*Settings!$C$9)+(N185*Settings!$C$6)+(J185*Settings!$C$8)+(O185*Settings!$C$7)+(P185*Settings!$C$14)+(Q185*Settings!$C$15)+(R185*Settings!$C$16)+(S185*Settings!$C$17)+(T185*Settings!$C$18)+(U185*Settings!$C$19)</f>
        <v>-6.963176079842559E-2</v>
      </c>
      <c r="D185" s="41">
        <f>IF(Settings!$E$12="YES",VLOOKUP(A185,'Player Data'!A1:E734,5,FALSE),82)</f>
        <v>80.784999999999997</v>
      </c>
      <c r="E185" s="39">
        <f>(VLOOKUP($A185,'The List'!$B1:$AH727,17,FALSE)-AVERAGE('The List'!R2:R727))/STDEV('The List'!R2:R727)</f>
        <v>-0.14025519616399282</v>
      </c>
      <c r="F185" s="39">
        <f>(VLOOKUP($A185,'The List'!$B1:$AH727,18,FALSE)-AVERAGE('The List'!S2:S727))/STDEV('The List'!S2:S727)</f>
        <v>0.68864231031449885</v>
      </c>
      <c r="G185" s="39">
        <f>(VLOOKUP($A185,'The List'!$B1:$AH727,19,FALSE)-AVERAGE('The List'!T2:T727))/STDEV('The List'!T2:T727)</f>
        <v>0.55288259060166756</v>
      </c>
      <c r="H185" s="39">
        <f>(VLOOKUP($A185,'The List'!$B1:$AH727,20,FALSE)-AVERAGE('The List'!U2:U727))/STDEV('The List'!U2:U727)</f>
        <v>0.65406668715295557</v>
      </c>
      <c r="I185" s="39">
        <f>(VLOOKUP($A185,'The List'!$B1:$AH727,21,FALSE)-AVERAGE('The List'!V2:V727))/STDEV('The List'!V2:V727)</f>
        <v>0.24919120964532562</v>
      </c>
      <c r="J185" s="39">
        <f>(VLOOKUP($A185,'The List'!$B1:$AH727,22,FALSE)-AVERAGE('The List'!W2:W727))/STDEV('The List'!W2:W727)</f>
        <v>0.57990339737376384</v>
      </c>
      <c r="K185" s="39">
        <f>(VLOOKUP($A185,'The List'!$B1:$AH727,23,FALSE)-AVERAGE('The List'!X2:X727))/STDEV('The List'!X2:X727)</f>
        <v>0.71538386624667971</v>
      </c>
      <c r="L185" s="39">
        <f>(VLOOKUP($A185,'The List'!$B1:$AH727,24,FALSE)-AVERAGE('The List'!Y2:Y727))/STDEV('The List'!Y2:Y727)</f>
        <v>-0.53589401617719412</v>
      </c>
      <c r="M185" s="39">
        <f>(VLOOKUP($A185,'The List'!$B1:$AH727,25,FALSE)-AVERAGE('The List'!Z2:Z727))/STDEV('The List'!Z2:Z727)</f>
        <v>-0.71469827034930611</v>
      </c>
      <c r="N185" s="39">
        <f>(VLOOKUP($A185,'The List'!$B1:$AH727,26,FALSE)-AVERAGE('The List'!AA2:AA727))/STDEV('The List'!AA2:AA727)</f>
        <v>-0.66300132411533252</v>
      </c>
      <c r="O185" s="39">
        <f>(VLOOKUP($A185,'The List'!$B1:$AH727,27,FALSE)-AVERAGE('The List'!AB2:AB727))/STDEV('The List'!AB2:AB727)</f>
        <v>-1.345681521726835</v>
      </c>
      <c r="P185" s="39">
        <f>(VLOOKUP($A185,'The List'!$B1:$AH727,28,FALSE)-AVERAGE('The List'!AC2:AC727))/STDEV('The List'!AC2:AC727)</f>
        <v>-1.6127304134912648</v>
      </c>
      <c r="Q185" s="39">
        <f>(VLOOKUP($A185,'The List'!$B1:$AH727,29,FALSE)-AVERAGE('The List'!AD2:AD727))/STDEV('The List'!AD2:AD727)</f>
        <v>-0.69757684121979446</v>
      </c>
      <c r="R185" s="39">
        <f>(VLOOKUP($A185,'The List'!$B1:$AH727,30,FALSE)-AVERAGE('The List'!AE2:AE727))/STDEV('The List'!AE2:AE727)</f>
        <v>0.19560478762388175</v>
      </c>
      <c r="S185" s="39">
        <f>(VLOOKUP($A185,'The List'!$B1:$AH727,31,FALSE)-AVERAGE('The List'!AF2:AF727))/STDEV('The List'!AF2:AF727)</f>
        <v>-0.3523965724270921</v>
      </c>
      <c r="T185" s="39">
        <f>(VLOOKUP($A185,'The List'!$B1:$AH727,32,FALSE)-AVERAGE('The List'!AG2:AG727))/STDEV('The List'!AG2:AG727)</f>
        <v>-2.5387302731871474E-2</v>
      </c>
      <c r="U185" s="39">
        <f>(VLOOKUP($A185,'The List'!$B1:$AH727,33,FALSE)-AVERAGE('The List'!AH2:AH727))/STDEV('The List'!AH2:AH727)</f>
        <v>-6.8203378687882055E-3</v>
      </c>
      <c r="V185" s="39"/>
      <c r="W185" s="41"/>
      <c r="X185" s="39"/>
      <c r="Y185" s="39"/>
      <c r="Z185" s="39"/>
      <c r="AA185" s="39"/>
      <c r="AB185" s="39"/>
      <c r="AC185" s="39"/>
      <c r="AD185" s="39"/>
      <c r="AE185" s="39"/>
    </row>
    <row r="186" spans="1:31" ht="21.25" customHeight="1" x14ac:dyDescent="0.15">
      <c r="A186" s="8" t="s">
        <v>240</v>
      </c>
      <c r="B186" s="35" t="str">
        <f>VLOOKUP(A186,'Player Data'!A1:B734,2,FALSE)</f>
        <v>ANA</v>
      </c>
      <c r="C186" s="37">
        <f>((E186)*Settings!$C$12)+(F186*Settings!$C$2)+(G186*Settings!$C$3)+(H186*Settings!$C$4)+(I186*Settings!$C$5)+(K186*Settings!$C$9)+(N186*Settings!$C$6)+(J186*Settings!$C$8)+(O186*Settings!$C$7)+(P186*Settings!$C$14)+(Q186*Settings!$C$15)+(R186*Settings!$C$16)+(S186*Settings!$C$17)+(T186*Settings!$C$18)+(U186*Settings!$C$19)</f>
        <v>1.1872265971587401</v>
      </c>
      <c r="D186" s="41">
        <f>IF(Settings!$E$12="YES",VLOOKUP(A186,'Player Data'!A1:E734,5,FALSE),82)</f>
        <v>81.204999999999998</v>
      </c>
      <c r="E186" s="39">
        <f>(VLOOKUP($A186,'The List'!$B1:$AH727,17,FALSE)-AVERAGE('The List'!R2:R727))/STDEV('The List'!R2:R727)</f>
        <v>2.1679858737025612</v>
      </c>
      <c r="F186" s="39">
        <f>(VLOOKUP($A186,'The List'!$B1:$AH727,18,FALSE)-AVERAGE('The List'!S2:S727))/STDEV('The List'!S2:S727)</f>
        <v>-0.28717073015592032</v>
      </c>
      <c r="G186" s="39">
        <f>(VLOOKUP($A186,'The List'!$B1:$AH727,19,FALSE)-AVERAGE('The List'!T2:T727))/STDEV('The List'!T2:T727)</f>
        <v>1.1152580360362696</v>
      </c>
      <c r="H186" s="39">
        <f>(VLOOKUP($A186,'The List'!$B1:$AH727,20,FALSE)-AVERAGE('The List'!U2:U727))/STDEV('The List'!U2:U727)</f>
        <v>0.55655161870279601</v>
      </c>
      <c r="I186" s="39">
        <f>(VLOOKUP($A186,'The List'!$B1:$AH727,21,FALSE)-AVERAGE('The List'!V2:V727))/STDEV('The List'!V2:V727)</f>
        <v>0.14322700001096261</v>
      </c>
      <c r="J186" s="39">
        <f>(VLOOKUP($A186,'The List'!$B1:$AH727,22,FALSE)-AVERAGE('The List'!W2:W727))/STDEV('The List'!W2:W727)</f>
        <v>0.59381408632773314</v>
      </c>
      <c r="K186" s="39">
        <f>(VLOOKUP($A186,'The List'!$B1:$AH727,23,FALSE)-AVERAGE('The List'!X2:X727))/STDEV('The List'!X2:X727)</f>
        <v>1.0940042288680294</v>
      </c>
      <c r="L186" s="39">
        <f>(VLOOKUP($A186,'The List'!$B1:$AH727,24,FALSE)-AVERAGE('The List'!Y2:Y727))/STDEV('The List'!Y2:Y727)</f>
        <v>-0.49831184806576484</v>
      </c>
      <c r="M186" s="39">
        <f>(VLOOKUP($A186,'The List'!$B1:$AH727,25,FALSE)-AVERAGE('The List'!Z2:Z727))/STDEV('The List'!Z2:Z727)</f>
        <v>-0.61473119375573326</v>
      </c>
      <c r="N186" s="39">
        <f>(VLOOKUP($A186,'The List'!$B1:$AH727,26,FALSE)-AVERAGE('The List'!AA2:AA727))/STDEV('The List'!AA2:AA727)</f>
        <v>1.3096128761167043</v>
      </c>
      <c r="O186" s="39">
        <f>(VLOOKUP($A186,'The List'!$B1:$AH727,27,FALSE)-AVERAGE('The List'!AB2:AB727))/STDEV('The List'!AB2:AB727)</f>
        <v>-1.1112847726616557</v>
      </c>
      <c r="P186" s="39">
        <f>(VLOOKUP($A186,'The List'!$B1:$AH727,28,FALSE)-AVERAGE('The List'!AC2:AC727))/STDEV('The List'!AC2:AC727)</f>
        <v>-2.1877048137173052</v>
      </c>
      <c r="Q186" s="39">
        <f>(VLOOKUP($A186,'The List'!$B1:$AH727,29,FALSE)-AVERAGE('The List'!AD2:AD727))/STDEV('The List'!AD2:AD727)</f>
        <v>-0.54327748547982857</v>
      </c>
      <c r="R186" s="39">
        <f>(VLOOKUP($A186,'The List'!$B1:$AH727,30,FALSE)-AVERAGE('The List'!AE2:AE727))/STDEV('The List'!AE2:AE727)</f>
        <v>-0.47919382068182198</v>
      </c>
      <c r="S186" s="39">
        <f>(VLOOKUP($A186,'The List'!$B1:$AH727,31,FALSE)-AVERAGE('The List'!AF2:AF727))/STDEV('The List'!AF2:AF727)</f>
        <v>-0.55804314905918151</v>
      </c>
      <c r="T186" s="39">
        <f>(VLOOKUP($A186,'The List'!$B1:$AH727,32,FALSE)-AVERAGE('The List'!AG2:AG727))/STDEV('The List'!AG2:AG727)</f>
        <v>-0.60188453558131205</v>
      </c>
      <c r="U186" s="39">
        <f>(VLOOKUP($A186,'The List'!$B1:$AH727,33,FALSE)-AVERAGE('The List'!AH2:AH727))/STDEV('The List'!AH2:AH727)</f>
        <v>-1.2395873372913611</v>
      </c>
      <c r="V186" s="39"/>
      <c r="W186" s="41"/>
      <c r="X186" s="39"/>
      <c r="Y186" s="39"/>
      <c r="Z186" s="39"/>
      <c r="AA186" s="39"/>
      <c r="AB186" s="39"/>
      <c r="AC186" s="39"/>
      <c r="AD186" s="39"/>
      <c r="AE186" s="39"/>
    </row>
    <row r="187" spans="1:31" ht="21.25" customHeight="1" x14ac:dyDescent="0.15">
      <c r="A187" s="8" t="s">
        <v>363</v>
      </c>
      <c r="B187" s="35" t="str">
        <f>VLOOKUP(A187,'Player Data'!A1:B734,2,FALSE)</f>
        <v>DAL</v>
      </c>
      <c r="C187" s="37">
        <f>((E187)*Settings!$C$12)+(F187*Settings!$C$2)+(G187*Settings!$C$3)+(H187*Settings!$C$4)+(I187*Settings!$C$5)+(K187*Settings!$C$9)+(N187*Settings!$C$6)+(J187*Settings!$C$8)+(O187*Settings!$C$7)+(P187*Settings!$C$14)+(Q187*Settings!$C$15)+(R187*Settings!$C$16)+(S187*Settings!$C$17)+(T187*Settings!$C$18)+(U187*Settings!$C$19)</f>
        <v>2.7865435468770992</v>
      </c>
      <c r="D187" s="41">
        <f>IF(Settings!$E$12="YES",VLOOKUP(A187,'Player Data'!A1:E734,5,FALSE),82)</f>
        <v>80.83</v>
      </c>
      <c r="E187" s="39">
        <f>(VLOOKUP($A187,'The List'!$B1:$AH727,17,FALSE)-AVERAGE('The List'!R2:R727))/STDEV('The List'!R2:R727)</f>
        <v>-4.9984292123166546E-2</v>
      </c>
      <c r="F187" s="39">
        <f>(VLOOKUP($A187,'The List'!$B1:$AH727,18,FALSE)-AVERAGE('The List'!S2:S727))/STDEV('The List'!S2:S727)</f>
        <v>1.315618291814346</v>
      </c>
      <c r="G187" s="39">
        <f>(VLOOKUP($A187,'The List'!$B1:$AH727,19,FALSE)-AVERAGE('The List'!T2:T727))/STDEV('The List'!T2:T727)</f>
        <v>6.9251023291064528E-2</v>
      </c>
      <c r="H187" s="39">
        <f>(VLOOKUP($A187,'The List'!$B1:$AH727,20,FALSE)-AVERAGE('The List'!U2:U727))/STDEV('The List'!U2:U727)</f>
        <v>0.64136176758691943</v>
      </c>
      <c r="I187" s="39">
        <f>(VLOOKUP($A187,'The List'!$B1:$AH727,21,FALSE)-AVERAGE('The List'!V2:V727))/STDEV('The List'!V2:V727)</f>
        <v>0.62767851154458021</v>
      </c>
      <c r="J187" s="39">
        <f>(VLOOKUP($A187,'The List'!$B1:$AH727,22,FALSE)-AVERAGE('The List'!W2:W727))/STDEV('The List'!W2:W727)</f>
        <v>0.32473028367000645</v>
      </c>
      <c r="K187" s="39">
        <f>(VLOOKUP($A187,'The List'!$B1:$AH727,23,FALSE)-AVERAGE('The List'!X2:X727))/STDEV('The List'!X2:X727)</f>
        <v>0.16089773750956482</v>
      </c>
      <c r="L187" s="39">
        <f>(VLOOKUP($A187,'The List'!$B1:$AH727,24,FALSE)-AVERAGE('The List'!Y2:Y727))/STDEV('The List'!Y2:Y727)</f>
        <v>-0.22612290343149044</v>
      </c>
      <c r="M187" s="39">
        <f>(VLOOKUP($A187,'The List'!$B1:$AH727,25,FALSE)-AVERAGE('The List'!Z2:Z727))/STDEV('The List'!Z2:Z727)</f>
        <v>-0.36335894082128484</v>
      </c>
      <c r="N187" s="39">
        <f>(VLOOKUP($A187,'The List'!$B1:$AH727,26,FALSE)-AVERAGE('The List'!AA2:AA727))/STDEV('The List'!AA2:AA727)</f>
        <v>-0.6623338562058696</v>
      </c>
      <c r="O187" s="39">
        <f>(VLOOKUP($A187,'The List'!$B1:$AH727,27,FALSE)-AVERAGE('The List'!AB2:AB727))/STDEV('The List'!AB2:AB727)</f>
        <v>-1.2634525800680962</v>
      </c>
      <c r="P187" s="39">
        <f>(VLOOKUP($A187,'The List'!$B1:$AH727,28,FALSE)-AVERAGE('The List'!AC2:AC727))/STDEV('The List'!AC2:AC727)</f>
        <v>1.2754318389234129</v>
      </c>
      <c r="Q187" s="39">
        <f>(VLOOKUP($A187,'The List'!$B1:$AH727,29,FALSE)-AVERAGE('The List'!AD2:AD727))/STDEV('The List'!AD2:AD727)</f>
        <v>-0.46812532650634381</v>
      </c>
      <c r="R187" s="39">
        <f>(VLOOKUP($A187,'The List'!$B1:$AH727,30,FALSE)-AVERAGE('The List'!AE2:AE727))/STDEV('The List'!AE2:AE727)</f>
        <v>1.5351330072862956</v>
      </c>
      <c r="S187" s="39">
        <f>(VLOOKUP($A187,'The List'!$B1:$AH727,31,FALSE)-AVERAGE('The List'!AF2:AF727))/STDEV('The List'!AF2:AF727)</f>
        <v>0.18209744854522819</v>
      </c>
      <c r="T187" s="39">
        <f>(VLOOKUP($A187,'The List'!$B1:$AH727,32,FALSE)-AVERAGE('The List'!AG2:AG727))/STDEV('The List'!AG2:AG727)</f>
        <v>0.41836656908476527</v>
      </c>
      <c r="U187" s="39">
        <f>(VLOOKUP($A187,'The List'!$B1:$AH727,33,FALSE)-AVERAGE('The List'!AH2:AH727))/STDEV('The List'!AH2:AH727)</f>
        <v>0.71591028092232878</v>
      </c>
      <c r="V187" s="39"/>
      <c r="W187" s="43"/>
      <c r="X187" s="41"/>
      <c r="Y187" s="41"/>
      <c r="Z187" s="41"/>
      <c r="AA187" s="41"/>
      <c r="AB187" s="41"/>
      <c r="AC187" s="44"/>
      <c r="AD187" s="45"/>
      <c r="AE187" s="39"/>
    </row>
    <row r="188" spans="1:31" ht="21.25" customHeight="1" x14ac:dyDescent="0.15">
      <c r="A188" s="8" t="s">
        <v>418</v>
      </c>
      <c r="B188" s="35" t="str">
        <f>VLOOKUP(A188,'Player Data'!A1:B734,2,FALSE)</f>
        <v>NSH</v>
      </c>
      <c r="C188" s="37">
        <f>((E188)*Settings!$C$12)+(F188*Settings!$C$2)+(G188*Settings!$C$3)+(H188*Settings!$C$4)+(I188*Settings!$C$5)+(K188*Settings!$C$9)+(N188*Settings!$C$6)+(J188*Settings!$C$8)+(O188*Settings!$C$7)+(P188*Settings!$C$14)+(Q188*Settings!$C$15)+(R188*Settings!$C$16)+(S188*Settings!$C$17)+(T188*Settings!$C$18)+(U188*Settings!$C$19)</f>
        <v>0.90271653258086593</v>
      </c>
      <c r="D188" s="41">
        <f>IF(Settings!$E$12="YES",VLOOKUP(A188,'Player Data'!A1:E734,5,FALSE),82)</f>
        <v>70.1697321428571</v>
      </c>
      <c r="E188" s="39">
        <f>(VLOOKUP($A188,'The List'!$B1:$AH727,17,FALSE)-AVERAGE('The List'!R2:R727))/STDEV('The List'!R2:R727)</f>
        <v>-1.6571533286821609E-3</v>
      </c>
      <c r="F188" s="39">
        <f>(VLOOKUP($A188,'The List'!$B1:$AH727,18,FALSE)-AVERAGE('The List'!S2:S727))/STDEV('The List'!S2:S727)</f>
        <v>0.42283422218429439</v>
      </c>
      <c r="G188" s="39">
        <f>(VLOOKUP($A188,'The List'!$B1:$AH727,19,FALSE)-AVERAGE('The List'!T2:T727))/STDEV('The List'!T2:T727)</f>
        <v>0.23589571311000601</v>
      </c>
      <c r="H188" s="39">
        <f>(VLOOKUP($A188,'The List'!$B1:$AH727,20,FALSE)-AVERAGE('The List'!U2:U727))/STDEV('The List'!U2:U727)</f>
        <v>0.33777714104873707</v>
      </c>
      <c r="I188" s="39">
        <f>(VLOOKUP($A188,'The List'!$B1:$AH727,21,FALSE)-AVERAGE('The List'!V2:V727))/STDEV('The List'!V2:V727)</f>
        <v>0.20761677205700732</v>
      </c>
      <c r="J188" s="39">
        <f>(VLOOKUP($A188,'The List'!$B1:$AH727,22,FALSE)-AVERAGE('The List'!W2:W727))/STDEV('The List'!W2:W727)</f>
        <v>1.33169006776957</v>
      </c>
      <c r="K188" s="39">
        <f>(VLOOKUP($A188,'The List'!$B1:$AH727,23,FALSE)-AVERAGE('The List'!X2:X727))/STDEV('The List'!X2:X727)</f>
        <v>0.52463027605953327</v>
      </c>
      <c r="L188" s="39">
        <f>(VLOOKUP($A188,'The List'!$B1:$AH727,24,FALSE)-AVERAGE('The List'!Y2:Y727))/STDEV('The List'!Y2:Y727)</f>
        <v>-0.43951761520882948</v>
      </c>
      <c r="M188" s="39">
        <f>(VLOOKUP($A188,'The List'!$B1:$AH727,25,FALSE)-AVERAGE('The List'!Z2:Z727))/STDEV('The List'!Z2:Z727)</f>
        <v>-0.6069974729517692</v>
      </c>
      <c r="N188" s="39">
        <f>(VLOOKUP($A188,'The List'!$B1:$AH727,26,FALSE)-AVERAGE('The List'!AA2:AA727))/STDEV('The List'!AA2:AA727)</f>
        <v>-0.65705591674134267</v>
      </c>
      <c r="O188" s="39">
        <f>(VLOOKUP($A188,'The List'!$B1:$AH727,27,FALSE)-AVERAGE('The List'!AB2:AB727))/STDEV('The List'!AB2:AB727)</f>
        <v>-0.477206561720739</v>
      </c>
      <c r="P188" s="39">
        <f>(VLOOKUP($A188,'The List'!$B1:$AH727,28,FALSE)-AVERAGE('The List'!AC2:AC727))/STDEV('The List'!AC2:AC727)</f>
        <v>0.16879546591136765</v>
      </c>
      <c r="Q188" s="39">
        <f>(VLOOKUP($A188,'The List'!$B1:$AH727,29,FALSE)-AVERAGE('The List'!AD2:AD727))/STDEV('The List'!AD2:AD727)</f>
        <v>-0.55183710143966636</v>
      </c>
      <c r="R188" s="39">
        <f>(VLOOKUP($A188,'The List'!$B1:$AH727,30,FALSE)-AVERAGE('The List'!AE2:AE727))/STDEV('The List'!AE2:AE727)</f>
        <v>0.44545242281425845</v>
      </c>
      <c r="S188" s="39">
        <f>(VLOOKUP($A188,'The List'!$B1:$AH727,31,FALSE)-AVERAGE('The List'!AF2:AF727))/STDEV('The List'!AF2:AF727)</f>
        <v>1.287232084868267</v>
      </c>
      <c r="T188" s="39">
        <f>(VLOOKUP($A188,'The List'!$B1:$AH727,32,FALSE)-AVERAGE('The List'!AG2:AG727))/STDEV('The List'!AG2:AG727)</f>
        <v>1.5271170790277222</v>
      </c>
      <c r="U188" s="39">
        <f>(VLOOKUP($A188,'The List'!$B1:$AH727,33,FALSE)-AVERAGE('The List'!AH2:AH727))/STDEV('The List'!AH2:AH727)</f>
        <v>0.91511594164958088</v>
      </c>
      <c r="V188" s="39"/>
      <c r="W188" s="43"/>
      <c r="X188" s="41"/>
      <c r="Y188" s="41"/>
      <c r="Z188" s="41"/>
      <c r="AA188" s="41"/>
      <c r="AB188" s="41"/>
      <c r="AC188" s="44"/>
      <c r="AD188" s="45"/>
      <c r="AE188" s="39"/>
    </row>
    <row r="189" spans="1:31" ht="21.25" customHeight="1" x14ac:dyDescent="0.15">
      <c r="A189" s="8" t="s">
        <v>391</v>
      </c>
      <c r="B189" s="35" t="str">
        <f>VLOOKUP(A189,'Player Data'!A1:B734,2,FALSE)</f>
        <v>DAL</v>
      </c>
      <c r="C189" s="37">
        <f>((E189)*Settings!$C$12)+(F189*Settings!$C$2)+(G189*Settings!$C$3)+(H189*Settings!$C$4)+(I189*Settings!$C$5)+(K189*Settings!$C$9)+(N189*Settings!$C$6)+(J189*Settings!$C$8)+(O189*Settings!$C$7)+(P189*Settings!$C$14)+(Q189*Settings!$C$15)+(R189*Settings!$C$16)+(S189*Settings!$C$17)+(T189*Settings!$C$18)+(U189*Settings!$C$19)</f>
        <v>1.4955870804424056</v>
      </c>
      <c r="D189" s="41">
        <f>IF(Settings!$E$12="YES",VLOOKUP(A189,'Player Data'!A1:E734,5,FALSE),82)</f>
        <v>73.0667857142857</v>
      </c>
      <c r="E189" s="39">
        <f>(VLOOKUP($A189,'The List'!$B1:$AH727,17,FALSE)-AVERAGE('The List'!R2:R727))/STDEV('The List'!R2:R727)</f>
        <v>9.2981389664034464E-2</v>
      </c>
      <c r="F189" s="39">
        <f>(VLOOKUP($A189,'The List'!$B1:$AH727,18,FALSE)-AVERAGE('The List'!S2:S727))/STDEV('The List'!S2:S727)</f>
        <v>0.56960944450708351</v>
      </c>
      <c r="G189" s="39">
        <f>(VLOOKUP($A189,'The List'!$B1:$AH727,19,FALSE)-AVERAGE('The List'!T2:T727))/STDEV('The List'!T2:T727)</f>
        <v>9.5843302079787029E-2</v>
      </c>
      <c r="H189" s="39">
        <f>(VLOOKUP($A189,'The List'!$B1:$AH727,20,FALSE)-AVERAGE('The List'!U2:U727))/STDEV('The List'!U2:U727)</f>
        <v>0.31826746659498872</v>
      </c>
      <c r="I189" s="39">
        <f>(VLOOKUP($A189,'The List'!$B1:$AH727,21,FALSE)-AVERAGE('The List'!V2:V727))/STDEV('The List'!V2:V727)</f>
        <v>0.75094998904349208</v>
      </c>
      <c r="J189" s="39">
        <f>(VLOOKUP($A189,'The List'!$B1:$AH727,22,FALSE)-AVERAGE('The List'!W2:W727))/STDEV('The List'!W2:W727)</f>
        <v>0.46290617216337682</v>
      </c>
      <c r="K189" s="39">
        <f>(VLOOKUP($A189,'The List'!$B1:$AH727,23,FALSE)-AVERAGE('The List'!X2:X727))/STDEV('The List'!X2:X727)</f>
        <v>0.16313963806401674</v>
      </c>
      <c r="L189" s="39">
        <f>(VLOOKUP($A189,'The List'!$B1:$AH727,24,FALSE)-AVERAGE('The List'!Y2:Y727))/STDEV('The List'!Y2:Y727)</f>
        <v>1.0643348066010487</v>
      </c>
      <c r="M189" s="39">
        <f>(VLOOKUP($A189,'The List'!$B1:$AH727,25,FALSE)-AVERAGE('The List'!Z2:Z727))/STDEV('The List'!Z2:Z727)</f>
        <v>1.2472869250377094</v>
      </c>
      <c r="N189" s="39">
        <f>(VLOOKUP($A189,'The List'!$B1:$AH727,26,FALSE)-AVERAGE('The List'!AA2:AA727))/STDEV('The List'!AA2:AA727)</f>
        <v>-0.83925229749735653</v>
      </c>
      <c r="O189" s="39">
        <f>(VLOOKUP($A189,'The List'!$B1:$AH727,27,FALSE)-AVERAGE('The List'!AB2:AB727))/STDEV('The List'!AB2:AB727)</f>
        <v>-0.2260448505738861</v>
      </c>
      <c r="P189" s="39">
        <f>(VLOOKUP($A189,'The List'!$B1:$AH727,28,FALSE)-AVERAGE('The List'!AC2:AC727))/STDEV('The List'!AC2:AC727)</f>
        <v>0.75529700424538282</v>
      </c>
      <c r="Q189" s="39">
        <f>(VLOOKUP($A189,'The List'!$B1:$AH727,29,FALSE)-AVERAGE('The List'!AD2:AD727))/STDEV('The List'!AD2:AD727)</f>
        <v>-0.40941359988011183</v>
      </c>
      <c r="R189" s="39">
        <f>(VLOOKUP($A189,'The List'!$B1:$AH727,30,FALSE)-AVERAGE('The List'!AE2:AE727))/STDEV('The List'!AE2:AE727)</f>
        <v>0.75547917614427584</v>
      </c>
      <c r="S189" s="39">
        <f>(VLOOKUP($A189,'The List'!$B1:$AH727,31,FALSE)-AVERAGE('The List'!AF2:AF727))/STDEV('The List'!AF2:AF727)</f>
        <v>1.6752022310599417</v>
      </c>
      <c r="T189" s="39">
        <f>(VLOOKUP($A189,'The List'!$B1:$AH727,32,FALSE)-AVERAGE('The List'!AG2:AG727))/STDEV('The List'!AG2:AG727)</f>
        <v>1.2936625048286619</v>
      </c>
      <c r="U189" s="39">
        <f>(VLOOKUP($A189,'The List'!$B1:$AH727,33,FALSE)-AVERAGE('The List'!AH2:AH727))/STDEV('The List'!AH2:AH727)</f>
        <v>1.2608320508433204</v>
      </c>
      <c r="V189" s="39"/>
      <c r="W189" s="43"/>
      <c r="X189" s="41"/>
      <c r="Y189" s="41"/>
      <c r="Z189" s="41"/>
      <c r="AA189" s="41"/>
      <c r="AB189" s="41"/>
      <c r="AC189" s="44"/>
      <c r="AD189" s="45"/>
      <c r="AE189" s="39"/>
    </row>
    <row r="190" spans="1:31" ht="21.25" customHeight="1" x14ac:dyDescent="0.15">
      <c r="A190" s="8" t="s">
        <v>355</v>
      </c>
      <c r="B190" s="35" t="str">
        <f>VLOOKUP(A190,'Player Data'!A1:B734,2,FALSE)</f>
        <v>PHI</v>
      </c>
      <c r="C190" s="37">
        <f>((E190)*Settings!$C$12)+(F190*Settings!$C$2)+(G190*Settings!$C$3)+(H190*Settings!$C$4)+(I190*Settings!$C$5)+(K190*Settings!$C$9)+(N190*Settings!$C$6)+(J190*Settings!$C$8)+(O190*Settings!$C$7)+(P190*Settings!$C$14)+(Q190*Settings!$C$15)+(R190*Settings!$C$16)+(S190*Settings!$C$17)+(T190*Settings!$C$18)+(U190*Settings!$C$19)</f>
        <v>-0.82404892106087346</v>
      </c>
      <c r="D190" s="41">
        <f>IF(Settings!$E$12="YES",VLOOKUP(A190,'Player Data'!A1:E734,5,FALSE),82)</f>
        <v>66.237499999999997</v>
      </c>
      <c r="E190" s="39">
        <f>(VLOOKUP($A190,'The List'!$B1:$AH727,17,FALSE)-AVERAGE('The List'!R2:R727))/STDEV('The List'!R2:R727)</f>
        <v>-5.1305251835828361E-2</v>
      </c>
      <c r="F190" s="39">
        <f>(VLOOKUP($A190,'The List'!$B1:$AH727,18,FALSE)-AVERAGE('The List'!S2:S727))/STDEV('The List'!S2:S727)</f>
        <v>0.22361213668949526</v>
      </c>
      <c r="G190" s="39">
        <f>(VLOOKUP($A190,'The List'!$B1:$AH727,19,FALSE)-AVERAGE('The List'!T2:T727))/STDEV('The List'!T2:T727)</f>
        <v>5.9562292252780279E-2</v>
      </c>
      <c r="H190" s="39">
        <f>(VLOOKUP($A190,'The List'!$B1:$AH727,20,FALSE)-AVERAGE('The List'!U2:U727))/STDEV('The List'!U2:U727)</f>
        <v>0.1384603479583012</v>
      </c>
      <c r="I190" s="39">
        <f>(VLOOKUP($A190,'The List'!$B1:$AH727,21,FALSE)-AVERAGE('The List'!V2:V727))/STDEV('The List'!V2:V727)</f>
        <v>0.54194699923070289</v>
      </c>
      <c r="J190" s="39">
        <f>(VLOOKUP($A190,'The List'!$B1:$AH727,22,FALSE)-AVERAGE('The List'!W2:W727))/STDEV('The List'!W2:W727)</f>
        <v>4.5146173764870699E-2</v>
      </c>
      <c r="K190" s="39">
        <f>(VLOOKUP($A190,'The List'!$B1:$AH727,23,FALSE)-AVERAGE('The List'!X2:X727))/STDEV('The List'!X2:X727)</f>
        <v>8.9830735777356119E-2</v>
      </c>
      <c r="L190" s="39">
        <f>(VLOOKUP($A190,'The List'!$B1:$AH727,24,FALSE)-AVERAGE('The List'!Y2:Y727))/STDEV('The List'!Y2:Y727)</f>
        <v>-0.42978392768571294</v>
      </c>
      <c r="M190" s="39">
        <f>(VLOOKUP($A190,'The List'!$B1:$AH727,25,FALSE)-AVERAGE('The List'!Z2:Z727))/STDEV('The List'!Z2:Z727)</f>
        <v>-0.64758699114147134</v>
      </c>
      <c r="N190" s="39">
        <f>(VLOOKUP($A190,'The List'!$B1:$AH727,26,FALSE)-AVERAGE('The List'!AA2:AA727))/STDEV('The List'!AA2:AA727)</f>
        <v>-0.67926957846384084</v>
      </c>
      <c r="O190" s="39">
        <f>(VLOOKUP($A190,'The List'!$B1:$AH727,27,FALSE)-AVERAGE('The List'!AB2:AB727))/STDEV('The List'!AB2:AB727)</f>
        <v>-1.1755481189475219</v>
      </c>
      <c r="P190" s="39">
        <f>(VLOOKUP($A190,'The List'!$B1:$AH727,28,FALSE)-AVERAGE('The List'!AC2:AC727))/STDEV('The List'!AC2:AC727)</f>
        <v>-1.0597315065473671</v>
      </c>
      <c r="Q190" s="39">
        <f>(VLOOKUP($A190,'The List'!$B1:$AH727,29,FALSE)-AVERAGE('The List'!AD2:AD727))/STDEV('The List'!AD2:AD727)</f>
        <v>-2.2035150062588813</v>
      </c>
      <c r="R190" s="39">
        <f>(VLOOKUP($A190,'The List'!$B1:$AH727,30,FALSE)-AVERAGE('The List'!AE2:AE727))/STDEV('The List'!AE2:AE727)</f>
        <v>-2.6914083532662877E-2</v>
      </c>
      <c r="S190" s="39">
        <f>(VLOOKUP($A190,'The List'!$B1:$AH727,31,FALSE)-AVERAGE('The List'!AF2:AF727))/STDEV('The List'!AF2:AF727)</f>
        <v>-0.52965696139699681</v>
      </c>
      <c r="T190" s="39">
        <f>(VLOOKUP($A190,'The List'!$B1:$AH727,32,FALSE)-AVERAGE('The List'!AG2:AG727))/STDEV('The List'!AG2:AG727)</f>
        <v>-0.52203511143731507</v>
      </c>
      <c r="U190" s="39">
        <f>(VLOOKUP($A190,'The List'!$B1:$AH727,33,FALSE)-AVERAGE('The List'!AH2:AH727))/STDEV('The List'!AH2:AH727)</f>
        <v>-9.8912070702353461E-3</v>
      </c>
      <c r="V190" s="39"/>
      <c r="W190" s="43"/>
      <c r="X190" s="41"/>
      <c r="Y190" s="41"/>
      <c r="Z190" s="41"/>
      <c r="AA190" s="41"/>
      <c r="AB190" s="41"/>
      <c r="AC190" s="44"/>
      <c r="AD190" s="45"/>
      <c r="AE190" s="39"/>
    </row>
    <row r="191" spans="1:31" ht="21.25" customHeight="1" x14ac:dyDescent="0.15">
      <c r="A191" s="8" t="s">
        <v>351</v>
      </c>
      <c r="B191" s="35" t="str">
        <f>VLOOKUP(A191,'Player Data'!A1:B734,2,FALSE)</f>
        <v>VAN</v>
      </c>
      <c r="C191" s="37">
        <f>((E191)*Settings!$C$12)+(F191*Settings!$C$2)+(G191*Settings!$C$3)+(H191*Settings!$C$4)+(I191*Settings!$C$5)+(K191*Settings!$C$9)+(N191*Settings!$C$6)+(J191*Settings!$C$8)+(O191*Settings!$C$7)+(P191*Settings!$C$14)+(Q191*Settings!$C$15)+(R191*Settings!$C$16)+(S191*Settings!$C$17)+(T191*Settings!$C$18)+(U191*Settings!$C$19)</f>
        <v>0.14706850323606704</v>
      </c>
      <c r="D191" s="41">
        <f>IF(Settings!$E$12="YES",VLOOKUP(A191,'Player Data'!A1:E734,5,FALSE),82)</f>
        <v>71.359642857142902</v>
      </c>
      <c r="E191" s="39">
        <f>(VLOOKUP($A191,'The List'!$B1:$AH727,17,FALSE)-AVERAGE('The List'!R2:R727))/STDEV('The List'!R2:R727)</f>
        <v>0.13682781521912524</v>
      </c>
      <c r="F191" s="39">
        <f>(VLOOKUP($A191,'The List'!$B1:$AH727,18,FALSE)-AVERAGE('The List'!S2:S727))/STDEV('The List'!S2:S727)</f>
        <v>0.74228108276665106</v>
      </c>
      <c r="G191" s="39">
        <f>(VLOOKUP($A191,'The List'!$B1:$AH727,19,FALSE)-AVERAGE('The List'!T2:T727))/STDEV('The List'!T2:T727)</f>
        <v>-0.13530128302284697</v>
      </c>
      <c r="H191" s="39">
        <f>(VLOOKUP($A191,'The List'!$B1:$AH727,20,FALSE)-AVERAGE('The List'!U2:U727))/STDEV('The List'!U2:U727)</f>
        <v>0.2544104454621921</v>
      </c>
      <c r="I191" s="39">
        <f>(VLOOKUP($A191,'The List'!$B1:$AH727,21,FALSE)-AVERAGE('The List'!V2:V727))/STDEV('The List'!V2:V727)</f>
        <v>0.47438179733313263</v>
      </c>
      <c r="J191" s="39">
        <f>(VLOOKUP($A191,'The List'!$B1:$AH727,22,FALSE)-AVERAGE('The List'!W2:W727))/STDEV('The List'!W2:W727)</f>
        <v>-2.6150339111842844E-3</v>
      </c>
      <c r="K191" s="39">
        <f>(VLOOKUP($A191,'The List'!$B1:$AH727,23,FALSE)-AVERAGE('The List'!X2:X727))/STDEV('The List'!X2:X727)</f>
        <v>-0.25496567707459716</v>
      </c>
      <c r="L191" s="39">
        <f>(VLOOKUP($A191,'The List'!$B1:$AH727,24,FALSE)-AVERAGE('The List'!Y2:Y727))/STDEV('The List'!Y2:Y727)</f>
        <v>2.6513993702132348</v>
      </c>
      <c r="M191" s="39">
        <f>(VLOOKUP($A191,'The List'!$B1:$AH727,25,FALSE)-AVERAGE('The List'!Z2:Z727))/STDEV('The List'!Z2:Z727)</f>
        <v>1.6599475845596208</v>
      </c>
      <c r="N191" s="39">
        <f>(VLOOKUP($A191,'The List'!$B1:$AH727,26,FALSE)-AVERAGE('The List'!AA2:AA727))/STDEV('The List'!AA2:AA727)</f>
        <v>-0.82001433300833759</v>
      </c>
      <c r="O191" s="39">
        <f>(VLOOKUP($A191,'The List'!$B1:$AH727,27,FALSE)-AVERAGE('The List'!AB2:AB727))/STDEV('The List'!AB2:AB727)</f>
        <v>-0.97800133007102674</v>
      </c>
      <c r="P191" s="39">
        <f>(VLOOKUP($A191,'The List'!$B1:$AH727,28,FALSE)-AVERAGE('The List'!AC2:AC727))/STDEV('The List'!AC2:AC727)</f>
        <v>0.140686916242065</v>
      </c>
      <c r="Q191" s="39">
        <f>(VLOOKUP($A191,'The List'!$B1:$AH727,29,FALSE)-AVERAGE('The List'!AD2:AD727))/STDEV('The List'!AD2:AD727)</f>
        <v>-1.0773331314857286</v>
      </c>
      <c r="R191" s="39">
        <f>(VLOOKUP($A191,'The List'!$B1:$AH727,30,FALSE)-AVERAGE('The List'!AE2:AE727))/STDEV('The List'!AE2:AE727)</f>
        <v>0.69075183284453989</v>
      </c>
      <c r="S191" s="39">
        <f>(VLOOKUP($A191,'The List'!$B1:$AH727,31,FALSE)-AVERAGE('The List'!AF2:AF727))/STDEV('The List'!AF2:AF727)</f>
        <v>-0.53933752568726645</v>
      </c>
      <c r="T191" s="39">
        <f>(VLOOKUP($A191,'The List'!$B1:$AH727,32,FALSE)-AVERAGE('The List'!AG2:AG727))/STDEV('The List'!AG2:AG727)</f>
        <v>-0.55995929557745416</v>
      </c>
      <c r="U191" s="39">
        <f>(VLOOKUP($A191,'The List'!$B1:$AH727,33,FALSE)-AVERAGE('The List'!AH2:AH727))/STDEV('The List'!AH2:AH727)</f>
        <v>0.20355930162522137</v>
      </c>
      <c r="V191" s="39"/>
      <c r="W191" s="41"/>
      <c r="X191" s="39"/>
      <c r="Y191" s="39"/>
      <c r="Z191" s="39"/>
      <c r="AA191" s="39"/>
      <c r="AB191" s="39"/>
      <c r="AC191" s="39"/>
      <c r="AD191" s="39"/>
      <c r="AE191" s="39"/>
    </row>
    <row r="192" spans="1:31" ht="21.25" customHeight="1" x14ac:dyDescent="0.15">
      <c r="A192" s="8" t="s">
        <v>318</v>
      </c>
      <c r="B192" s="35" t="str">
        <f>VLOOKUP(A192,'Player Data'!A1:B734,2,FALSE)</f>
        <v>CBJ</v>
      </c>
      <c r="C192" s="37">
        <f>((E192)*Settings!$C$12)+(F192*Settings!$C$2)+(G192*Settings!$C$3)+(H192*Settings!$C$4)+(I192*Settings!$C$5)+(K192*Settings!$C$9)+(N192*Settings!$C$6)+(J192*Settings!$C$8)+(O192*Settings!$C$7)+(P192*Settings!$C$14)+(Q192*Settings!$C$15)+(R192*Settings!$C$16)+(S192*Settings!$C$17)+(T192*Settings!$C$18)+(U192*Settings!$C$19)</f>
        <v>-0.71772931767661508</v>
      </c>
      <c r="D192" s="41">
        <f>IF(Settings!$E$12="YES",VLOOKUP(A192,'Player Data'!A1:E734,5,FALSE),82)</f>
        <v>80.34</v>
      </c>
      <c r="E192" s="39">
        <f>(VLOOKUP($A192,'The List'!$B1:$AH727,17,FALSE)-AVERAGE('The List'!R2:R727))/STDEV('The List'!R2:R727)</f>
        <v>-8.3845940473486272E-2</v>
      </c>
      <c r="F192" s="39">
        <f>(VLOOKUP($A192,'The List'!$B1:$AH727,18,FALSE)-AVERAGE('The List'!S2:S727))/STDEV('The List'!S2:S727)</f>
        <v>0.34697787240757838</v>
      </c>
      <c r="G192" s="39">
        <f>(VLOOKUP($A192,'The List'!$B1:$AH727,19,FALSE)-AVERAGE('The List'!T2:T727))/STDEV('The List'!T2:T727)</f>
        <v>0.53206367282861289</v>
      </c>
      <c r="H192" s="39">
        <f>(VLOOKUP($A192,'The List'!$B1:$AH727,20,FALSE)-AVERAGE('The List'!U2:U727))/STDEV('The List'!U2:U727)</f>
        <v>0.48575917895832721</v>
      </c>
      <c r="I192" s="39">
        <f>(VLOOKUP($A192,'The List'!$B1:$AH727,21,FALSE)-AVERAGE('The List'!V2:V727))/STDEV('The List'!V2:V727)</f>
        <v>1.1784387281724068E-2</v>
      </c>
      <c r="J192" s="39">
        <f>(VLOOKUP($A192,'The List'!$B1:$AH727,22,FALSE)-AVERAGE('The List'!W2:W727))/STDEV('The List'!W2:W727)</f>
        <v>0.15158003125417291</v>
      </c>
      <c r="K192" s="39">
        <f>(VLOOKUP($A192,'The List'!$B1:$AH727,23,FALSE)-AVERAGE('The List'!X2:X727))/STDEV('The List'!X2:X727)</f>
        <v>0.13832438969059443</v>
      </c>
      <c r="L192" s="39">
        <f>(VLOOKUP($A192,'The List'!$B1:$AH727,24,FALSE)-AVERAGE('The List'!Y2:Y727))/STDEV('The List'!Y2:Y727)</f>
        <v>2.3480461974579274</v>
      </c>
      <c r="M192" s="39">
        <f>(VLOOKUP($A192,'The List'!$B1:$AH727,25,FALSE)-AVERAGE('The List'!Z2:Z727))/STDEV('The List'!Z2:Z727)</f>
        <v>1.9948011647220341</v>
      </c>
      <c r="N192" s="39">
        <f>(VLOOKUP($A192,'The List'!$B1:$AH727,26,FALSE)-AVERAGE('The List'!AA2:AA727))/STDEV('The List'!AA2:AA727)</f>
        <v>-0.28453778433584032</v>
      </c>
      <c r="O192" s="39">
        <f>(VLOOKUP($A192,'The List'!$B1:$AH727,27,FALSE)-AVERAGE('The List'!AB2:AB727))/STDEV('The List'!AB2:AB727)</f>
        <v>-0.78407275122329545</v>
      </c>
      <c r="P192" s="39">
        <f>(VLOOKUP($A192,'The List'!$B1:$AH727,28,FALSE)-AVERAGE('The List'!AC2:AC727))/STDEV('The List'!AC2:AC727)</f>
        <v>-1.4623418555492844</v>
      </c>
      <c r="Q192" s="39">
        <f>(VLOOKUP($A192,'The List'!$B1:$AH727,29,FALSE)-AVERAGE('The List'!AD2:AD727))/STDEV('The List'!AD2:AD727)</f>
        <v>-1.00524178093122</v>
      </c>
      <c r="R192" s="39">
        <f>(VLOOKUP($A192,'The List'!$B1:$AH727,30,FALSE)-AVERAGE('The List'!AE2:AE727))/STDEV('The List'!AE2:AE727)</f>
        <v>-4.3548831786778416E-2</v>
      </c>
      <c r="S192" s="39">
        <f>(VLOOKUP($A192,'The List'!$B1:$AH727,31,FALSE)-AVERAGE('The List'!AF2:AF727))/STDEV('The List'!AF2:AF727)</f>
        <v>1.410762395407974</v>
      </c>
      <c r="T192" s="39">
        <f>(VLOOKUP($A192,'The List'!$B1:$AH727,32,FALSE)-AVERAGE('The List'!AG2:AG727))/STDEV('The List'!AG2:AG727)</f>
        <v>2.1016388164256656</v>
      </c>
      <c r="U192" s="39">
        <f>(VLOOKUP($A192,'The List'!$B1:$AH727,33,FALSE)-AVERAGE('The List'!AH2:AH727))/STDEV('The List'!AH2:AH727)</f>
        <v>0.72016479234355424</v>
      </c>
      <c r="V192" s="39"/>
      <c r="W192" s="41"/>
      <c r="X192" s="39"/>
      <c r="Y192" s="39"/>
      <c r="Z192" s="39"/>
      <c r="AA192" s="39"/>
      <c r="AB192" s="39"/>
      <c r="AC192" s="39"/>
      <c r="AD192" s="39"/>
      <c r="AE192" s="39"/>
    </row>
    <row r="193" spans="1:31" ht="21.25" customHeight="1" x14ac:dyDescent="0.15">
      <c r="A193" s="8" t="s">
        <v>362</v>
      </c>
      <c r="B193" s="35" t="str">
        <f>VLOOKUP(A193,'Player Data'!A1:B734,2,FALSE)</f>
        <v>PHI</v>
      </c>
      <c r="C193" s="37">
        <f>((E193)*Settings!$C$12)+(F193*Settings!$C$2)+(G193*Settings!$C$3)+(H193*Settings!$C$4)+(I193*Settings!$C$5)+(K193*Settings!$C$9)+(N193*Settings!$C$6)+(J193*Settings!$C$8)+(O193*Settings!$C$7)+(P193*Settings!$C$14)+(Q193*Settings!$C$15)+(R193*Settings!$C$16)+(S193*Settings!$C$17)+(T193*Settings!$C$18)+(U193*Settings!$C$19)</f>
        <v>-0.85372863324244463</v>
      </c>
      <c r="D193" s="41">
        <f>IF(Settings!$E$12="YES",VLOOKUP(A193,'Player Data'!A1:E734,5,FALSE),82)</f>
        <v>79.271071428571403</v>
      </c>
      <c r="E193" s="39">
        <f>(VLOOKUP($A193,'The List'!$B1:$AH727,17,FALSE)-AVERAGE('The List'!R2:R727))/STDEV('The List'!R2:R727)</f>
        <v>0.18789475230498939</v>
      </c>
      <c r="F193" s="39">
        <f>(VLOOKUP($A193,'The List'!$B1:$AH727,18,FALSE)-AVERAGE('The List'!S2:S727))/STDEV('The List'!S2:S727)</f>
        <v>0.65731937789424322</v>
      </c>
      <c r="G193" s="39">
        <f>(VLOOKUP($A193,'The List'!$B1:$AH727,19,FALSE)-AVERAGE('The List'!T2:T727))/STDEV('The List'!T2:T727)</f>
        <v>0.23655545072817749</v>
      </c>
      <c r="H193" s="39">
        <f>(VLOOKUP($A193,'The List'!$B1:$AH727,20,FALSE)-AVERAGE('The List'!U2:U727))/STDEV('The List'!U2:U727)</f>
        <v>0.44488909651889874</v>
      </c>
      <c r="I193" s="39">
        <f>(VLOOKUP($A193,'The List'!$B1:$AH727,21,FALSE)-AVERAGE('The List'!V2:V727))/STDEV('The List'!V2:V727)</f>
        <v>0.31452548374413652</v>
      </c>
      <c r="J193" s="39">
        <f>(VLOOKUP($A193,'The List'!$B1:$AH727,22,FALSE)-AVERAGE('The List'!W2:W727))/STDEV('The List'!W2:W727)</f>
        <v>-0.27911882494615925</v>
      </c>
      <c r="K193" s="39">
        <f>(VLOOKUP($A193,'The List'!$B1:$AH727,23,FALSE)-AVERAGE('The List'!X2:X727))/STDEV('The List'!X2:X727)</f>
        <v>-0.27060191560353025</v>
      </c>
      <c r="L193" s="39">
        <f>(VLOOKUP($A193,'The List'!$B1:$AH727,24,FALSE)-AVERAGE('The List'!Y2:Y727))/STDEV('The List'!Y2:Y727)</f>
        <v>7.0931954209449153E-3</v>
      </c>
      <c r="M193" s="39">
        <f>(VLOOKUP($A193,'The List'!$B1:$AH727,25,FALSE)-AVERAGE('The List'!Z2:Z727))/STDEV('The List'!Z2:Z727)</f>
        <v>-0.30896200515047284</v>
      </c>
      <c r="N193" s="39">
        <f>(VLOOKUP($A193,'The List'!$B1:$AH727,26,FALSE)-AVERAGE('The List'!AA2:AA727))/STDEV('The List'!AA2:AA727)</f>
        <v>-0.42081375982868285</v>
      </c>
      <c r="O193" s="39">
        <f>(VLOOKUP($A193,'The List'!$B1:$AH727,27,FALSE)-AVERAGE('The List'!AB2:AB727))/STDEV('The List'!AB2:AB727)</f>
        <v>-0.33659464495852487</v>
      </c>
      <c r="P193" s="39">
        <f>(VLOOKUP($A193,'The List'!$B1:$AH727,28,FALSE)-AVERAGE('The List'!AC2:AC727))/STDEV('The List'!AC2:AC727)</f>
        <v>-1.3707132701767888</v>
      </c>
      <c r="Q193" s="39">
        <f>(VLOOKUP($A193,'The List'!$B1:$AH727,29,FALSE)-AVERAGE('The List'!AD2:AD727))/STDEV('The List'!AD2:AD727)</f>
        <v>0.75106474138837842</v>
      </c>
      <c r="R193" s="39">
        <f>(VLOOKUP($A193,'The List'!$B1:$AH727,30,FALSE)-AVERAGE('The List'!AE2:AE727))/STDEV('The List'!AE2:AE727)</f>
        <v>0.30609824059034529</v>
      </c>
      <c r="S193" s="39">
        <f>(VLOOKUP($A193,'The List'!$B1:$AH727,31,FALSE)-AVERAGE('The List'!AF2:AF727))/STDEV('The List'!AF2:AF727)</f>
        <v>-0.45976658470724879</v>
      </c>
      <c r="T193" s="39">
        <f>(VLOOKUP($A193,'The List'!$B1:$AH727,32,FALSE)-AVERAGE('The List'!AG2:AG727))/STDEV('The List'!AG2:AG727)</f>
        <v>-0.40239817907226627</v>
      </c>
      <c r="U193" s="39">
        <f>(VLOOKUP($A193,'The List'!$B1:$AH727,33,FALSE)-AVERAGE('The List'!AH2:AH727))/STDEV('The List'!AH2:AH727)</f>
        <v>0.30258609148176252</v>
      </c>
      <c r="V193" s="39"/>
      <c r="W193" s="43"/>
      <c r="X193" s="41"/>
      <c r="Y193" s="41"/>
      <c r="Z193" s="41"/>
      <c r="AA193" s="41"/>
      <c r="AB193" s="41"/>
      <c r="AC193" s="44"/>
      <c r="AD193" s="45"/>
      <c r="AE193" s="39"/>
    </row>
    <row r="194" spans="1:31" ht="21.25" customHeight="1" x14ac:dyDescent="0.15">
      <c r="A194" s="8" t="s">
        <v>194</v>
      </c>
      <c r="B194" s="35" t="str">
        <f>VLOOKUP(A194,'Player Data'!A1:B734,2,FALSE)</f>
        <v>CHI</v>
      </c>
      <c r="C194" s="37">
        <f>((E194)*Settings!$C$12)+(F194*Settings!$C$2)+(G194*Settings!$C$3)+(H194*Settings!$C$4)+(I194*Settings!$C$5)+(K194*Settings!$C$9)+(N194*Settings!$C$6)+(J194*Settings!$C$8)+(O194*Settings!$C$7)+(P194*Settings!$C$14)+(Q194*Settings!$C$15)+(R194*Settings!$C$16)+(S194*Settings!$C$17)+(T194*Settings!$C$18)+(U194*Settings!$C$19)</f>
        <v>2.7516189132431683</v>
      </c>
      <c r="D194" s="41">
        <f>IF(Settings!$E$12="YES",VLOOKUP(A194,'Player Data'!A1:E734,5,FALSE),82)</f>
        <v>79.704999999999998</v>
      </c>
      <c r="E194" s="39">
        <f>(VLOOKUP($A194,'The List'!$B1:$AH727,17,FALSE)-AVERAGE('The List'!R2:R727))/STDEV('The List'!R2:R727)</f>
        <v>2.2355550213660833</v>
      </c>
      <c r="F194" s="39">
        <f>(VLOOKUP($A194,'The List'!$B1:$AH727,18,FALSE)-AVERAGE('The List'!S2:S727))/STDEV('The List'!S2:S727)</f>
        <v>-0.39690321901225878</v>
      </c>
      <c r="G194" s="39">
        <f>(VLOOKUP($A194,'The List'!$B1:$AH727,19,FALSE)-AVERAGE('The List'!T2:T727))/STDEV('The List'!T2:T727)</f>
        <v>1.1946924160737253</v>
      </c>
      <c r="H194" s="39">
        <f>(VLOOKUP($A194,'The List'!$B1:$AH727,20,FALSE)-AVERAGE('The List'!U2:U727))/STDEV('The List'!U2:U727)</f>
        <v>0.55556466601887078</v>
      </c>
      <c r="I194" s="39">
        <f>(VLOOKUP($A194,'The List'!$B1:$AH727,21,FALSE)-AVERAGE('The List'!V2:V727))/STDEV('The List'!V2:V727)</f>
        <v>1.1154980951826723</v>
      </c>
      <c r="J194" s="39">
        <f>(VLOOKUP($A194,'The List'!$B1:$AH727,22,FALSE)-AVERAGE('The List'!W2:W727))/STDEV('The List'!W2:W727)</f>
        <v>-0.19705849554560331</v>
      </c>
      <c r="K194" s="39">
        <f>(VLOOKUP($A194,'The List'!$B1:$AH727,23,FALSE)-AVERAGE('The List'!X2:X727))/STDEV('The List'!X2:X727)</f>
        <v>1.0465774269885431</v>
      </c>
      <c r="L194" s="39">
        <f>(VLOOKUP($A194,'The List'!$B1:$AH727,24,FALSE)-AVERAGE('The List'!Y2:Y727))/STDEV('The List'!Y2:Y727)</f>
        <v>-0.49629220362634846</v>
      </c>
      <c r="M194" s="39">
        <f>(VLOOKUP($A194,'The List'!$B1:$AH727,25,FALSE)-AVERAGE('The List'!Z2:Z727))/STDEV('The List'!Z2:Z727)</f>
        <v>0.3514217458706837</v>
      </c>
      <c r="N194" s="39">
        <f>(VLOOKUP($A194,'The List'!$B1:$AH727,26,FALSE)-AVERAGE('The List'!AA2:AA727))/STDEV('The List'!AA2:AA727)</f>
        <v>2.1375972883160794</v>
      </c>
      <c r="O194" s="39">
        <f>(VLOOKUP($A194,'The List'!$B1:$AH727,27,FALSE)-AVERAGE('The List'!AB2:AB727))/STDEV('The List'!AB2:AB727)</f>
        <v>0.38593477878889432</v>
      </c>
      <c r="P194" s="39">
        <f>(VLOOKUP($A194,'The List'!$B1:$AH727,28,FALSE)-AVERAGE('The List'!AC2:AC727))/STDEV('The List'!AC2:AC727)</f>
        <v>-2.3458430943055935</v>
      </c>
      <c r="Q194" s="39">
        <f>(VLOOKUP($A194,'The List'!$B1:$AH727,29,FALSE)-AVERAGE('The List'!AD2:AD727))/STDEV('The List'!AD2:AD727)</f>
        <v>0.19867161814074019</v>
      </c>
      <c r="R194" s="39">
        <f>(VLOOKUP($A194,'The List'!$B1:$AH727,30,FALSE)-AVERAGE('The List'!AE2:AE727))/STDEV('The List'!AE2:AE727)</f>
        <v>-0.50549636367518636</v>
      </c>
      <c r="S194" s="39">
        <f>(VLOOKUP($A194,'The List'!$B1:$AH727,31,FALSE)-AVERAGE('The List'!AF2:AF727))/STDEV('The List'!AF2:AF727)</f>
        <v>-0.55804314905918151</v>
      </c>
      <c r="T194" s="39">
        <f>(VLOOKUP($A194,'The List'!$B1:$AH727,32,FALSE)-AVERAGE('The List'!AG2:AG727))/STDEV('The List'!AG2:AG727)</f>
        <v>-0.60188453558131205</v>
      </c>
      <c r="U194" s="39">
        <f>(VLOOKUP($A194,'The List'!$B1:$AH727,33,FALSE)-AVERAGE('The List'!AH2:AH727))/STDEV('The List'!AH2:AH727)</f>
        <v>-1.2395873372913611</v>
      </c>
      <c r="V194" s="39"/>
      <c r="W194" s="43"/>
      <c r="X194" s="41"/>
      <c r="Y194" s="41"/>
      <c r="Z194" s="41"/>
      <c r="AA194" s="41"/>
      <c r="AB194" s="41"/>
      <c r="AC194" s="44"/>
      <c r="AD194" s="45"/>
      <c r="AE194" s="39"/>
    </row>
    <row r="195" spans="1:31" ht="21.25" customHeight="1" x14ac:dyDescent="0.15">
      <c r="A195" s="8" t="s">
        <v>185</v>
      </c>
      <c r="B195" s="35" t="str">
        <f>VLOOKUP(A195,'Player Data'!A1:B734,2,FALSE)</f>
        <v>CAR</v>
      </c>
      <c r="C195" s="37">
        <f>((E195)*Settings!$C$12)+(F195*Settings!$C$2)+(G195*Settings!$C$3)+(H195*Settings!$C$4)+(I195*Settings!$C$5)+(K195*Settings!$C$9)+(N195*Settings!$C$6)+(J195*Settings!$C$8)+(O195*Settings!$C$7)+(P195*Settings!$C$14)+(Q195*Settings!$C$15)+(R195*Settings!$C$16)+(S195*Settings!$C$17)+(T195*Settings!$C$18)+(U195*Settings!$C$19)</f>
        <v>6.5113585383056671</v>
      </c>
      <c r="D195" s="41">
        <f>IF(Settings!$E$12="YES",VLOOKUP(A195,'Player Data'!A1:E734,5,FALSE),82)</f>
        <v>82</v>
      </c>
      <c r="E195" s="39">
        <f>(VLOOKUP($A195,'The List'!$B1:$AH727,17,FALSE)-AVERAGE('The List'!R2:R727))/STDEV('The List'!R2:R727)</f>
        <v>1.3224516699028379</v>
      </c>
      <c r="F195" s="39">
        <f>(VLOOKUP($A195,'The List'!$B1:$AH727,18,FALSE)-AVERAGE('The List'!S2:S727))/STDEV('The List'!S2:S727)</f>
        <v>-0.19666099241623383</v>
      </c>
      <c r="G195" s="39">
        <f>(VLOOKUP($A195,'The List'!$B1:$AH727,19,FALSE)-AVERAGE('The List'!T2:T727))/STDEV('The List'!T2:T727)</f>
        <v>1.1151412227170987</v>
      </c>
      <c r="H195" s="39">
        <f>(VLOOKUP($A195,'The List'!$B1:$AH727,20,FALSE)-AVERAGE('The List'!U2:U727))/STDEV('The List'!U2:U727)</f>
        <v>0.59766723170120406</v>
      </c>
      <c r="I195" s="39">
        <f>(VLOOKUP($A195,'The List'!$B1:$AH727,21,FALSE)-AVERAGE('The List'!V2:V727))/STDEV('The List'!V2:V727)</f>
        <v>1.3645717806495381</v>
      </c>
      <c r="J195" s="39">
        <f>(VLOOKUP($A195,'The List'!$B1:$AH727,22,FALSE)-AVERAGE('The List'!W2:W727))/STDEV('The List'!W2:W727)</f>
        <v>0.28438311827455665</v>
      </c>
      <c r="K195" s="39">
        <f>(VLOOKUP($A195,'The List'!$B1:$AH727,23,FALSE)-AVERAGE('The List'!X2:X727))/STDEV('The List'!X2:X727)</f>
        <v>1.1667074785127185</v>
      </c>
      <c r="L195" s="39">
        <f>(VLOOKUP($A195,'The List'!$B1:$AH727,24,FALSE)-AVERAGE('The List'!Y2:Y727))/STDEV('The List'!Y2:Y727)</f>
        <v>-0.51746506807720849</v>
      </c>
      <c r="M195" s="39">
        <f>(VLOOKUP($A195,'The List'!$B1:$AH727,25,FALSE)-AVERAGE('The List'!Z2:Z727))/STDEV('The List'!Z2:Z727)</f>
        <v>-0.42485396319432828</v>
      </c>
      <c r="N195" s="39">
        <f>(VLOOKUP($A195,'The List'!$B1:$AH727,26,FALSE)-AVERAGE('The List'!AA2:AA727))/STDEV('The List'!AA2:AA727)</f>
        <v>1.0077248370780829</v>
      </c>
      <c r="O195" s="39">
        <f>(VLOOKUP($A195,'The List'!$B1:$AH727,27,FALSE)-AVERAGE('The List'!AB2:AB727))/STDEV('The List'!AB2:AB727)</f>
        <v>-0.79387163648565218</v>
      </c>
      <c r="P195" s="39">
        <f>(VLOOKUP($A195,'The List'!$B1:$AH727,28,FALSE)-AVERAGE('The List'!AC2:AC727))/STDEV('The List'!AC2:AC727)</f>
        <v>2.0538742117644633</v>
      </c>
      <c r="Q195" s="39">
        <f>(VLOOKUP($A195,'The List'!$B1:$AH727,29,FALSE)-AVERAGE('The List'!AD2:AD727))/STDEV('The List'!AD2:AD727)</f>
        <v>0.62212528868867645</v>
      </c>
      <c r="R195" s="39">
        <f>(VLOOKUP($A195,'The List'!$B1:$AH727,30,FALSE)-AVERAGE('The List'!AE2:AE727))/STDEV('The List'!AE2:AE727)</f>
        <v>9.3920139600995961E-2</v>
      </c>
      <c r="S195" s="39">
        <f>(VLOOKUP($A195,'The List'!$B1:$AH727,31,FALSE)-AVERAGE('The List'!AF2:AF727))/STDEV('The List'!AF2:AF727)</f>
        <v>-0.55639480674776598</v>
      </c>
      <c r="T195" s="39">
        <f>(VLOOKUP($A195,'The List'!$B1:$AH727,32,FALSE)-AVERAGE('The List'!AG2:AG727))/STDEV('The List'!AG2:AG727)</f>
        <v>-0.59948079402095755</v>
      </c>
      <c r="U195" s="39">
        <f>(VLOOKUP($A195,'The List'!$B1:$AH727,33,FALSE)-AVERAGE('The List'!AH2:AH727))/STDEV('The List'!AH2:AH727)</f>
        <v>0.65372846160371478</v>
      </c>
      <c r="V195" s="39"/>
      <c r="W195" s="43"/>
      <c r="X195" s="41"/>
      <c r="Y195" s="41"/>
      <c r="Z195" s="41"/>
      <c r="AA195" s="41"/>
      <c r="AB195" s="41"/>
      <c r="AC195" s="44"/>
      <c r="AD195" s="45"/>
      <c r="AE195" s="39"/>
    </row>
    <row r="196" spans="1:31" ht="21.25" customHeight="1" x14ac:dyDescent="0.15">
      <c r="A196" s="8" t="s">
        <v>230</v>
      </c>
      <c r="B196" s="35" t="str">
        <f>VLOOKUP(A196,'Player Data'!A1:B734,2,FALSE)</f>
        <v>STL</v>
      </c>
      <c r="C196" s="37">
        <f>((E196)*Settings!$C$12)+(F196*Settings!$C$2)+(G196*Settings!$C$3)+(H196*Settings!$C$4)+(I196*Settings!$C$5)+(K196*Settings!$C$9)+(N196*Settings!$C$6)+(J196*Settings!$C$8)+(O196*Settings!$C$7)+(P196*Settings!$C$14)+(Q196*Settings!$C$15)+(R196*Settings!$C$16)+(S196*Settings!$C$17)+(T196*Settings!$C$18)+(U196*Settings!$C$19)</f>
        <v>2.6701659954308985</v>
      </c>
      <c r="D196" s="41">
        <f>IF(Settings!$E$12="YES",VLOOKUP(A196,'Player Data'!A1:E734,5,FALSE),82)</f>
        <v>81.204999999999998</v>
      </c>
      <c r="E196" s="39">
        <f>(VLOOKUP($A196,'The List'!$B1:$AH727,17,FALSE)-AVERAGE('The List'!R2:R727))/STDEV('The List'!R2:R727)</f>
        <v>1.8946047418628067</v>
      </c>
      <c r="F196" s="39">
        <f>(VLOOKUP($A196,'The List'!$B1:$AH727,18,FALSE)-AVERAGE('The List'!S2:S727))/STDEV('The List'!S2:S727)</f>
        <v>-9.7753678239536096E-2</v>
      </c>
      <c r="G196" s="39">
        <f>(VLOOKUP($A196,'The List'!$B1:$AH727,19,FALSE)-AVERAGE('The List'!T2:T727))/STDEV('The List'!T2:T727)</f>
        <v>0.83340566355220125</v>
      </c>
      <c r="H196" s="39">
        <f>(VLOOKUP($A196,'The List'!$B1:$AH727,20,FALSE)-AVERAGE('The List'!U2:U727))/STDEV('The List'!U2:U727)</f>
        <v>0.46906820315271347</v>
      </c>
      <c r="I196" s="39">
        <f>(VLOOKUP($A196,'The List'!$B1:$AH727,21,FALSE)-AVERAGE('The List'!V2:V727))/STDEV('The List'!V2:V727)</f>
        <v>0.89098675066964172</v>
      </c>
      <c r="J196" s="39">
        <f>(VLOOKUP($A196,'The List'!$B1:$AH727,22,FALSE)-AVERAGE('The List'!W2:W727))/STDEV('The List'!W2:W727)</f>
        <v>-0.1972773197972611</v>
      </c>
      <c r="K196" s="39">
        <f>(VLOOKUP($A196,'The List'!$B1:$AH727,23,FALSE)-AVERAGE('The List'!X2:X727))/STDEV('The List'!X2:X727)</f>
        <v>0.28421697313912314</v>
      </c>
      <c r="L196" s="39">
        <f>(VLOOKUP($A196,'The List'!$B1:$AH727,24,FALSE)-AVERAGE('The List'!Y2:Y727))/STDEV('The List'!Y2:Y727)</f>
        <v>-0.5000971060209225</v>
      </c>
      <c r="M196" s="39">
        <f>(VLOOKUP($A196,'The List'!$B1:$AH727,25,FALSE)-AVERAGE('The List'!Z2:Z727))/STDEV('The List'!Z2:Z727)</f>
        <v>-0.39373203206721502</v>
      </c>
      <c r="N196" s="39">
        <f>(VLOOKUP($A196,'The List'!$B1:$AH727,26,FALSE)-AVERAGE('The List'!AA2:AA727))/STDEV('The List'!AA2:AA727)</f>
        <v>1.8767742206948677</v>
      </c>
      <c r="O196" s="39">
        <f>(VLOOKUP($A196,'The List'!$B1:$AH727,27,FALSE)-AVERAGE('The List'!AB2:AB727))/STDEV('The List'!AB2:AB727)</f>
        <v>0.63094111191103663</v>
      </c>
      <c r="P196" s="39">
        <f>(VLOOKUP($A196,'The List'!$B1:$AH727,28,FALSE)-AVERAGE('The List'!AC2:AC727))/STDEV('The List'!AC2:AC727)</f>
        <v>-1.1174639343853989</v>
      </c>
      <c r="Q196" s="39">
        <f>(VLOOKUP($A196,'The List'!$B1:$AH727,29,FALSE)-AVERAGE('The List'!AD2:AD727))/STDEV('The List'!AD2:AD727)</f>
        <v>0.54165805374140219</v>
      </c>
      <c r="R196" s="39">
        <f>(VLOOKUP($A196,'The List'!$B1:$AH727,30,FALSE)-AVERAGE('The List'!AE2:AE727))/STDEV('The List'!AE2:AE727)</f>
        <v>-0.29299105364392641</v>
      </c>
      <c r="S196" s="39">
        <f>(VLOOKUP($A196,'The List'!$B1:$AH727,31,FALSE)-AVERAGE('The List'!AF2:AF727))/STDEV('The List'!AF2:AF727)</f>
        <v>-0.55804314905918151</v>
      </c>
      <c r="T196" s="39">
        <f>(VLOOKUP($A196,'The List'!$B1:$AH727,32,FALSE)-AVERAGE('The List'!AG2:AG727))/STDEV('The List'!AG2:AG727)</f>
        <v>-0.60188453558131205</v>
      </c>
      <c r="U196" s="39">
        <f>(VLOOKUP($A196,'The List'!$B1:$AH727,33,FALSE)-AVERAGE('The List'!AH2:AH727))/STDEV('The List'!AH2:AH727)</f>
        <v>-1.2395873372913611</v>
      </c>
      <c r="V196" s="39"/>
      <c r="W196" s="43"/>
      <c r="X196" s="41"/>
      <c r="Y196" s="41"/>
      <c r="Z196" s="41"/>
      <c r="AA196" s="41"/>
      <c r="AB196" s="41"/>
      <c r="AC196" s="44"/>
      <c r="AD196" s="45"/>
      <c r="AE196" s="39"/>
    </row>
    <row r="197" spans="1:31" ht="21.25" customHeight="1" x14ac:dyDescent="0.15">
      <c r="A197" s="8" t="s">
        <v>395</v>
      </c>
      <c r="B197" s="35" t="str">
        <f>VLOOKUP(A197,'Player Data'!A1:B734,2,FALSE)</f>
        <v>ARI</v>
      </c>
      <c r="C197" s="37">
        <f>((E197)*Settings!$C$12)+(F197*Settings!$C$2)+(G197*Settings!$C$3)+(H197*Settings!$C$4)+(I197*Settings!$C$5)+(K197*Settings!$C$9)+(N197*Settings!$C$6)+(J197*Settings!$C$8)+(O197*Settings!$C$7)+(P197*Settings!$C$14)+(Q197*Settings!$C$15)+(R197*Settings!$C$16)+(S197*Settings!$C$17)+(T197*Settings!$C$18)+(U197*Settings!$C$19)</f>
        <v>0.2443496912601022</v>
      </c>
      <c r="D197" s="41">
        <f>IF(Settings!$E$12="YES",VLOOKUP(A197,'Player Data'!A1:E734,5,FALSE),82)</f>
        <v>76.805000000000007</v>
      </c>
      <c r="E197" s="39">
        <f>(VLOOKUP($A197,'The List'!$B1:$AH727,17,FALSE)-AVERAGE('The List'!R2:R727))/STDEV('The List'!R2:R727)</f>
        <v>0.37301313424582749</v>
      </c>
      <c r="F197" s="39">
        <f>(VLOOKUP($A197,'The List'!$B1:$AH727,18,FALSE)-AVERAGE('The List'!S2:S727))/STDEV('The List'!S2:S727)</f>
        <v>0.55281984115619942</v>
      </c>
      <c r="G197" s="39">
        <f>(VLOOKUP($A197,'The List'!$B1:$AH727,19,FALSE)-AVERAGE('The List'!T2:T727))/STDEV('The List'!T2:T727)</f>
        <v>0.16700438650994326</v>
      </c>
      <c r="H197" s="39">
        <f>(VLOOKUP($A197,'The List'!$B1:$AH727,20,FALSE)-AVERAGE('The List'!U2:U727))/STDEV('The List'!U2:U727)</f>
        <v>0.35447726191016826</v>
      </c>
      <c r="I197" s="39">
        <f>(VLOOKUP($A197,'The List'!$B1:$AH727,21,FALSE)-AVERAGE('The List'!V2:V727))/STDEV('The List'!V2:V727)</f>
        <v>0.5070091136975905</v>
      </c>
      <c r="J197" s="39">
        <f>(VLOOKUP($A197,'The List'!$B1:$AH727,22,FALSE)-AVERAGE('The List'!W2:W727))/STDEV('The List'!W2:W727)</f>
        <v>0.43389226398657699</v>
      </c>
      <c r="K197" s="39">
        <f>(VLOOKUP($A197,'The List'!$B1:$AH727,23,FALSE)-AVERAGE('The List'!X2:X727))/STDEV('The List'!X2:X727)</f>
        <v>0.36670491058924026</v>
      </c>
      <c r="L197" s="39">
        <f>(VLOOKUP($A197,'The List'!$B1:$AH727,24,FALSE)-AVERAGE('The List'!Y2:Y727))/STDEV('The List'!Y2:Y727)</f>
        <v>-0.34839059703119613</v>
      </c>
      <c r="M197" s="39">
        <f>(VLOOKUP($A197,'The List'!$B1:$AH727,25,FALSE)-AVERAGE('The List'!Z2:Z727))/STDEV('The List'!Z2:Z727)</f>
        <v>6.2839107837553226E-2</v>
      </c>
      <c r="N197" s="39">
        <f>(VLOOKUP($A197,'The List'!$B1:$AH727,26,FALSE)-AVERAGE('The List'!AA2:AA727))/STDEV('The List'!AA2:AA727)</f>
        <v>-0.63396216070663702</v>
      </c>
      <c r="O197" s="39">
        <f>(VLOOKUP($A197,'The List'!$B1:$AH727,27,FALSE)-AVERAGE('The List'!AB2:AB727))/STDEV('The List'!AB2:AB727)</f>
        <v>-8.686081192992727E-2</v>
      </c>
      <c r="P197" s="39">
        <f>(VLOOKUP($A197,'The List'!$B1:$AH727,28,FALSE)-AVERAGE('The List'!AC2:AC727))/STDEV('The List'!AC2:AC727)</f>
        <v>-0.71522639998623405</v>
      </c>
      <c r="Q197" s="39">
        <f>(VLOOKUP($A197,'The List'!$B1:$AH727,29,FALSE)-AVERAGE('The List'!AD2:AD727))/STDEV('The List'!AD2:AD727)</f>
        <v>0.25211323994606705</v>
      </c>
      <c r="R197" s="39">
        <f>(VLOOKUP($A197,'The List'!$B1:$AH727,30,FALSE)-AVERAGE('The List'!AE2:AE727))/STDEV('The List'!AE2:AE727)</f>
        <v>0.29467631926019894</v>
      </c>
      <c r="S197" s="39">
        <f>(VLOOKUP($A197,'The List'!$B1:$AH727,31,FALSE)-AVERAGE('The List'!AF2:AF727))/STDEV('The List'!AF2:AF727)</f>
        <v>2.3263218299491042</v>
      </c>
      <c r="T197" s="39">
        <f>(VLOOKUP($A197,'The List'!$B1:$AH727,32,FALSE)-AVERAGE('The List'!AG2:AG727))/STDEV('The List'!AG2:AG727)</f>
        <v>2.4309719545201696</v>
      </c>
      <c r="U197" s="39">
        <f>(VLOOKUP($A197,'The List'!$B1:$AH727,33,FALSE)-AVERAGE('The List'!AH2:AH727))/STDEV('The List'!AH2:AH727)</f>
        <v>1.0198842742674987</v>
      </c>
      <c r="V197" s="39"/>
      <c r="W197" s="41"/>
      <c r="X197" s="39"/>
      <c r="Y197" s="39"/>
      <c r="Z197" s="39"/>
      <c r="AA197" s="39"/>
      <c r="AB197" s="39"/>
      <c r="AC197" s="39"/>
      <c r="AD197" s="39"/>
      <c r="AE197" s="39"/>
    </row>
    <row r="198" spans="1:31" ht="21.25" customHeight="1" x14ac:dyDescent="0.15">
      <c r="A198" s="8" t="s">
        <v>333</v>
      </c>
      <c r="B198" s="35" t="str">
        <f>VLOOKUP(A198,'Player Data'!A1:B734,2,FALSE)</f>
        <v>WSH</v>
      </c>
      <c r="C198" s="37">
        <f>((E198)*Settings!$C$12)+(F198*Settings!$C$2)+(G198*Settings!$C$3)+(H198*Settings!$C$4)+(I198*Settings!$C$5)+(K198*Settings!$C$9)+(N198*Settings!$C$6)+(J198*Settings!$C$8)+(O198*Settings!$C$7)+(P198*Settings!$C$14)+(Q198*Settings!$C$15)+(R198*Settings!$C$16)+(S198*Settings!$C$17)+(T198*Settings!$C$18)+(U198*Settings!$C$19)</f>
        <v>-6.5577446428419228E-2</v>
      </c>
      <c r="D198" s="41">
        <f>IF(Settings!$E$12="YES",VLOOKUP(A198,'Player Data'!A1:E734,5,FALSE),82)</f>
        <v>72.105714285714299</v>
      </c>
      <c r="E198" s="39">
        <f>(VLOOKUP($A198,'The List'!$B1:$AH727,17,FALSE)-AVERAGE('The List'!R2:R727))/STDEV('The List'!R2:R727)</f>
        <v>3.1885289031116967E-2</v>
      </c>
      <c r="F198" s="39">
        <f>(VLOOKUP($A198,'The List'!$B1:$AH727,18,FALSE)-AVERAGE('The List'!S2:S727))/STDEV('The List'!S2:S727)</f>
        <v>0.70965989270110619</v>
      </c>
      <c r="G198" s="39">
        <f>(VLOOKUP($A198,'The List'!$B1:$AH727,19,FALSE)-AVERAGE('The List'!T2:T727))/STDEV('The List'!T2:T727)</f>
        <v>-0.14535718178669174</v>
      </c>
      <c r="H198" s="39">
        <f>(VLOOKUP($A198,'The List'!$B1:$AH727,20,FALSE)-AVERAGE('The List'!U2:U727))/STDEV('The List'!U2:U727)</f>
        <v>0.23336922525482726</v>
      </c>
      <c r="I198" s="39">
        <f>(VLOOKUP($A198,'The List'!$B1:$AH727,21,FALSE)-AVERAGE('The List'!V2:V727))/STDEV('The List'!V2:V727)</f>
        <v>0.26045552406224654</v>
      </c>
      <c r="J198" s="39">
        <f>(VLOOKUP($A198,'The List'!$B1:$AH727,22,FALSE)-AVERAGE('The List'!W2:W727))/STDEV('The List'!W2:W727)</f>
        <v>1.748594527243218</v>
      </c>
      <c r="K198" s="39">
        <f>(VLOOKUP($A198,'The List'!$B1:$AH727,23,FALSE)-AVERAGE('The List'!X2:X727))/STDEV('The List'!X2:X727)</f>
        <v>0.60465930354176001</v>
      </c>
      <c r="L198" s="39">
        <f>(VLOOKUP($A198,'The List'!$B1:$AH727,24,FALSE)-AVERAGE('The List'!Y2:Y727))/STDEV('The List'!Y2:Y727)</f>
        <v>-0.51380525295630819</v>
      </c>
      <c r="M198" s="39">
        <f>(VLOOKUP($A198,'The List'!$B1:$AH727,25,FALSE)-AVERAGE('The List'!Z2:Z727))/STDEV('The List'!Z2:Z727)</f>
        <v>-0.63974514160622153</v>
      </c>
      <c r="N198" s="39">
        <f>(VLOOKUP($A198,'The List'!$B1:$AH727,26,FALSE)-AVERAGE('The List'!AA2:AA727))/STDEV('The List'!AA2:AA727)</f>
        <v>-0.46514752787995317</v>
      </c>
      <c r="O198" s="39">
        <f>(VLOOKUP($A198,'The List'!$B1:$AH727,27,FALSE)-AVERAGE('The List'!AB2:AB727))/STDEV('The List'!AB2:AB727)</f>
        <v>0.93354267826810677</v>
      </c>
      <c r="P198" s="39">
        <f>(VLOOKUP($A198,'The List'!$B1:$AH727,28,FALSE)-AVERAGE('The List'!AC2:AC727))/STDEV('The List'!AC2:AC727)</f>
        <v>-1.029847457066887</v>
      </c>
      <c r="Q198" s="39">
        <f>(VLOOKUP($A198,'The List'!$B1:$AH727,29,FALSE)-AVERAGE('The List'!AD2:AD727))/STDEV('The List'!AD2:AD727)</f>
        <v>0.56949654111906933</v>
      </c>
      <c r="R198" s="39">
        <f>(VLOOKUP($A198,'The List'!$B1:$AH727,30,FALSE)-AVERAGE('The List'!AE2:AE727))/STDEV('The List'!AE2:AE727)</f>
        <v>0.41775160083869811</v>
      </c>
      <c r="S198" s="39">
        <f>(VLOOKUP($A198,'The List'!$B1:$AH727,31,FALSE)-AVERAGE('The List'!AF2:AF727))/STDEV('The List'!AF2:AF727)</f>
        <v>-2.3560314864243355E-3</v>
      </c>
      <c r="T198" s="39">
        <f>(VLOOKUP($A198,'The List'!$B1:$AH727,32,FALSE)-AVERAGE('The List'!AG2:AG727))/STDEV('The List'!AG2:AG727)</f>
        <v>9.6792240199821966E-2</v>
      </c>
      <c r="U198" s="39">
        <f>(VLOOKUP($A198,'The List'!$B1:$AH727,33,FALSE)-AVERAGE('The List'!AH2:AH727))/STDEV('The List'!AH2:AH727)</f>
        <v>0.81848678353513726</v>
      </c>
      <c r="V198" s="39"/>
      <c r="W198" s="41"/>
      <c r="X198" s="39"/>
      <c r="Y198" s="39"/>
      <c r="Z198" s="39"/>
      <c r="AA198" s="39"/>
      <c r="AB198" s="39"/>
      <c r="AC198" s="39"/>
      <c r="AD198" s="39"/>
      <c r="AE198" s="39"/>
    </row>
    <row r="199" spans="1:31" ht="21.25" customHeight="1" x14ac:dyDescent="0.15">
      <c r="A199" s="8" t="s">
        <v>243</v>
      </c>
      <c r="B199" s="35" t="str">
        <f>VLOOKUP(A199,'Player Data'!A1:B734,2,FALSE)</f>
        <v>ARI</v>
      </c>
      <c r="C199" s="37">
        <f>((E199)*Settings!$C$12)+(F199*Settings!$C$2)+(G199*Settings!$C$3)+(H199*Settings!$C$4)+(I199*Settings!$C$5)+(K199*Settings!$C$9)+(N199*Settings!$C$6)+(J199*Settings!$C$8)+(O199*Settings!$C$7)+(P199*Settings!$C$14)+(Q199*Settings!$C$15)+(R199*Settings!$C$16)+(S199*Settings!$C$17)+(T199*Settings!$C$18)+(U199*Settings!$C$19)</f>
        <v>3.2168394000513119</v>
      </c>
      <c r="D199" s="41">
        <f>IF(Settings!$E$12="YES",VLOOKUP(A199,'Player Data'!A1:E734,5,FALSE),82)</f>
        <v>76.38</v>
      </c>
      <c r="E199" s="39">
        <f>(VLOOKUP($A199,'The List'!$B1:$AH727,17,FALSE)-AVERAGE('The List'!R2:R727))/STDEV('The List'!R2:R727)</f>
        <v>1.3480486546914083</v>
      </c>
      <c r="F199" s="39">
        <f>(VLOOKUP($A199,'The List'!$B1:$AH727,18,FALSE)-AVERAGE('The List'!S2:S727))/STDEV('The List'!S2:S727)</f>
        <v>-0.4883455603748596</v>
      </c>
      <c r="G199" s="39">
        <f>(VLOOKUP($A199,'The List'!$B1:$AH727,19,FALSE)-AVERAGE('The List'!T2:T727))/STDEV('The List'!T2:T727)</f>
        <v>0.90730974713355905</v>
      </c>
      <c r="H199" s="39">
        <f>(VLOOKUP($A199,'The List'!$B1:$AH727,20,FALSE)-AVERAGE('The List'!U2:U727))/STDEV('The List'!U2:U727)</f>
        <v>0.3368648317701432</v>
      </c>
      <c r="I199" s="39">
        <f>(VLOOKUP($A199,'The List'!$B1:$AH727,21,FALSE)-AVERAGE('The List'!V2:V727))/STDEV('The List'!V2:V727)</f>
        <v>8.2831740497315468E-2</v>
      </c>
      <c r="J199" s="39">
        <f>(VLOOKUP($A199,'The List'!$B1:$AH727,22,FALSE)-AVERAGE('The List'!W2:W727))/STDEV('The List'!W2:W727)</f>
        <v>-0.1552760755307924</v>
      </c>
      <c r="K199" s="39">
        <f>(VLOOKUP($A199,'The List'!$B1:$AH727,23,FALSE)-AVERAGE('The List'!X2:X727))/STDEV('The List'!X2:X727)</f>
        <v>1.346600429353342</v>
      </c>
      <c r="L199" s="39">
        <f>(VLOOKUP($A199,'The List'!$B1:$AH727,24,FALSE)-AVERAGE('The List'!Y2:Y727))/STDEV('The List'!Y2:Y727)</f>
        <v>-0.47588989476153754</v>
      </c>
      <c r="M199" s="39">
        <f>(VLOOKUP($A199,'The List'!$B1:$AH727,25,FALSE)-AVERAGE('The List'!Z2:Z727))/STDEV('The List'!Z2:Z727)</f>
        <v>-0.2040828068368658</v>
      </c>
      <c r="N199" s="39">
        <f>(VLOOKUP($A199,'The List'!$B1:$AH727,26,FALSE)-AVERAGE('The List'!AA2:AA727))/STDEV('The List'!AA2:AA727)</f>
        <v>2.3497678661281127</v>
      </c>
      <c r="O199" s="39">
        <f>(VLOOKUP($A199,'The List'!$B1:$AH727,27,FALSE)-AVERAGE('The List'!AB2:AB727))/STDEV('The List'!AB2:AB727)</f>
        <v>8.8298848622981024E-3</v>
      </c>
      <c r="P199" s="39">
        <f>(VLOOKUP($A199,'The List'!$B1:$AH727,28,FALSE)-AVERAGE('The List'!AC2:AC727))/STDEV('The List'!AC2:AC727)</f>
        <v>-0.98132482268615784</v>
      </c>
      <c r="Q199" s="39">
        <f>(VLOOKUP($A199,'The List'!$B1:$AH727,29,FALSE)-AVERAGE('The List'!AD2:AD727))/STDEV('The List'!AD2:AD727)</f>
        <v>1.9660139486545811</v>
      </c>
      <c r="R199" s="39">
        <f>(VLOOKUP($A199,'The List'!$B1:$AH727,30,FALSE)-AVERAGE('The List'!AE2:AE727))/STDEV('The List'!AE2:AE727)</f>
        <v>-0.54355472309396924</v>
      </c>
      <c r="S199" s="39">
        <f>(VLOOKUP($A199,'The List'!$B1:$AH727,31,FALSE)-AVERAGE('The List'!AF2:AF727))/STDEV('The List'!AF2:AF727)</f>
        <v>-0.55804314905918151</v>
      </c>
      <c r="T199" s="39">
        <f>(VLOOKUP($A199,'The List'!$B1:$AH727,32,FALSE)-AVERAGE('The List'!AG2:AG727))/STDEV('The List'!AG2:AG727)</f>
        <v>-0.60188453558131205</v>
      </c>
      <c r="U199" s="39">
        <f>(VLOOKUP($A199,'The List'!$B1:$AH727,33,FALSE)-AVERAGE('The List'!AH2:AH727))/STDEV('The List'!AH2:AH727)</f>
        <v>-1.2395873372913611</v>
      </c>
      <c r="V199" s="39"/>
      <c r="W199" s="43"/>
      <c r="X199" s="41"/>
      <c r="Y199" s="41"/>
      <c r="Z199" s="41"/>
      <c r="AA199" s="41"/>
      <c r="AB199" s="41"/>
      <c r="AC199" s="44"/>
      <c r="AD199" s="45"/>
      <c r="AE199" s="39"/>
    </row>
    <row r="200" spans="1:31" ht="21.25" customHeight="1" x14ac:dyDescent="0.15">
      <c r="A200" s="8" t="s">
        <v>313</v>
      </c>
      <c r="B200" s="35" t="str">
        <f>VLOOKUP(A200,'Player Data'!A1:B734,2,FALSE)</f>
        <v>VAN</v>
      </c>
      <c r="C200" s="37">
        <f>((E200)*Settings!$C$12)+(F200*Settings!$C$2)+(G200*Settings!$C$3)+(H200*Settings!$C$4)+(I200*Settings!$C$5)+(K200*Settings!$C$9)+(N200*Settings!$C$6)+(J200*Settings!$C$8)+(O200*Settings!$C$7)+(P200*Settings!$C$14)+(Q200*Settings!$C$15)+(R200*Settings!$C$16)+(S200*Settings!$C$17)+(T200*Settings!$C$18)+(U200*Settings!$C$19)</f>
        <v>1.0975757199539065</v>
      </c>
      <c r="D200" s="41">
        <f>IF(Settings!$E$12="YES",VLOOKUP(A200,'Player Data'!A1:E734,5,FALSE),82)</f>
        <v>79.749642857142902</v>
      </c>
      <c r="E200" s="39">
        <f>(VLOOKUP($A200,'The List'!$B1:$AH727,17,FALSE)-AVERAGE('The List'!R2:R727))/STDEV('The List'!R2:R727)</f>
        <v>0.15475872546876518</v>
      </c>
      <c r="F200" s="39">
        <f>(VLOOKUP($A200,'The List'!$B1:$AH727,18,FALSE)-AVERAGE('The List'!S2:S727))/STDEV('The List'!S2:S727)</f>
        <v>0.62392527498352945</v>
      </c>
      <c r="G200" s="39">
        <f>(VLOOKUP($A200,'The List'!$B1:$AH727,19,FALSE)-AVERAGE('The List'!T2:T727))/STDEV('The List'!T2:T727)</f>
        <v>0.20990817989081889</v>
      </c>
      <c r="H200" s="39">
        <f>(VLOOKUP($A200,'The List'!$B1:$AH727,20,FALSE)-AVERAGE('The List'!U2:U727))/STDEV('The List'!U2:U727)</f>
        <v>0.41327239635704027</v>
      </c>
      <c r="I200" s="39">
        <f>(VLOOKUP($A200,'The List'!$B1:$AH727,21,FALSE)-AVERAGE('The List'!V2:V727))/STDEV('The List'!V2:V727)</f>
        <v>0.85125113682913256</v>
      </c>
      <c r="J200" s="39">
        <f>(VLOOKUP($A200,'The List'!$B1:$AH727,22,FALSE)-AVERAGE('The List'!W2:W727))/STDEV('The List'!W2:W727)</f>
        <v>0.94923826106329079</v>
      </c>
      <c r="K200" s="39">
        <f>(VLOOKUP($A200,'The List'!$B1:$AH727,23,FALSE)-AVERAGE('The List'!X2:X727))/STDEV('The List'!X2:X727)</f>
        <v>0.40969544373073224</v>
      </c>
      <c r="L200" s="39">
        <f>(VLOOKUP($A200,'The List'!$B1:$AH727,24,FALSE)-AVERAGE('The List'!Y2:Y727))/STDEV('The List'!Y2:Y727)</f>
        <v>-0.43840254810217594</v>
      </c>
      <c r="M200" s="39">
        <f>(VLOOKUP($A200,'The List'!$B1:$AH727,25,FALSE)-AVERAGE('The List'!Z2:Z727))/STDEV('The List'!Z2:Z727)</f>
        <v>-0.60504717559623689</v>
      </c>
      <c r="N200" s="39">
        <f>(VLOOKUP($A200,'The List'!$B1:$AH727,26,FALSE)-AVERAGE('The List'!AA2:AA727))/STDEV('The List'!AA2:AA727)</f>
        <v>-0.81307760698866749</v>
      </c>
      <c r="O200" s="39">
        <f>(VLOOKUP($A200,'The List'!$B1:$AH727,27,FALSE)-AVERAGE('The List'!AB2:AB727))/STDEV('The List'!AB2:AB727)</f>
        <v>-0.49501981528628652</v>
      </c>
      <c r="P200" s="39">
        <f>(VLOOKUP($A200,'The List'!$B1:$AH727,28,FALSE)-AVERAGE('The List'!AC2:AC727))/STDEV('The List'!AC2:AC727)</f>
        <v>-0.18412670849163898</v>
      </c>
      <c r="Q200" s="39">
        <f>(VLOOKUP($A200,'The List'!$B1:$AH727,29,FALSE)-AVERAGE('The List'!AD2:AD727))/STDEV('The List'!AD2:AD727)</f>
        <v>-0.61569807227668194</v>
      </c>
      <c r="R200" s="39">
        <f>(VLOOKUP($A200,'The List'!$B1:$AH727,30,FALSE)-AVERAGE('The List'!AE2:AE727))/STDEV('The List'!AE2:AE727)</f>
        <v>0.58130929632969386</v>
      </c>
      <c r="S200" s="39">
        <f>(VLOOKUP($A200,'The List'!$B1:$AH727,31,FALSE)-AVERAGE('The List'!AF2:AF727))/STDEV('The List'!AF2:AF727)</f>
        <v>-0.53900501876817319</v>
      </c>
      <c r="T200" s="39">
        <f>(VLOOKUP($A200,'The List'!$B1:$AH727,32,FALSE)-AVERAGE('The List'!AG2:AG727))/STDEV('The List'!AG2:AG727)</f>
        <v>-0.5556147887641687</v>
      </c>
      <c r="U200" s="39">
        <f>(VLOOKUP($A200,'The List'!$B1:$AH727,33,FALSE)-AVERAGE('The List'!AH2:AH727))/STDEV('The List'!AH2:AH727)</f>
        <v>0.1252116607538136</v>
      </c>
      <c r="V200" s="39"/>
      <c r="W200" s="41"/>
      <c r="X200" s="39"/>
      <c r="Y200" s="39"/>
      <c r="Z200" s="39"/>
      <c r="AA200" s="39"/>
      <c r="AB200" s="39"/>
      <c r="AC200" s="39"/>
      <c r="AD200" s="39"/>
      <c r="AE200" s="39"/>
    </row>
    <row r="201" spans="1:31" ht="21.25" customHeight="1" x14ac:dyDescent="0.15">
      <c r="A201" s="8" t="s">
        <v>440</v>
      </c>
      <c r="B201" s="35" t="str">
        <f>VLOOKUP(A201,'Player Data'!A1:B734,2,FALSE)</f>
        <v>CAR</v>
      </c>
      <c r="C201" s="37">
        <f>((E201)*Settings!$C$12)+(F201*Settings!$C$2)+(G201*Settings!$C$3)+(H201*Settings!$C$4)+(I201*Settings!$C$5)+(K201*Settings!$C$9)+(N201*Settings!$C$6)+(J201*Settings!$C$8)+(O201*Settings!$C$7)+(P201*Settings!$C$14)+(Q201*Settings!$C$15)+(R201*Settings!$C$16)+(S201*Settings!$C$17)+(T201*Settings!$C$18)+(U201*Settings!$C$19)</f>
        <v>1.7133740063703073</v>
      </c>
      <c r="D201" s="41">
        <f>IF(Settings!$E$12="YES",VLOOKUP(A201,'Player Data'!A1:E734,5,FALSE),82)</f>
        <v>79.83</v>
      </c>
      <c r="E201" s="39">
        <f>(VLOOKUP($A201,'The List'!$B1:$AH727,17,FALSE)-AVERAGE('The List'!R2:R727))/STDEV('The List'!R2:R727)</f>
        <v>-0.25693325672132605</v>
      </c>
      <c r="F201" s="39">
        <f>(VLOOKUP($A201,'The List'!$B1:$AH727,18,FALSE)-AVERAGE('The List'!S2:S727))/STDEV('The List'!S2:S727)</f>
        <v>0.50813529075923936</v>
      </c>
      <c r="G201" s="39">
        <f>(VLOOKUP($A201,'The List'!$B1:$AH727,19,FALSE)-AVERAGE('The List'!T2:T727))/STDEV('The List'!T2:T727)</f>
        <v>0.29830305900078824</v>
      </c>
      <c r="H201" s="39">
        <f>(VLOOKUP($A201,'The List'!$B1:$AH727,20,FALSE)-AVERAGE('The List'!U2:U727))/STDEV('The List'!U2:U727)</f>
        <v>0.41505044626081949</v>
      </c>
      <c r="I201" s="39">
        <f>(VLOOKUP($A201,'The List'!$B1:$AH727,21,FALSE)-AVERAGE('The List'!V2:V727))/STDEV('The List'!V2:V727)</f>
        <v>1.52028110283368E-2</v>
      </c>
      <c r="J201" s="39">
        <f>(VLOOKUP($A201,'The List'!$B1:$AH727,22,FALSE)-AVERAGE('The List'!W2:W727))/STDEV('The List'!W2:W727)</f>
        <v>-0.11670438822332165</v>
      </c>
      <c r="K201" s="39">
        <f>(VLOOKUP($A201,'The List'!$B1:$AH727,23,FALSE)-AVERAGE('The List'!X2:X727))/STDEV('The List'!X2:X727)</f>
        <v>0.13872261639030409</v>
      </c>
      <c r="L201" s="39">
        <f>(VLOOKUP($A201,'The List'!$B1:$AH727,24,FALSE)-AVERAGE('The List'!Y2:Y727))/STDEV('The List'!Y2:Y727)</f>
        <v>5.8740558318256378E-2</v>
      </c>
      <c r="M201" s="39">
        <f>(VLOOKUP($A201,'The List'!$B1:$AH727,25,FALSE)-AVERAGE('The List'!Z2:Z727))/STDEV('The List'!Z2:Z727)</f>
        <v>-0.30053700571196063</v>
      </c>
      <c r="N201" s="39">
        <f>(VLOOKUP($A201,'The List'!$B1:$AH727,26,FALSE)-AVERAGE('The List'!AA2:AA727))/STDEV('The List'!AA2:AA727)</f>
        <v>-0.8780972846657279</v>
      </c>
      <c r="O201" s="39">
        <f>(VLOOKUP($A201,'The List'!$B1:$AH727,27,FALSE)-AVERAGE('The List'!AB2:AB727))/STDEV('The List'!AB2:AB727)</f>
        <v>0.33391992184553704</v>
      </c>
      <c r="P201" s="39">
        <f>(VLOOKUP($A201,'The List'!$B1:$AH727,28,FALSE)-AVERAGE('The List'!AC2:AC727))/STDEV('The List'!AC2:AC727)</f>
        <v>1.6311075138573667</v>
      </c>
      <c r="Q201" s="39">
        <f>(VLOOKUP($A201,'The List'!$B1:$AH727,29,FALSE)-AVERAGE('The List'!AD2:AD727))/STDEV('The List'!AD2:AD727)</f>
        <v>0.6068451658044548</v>
      </c>
      <c r="R201" s="39">
        <f>(VLOOKUP($A201,'The List'!$B1:$AH727,30,FALSE)-AVERAGE('The List'!AE2:AE727))/STDEV('The List'!AE2:AE727)</f>
        <v>0.91995304080059281</v>
      </c>
      <c r="S201" s="39">
        <f>(VLOOKUP($A201,'The List'!$B1:$AH727,31,FALSE)-AVERAGE('The List'!AF2:AF727))/STDEV('The List'!AF2:AF727)</f>
        <v>1.2102027718330879</v>
      </c>
      <c r="T201" s="39">
        <f>(VLOOKUP($A201,'The List'!$B1:$AH727,32,FALSE)-AVERAGE('The List'!AG2:AG727))/STDEV('The List'!AG2:AG727)</f>
        <v>1.2096253662287726</v>
      </c>
      <c r="U201" s="39">
        <f>(VLOOKUP($A201,'The List'!$B1:$AH727,33,FALSE)-AVERAGE('The List'!AH2:AH727))/STDEV('The List'!AH2:AH727)</f>
        <v>1.0492797623289549</v>
      </c>
      <c r="V201" s="39"/>
      <c r="W201" s="43"/>
      <c r="X201" s="41"/>
      <c r="Y201" s="41"/>
      <c r="Z201" s="41"/>
      <c r="AA201" s="41"/>
      <c r="AB201" s="41"/>
      <c r="AC201" s="44"/>
      <c r="AD201" s="45"/>
      <c r="AE201" s="39"/>
    </row>
    <row r="202" spans="1:31" ht="21.25" customHeight="1" x14ac:dyDescent="0.15">
      <c r="A202" s="8" t="s">
        <v>292</v>
      </c>
      <c r="B202" s="35" t="str">
        <f>VLOOKUP(A202,'Player Data'!A1:B734,2,FALSE)</f>
        <v>SEA</v>
      </c>
      <c r="C202" s="37">
        <f>((E202)*Settings!$C$12)+(F202*Settings!$C$2)+(G202*Settings!$C$3)+(H202*Settings!$C$4)+(I202*Settings!$C$5)+(K202*Settings!$C$9)+(N202*Settings!$C$6)+(J202*Settings!$C$8)+(O202*Settings!$C$7)+(P202*Settings!$C$14)+(Q202*Settings!$C$15)+(R202*Settings!$C$16)+(S202*Settings!$C$17)+(T202*Settings!$C$18)+(U202*Settings!$C$19)</f>
        <v>1.1379841145772072</v>
      </c>
      <c r="D202" s="41">
        <f>IF(Settings!$E$12="YES",VLOOKUP(A202,'Player Data'!A1:E734,5,FALSE),82)</f>
        <v>81.099999999999994</v>
      </c>
      <c r="E202" s="39">
        <f>(VLOOKUP($A202,'The List'!$B1:$AH727,17,FALSE)-AVERAGE('The List'!R2:R727))/STDEV('The List'!R2:R727)</f>
        <v>-0.3148394905234011</v>
      </c>
      <c r="F202" s="39">
        <f>(VLOOKUP($A202,'The List'!$B1:$AH727,18,FALSE)-AVERAGE('The List'!S2:S727))/STDEV('The List'!S2:S727)</f>
        <v>0.70824664952733785</v>
      </c>
      <c r="G202" s="39">
        <f>(VLOOKUP($A202,'The List'!$B1:$AH727,19,FALSE)-AVERAGE('The List'!T2:T727))/STDEV('The List'!T2:T727)</f>
        <v>0.19824408043749547</v>
      </c>
      <c r="H202" s="39">
        <f>(VLOOKUP($A202,'The List'!$B1:$AH727,20,FALSE)-AVERAGE('The List'!U2:U727))/STDEV('The List'!U2:U727)</f>
        <v>0.44445637281364142</v>
      </c>
      <c r="I202" s="39">
        <f>(VLOOKUP($A202,'The List'!$B1:$AH727,21,FALSE)-AVERAGE('The List'!V2:V727))/STDEV('The List'!V2:V727)</f>
        <v>0.89165087404537513</v>
      </c>
      <c r="J202" s="39">
        <f>(VLOOKUP($A202,'The List'!$B1:$AH727,22,FALSE)-AVERAGE('The List'!W2:W727))/STDEV('The List'!W2:W727)</f>
        <v>0.49778158992146915</v>
      </c>
      <c r="K202" s="39">
        <f>(VLOOKUP($A202,'The List'!$B1:$AH727,23,FALSE)-AVERAGE('The List'!X2:X727))/STDEV('The List'!X2:X727)</f>
        <v>0.23715674577318205</v>
      </c>
      <c r="L202" s="39">
        <f>(VLOOKUP($A202,'The List'!$B1:$AH727,24,FALSE)-AVERAGE('The List'!Y2:Y727))/STDEV('The List'!Y2:Y727)</f>
        <v>-0.53982899470172008</v>
      </c>
      <c r="M202" s="39">
        <f>(VLOOKUP($A202,'The List'!$B1:$AH727,25,FALSE)-AVERAGE('The List'!Z2:Z727))/STDEV('The List'!Z2:Z727)</f>
        <v>-0.71899933413473216</v>
      </c>
      <c r="N202" s="39">
        <f>(VLOOKUP($A202,'The List'!$B1:$AH727,26,FALSE)-AVERAGE('The List'!AA2:AA727))/STDEV('The List'!AA2:AA727)</f>
        <v>-0.60841071948625414</v>
      </c>
      <c r="O202" s="39">
        <f>(VLOOKUP($A202,'The List'!$B1:$AH727,27,FALSE)-AVERAGE('The List'!AB2:AB727))/STDEV('The List'!AB2:AB727)</f>
        <v>-0.46664297652036157</v>
      </c>
      <c r="P202" s="39">
        <f>(VLOOKUP($A202,'The List'!$B1:$AH727,28,FALSE)-AVERAGE('The List'!AC2:AC727))/STDEV('The List'!AC2:AC727)</f>
        <v>-0.288903515719929</v>
      </c>
      <c r="Q202" s="39">
        <f>(VLOOKUP($A202,'The List'!$B1:$AH727,29,FALSE)-AVERAGE('The List'!AD2:AD727))/STDEV('The List'!AD2:AD727)</f>
        <v>-0.94700611371514287</v>
      </c>
      <c r="R202" s="39">
        <f>(VLOOKUP($A202,'The List'!$B1:$AH727,30,FALSE)-AVERAGE('The List'!AE2:AE727))/STDEV('The List'!AE2:AE727)</f>
        <v>0.64621887322826177</v>
      </c>
      <c r="S202" s="39">
        <f>(VLOOKUP($A202,'The List'!$B1:$AH727,31,FALSE)-AVERAGE('The List'!AF2:AF727))/STDEV('The List'!AF2:AF727)</f>
        <v>-0.47238954800216887</v>
      </c>
      <c r="T202" s="39">
        <f>(VLOOKUP($A202,'The List'!$B1:$AH727,32,FALSE)-AVERAGE('The List'!AG2:AG727))/STDEV('The List'!AG2:AG727)</f>
        <v>-0.454585688724988</v>
      </c>
      <c r="U202" s="39">
        <f>(VLOOKUP($A202,'The List'!$B1:$AH727,33,FALSE)-AVERAGE('The List'!AH2:AH727))/STDEV('The List'!AH2:AH727)</f>
        <v>0.47515040499168981</v>
      </c>
      <c r="V202" s="39"/>
      <c r="W202" s="41"/>
      <c r="X202" s="39"/>
      <c r="Y202" s="39"/>
      <c r="Z202" s="39"/>
      <c r="AA202" s="39"/>
      <c r="AB202" s="39"/>
      <c r="AC202" s="39"/>
      <c r="AD202" s="39"/>
      <c r="AE202" s="39"/>
    </row>
    <row r="203" spans="1:31" ht="21.25" customHeight="1" x14ac:dyDescent="0.15">
      <c r="A203" s="8" t="s">
        <v>510</v>
      </c>
      <c r="B203" s="35" t="str">
        <f>VLOOKUP(A203,'Player Data'!A1:B734,2,FALSE)</f>
        <v>NSH</v>
      </c>
      <c r="C203" s="37">
        <f>((E203)*Settings!$C$12)+(F203*Settings!$C$2)+(G203*Settings!$C$3)+(H203*Settings!$C$4)+(I203*Settings!$C$5)+(K203*Settings!$C$9)+(N203*Settings!$C$6)+(J203*Settings!$C$8)+(O203*Settings!$C$7)+(P203*Settings!$C$14)+(Q203*Settings!$C$15)+(R203*Settings!$C$16)+(S203*Settings!$C$17)+(T203*Settings!$C$18)+(U203*Settings!$C$19)</f>
        <v>-0.58121566262008906</v>
      </c>
      <c r="D203" s="41">
        <f>IF(Settings!$E$12="YES",VLOOKUP(A203,'Player Data'!A1:E734,5,FALSE),82)</f>
        <v>69.352500000000006</v>
      </c>
      <c r="E203" s="39">
        <f>(VLOOKUP($A203,'The List'!$B1:$AH727,17,FALSE)-AVERAGE('The List'!R2:R727))/STDEV('The List'!R2:R727)</f>
        <v>-0.46471342266262922</v>
      </c>
      <c r="F203" s="39">
        <f>(VLOOKUP($A203,'The List'!$B1:$AH727,18,FALSE)-AVERAGE('The List'!S2:S727))/STDEV('The List'!S2:S727)</f>
        <v>2.3328974284347402E-2</v>
      </c>
      <c r="G203" s="39">
        <f>(VLOOKUP($A203,'The List'!$B1:$AH727,19,FALSE)-AVERAGE('The List'!T2:T727))/STDEV('The List'!T2:T727)</f>
        <v>0.20233381448474205</v>
      </c>
      <c r="H203" s="39">
        <f>(VLOOKUP($A203,'The List'!$B1:$AH727,20,FALSE)-AVERAGE('The List'!U2:U727))/STDEV('The List'!U2:U727)</f>
        <v>0.13529610270246906</v>
      </c>
      <c r="I203" s="39">
        <f>(VLOOKUP($A203,'The List'!$B1:$AH727,21,FALSE)-AVERAGE('The List'!V2:V727))/STDEV('The List'!V2:V727)</f>
        <v>-0.17686960335330984</v>
      </c>
      <c r="J203" s="39">
        <f>(VLOOKUP($A203,'The List'!$B1:$AH727,22,FALSE)-AVERAGE('The List'!W2:W727))/STDEV('The List'!W2:W727)</f>
        <v>0.7495082864597874</v>
      </c>
      <c r="K203" s="39">
        <f>(VLOOKUP($A203,'The List'!$B1:$AH727,23,FALSE)-AVERAGE('The List'!X2:X727))/STDEV('The List'!X2:X727)</f>
        <v>0.33740609476383709</v>
      </c>
      <c r="L203" s="39">
        <f>(VLOOKUP($A203,'The List'!$B1:$AH727,24,FALSE)-AVERAGE('The List'!Y2:Y727))/STDEV('The List'!Y2:Y727)</f>
        <v>-0.5430221163107134</v>
      </c>
      <c r="M203" s="39">
        <f>(VLOOKUP($A203,'The List'!$B1:$AH727,25,FALSE)-AVERAGE('The List'!Z2:Z727))/STDEV('The List'!Z2:Z727)</f>
        <v>-0.7226168042631429</v>
      </c>
      <c r="N203" s="39">
        <f>(VLOOKUP($A203,'The List'!$B1:$AH727,26,FALSE)-AVERAGE('The List'!AA2:AA727))/STDEV('The List'!AA2:AA727)</f>
        <v>-0.66994149337149711</v>
      </c>
      <c r="O203" s="39">
        <f>(VLOOKUP($A203,'The List'!$B1:$AH727,27,FALSE)-AVERAGE('The List'!AB2:AB727))/STDEV('The List'!AB2:AB727)</f>
        <v>-0.60395460924192279</v>
      </c>
      <c r="P203" s="39">
        <f>(VLOOKUP($A203,'The List'!$B1:$AH727,28,FALSE)-AVERAGE('The List'!AC2:AC727))/STDEV('The List'!AC2:AC727)</f>
        <v>-0.29747344942820869</v>
      </c>
      <c r="Q203" s="39">
        <f>(VLOOKUP($A203,'The List'!$B1:$AH727,29,FALSE)-AVERAGE('The List'!AD2:AD727))/STDEV('The List'!AD2:AD727)</f>
        <v>-1.0251708001347559</v>
      </c>
      <c r="R203" s="39">
        <f>(VLOOKUP($A203,'The List'!$B1:$AH727,30,FALSE)-AVERAGE('The List'!AE2:AE727))/STDEV('The List'!AE2:AE727)</f>
        <v>6.4377618758788627E-2</v>
      </c>
      <c r="S203" s="39">
        <f>(VLOOKUP($A203,'The List'!$B1:$AH727,31,FALSE)-AVERAGE('The List'!AF2:AF727))/STDEV('The List'!AF2:AF727)</f>
        <v>-0.45750169441267746</v>
      </c>
      <c r="T203" s="39">
        <f>(VLOOKUP($A203,'The List'!$B1:$AH727,32,FALSE)-AVERAGE('The List'!AG2:AG727))/STDEV('The List'!AG2:AG727)</f>
        <v>-0.47542052629506421</v>
      </c>
      <c r="U203" s="39">
        <f>(VLOOKUP($A203,'The List'!$B1:$AH727,33,FALSE)-AVERAGE('The List'!AH2:AH727))/STDEV('The List'!AH2:AH727)</f>
        <v>0.81803319619858372</v>
      </c>
      <c r="V203" s="39"/>
      <c r="W203" s="43"/>
      <c r="X203" s="41"/>
      <c r="Y203" s="41"/>
      <c r="Z203" s="41"/>
      <c r="AA203" s="41"/>
      <c r="AB203" s="41"/>
      <c r="AC203" s="44"/>
      <c r="AD203" s="45"/>
      <c r="AE203" s="39"/>
    </row>
    <row r="204" spans="1:31" ht="21.25" customHeight="1" x14ac:dyDescent="0.15">
      <c r="A204" s="8" t="s">
        <v>312</v>
      </c>
      <c r="B204" s="35" t="str">
        <f>VLOOKUP(A204,'Player Data'!A1:B734,2,FALSE)</f>
        <v>CGY</v>
      </c>
      <c r="C204" s="37">
        <f>((E204)*Settings!$C$12)+(F204*Settings!$C$2)+(G204*Settings!$C$3)+(H204*Settings!$C$4)+(I204*Settings!$C$5)+(K204*Settings!$C$9)+(N204*Settings!$C$6)+(J204*Settings!$C$8)+(O204*Settings!$C$7)+(P204*Settings!$C$14)+(Q204*Settings!$C$15)+(R204*Settings!$C$16)+(S204*Settings!$C$17)+(T204*Settings!$C$18)+(U204*Settings!$C$19)</f>
        <v>3.2446250639604854</v>
      </c>
      <c r="D204" s="41">
        <f>IF(Settings!$E$12="YES",VLOOKUP(A204,'Player Data'!A1:E734,5,FALSE),82)</f>
        <v>81.599999999999994</v>
      </c>
      <c r="E204" s="39">
        <f>(VLOOKUP($A204,'The List'!$B1:$AH727,17,FALSE)-AVERAGE('The List'!R2:R727))/STDEV('The List'!R2:R727)</f>
        <v>0.33984202416358261</v>
      </c>
      <c r="F204" s="39">
        <f>(VLOOKUP($A204,'The List'!$B1:$AH727,18,FALSE)-AVERAGE('The List'!S2:S727))/STDEV('The List'!S2:S727)</f>
        <v>0.14050545853449595</v>
      </c>
      <c r="G204" s="39">
        <f>(VLOOKUP($A204,'The List'!$B1:$AH727,19,FALSE)-AVERAGE('The List'!T2:T727))/STDEV('The List'!T2:T727)</f>
        <v>0.60851564447615014</v>
      </c>
      <c r="H204" s="39">
        <f>(VLOOKUP($A204,'The List'!$B1:$AH727,20,FALSE)-AVERAGE('The List'!U2:U727))/STDEV('The List'!U2:U727)</f>
        <v>0.4389117192479508</v>
      </c>
      <c r="I204" s="39">
        <f>(VLOOKUP($A204,'The List'!$B1:$AH727,21,FALSE)-AVERAGE('The List'!V2:V727))/STDEV('The List'!V2:V727)</f>
        <v>1.7303606900391262</v>
      </c>
      <c r="J204" s="39">
        <f>(VLOOKUP($A204,'The List'!$B1:$AH727,22,FALSE)-AVERAGE('The List'!W2:W727))/STDEV('The List'!W2:W727)</f>
        <v>2.6320792139031466E-2</v>
      </c>
      <c r="K204" s="39">
        <f>(VLOOKUP($A204,'The List'!$B1:$AH727,23,FALSE)-AVERAGE('The List'!X2:X727))/STDEV('The List'!X2:X727)</f>
        <v>0.20450272560476349</v>
      </c>
      <c r="L204" s="39">
        <f>(VLOOKUP($A204,'The List'!$B1:$AH727,24,FALSE)-AVERAGE('The List'!Y2:Y727))/STDEV('The List'!Y2:Y727)</f>
        <v>0.65673707733690445</v>
      </c>
      <c r="M204" s="39">
        <f>(VLOOKUP($A204,'The List'!$B1:$AH727,25,FALSE)-AVERAGE('The List'!Z2:Z727))/STDEV('The List'!Z2:Z727)</f>
        <v>1.8749419998924417</v>
      </c>
      <c r="N204" s="39">
        <f>(VLOOKUP($A204,'The List'!$B1:$AH727,26,FALSE)-AVERAGE('The List'!AA2:AA727))/STDEV('The List'!AA2:AA727)</f>
        <v>-0.71508588365901415</v>
      </c>
      <c r="O204" s="39">
        <f>(VLOOKUP($A204,'The List'!$B1:$AH727,27,FALSE)-AVERAGE('The List'!AB2:AB727))/STDEV('The List'!AB2:AB727)</f>
        <v>-0.14196166464069115</v>
      </c>
      <c r="P204" s="39">
        <f>(VLOOKUP($A204,'The List'!$B1:$AH727,28,FALSE)-AVERAGE('The List'!AC2:AC727))/STDEV('The List'!AC2:AC727)</f>
        <v>1.2758264289649639</v>
      </c>
      <c r="Q204" s="39">
        <f>(VLOOKUP($A204,'The List'!$B1:$AH727,29,FALSE)-AVERAGE('The List'!AD2:AD727))/STDEV('The List'!AD2:AD727)</f>
        <v>0.32215840164401616</v>
      </c>
      <c r="R204" s="39">
        <f>(VLOOKUP($A204,'The List'!$B1:$AH727,30,FALSE)-AVERAGE('The List'!AE2:AE727))/STDEV('The List'!AE2:AE727)</f>
        <v>0.3736025450833112</v>
      </c>
      <c r="S204" s="39">
        <f>(VLOOKUP($A204,'The List'!$B1:$AH727,31,FALSE)-AVERAGE('The List'!AF2:AF727))/STDEV('The List'!AF2:AF727)</f>
        <v>2.736578981574199</v>
      </c>
      <c r="T204" s="39">
        <f>(VLOOKUP($A204,'The List'!$B1:$AH727,32,FALSE)-AVERAGE('The List'!AG2:AG727))/STDEV('The List'!AG2:AG727)</f>
        <v>2.7371906568966926</v>
      </c>
      <c r="U204" s="39">
        <f>(VLOOKUP($A204,'The List'!$B1:$AH727,33,FALSE)-AVERAGE('The List'!AH2:AH727))/STDEV('The List'!AH2:AH727)</f>
        <v>1.061441297866623</v>
      </c>
      <c r="V204" s="39"/>
      <c r="W204" s="43"/>
      <c r="X204" s="41"/>
      <c r="Y204" s="41"/>
      <c r="Z204" s="41"/>
      <c r="AA204" s="41"/>
      <c r="AB204" s="41"/>
      <c r="AC204" s="44"/>
      <c r="AD204" s="45"/>
      <c r="AE204" s="39"/>
    </row>
    <row r="205" spans="1:31" ht="21.25" customHeight="1" x14ac:dyDescent="0.15">
      <c r="A205" s="8" t="s">
        <v>406</v>
      </c>
      <c r="B205" s="35" t="str">
        <f>VLOOKUP(A205,'Player Data'!A1:B734,2,FALSE)</f>
        <v>PHI</v>
      </c>
      <c r="C205" s="37">
        <f>((E205)*Settings!$C$12)+(F205*Settings!$C$2)+(G205*Settings!$C$3)+(H205*Settings!$C$4)+(I205*Settings!$C$5)+(K205*Settings!$C$9)+(N205*Settings!$C$6)+(J205*Settings!$C$8)+(O205*Settings!$C$7)+(P205*Settings!$C$14)+(Q205*Settings!$C$15)+(R205*Settings!$C$16)+(S205*Settings!$C$17)+(T205*Settings!$C$18)+(U205*Settings!$C$19)</f>
        <v>-1.0017253624125504</v>
      </c>
      <c r="D205" s="41">
        <f>IF(Settings!$E$12="YES",VLOOKUP(A205,'Player Data'!A1:E734,5,FALSE),82)</f>
        <v>74.192499999999995</v>
      </c>
      <c r="E205" s="39">
        <f>(VLOOKUP($A205,'The List'!$B1:$AH727,17,FALSE)-AVERAGE('The List'!R2:R727))/STDEV('The List'!R2:R727)</f>
        <v>0.41010827165248048</v>
      </c>
      <c r="F205" s="39">
        <f>(VLOOKUP($A205,'The List'!$B1:$AH727,18,FALSE)-AVERAGE('The List'!S2:S727))/STDEV('The List'!S2:S727)</f>
        <v>0.26298158335964078</v>
      </c>
      <c r="G205" s="39">
        <f>(VLOOKUP($A205,'The List'!$B1:$AH727,19,FALSE)-AVERAGE('The List'!T2:T727))/STDEV('The List'!T2:T727)</f>
        <v>0.19613983603190754</v>
      </c>
      <c r="H205" s="39">
        <f>(VLOOKUP($A205,'The List'!$B1:$AH727,20,FALSE)-AVERAGE('The List'!U2:U727))/STDEV('The List'!U2:U727)</f>
        <v>0.24053624986279015</v>
      </c>
      <c r="I205" s="39">
        <f>(VLOOKUP($A205,'The List'!$B1:$AH727,21,FALSE)-AVERAGE('The List'!V2:V727))/STDEV('The List'!V2:V727)</f>
        <v>-0.39231576909087329</v>
      </c>
      <c r="J205" s="39">
        <f>(VLOOKUP($A205,'The List'!$B1:$AH727,22,FALSE)-AVERAGE('The List'!W2:W727))/STDEV('The List'!W2:W727)</f>
        <v>0.25904965254865076</v>
      </c>
      <c r="K205" s="39">
        <f>(VLOOKUP($A205,'The List'!$B1:$AH727,23,FALSE)-AVERAGE('The List'!X2:X727))/STDEV('The List'!X2:X727)</f>
        <v>0.10135861181781883</v>
      </c>
      <c r="L205" s="39">
        <f>(VLOOKUP($A205,'The List'!$B1:$AH727,24,FALSE)-AVERAGE('The List'!Y2:Y727))/STDEV('The List'!Y2:Y727)</f>
        <v>1.2304097665773559</v>
      </c>
      <c r="M205" s="39">
        <f>(VLOOKUP($A205,'The List'!$B1:$AH727,25,FALSE)-AVERAGE('The List'!Z2:Z727))/STDEV('The List'!Z2:Z727)</f>
        <v>1.3873261901962608</v>
      </c>
      <c r="N205" s="39">
        <f>(VLOOKUP($A205,'The List'!$B1:$AH727,26,FALSE)-AVERAGE('The List'!AA2:AA727))/STDEV('The List'!AA2:AA727)</f>
        <v>-0.10212208963977136</v>
      </c>
      <c r="O205" s="39">
        <f>(VLOOKUP($A205,'The List'!$B1:$AH727,27,FALSE)-AVERAGE('The List'!AB2:AB727))/STDEV('The List'!AB2:AB727)</f>
        <v>-0.23052507962031343</v>
      </c>
      <c r="P205" s="39">
        <f>(VLOOKUP($A205,'The List'!$B1:$AH727,28,FALSE)-AVERAGE('The List'!AC2:AC727))/STDEV('The List'!AC2:AC727)</f>
        <v>-1.067767534891273</v>
      </c>
      <c r="Q205" s="39">
        <f>(VLOOKUP($A205,'The List'!$B1:$AH727,29,FALSE)-AVERAGE('The List'!AD2:AD727))/STDEV('The List'!AD2:AD727)</f>
        <v>-0.94289798353788135</v>
      </c>
      <c r="R205" s="39">
        <f>(VLOOKUP($A205,'The List'!$B1:$AH727,30,FALSE)-AVERAGE('The List'!AE2:AE727))/STDEV('The List'!AE2:AE727)</f>
        <v>3.3148582268606578E-3</v>
      </c>
      <c r="S205" s="39">
        <f>(VLOOKUP($A205,'The List'!$B1:$AH727,31,FALSE)-AVERAGE('The List'!AF2:AF727))/STDEV('The List'!AF2:AF727)</f>
        <v>1.0657215304286276</v>
      </c>
      <c r="T205" s="39">
        <f>(VLOOKUP($A205,'The List'!$B1:$AH727,32,FALSE)-AVERAGE('The List'!AG2:AG727))/STDEV('The List'!AG2:AG727)</f>
        <v>2.5469154275113506</v>
      </c>
      <c r="U205" s="39">
        <f>(VLOOKUP($A205,'The List'!$B1:$AH727,33,FALSE)-AVERAGE('The List'!AH2:AH727))/STDEV('The List'!AH2:AH727)</f>
        <v>0.34932260121771119</v>
      </c>
      <c r="V205" s="39"/>
      <c r="W205" s="43"/>
      <c r="X205" s="41"/>
      <c r="Y205" s="41"/>
      <c r="Z205" s="41"/>
      <c r="AA205" s="41"/>
      <c r="AB205" s="41"/>
      <c r="AC205" s="44"/>
      <c r="AD205" s="45"/>
      <c r="AE205" s="39"/>
    </row>
    <row r="206" spans="1:31" ht="21.25" customHeight="1" x14ac:dyDescent="0.15">
      <c r="A206" s="8" t="s">
        <v>317</v>
      </c>
      <c r="B206" s="35" t="str">
        <f>VLOOKUP(A206,'Player Data'!A1:B734,2,FALSE)</f>
        <v>WPG</v>
      </c>
      <c r="C206" s="37">
        <f>((E206)*Settings!$C$12)+(F206*Settings!$C$2)+(G206*Settings!$C$3)+(H206*Settings!$C$4)+(I206*Settings!$C$5)+(K206*Settings!$C$9)+(N206*Settings!$C$6)+(J206*Settings!$C$8)+(O206*Settings!$C$7)+(P206*Settings!$C$14)+(Q206*Settings!$C$15)+(R206*Settings!$C$16)+(S206*Settings!$C$17)+(T206*Settings!$C$18)+(U206*Settings!$C$19)</f>
        <v>1.696383097472145</v>
      </c>
      <c r="D206" s="41">
        <f>IF(Settings!$E$12="YES",VLOOKUP(A206,'Player Data'!A1:E734,5,FALSE),82)</f>
        <v>79.599999999999994</v>
      </c>
      <c r="E206" s="39">
        <f>(VLOOKUP($A206,'The List'!$B1:$AH727,17,FALSE)-AVERAGE('The List'!R2:R727))/STDEV('The List'!R2:R727)</f>
        <v>-0.14231474527580601</v>
      </c>
      <c r="F206" s="39">
        <f>(VLOOKUP($A206,'The List'!$B1:$AH727,18,FALSE)-AVERAGE('The List'!S2:S727))/STDEV('The List'!S2:S727)</f>
        <v>1.0451442440930749</v>
      </c>
      <c r="G206" s="39">
        <f>(VLOOKUP($A206,'The List'!$B1:$AH727,19,FALSE)-AVERAGE('The List'!T2:T727))/STDEV('The List'!T2:T727)</f>
        <v>-0.18370946949510808</v>
      </c>
      <c r="H206" s="39">
        <f>(VLOOKUP($A206,'The List'!$B1:$AH727,20,FALSE)-AVERAGE('The List'!U2:U727))/STDEV('The List'!U2:U727)</f>
        <v>0.36240256569592033</v>
      </c>
      <c r="I206" s="39">
        <f>(VLOOKUP($A206,'The List'!$B1:$AH727,21,FALSE)-AVERAGE('The List'!V2:V727))/STDEV('The List'!V2:V727)</f>
        <v>0.73899692470491596</v>
      </c>
      <c r="J206" s="39">
        <f>(VLOOKUP($A206,'The List'!$B1:$AH727,22,FALSE)-AVERAGE('The List'!W2:W727))/STDEV('The List'!W2:W727)</f>
        <v>0.31030930542771257</v>
      </c>
      <c r="K206" s="39">
        <f>(VLOOKUP($A206,'The List'!$B1:$AH727,23,FALSE)-AVERAGE('The List'!X2:X727))/STDEV('The List'!X2:X727)</f>
        <v>-0.11472437163310377</v>
      </c>
      <c r="L206" s="39">
        <f>(VLOOKUP($A206,'The List'!$B1:$AH727,24,FALSE)-AVERAGE('The List'!Y2:Y727))/STDEV('The List'!Y2:Y727)</f>
        <v>-0.52673477509415489</v>
      </c>
      <c r="M206" s="39">
        <f>(VLOOKUP($A206,'The List'!$B1:$AH727,25,FALSE)-AVERAGE('The List'!Z2:Z727))/STDEV('The List'!Z2:Z727)</f>
        <v>-0.70437372195692283</v>
      </c>
      <c r="N206" s="39">
        <f>(VLOOKUP($A206,'The List'!$B1:$AH727,26,FALSE)-AVERAGE('The List'!AA2:AA727))/STDEV('The List'!AA2:AA727)</f>
        <v>-0.74654810214627987</v>
      </c>
      <c r="O206" s="39">
        <f>(VLOOKUP($A206,'The List'!$B1:$AH727,27,FALSE)-AVERAGE('The List'!AB2:AB727))/STDEV('The List'!AB2:AB727)</f>
        <v>1.1710109067295973</v>
      </c>
      <c r="P206" s="39">
        <f>(VLOOKUP($A206,'The List'!$B1:$AH727,28,FALSE)-AVERAGE('The List'!AC2:AC727))/STDEV('The List'!AC2:AC727)</f>
        <v>0.95722387194864567</v>
      </c>
      <c r="Q206" s="39">
        <f>(VLOOKUP($A206,'The List'!$B1:$AH727,29,FALSE)-AVERAGE('The List'!AD2:AD727))/STDEV('The List'!AD2:AD727)</f>
        <v>-0.19754833209209705</v>
      </c>
      <c r="R206" s="39">
        <f>(VLOOKUP($A206,'The List'!$B1:$AH727,30,FALSE)-AVERAGE('The List'!AE2:AE727))/STDEV('The List'!AE2:AE727)</f>
        <v>1.1915014136348587</v>
      </c>
      <c r="S206" s="39">
        <f>(VLOOKUP($A206,'The List'!$B1:$AH727,31,FALSE)-AVERAGE('The List'!AF2:AF727))/STDEV('The List'!AF2:AF727)</f>
        <v>-0.5178249443932571</v>
      </c>
      <c r="T206" s="39">
        <f>(VLOOKUP($A206,'The List'!$B1:$AH727,32,FALSE)-AVERAGE('The List'!AG2:AG727))/STDEV('The List'!AG2:AG727)</f>
        <v>-0.55632318922492552</v>
      </c>
      <c r="U206" s="39">
        <f>(VLOOKUP($A206,'The List'!$B1:$AH727,33,FALSE)-AVERAGE('The List'!AH2:AH727))/STDEV('The List'!AH2:AH727)</f>
        <v>0.93573214761294188</v>
      </c>
      <c r="V206" s="39"/>
      <c r="W206" s="41"/>
      <c r="X206" s="39"/>
      <c r="Y206" s="39"/>
      <c r="Z206" s="39"/>
      <c r="AA206" s="39"/>
      <c r="AB206" s="39"/>
      <c r="AC206" s="39"/>
      <c r="AD206" s="39"/>
      <c r="AE206" s="39"/>
    </row>
    <row r="207" spans="1:31" ht="21.25" customHeight="1" x14ac:dyDescent="0.15">
      <c r="A207" s="8" t="s">
        <v>426</v>
      </c>
      <c r="B207" s="35" t="str">
        <f>VLOOKUP(A207,'Player Data'!A1:B734,2,FALSE)</f>
        <v>LAK</v>
      </c>
      <c r="C207" s="37">
        <f>((E207)*Settings!$C$12)+(F207*Settings!$C$2)+(G207*Settings!$C$3)+(H207*Settings!$C$4)+(I207*Settings!$C$5)+(K207*Settings!$C$9)+(N207*Settings!$C$6)+(J207*Settings!$C$8)+(O207*Settings!$C$7)+(P207*Settings!$C$14)+(Q207*Settings!$C$15)+(R207*Settings!$C$16)+(S207*Settings!$C$17)+(T207*Settings!$C$18)+(U207*Settings!$C$19)</f>
        <v>0.288963323687632</v>
      </c>
      <c r="D207" s="41">
        <f>IF(Settings!$E$12="YES",VLOOKUP(A207,'Player Data'!A1:E734,5,FALSE),82)</f>
        <v>71.237499999999997</v>
      </c>
      <c r="E207" s="39">
        <f>(VLOOKUP($A207,'The List'!$B1:$AH727,17,FALSE)-AVERAGE('The List'!R2:R727))/STDEV('The List'!R2:R727)</f>
        <v>9.8550549873418603E-2</v>
      </c>
      <c r="F207" s="39">
        <f>(VLOOKUP($A207,'The List'!$B1:$AH727,18,FALSE)-AVERAGE('The List'!S2:S727))/STDEV('The List'!S2:S727)</f>
        <v>0.15807864954617251</v>
      </c>
      <c r="G207" s="39">
        <f>(VLOOKUP($A207,'The List'!$B1:$AH727,19,FALSE)-AVERAGE('The List'!T2:T727))/STDEV('The List'!T2:T727)</f>
        <v>0.70201328221932435</v>
      </c>
      <c r="H207" s="39">
        <f>(VLOOKUP($A207,'The List'!$B1:$AH727,20,FALSE)-AVERAGE('The List'!U2:U727))/STDEV('The List'!U2:U727)</f>
        <v>0.50452272612148363</v>
      </c>
      <c r="I207" s="39">
        <f>(VLOOKUP($A207,'The List'!$B1:$AH727,21,FALSE)-AVERAGE('The List'!V2:V727))/STDEV('The List'!V2:V727)</f>
        <v>0.12551841523704937</v>
      </c>
      <c r="J207" s="39">
        <f>(VLOOKUP($A207,'The List'!$B1:$AH727,22,FALSE)-AVERAGE('The List'!W2:W727))/STDEV('The List'!W2:W727)</f>
        <v>0.3609111882988158</v>
      </c>
      <c r="K207" s="39">
        <f>(VLOOKUP($A207,'The List'!$B1:$AH727,23,FALSE)-AVERAGE('The List'!X2:X727))/STDEV('The List'!X2:X727)</f>
        <v>3.5474436205093128E-2</v>
      </c>
      <c r="L207" s="39">
        <f>(VLOOKUP($A207,'The List'!$B1:$AH727,24,FALSE)-AVERAGE('The List'!Y2:Y727))/STDEV('The List'!Y2:Y727)</f>
        <v>-0.47244313585475689</v>
      </c>
      <c r="M207" s="39">
        <f>(VLOOKUP($A207,'The List'!$B1:$AH727,25,FALSE)-AVERAGE('The List'!Z2:Z727))/STDEV('The List'!Z2:Z727)</f>
        <v>-0.64648306872664629</v>
      </c>
      <c r="N207" s="39">
        <f>(VLOOKUP($A207,'The List'!$B1:$AH727,26,FALSE)-AVERAGE('The List'!AA2:AA727))/STDEV('The List'!AA2:AA727)</f>
        <v>-0.84329472445004594</v>
      </c>
      <c r="O207" s="39">
        <f>(VLOOKUP($A207,'The List'!$B1:$AH727,27,FALSE)-AVERAGE('The List'!AB2:AB727))/STDEV('The List'!AB2:AB727)</f>
        <v>-0.37749147862682941</v>
      </c>
      <c r="P207" s="39">
        <f>(VLOOKUP($A207,'The List'!$B1:$AH727,28,FALSE)-AVERAGE('The List'!AC2:AC727))/STDEV('The List'!AC2:AC727)</f>
        <v>0.11117326493003843</v>
      </c>
      <c r="Q207" s="39">
        <f>(VLOOKUP($A207,'The List'!$B1:$AH727,29,FALSE)-AVERAGE('The List'!AD2:AD727))/STDEV('The List'!AD2:AD727)</f>
        <v>0.76252321485853258</v>
      </c>
      <c r="R207" s="39">
        <f>(VLOOKUP($A207,'The List'!$B1:$AH727,30,FALSE)-AVERAGE('The List'!AE2:AE727))/STDEV('The List'!AE2:AE727)</f>
        <v>0.21603271795139625</v>
      </c>
      <c r="S207" s="39">
        <f>(VLOOKUP($A207,'The List'!$B1:$AH727,31,FALSE)-AVERAGE('The List'!AF2:AF727))/STDEV('The List'!AF2:AF727)</f>
        <v>4.1911229180421903E-3</v>
      </c>
      <c r="T207" s="39">
        <f>(VLOOKUP($A207,'The List'!$B1:$AH727,32,FALSE)-AVERAGE('The List'!AG2:AG727))/STDEV('The List'!AG2:AG727)</f>
        <v>8.4859638361330175E-2</v>
      </c>
      <c r="U207" s="39">
        <f>(VLOOKUP($A207,'The List'!$B1:$AH727,33,FALSE)-AVERAGE('The List'!AH2:AH727))/STDEV('The List'!AH2:AH727)</f>
        <v>0.85095422248381913</v>
      </c>
      <c r="V207" s="39"/>
      <c r="W207" s="43"/>
      <c r="X207" s="41"/>
      <c r="Y207" s="41"/>
      <c r="Z207" s="41"/>
      <c r="AA207" s="41"/>
      <c r="AB207" s="41"/>
      <c r="AC207" s="44"/>
      <c r="AD207" s="45"/>
      <c r="AE207" s="39"/>
    </row>
    <row r="208" spans="1:31" ht="21.25" customHeight="1" x14ac:dyDescent="0.15">
      <c r="A208" s="8" t="s">
        <v>431</v>
      </c>
      <c r="B208" s="35" t="str">
        <f>VLOOKUP(A208,'Player Data'!A1:B734,2,FALSE)</f>
        <v>NYR</v>
      </c>
      <c r="C208" s="37">
        <f>((E208)*Settings!$C$12)+(F208*Settings!$C$2)+(G208*Settings!$C$3)+(H208*Settings!$C$4)+(I208*Settings!$C$5)+(K208*Settings!$C$9)+(N208*Settings!$C$6)+(J208*Settings!$C$8)+(O208*Settings!$C$7)+(P208*Settings!$C$14)+(Q208*Settings!$C$15)+(R208*Settings!$C$16)+(S208*Settings!$C$17)+(T208*Settings!$C$18)+(U208*Settings!$C$19)</f>
        <v>1.5163141947002816</v>
      </c>
      <c r="D208" s="41">
        <f>IF(Settings!$E$12="YES",VLOOKUP(A208,'Player Data'!A1:E734,5,FALSE),82)</f>
        <v>76.497500000000002</v>
      </c>
      <c r="E208" s="39">
        <f>(VLOOKUP($A208,'The List'!$B1:$AH727,17,FALSE)-AVERAGE('The List'!R2:R727))/STDEV('The List'!R2:R727)</f>
        <v>-0.4403486066294815</v>
      </c>
      <c r="F208" s="39">
        <f>(VLOOKUP($A208,'The List'!$B1:$AH727,18,FALSE)-AVERAGE('The List'!S2:S727))/STDEV('The List'!S2:S727)</f>
        <v>0.5260549699575896</v>
      </c>
      <c r="G208" s="39">
        <f>(VLOOKUP($A208,'The List'!$B1:$AH727,19,FALSE)-AVERAGE('The List'!T2:T727))/STDEV('The List'!T2:T727)</f>
        <v>7.1502654880924998E-2</v>
      </c>
      <c r="H208" s="39">
        <f>(VLOOKUP($A208,'The List'!$B1:$AH727,20,FALSE)-AVERAGE('The List'!U2:U727))/STDEV('The List'!U2:U727)</f>
        <v>0.28344852426370187</v>
      </c>
      <c r="I208" s="39">
        <f>(VLOOKUP($A208,'The List'!$B1:$AH727,21,FALSE)-AVERAGE('The List'!V2:V727))/STDEV('The List'!V2:V727)</f>
        <v>0.72447123628490895</v>
      </c>
      <c r="J208" s="39">
        <f>(VLOOKUP($A208,'The List'!$B1:$AH727,22,FALSE)-AVERAGE('The List'!W2:W727))/STDEV('The List'!W2:W727)</f>
        <v>-0.33785695670968879</v>
      </c>
      <c r="K208" s="39">
        <f>(VLOOKUP($A208,'The List'!$B1:$AH727,23,FALSE)-AVERAGE('The List'!X2:X727))/STDEV('The List'!X2:X727)</f>
        <v>-0.37967213866883759</v>
      </c>
      <c r="L208" s="39">
        <f>(VLOOKUP($A208,'The List'!$B1:$AH727,24,FALSE)-AVERAGE('The List'!Y2:Y727))/STDEV('The List'!Y2:Y727)</f>
        <v>-0.50371447420943616</v>
      </c>
      <c r="M208" s="39">
        <f>(VLOOKUP($A208,'The List'!$B1:$AH727,25,FALSE)-AVERAGE('The List'!Z2:Z727))/STDEV('The List'!Z2:Z727)</f>
        <v>-0.67861772090098116</v>
      </c>
      <c r="N208" s="39">
        <f>(VLOOKUP($A208,'The List'!$B1:$AH727,26,FALSE)-AVERAGE('The List'!AA2:AA727))/STDEV('The List'!AA2:AA727)</f>
        <v>-0.54298218278135624</v>
      </c>
      <c r="O208" s="39">
        <f>(VLOOKUP($A208,'The List'!$B1:$AH727,27,FALSE)-AVERAGE('The List'!AB2:AB727))/STDEV('The List'!AB2:AB727)</f>
        <v>-1.0373977935413379</v>
      </c>
      <c r="P208" s="39">
        <f>(VLOOKUP($A208,'The List'!$B1:$AH727,28,FALSE)-AVERAGE('The List'!AC2:AC727))/STDEV('The List'!AC2:AC727)</f>
        <v>1.1169396550270516</v>
      </c>
      <c r="Q208" s="39">
        <f>(VLOOKUP($A208,'The List'!$B1:$AH727,29,FALSE)-AVERAGE('The List'!AD2:AD727))/STDEV('The List'!AD2:AD727)</f>
        <v>-0.35566929150691828</v>
      </c>
      <c r="R208" s="39">
        <f>(VLOOKUP($A208,'The List'!$B1:$AH727,30,FALSE)-AVERAGE('The List'!AE2:AE727))/STDEV('The List'!AE2:AE727)</f>
        <v>0.8336668492856012</v>
      </c>
      <c r="S208" s="39">
        <f>(VLOOKUP($A208,'The List'!$B1:$AH727,31,FALSE)-AVERAGE('The List'!AF2:AF727))/STDEV('The List'!AF2:AF727)</f>
        <v>0.71131861940330865</v>
      </c>
      <c r="T208" s="39">
        <f>(VLOOKUP($A208,'The List'!$B1:$AH727,32,FALSE)-AVERAGE('The List'!AG2:AG727))/STDEV('The List'!AG2:AG727)</f>
        <v>1.2826723127132433</v>
      </c>
      <c r="U208" s="39">
        <f>(VLOOKUP($A208,'The List'!$B1:$AH727,33,FALSE)-AVERAGE('The List'!AH2:AH727))/STDEV('The List'!AH2:AH727)</f>
        <v>0.63404540004604859</v>
      </c>
      <c r="V208" s="39"/>
      <c r="W208" s="41"/>
      <c r="X208" s="39"/>
      <c r="Y208" s="39"/>
      <c r="Z208" s="39"/>
      <c r="AA208" s="39"/>
      <c r="AB208" s="39"/>
      <c r="AC208" s="39"/>
      <c r="AD208" s="39"/>
      <c r="AE208" s="39"/>
    </row>
    <row r="209" spans="1:31" ht="21.25" customHeight="1" x14ac:dyDescent="0.15">
      <c r="A209" s="8" t="s">
        <v>407</v>
      </c>
      <c r="B209" s="35" t="str">
        <f>VLOOKUP(A209,'Player Data'!A1:B734,2,FALSE)</f>
        <v>BOS</v>
      </c>
      <c r="C209" s="37">
        <f>((E209)*Settings!$C$12)+(F209*Settings!$C$2)+(G209*Settings!$C$3)+(H209*Settings!$C$4)+(I209*Settings!$C$5)+(K209*Settings!$C$9)+(N209*Settings!$C$6)+(J209*Settings!$C$8)+(O209*Settings!$C$7)+(P209*Settings!$C$14)+(Q209*Settings!$C$15)+(R209*Settings!$C$16)+(S209*Settings!$C$17)+(T209*Settings!$C$18)+(U209*Settings!$C$19)</f>
        <v>1.4626972329201293</v>
      </c>
      <c r="D209" s="41">
        <f>IF(Settings!$E$12="YES",VLOOKUP(A209,'Player Data'!A1:E734,5,FALSE),82)</f>
        <v>81.297857142857097</v>
      </c>
      <c r="E209" s="39">
        <f>(VLOOKUP($A209,'The List'!$B1:$AH727,17,FALSE)-AVERAGE('The List'!R2:R727))/STDEV('The List'!R2:R727)</f>
        <v>0.60551880035125816</v>
      </c>
      <c r="F209" s="39">
        <f>(VLOOKUP($A209,'The List'!$B1:$AH727,18,FALSE)-AVERAGE('The List'!S2:S727))/STDEV('The List'!S2:S727)</f>
        <v>0.26804122904446148</v>
      </c>
      <c r="G209" s="39">
        <f>(VLOOKUP($A209,'The List'!$B1:$AH727,19,FALSE)-AVERAGE('The List'!T2:T727))/STDEV('The List'!T2:T727)</f>
        <v>0.45242086470136994</v>
      </c>
      <c r="H209" s="39">
        <f>(VLOOKUP($A209,'The List'!$B1:$AH727,20,FALSE)-AVERAGE('The List'!U2:U727))/STDEV('The List'!U2:U727)</f>
        <v>0.40076143494716004</v>
      </c>
      <c r="I209" s="39">
        <f>(VLOOKUP($A209,'The List'!$B1:$AH727,21,FALSE)-AVERAGE('The List'!V2:V727))/STDEV('The List'!V2:V727)</f>
        <v>0.3718506323846984</v>
      </c>
      <c r="J209" s="39">
        <f>(VLOOKUP($A209,'The List'!$B1:$AH727,22,FALSE)-AVERAGE('The List'!W2:W727))/STDEV('The List'!W2:W727)</f>
        <v>-0.20780019242282849</v>
      </c>
      <c r="K209" s="39">
        <f>(VLOOKUP($A209,'The List'!$B1:$AH727,23,FALSE)-AVERAGE('The List'!X2:X727))/STDEV('The List'!X2:X727)</f>
        <v>-0.20455678470442373</v>
      </c>
      <c r="L209" s="39">
        <f>(VLOOKUP($A209,'The List'!$B1:$AH727,24,FALSE)-AVERAGE('The List'!Y2:Y727))/STDEV('The List'!Y2:Y727)</f>
        <v>0.51303983267549047</v>
      </c>
      <c r="M209" s="39">
        <f>(VLOOKUP($A209,'The List'!$B1:$AH727,25,FALSE)-AVERAGE('The List'!Z2:Z727))/STDEV('The List'!Z2:Z727)</f>
        <v>1.7894406221311678</v>
      </c>
      <c r="N209" s="39">
        <f>(VLOOKUP($A209,'The List'!$B1:$AH727,26,FALSE)-AVERAGE('The List'!AA2:AA727))/STDEV('The List'!AA2:AA727)</f>
        <v>-4.913094540917242E-2</v>
      </c>
      <c r="O209" s="39">
        <f>(VLOOKUP($A209,'The List'!$B1:$AH727,27,FALSE)-AVERAGE('The List'!AB2:AB727))/STDEV('The List'!AB2:AB727)</f>
        <v>-0.26378439205113924</v>
      </c>
      <c r="P209" s="39">
        <f>(VLOOKUP($A209,'The List'!$B1:$AH727,28,FALSE)-AVERAGE('The List'!AC2:AC727))/STDEV('The List'!AC2:AC727)</f>
        <v>0.62407223690319569</v>
      </c>
      <c r="Q209" s="39">
        <f>(VLOOKUP($A209,'The List'!$B1:$AH727,29,FALSE)-AVERAGE('The List'!AD2:AD727))/STDEV('The List'!AD2:AD727)</f>
        <v>2.1812198718362982E-2</v>
      </c>
      <c r="R209" s="39">
        <f>(VLOOKUP($A209,'The List'!$B1:$AH727,30,FALSE)-AVERAGE('The List'!AE2:AE727))/STDEV('The List'!AE2:AE727)</f>
        <v>0.52078937709208728</v>
      </c>
      <c r="S209" s="39">
        <f>(VLOOKUP($A209,'The List'!$B1:$AH727,31,FALSE)-AVERAGE('The List'!AF2:AF727))/STDEV('The List'!AF2:AF727)</f>
        <v>2.1971713800959418</v>
      </c>
      <c r="T209" s="39">
        <f>(VLOOKUP($A209,'The List'!$B1:$AH727,32,FALSE)-AVERAGE('The List'!AG2:AG727))/STDEV('The List'!AG2:AG727)</f>
        <v>2.2331463151307549</v>
      </c>
      <c r="U209" s="39">
        <f>(VLOOKUP($A209,'The List'!$B1:$AH727,33,FALSE)-AVERAGE('The List'!AH2:AH727))/STDEV('The List'!AH2:AH727)</f>
        <v>1.0443279311429046</v>
      </c>
      <c r="V209" s="39"/>
      <c r="W209" s="43"/>
      <c r="X209" s="41"/>
      <c r="Y209" s="41"/>
      <c r="Z209" s="41"/>
      <c r="AA209" s="41"/>
      <c r="AB209" s="41"/>
      <c r="AC209" s="44"/>
      <c r="AD209" s="45"/>
      <c r="AE209" s="39"/>
    </row>
    <row r="210" spans="1:31" ht="21.25" customHeight="1" x14ac:dyDescent="0.15">
      <c r="A210" s="8" t="s">
        <v>376</v>
      </c>
      <c r="B210" s="35" t="str">
        <f>VLOOKUP(A210,'Player Data'!A1:B734,2,FALSE)</f>
        <v>STL</v>
      </c>
      <c r="C210" s="37">
        <f>((E210)*Settings!$C$12)+(F210*Settings!$C$2)+(G210*Settings!$C$3)+(H210*Settings!$C$4)+(I210*Settings!$C$5)+(K210*Settings!$C$9)+(N210*Settings!$C$6)+(J210*Settings!$C$8)+(O210*Settings!$C$7)+(P210*Settings!$C$14)+(Q210*Settings!$C$15)+(R210*Settings!$C$16)+(S210*Settings!$C$17)+(T210*Settings!$C$18)+(U210*Settings!$C$19)</f>
        <v>-0.87473676737261796</v>
      </c>
      <c r="D210" s="41">
        <f>IF(Settings!$E$12="YES",VLOOKUP(A210,'Player Data'!A1:E734,5,FALSE),82)</f>
        <v>77.770357142857094</v>
      </c>
      <c r="E210" s="39">
        <f>(VLOOKUP($A210,'The List'!$B1:$AH727,17,FALSE)-AVERAGE('The List'!R2:R727))/STDEV('The List'!R2:R727)</f>
        <v>-1.4529546030860508E-2</v>
      </c>
      <c r="F210" s="39">
        <f>(VLOOKUP($A210,'The List'!$B1:$AH727,18,FALSE)-AVERAGE('The List'!S2:S727))/STDEV('The List'!S2:S727)</f>
        <v>0.78180536052952609</v>
      </c>
      <c r="G210" s="39">
        <f>(VLOOKUP($A210,'The List'!$B1:$AH727,19,FALSE)-AVERAGE('The List'!T2:T727))/STDEV('The List'!T2:T727)</f>
        <v>-7.1183874202186817E-2</v>
      </c>
      <c r="H210" s="39">
        <f>(VLOOKUP($A210,'The List'!$B1:$AH727,20,FALSE)-AVERAGE('The List'!U2:U727))/STDEV('The List'!U2:U727)</f>
        <v>0.31190620283347048</v>
      </c>
      <c r="I210" s="39">
        <f>(VLOOKUP($A210,'The List'!$B1:$AH727,21,FALSE)-AVERAGE('The List'!V2:V727))/STDEV('The List'!V2:V727)</f>
        <v>0.19711314134200941</v>
      </c>
      <c r="J210" s="39">
        <f>(VLOOKUP($A210,'The List'!$B1:$AH727,22,FALSE)-AVERAGE('The List'!W2:W727))/STDEV('The List'!W2:W727)</f>
        <v>0.33240105553580052</v>
      </c>
      <c r="K210" s="39">
        <f>(VLOOKUP($A210,'The List'!$B1:$AH727,23,FALSE)-AVERAGE('The List'!X2:X727))/STDEV('The List'!X2:X727)</f>
        <v>-5.7539581857134307E-2</v>
      </c>
      <c r="L210" s="39">
        <f>(VLOOKUP($A210,'The List'!$B1:$AH727,24,FALSE)-AVERAGE('The List'!Y2:Y727))/STDEV('The List'!Y2:Y727)</f>
        <v>1.8850789030745077</v>
      </c>
      <c r="M210" s="39">
        <f>(VLOOKUP($A210,'The List'!$B1:$AH727,25,FALSE)-AVERAGE('The List'!Z2:Z727))/STDEV('The List'!Z2:Z727)</f>
        <v>2.0316451651704655</v>
      </c>
      <c r="N210" s="39">
        <f>(VLOOKUP($A210,'The List'!$B1:$AH727,26,FALSE)-AVERAGE('The List'!AA2:AA727))/STDEV('The List'!AA2:AA727)</f>
        <v>-0.73363057592535352</v>
      </c>
      <c r="O210" s="39">
        <f>(VLOOKUP($A210,'The List'!$B1:$AH727,27,FALSE)-AVERAGE('The List'!AB2:AB727))/STDEV('The List'!AB2:AB727)</f>
        <v>-1.2803005523968156</v>
      </c>
      <c r="P210" s="39">
        <f>(VLOOKUP($A210,'The List'!$B1:$AH727,28,FALSE)-AVERAGE('The List'!AC2:AC727))/STDEV('The List'!AC2:AC727)</f>
        <v>-0.99130123725947883</v>
      </c>
      <c r="Q210" s="39">
        <f>(VLOOKUP($A210,'The List'!$B1:$AH727,29,FALSE)-AVERAGE('The List'!AD2:AD727))/STDEV('The List'!AD2:AD727)</f>
        <v>-0.9389798524636106</v>
      </c>
      <c r="R210" s="39">
        <f>(VLOOKUP($A210,'The List'!$B1:$AH727,30,FALSE)-AVERAGE('The List'!AE2:AE727))/STDEV('The List'!AE2:AE727)</f>
        <v>0.36815059725112215</v>
      </c>
      <c r="S210" s="39">
        <f>(VLOOKUP($A210,'The List'!$B1:$AH727,31,FALSE)-AVERAGE('The List'!AF2:AF727))/STDEV('The List'!AF2:AF727)</f>
        <v>-0.5127539884200607</v>
      </c>
      <c r="T210" s="39">
        <f>(VLOOKUP($A210,'The List'!$B1:$AH727,32,FALSE)-AVERAGE('The List'!AG2:AG727))/STDEV('The List'!AG2:AG727)</f>
        <v>-0.54572874702186225</v>
      </c>
      <c r="U210" s="39">
        <f>(VLOOKUP($A210,'The List'!$B1:$AH727,33,FALSE)-AVERAGE('The List'!AH2:AH727))/STDEV('The List'!AH2:AH727)</f>
        <v>0.8340949633352166</v>
      </c>
      <c r="V210" s="39"/>
      <c r="W210" s="41"/>
      <c r="X210" s="41"/>
      <c r="Y210" s="41"/>
      <c r="Z210" s="41"/>
      <c r="AA210" s="41"/>
      <c r="AB210" s="41"/>
      <c r="AC210" s="44"/>
      <c r="AD210" s="45"/>
      <c r="AE210" s="39"/>
    </row>
    <row r="211" spans="1:31" ht="21.25" customHeight="1" x14ac:dyDescent="0.15">
      <c r="A211" s="8" t="s">
        <v>455</v>
      </c>
      <c r="B211" s="35" t="str">
        <f>VLOOKUP(A211,'Player Data'!A1:B734,2,FALSE)</f>
        <v>SEA</v>
      </c>
      <c r="C211" s="37">
        <f>((E211)*Settings!$C$12)+(F211*Settings!$C$2)+(G211*Settings!$C$3)+(H211*Settings!$C$4)+(I211*Settings!$C$5)+(K211*Settings!$C$9)+(N211*Settings!$C$6)+(J211*Settings!$C$8)+(O211*Settings!$C$7)+(P211*Settings!$C$14)+(Q211*Settings!$C$15)+(R211*Settings!$C$16)+(S211*Settings!$C$17)+(T211*Settings!$C$18)+(U211*Settings!$C$19)</f>
        <v>7.3459821417126314E-2</v>
      </c>
      <c r="D211" s="41">
        <f>IF(Settings!$E$12="YES",VLOOKUP(A211,'Player Data'!A1:E734,5,FALSE),82)</f>
        <v>80.752499999999998</v>
      </c>
      <c r="E211" s="39">
        <f>(VLOOKUP($A211,'The List'!$B1:$AH727,17,FALSE)-AVERAGE('The List'!R2:R727))/STDEV('The List'!R2:R727)</f>
        <v>0.21819379453159379</v>
      </c>
      <c r="F211" s="39">
        <f>(VLOOKUP($A211,'The List'!$B1:$AH727,18,FALSE)-AVERAGE('The List'!S2:S727))/STDEV('The List'!S2:S727)</f>
        <v>0.24896678765567848</v>
      </c>
      <c r="G211" s="39">
        <f>(VLOOKUP($A211,'The List'!$B1:$AH727,19,FALSE)-AVERAGE('The List'!T2:T727))/STDEV('The List'!T2:T727)</f>
        <v>0.42388280518765592</v>
      </c>
      <c r="H211" s="39">
        <f>(VLOOKUP($A211,'The List'!$B1:$AH727,20,FALSE)-AVERAGE('The List'!U2:U727))/STDEV('The List'!U2:U727)</f>
        <v>0.37449595545742526</v>
      </c>
      <c r="I211" s="39">
        <f>(VLOOKUP($A211,'The List'!$B1:$AH727,21,FALSE)-AVERAGE('The List'!V2:V727))/STDEV('The List'!V2:V727)</f>
        <v>0.14907849798585374</v>
      </c>
      <c r="J211" s="39">
        <f>(VLOOKUP($A211,'The List'!$B1:$AH727,22,FALSE)-AVERAGE('The List'!W2:W727))/STDEV('The List'!W2:W727)</f>
        <v>-0.45810515213800379</v>
      </c>
      <c r="K211" s="39">
        <f>(VLOOKUP($A211,'The List'!$B1:$AH727,23,FALSE)-AVERAGE('The List'!X2:X727))/STDEV('The List'!X2:X727)</f>
        <v>-0.59419205818405951</v>
      </c>
      <c r="L211" s="39">
        <f>(VLOOKUP($A211,'The List'!$B1:$AH727,24,FALSE)-AVERAGE('The List'!Y2:Y727))/STDEV('The List'!Y2:Y727)</f>
        <v>1.2583541756444196</v>
      </c>
      <c r="M211" s="39">
        <f>(VLOOKUP($A211,'The List'!$B1:$AH727,25,FALSE)-AVERAGE('The List'!Z2:Z727))/STDEV('The List'!Z2:Z727)</f>
        <v>1.6593842847105362</v>
      </c>
      <c r="N211" s="39">
        <f>(VLOOKUP($A211,'The List'!$B1:$AH727,26,FALSE)-AVERAGE('The List'!AA2:AA727))/STDEV('The List'!AA2:AA727)</f>
        <v>-0.27543933443808771</v>
      </c>
      <c r="O211" s="39">
        <f>(VLOOKUP($A211,'The List'!$B1:$AH727,27,FALSE)-AVERAGE('The List'!AB2:AB727))/STDEV('The List'!AB2:AB727)</f>
        <v>0.31622901766637634</v>
      </c>
      <c r="P211" s="39">
        <f>(VLOOKUP($A211,'The List'!$B1:$AH727,28,FALSE)-AVERAGE('The List'!AC2:AC727))/STDEV('The List'!AC2:AC727)</f>
        <v>0.12116312321008538</v>
      </c>
      <c r="Q211" s="39">
        <f>(VLOOKUP($A211,'The List'!$B1:$AH727,29,FALSE)-AVERAGE('The List'!AD2:AD727))/STDEV('The List'!AD2:AD727)</f>
        <v>1.5393350669247872</v>
      </c>
      <c r="R211" s="39">
        <f>(VLOOKUP($A211,'The List'!$B1:$AH727,30,FALSE)-AVERAGE('The List'!AE2:AE727))/STDEV('The List'!AE2:AE727)</f>
        <v>0.22452308154442724</v>
      </c>
      <c r="S211" s="39">
        <f>(VLOOKUP($A211,'The List'!$B1:$AH727,31,FALSE)-AVERAGE('The List'!AF2:AF727))/STDEV('The List'!AF2:AF727)</f>
        <v>1.7874375747407538</v>
      </c>
      <c r="T211" s="39">
        <f>(VLOOKUP($A211,'The List'!$B1:$AH727,32,FALSE)-AVERAGE('The List'!AG2:AG727))/STDEV('The List'!AG2:AG727)</f>
        <v>1.9239756286541052</v>
      </c>
      <c r="U211" s="39">
        <f>(VLOOKUP($A211,'The List'!$B1:$AH727,33,FALSE)-AVERAGE('The List'!AH2:AH727))/STDEV('The List'!AH2:AH727)</f>
        <v>0.99290119799965548</v>
      </c>
      <c r="V211" s="39"/>
      <c r="W211" s="43"/>
      <c r="X211" s="41"/>
      <c r="Y211" s="41"/>
      <c r="Z211" s="41"/>
      <c r="AA211" s="41"/>
      <c r="AB211" s="41"/>
      <c r="AC211" s="44"/>
      <c r="AD211" s="45"/>
      <c r="AE211" s="39"/>
    </row>
    <row r="212" spans="1:31" ht="21.25" customHeight="1" x14ac:dyDescent="0.15">
      <c r="A212" s="8" t="s">
        <v>261</v>
      </c>
      <c r="B212" s="35" t="str">
        <f>VLOOKUP(A212,'Player Data'!A1:B734,2,FALSE)</f>
        <v>STL</v>
      </c>
      <c r="C212" s="37">
        <f>((E212)*Settings!$C$12)+(F212*Settings!$C$2)+(G212*Settings!$C$3)+(H212*Settings!$C$4)+(I212*Settings!$C$5)+(K212*Settings!$C$9)+(N212*Settings!$C$6)+(J212*Settings!$C$8)+(O212*Settings!$C$7)+(P212*Settings!$C$14)+(Q212*Settings!$C$15)+(R212*Settings!$C$16)+(S212*Settings!$C$17)+(T212*Settings!$C$18)+(U212*Settings!$C$19)</f>
        <v>1.5199782739039438</v>
      </c>
      <c r="D212" s="41">
        <f>IF(Settings!$E$12="YES",VLOOKUP(A212,'Player Data'!A1:E734,5,FALSE),82)</f>
        <v>76.23</v>
      </c>
      <c r="E212" s="39">
        <f>(VLOOKUP($A212,'The List'!$B1:$AH727,17,FALSE)-AVERAGE('The List'!R2:R727))/STDEV('The List'!R2:R727)</f>
        <v>0.80681364269552192</v>
      </c>
      <c r="F212" s="39">
        <f>(VLOOKUP($A212,'The List'!$B1:$AH727,18,FALSE)-AVERAGE('The List'!S2:S727))/STDEV('The List'!S2:S727)</f>
        <v>-0.55714675045131656</v>
      </c>
      <c r="G212" s="39">
        <f>(VLOOKUP($A212,'The List'!$B1:$AH727,19,FALSE)-AVERAGE('The List'!T2:T727))/STDEV('The List'!T2:T727)</f>
        <v>0.82460794389947434</v>
      </c>
      <c r="H212" s="39">
        <f>(VLOOKUP($A212,'The List'!$B1:$AH727,20,FALSE)-AVERAGE('The List'!U2:U727))/STDEV('The List'!U2:U727)</f>
        <v>0.25459437229231285</v>
      </c>
      <c r="I212" s="39">
        <f>(VLOOKUP($A212,'The List'!$B1:$AH727,21,FALSE)-AVERAGE('The List'!V2:V727))/STDEV('The List'!V2:V727)</f>
        <v>0.24072594929528277</v>
      </c>
      <c r="J212" s="39">
        <f>(VLOOKUP($A212,'The List'!$B1:$AH727,22,FALSE)-AVERAGE('The List'!W2:W727))/STDEV('The List'!W2:W727)</f>
        <v>0.2065214796601931</v>
      </c>
      <c r="K212" s="39">
        <f>(VLOOKUP($A212,'The List'!$B1:$AH727,23,FALSE)-AVERAGE('The List'!X2:X727))/STDEV('The List'!X2:X727)</f>
        <v>1.0726771441548746</v>
      </c>
      <c r="L212" s="39">
        <f>(VLOOKUP($A212,'The List'!$B1:$AH727,24,FALSE)-AVERAGE('The List'!Y2:Y727))/STDEV('The List'!Y2:Y727)</f>
        <v>-0.53830158438736331</v>
      </c>
      <c r="M212" s="39">
        <f>(VLOOKUP($A212,'The List'!$B1:$AH727,25,FALSE)-AVERAGE('The List'!Z2:Z727))/STDEV('The List'!Z2:Z727)</f>
        <v>-0.71037999018545295</v>
      </c>
      <c r="N212" s="39">
        <f>(VLOOKUP($A212,'The List'!$B1:$AH727,26,FALSE)-AVERAGE('The List'!AA2:AA727))/STDEV('The List'!AA2:AA727)</f>
        <v>1.0172030907930367</v>
      </c>
      <c r="O212" s="39">
        <f>(VLOOKUP($A212,'The List'!$B1:$AH727,27,FALSE)-AVERAGE('The List'!AB2:AB727))/STDEV('The List'!AB2:AB727)</f>
        <v>-0.49719480238972791</v>
      </c>
      <c r="P212" s="39">
        <f>(VLOOKUP($A212,'The List'!$B1:$AH727,28,FALSE)-AVERAGE('The List'!AC2:AC727))/STDEV('The List'!AC2:AC727)</f>
        <v>-1.0780891037874081</v>
      </c>
      <c r="Q212" s="39">
        <f>(VLOOKUP($A212,'The List'!$B1:$AH727,29,FALSE)-AVERAGE('The List'!AD2:AD727))/STDEV('The List'!AD2:AD727)</f>
        <v>0.68959460198748257</v>
      </c>
      <c r="R212" s="39">
        <f>(VLOOKUP($A212,'The List'!$B1:$AH727,30,FALSE)-AVERAGE('The List'!AE2:AE727))/STDEV('The List'!AE2:AE727)</f>
        <v>-0.63830487657604362</v>
      </c>
      <c r="S212" s="39">
        <f>(VLOOKUP($A212,'The List'!$B1:$AH727,31,FALSE)-AVERAGE('The List'!AF2:AF727))/STDEV('The List'!AF2:AF727)</f>
        <v>-0.55804314905918151</v>
      </c>
      <c r="T212" s="39">
        <f>(VLOOKUP($A212,'The List'!$B1:$AH727,32,FALSE)-AVERAGE('The List'!AG2:AG727))/STDEV('The List'!AG2:AG727)</f>
        <v>-0.60188453558131205</v>
      </c>
      <c r="U212" s="39">
        <f>(VLOOKUP($A212,'The List'!$B1:$AH727,33,FALSE)-AVERAGE('The List'!AH2:AH727))/STDEV('The List'!AH2:AH727)</f>
        <v>-1.2395873372913611</v>
      </c>
      <c r="V212" s="39"/>
      <c r="W212" s="41"/>
      <c r="X212" s="39"/>
      <c r="Y212" s="39"/>
      <c r="Z212" s="39"/>
      <c r="AA212" s="39"/>
      <c r="AB212" s="39"/>
      <c r="AC212" s="39"/>
      <c r="AD212" s="39"/>
      <c r="AE212" s="39"/>
    </row>
    <row r="213" spans="1:31" ht="21.25" customHeight="1" x14ac:dyDescent="0.15">
      <c r="A213" s="8" t="s">
        <v>409</v>
      </c>
      <c r="B213" s="35" t="str">
        <f>VLOOKUP(A213,'Player Data'!A1:B734,2,FALSE)</f>
        <v>STL</v>
      </c>
      <c r="C213" s="37">
        <f>((E213)*Settings!$C$12)+(F213*Settings!$C$2)+(G213*Settings!$C$3)+(H213*Settings!$C$4)+(I213*Settings!$C$5)+(K213*Settings!$C$9)+(N213*Settings!$C$6)+(J213*Settings!$C$8)+(O213*Settings!$C$7)+(P213*Settings!$C$14)+(Q213*Settings!$C$15)+(R213*Settings!$C$16)+(S213*Settings!$C$17)+(T213*Settings!$C$18)+(U213*Settings!$C$19)</f>
        <v>-0.64679981798336184</v>
      </c>
      <c r="D213" s="41">
        <f>IF(Settings!$E$12="YES",VLOOKUP(A213,'Player Data'!A1:E734,5,FALSE),82)</f>
        <v>77.36</v>
      </c>
      <c r="E213" s="39">
        <f>(VLOOKUP($A213,'The List'!$B1:$AH727,17,FALSE)-AVERAGE('The List'!R2:R727))/STDEV('The List'!R2:R727)</f>
        <v>-0.20508736464606028</v>
      </c>
      <c r="F213" s="39">
        <f>(VLOOKUP($A213,'The List'!$B1:$AH727,18,FALSE)-AVERAGE('The List'!S2:S727))/STDEV('The List'!S2:S727)</f>
        <v>0.1069222007517335</v>
      </c>
      <c r="G213" s="39">
        <f>(VLOOKUP($A213,'The List'!$B1:$AH727,19,FALSE)-AVERAGE('The List'!T2:T727))/STDEV('The List'!T2:T727)</f>
        <v>0.37811717852806959</v>
      </c>
      <c r="H213" s="39">
        <f>(VLOOKUP($A213,'The List'!$B1:$AH727,20,FALSE)-AVERAGE('The List'!U2:U727))/STDEV('The List'!U2:U727)</f>
        <v>0.28165557922897039</v>
      </c>
      <c r="I213" s="39">
        <f>(VLOOKUP($A213,'The List'!$B1:$AH727,21,FALSE)-AVERAGE('The List'!V2:V727))/STDEV('The List'!V2:V727)</f>
        <v>0.70877360798723243</v>
      </c>
      <c r="J213" s="39">
        <f>(VLOOKUP($A213,'The List'!$B1:$AH727,22,FALSE)-AVERAGE('The List'!W2:W727))/STDEV('The List'!W2:W727)</f>
        <v>0.23666735506460887</v>
      </c>
      <c r="K213" s="39">
        <f>(VLOOKUP($A213,'The List'!$B1:$AH727,23,FALSE)-AVERAGE('The List'!X2:X727))/STDEV('The List'!X2:X727)</f>
        <v>0.21274116706758767</v>
      </c>
      <c r="L213" s="39">
        <f>(VLOOKUP($A213,'The List'!$B1:$AH727,24,FALSE)-AVERAGE('The List'!Y2:Y727))/STDEV('The List'!Y2:Y727)</f>
        <v>-0.50323910095700375</v>
      </c>
      <c r="M213" s="39">
        <f>(VLOOKUP($A213,'The List'!$B1:$AH727,25,FALSE)-AVERAGE('The List'!Z2:Z727))/STDEV('The List'!Z2:Z727)</f>
        <v>-0.60713037622851862</v>
      </c>
      <c r="N213" s="39">
        <f>(VLOOKUP($A213,'The List'!$B1:$AH727,26,FALSE)-AVERAGE('The List'!AA2:AA727))/STDEV('The List'!AA2:AA727)</f>
        <v>-0.97264212645878279</v>
      </c>
      <c r="O213" s="39">
        <f>(VLOOKUP($A213,'The List'!$B1:$AH727,27,FALSE)-AVERAGE('The List'!AB2:AB727))/STDEV('The List'!AB2:AB727)</f>
        <v>-0.81191894396802411</v>
      </c>
      <c r="P213" s="39">
        <f>(VLOOKUP($A213,'The List'!$B1:$AH727,28,FALSE)-AVERAGE('The List'!AC2:AC727))/STDEV('The List'!AC2:AC727)</f>
        <v>-1.0807118458592022</v>
      </c>
      <c r="Q213" s="39">
        <f>(VLOOKUP($A213,'The List'!$B1:$AH727,29,FALSE)-AVERAGE('The List'!AD2:AD727))/STDEV('The List'!AD2:AD727)</f>
        <v>-0.5344778828902379</v>
      </c>
      <c r="R213" s="39">
        <f>(VLOOKUP($A213,'The List'!$B1:$AH727,30,FALSE)-AVERAGE('The List'!AE2:AE727))/STDEV('The List'!AE2:AE727)</f>
        <v>-0.13914151930901272</v>
      </c>
      <c r="S213" s="39">
        <f>(VLOOKUP($A213,'The List'!$B1:$AH727,31,FALSE)-AVERAGE('The List'!AF2:AF727))/STDEV('The List'!AF2:AF727)</f>
        <v>0.86564222634153409</v>
      </c>
      <c r="T213" s="39">
        <f>(VLOOKUP($A213,'The List'!$B1:$AH727,32,FALSE)-AVERAGE('The List'!AG2:AG727))/STDEV('The List'!AG2:AG727)</f>
        <v>1.0483329474749641</v>
      </c>
      <c r="U213" s="39">
        <f>(VLOOKUP($A213,'The List'!$B1:$AH727,33,FALSE)-AVERAGE('The List'!AH2:AH727))/STDEV('The List'!AH2:AH727)</f>
        <v>0.90989421121029646</v>
      </c>
      <c r="V213" s="39"/>
      <c r="W213" s="43"/>
      <c r="X213" s="41"/>
      <c r="Y213" s="41"/>
      <c r="Z213" s="41"/>
      <c r="AA213" s="41"/>
      <c r="AB213" s="41"/>
      <c r="AC213" s="44"/>
      <c r="AD213" s="45"/>
      <c r="AE213" s="39"/>
    </row>
    <row r="214" spans="1:31" ht="21.25" customHeight="1" x14ac:dyDescent="0.15">
      <c r="A214" s="8" t="s">
        <v>435</v>
      </c>
      <c r="B214" s="35" t="str">
        <f>VLOOKUP(A214,'Player Data'!A1:B734,2,FALSE)</f>
        <v>CGY</v>
      </c>
      <c r="C214" s="37">
        <f>((E214)*Settings!$C$12)+(F214*Settings!$C$2)+(G214*Settings!$C$3)+(H214*Settings!$C$4)+(I214*Settings!$C$5)+(K214*Settings!$C$9)+(N214*Settings!$C$6)+(J214*Settings!$C$8)+(O214*Settings!$C$7)+(P214*Settings!$C$14)+(Q214*Settings!$C$15)+(R214*Settings!$C$16)+(S214*Settings!$C$17)+(T214*Settings!$C$18)+(U214*Settings!$C$19)</f>
        <v>4.912832474059943E-2</v>
      </c>
      <c r="D214" s="41">
        <f>IF(Settings!$E$12="YES",VLOOKUP(A214,'Player Data'!A1:E734,5,FALSE),82)</f>
        <v>80.599999999999994</v>
      </c>
      <c r="E214" s="39">
        <f>(VLOOKUP($A214,'The List'!$B1:$AH727,17,FALSE)-AVERAGE('The List'!R2:R727))/STDEV('The List'!R2:R727)</f>
        <v>-0.22774081624355308</v>
      </c>
      <c r="F214" s="39">
        <f>(VLOOKUP($A214,'The List'!$B1:$AH727,18,FALSE)-AVERAGE('The List'!S2:S727))/STDEV('The List'!S2:S727)</f>
        <v>0.64030408177412934</v>
      </c>
      <c r="G214" s="39">
        <f>(VLOOKUP($A214,'The List'!$B1:$AH727,19,FALSE)-AVERAGE('The List'!T2:T727))/STDEV('The List'!T2:T727)</f>
        <v>0.10128718308809348</v>
      </c>
      <c r="H214" s="39">
        <f>(VLOOKUP($A214,'The List'!$B1:$AH727,20,FALSE)-AVERAGE('The List'!U2:U727))/STDEV('The List'!U2:U727)</f>
        <v>0.35379251996859717</v>
      </c>
      <c r="I214" s="39">
        <f>(VLOOKUP($A214,'The List'!$B1:$AH727,21,FALSE)-AVERAGE('The List'!V2:V727))/STDEV('The List'!V2:V727)</f>
        <v>0.40945575255427002</v>
      </c>
      <c r="J214" s="39">
        <f>(VLOOKUP($A214,'The List'!$B1:$AH727,22,FALSE)-AVERAGE('The List'!W2:W727))/STDEV('The List'!W2:W727)</f>
        <v>-0.12240297940884119</v>
      </c>
      <c r="K214" s="39">
        <f>(VLOOKUP($A214,'The List'!$B1:$AH727,23,FALSE)-AVERAGE('The List'!X2:X727))/STDEV('The List'!X2:X727)</f>
        <v>-0.27043706980068632</v>
      </c>
      <c r="L214" s="39">
        <f>(VLOOKUP($A214,'The List'!$B1:$AH727,24,FALSE)-AVERAGE('The List'!Y2:Y727))/STDEV('The List'!Y2:Y727)</f>
        <v>2.2824760769694321</v>
      </c>
      <c r="M214" s="39">
        <f>(VLOOKUP($A214,'The List'!$B1:$AH727,25,FALSE)-AVERAGE('The List'!Z2:Z727))/STDEV('The List'!Z2:Z727)</f>
        <v>1.4914022814982546</v>
      </c>
      <c r="N214" s="39">
        <f>(VLOOKUP($A214,'The List'!$B1:$AH727,26,FALSE)-AVERAGE('The List'!AA2:AA727))/STDEV('The List'!AA2:AA727)</f>
        <v>-0.913528503432255</v>
      </c>
      <c r="O214" s="39">
        <f>(VLOOKUP($A214,'The List'!$B1:$AH727,27,FALSE)-AVERAGE('The List'!AB2:AB727))/STDEV('The List'!AB2:AB727)</f>
        <v>0.72198341708090696</v>
      </c>
      <c r="P214" s="39">
        <f>(VLOOKUP($A214,'The List'!$B1:$AH727,28,FALSE)-AVERAGE('The List'!AC2:AC727))/STDEV('The List'!AC2:AC727)</f>
        <v>8.2046880557047966E-2</v>
      </c>
      <c r="Q214" s="39">
        <f>(VLOOKUP($A214,'The List'!$B1:$AH727,29,FALSE)-AVERAGE('The List'!AD2:AD727))/STDEV('The List'!AD2:AD727)</f>
        <v>0.13434317694460921</v>
      </c>
      <c r="R214" s="39">
        <f>(VLOOKUP($A214,'The List'!$B1:$AH727,30,FALSE)-AVERAGE('The List'!AE2:AE727))/STDEV('The List'!AE2:AE727)</f>
        <v>0.91913935073407282</v>
      </c>
      <c r="S214" s="39">
        <f>(VLOOKUP($A214,'The List'!$B1:$AH727,31,FALSE)-AVERAGE('The List'!AF2:AF727))/STDEV('The List'!AF2:AF727)</f>
        <v>-0.29544039386888282</v>
      </c>
      <c r="T214" s="39">
        <f>(VLOOKUP($A214,'The List'!$B1:$AH727,32,FALSE)-AVERAGE('The List'!AG2:AG727))/STDEV('The List'!AG2:AG727)</f>
        <v>-0.29186099661115017</v>
      </c>
      <c r="U214" s="39">
        <f>(VLOOKUP($A214,'The List'!$B1:$AH727,33,FALSE)-AVERAGE('The List'!AH2:AH727))/STDEV('The List'!AH2:AH727)</f>
        <v>0.88922967385762552</v>
      </c>
      <c r="V214" s="39"/>
      <c r="W214" s="41"/>
      <c r="X214" s="39"/>
      <c r="Y214" s="39"/>
      <c r="Z214" s="39"/>
      <c r="AA214" s="39"/>
      <c r="AB214" s="39"/>
      <c r="AC214" s="39"/>
      <c r="AD214" s="39"/>
      <c r="AE214" s="39"/>
    </row>
    <row r="215" spans="1:31" ht="21.25" customHeight="1" x14ac:dyDescent="0.15">
      <c r="A215" s="8" t="s">
        <v>344</v>
      </c>
      <c r="B215" s="35" t="str">
        <f>VLOOKUP(A215,'Player Data'!A1:B734,2,FALSE)</f>
        <v>DET</v>
      </c>
      <c r="C215" s="37">
        <f>((E215)*Settings!$C$12)+(F215*Settings!$C$2)+(G215*Settings!$C$3)+(H215*Settings!$C$4)+(I215*Settings!$C$5)+(K215*Settings!$C$9)+(N215*Settings!$C$6)+(J215*Settings!$C$8)+(O215*Settings!$C$7)+(P215*Settings!$C$14)+(Q215*Settings!$C$15)+(R215*Settings!$C$16)+(S215*Settings!$C$17)+(T215*Settings!$C$18)+(U215*Settings!$C$19)</f>
        <v>0.33179983883495234</v>
      </c>
      <c r="D215" s="41">
        <f>IF(Settings!$E$12="YES",VLOOKUP(A215,'Player Data'!A1:E734,5,FALSE),82)</f>
        <v>74.527500000000003</v>
      </c>
      <c r="E215" s="39">
        <f>(VLOOKUP($A215,'The List'!$B1:$AH727,17,FALSE)-AVERAGE('The List'!R2:R727))/STDEV('The List'!R2:R727)</f>
        <v>-1.010065691209231</v>
      </c>
      <c r="F215" s="39">
        <f>(VLOOKUP($A215,'The List'!$B1:$AH727,18,FALSE)-AVERAGE('The List'!S2:S727))/STDEV('The List'!S2:S727)</f>
        <v>0.70441394144390623</v>
      </c>
      <c r="G215" s="39">
        <f>(VLOOKUP($A215,'The List'!$B1:$AH727,19,FALSE)-AVERAGE('The List'!T2:T727))/STDEV('The List'!T2:T727)</f>
        <v>-0.18833557086695593</v>
      </c>
      <c r="H215" s="39">
        <f>(VLOOKUP($A215,'The List'!$B1:$AH727,20,FALSE)-AVERAGE('The List'!U2:U727))/STDEV('The List'!U2:U727)</f>
        <v>0.2044983100670747</v>
      </c>
      <c r="I215" s="39">
        <f>(VLOOKUP($A215,'The List'!$B1:$AH727,21,FALSE)-AVERAGE('The List'!V2:V727))/STDEV('The List'!V2:V727)</f>
        <v>0.58550443107108296</v>
      </c>
      <c r="J215" s="39">
        <f>(VLOOKUP($A215,'The List'!$B1:$AH727,22,FALSE)-AVERAGE('The List'!W2:W727))/STDEV('The List'!W2:W727)</f>
        <v>0.418604531067574</v>
      </c>
      <c r="K215" s="39">
        <f>(VLOOKUP($A215,'The List'!$B1:$AH727,23,FALSE)-AVERAGE('The List'!X2:X727))/STDEV('The List'!X2:X727)</f>
        <v>0.15035493919833093</v>
      </c>
      <c r="L215" s="39">
        <f>(VLOOKUP($A215,'The List'!$B1:$AH727,24,FALSE)-AVERAGE('The List'!Y2:Y727))/STDEV('The List'!Y2:Y727)</f>
        <v>-0.54169861549294229</v>
      </c>
      <c r="M215" s="39">
        <f>(VLOOKUP($A215,'The List'!$B1:$AH727,25,FALSE)-AVERAGE('The List'!Z2:Z727))/STDEV('The List'!Z2:Z727)</f>
        <v>-0.72111140850736954</v>
      </c>
      <c r="N215" s="39">
        <f>(VLOOKUP($A215,'The List'!$B1:$AH727,26,FALSE)-AVERAGE('The List'!AA2:AA727))/STDEV('The List'!AA2:AA727)</f>
        <v>-0.98050144696776698</v>
      </c>
      <c r="O215" s="39">
        <f>(VLOOKUP($A215,'The List'!$B1:$AH727,27,FALSE)-AVERAGE('The List'!AB2:AB727))/STDEV('The List'!AB2:AB727)</f>
        <v>-0.78153602532796596</v>
      </c>
      <c r="P215" s="39">
        <f>(VLOOKUP($A215,'The List'!$B1:$AH727,28,FALSE)-AVERAGE('The List'!AC2:AC727))/STDEV('The List'!AC2:AC727)</f>
        <v>6.0363544956354959E-2</v>
      </c>
      <c r="Q215" s="39">
        <f>(VLOOKUP($A215,'The List'!$B1:$AH727,29,FALSE)-AVERAGE('The List'!AD2:AD727))/STDEV('The List'!AD2:AD727)</f>
        <v>-0.9526565340071288</v>
      </c>
      <c r="R215" s="39">
        <f>(VLOOKUP($A215,'The List'!$B1:$AH727,30,FALSE)-AVERAGE('The List'!AE2:AE727))/STDEV('The List'!AE2:AE727)</f>
        <v>0.49323701397518077</v>
      </c>
      <c r="S215" s="39">
        <f>(VLOOKUP($A215,'The List'!$B1:$AH727,31,FALSE)-AVERAGE('The List'!AF2:AF727))/STDEV('The List'!AF2:AF727)</f>
        <v>-0.54921951590500329</v>
      </c>
      <c r="T215" s="39">
        <f>(VLOOKUP($A215,'The List'!$B1:$AH727,32,FALSE)-AVERAGE('The List'!AG2:AG727))/STDEV('The List'!AG2:AG727)</f>
        <v>-0.57532442170992892</v>
      </c>
      <c r="U215" s="39">
        <f>(VLOOKUP($A215,'The List'!$B1:$AH727,33,FALSE)-AVERAGE('The List'!AH2:AH727))/STDEV('The List'!AH2:AH727)</f>
        <v>-6.9571411127980529E-2</v>
      </c>
      <c r="V215" s="39"/>
      <c r="W215" s="43"/>
      <c r="X215" s="41"/>
      <c r="Y215" s="41"/>
      <c r="Z215" s="41"/>
      <c r="AA215" s="41"/>
      <c r="AB215" s="41"/>
      <c r="AC215" s="44"/>
      <c r="AD215" s="45"/>
      <c r="AE215" s="39"/>
    </row>
    <row r="216" spans="1:31" ht="21.25" customHeight="1" x14ac:dyDescent="0.15">
      <c r="A216" s="8" t="s">
        <v>456</v>
      </c>
      <c r="B216" s="35" t="str">
        <f>VLOOKUP(A216,'Player Data'!A1:B734,2,FALSE)</f>
        <v>TOR</v>
      </c>
      <c r="C216" s="37">
        <f>((E216)*Settings!$C$12)+(F216*Settings!$C$2)+(G216*Settings!$C$3)+(H216*Settings!$C$4)+(I216*Settings!$C$5)+(K216*Settings!$C$9)+(N216*Settings!$C$6)+(J216*Settings!$C$8)+(O216*Settings!$C$7)+(P216*Settings!$C$14)+(Q216*Settings!$C$15)+(R216*Settings!$C$16)+(S216*Settings!$C$17)+(T216*Settings!$C$18)+(U216*Settings!$C$19)</f>
        <v>0.58251472966546847</v>
      </c>
      <c r="D216" s="41">
        <f>IF(Settings!$E$12="YES",VLOOKUP(A216,'Player Data'!A1:E734,5,FALSE),82)</f>
        <v>80.007142857142895</v>
      </c>
      <c r="E216" s="39">
        <f>(VLOOKUP($A216,'The List'!$B1:$AH727,17,FALSE)-AVERAGE('The List'!R2:R727))/STDEV('The List'!R2:R727)</f>
        <v>-0.44879143431886548</v>
      </c>
      <c r="F216" s="39">
        <f>(VLOOKUP($A216,'The List'!$B1:$AH727,18,FALSE)-AVERAGE('The List'!S2:S727))/STDEV('The List'!S2:S727)</f>
        <v>0.156952028320515</v>
      </c>
      <c r="G216" s="39">
        <f>(VLOOKUP($A216,'The List'!$B1:$AH727,19,FALSE)-AVERAGE('The List'!T2:T727))/STDEV('The List'!T2:T727)</f>
        <v>0.4295936231126431</v>
      </c>
      <c r="H216" s="39">
        <f>(VLOOKUP($A216,'The List'!$B1:$AH727,20,FALSE)-AVERAGE('The List'!U2:U727))/STDEV('The List'!U2:U727)</f>
        <v>0.33614254060160509</v>
      </c>
      <c r="I216" s="39">
        <f>(VLOOKUP($A216,'The List'!$B1:$AH727,21,FALSE)-AVERAGE('The List'!V2:V727))/STDEV('The List'!V2:V727)</f>
        <v>0.13817328209815635</v>
      </c>
      <c r="J216" s="39">
        <f>(VLOOKUP($A216,'The List'!$B1:$AH727,22,FALSE)-AVERAGE('The List'!W2:W727))/STDEV('The List'!W2:W727)</f>
        <v>0.11160742907540337</v>
      </c>
      <c r="K216" s="39">
        <f>(VLOOKUP($A216,'The List'!$B1:$AH727,23,FALSE)-AVERAGE('The List'!X2:X727))/STDEV('The List'!X2:X727)</f>
        <v>3.9307241310213938E-2</v>
      </c>
      <c r="L216" s="39">
        <f>(VLOOKUP($A216,'The List'!$B1:$AH727,24,FALSE)-AVERAGE('The List'!Y2:Y727))/STDEV('The List'!Y2:Y727)</f>
        <v>-0.52067325987477497</v>
      </c>
      <c r="M216" s="39">
        <f>(VLOOKUP($A216,'The List'!$B1:$AH727,25,FALSE)-AVERAGE('The List'!Z2:Z727))/STDEV('The List'!Z2:Z727)</f>
        <v>-0.6972622378633565</v>
      </c>
      <c r="N216" s="39">
        <f>(VLOOKUP($A216,'The List'!$B1:$AH727,26,FALSE)-AVERAGE('The List'!AA2:AA727))/STDEV('The List'!AA2:AA727)</f>
        <v>-0.9794779721057123</v>
      </c>
      <c r="O216" s="39">
        <f>(VLOOKUP($A216,'The List'!$B1:$AH727,27,FALSE)-AVERAGE('The List'!AB2:AB727))/STDEV('The List'!AB2:AB727)</f>
        <v>-1.3121377660439002</v>
      </c>
      <c r="P216" s="39">
        <f>(VLOOKUP($A216,'The List'!$B1:$AH727,28,FALSE)-AVERAGE('The List'!AC2:AC727))/STDEV('The List'!AC2:AC727)</f>
        <v>0.79796652692965242</v>
      </c>
      <c r="Q216" s="39">
        <f>(VLOOKUP($A216,'The List'!$B1:$AH727,29,FALSE)-AVERAGE('The List'!AD2:AD727))/STDEV('The List'!AD2:AD727)</f>
        <v>1.1657480024299662</v>
      </c>
      <c r="R216" s="39">
        <f>(VLOOKUP($A216,'The List'!$B1:$AH727,30,FALSE)-AVERAGE('The List'!AE2:AE727))/STDEV('The List'!AE2:AE727)</f>
        <v>0.33043618531097702</v>
      </c>
      <c r="S216" s="39">
        <f>(VLOOKUP($A216,'The List'!$B1:$AH727,31,FALSE)-AVERAGE('The List'!AF2:AF727))/STDEV('The List'!AF2:AF727)</f>
        <v>1.1635298809456667</v>
      </c>
      <c r="T216" s="39">
        <f>(VLOOKUP($A216,'The List'!$B1:$AH727,32,FALSE)-AVERAGE('The List'!AG2:AG727))/STDEV('The List'!AG2:AG727)</f>
        <v>1.1934327706057832</v>
      </c>
      <c r="U216" s="39">
        <f>(VLOOKUP($A216,'The List'!$B1:$AH727,33,FALSE)-AVERAGE('The List'!AH2:AH727))/STDEV('The List'!AH2:AH727)</f>
        <v>1.0292099995361308</v>
      </c>
      <c r="V216" s="39"/>
      <c r="W216" s="41"/>
      <c r="X216" s="39"/>
      <c r="Y216" s="39"/>
      <c r="Z216" s="39"/>
      <c r="AA216" s="39"/>
      <c r="AB216" s="39"/>
      <c r="AC216" s="39"/>
      <c r="AD216" s="39"/>
      <c r="AE216" s="39"/>
    </row>
    <row r="217" spans="1:31" ht="21.25" customHeight="1" x14ac:dyDescent="0.15">
      <c r="A217" s="8" t="s">
        <v>381</v>
      </c>
      <c r="B217" s="35" t="str">
        <f>VLOOKUP(A217,'Player Data'!A1:B734,2,FALSE)</f>
        <v>DET</v>
      </c>
      <c r="C217" s="37">
        <f>((E217)*Settings!$C$12)+(F217*Settings!$C$2)+(G217*Settings!$C$3)+(H217*Settings!$C$4)+(I217*Settings!$C$5)+(K217*Settings!$C$9)+(N217*Settings!$C$6)+(J217*Settings!$C$8)+(O217*Settings!$C$7)+(P217*Settings!$C$14)+(Q217*Settings!$C$15)+(R217*Settings!$C$16)+(S217*Settings!$C$17)+(T217*Settings!$C$18)+(U217*Settings!$C$19)</f>
        <v>0.57690831884901717</v>
      </c>
      <c r="D217" s="41">
        <f>IF(Settings!$E$12="YES",VLOOKUP(A217,'Player Data'!A1:E734,5,FALSE),82)</f>
        <v>79.208571428571403</v>
      </c>
      <c r="E217" s="39">
        <f>(VLOOKUP($A217,'The List'!$B1:$AH727,17,FALSE)-AVERAGE('The List'!R2:R727))/STDEV('The List'!R2:R727)</f>
        <v>0.49073249605380653</v>
      </c>
      <c r="F217" s="39">
        <f>(VLOOKUP($A217,'The List'!$B1:$AH727,18,FALSE)-AVERAGE('The List'!S2:S727))/STDEV('The List'!S2:S727)</f>
        <v>0.37409084230345468</v>
      </c>
      <c r="G217" s="39">
        <f>(VLOOKUP($A217,'The List'!$B1:$AH727,19,FALSE)-AVERAGE('The List'!T2:T727))/STDEV('The List'!T2:T727)</f>
        <v>0.23027737030357195</v>
      </c>
      <c r="H217" s="39">
        <f>(VLOOKUP($A217,'The List'!$B1:$AH727,20,FALSE)-AVERAGE('The List'!U2:U727))/STDEV('The List'!U2:U727)</f>
        <v>0.31213377844915058</v>
      </c>
      <c r="I217" s="39">
        <f>(VLOOKUP($A217,'The List'!$B1:$AH727,21,FALSE)-AVERAGE('The List'!V2:V727))/STDEV('The List'!V2:V727)</f>
        <v>-1.1849622820092789E-2</v>
      </c>
      <c r="J217" s="39">
        <f>(VLOOKUP($A217,'The List'!$B1:$AH727,22,FALSE)-AVERAGE('The List'!W2:W727))/STDEV('The List'!W2:W727)</f>
        <v>0.13696326025015695</v>
      </c>
      <c r="K217" s="39">
        <f>(VLOOKUP($A217,'The List'!$B1:$AH727,23,FALSE)-AVERAGE('The List'!X2:X727))/STDEV('The List'!X2:X727)</f>
        <v>-3.1212707276132595E-2</v>
      </c>
      <c r="L217" s="39">
        <f>(VLOOKUP($A217,'The List'!$B1:$AH727,24,FALSE)-AVERAGE('The List'!Y2:Y727))/STDEV('The List'!Y2:Y727)</f>
        <v>0.1932928961435014</v>
      </c>
      <c r="M217" s="39">
        <f>(VLOOKUP($A217,'The List'!$B1:$AH727,25,FALSE)-AVERAGE('The List'!Z2:Z727))/STDEV('The List'!Z2:Z727)</f>
        <v>-0.16689200224255685</v>
      </c>
      <c r="N217" s="39">
        <f>(VLOOKUP($A217,'The List'!$B1:$AH727,26,FALSE)-AVERAGE('The List'!AA2:AA727))/STDEV('The List'!AA2:AA727)</f>
        <v>0.29413188648487637</v>
      </c>
      <c r="O217" s="39">
        <f>(VLOOKUP($A217,'The List'!$B1:$AH727,27,FALSE)-AVERAGE('The List'!AB2:AB727))/STDEV('The List'!AB2:AB727)</f>
        <v>-1.0814394349104532</v>
      </c>
      <c r="P217" s="39">
        <f>(VLOOKUP($A217,'The List'!$B1:$AH727,28,FALSE)-AVERAGE('The List'!AC2:AC727))/STDEV('The List'!AC2:AC727)</f>
        <v>-0.27852945014666036</v>
      </c>
      <c r="Q217" s="39">
        <f>(VLOOKUP($A217,'The List'!$B1:$AH727,29,FALSE)-AVERAGE('The List'!AD2:AD727))/STDEV('The List'!AD2:AD727)</f>
        <v>4.9796516493194484E-2</v>
      </c>
      <c r="R217" s="39">
        <f>(VLOOKUP($A217,'The List'!$B1:$AH727,30,FALSE)-AVERAGE('The List'!AE2:AE727))/STDEV('The List'!AE2:AE727)</f>
        <v>0.21465024486972448</v>
      </c>
      <c r="S217" s="39">
        <f>(VLOOKUP($A217,'The List'!$B1:$AH727,31,FALSE)-AVERAGE('The List'!AF2:AF727))/STDEV('The List'!AF2:AF727)</f>
        <v>2.6786047072986561</v>
      </c>
      <c r="T217" s="39">
        <f>(VLOOKUP($A217,'The List'!$B1:$AH727,32,FALSE)-AVERAGE('The List'!AG2:AG727))/STDEV('The List'!AG2:AG727)</f>
        <v>2.9084901273101611</v>
      </c>
      <c r="U217" s="39">
        <f>(VLOOKUP($A217,'The List'!$B1:$AH727,33,FALSE)-AVERAGE('The List'!AH2:AH727))/STDEV('The List'!AH2:AH727)</f>
        <v>0.98489099498123167</v>
      </c>
      <c r="V217" s="39"/>
      <c r="W217" s="43"/>
      <c r="X217" s="41"/>
      <c r="Y217" s="41"/>
      <c r="Z217" s="41"/>
      <c r="AA217" s="41"/>
      <c r="AB217" s="41"/>
      <c r="AC217" s="44"/>
      <c r="AD217" s="45"/>
      <c r="AE217" s="39"/>
    </row>
    <row r="218" spans="1:31" ht="21.25" customHeight="1" x14ac:dyDescent="0.15">
      <c r="A218" s="8" t="s">
        <v>566</v>
      </c>
      <c r="B218" s="35" t="str">
        <f>VLOOKUP(A218,'Player Data'!A1:B734,2,FALSE)</f>
        <v>NSH</v>
      </c>
      <c r="C218" s="37">
        <f>((E218)*Settings!$C$12)+(F218*Settings!$C$2)+(G218*Settings!$C$3)+(H218*Settings!$C$4)+(I218*Settings!$C$5)+(K218*Settings!$C$9)+(N218*Settings!$C$6)+(J218*Settings!$C$8)+(O218*Settings!$C$7)+(P218*Settings!$C$14)+(Q218*Settings!$C$15)+(R218*Settings!$C$16)+(S218*Settings!$C$17)+(T218*Settings!$C$18)+(U218*Settings!$C$19)</f>
        <v>-1.1609812609375858</v>
      </c>
      <c r="D218" s="41">
        <f>IF(Settings!$E$12="YES",VLOOKUP(A218,'Player Data'!A1:E734,5,FALSE),82)</f>
        <v>71.599999999999994</v>
      </c>
      <c r="E218" s="39">
        <f>(VLOOKUP($A218,'The List'!$B1:$AH727,17,FALSE)-AVERAGE('The List'!R2:R727))/STDEV('The List'!R2:R727)</f>
        <v>-0.6316675726231481</v>
      </c>
      <c r="F218" s="39">
        <f>(VLOOKUP($A218,'The List'!$B1:$AH727,18,FALSE)-AVERAGE('The List'!S2:S727))/STDEV('The List'!S2:S727)</f>
        <v>-0.10851966313158996</v>
      </c>
      <c r="G218" s="39">
        <f>(VLOOKUP($A218,'The List'!$B1:$AH727,19,FALSE)-AVERAGE('The List'!T2:T727))/STDEV('The List'!T2:T727)</f>
        <v>0.28625664816732838</v>
      </c>
      <c r="H218" s="39">
        <f>(VLOOKUP($A218,'The List'!$B1:$AH727,20,FALSE)-AVERAGE('The List'!U2:U727))/STDEV('The List'!U2:U727)</f>
        <v>0.127010744941392</v>
      </c>
      <c r="I218" s="39">
        <f>(VLOOKUP($A218,'The List'!$B1:$AH727,21,FALSE)-AVERAGE('The List'!V2:V727))/STDEV('The List'!V2:V727)</f>
        <v>-0.70018337303056599</v>
      </c>
      <c r="J218" s="39">
        <f>(VLOOKUP($A218,'The List'!$B1:$AH727,22,FALSE)-AVERAGE('The List'!W2:W727))/STDEV('The List'!W2:W727)</f>
        <v>-0.12237471891612361</v>
      </c>
      <c r="K218" s="39">
        <f>(VLOOKUP($A218,'The List'!$B1:$AH727,23,FALSE)-AVERAGE('The List'!X2:X727))/STDEV('The List'!X2:X727)</f>
        <v>0.25365354368929477</v>
      </c>
      <c r="L218" s="39">
        <f>(VLOOKUP($A218,'The List'!$B1:$AH727,24,FALSE)-AVERAGE('The List'!Y2:Y727))/STDEV('The List'!Y2:Y727)</f>
        <v>-0.51525705092822083</v>
      </c>
      <c r="M218" s="39">
        <f>(VLOOKUP($A218,'The List'!$B1:$AH727,25,FALSE)-AVERAGE('The List'!Z2:Z727))/STDEV('The List'!Z2:Z727)</f>
        <v>-0.69226761406007253</v>
      </c>
      <c r="N218" s="39">
        <f>(VLOOKUP($A218,'The List'!$B1:$AH727,26,FALSE)-AVERAGE('The List'!AA2:AA727))/STDEV('The List'!AA2:AA727)</f>
        <v>-0.75934154275185861</v>
      </c>
      <c r="O218" s="39">
        <f>(VLOOKUP($A218,'The List'!$B1:$AH727,27,FALSE)-AVERAGE('The List'!AB2:AB727))/STDEV('The List'!AB2:AB727)</f>
        <v>0.37026949511469714</v>
      </c>
      <c r="P218" s="39">
        <f>(VLOOKUP($A218,'The List'!$B1:$AH727,28,FALSE)-AVERAGE('The List'!AC2:AC727))/STDEV('The List'!AC2:AC727)</f>
        <v>-0.13284687388019434</v>
      </c>
      <c r="Q218" s="39">
        <f>(VLOOKUP($A218,'The List'!$B1:$AH727,29,FALSE)-AVERAGE('The List'!AD2:AD727))/STDEV('The List'!AD2:AD727)</f>
        <v>-0.47507151629176109</v>
      </c>
      <c r="R218" s="39">
        <f>(VLOOKUP($A218,'The List'!$B1:$AH727,30,FALSE)-AVERAGE('The List'!AE2:AE727))/STDEV('The List'!AE2:AE727)</f>
        <v>-6.1388422944975138E-2</v>
      </c>
      <c r="S218" s="39">
        <f>(VLOOKUP($A218,'The List'!$B1:$AH727,31,FALSE)-AVERAGE('The List'!AF2:AF727))/STDEV('The List'!AF2:AF727)</f>
        <v>0.63818370702827432</v>
      </c>
      <c r="T218" s="39">
        <f>(VLOOKUP($A218,'The List'!$B1:$AH727,32,FALSE)-AVERAGE('The List'!AG2:AG727))/STDEV('The List'!AG2:AG727)</f>
        <v>0.66464026119568065</v>
      </c>
      <c r="U218" s="39">
        <f>(VLOOKUP($A218,'The List'!$B1:$AH727,33,FALSE)-AVERAGE('The List'!AH2:AH727))/STDEV('The List'!AH2:AH727)</f>
        <v>1.0120861037940332</v>
      </c>
      <c r="V218" s="39"/>
      <c r="W218" s="41"/>
      <c r="X218" s="39"/>
      <c r="Y218" s="39"/>
      <c r="Z218" s="39"/>
      <c r="AA218" s="39"/>
      <c r="AB218" s="39"/>
      <c r="AC218" s="39"/>
      <c r="AD218" s="39"/>
      <c r="AE218" s="39"/>
    </row>
    <row r="219" spans="1:31" ht="21.25" customHeight="1" x14ac:dyDescent="0.15">
      <c r="A219" s="8" t="s">
        <v>445</v>
      </c>
      <c r="B219" s="35" t="str">
        <f>VLOOKUP(A219,'Player Data'!A1:B734,2,FALSE)</f>
        <v>TBL</v>
      </c>
      <c r="C219" s="37">
        <f>((E219)*Settings!$C$12)+(F219*Settings!$C$2)+(G219*Settings!$C$3)+(H219*Settings!$C$4)+(I219*Settings!$C$5)+(K219*Settings!$C$9)+(N219*Settings!$C$6)+(J219*Settings!$C$8)+(O219*Settings!$C$7)+(P219*Settings!$C$14)+(Q219*Settings!$C$15)+(R219*Settings!$C$16)+(S219*Settings!$C$17)+(T219*Settings!$C$18)+(U219*Settings!$C$19)</f>
        <v>0.58483443368263888</v>
      </c>
      <c r="D219" s="41">
        <f>IF(Settings!$E$12="YES",VLOOKUP(A219,'Player Data'!A1:E734,5,FALSE),82)</f>
        <v>76.066428571428602</v>
      </c>
      <c r="E219" s="39">
        <f>(VLOOKUP($A219,'The List'!$B1:$AH727,17,FALSE)-AVERAGE('The List'!R2:R727))/STDEV('The List'!R2:R727)</f>
        <v>0.2287041891149377</v>
      </c>
      <c r="F219" s="39">
        <f>(VLOOKUP($A219,'The List'!$B1:$AH727,18,FALSE)-AVERAGE('The List'!S2:S727))/STDEV('The List'!S2:S727)</f>
        <v>0.29731571005542812</v>
      </c>
      <c r="G219" s="39">
        <f>(VLOOKUP($A219,'The List'!$B1:$AH727,19,FALSE)-AVERAGE('The List'!T2:T727))/STDEV('The List'!T2:T727)</f>
        <v>0.15202040912971343</v>
      </c>
      <c r="H219" s="39">
        <f>(VLOOKUP($A219,'The List'!$B1:$AH727,20,FALSE)-AVERAGE('The List'!U2:U727))/STDEV('The List'!U2:U727)</f>
        <v>0.22897362890829806</v>
      </c>
      <c r="I219" s="39">
        <f>(VLOOKUP($A219,'The List'!$B1:$AH727,21,FALSE)-AVERAGE('The List'!V2:V727))/STDEV('The List'!V2:V727)</f>
        <v>0.2222224815804342</v>
      </c>
      <c r="J219" s="39">
        <f>(VLOOKUP($A219,'The List'!$B1:$AH727,22,FALSE)-AVERAGE('The List'!W2:W727))/STDEV('The List'!W2:W727)</f>
        <v>-5.2420591384925296E-2</v>
      </c>
      <c r="K219" s="39">
        <f>(VLOOKUP($A219,'The List'!$B1:$AH727,23,FALSE)-AVERAGE('The List'!X2:X727))/STDEV('The List'!X2:X727)</f>
        <v>-0.1481017456142053</v>
      </c>
      <c r="L219" s="39">
        <f>(VLOOKUP($A219,'The List'!$B1:$AH727,24,FALSE)-AVERAGE('The List'!Y2:Y727))/STDEV('The List'!Y2:Y727)</f>
        <v>3.1200994061046199</v>
      </c>
      <c r="M219" s="39">
        <f>(VLOOKUP($A219,'The List'!$B1:$AH727,25,FALSE)-AVERAGE('The List'!Z2:Z727))/STDEV('The List'!Z2:Z727)</f>
        <v>1.6491392827241276</v>
      </c>
      <c r="N219" s="39">
        <f>(VLOOKUP($A219,'The List'!$B1:$AH727,26,FALSE)-AVERAGE('The List'!AA2:AA727))/STDEV('The List'!AA2:AA727)</f>
        <v>6.1490104191113974E-3</v>
      </c>
      <c r="O219" s="39">
        <f>(VLOOKUP($A219,'The List'!$B1:$AH727,27,FALSE)-AVERAGE('The List'!AB2:AB727))/STDEV('The List'!AB2:AB727)</f>
        <v>-0.68034536475590945</v>
      </c>
      <c r="P219" s="39">
        <f>(VLOOKUP($A219,'The List'!$B1:$AH727,28,FALSE)-AVERAGE('The List'!AC2:AC727))/STDEV('The List'!AC2:AC727)</f>
        <v>5.522856811215706E-2</v>
      </c>
      <c r="Q219" s="39">
        <f>(VLOOKUP($A219,'The List'!$B1:$AH727,29,FALSE)-AVERAGE('The List'!AD2:AD727))/STDEV('The List'!AD2:AD727)</f>
        <v>0.2170777974799705</v>
      </c>
      <c r="R219" s="39">
        <f>(VLOOKUP($A219,'The List'!$B1:$AH727,30,FALSE)-AVERAGE('The List'!AE2:AE727))/STDEV('The List'!AE2:AE727)</f>
        <v>0.43460094563175988</v>
      </c>
      <c r="S219" s="39">
        <f>(VLOOKUP($A219,'The List'!$B1:$AH727,31,FALSE)-AVERAGE('The List'!AF2:AF727))/STDEV('The List'!AF2:AF727)</f>
        <v>1.9225252486440405</v>
      </c>
      <c r="T219" s="39">
        <f>(VLOOKUP($A219,'The List'!$B1:$AH727,32,FALSE)-AVERAGE('The List'!AG2:AG727))/STDEV('The List'!AG2:AG727)</f>
        <v>2.1397995621778443</v>
      </c>
      <c r="U219" s="39">
        <f>(VLOOKUP($A219,'The List'!$B1:$AH727,33,FALSE)-AVERAGE('The List'!AH2:AH727))/STDEV('The List'!AH2:AH727)</f>
        <v>0.96355266564798248</v>
      </c>
      <c r="V219" s="39"/>
      <c r="W219" s="41"/>
      <c r="X219" s="39"/>
      <c r="Y219" s="39"/>
      <c r="Z219" s="39"/>
      <c r="AA219" s="39"/>
      <c r="AB219" s="39"/>
      <c r="AC219" s="39"/>
      <c r="AD219" s="39"/>
      <c r="AE219" s="39"/>
    </row>
    <row r="220" spans="1:31" ht="21.25" customHeight="1" x14ac:dyDescent="0.15">
      <c r="A220" s="8" t="s">
        <v>474</v>
      </c>
      <c r="B220" s="35" t="str">
        <f>VLOOKUP(A220,'Player Data'!A1:B734,2,FALSE)</f>
        <v>PHI</v>
      </c>
      <c r="C220" s="37">
        <f>((E220)*Settings!$C$12)+(F220*Settings!$C$2)+(G220*Settings!$C$3)+(H220*Settings!$C$4)+(I220*Settings!$C$5)+(K220*Settings!$C$9)+(N220*Settings!$C$6)+(J220*Settings!$C$8)+(O220*Settings!$C$7)+(P220*Settings!$C$14)+(Q220*Settings!$C$15)+(R220*Settings!$C$16)+(S220*Settings!$C$17)+(T220*Settings!$C$18)+(U220*Settings!$C$19)</f>
        <v>-1.261151389249427</v>
      </c>
      <c r="D220" s="41">
        <f>IF(Settings!$E$12="YES",VLOOKUP(A220,'Player Data'!A1:E734,5,FALSE),82)</f>
        <v>75.44</v>
      </c>
      <c r="E220" s="39">
        <f>(VLOOKUP($A220,'The List'!$B1:$AH727,17,FALSE)-AVERAGE('The List'!R2:R727))/STDEV('The List'!R2:R727)</f>
        <v>-9.2285774873710799E-2</v>
      </c>
      <c r="F220" s="39">
        <f>(VLOOKUP($A220,'The List'!$B1:$AH727,18,FALSE)-AVERAGE('The List'!S2:S727))/STDEV('The List'!S2:S727)</f>
        <v>0.27835017436492504</v>
      </c>
      <c r="G220" s="39">
        <f>(VLOOKUP($A220,'The List'!$B1:$AH727,19,FALSE)-AVERAGE('The List'!T2:T727))/STDEV('The List'!T2:T727)</f>
        <v>0.13956617436460472</v>
      </c>
      <c r="H220" s="39">
        <f>(VLOOKUP($A220,'The List'!$B1:$AH727,20,FALSE)-AVERAGE('The List'!U2:U727))/STDEV('The List'!U2:U727)</f>
        <v>0.21266870923500544</v>
      </c>
      <c r="I220" s="39">
        <f>(VLOOKUP($A220,'The List'!$B1:$AH727,21,FALSE)-AVERAGE('The List'!V2:V727))/STDEV('The List'!V2:V727)</f>
        <v>0.18303732114169088</v>
      </c>
      <c r="J220" s="39">
        <f>(VLOOKUP($A220,'The List'!$B1:$AH727,22,FALSE)-AVERAGE('The List'!W2:W727))/STDEV('The List'!W2:W727)</f>
        <v>-0.21402275030695594</v>
      </c>
      <c r="K220" s="39">
        <f>(VLOOKUP($A220,'The List'!$B1:$AH727,23,FALSE)-AVERAGE('The List'!X2:X727))/STDEV('The List'!X2:X727)</f>
        <v>-0.18389250849045019</v>
      </c>
      <c r="L220" s="39">
        <f>(VLOOKUP($A220,'The List'!$B1:$AH727,24,FALSE)-AVERAGE('The List'!Y2:Y727))/STDEV('The List'!Y2:Y727)</f>
        <v>-0.41341320080201793</v>
      </c>
      <c r="M220" s="39">
        <f>(VLOOKUP($A220,'The List'!$B1:$AH727,25,FALSE)-AVERAGE('The List'!Z2:Z727))/STDEV('The List'!Z2:Z727)</f>
        <v>-0.5779252623691381</v>
      </c>
      <c r="N220" s="39">
        <f>(VLOOKUP($A220,'The List'!$B1:$AH727,26,FALSE)-AVERAGE('The List'!AA2:AA727))/STDEV('The List'!AA2:AA727)</f>
        <v>-0.33615008881448266</v>
      </c>
      <c r="O220" s="39">
        <f>(VLOOKUP($A220,'The List'!$B1:$AH727,27,FALSE)-AVERAGE('The List'!AB2:AB727))/STDEV('The List'!AB2:AB727)</f>
        <v>-0.33383854202373592</v>
      </c>
      <c r="P220" s="39">
        <f>(VLOOKUP($A220,'The List'!$B1:$AH727,28,FALSE)-AVERAGE('The List'!AC2:AC727))/STDEV('The List'!AC2:AC727)</f>
        <v>-1.3420624618157149</v>
      </c>
      <c r="Q220" s="39">
        <f>(VLOOKUP($A220,'The List'!$B1:$AH727,29,FALSE)-AVERAGE('The List'!AD2:AD727))/STDEV('The List'!AD2:AD727)</f>
        <v>-0.50934481610271987</v>
      </c>
      <c r="R220" s="39">
        <f>(VLOOKUP($A220,'The List'!$B1:$AH727,30,FALSE)-AVERAGE('The List'!AE2:AE727))/STDEV('The List'!AE2:AE727)</f>
        <v>1.511528423530438E-2</v>
      </c>
      <c r="S220" s="39">
        <f>(VLOOKUP($A220,'The List'!$B1:$AH727,31,FALSE)-AVERAGE('The List'!AF2:AF727))/STDEV('The List'!AF2:AF727)</f>
        <v>1.4208993107397807</v>
      </c>
      <c r="T220" s="39">
        <f>(VLOOKUP($A220,'The List'!$B1:$AH727,32,FALSE)-AVERAGE('The List'!AG2:AG727))/STDEV('The List'!AG2:AG727)</f>
        <v>1.7748292520059783</v>
      </c>
      <c r="U220" s="39">
        <f>(VLOOKUP($A220,'The List'!$B1:$AH727,33,FALSE)-AVERAGE('The List'!AH2:AH727))/STDEV('The List'!AH2:AH727)</f>
        <v>0.86993310622609388</v>
      </c>
      <c r="V220" s="39"/>
      <c r="W220" s="43"/>
      <c r="X220" s="41"/>
      <c r="Y220" s="41"/>
      <c r="Z220" s="41"/>
      <c r="AA220" s="41"/>
      <c r="AB220" s="41"/>
      <c r="AC220" s="44"/>
      <c r="AD220" s="45"/>
      <c r="AE220" s="39"/>
    </row>
    <row r="221" spans="1:31" ht="21.25" customHeight="1" x14ac:dyDescent="0.15">
      <c r="A221" s="8" t="s">
        <v>326</v>
      </c>
      <c r="B221" s="35" t="str">
        <f>VLOOKUP(A221,'Player Data'!A1:B734,2,FALSE)</f>
        <v>LAK</v>
      </c>
      <c r="C221" s="37">
        <f>((E221)*Settings!$C$12)+(F221*Settings!$C$2)+(G221*Settings!$C$3)+(H221*Settings!$C$4)+(I221*Settings!$C$5)+(K221*Settings!$C$9)+(N221*Settings!$C$6)+(J221*Settings!$C$8)+(O221*Settings!$C$7)+(P221*Settings!$C$14)+(Q221*Settings!$C$15)+(R221*Settings!$C$16)+(S221*Settings!$C$17)+(T221*Settings!$C$18)+(U221*Settings!$C$19)</f>
        <v>0.72714448525923137</v>
      </c>
      <c r="D221" s="41">
        <f>IF(Settings!$E$12="YES",VLOOKUP(A221,'Player Data'!A1:E734,5,FALSE),82)</f>
        <v>77.81</v>
      </c>
      <c r="E221" s="39">
        <f>(VLOOKUP($A221,'The List'!$B1:$AH727,17,FALSE)-AVERAGE('The List'!R2:R727))/STDEV('The List'!R2:R727)</f>
        <v>3.5923736023708935E-3</v>
      </c>
      <c r="F221" s="39">
        <f>(VLOOKUP($A221,'The List'!$B1:$AH727,18,FALSE)-AVERAGE('The List'!S2:S727))/STDEV('The List'!S2:S727)</f>
        <v>0.17473084121192006</v>
      </c>
      <c r="G221" s="39">
        <f>(VLOOKUP($A221,'The List'!$B1:$AH727,19,FALSE)-AVERAGE('The List'!T2:T727))/STDEV('The List'!T2:T727)</f>
        <v>0.27930807560958443</v>
      </c>
      <c r="H221" s="39">
        <f>(VLOOKUP($A221,'The List'!$B1:$AH727,20,FALSE)-AVERAGE('The List'!U2:U727))/STDEV('The List'!U2:U727)</f>
        <v>0.25162567481055098</v>
      </c>
      <c r="I221" s="39">
        <f>(VLOOKUP($A221,'The List'!$B1:$AH727,21,FALSE)-AVERAGE('The List'!V2:V727))/STDEV('The List'!V2:V727)</f>
        <v>1.0229885244601651</v>
      </c>
      <c r="J221" s="39">
        <f>(VLOOKUP($A221,'The List'!$B1:$AH727,22,FALSE)-AVERAGE('The List'!W2:W727))/STDEV('The List'!W2:W727)</f>
        <v>-5.2831719739752725E-3</v>
      </c>
      <c r="K221" s="39">
        <f>(VLOOKUP($A221,'The List'!$B1:$AH727,23,FALSE)-AVERAGE('The List'!X2:X727))/STDEV('The List'!X2:X727)</f>
        <v>-1.6295817136409364E-2</v>
      </c>
      <c r="L221" s="39">
        <f>(VLOOKUP($A221,'The List'!$B1:$AH727,24,FALSE)-AVERAGE('The List'!Y2:Y727))/STDEV('The List'!Y2:Y727)</f>
        <v>3.6384439726979112</v>
      </c>
      <c r="M221" s="39">
        <f>(VLOOKUP($A221,'The List'!$B1:$AH727,25,FALSE)-AVERAGE('The List'!Z2:Z727))/STDEV('The List'!Z2:Z727)</f>
        <v>2.8455081690526662</v>
      </c>
      <c r="N221" s="39">
        <f>(VLOOKUP($A221,'The List'!$B1:$AH727,26,FALSE)-AVERAGE('The List'!AA2:AA727))/STDEV('The List'!AA2:AA727)</f>
        <v>-0.72108377899396936</v>
      </c>
      <c r="O221" s="39">
        <f>(VLOOKUP($A221,'The List'!$B1:$AH727,27,FALSE)-AVERAGE('The List'!AB2:AB727))/STDEV('The List'!AB2:AB727)</f>
        <v>-0.33063165332042482</v>
      </c>
      <c r="P221" s="39">
        <f>(VLOOKUP($A221,'The List'!$B1:$AH727,28,FALSE)-AVERAGE('The List'!AC2:AC727))/STDEV('The List'!AC2:AC727)</f>
        <v>-1.2503359892059456E-2</v>
      </c>
      <c r="Q221" s="39">
        <f>(VLOOKUP($A221,'The List'!$B1:$AH727,29,FALSE)-AVERAGE('The List'!AD2:AD727))/STDEV('The List'!AD2:AD727)</f>
        <v>-0.57514531155169546</v>
      </c>
      <c r="R221" s="39">
        <f>(VLOOKUP($A221,'The List'!$B1:$AH727,30,FALSE)-AVERAGE('The List'!AE2:AE727))/STDEV('The List'!AE2:AE727)</f>
        <v>0.2321818491585009</v>
      </c>
      <c r="S221" s="39">
        <f>(VLOOKUP($A221,'The List'!$B1:$AH727,31,FALSE)-AVERAGE('The List'!AF2:AF727))/STDEV('The List'!AF2:AF727)</f>
        <v>-0.46676151162846918</v>
      </c>
      <c r="T221" s="39">
        <f>(VLOOKUP($A221,'The List'!$B1:$AH727,32,FALSE)-AVERAGE('The List'!AG2:AG727))/STDEV('The List'!AG2:AG727)</f>
        <v>-0.4442989357579209</v>
      </c>
      <c r="U221" s="39">
        <f>(VLOOKUP($A221,'The List'!$B1:$AH727,33,FALSE)-AVERAGE('The List'!AH2:AH727))/STDEV('The List'!AH2:AH727)</f>
        <v>0.4710382320554703</v>
      </c>
      <c r="V221" s="39"/>
      <c r="W221" s="41"/>
      <c r="X221" s="39"/>
      <c r="Y221" s="39"/>
      <c r="Z221" s="39"/>
      <c r="AA221" s="39"/>
      <c r="AB221" s="39"/>
      <c r="AC221" s="39"/>
      <c r="AD221" s="39"/>
      <c r="AE221" s="39"/>
    </row>
    <row r="222" spans="1:31" ht="21.25" customHeight="1" x14ac:dyDescent="0.15">
      <c r="A222" s="8" t="s">
        <v>303</v>
      </c>
      <c r="B222" s="35" t="str">
        <f>VLOOKUP(A222,'Player Data'!A1:B734,2,FALSE)</f>
        <v>FLA</v>
      </c>
      <c r="C222" s="37">
        <f>((E222)*Settings!$C$12)+(F222*Settings!$C$2)+(G222*Settings!$C$3)+(H222*Settings!$C$4)+(I222*Settings!$C$5)+(K222*Settings!$C$9)+(N222*Settings!$C$6)+(J222*Settings!$C$8)+(O222*Settings!$C$7)+(P222*Settings!$C$14)+(Q222*Settings!$C$15)+(R222*Settings!$C$16)+(S222*Settings!$C$17)+(T222*Settings!$C$18)+(U222*Settings!$C$19)</f>
        <v>1.0730746625503107</v>
      </c>
      <c r="D222" s="41">
        <f>IF(Settings!$E$12="YES",VLOOKUP(A222,'Player Data'!A1:E734,5,FALSE),82)</f>
        <v>62</v>
      </c>
      <c r="E222" s="39">
        <f>(VLOOKUP($A222,'The List'!$B1:$AH727,17,FALSE)-AVERAGE('The List'!R2:R727))/STDEV('The List'!R2:R727)</f>
        <v>1.3800644660715371</v>
      </c>
      <c r="F222" s="39">
        <f>(VLOOKUP($A222,'The List'!$B1:$AH727,18,FALSE)-AVERAGE('The List'!S2:S727))/STDEV('The List'!S2:S727)</f>
        <v>-0.24862145562294863</v>
      </c>
      <c r="G222" s="39">
        <f>(VLOOKUP($A222,'The List'!$B1:$AH727,19,FALSE)-AVERAGE('The List'!T2:T727))/STDEV('The List'!T2:T727)</f>
        <v>-2.2294518470707032E-2</v>
      </c>
      <c r="H222" s="39">
        <f>(VLOOKUP($A222,'The List'!$B1:$AH727,20,FALSE)-AVERAGE('The List'!U2:U727))/STDEV('The List'!U2:U727)</f>
        <v>-0.12687640770158981</v>
      </c>
      <c r="I222" s="39">
        <f>(VLOOKUP($A222,'The List'!$B1:$AH727,21,FALSE)-AVERAGE('The List'!V2:V727))/STDEV('The List'!V2:V727)</f>
        <v>0.3671791053725163</v>
      </c>
      <c r="J222" s="39">
        <f>(VLOOKUP($A222,'The List'!$B1:$AH727,22,FALSE)-AVERAGE('The List'!W2:W727))/STDEV('The List'!W2:W727)</f>
        <v>0.15360638479713951</v>
      </c>
      <c r="K222" s="39">
        <f>(VLOOKUP($A222,'The List'!$B1:$AH727,23,FALSE)-AVERAGE('The List'!X2:X727))/STDEV('The List'!X2:X727)</f>
        <v>0.18748200658981864</v>
      </c>
      <c r="L222" s="39">
        <f>(VLOOKUP($A222,'The List'!$B1:$AH727,24,FALSE)-AVERAGE('The List'!Y2:Y727))/STDEV('The List'!Y2:Y727)</f>
        <v>0.17598064484185616</v>
      </c>
      <c r="M222" s="39">
        <f>(VLOOKUP($A222,'The List'!$B1:$AH727,25,FALSE)-AVERAGE('The List'!Z2:Z727))/STDEV('The List'!Z2:Z727)</f>
        <v>0.54158879820346262</v>
      </c>
      <c r="N222" s="39">
        <f>(VLOOKUP($A222,'The List'!$B1:$AH727,26,FALSE)-AVERAGE('The List'!AA2:AA727))/STDEV('The List'!AA2:AA727)</f>
        <v>0.39133935228797001</v>
      </c>
      <c r="O222" s="39">
        <f>(VLOOKUP($A222,'The List'!$B1:$AH727,27,FALSE)-AVERAGE('The List'!AB2:AB727))/STDEV('The List'!AB2:AB727)</f>
        <v>-0.4683865454682995</v>
      </c>
      <c r="P222" s="39">
        <f>(VLOOKUP($A222,'The List'!$B1:$AH727,28,FALSE)-AVERAGE('The List'!AC2:AC727))/STDEV('The List'!AC2:AC727)</f>
        <v>0.3979901723936613</v>
      </c>
      <c r="Q222" s="39">
        <f>(VLOOKUP($A222,'The List'!$B1:$AH727,29,FALSE)-AVERAGE('The List'!AD2:AD727))/STDEV('The List'!AD2:AD727)</f>
        <v>0.51943212086780144</v>
      </c>
      <c r="R222" s="39">
        <f>(VLOOKUP($A222,'The List'!$B1:$AH727,30,FALSE)-AVERAGE('The List'!AE2:AE727))/STDEV('The List'!AE2:AE727)</f>
        <v>-0.21260274398610676</v>
      </c>
      <c r="S222" s="39">
        <f>(VLOOKUP($A222,'The List'!$B1:$AH727,31,FALSE)-AVERAGE('The List'!AF2:AF727))/STDEV('The List'!AF2:AF727)</f>
        <v>-0.55804314905918151</v>
      </c>
      <c r="T222" s="39">
        <f>(VLOOKUP($A222,'The List'!$B1:$AH727,32,FALSE)-AVERAGE('The List'!AG2:AG727))/STDEV('The List'!AG2:AG727)</f>
        <v>-0.60188453558131205</v>
      </c>
      <c r="U222" s="39">
        <f>(VLOOKUP($A222,'The List'!$B1:$AH727,33,FALSE)-AVERAGE('The List'!AH2:AH727))/STDEV('The List'!AH2:AH727)</f>
        <v>-1.2395873372913611</v>
      </c>
      <c r="V222" s="39"/>
      <c r="W222" s="41"/>
      <c r="X222" s="39"/>
      <c r="Y222" s="39"/>
      <c r="Z222" s="39"/>
      <c r="AA222" s="39"/>
      <c r="AB222" s="39"/>
      <c r="AC222" s="39"/>
      <c r="AD222" s="39"/>
      <c r="AE222" s="39"/>
    </row>
    <row r="223" spans="1:31" ht="21.25" customHeight="1" x14ac:dyDescent="0.15">
      <c r="A223" s="8" t="s">
        <v>461</v>
      </c>
      <c r="B223" s="35" t="str">
        <f>VLOOKUP(A223,'Player Data'!A1:B734,2,FALSE)</f>
        <v>MTL</v>
      </c>
      <c r="C223" s="37">
        <f>((E223)*Settings!$C$12)+(F223*Settings!$C$2)+(G223*Settings!$C$3)+(H223*Settings!$C$4)+(I223*Settings!$C$5)+(K223*Settings!$C$9)+(N223*Settings!$C$6)+(J223*Settings!$C$8)+(O223*Settings!$C$7)+(P223*Settings!$C$14)+(Q223*Settings!$C$15)+(R223*Settings!$C$16)+(S223*Settings!$C$17)+(T223*Settings!$C$18)+(U223*Settings!$C$19)</f>
        <v>-1.1892645857272219</v>
      </c>
      <c r="D223" s="41">
        <f>IF(Settings!$E$12="YES",VLOOKUP(A223,'Player Data'!A1:E734,5,FALSE),82)</f>
        <v>67.034999999999997</v>
      </c>
      <c r="E223" s="39">
        <f>(VLOOKUP($A223,'The List'!$B1:$AH727,17,FALSE)-AVERAGE('The List'!R2:R727))/STDEV('The List'!R2:R727)</f>
        <v>-0.25226911553454245</v>
      </c>
      <c r="F223" s="39">
        <f>(VLOOKUP($A223,'The List'!$B1:$AH727,18,FALSE)-AVERAGE('The List'!S2:S727))/STDEV('The List'!S2:S727)</f>
        <v>0.72771264603044072</v>
      </c>
      <c r="G223" s="39">
        <f>(VLOOKUP($A223,'The List'!$B1:$AH727,19,FALSE)-AVERAGE('The List'!T2:T727))/STDEV('The List'!T2:T727)</f>
        <v>-0.55744896517193243</v>
      </c>
      <c r="H223" s="39">
        <f>(VLOOKUP($A223,'The List'!$B1:$AH727,20,FALSE)-AVERAGE('The List'!U2:U727))/STDEV('The List'!U2:U727)</f>
        <v>-1.2350393738543982E-2</v>
      </c>
      <c r="I223" s="39">
        <f>(VLOOKUP($A223,'The List'!$B1:$AH727,21,FALSE)-AVERAGE('The List'!V2:V727))/STDEV('The List'!V2:V727)</f>
        <v>-0.38989292472676196</v>
      </c>
      <c r="J223" s="39">
        <f>(VLOOKUP($A223,'The List'!$B1:$AH727,22,FALSE)-AVERAGE('The List'!W2:W727))/STDEV('The List'!W2:W727)</f>
        <v>0.26766094194739071</v>
      </c>
      <c r="K223" s="39">
        <f>(VLOOKUP($A223,'The List'!$B1:$AH727,23,FALSE)-AVERAGE('The List'!X2:X727))/STDEV('The List'!X2:X727)</f>
        <v>-0.23990801359020289</v>
      </c>
      <c r="L223" s="39">
        <f>(VLOOKUP($A223,'The List'!$B1:$AH727,24,FALSE)-AVERAGE('The List'!Y2:Y727))/STDEV('The List'!Y2:Y727)</f>
        <v>1.3852535164665161</v>
      </c>
      <c r="M223" s="39">
        <f>(VLOOKUP($A223,'The List'!$B1:$AH727,25,FALSE)-AVERAGE('The List'!Z2:Z727))/STDEV('The List'!Z2:Z727)</f>
        <v>0.6484713607153364</v>
      </c>
      <c r="N223" s="39">
        <f>(VLOOKUP($A223,'The List'!$B1:$AH727,26,FALSE)-AVERAGE('The List'!AA2:AA727))/STDEV('The List'!AA2:AA727)</f>
        <v>0.51584332231839158</v>
      </c>
      <c r="O223" s="39">
        <f>(VLOOKUP($A223,'The List'!$B1:$AH727,27,FALSE)-AVERAGE('The List'!AB2:AB727))/STDEV('The List'!AB2:AB727)</f>
        <v>0.18708830639020757</v>
      </c>
      <c r="P223" s="39">
        <f>(VLOOKUP($A223,'The List'!$B1:$AH727,28,FALSE)-AVERAGE('The List'!AC2:AC727))/STDEV('The List'!AC2:AC727)</f>
        <v>-1.2455706505871571</v>
      </c>
      <c r="Q223" s="39">
        <f>(VLOOKUP($A223,'The List'!$B1:$AH727,29,FALSE)-AVERAGE('The List'!AD2:AD727))/STDEV('The List'!AD2:AD727)</f>
        <v>-0.70323167223013183</v>
      </c>
      <c r="R223" s="39">
        <f>(VLOOKUP($A223,'The List'!$B1:$AH727,30,FALSE)-AVERAGE('The List'!AE2:AE727))/STDEV('The List'!AE2:AE727)</f>
        <v>0.23896135587167711</v>
      </c>
      <c r="S223" s="39">
        <f>(VLOOKUP($A223,'The List'!$B1:$AH727,31,FALSE)-AVERAGE('The List'!AF2:AF727))/STDEV('The List'!AF2:AF727)</f>
        <v>-0.55804314905918151</v>
      </c>
      <c r="T223" s="39">
        <f>(VLOOKUP($A223,'The List'!$B1:$AH727,32,FALSE)-AVERAGE('The List'!AG2:AG727))/STDEV('The List'!AG2:AG727)</f>
        <v>-0.59098435966099871</v>
      </c>
      <c r="U223" s="39">
        <f>(VLOOKUP($A223,'The List'!$B1:$AH727,33,FALSE)-AVERAGE('The List'!AH2:AH727))/STDEV('The List'!AH2:AH727)</f>
        <v>-1.2395873372913611</v>
      </c>
      <c r="V223" s="39"/>
      <c r="W223" s="41"/>
      <c r="X223" s="41"/>
      <c r="Y223" s="41"/>
      <c r="Z223" s="41"/>
      <c r="AA223" s="41"/>
      <c r="AB223" s="41"/>
      <c r="AC223" s="44"/>
      <c r="AD223" s="45"/>
      <c r="AE223" s="39"/>
    </row>
    <row r="224" spans="1:31" ht="21.25" customHeight="1" x14ac:dyDescent="0.15">
      <c r="A224" s="8" t="s">
        <v>402</v>
      </c>
      <c r="B224" s="35" t="str">
        <f>VLOOKUP(A224,'Player Data'!A1:B734,2,FALSE)</f>
        <v>PHI</v>
      </c>
      <c r="C224" s="37">
        <f>((E224)*Settings!$C$12)+(F224*Settings!$C$2)+(G224*Settings!$C$3)+(H224*Settings!$C$4)+(I224*Settings!$C$5)+(K224*Settings!$C$9)+(N224*Settings!$C$6)+(J224*Settings!$C$8)+(O224*Settings!$C$7)+(P224*Settings!$C$14)+(Q224*Settings!$C$15)+(R224*Settings!$C$16)+(S224*Settings!$C$17)+(T224*Settings!$C$18)+(U224*Settings!$C$19)</f>
        <v>-0.733150344292538</v>
      </c>
      <c r="D224" s="41">
        <f>IF(Settings!$E$12="YES",VLOOKUP(A224,'Player Data'!A1:E734,5,FALSE),82)</f>
        <v>78.818214285714305</v>
      </c>
      <c r="E224" s="39">
        <f>(VLOOKUP($A224,'The List'!$B1:$AH727,17,FALSE)-AVERAGE('The List'!R2:R727))/STDEV('The List'!R2:R727)</f>
        <v>0.31871781206929373</v>
      </c>
      <c r="F224" s="39">
        <f>(VLOOKUP($A224,'The List'!$B1:$AH727,18,FALSE)-AVERAGE('The List'!S2:S727))/STDEV('The List'!S2:S727)</f>
        <v>0.36231708564238552</v>
      </c>
      <c r="G224" s="39">
        <f>(VLOOKUP($A224,'The List'!$B1:$AH727,19,FALSE)-AVERAGE('The List'!T2:T727))/STDEV('The List'!T2:T727)</f>
        <v>0.13494757098637786</v>
      </c>
      <c r="H224" s="39">
        <f>(VLOOKUP($A224,'The List'!$B1:$AH727,20,FALSE)-AVERAGE('The List'!U2:U727))/STDEV('The List'!U2:U727)</f>
        <v>0.24803288228029852</v>
      </c>
      <c r="I224" s="39">
        <f>(VLOOKUP($A224,'The List'!$B1:$AH727,21,FALSE)-AVERAGE('The List'!V2:V727))/STDEV('The List'!V2:V727)</f>
        <v>0.5034247533183388</v>
      </c>
      <c r="J224" s="39">
        <f>(VLOOKUP($A224,'The List'!$B1:$AH727,22,FALSE)-AVERAGE('The List'!W2:W727))/STDEV('The List'!W2:W727)</f>
        <v>0.32287096431645879</v>
      </c>
      <c r="K224" s="39">
        <f>(VLOOKUP($A224,'The List'!$B1:$AH727,23,FALSE)-AVERAGE('The List'!X2:X727))/STDEV('The List'!X2:X727)</f>
        <v>-4.0563677834928182E-2</v>
      </c>
      <c r="L224" s="39">
        <f>(VLOOKUP($A224,'The List'!$B1:$AH727,24,FALSE)-AVERAGE('The List'!Y2:Y727))/STDEV('The List'!Y2:Y727)</f>
        <v>3.6091235740886605</v>
      </c>
      <c r="M224" s="39">
        <f>(VLOOKUP($A224,'The List'!$B1:$AH727,25,FALSE)-AVERAGE('The List'!Z2:Z727))/STDEV('The List'!Z2:Z727)</f>
        <v>4.155274850875097</v>
      </c>
      <c r="N224" s="39">
        <f>(VLOOKUP($A224,'The List'!$B1:$AH727,26,FALSE)-AVERAGE('The List'!AA2:AA727))/STDEV('The List'!AA2:AA727)</f>
        <v>-0.127926151721165</v>
      </c>
      <c r="O224" s="39">
        <f>(VLOOKUP($A224,'The List'!$B1:$AH727,27,FALSE)-AVERAGE('The List'!AB2:AB727))/STDEV('The List'!AB2:AB727)</f>
        <v>1.3229520205765632</v>
      </c>
      <c r="P224" s="39">
        <f>(VLOOKUP($A224,'The List'!$B1:$AH727,28,FALSE)-AVERAGE('The List'!AC2:AC727))/STDEV('The List'!AC2:AC727)</f>
        <v>-1.5653499246835469</v>
      </c>
      <c r="Q224" s="39">
        <f>(VLOOKUP($A224,'The List'!$B1:$AH727,29,FALSE)-AVERAGE('The List'!AD2:AD727))/STDEV('The List'!AD2:AD727)</f>
        <v>0.705906564858508</v>
      </c>
      <c r="R224" s="39">
        <f>(VLOOKUP($A224,'The List'!$B1:$AH727,30,FALSE)-AVERAGE('The List'!AE2:AE727))/STDEV('The List'!AE2:AE727)</f>
        <v>7.9587383424302161E-2</v>
      </c>
      <c r="S224" s="39">
        <f>(VLOOKUP($A224,'The List'!$B1:$AH727,31,FALSE)-AVERAGE('The List'!AF2:AF727))/STDEV('The List'!AF2:AF727)</f>
        <v>1.8757426089343496</v>
      </c>
      <c r="T224" s="39">
        <f>(VLOOKUP($A224,'The List'!$B1:$AH727,32,FALSE)-AVERAGE('The List'!AG2:AG727))/STDEV('The List'!AG2:AG727)</f>
        <v>2.0848042974207202</v>
      </c>
      <c r="U224" s="39">
        <f>(VLOOKUP($A224,'The List'!$B1:$AH727,33,FALSE)-AVERAGE('The List'!AH2:AH727))/STDEV('The List'!AH2:AH727)</f>
        <v>0.96493328630570885</v>
      </c>
      <c r="V224" s="39"/>
      <c r="W224" s="43"/>
      <c r="X224" s="41"/>
      <c r="Y224" s="41"/>
      <c r="Z224" s="41"/>
      <c r="AA224" s="41"/>
      <c r="AB224" s="41"/>
      <c r="AC224" s="44"/>
      <c r="AD224" s="45"/>
      <c r="AE224" s="39"/>
    </row>
    <row r="225" spans="1:31" ht="21.25" customHeight="1" x14ac:dyDescent="0.15">
      <c r="A225" s="8" t="s">
        <v>594</v>
      </c>
      <c r="B225" s="35" t="str">
        <f>VLOOKUP(A225,'Player Data'!A1:B734,2,FALSE)</f>
        <v>BUF</v>
      </c>
      <c r="C225" s="37">
        <f>((E225)*Settings!$C$12)+(F225*Settings!$C$2)+(G225*Settings!$C$3)+(H225*Settings!$C$4)+(I225*Settings!$C$5)+(K225*Settings!$C$9)+(N225*Settings!$C$6)+(J225*Settings!$C$8)+(O225*Settings!$C$7)+(P225*Settings!$C$14)+(Q225*Settings!$C$15)+(R225*Settings!$C$16)+(S225*Settings!$C$17)+(T225*Settings!$C$18)+(U225*Settings!$C$19)</f>
        <v>-3.228583829259708</v>
      </c>
      <c r="D225" s="41">
        <f>IF(Settings!$E$12="YES",VLOOKUP(A225,'Player Data'!A1:E734,5,FALSE),82)</f>
        <v>50</v>
      </c>
      <c r="E225" s="39">
        <f>(VLOOKUP($A225,'The List'!$B1:$AH727,17,FALSE)-AVERAGE('The List'!R2:R727))/STDEV('The List'!R2:R727)</f>
        <v>-0.64753994944608284</v>
      </c>
      <c r="F225" s="39">
        <f>(VLOOKUP($A225,'The List'!$B1:$AH727,18,FALSE)-AVERAGE('The List'!S2:S727))/STDEV('The List'!S2:S727)</f>
        <v>-0.26989629906216783</v>
      </c>
      <c r="G225" s="39">
        <f>(VLOOKUP($A225,'The List'!$B1:$AH727,19,FALSE)-AVERAGE('The List'!T2:T727))/STDEV('The List'!T2:T727)</f>
        <v>-0.49439085705081937</v>
      </c>
      <c r="H225" s="39">
        <f>(VLOOKUP($A225,'The List'!$B1:$AH727,20,FALSE)-AVERAGE('The List'!U2:U727))/STDEV('The List'!U2:U727)</f>
        <v>-0.42746790363116932</v>
      </c>
      <c r="I225" s="39">
        <f>(VLOOKUP($A225,'The List'!$B1:$AH727,21,FALSE)-AVERAGE('The List'!V2:V727))/STDEV('The List'!V2:V727)</f>
        <v>-0.76207459631253993</v>
      </c>
      <c r="J225" s="39">
        <f>(VLOOKUP($A225,'The List'!$B1:$AH727,22,FALSE)-AVERAGE('The List'!W2:W727))/STDEV('The List'!W2:W727)</f>
        <v>-0.32225552117125505</v>
      </c>
      <c r="K225" s="39">
        <f>(VLOOKUP($A225,'The List'!$B1:$AH727,23,FALSE)-AVERAGE('The List'!X2:X727))/STDEV('The List'!X2:X727)</f>
        <v>-0.34913100646829809</v>
      </c>
      <c r="L225" s="39">
        <f>(VLOOKUP($A225,'The List'!$B1:$AH727,24,FALSE)-AVERAGE('The List'!Y2:Y727))/STDEV('The List'!Y2:Y727)</f>
        <v>-0.47700119056977475</v>
      </c>
      <c r="M225" s="39">
        <f>(VLOOKUP($A225,'The List'!$B1:$AH727,25,FALSE)-AVERAGE('The List'!Z2:Z727))/STDEV('The List'!Z2:Z727)</f>
        <v>-0.45625657423691351</v>
      </c>
      <c r="N225" s="39">
        <f>(VLOOKUP($A225,'The List'!$B1:$AH727,26,FALSE)-AVERAGE('The List'!AA2:AA727))/STDEV('The List'!AA2:AA727)</f>
        <v>-1.1333090026858765</v>
      </c>
      <c r="O225" s="39">
        <f>(VLOOKUP($A225,'The List'!$B1:$AH727,27,FALSE)-AVERAGE('The List'!AB2:AB727))/STDEV('The List'!AB2:AB727)</f>
        <v>-1.143440980028759</v>
      </c>
      <c r="P225" s="39">
        <f>(VLOOKUP($A225,'The List'!$B1:$AH727,28,FALSE)-AVERAGE('The List'!AC2:AC727))/STDEV('The List'!AC2:AC727)</f>
        <v>-0.21978206768000635</v>
      </c>
      <c r="Q225" s="39">
        <f>(VLOOKUP($A225,'The List'!$B1:$AH727,29,FALSE)-AVERAGE('The List'!AD2:AD727))/STDEV('The List'!AD2:AD727)</f>
        <v>-1.3100992474956172</v>
      </c>
      <c r="R225" s="39">
        <f>(VLOOKUP($A225,'The List'!$B1:$AH727,30,FALSE)-AVERAGE('The List'!AE2:AE727))/STDEV('The List'!AE2:AE727)</f>
        <v>-0.33009922939722941</v>
      </c>
      <c r="S225" s="39">
        <f>(VLOOKUP($A225,'The List'!$B1:$AH727,31,FALSE)-AVERAGE('The List'!AF2:AF727))/STDEV('The List'!AF2:AF727)</f>
        <v>-0.52243896600262651</v>
      </c>
      <c r="T225" s="39">
        <f>(VLOOKUP($A225,'The List'!$B1:$AH727,32,FALSE)-AVERAGE('The List'!AG2:AG727))/STDEV('The List'!AG2:AG727)</f>
        <v>-0.5243049763369938</v>
      </c>
      <c r="U225" s="39">
        <f>(VLOOKUP($A225,'The List'!$B1:$AH727,33,FALSE)-AVERAGE('The List'!AH2:AH727))/STDEV('The List'!AH2:AH727)</f>
        <v>0.23141896863207057</v>
      </c>
      <c r="V225" s="39"/>
      <c r="W225" s="43"/>
      <c r="X225" s="41"/>
      <c r="Y225" s="41"/>
      <c r="Z225" s="41"/>
      <c r="AA225" s="41"/>
      <c r="AB225" s="41"/>
      <c r="AC225" s="44"/>
      <c r="AD225" s="45"/>
      <c r="AE225" s="39"/>
    </row>
    <row r="226" spans="1:31" ht="21.25" customHeight="1" x14ac:dyDescent="0.15">
      <c r="A226" s="8" t="s">
        <v>414</v>
      </c>
      <c r="B226" s="35" t="str">
        <f>VLOOKUP(A226,'Player Data'!A1:B734,2,FALSE)</f>
        <v>NSH</v>
      </c>
      <c r="C226" s="37">
        <f>((E226)*Settings!$C$12)+(F226*Settings!$C$2)+(G226*Settings!$C$3)+(H226*Settings!$C$4)+(I226*Settings!$C$5)+(K226*Settings!$C$9)+(N226*Settings!$C$6)+(J226*Settings!$C$8)+(O226*Settings!$C$7)+(P226*Settings!$C$14)+(Q226*Settings!$C$15)+(R226*Settings!$C$16)+(S226*Settings!$C$17)+(T226*Settings!$C$18)+(U226*Settings!$C$19)</f>
        <v>-0.92926005214041241</v>
      </c>
      <c r="D226" s="41">
        <f>IF(Settings!$E$12="YES",VLOOKUP(A226,'Player Data'!A1:E734,5,FALSE),82)</f>
        <v>75.027500000000003</v>
      </c>
      <c r="E226" s="39">
        <f>(VLOOKUP($A226,'The List'!$B1:$AH727,17,FALSE)-AVERAGE('The List'!R2:R727))/STDEV('The List'!R2:R727)</f>
        <v>4.6912705317846061E-2</v>
      </c>
      <c r="F226" s="39">
        <f>(VLOOKUP($A226,'The List'!$B1:$AH727,18,FALSE)-AVERAGE('The List'!S2:S727))/STDEV('The List'!S2:S727)</f>
        <v>8.7411675011660098E-2</v>
      </c>
      <c r="G226" s="39">
        <f>(VLOOKUP($A226,'The List'!$B1:$AH727,19,FALSE)-AVERAGE('The List'!T2:T727))/STDEV('The List'!T2:T727)</f>
        <v>0.18964079632264086</v>
      </c>
      <c r="H226" s="39">
        <f>(VLOOKUP($A226,'The List'!$B1:$AH727,20,FALSE)-AVERAGE('The List'!U2:U727))/STDEV('The List'!U2:U727)</f>
        <v>0.15663618692751161</v>
      </c>
      <c r="I226" s="39">
        <f>(VLOOKUP($A226,'The List'!$B1:$AH727,21,FALSE)-AVERAGE('The List'!V2:V727))/STDEV('The List'!V2:V727)</f>
        <v>2.9674779810120015E-2</v>
      </c>
      <c r="J226" s="39">
        <f>(VLOOKUP($A226,'The List'!$B1:$AH727,22,FALSE)-AVERAGE('The List'!W2:W727))/STDEV('The List'!W2:W727)</f>
        <v>-0.21403042308406231</v>
      </c>
      <c r="K226" s="39">
        <f>(VLOOKUP($A226,'The List'!$B1:$AH727,23,FALSE)-AVERAGE('The List'!X2:X727))/STDEV('The List'!X2:X727)</f>
        <v>-0.25374980128566083</v>
      </c>
      <c r="L226" s="39">
        <f>(VLOOKUP($A226,'The List'!$B1:$AH727,24,FALSE)-AVERAGE('The List'!Y2:Y727))/STDEV('The List'!Y2:Y727)</f>
        <v>2.2695890277931965</v>
      </c>
      <c r="M226" s="39">
        <f>(VLOOKUP($A226,'The List'!$B1:$AH727,25,FALSE)-AVERAGE('The List'!Z2:Z727))/STDEV('The List'!Z2:Z727)</f>
        <v>1.1596123705658765</v>
      </c>
      <c r="N226" s="39">
        <f>(VLOOKUP($A226,'The List'!$B1:$AH727,26,FALSE)-AVERAGE('The List'!AA2:AA727))/STDEV('The List'!AA2:AA727)</f>
        <v>-0.4570798821170744</v>
      </c>
      <c r="O226" s="39">
        <f>(VLOOKUP($A226,'The List'!$B1:$AH727,27,FALSE)-AVERAGE('The List'!AB2:AB727))/STDEV('The List'!AB2:AB727)</f>
        <v>-0.82824995201590834</v>
      </c>
      <c r="P226" s="39">
        <f>(VLOOKUP($A226,'The List'!$B1:$AH727,28,FALSE)-AVERAGE('The List'!AC2:AC727))/STDEV('The List'!AC2:AC727)</f>
        <v>-0.52515761988209808</v>
      </c>
      <c r="Q226" s="39">
        <f>(VLOOKUP($A226,'The List'!$B1:$AH727,29,FALSE)-AVERAGE('The List'!AD2:AD727))/STDEV('The List'!AD2:AD727)</f>
        <v>-0.48707468840864748</v>
      </c>
      <c r="R226" s="39">
        <f>(VLOOKUP($A226,'The List'!$B1:$AH727,30,FALSE)-AVERAGE('The List'!AE2:AE727))/STDEV('The List'!AE2:AE727)</f>
        <v>0.12550398130690316</v>
      </c>
      <c r="S226" s="39">
        <f>(VLOOKUP($A226,'The List'!$B1:$AH727,31,FALSE)-AVERAGE('The List'!AF2:AF727))/STDEV('The List'!AF2:AF727)</f>
        <v>-0.46918187921803167</v>
      </c>
      <c r="T226" s="39">
        <f>(VLOOKUP($A226,'The List'!$B1:$AH727,32,FALSE)-AVERAGE('The List'!AG2:AG727))/STDEV('The List'!AG2:AG727)</f>
        <v>-0.48957771360777275</v>
      </c>
      <c r="U226" s="39">
        <f>(VLOOKUP($A226,'The List'!$B1:$AH727,33,FALSE)-AVERAGE('The List'!AH2:AH727))/STDEV('The List'!AH2:AH727)</f>
        <v>0.8126889065068521</v>
      </c>
      <c r="V226" s="39"/>
      <c r="W226" s="41"/>
      <c r="X226" s="39"/>
      <c r="Y226" s="39"/>
      <c r="Z226" s="39"/>
      <c r="AA226" s="39"/>
      <c r="AB226" s="39"/>
      <c r="AC226" s="39"/>
      <c r="AD226" s="39"/>
      <c r="AE226" s="39"/>
    </row>
    <row r="227" spans="1:31" ht="21.25" customHeight="1" x14ac:dyDescent="0.15">
      <c r="A227" s="8" t="s">
        <v>483</v>
      </c>
      <c r="B227" s="35" t="str">
        <f>VLOOKUP(A227,'Player Data'!A1:B734,2,FALSE)</f>
        <v>CHI</v>
      </c>
      <c r="C227" s="37">
        <f>((E227)*Settings!$C$12)+(F227*Settings!$C$2)+(G227*Settings!$C$3)+(H227*Settings!$C$4)+(I227*Settings!$C$5)+(K227*Settings!$C$9)+(N227*Settings!$C$6)+(J227*Settings!$C$8)+(O227*Settings!$C$7)+(P227*Settings!$C$14)+(Q227*Settings!$C$15)+(R227*Settings!$C$16)+(S227*Settings!$C$17)+(T227*Settings!$C$18)+(U227*Settings!$C$19)</f>
        <v>-1.7253614270256308</v>
      </c>
      <c r="D227" s="41">
        <f>IF(Settings!$E$12="YES",VLOOKUP(A227,'Player Data'!A1:E734,5,FALSE),82)</f>
        <v>73.109642857142902</v>
      </c>
      <c r="E227" s="39">
        <f>(VLOOKUP($A227,'The List'!$B1:$AH727,17,FALSE)-AVERAGE('The List'!R2:R727))/STDEV('The List'!R2:R727)</f>
        <v>-9.9076472741316174E-2</v>
      </c>
      <c r="F227" s="39">
        <f>(VLOOKUP($A227,'The List'!$B1:$AH727,18,FALSE)-AVERAGE('The List'!S2:S727))/STDEV('The List'!S2:S727)</f>
        <v>0.55591572120588595</v>
      </c>
      <c r="G227" s="39">
        <f>(VLOOKUP($A227,'The List'!$B1:$AH727,19,FALSE)-AVERAGE('The List'!T2:T727))/STDEV('The List'!T2:T727)</f>
        <v>-0.23229049206599106</v>
      </c>
      <c r="H227" s="39">
        <f>(VLOOKUP($A227,'The List'!$B1:$AH727,20,FALSE)-AVERAGE('The List'!U2:U727))/STDEV('The List'!U2:U727)</f>
        <v>0.10983690020438579</v>
      </c>
      <c r="I227" s="39">
        <f>(VLOOKUP($A227,'The List'!$B1:$AH727,21,FALSE)-AVERAGE('The List'!V2:V727))/STDEV('The List'!V2:V727)</f>
        <v>0.43878176361471405</v>
      </c>
      <c r="J227" s="39">
        <f>(VLOOKUP($A227,'The List'!$B1:$AH727,22,FALSE)-AVERAGE('The List'!W2:W727))/STDEV('The List'!W2:W727)</f>
        <v>-0.13983942757757042</v>
      </c>
      <c r="K227" s="39">
        <f>(VLOOKUP($A227,'The List'!$B1:$AH727,23,FALSE)-AVERAGE('The List'!X2:X727))/STDEV('The List'!X2:X727)</f>
        <v>-0.22858851765751748</v>
      </c>
      <c r="L227" s="39">
        <f>(VLOOKUP($A227,'The List'!$B1:$AH727,24,FALSE)-AVERAGE('The List'!Y2:Y727))/STDEV('The List'!Y2:Y727)</f>
        <v>-0.36749187898092928</v>
      </c>
      <c r="M227" s="39">
        <f>(VLOOKUP($A227,'The List'!$B1:$AH727,25,FALSE)-AVERAGE('The List'!Z2:Z727))/STDEV('The List'!Z2:Z727)</f>
        <v>-0.52525255472678967</v>
      </c>
      <c r="N227" s="39">
        <f>(VLOOKUP($A227,'The List'!$B1:$AH727,26,FALSE)-AVERAGE('The List'!AA2:AA727))/STDEV('The List'!AA2:AA727)</f>
        <v>-0.54710418101408986</v>
      </c>
      <c r="O227" s="39">
        <f>(VLOOKUP($A227,'The List'!$B1:$AH727,27,FALSE)-AVERAGE('The List'!AB2:AB727))/STDEV('The List'!AB2:AB727)</f>
        <v>-1.0524025692076917</v>
      </c>
      <c r="P227" s="39">
        <f>(VLOOKUP($A227,'The List'!$B1:$AH727,28,FALSE)-AVERAGE('The List'!AC2:AC727))/STDEV('The List'!AC2:AC727)</f>
        <v>-1.7120757211086324</v>
      </c>
      <c r="Q227" s="39">
        <f>(VLOOKUP($A227,'The List'!$B1:$AH727,29,FALSE)-AVERAGE('The List'!AD2:AD727))/STDEV('The List'!AD2:AD727)</f>
        <v>-0.36813931704545461</v>
      </c>
      <c r="R227" s="39">
        <f>(VLOOKUP($A227,'The List'!$B1:$AH727,30,FALSE)-AVERAGE('The List'!AE2:AE727))/STDEV('The List'!AE2:AE727)</f>
        <v>0.22383808345330086</v>
      </c>
      <c r="S227" s="39">
        <f>(VLOOKUP($A227,'The List'!$B1:$AH727,31,FALSE)-AVERAGE('The List'!AF2:AF727))/STDEV('The List'!AF2:AF727)</f>
        <v>-0.14816733078290512</v>
      </c>
      <c r="T227" s="39">
        <f>(VLOOKUP($A227,'The List'!$B1:$AH727,32,FALSE)-AVERAGE('The List'!AG2:AG727))/STDEV('The List'!AG2:AG727)</f>
        <v>-0.31943915742370138</v>
      </c>
      <c r="U227" s="39">
        <f>(VLOOKUP($A227,'The List'!$B1:$AH727,33,FALSE)-AVERAGE('The List'!AH2:AH727))/STDEV('The List'!AH2:AH727)</f>
        <v>1.4901621244153296</v>
      </c>
      <c r="V227" s="39"/>
      <c r="W227" s="41"/>
      <c r="X227" s="39"/>
      <c r="Y227" s="39"/>
      <c r="Z227" s="39"/>
      <c r="AA227" s="39"/>
      <c r="AB227" s="39"/>
      <c r="AC227" s="39"/>
      <c r="AD227" s="39"/>
      <c r="AE227" s="39"/>
    </row>
    <row r="228" spans="1:31" ht="21.25" customHeight="1" x14ac:dyDescent="0.15">
      <c r="A228" s="8" t="s">
        <v>500</v>
      </c>
      <c r="B228" s="35" t="str">
        <f>VLOOKUP(A228,'Player Data'!A1:B734,2,FALSE)</f>
        <v>DET</v>
      </c>
      <c r="C228" s="37">
        <f>((E228)*Settings!$C$12)+(F228*Settings!$C$2)+(G228*Settings!$C$3)+(H228*Settings!$C$4)+(I228*Settings!$C$5)+(K228*Settings!$C$9)+(N228*Settings!$C$6)+(J228*Settings!$C$8)+(O228*Settings!$C$7)+(P228*Settings!$C$14)+(Q228*Settings!$C$15)+(R228*Settings!$C$16)+(S228*Settings!$C$17)+(T228*Settings!$C$18)+(U228*Settings!$C$19)</f>
        <v>-1.070676983339125</v>
      </c>
      <c r="D228" s="41">
        <f>IF(Settings!$E$12="YES",VLOOKUP(A228,'Player Data'!A1:E734,5,FALSE),82)</f>
        <v>80.5085714285714</v>
      </c>
      <c r="E228" s="39">
        <f>(VLOOKUP($A228,'The List'!$B1:$AH727,17,FALSE)-AVERAGE('The List'!R2:R727))/STDEV('The List'!R2:R727)</f>
        <v>0.10496379432500498</v>
      </c>
      <c r="F228" s="39">
        <f>(VLOOKUP($A228,'The List'!$B1:$AH727,18,FALSE)-AVERAGE('The List'!S2:S727))/STDEV('The List'!S2:S727)</f>
        <v>-2.0067740616579365E-2</v>
      </c>
      <c r="G228" s="39">
        <f>(VLOOKUP($A228,'The List'!$B1:$AH727,19,FALSE)-AVERAGE('The List'!T2:T727))/STDEV('The List'!T2:T727)</f>
        <v>0.45267028537895154</v>
      </c>
      <c r="H228" s="39">
        <f>(VLOOKUP($A228,'The List'!$B1:$AH727,20,FALSE)-AVERAGE('The List'!U2:U727))/STDEV('The List'!U2:U727)</f>
        <v>0.26980752025959126</v>
      </c>
      <c r="I228" s="39">
        <f>(VLOOKUP($A228,'The List'!$B1:$AH727,21,FALSE)-AVERAGE('The List'!V2:V727))/STDEV('The List'!V2:V727)</f>
        <v>-4.3316816729851979E-2</v>
      </c>
      <c r="J228" s="39">
        <f>(VLOOKUP($A228,'The List'!$B1:$AH727,22,FALSE)-AVERAGE('The List'!W2:W727))/STDEV('The List'!W2:W727)</f>
        <v>-0.4268108768690097</v>
      </c>
      <c r="K228" s="39">
        <f>(VLOOKUP($A228,'The List'!$B1:$AH727,23,FALSE)-AVERAGE('The List'!X2:X727))/STDEV('The List'!X2:X727)</f>
        <v>-0.48183144721976179</v>
      </c>
      <c r="L228" s="39">
        <f>(VLOOKUP($A228,'The List'!$B1:$AH727,24,FALSE)-AVERAGE('The List'!Y2:Y727))/STDEV('The List'!Y2:Y727)</f>
        <v>1.0065597565708313</v>
      </c>
      <c r="M228" s="39">
        <f>(VLOOKUP($A228,'The List'!$B1:$AH727,25,FALSE)-AVERAGE('The List'!Z2:Z727))/STDEV('The List'!Z2:Z727)</f>
        <v>0.87108980473823883</v>
      </c>
      <c r="N228" s="39">
        <f>(VLOOKUP($A228,'The List'!$B1:$AH727,26,FALSE)-AVERAGE('The List'!AA2:AA727))/STDEV('The List'!AA2:AA727)</f>
        <v>-0.37528349353440565</v>
      </c>
      <c r="O228" s="39">
        <f>(VLOOKUP($A228,'The List'!$B1:$AH727,27,FALSE)-AVERAGE('The List'!AB2:AB727))/STDEV('The List'!AB2:AB727)</f>
        <v>-1.0500544322543968</v>
      </c>
      <c r="P228" s="39">
        <f>(VLOOKUP($A228,'The List'!$B1:$AH727,28,FALSE)-AVERAGE('The List'!AC2:AC727))/STDEV('The List'!AC2:AC727)</f>
        <v>-0.60284777061747785</v>
      </c>
      <c r="Q228" s="39">
        <f>(VLOOKUP($A228,'The List'!$B1:$AH727,29,FALSE)-AVERAGE('The List'!AD2:AD727))/STDEV('The List'!AD2:AD727)</f>
        <v>-0.55626393690173603</v>
      </c>
      <c r="R228" s="39">
        <f>(VLOOKUP($A228,'The List'!$B1:$AH727,30,FALSE)-AVERAGE('The List'!AE2:AE727))/STDEV('The List'!AE2:AE727)</f>
        <v>-0.11777387689655038</v>
      </c>
      <c r="S228" s="39">
        <f>(VLOOKUP($A228,'The List'!$B1:$AH727,31,FALSE)-AVERAGE('The List'!AF2:AF727))/STDEV('The List'!AF2:AF727)</f>
        <v>2.041524240374192</v>
      </c>
      <c r="T228" s="39">
        <f>(VLOOKUP($A228,'The List'!$B1:$AH727,32,FALSE)-AVERAGE('The List'!AG2:AG727))/STDEV('The List'!AG2:AG727)</f>
        <v>1.964153230484216</v>
      </c>
      <c r="U228" s="39">
        <f>(VLOOKUP($A228,'The List'!$B1:$AH727,33,FALSE)-AVERAGE('The List'!AH2:AH727))/STDEV('The List'!AH2:AH727)</f>
        <v>1.0912223144980562</v>
      </c>
      <c r="V228" s="39"/>
      <c r="W228" s="43"/>
      <c r="X228" s="41"/>
      <c r="Y228" s="41"/>
      <c r="Z228" s="41"/>
      <c r="AA228" s="41"/>
      <c r="AB228" s="41"/>
      <c r="AC228" s="44"/>
      <c r="AD228" s="45"/>
      <c r="AE228" s="39"/>
    </row>
    <row r="229" spans="1:31" ht="21.25" customHeight="1" x14ac:dyDescent="0.15">
      <c r="A229" s="8" t="s">
        <v>542</v>
      </c>
      <c r="B229" s="35" t="str">
        <f>VLOOKUP(A229,'Player Data'!A1:B734,2,FALSE)</f>
        <v>COL</v>
      </c>
      <c r="C229" s="37">
        <f>((E229)*Settings!$C$12)+(F229*Settings!$C$2)+(G229*Settings!$C$3)+(H229*Settings!$C$4)+(I229*Settings!$C$5)+(K229*Settings!$C$9)+(N229*Settings!$C$6)+(J229*Settings!$C$8)+(O229*Settings!$C$7)+(P229*Settings!$C$14)+(Q229*Settings!$C$15)+(R229*Settings!$C$16)+(S229*Settings!$C$17)+(T229*Settings!$C$18)+(U229*Settings!$C$19)</f>
        <v>-3.952801021986696E-3</v>
      </c>
      <c r="D229" s="41">
        <f>IF(Settings!$E$12="YES",VLOOKUP(A229,'Player Data'!A1:E734,5,FALSE),82)</f>
        <v>75.653571428571396</v>
      </c>
      <c r="E229" s="39">
        <f>(VLOOKUP($A229,'The List'!$B1:$AH727,17,FALSE)-AVERAGE('The List'!R2:R727))/STDEV('The List'!R2:R727)</f>
        <v>-0.24208790860271046</v>
      </c>
      <c r="F229" s="39">
        <f>(VLOOKUP($A229,'The List'!$B1:$AH727,18,FALSE)-AVERAGE('The List'!S2:S727))/STDEV('The List'!S2:S727)</f>
        <v>0.21325663442168868</v>
      </c>
      <c r="G229" s="39">
        <f>(VLOOKUP($A229,'The List'!$B1:$AH727,19,FALSE)-AVERAGE('The List'!T2:T727))/STDEV('The List'!T2:T727)</f>
        <v>9.7255575326981064E-2</v>
      </c>
      <c r="H229" s="39">
        <f>(VLOOKUP($A229,'The List'!$B1:$AH727,20,FALSE)-AVERAGE('The List'!U2:U727))/STDEV('The List'!U2:U727)</f>
        <v>0.15697489452422211</v>
      </c>
      <c r="I229" s="39">
        <f>(VLOOKUP($A229,'The List'!$B1:$AH727,21,FALSE)-AVERAGE('The List'!V2:V727))/STDEV('The List'!V2:V727)</f>
        <v>-0.39906885819828419</v>
      </c>
      <c r="J229" s="39">
        <f>(VLOOKUP($A229,'The List'!$B1:$AH727,22,FALSE)-AVERAGE('The List'!W2:W727))/STDEV('The List'!W2:W727)</f>
        <v>0.25084864013358243</v>
      </c>
      <c r="K229" s="39">
        <f>(VLOOKUP($A229,'The List'!$B1:$AH727,23,FALSE)-AVERAGE('The List'!X2:X727))/STDEV('The List'!X2:X727)</f>
        <v>2.5981508036110015E-2</v>
      </c>
      <c r="L229" s="39">
        <f>(VLOOKUP($A229,'The List'!$B1:$AH727,24,FALSE)-AVERAGE('The List'!Y2:Y727))/STDEV('The List'!Y2:Y727)</f>
        <v>-0.52017437587885851</v>
      </c>
      <c r="M229" s="39">
        <f>(VLOOKUP($A229,'The List'!$B1:$AH727,25,FALSE)-AVERAGE('The List'!Z2:Z727))/STDEV('The List'!Z2:Z727)</f>
        <v>-0.69651942272295964</v>
      </c>
      <c r="N229" s="39">
        <f>(VLOOKUP($A229,'The List'!$B1:$AH727,26,FALSE)-AVERAGE('The List'!AA2:AA727))/STDEV('The List'!AA2:AA727)</f>
        <v>-0.72619267318005942</v>
      </c>
      <c r="O229" s="39">
        <f>(VLOOKUP($A229,'The List'!$B1:$AH727,27,FALSE)-AVERAGE('The List'!AB2:AB727))/STDEV('The List'!AB2:AB727)</f>
        <v>-0.41484932823211351</v>
      </c>
      <c r="P229" s="39">
        <f>(VLOOKUP($A229,'The List'!$B1:$AH727,28,FALSE)-AVERAGE('The List'!AC2:AC727))/STDEV('The List'!AC2:AC727)</f>
        <v>0.78481501257157715</v>
      </c>
      <c r="Q229" s="39">
        <f>(VLOOKUP($A229,'The List'!$B1:$AH727,29,FALSE)-AVERAGE('The List'!AD2:AD727))/STDEV('The List'!AD2:AD727)</f>
        <v>0.64442059126923679</v>
      </c>
      <c r="R229" s="39">
        <f>(VLOOKUP($A229,'The List'!$B1:$AH727,30,FALSE)-AVERAGE('The List'!AE2:AE727))/STDEV('The List'!AE2:AE727)</f>
        <v>0.36555086183492275</v>
      </c>
      <c r="S229" s="39">
        <f>(VLOOKUP($A229,'The List'!$B1:$AH727,31,FALSE)-AVERAGE('The List'!AF2:AF727))/STDEV('The List'!AF2:AF727)</f>
        <v>2.579872302145477</v>
      </c>
      <c r="T229" s="39">
        <f>(VLOOKUP($A229,'The List'!$B1:$AH727,32,FALSE)-AVERAGE('The List'!AG2:AG727))/STDEV('The List'!AG2:AG727)</f>
        <v>2.1296546393250027</v>
      </c>
      <c r="U229" s="39">
        <f>(VLOOKUP($A229,'The List'!$B1:$AH727,33,FALSE)-AVERAGE('The List'!AH2:AH727))/STDEV('The List'!AH2:AH727)</f>
        <v>1.2325967729705378</v>
      </c>
      <c r="V229" s="39"/>
      <c r="W229" s="43"/>
      <c r="X229" s="41"/>
      <c r="Y229" s="41"/>
      <c r="Z229" s="41"/>
      <c r="AA229" s="41"/>
      <c r="AB229" s="41"/>
      <c r="AC229" s="44"/>
      <c r="AD229" s="45"/>
      <c r="AE229" s="39"/>
    </row>
    <row r="230" spans="1:31" ht="21.25" customHeight="1" x14ac:dyDescent="0.15">
      <c r="A230" s="8" t="s">
        <v>270</v>
      </c>
      <c r="B230" s="35" t="str">
        <f>VLOOKUP(A230,'Player Data'!A1:B734,2,FALSE)</f>
        <v>LAK</v>
      </c>
      <c r="C230" s="37">
        <f>((E230)*Settings!$C$12)+(F230*Settings!$C$2)+(G230*Settings!$C$3)+(H230*Settings!$C$4)+(I230*Settings!$C$5)+(K230*Settings!$C$9)+(N230*Settings!$C$6)+(J230*Settings!$C$8)+(O230*Settings!$C$7)+(P230*Settings!$C$14)+(Q230*Settings!$C$15)+(R230*Settings!$C$16)+(S230*Settings!$C$17)+(T230*Settings!$C$18)+(U230*Settings!$C$19)</f>
        <v>1.6911807662522851</v>
      </c>
      <c r="D230" s="41">
        <f>IF(Settings!$E$12="YES",VLOOKUP(A230,'Player Data'!A1:E734,5,FALSE),82)</f>
        <v>74</v>
      </c>
      <c r="E230" s="39">
        <f>(VLOOKUP($A230,'The List'!$B1:$AH727,17,FALSE)-AVERAGE('The List'!R2:R727))/STDEV('The List'!R2:R727)</f>
        <v>0.41198872691499444</v>
      </c>
      <c r="F230" s="39">
        <f>(VLOOKUP($A230,'The List'!$B1:$AH727,18,FALSE)-AVERAGE('The List'!S2:S727))/STDEV('The List'!S2:S727)</f>
        <v>-0.19412928734728002</v>
      </c>
      <c r="G230" s="39">
        <f>(VLOOKUP($A230,'The List'!$B1:$AH727,19,FALSE)-AVERAGE('The List'!T2:T727))/STDEV('The List'!T2:T727)</f>
        <v>0.33581069035196603</v>
      </c>
      <c r="H230" s="39">
        <f>(VLOOKUP($A230,'The List'!$B1:$AH727,20,FALSE)-AVERAGE('The List'!U2:U727))/STDEV('The List'!U2:U727)</f>
        <v>0.11858866586904136</v>
      </c>
      <c r="I230" s="39">
        <f>(VLOOKUP($A230,'The List'!$B1:$AH727,21,FALSE)-AVERAGE('The List'!V2:V727))/STDEV('The List'!V2:V727)</f>
        <v>0.62242570175775691</v>
      </c>
      <c r="J230" s="39">
        <f>(VLOOKUP($A230,'The List'!$B1:$AH727,22,FALSE)-AVERAGE('The List'!W2:W727))/STDEV('The List'!W2:W727)</f>
        <v>3.1965932920036597E-3</v>
      </c>
      <c r="K230" s="39">
        <f>(VLOOKUP($A230,'The List'!$B1:$AH727,23,FALSE)-AVERAGE('The List'!X2:X727))/STDEV('The List'!X2:X727)</f>
        <v>0.13786598006243539</v>
      </c>
      <c r="L230" s="39">
        <f>(VLOOKUP($A230,'The List'!$B1:$AH727,24,FALSE)-AVERAGE('The List'!Y2:Y727))/STDEV('The List'!Y2:Y727)</f>
        <v>-0.54402834717551152</v>
      </c>
      <c r="M230" s="39">
        <f>(VLOOKUP($A230,'The List'!$B1:$AH727,25,FALSE)-AVERAGE('The List'!Z2:Z727))/STDEV('The List'!Z2:Z727)</f>
        <v>-0.72372514007823274</v>
      </c>
      <c r="N230" s="39">
        <f>(VLOOKUP($A230,'The List'!$B1:$AH727,26,FALSE)-AVERAGE('The List'!AA2:AA727))/STDEV('The List'!AA2:AA727)</f>
        <v>0.77056914456213133</v>
      </c>
      <c r="O230" s="39">
        <f>(VLOOKUP($A230,'The List'!$B1:$AH727,27,FALSE)-AVERAGE('The List'!AB2:AB727))/STDEV('The List'!AB2:AB727)</f>
        <v>0.28007382609793385</v>
      </c>
      <c r="P230" s="39">
        <f>(VLOOKUP($A230,'The List'!$B1:$AH727,28,FALSE)-AVERAGE('The List'!AC2:AC727))/STDEV('The List'!AC2:AC727)</f>
        <v>1.8638536865275203E-2</v>
      </c>
      <c r="Q230" s="39">
        <f>(VLOOKUP($A230,'The List'!$B1:$AH727,29,FALSE)-AVERAGE('The List'!AD2:AD727))/STDEV('The List'!AD2:AD727)</f>
        <v>0.57636041601582888</v>
      </c>
      <c r="R230" s="39">
        <f>(VLOOKUP($A230,'The List'!$B1:$AH727,30,FALSE)-AVERAGE('The List'!AE2:AE727))/STDEV('The List'!AE2:AE727)</f>
        <v>-0.12553506479156459</v>
      </c>
      <c r="S230" s="39">
        <f>(VLOOKUP($A230,'The List'!$B1:$AH727,31,FALSE)-AVERAGE('The List'!AF2:AF727))/STDEV('The List'!AF2:AF727)</f>
        <v>-0.55804314905918151</v>
      </c>
      <c r="T230" s="39">
        <f>(VLOOKUP($A230,'The List'!$B1:$AH727,32,FALSE)-AVERAGE('The List'!AG2:AG727))/STDEV('The List'!AG2:AG727)</f>
        <v>-0.60188453558131205</v>
      </c>
      <c r="U230" s="39">
        <f>(VLOOKUP($A230,'The List'!$B1:$AH727,33,FALSE)-AVERAGE('The List'!AH2:AH727))/STDEV('The List'!AH2:AH727)</f>
        <v>-1.2395873372913611</v>
      </c>
      <c r="V230" s="39"/>
      <c r="W230" s="43"/>
      <c r="X230" s="41"/>
      <c r="Y230" s="41"/>
      <c r="Z230" s="41"/>
      <c r="AA230" s="41"/>
      <c r="AB230" s="41"/>
      <c r="AC230" s="44"/>
      <c r="AD230" s="45"/>
      <c r="AE230" s="39"/>
    </row>
    <row r="231" spans="1:31" ht="21.25" customHeight="1" x14ac:dyDescent="0.15">
      <c r="A231" s="8" t="s">
        <v>386</v>
      </c>
      <c r="B231" s="35" t="str">
        <f>VLOOKUP(A231,'Player Data'!A1:B734,2,FALSE)</f>
        <v>NYR</v>
      </c>
      <c r="C231" s="37">
        <f>((E231)*Settings!$C$12)+(F231*Settings!$C$2)+(G231*Settings!$C$3)+(H231*Settings!$C$4)+(I231*Settings!$C$5)+(K231*Settings!$C$9)+(N231*Settings!$C$6)+(J231*Settings!$C$8)+(O231*Settings!$C$7)+(P231*Settings!$C$14)+(Q231*Settings!$C$15)+(R231*Settings!$C$16)+(S231*Settings!$C$17)+(T231*Settings!$C$18)+(U231*Settings!$C$19)</f>
        <v>0.8313941113100396</v>
      </c>
      <c r="D231" s="41">
        <f>IF(Settings!$E$12="YES",VLOOKUP(A231,'Player Data'!A1:E734,5,FALSE),82)</f>
        <v>81.44</v>
      </c>
      <c r="E231" s="39">
        <f>(VLOOKUP($A231,'The List'!$B1:$AH727,17,FALSE)-AVERAGE('The List'!R2:R727))/STDEV('The List'!R2:R727)</f>
        <v>-0.30384599647819516</v>
      </c>
      <c r="F231" s="39">
        <f>(VLOOKUP($A231,'The List'!$B1:$AH727,18,FALSE)-AVERAGE('The List'!S2:S727))/STDEV('The List'!S2:S727)</f>
        <v>0.77065949088415509</v>
      </c>
      <c r="G231" s="39">
        <f>(VLOOKUP($A231,'The List'!$B1:$AH727,19,FALSE)-AVERAGE('The List'!T2:T727))/STDEV('The List'!T2:T727)</f>
        <v>4.5268049727341164E-2</v>
      </c>
      <c r="H231" s="39">
        <f>(VLOOKUP($A231,'The List'!$B1:$AH727,20,FALSE)-AVERAGE('The List'!U2:U727))/STDEV('The List'!U2:U727)</f>
        <v>0.37859288248329453</v>
      </c>
      <c r="I231" s="39">
        <f>(VLOOKUP($A231,'The List'!$B1:$AH727,21,FALSE)-AVERAGE('The List'!V2:V727))/STDEV('The List'!V2:V727)</f>
        <v>0.10232767802322898</v>
      </c>
      <c r="J231" s="39">
        <f>(VLOOKUP($A231,'The List'!$B1:$AH727,22,FALSE)-AVERAGE('The List'!W2:W727))/STDEV('The List'!W2:W727)</f>
        <v>-4.848213162966724E-2</v>
      </c>
      <c r="K231" s="39">
        <f>(VLOOKUP($A231,'The List'!$B1:$AH727,23,FALSE)-AVERAGE('The List'!X2:X727))/STDEV('The List'!X2:X727)</f>
        <v>-0.29816116406443527</v>
      </c>
      <c r="L231" s="39">
        <f>(VLOOKUP($A231,'The List'!$B1:$AH727,24,FALSE)-AVERAGE('The List'!Y2:Y727))/STDEV('The List'!Y2:Y727)</f>
        <v>-0.51083279822638505</v>
      </c>
      <c r="M231" s="39">
        <f>(VLOOKUP($A231,'The List'!$B1:$AH727,25,FALSE)-AVERAGE('The List'!Z2:Z727))/STDEV('The List'!Z2:Z727)</f>
        <v>-0.68639055685349948</v>
      </c>
      <c r="N231" s="39">
        <f>(VLOOKUP($A231,'The List'!$B1:$AH727,26,FALSE)-AVERAGE('The List'!AA2:AA727))/STDEV('The List'!AA2:AA727)</f>
        <v>-0.77446075038176454</v>
      </c>
      <c r="O231" s="39">
        <f>(VLOOKUP($A231,'The List'!$B1:$AH727,27,FALSE)-AVERAGE('The List'!AB2:AB727))/STDEV('The List'!AB2:AB727)</f>
        <v>0.77217326927136853</v>
      </c>
      <c r="P231" s="39">
        <f>(VLOOKUP($A231,'The List'!$B1:$AH727,28,FALSE)-AVERAGE('The List'!AC2:AC727))/STDEV('The List'!AC2:AC727)</f>
        <v>0.98576080712151415</v>
      </c>
      <c r="Q231" s="39">
        <f>(VLOOKUP($A231,'The List'!$B1:$AH727,29,FALSE)-AVERAGE('The List'!AD2:AD727))/STDEV('The List'!AD2:AD727)</f>
        <v>7.4748615074585051E-2</v>
      </c>
      <c r="R231" s="39">
        <f>(VLOOKUP($A231,'The List'!$B1:$AH727,30,FALSE)-AVERAGE('The List'!AE2:AE727))/STDEV('The List'!AE2:AE727)</f>
        <v>1.1059284602511903</v>
      </c>
      <c r="S231" s="39">
        <f>(VLOOKUP($A231,'The List'!$B1:$AH727,31,FALSE)-AVERAGE('The List'!AF2:AF727))/STDEV('The List'!AF2:AF727)</f>
        <v>-0.43534351578116715</v>
      </c>
      <c r="T231" s="39">
        <f>(VLOOKUP($A231,'The List'!$B1:$AH727,32,FALSE)-AVERAGE('The List'!AG2:AG727))/STDEV('The List'!AG2:AG727)</f>
        <v>-0.36255104133219868</v>
      </c>
      <c r="U231" s="39">
        <f>(VLOOKUP($A231,'The List'!$B1:$AH727,33,FALSE)-AVERAGE('The List'!AH2:AH727))/STDEV('The List'!AH2:AH727)</f>
        <v>0.34330741212437133</v>
      </c>
      <c r="V231" s="39"/>
      <c r="W231" s="43"/>
      <c r="X231" s="41"/>
      <c r="Y231" s="41"/>
      <c r="Z231" s="41"/>
      <c r="AA231" s="41"/>
      <c r="AB231" s="41"/>
      <c r="AC231" s="44"/>
      <c r="AD231" s="45"/>
      <c r="AE231" s="39"/>
    </row>
    <row r="232" spans="1:31" ht="21.25" customHeight="1" x14ac:dyDescent="0.15">
      <c r="A232" s="8" t="s">
        <v>520</v>
      </c>
      <c r="B232" s="35" t="str">
        <f>VLOOKUP(A232,'Player Data'!A1:B734,2,FALSE)</f>
        <v>SEA</v>
      </c>
      <c r="C232" s="37">
        <f>((E232)*Settings!$C$12)+(F232*Settings!$C$2)+(G232*Settings!$C$3)+(H232*Settings!$C$4)+(I232*Settings!$C$5)+(K232*Settings!$C$9)+(N232*Settings!$C$6)+(J232*Settings!$C$8)+(O232*Settings!$C$7)+(P232*Settings!$C$14)+(Q232*Settings!$C$15)+(R232*Settings!$C$16)+(S232*Settings!$C$17)+(T232*Settings!$C$18)+(U232*Settings!$C$19)</f>
        <v>-1.0299266581212136</v>
      </c>
      <c r="D232" s="41">
        <f>IF(Settings!$E$12="YES",VLOOKUP(A232,'Player Data'!A1:E734,5,FALSE),82)</f>
        <v>69.8</v>
      </c>
      <c r="E232" s="39">
        <f>(VLOOKUP($A232,'The List'!$B1:$AH727,17,FALSE)-AVERAGE('The List'!R2:R727))/STDEV('The List'!R2:R727)</f>
        <v>-6.8334343067902342E-2</v>
      </c>
      <c r="F232" s="39">
        <f>(VLOOKUP($A232,'The List'!$B1:$AH727,18,FALSE)-AVERAGE('The List'!S2:S727))/STDEV('The List'!S2:S727)</f>
        <v>0.29209921357236968</v>
      </c>
      <c r="G232" s="39">
        <f>(VLOOKUP($A232,'The List'!$B1:$AH727,19,FALSE)-AVERAGE('The List'!T2:T727))/STDEV('The List'!T2:T727)</f>
        <v>-0.20491167883390352</v>
      </c>
      <c r="H232" s="39">
        <f>(VLOOKUP($A232,'The List'!$B1:$AH727,20,FALSE)-AVERAGE('The List'!U2:U727))/STDEV('The List'!U2:U727)</f>
        <v>6.6549573707365495E-3</v>
      </c>
      <c r="I232" s="39">
        <f>(VLOOKUP($A232,'The List'!$B1:$AH727,21,FALSE)-AVERAGE('The List'!V2:V727))/STDEV('The List'!V2:V727)</f>
        <v>0.29774868592821724</v>
      </c>
      <c r="J232" s="39">
        <f>(VLOOKUP($A232,'The List'!$B1:$AH727,22,FALSE)-AVERAGE('The List'!W2:W727))/STDEV('The List'!W2:W727)</f>
        <v>0.21263712892262218</v>
      </c>
      <c r="K232" s="39">
        <f>(VLOOKUP($A232,'The List'!$B1:$AH727,23,FALSE)-AVERAGE('The List'!X2:X727))/STDEV('The List'!X2:X727)</f>
        <v>-0.12229854731986473</v>
      </c>
      <c r="L232" s="39">
        <f>(VLOOKUP($A232,'The List'!$B1:$AH727,24,FALSE)-AVERAGE('The List'!Y2:Y727))/STDEV('The List'!Y2:Y727)</f>
        <v>-0.44342332030631731</v>
      </c>
      <c r="M232" s="39">
        <f>(VLOOKUP($A232,'The List'!$B1:$AH727,25,FALSE)-AVERAGE('The List'!Z2:Z727))/STDEV('The List'!Z2:Z727)</f>
        <v>-0.60996869496159478</v>
      </c>
      <c r="N232" s="39">
        <f>(VLOOKUP($A232,'The List'!$B1:$AH727,26,FALSE)-AVERAGE('The List'!AA2:AA727))/STDEV('The List'!AA2:AA727)</f>
        <v>-0.88107068373250108</v>
      </c>
      <c r="O232" s="39">
        <f>(VLOOKUP($A232,'The List'!$B1:$AH727,27,FALSE)-AVERAGE('The List'!AB2:AB727))/STDEV('The List'!AB2:AB727)</f>
        <v>-0.74522904678205326</v>
      </c>
      <c r="P232" s="39">
        <f>(VLOOKUP($A232,'The List'!$B1:$AH727,28,FALSE)-AVERAGE('The List'!AC2:AC727))/STDEV('The List'!AC2:AC727)</f>
        <v>-0.41149364773553132</v>
      </c>
      <c r="Q232" s="39">
        <f>(VLOOKUP($A232,'The List'!$B1:$AH727,29,FALSE)-AVERAGE('The List'!AD2:AD727))/STDEV('The List'!AD2:AD727)</f>
        <v>-0.48945565473085184</v>
      </c>
      <c r="R232" s="39">
        <f>(VLOOKUP($A232,'The List'!$B1:$AH727,30,FALSE)-AVERAGE('The List'!AE2:AE727))/STDEV('The List'!AE2:AE727)</f>
        <v>0.26412586843793773</v>
      </c>
      <c r="S232" s="39">
        <f>(VLOOKUP($A232,'The List'!$B1:$AH727,31,FALSE)-AVERAGE('The List'!AF2:AF727))/STDEV('The List'!AF2:AF727)</f>
        <v>-0.26257974278243124</v>
      </c>
      <c r="T232" s="39">
        <f>(VLOOKUP($A232,'The List'!$B1:$AH727,32,FALSE)-AVERAGE('The List'!AG2:AG727))/STDEV('The List'!AG2:AG727)</f>
        <v>-0.27058037166929955</v>
      </c>
      <c r="U232" s="39">
        <f>(VLOOKUP($A232,'The List'!$B1:$AH727,33,FALSE)-AVERAGE('The List'!AH2:AH727))/STDEV('The List'!AH2:AH727)</f>
        <v>0.94729323848398994</v>
      </c>
      <c r="V232" s="39"/>
      <c r="W232" s="43"/>
      <c r="X232" s="41"/>
      <c r="Y232" s="41"/>
      <c r="Z232" s="41"/>
      <c r="AA232" s="41"/>
      <c r="AB232" s="41"/>
      <c r="AC232" s="44"/>
      <c r="AD232" s="45"/>
      <c r="AE232" s="39"/>
    </row>
    <row r="233" spans="1:31" ht="21.25" customHeight="1" x14ac:dyDescent="0.15">
      <c r="A233" s="8" t="s">
        <v>264</v>
      </c>
      <c r="B233" s="35" t="str">
        <f>VLOOKUP(A233,'Player Data'!A1:B734,2,FALSE)</f>
        <v>FLA</v>
      </c>
      <c r="C233" s="37">
        <f>((E233)*Settings!$C$12)+(F233*Settings!$C$2)+(G233*Settings!$C$3)+(H233*Settings!$C$4)+(I233*Settings!$C$5)+(K233*Settings!$C$9)+(N233*Settings!$C$6)+(J233*Settings!$C$8)+(O233*Settings!$C$7)+(P233*Settings!$C$14)+(Q233*Settings!$C$15)+(R233*Settings!$C$16)+(S233*Settings!$C$17)+(T233*Settings!$C$18)+(U233*Settings!$C$19)</f>
        <v>3.084192797130326</v>
      </c>
      <c r="D233" s="41">
        <f>IF(Settings!$E$12="YES",VLOOKUP(A233,'Player Data'!A1:E734,5,FALSE),82)</f>
        <v>78.613928571428602</v>
      </c>
      <c r="E233" s="39">
        <f>(VLOOKUP($A233,'The List'!$B1:$AH727,17,FALSE)-AVERAGE('The List'!R2:R727))/STDEV('The List'!R2:R727)</f>
        <v>1.7262022993459565</v>
      </c>
      <c r="F233" s="39">
        <f>(VLOOKUP($A233,'The List'!$B1:$AH727,18,FALSE)-AVERAGE('The List'!S2:S727))/STDEV('The List'!S2:S727)</f>
        <v>-0.1883299216896023</v>
      </c>
      <c r="G233" s="39">
        <f>(VLOOKUP($A233,'The List'!$B1:$AH727,19,FALSE)-AVERAGE('The List'!T2:T727))/STDEV('The List'!T2:T727)</f>
        <v>0.47286999161304399</v>
      </c>
      <c r="H233" s="39">
        <f>(VLOOKUP($A233,'The List'!$B1:$AH727,20,FALSE)-AVERAGE('The List'!U2:U727))/STDEV('The List'!U2:U727)</f>
        <v>0.20568494361582376</v>
      </c>
      <c r="I233" s="39">
        <f>(VLOOKUP($A233,'The List'!$B1:$AH727,21,FALSE)-AVERAGE('The List'!V2:V727))/STDEV('The List'!V2:V727)</f>
        <v>0.92678407518096351</v>
      </c>
      <c r="J233" s="39">
        <f>(VLOOKUP($A233,'The List'!$B1:$AH727,22,FALSE)-AVERAGE('The List'!W2:W727))/STDEV('The List'!W2:W727)</f>
        <v>-0.4729185050567396</v>
      </c>
      <c r="K233" s="39">
        <f>(VLOOKUP($A233,'The List'!$B1:$AH727,23,FALSE)-AVERAGE('The List'!X2:X727))/STDEV('The List'!X2:X727)</f>
        <v>-0.33734256037316812</v>
      </c>
      <c r="L233" s="39">
        <f>(VLOOKUP($A233,'The List'!$B1:$AH727,24,FALSE)-AVERAGE('The List'!Y2:Y727))/STDEV('The List'!Y2:Y727)</f>
        <v>-0.50101013881755352</v>
      </c>
      <c r="M233" s="39">
        <f>(VLOOKUP($A233,'The List'!$B1:$AH727,25,FALSE)-AVERAGE('The List'!Z2:Z727))/STDEV('The List'!Z2:Z727)</f>
        <v>0.4662782625841998</v>
      </c>
      <c r="N233" s="39">
        <f>(VLOOKUP($A233,'The List'!$B1:$AH727,26,FALSE)-AVERAGE('The List'!AA2:AA727))/STDEV('The List'!AA2:AA727)</f>
        <v>1.17554795404617</v>
      </c>
      <c r="O233" s="39">
        <f>(VLOOKUP($A233,'The List'!$B1:$AH727,27,FALSE)-AVERAGE('The List'!AB2:AB727))/STDEV('The List'!AB2:AB727)</f>
        <v>-0.49027572570550976</v>
      </c>
      <c r="P233" s="39">
        <f>(VLOOKUP($A233,'The List'!$B1:$AH727,28,FALSE)-AVERAGE('The List'!AC2:AC727))/STDEV('The List'!AC2:AC727)</f>
        <v>1.0346632583529185</v>
      </c>
      <c r="Q233" s="39">
        <f>(VLOOKUP($A233,'The List'!$B1:$AH727,29,FALSE)-AVERAGE('The List'!AD2:AD727))/STDEV('The List'!AD2:AD727)</f>
        <v>0.16493063394596275</v>
      </c>
      <c r="R233" s="39">
        <f>(VLOOKUP($A233,'The List'!$B1:$AH727,30,FALSE)-AVERAGE('The List'!AE2:AE727))/STDEV('The List'!AE2:AE727)</f>
        <v>-0.15610632895060395</v>
      </c>
      <c r="S233" s="39">
        <f>(VLOOKUP($A233,'The List'!$B1:$AH727,31,FALSE)-AVERAGE('The List'!AF2:AF727))/STDEV('The List'!AF2:AF727)</f>
        <v>-0.55804314905918151</v>
      </c>
      <c r="T233" s="39">
        <f>(VLOOKUP($A233,'The List'!$B1:$AH727,32,FALSE)-AVERAGE('The List'!AG2:AG727))/STDEV('The List'!AG2:AG727)</f>
        <v>-0.60188453558131205</v>
      </c>
      <c r="U233" s="39">
        <f>(VLOOKUP($A233,'The List'!$B1:$AH727,33,FALSE)-AVERAGE('The List'!AH2:AH727))/STDEV('The List'!AH2:AH727)</f>
        <v>-1.2395873372913611</v>
      </c>
      <c r="V233" s="39"/>
      <c r="W233" s="43"/>
      <c r="X233" s="41"/>
      <c r="Y233" s="41"/>
      <c r="Z233" s="41"/>
      <c r="AA233" s="41"/>
      <c r="AB233" s="41"/>
      <c r="AC233" s="44"/>
      <c r="AD233" s="45"/>
      <c r="AE233" s="39"/>
    </row>
    <row r="234" spans="1:31" ht="21.25" customHeight="1" x14ac:dyDescent="0.15">
      <c r="A234" s="8" t="s">
        <v>257</v>
      </c>
      <c r="B234" s="35" t="str">
        <f>VLOOKUP(A234,'Player Data'!A1:B734,2,FALSE)</f>
        <v>CGY</v>
      </c>
      <c r="C234" s="37">
        <f>((E234)*Settings!$C$12)+(F234*Settings!$C$2)+(G234*Settings!$C$3)+(H234*Settings!$C$4)+(I234*Settings!$C$5)+(K234*Settings!$C$9)+(N234*Settings!$C$6)+(J234*Settings!$C$8)+(O234*Settings!$C$7)+(P234*Settings!$C$14)+(Q234*Settings!$C$15)+(R234*Settings!$C$16)+(S234*Settings!$C$17)+(T234*Settings!$C$18)+(U234*Settings!$C$19)</f>
        <v>3.5403538107015988</v>
      </c>
      <c r="D234" s="41">
        <f>IF(Settings!$E$12="YES",VLOOKUP(A234,'Player Data'!A1:E734,5,FALSE),82)</f>
        <v>79.8</v>
      </c>
      <c r="E234" s="39">
        <f>(VLOOKUP($A234,'The List'!$B1:$AH727,17,FALSE)-AVERAGE('The List'!R2:R727))/STDEV('The List'!R2:R727)</f>
        <v>1.5913491498779715</v>
      </c>
      <c r="F234" s="39">
        <f>(VLOOKUP($A234,'The List'!$B1:$AH727,18,FALSE)-AVERAGE('The List'!S2:S727))/STDEV('The List'!S2:S727)</f>
        <v>-0.48127884191232073</v>
      </c>
      <c r="G234" s="39">
        <f>(VLOOKUP($A234,'The List'!$B1:$AH727,19,FALSE)-AVERAGE('The List'!T2:T727))/STDEV('The List'!T2:T727)</f>
        <v>0.72819297306453912</v>
      </c>
      <c r="H234" s="39">
        <f>(VLOOKUP($A234,'The List'!$B1:$AH727,20,FALSE)-AVERAGE('The List'!U2:U727))/STDEV('The List'!U2:U727)</f>
        <v>0.22970722540427563</v>
      </c>
      <c r="I234" s="39">
        <f>(VLOOKUP($A234,'The List'!$B1:$AH727,21,FALSE)-AVERAGE('The List'!V2:V727))/STDEV('The List'!V2:V727)</f>
        <v>0.71850410059975667</v>
      </c>
      <c r="J234" s="39">
        <f>(VLOOKUP($A234,'The List'!$B1:$AH727,22,FALSE)-AVERAGE('The List'!W2:W727))/STDEV('The List'!W2:W727)</f>
        <v>-0.41263058101385697</v>
      </c>
      <c r="K234" s="39">
        <f>(VLOOKUP($A234,'The List'!$B1:$AH727,23,FALSE)-AVERAGE('The List'!X2:X727))/STDEV('The List'!X2:X727)</f>
        <v>0.30765933665910894</v>
      </c>
      <c r="L234" s="39">
        <f>(VLOOKUP($A234,'The List'!$B1:$AH727,24,FALSE)-AVERAGE('The List'!Y2:Y727))/STDEV('The List'!Y2:Y727)</f>
        <v>-0.4995978718529776</v>
      </c>
      <c r="M234" s="39">
        <f>(VLOOKUP($A234,'The List'!$B1:$AH727,25,FALSE)-AVERAGE('The List'!Z2:Z727))/STDEV('The List'!Z2:Z727)</f>
        <v>-3.8812076356179122E-2</v>
      </c>
      <c r="N234" s="39">
        <f>(VLOOKUP($A234,'The List'!$B1:$AH727,26,FALSE)-AVERAGE('The List'!AA2:AA727))/STDEV('The List'!AA2:AA727)</f>
        <v>1.5413455176170594</v>
      </c>
      <c r="O234" s="39">
        <f>(VLOOKUP($A234,'The List'!$B1:$AH727,27,FALSE)-AVERAGE('The List'!AB2:AB727))/STDEV('The List'!AB2:AB727)</f>
        <v>-0.18156281359841128</v>
      </c>
      <c r="P234" s="39">
        <f>(VLOOKUP($A234,'The List'!$B1:$AH727,28,FALSE)-AVERAGE('The List'!AC2:AC727))/STDEV('The List'!AC2:AC727)</f>
        <v>0.72593072467345532</v>
      </c>
      <c r="Q234" s="39">
        <f>(VLOOKUP($A234,'The List'!$B1:$AH727,29,FALSE)-AVERAGE('The List'!AD2:AD727))/STDEV('The List'!AD2:AD727)</f>
        <v>-5.1952762877365083E-2</v>
      </c>
      <c r="R234" s="39">
        <f>(VLOOKUP($A234,'The List'!$B1:$AH727,30,FALSE)-AVERAGE('The List'!AE2:AE727))/STDEV('The List'!AE2:AE727)</f>
        <v>-0.30508324014526678</v>
      </c>
      <c r="S234" s="39">
        <f>(VLOOKUP($A234,'The List'!$B1:$AH727,31,FALSE)-AVERAGE('The List'!AF2:AF727))/STDEV('The List'!AF2:AF727)</f>
        <v>-0.55804314905918151</v>
      </c>
      <c r="T234" s="39">
        <f>(VLOOKUP($A234,'The List'!$B1:$AH727,32,FALSE)-AVERAGE('The List'!AG2:AG727))/STDEV('The List'!AG2:AG727)</f>
        <v>-0.60188453558131205</v>
      </c>
      <c r="U234" s="39">
        <f>(VLOOKUP($A234,'The List'!$B1:$AH727,33,FALSE)-AVERAGE('The List'!AH2:AH727))/STDEV('The List'!AH2:AH727)</f>
        <v>-1.2395873372913611</v>
      </c>
      <c r="V234" s="39"/>
      <c r="W234" s="41"/>
      <c r="X234" s="39"/>
      <c r="Y234" s="39"/>
      <c r="Z234" s="39"/>
      <c r="AA234" s="39"/>
      <c r="AB234" s="39"/>
      <c r="AC234" s="39"/>
      <c r="AD234" s="39"/>
      <c r="AE234" s="39"/>
    </row>
    <row r="235" spans="1:31" ht="21.25" customHeight="1" x14ac:dyDescent="0.15">
      <c r="A235" s="8" t="s">
        <v>411</v>
      </c>
      <c r="B235" s="35" t="str">
        <f>VLOOKUP(A235,'Player Data'!A1:B734,2,FALSE)</f>
        <v>ANA</v>
      </c>
      <c r="C235" s="37">
        <f>((E235)*Settings!$C$12)+(F235*Settings!$C$2)+(G235*Settings!$C$3)+(H235*Settings!$C$4)+(I235*Settings!$C$5)+(K235*Settings!$C$9)+(N235*Settings!$C$6)+(J235*Settings!$C$8)+(O235*Settings!$C$7)+(P235*Settings!$C$14)+(Q235*Settings!$C$15)+(R235*Settings!$C$16)+(S235*Settings!$C$17)+(T235*Settings!$C$18)+(U235*Settings!$C$19)</f>
        <v>-3.0160227452733128</v>
      </c>
      <c r="D235" s="41">
        <f>IF(Settings!$E$12="YES",VLOOKUP(A235,'Player Data'!A1:E734,5,FALSE),82)</f>
        <v>80.930000000000007</v>
      </c>
      <c r="E235" s="39">
        <f>(VLOOKUP($A235,'The List'!$B1:$AH727,17,FALSE)-AVERAGE('The List'!R2:R727))/STDEV('The List'!R2:R727)</f>
        <v>-0.35405471252449039</v>
      </c>
      <c r="F235" s="39">
        <f>(VLOOKUP($A235,'The List'!$B1:$AH727,18,FALSE)-AVERAGE('The List'!S2:S727))/STDEV('The List'!S2:S727)</f>
        <v>0.15397002182720246</v>
      </c>
      <c r="G235" s="39">
        <f>(VLOOKUP($A235,'The List'!$B1:$AH727,19,FALSE)-AVERAGE('The List'!T2:T727))/STDEV('The List'!T2:T727)</f>
        <v>0.28514961016822427</v>
      </c>
      <c r="H235" s="39">
        <f>(VLOOKUP($A235,'The List'!$B1:$AH727,20,FALSE)-AVERAGE('The List'!U2:U727))/STDEV('The List'!U2:U727)</f>
        <v>0.24577781023751027</v>
      </c>
      <c r="I235" s="39">
        <f>(VLOOKUP($A235,'The List'!$B1:$AH727,21,FALSE)-AVERAGE('The List'!V2:V727))/STDEV('The List'!V2:V727)</f>
        <v>-6.0021978031129096E-2</v>
      </c>
      <c r="J235" s="39">
        <f>(VLOOKUP($A235,'The List'!$B1:$AH727,22,FALSE)-AVERAGE('The List'!W2:W727))/STDEV('The List'!W2:W727)</f>
        <v>-0.10293574663190727</v>
      </c>
      <c r="K235" s="39">
        <f>(VLOOKUP($A235,'The List'!$B1:$AH727,23,FALSE)-AVERAGE('The List'!X2:X727))/STDEV('The List'!X2:X727)</f>
        <v>-3.5295284177669535E-2</v>
      </c>
      <c r="L235" s="39">
        <f>(VLOOKUP($A235,'The List'!$B1:$AH727,24,FALSE)-AVERAGE('The List'!Y2:Y727))/STDEV('The List'!Y2:Y727)</f>
        <v>-0.3215912809516227</v>
      </c>
      <c r="M235" s="39">
        <f>(VLOOKUP($A235,'The List'!$B1:$AH727,25,FALSE)-AVERAGE('The List'!Z2:Z727))/STDEV('The List'!Z2:Z727)</f>
        <v>-0.42861229661588673</v>
      </c>
      <c r="N235" s="39">
        <f>(VLOOKUP($A235,'The List'!$B1:$AH727,26,FALSE)-AVERAGE('The List'!AA2:AA727))/STDEV('The List'!AA2:AA727)</f>
        <v>-0.94846765402220778</v>
      </c>
      <c r="O235" s="39">
        <f>(VLOOKUP($A235,'The List'!$B1:$AH727,27,FALSE)-AVERAGE('The List'!AB2:AB727))/STDEV('The List'!AB2:AB727)</f>
        <v>-1.1783935658104574</v>
      </c>
      <c r="P235" s="39">
        <f>(VLOOKUP($A235,'The List'!$B1:$AH727,28,FALSE)-AVERAGE('The List'!AC2:AC727))/STDEV('The List'!AC2:AC727)</f>
        <v>-2.4113574610377331</v>
      </c>
      <c r="Q235" s="39">
        <f>(VLOOKUP($A235,'The List'!$B1:$AH727,29,FALSE)-AVERAGE('The List'!AD2:AD727))/STDEV('The List'!AD2:AD727)</f>
        <v>1.2999180376867212</v>
      </c>
      <c r="R235" s="39">
        <f>(VLOOKUP($A235,'The List'!$B1:$AH727,30,FALSE)-AVERAGE('The List'!AE2:AE727))/STDEV('The List'!AE2:AE727)</f>
        <v>-0.16680077577350488</v>
      </c>
      <c r="S235" s="39">
        <f>(VLOOKUP($A235,'The List'!$B1:$AH727,31,FALSE)-AVERAGE('The List'!AF2:AF727))/STDEV('The List'!AF2:AF727)</f>
        <v>1.183196046545502</v>
      </c>
      <c r="T235" s="39">
        <f>(VLOOKUP($A235,'The List'!$B1:$AH727,32,FALSE)-AVERAGE('The List'!AG2:AG727))/STDEV('The List'!AG2:AG727)</f>
        <v>1.7400060792134293</v>
      </c>
      <c r="U235" s="39">
        <f>(VLOOKUP($A235,'The List'!$B1:$AH727,33,FALSE)-AVERAGE('The List'!AH2:AH727))/STDEV('The List'!AH2:AH727)</f>
        <v>0.74324026633430207</v>
      </c>
      <c r="V235" s="39"/>
      <c r="W235" s="43"/>
      <c r="X235" s="41"/>
      <c r="Y235" s="41"/>
      <c r="Z235" s="41"/>
      <c r="AA235" s="41"/>
      <c r="AB235" s="41"/>
      <c r="AC235" s="44"/>
      <c r="AD235" s="45"/>
      <c r="AE235" s="39"/>
    </row>
    <row r="236" spans="1:31" ht="21.25" customHeight="1" x14ac:dyDescent="0.15">
      <c r="A236" s="8" t="s">
        <v>392</v>
      </c>
      <c r="B236" s="35" t="str">
        <f>VLOOKUP(A236,'Player Data'!A1:B734,2,FALSE)</f>
        <v>ARI</v>
      </c>
      <c r="C236" s="37">
        <f>((E236)*Settings!$C$12)+(F236*Settings!$C$2)+(G236*Settings!$C$3)+(H236*Settings!$C$4)+(I236*Settings!$C$5)+(K236*Settings!$C$9)+(N236*Settings!$C$6)+(J236*Settings!$C$8)+(O236*Settings!$C$7)+(P236*Settings!$C$14)+(Q236*Settings!$C$15)+(R236*Settings!$C$16)+(S236*Settings!$C$17)+(T236*Settings!$C$18)+(U236*Settings!$C$19)</f>
        <v>-0.4085351651864299</v>
      </c>
      <c r="D236" s="41">
        <f>IF(Settings!$E$12="YES",VLOOKUP(A236,'Player Data'!A1:E734,5,FALSE),82)</f>
        <v>78.072857142857103</v>
      </c>
      <c r="E236" s="39">
        <f>(VLOOKUP($A236,'The List'!$B1:$AH727,17,FALSE)-AVERAGE('The List'!R2:R727))/STDEV('The List'!R2:R727)</f>
        <v>7.4908445595094506E-2</v>
      </c>
      <c r="F236" s="39">
        <f>(VLOOKUP($A236,'The List'!$B1:$AH727,18,FALSE)-AVERAGE('The List'!S2:S727))/STDEV('The List'!S2:S727)</f>
        <v>0.6874936031761153</v>
      </c>
      <c r="G236" s="39">
        <f>(VLOOKUP($A236,'The List'!$B1:$AH727,19,FALSE)-AVERAGE('The List'!T2:T727))/STDEV('The List'!T2:T727)</f>
        <v>-0.21810660999742298</v>
      </c>
      <c r="H236" s="39">
        <f>(VLOOKUP($A236,'The List'!$B1:$AH727,20,FALSE)-AVERAGE('The List'!U2:U727))/STDEV('The List'!U2:U727)</f>
        <v>0.17845330890028727</v>
      </c>
      <c r="I236" s="39">
        <f>(VLOOKUP($A236,'The List'!$B1:$AH727,21,FALSE)-AVERAGE('The List'!V2:V727))/STDEV('The List'!V2:V727)</f>
        <v>0.21914812008986825</v>
      </c>
      <c r="J236" s="39">
        <f>(VLOOKUP($A236,'The List'!$B1:$AH727,22,FALSE)-AVERAGE('The List'!W2:W727))/STDEV('The List'!W2:W727)</f>
        <v>0.26713750690857019</v>
      </c>
      <c r="K236" s="39">
        <f>(VLOOKUP($A236,'The List'!$B1:$AH727,23,FALSE)-AVERAGE('The List'!X2:X727))/STDEV('The List'!X2:X727)</f>
        <v>-0.1661402729639018</v>
      </c>
      <c r="L236" s="39">
        <f>(VLOOKUP($A236,'The List'!$B1:$AH727,24,FALSE)-AVERAGE('The List'!Y2:Y727))/STDEV('The List'!Y2:Y727)</f>
        <v>0.21948320827546627</v>
      </c>
      <c r="M236" s="39">
        <f>(VLOOKUP($A236,'The List'!$B1:$AH727,25,FALSE)-AVERAGE('The List'!Z2:Z727))/STDEV('The List'!Z2:Z727)</f>
        <v>-0.1505248446325004</v>
      </c>
      <c r="N236" s="39">
        <f>(VLOOKUP($A236,'The List'!$B1:$AH727,26,FALSE)-AVERAGE('The List'!AA2:AA727))/STDEV('The List'!AA2:AA727)</f>
        <v>-0.1776884793807279</v>
      </c>
      <c r="O236" s="39">
        <f>(VLOOKUP($A236,'The List'!$B1:$AH727,27,FALSE)-AVERAGE('The List'!AB2:AB727))/STDEV('The List'!AB2:AB727)</f>
        <v>1.9962578606313783</v>
      </c>
      <c r="P236" s="39">
        <f>(VLOOKUP($A236,'The List'!$B1:$AH727,28,FALSE)-AVERAGE('The List'!AC2:AC727))/STDEV('The List'!AC2:AC727)</f>
        <v>-0.75324152611036077</v>
      </c>
      <c r="Q236" s="39">
        <f>(VLOOKUP($A236,'The List'!$B1:$AH727,29,FALSE)-AVERAGE('The List'!AD2:AD727))/STDEV('The List'!AD2:AD727)</f>
        <v>0.76695687395481682</v>
      </c>
      <c r="R236" s="39">
        <f>(VLOOKUP($A236,'The List'!$B1:$AH727,30,FALSE)-AVERAGE('The List'!AE2:AE727))/STDEV('The List'!AE2:AE727)</f>
        <v>0.40310071345319526</v>
      </c>
      <c r="S236" s="39">
        <f>(VLOOKUP($A236,'The List'!$B1:$AH727,31,FALSE)-AVERAGE('The List'!AF2:AF727))/STDEV('The List'!AF2:AF727)</f>
        <v>-0.41412266217320215</v>
      </c>
      <c r="T236" s="39">
        <f>(VLOOKUP($A236,'The List'!$B1:$AH727,32,FALSE)-AVERAGE('The List'!AG2:AG727))/STDEV('The List'!AG2:AG727)</f>
        <v>-0.36360676509357776</v>
      </c>
      <c r="U236" s="39">
        <f>(VLOOKUP($A236,'The List'!$B1:$AH727,33,FALSE)-AVERAGE('The List'!AH2:AH727))/STDEV('The List'!AH2:AH727)</f>
        <v>0.51573460227211265</v>
      </c>
      <c r="V236" s="39"/>
      <c r="W236" s="43"/>
      <c r="X236" s="41"/>
      <c r="Y236" s="41"/>
      <c r="Z236" s="41"/>
      <c r="AA236" s="41"/>
      <c r="AB236" s="41"/>
      <c r="AC236" s="44"/>
      <c r="AD236" s="45"/>
      <c r="AE236" s="39"/>
    </row>
    <row r="237" spans="1:31" ht="21.25" customHeight="1" x14ac:dyDescent="0.15">
      <c r="A237" s="8" t="s">
        <v>314</v>
      </c>
      <c r="B237" s="35" t="str">
        <f>VLOOKUP(A237,'Player Data'!A1:B734,2,FALSE)</f>
        <v>CBJ</v>
      </c>
      <c r="C237" s="37">
        <f>((E237)*Settings!$C$12)+(F237*Settings!$C$2)+(G237*Settings!$C$3)+(H237*Settings!$C$4)+(I237*Settings!$C$5)+(K237*Settings!$C$9)+(N237*Settings!$C$6)+(J237*Settings!$C$8)+(O237*Settings!$C$7)+(P237*Settings!$C$14)+(Q237*Settings!$C$15)+(R237*Settings!$C$16)+(S237*Settings!$C$17)+(T237*Settings!$C$18)+(U237*Settings!$C$19)</f>
        <v>9.1740645740331139E-2</v>
      </c>
      <c r="D237" s="41">
        <f>IF(Settings!$E$12="YES",VLOOKUP(A237,'Player Data'!A1:E734,5,FALSE),82)</f>
        <v>78.34</v>
      </c>
      <c r="E237" s="39">
        <f>(VLOOKUP($A237,'The List'!$B1:$AH727,17,FALSE)-AVERAGE('The List'!R2:R727))/STDEV('The List'!R2:R727)</f>
        <v>-9.4924049054613671E-2</v>
      </c>
      <c r="F237" s="39">
        <f>(VLOOKUP($A237,'The List'!$B1:$AH727,18,FALSE)-AVERAGE('The List'!S2:S727))/STDEV('The List'!S2:S727)</f>
        <v>1.2977348326513782</v>
      </c>
      <c r="G237" s="39">
        <f>(VLOOKUP($A237,'The List'!$B1:$AH727,19,FALSE)-AVERAGE('The List'!T2:T727))/STDEV('The List'!T2:T727)</f>
        <v>-0.66424978484636665</v>
      </c>
      <c r="H237" s="39">
        <f>(VLOOKUP($A237,'The List'!$B1:$AH727,20,FALSE)-AVERAGE('The List'!U2:U727))/STDEV('The List'!U2:U727)</f>
        <v>0.18123372258855672</v>
      </c>
      <c r="I237" s="39">
        <f>(VLOOKUP($A237,'The List'!$B1:$AH727,21,FALSE)-AVERAGE('The List'!V2:V727))/STDEV('The List'!V2:V727)</f>
        <v>0.67357684323046541</v>
      </c>
      <c r="J237" s="39">
        <f>(VLOOKUP($A237,'The List'!$B1:$AH727,22,FALSE)-AVERAGE('The List'!W2:W727))/STDEV('The List'!W2:W727)</f>
        <v>1.6713607244839537</v>
      </c>
      <c r="K237" s="39">
        <f>(VLOOKUP($A237,'The List'!$B1:$AH727,23,FALSE)-AVERAGE('The List'!X2:X727))/STDEV('The List'!X2:X727)</f>
        <v>0.56113658453141968</v>
      </c>
      <c r="L237" s="39">
        <f>(VLOOKUP($A237,'The List'!$B1:$AH727,24,FALSE)-AVERAGE('The List'!Y2:Y727))/STDEV('The List'!Y2:Y727)</f>
        <v>-0.48503037931517434</v>
      </c>
      <c r="M237" s="39">
        <f>(VLOOKUP($A237,'The List'!$B1:$AH727,25,FALSE)-AVERAGE('The List'!Z2:Z727))/STDEV('The List'!Z2:Z727)</f>
        <v>-0.6565039424592779</v>
      </c>
      <c r="N237" s="39">
        <f>(VLOOKUP($A237,'The List'!$B1:$AH727,26,FALSE)-AVERAGE('The List'!AA2:AA727))/STDEV('The List'!AA2:AA727)</f>
        <v>-0.25696757423232014</v>
      </c>
      <c r="O237" s="39">
        <f>(VLOOKUP($A237,'The List'!$B1:$AH727,27,FALSE)-AVERAGE('The List'!AB2:AB727))/STDEV('The List'!AB2:AB727)</f>
        <v>-0.77365675861407035</v>
      </c>
      <c r="P237" s="39">
        <f>(VLOOKUP($A237,'The List'!$B1:$AH727,28,FALSE)-AVERAGE('The List'!AC2:AC727))/STDEV('The List'!AC2:AC727)</f>
        <v>-1.5194902555942453</v>
      </c>
      <c r="Q237" s="39">
        <f>(VLOOKUP($A237,'The List'!$B1:$AH727,29,FALSE)-AVERAGE('The List'!AD2:AD727))/STDEV('The List'!AD2:AD727)</f>
        <v>-0.42891512175694135</v>
      </c>
      <c r="R237" s="39">
        <f>(VLOOKUP($A237,'The List'!$B1:$AH727,30,FALSE)-AVERAGE('The List'!AE2:AE727))/STDEV('The List'!AE2:AE727)</f>
        <v>0.62194907491699991</v>
      </c>
      <c r="S237" s="39">
        <f>(VLOOKUP($A237,'The List'!$B1:$AH727,31,FALSE)-AVERAGE('The List'!AF2:AF727))/STDEV('The List'!AF2:AF727)</f>
        <v>-0.49947343182990162</v>
      </c>
      <c r="T237" s="39">
        <f>(VLOOKUP($A237,'The List'!$B1:$AH727,32,FALSE)-AVERAGE('The List'!AG2:AG727))/STDEV('The List'!AG2:AG727)</f>
        <v>-0.55396242837452891</v>
      </c>
      <c r="U237" s="39">
        <f>(VLOOKUP($A237,'The List'!$B1:$AH727,33,FALSE)-AVERAGE('The List'!AH2:AH727))/STDEV('The List'!AH2:AH727)</f>
        <v>1.3017166794820354</v>
      </c>
      <c r="V237" s="39"/>
      <c r="W237" s="43"/>
      <c r="X237" s="41"/>
      <c r="Y237" s="41"/>
      <c r="Z237" s="41"/>
      <c r="AA237" s="41"/>
      <c r="AB237" s="41"/>
      <c r="AC237" s="44"/>
      <c r="AD237" s="45"/>
      <c r="AE237" s="39"/>
    </row>
    <row r="238" spans="1:31" ht="21.25" customHeight="1" x14ac:dyDescent="0.15">
      <c r="A238" s="8" t="s">
        <v>408</v>
      </c>
      <c r="B238" s="35" t="str">
        <f>VLOOKUP(A238,'Player Data'!A1:B734,2,FALSE)</f>
        <v>NYR</v>
      </c>
      <c r="C238" s="37">
        <f>((E238)*Settings!$C$12)+(F238*Settings!$C$2)+(G238*Settings!$C$3)+(H238*Settings!$C$4)+(I238*Settings!$C$5)+(K238*Settings!$C$9)+(N238*Settings!$C$6)+(J238*Settings!$C$8)+(O238*Settings!$C$7)+(P238*Settings!$C$14)+(Q238*Settings!$C$15)+(R238*Settings!$C$16)+(S238*Settings!$C$17)+(T238*Settings!$C$18)+(U238*Settings!$C$19)</f>
        <v>0.32318463423770261</v>
      </c>
      <c r="D238" s="41">
        <f>IF(Settings!$E$12="YES",VLOOKUP(A238,'Player Data'!A1:E734,5,FALSE),82)</f>
        <v>75.496071428571398</v>
      </c>
      <c r="E238" s="39">
        <f>(VLOOKUP($A238,'The List'!$B1:$AH727,17,FALSE)-AVERAGE('The List'!R2:R727))/STDEV('The List'!R2:R727)</f>
        <v>-0.27969217183411105</v>
      </c>
      <c r="F238" s="39">
        <f>(VLOOKUP($A238,'The List'!$B1:$AH727,18,FALSE)-AVERAGE('The List'!S2:S727))/STDEV('The List'!S2:S727)</f>
        <v>0.43814914631999324</v>
      </c>
      <c r="G238" s="39">
        <f>(VLOOKUP($A238,'The List'!$B1:$AH727,19,FALSE)-AVERAGE('The List'!T2:T727))/STDEV('The List'!T2:T727)</f>
        <v>-3.0738356594132064E-3</v>
      </c>
      <c r="H238" s="39">
        <f>(VLOOKUP($A238,'The List'!$B1:$AH727,20,FALSE)-AVERAGE('The List'!U2:U727))/STDEV('The List'!U2:U727)</f>
        <v>0.19749115351635471</v>
      </c>
      <c r="I238" s="39">
        <f>(VLOOKUP($A238,'The List'!$B1:$AH727,21,FALSE)-AVERAGE('The List'!V2:V727))/STDEV('The List'!V2:V727)</f>
        <v>-0.12999441154266816</v>
      </c>
      <c r="J238" s="39">
        <f>(VLOOKUP($A238,'The List'!$B1:$AH727,22,FALSE)-AVERAGE('The List'!W2:W727))/STDEV('The List'!W2:W727)</f>
        <v>-0.4357116033705638</v>
      </c>
      <c r="K238" s="39">
        <f>(VLOOKUP($A238,'The List'!$B1:$AH727,23,FALSE)-AVERAGE('The List'!X2:X727))/STDEV('The List'!X2:X727)</f>
        <v>-0.43856749729941052</v>
      </c>
      <c r="L238" s="39">
        <f>(VLOOKUP($A238,'The List'!$B1:$AH727,24,FALSE)-AVERAGE('The List'!Y2:Y727))/STDEV('The List'!Y2:Y727)</f>
        <v>-0.35839424235718048</v>
      </c>
      <c r="M238" s="39">
        <f>(VLOOKUP($A238,'The List'!$B1:$AH727,25,FALSE)-AVERAGE('The List'!Z2:Z727))/STDEV('The List'!Z2:Z727)</f>
        <v>-0.51605336426381443</v>
      </c>
      <c r="N238" s="39">
        <f>(VLOOKUP($A238,'The List'!$B1:$AH727,26,FALSE)-AVERAGE('The List'!AA2:AA727))/STDEV('The List'!AA2:AA727)</f>
        <v>-0.83163553876855012</v>
      </c>
      <c r="O238" s="39">
        <f>(VLOOKUP($A238,'The List'!$B1:$AH727,27,FALSE)-AVERAGE('The List'!AB2:AB727))/STDEV('The List'!AB2:AB727)</f>
        <v>-1.3200508981417731</v>
      </c>
      <c r="P238" s="39">
        <f>(VLOOKUP($A238,'The List'!$B1:$AH727,28,FALSE)-AVERAGE('The List'!AC2:AC727))/STDEV('The List'!AC2:AC727)</f>
        <v>1.2883067711877514</v>
      </c>
      <c r="Q238" s="39">
        <f>(VLOOKUP($A238,'The List'!$B1:$AH727,29,FALSE)-AVERAGE('The List'!AD2:AD727))/STDEV('The List'!AD2:AD727)</f>
        <v>-1.1297526656582024</v>
      </c>
      <c r="R238" s="39">
        <f>(VLOOKUP($A238,'The List'!$B1:$AH727,30,FALSE)-AVERAGE('The List'!AE2:AE727))/STDEV('The List'!AE2:AE727)</f>
        <v>0.7358216374875175</v>
      </c>
      <c r="S238" s="39">
        <f>(VLOOKUP($A238,'The List'!$B1:$AH727,31,FALSE)-AVERAGE('The List'!AF2:AF727))/STDEV('The List'!AF2:AF727)</f>
        <v>-0.55145418865714757</v>
      </c>
      <c r="T238" s="39">
        <f>(VLOOKUP($A238,'The List'!$B1:$AH727,32,FALSE)-AVERAGE('The List'!AG2:AG727))/STDEV('The List'!AG2:AG727)</f>
        <v>-0.58174077258393664</v>
      </c>
      <c r="U238" s="39">
        <f>(VLOOKUP($A238,'The List'!$B1:$AH727,33,FALSE)-AVERAGE('The List'!AH2:AH727))/STDEV('The List'!AH2:AH727)</f>
        <v>-8.2978923641393559E-2</v>
      </c>
      <c r="V238" s="39"/>
      <c r="W238" s="43"/>
      <c r="X238" s="41"/>
      <c r="Y238" s="41"/>
      <c r="Z238" s="41"/>
      <c r="AA238" s="41"/>
      <c r="AB238" s="41"/>
      <c r="AC238" s="44"/>
      <c r="AD238" s="45"/>
      <c r="AE238" s="39"/>
    </row>
    <row r="239" spans="1:31" ht="21.25" customHeight="1" x14ac:dyDescent="0.15">
      <c r="A239" s="8" t="s">
        <v>267</v>
      </c>
      <c r="B239" s="35" t="str">
        <f>VLOOKUP(A239,'Player Data'!A1:B734,2,FALSE)</f>
        <v>BOS</v>
      </c>
      <c r="C239" s="37">
        <f>((E239)*Settings!$C$12)+(F239*Settings!$C$2)+(G239*Settings!$C$3)+(H239*Settings!$C$4)+(I239*Settings!$C$5)+(K239*Settings!$C$9)+(N239*Settings!$C$6)+(J239*Settings!$C$8)+(O239*Settings!$C$7)+(P239*Settings!$C$14)+(Q239*Settings!$C$15)+(R239*Settings!$C$16)+(S239*Settings!$C$17)+(T239*Settings!$C$18)+(U239*Settings!$C$19)</f>
        <v>3.5182754937752243</v>
      </c>
      <c r="D239" s="41">
        <f>IF(Settings!$E$12="YES",VLOOKUP(A239,'Player Data'!A1:E734,5,FALSE),82)</f>
        <v>76.862499999999997</v>
      </c>
      <c r="E239" s="39">
        <f>(VLOOKUP($A239,'The List'!$B1:$AH727,17,FALSE)-AVERAGE('The List'!R2:R727))/STDEV('The List'!R2:R727)</f>
        <v>1.3689634175166714</v>
      </c>
      <c r="F239" s="39">
        <f>(VLOOKUP($A239,'The List'!$B1:$AH727,18,FALSE)-AVERAGE('The List'!S2:S727))/STDEV('The List'!S2:S727)</f>
        <v>-0.55557360338910244</v>
      </c>
      <c r="G239" s="39">
        <f>(VLOOKUP($A239,'The List'!$B1:$AH727,19,FALSE)-AVERAGE('The List'!T2:T727))/STDEV('The List'!T2:T727)</f>
        <v>0.76866265738732087</v>
      </c>
      <c r="H239" s="39">
        <f>(VLOOKUP($A239,'The List'!$B1:$AH727,20,FALSE)-AVERAGE('The List'!U2:U727))/STDEV('The List'!U2:U727)</f>
        <v>0.2208362519584319</v>
      </c>
      <c r="I239" s="39">
        <f>(VLOOKUP($A239,'The List'!$B1:$AH727,21,FALSE)-AVERAGE('The List'!V2:V727))/STDEV('The List'!V2:V727)</f>
        <v>0.22125180430807032</v>
      </c>
      <c r="J239" s="39">
        <f>(VLOOKUP($A239,'The List'!$B1:$AH727,22,FALSE)-AVERAGE('The List'!W2:W727))/STDEV('The List'!W2:W727)</f>
        <v>-0.3775167731177051</v>
      </c>
      <c r="K239" s="39">
        <f>(VLOOKUP($A239,'The List'!$B1:$AH727,23,FALSE)-AVERAGE('The List'!X2:X727))/STDEV('The List'!X2:X727)</f>
        <v>0.59661008750504019</v>
      </c>
      <c r="L239" s="39">
        <f>(VLOOKUP($A239,'The List'!$B1:$AH727,24,FALSE)-AVERAGE('The List'!Y2:Y727))/STDEV('The List'!Y2:Y727)</f>
        <v>-0.49153363529205096</v>
      </c>
      <c r="M239" s="39">
        <f>(VLOOKUP($A239,'The List'!$B1:$AH727,25,FALSE)-AVERAGE('The List'!Z2:Z727))/STDEV('The List'!Z2:Z727)</f>
        <v>-0.31597942262669548</v>
      </c>
      <c r="N239" s="39">
        <f>(VLOOKUP($A239,'The List'!$B1:$AH727,26,FALSE)-AVERAGE('The List'!AA2:AA727))/STDEV('The List'!AA2:AA727)</f>
        <v>0.99682820069014477</v>
      </c>
      <c r="O239" s="39">
        <f>(VLOOKUP($A239,'The List'!$B1:$AH727,27,FALSE)-AVERAGE('The List'!AB2:AB727))/STDEV('The List'!AB2:AB727)</f>
        <v>-0.22594757130226717</v>
      </c>
      <c r="P239" s="39">
        <f>(VLOOKUP($A239,'The List'!$B1:$AH727,28,FALSE)-AVERAGE('The List'!AC2:AC727))/STDEV('The List'!AC2:AC727)</f>
        <v>1.4904963472737507</v>
      </c>
      <c r="Q239" s="39">
        <f>(VLOOKUP($A239,'The List'!$B1:$AH727,29,FALSE)-AVERAGE('The List'!AD2:AD727))/STDEV('The List'!AD2:AD727)</f>
        <v>1.3520704610280641</v>
      </c>
      <c r="R239" s="39">
        <f>(VLOOKUP($A239,'The List'!$B1:$AH727,30,FALSE)-AVERAGE('The List'!AE2:AE727))/STDEV('The List'!AE2:AE727)</f>
        <v>-0.38240463217382059</v>
      </c>
      <c r="S239" s="39">
        <f>(VLOOKUP($A239,'The List'!$B1:$AH727,31,FALSE)-AVERAGE('The List'!AF2:AF727))/STDEV('The List'!AF2:AF727)</f>
        <v>-0.55804314905918151</v>
      </c>
      <c r="T239" s="39">
        <f>(VLOOKUP($A239,'The List'!$B1:$AH727,32,FALSE)-AVERAGE('The List'!AG2:AG727))/STDEV('The List'!AG2:AG727)</f>
        <v>-0.60188453558131205</v>
      </c>
      <c r="U239" s="39">
        <f>(VLOOKUP($A239,'The List'!$B1:$AH727,33,FALSE)-AVERAGE('The List'!AH2:AH727))/STDEV('The List'!AH2:AH727)</f>
        <v>-1.2395873372913611</v>
      </c>
      <c r="V239" s="39"/>
      <c r="W239" s="43"/>
      <c r="X239" s="41"/>
      <c r="Y239" s="41"/>
      <c r="Z239" s="41"/>
      <c r="AA239" s="41"/>
      <c r="AB239" s="41"/>
      <c r="AC239" s="44"/>
      <c r="AD239" s="45"/>
      <c r="AE239" s="39"/>
    </row>
    <row r="240" spans="1:31" ht="21.25" customHeight="1" x14ac:dyDescent="0.15">
      <c r="A240" s="8" t="s">
        <v>278</v>
      </c>
      <c r="B240" s="35" t="str">
        <f>VLOOKUP(A240,'Player Data'!A1:B734,2,FALSE)</f>
        <v>VAN</v>
      </c>
      <c r="C240" s="37">
        <f>((E240)*Settings!$C$12)+(F240*Settings!$C$2)+(G240*Settings!$C$3)+(H240*Settings!$C$4)+(I240*Settings!$C$5)+(K240*Settings!$C$9)+(N240*Settings!$C$6)+(J240*Settings!$C$8)+(O240*Settings!$C$7)+(P240*Settings!$C$14)+(Q240*Settings!$C$15)+(R240*Settings!$C$16)+(S240*Settings!$C$17)+(T240*Settings!$C$18)+(U240*Settings!$C$19)</f>
        <v>1.2961482264195741</v>
      </c>
      <c r="D240" s="41">
        <f>IF(Settings!$E$12="YES",VLOOKUP(A240,'Player Data'!A1:E734,5,FALSE),82)</f>
        <v>78.284999999999997</v>
      </c>
      <c r="E240" s="39">
        <f>(VLOOKUP($A240,'The List'!$B1:$AH727,17,FALSE)-AVERAGE('The List'!R2:R727))/STDEV('The List'!R2:R727)</f>
        <v>1.5040783966353464</v>
      </c>
      <c r="F240" s="39">
        <f>(VLOOKUP($A240,'The List'!$B1:$AH727,18,FALSE)-AVERAGE('The List'!S2:S727))/STDEV('The List'!S2:S727)</f>
        <v>-0.60632210464903158</v>
      </c>
      <c r="G240" s="39">
        <f>(VLOOKUP($A240,'The List'!$B1:$AH727,19,FALSE)-AVERAGE('The List'!T2:T727))/STDEV('The List'!T2:T727)</f>
        <v>0.70617173134351419</v>
      </c>
      <c r="H240" s="39">
        <f>(VLOOKUP($A240,'The List'!$B1:$AH727,20,FALSE)-AVERAGE('The List'!U2:U727))/STDEV('The List'!U2:U727)</f>
        <v>0.15923502418860319</v>
      </c>
      <c r="I240" s="39">
        <f>(VLOOKUP($A240,'The List'!$B1:$AH727,21,FALSE)-AVERAGE('The List'!V2:V727))/STDEV('The List'!V2:V727)</f>
        <v>0.19915336729441932</v>
      </c>
      <c r="J240" s="39">
        <f>(VLOOKUP($A240,'The List'!$B1:$AH727,22,FALSE)-AVERAGE('The List'!W2:W727))/STDEV('The List'!W2:W727)</f>
        <v>-0.17332196317039386</v>
      </c>
      <c r="K240" s="39">
        <f>(VLOOKUP($A240,'The List'!$B1:$AH727,23,FALSE)-AVERAGE('The List'!X2:X727))/STDEV('The List'!X2:X727)</f>
        <v>0.22645651805129308</v>
      </c>
      <c r="L240" s="39">
        <f>(VLOOKUP($A240,'The List'!$B1:$AH727,24,FALSE)-AVERAGE('The List'!Y2:Y727))/STDEV('The List'!Y2:Y727)</f>
        <v>-0.47887090762740542</v>
      </c>
      <c r="M240" s="39">
        <f>(VLOOKUP($A240,'The List'!$B1:$AH727,25,FALSE)-AVERAGE('The List'!Z2:Z727))/STDEV('The List'!Z2:Z727)</f>
        <v>-0.57137973729587344</v>
      </c>
      <c r="N240" s="39">
        <f>(VLOOKUP($A240,'The List'!$B1:$AH727,26,FALSE)-AVERAGE('The List'!AA2:AA727))/STDEV('The List'!AA2:AA727)</f>
        <v>0.72385118390589021</v>
      </c>
      <c r="O240" s="39">
        <f>(VLOOKUP($A240,'The List'!$B1:$AH727,27,FALSE)-AVERAGE('The List'!AB2:AB727))/STDEV('The List'!AB2:AB727)</f>
        <v>0.30103092238394241</v>
      </c>
      <c r="P240" s="39">
        <f>(VLOOKUP($A240,'The List'!$B1:$AH727,28,FALSE)-AVERAGE('The List'!AC2:AC727))/STDEV('The List'!AC2:AC727)</f>
        <v>4.6837530473488889E-2</v>
      </c>
      <c r="Q240" s="39">
        <f>(VLOOKUP($A240,'The List'!$B1:$AH727,29,FALSE)-AVERAGE('The List'!AD2:AD727))/STDEV('The List'!AD2:AD727)</f>
        <v>2.7223700869667543E-2</v>
      </c>
      <c r="R240" s="39">
        <f>(VLOOKUP($A240,'The List'!$B1:$AH727,30,FALSE)-AVERAGE('The List'!AE2:AE727))/STDEV('The List'!AE2:AE727)</f>
        <v>-0.5562892405705534</v>
      </c>
      <c r="S240" s="39">
        <f>(VLOOKUP($A240,'The List'!$B1:$AH727,31,FALSE)-AVERAGE('The List'!AF2:AF727))/STDEV('The List'!AF2:AF727)</f>
        <v>-0.55804314905918151</v>
      </c>
      <c r="T240" s="39">
        <f>(VLOOKUP($A240,'The List'!$B1:$AH727,32,FALSE)-AVERAGE('The List'!AG2:AG727))/STDEV('The List'!AG2:AG727)</f>
        <v>-0.60188453558131205</v>
      </c>
      <c r="U240" s="39">
        <f>(VLOOKUP($A240,'The List'!$B1:$AH727,33,FALSE)-AVERAGE('The List'!AH2:AH727))/STDEV('The List'!AH2:AH727)</f>
        <v>-1.2395873372913611</v>
      </c>
      <c r="V240" s="39"/>
      <c r="W240" s="43"/>
      <c r="X240" s="41"/>
      <c r="Y240" s="41"/>
      <c r="Z240" s="41"/>
      <c r="AA240" s="41"/>
      <c r="AB240" s="41"/>
      <c r="AC240" s="44"/>
      <c r="AD240" s="45"/>
      <c r="AE240" s="39"/>
    </row>
    <row r="241" spans="1:31" ht="21.25" customHeight="1" x14ac:dyDescent="0.15">
      <c r="A241" s="8" t="s">
        <v>367</v>
      </c>
      <c r="B241" s="35" t="str">
        <f>VLOOKUP(A241,'Player Data'!A1:B734,2,FALSE)</f>
        <v>COL</v>
      </c>
      <c r="C241" s="37">
        <f>((E241)*Settings!$C$12)+(F241*Settings!$C$2)+(G241*Settings!$C$3)+(H241*Settings!$C$4)+(I241*Settings!$C$5)+(K241*Settings!$C$9)+(N241*Settings!$C$6)+(J241*Settings!$C$8)+(O241*Settings!$C$7)+(P241*Settings!$C$14)+(Q241*Settings!$C$15)+(R241*Settings!$C$16)+(S241*Settings!$C$17)+(T241*Settings!$C$18)+(U241*Settings!$C$19)</f>
        <v>0.11713995992589843</v>
      </c>
      <c r="D241" s="41">
        <f>IF(Settings!$E$12="YES",VLOOKUP(A241,'Player Data'!A1:E734,5,FALSE),82)</f>
        <v>64.004999999999995</v>
      </c>
      <c r="E241" s="39">
        <f>(VLOOKUP($A241,'The List'!$B1:$AH727,17,FALSE)-AVERAGE('The List'!R2:R727))/STDEV('The List'!R2:R727)</f>
        <v>1.0711617729677667</v>
      </c>
      <c r="F241" s="39">
        <f>(VLOOKUP($A241,'The List'!$B1:$AH727,18,FALSE)-AVERAGE('The List'!S2:S727))/STDEV('The List'!S2:S727)</f>
        <v>-0.26937143043857981</v>
      </c>
      <c r="G241" s="39">
        <f>(VLOOKUP($A241,'The List'!$B1:$AH727,19,FALSE)-AVERAGE('The List'!T2:T727))/STDEV('The List'!T2:T727)</f>
        <v>-7.2961204452522466E-2</v>
      </c>
      <c r="H241" s="39">
        <f>(VLOOKUP($A241,'The List'!$B1:$AH727,20,FALSE)-AVERAGE('The List'!U2:U727))/STDEV('The List'!U2:U727)</f>
        <v>-0.16754022313777997</v>
      </c>
      <c r="I241" s="39">
        <f>(VLOOKUP($A241,'The List'!$B1:$AH727,21,FALSE)-AVERAGE('The List'!V2:V727))/STDEV('The List'!V2:V727)</f>
        <v>-0.55315050250237718</v>
      </c>
      <c r="J241" s="39">
        <f>(VLOOKUP($A241,'The List'!$B1:$AH727,22,FALSE)-AVERAGE('The List'!W2:W727))/STDEV('The List'!W2:W727)</f>
        <v>-0.121632279520567</v>
      </c>
      <c r="K241" s="39">
        <f>(VLOOKUP($A241,'The List'!$B1:$AH727,23,FALSE)-AVERAGE('The List'!X2:X727))/STDEV('The List'!X2:X727)</f>
        <v>-0.11695550393036951</v>
      </c>
      <c r="L241" s="39">
        <f>(VLOOKUP($A241,'The List'!$B1:$AH727,24,FALSE)-AVERAGE('The List'!Y2:Y727))/STDEV('The List'!Y2:Y727)</f>
        <v>0.55141501173482332</v>
      </c>
      <c r="M241" s="39">
        <f>(VLOOKUP($A241,'The List'!$B1:$AH727,25,FALSE)-AVERAGE('The List'!Z2:Z727))/STDEV('The List'!Z2:Z727)</f>
        <v>7.1198056690588651E-2</v>
      </c>
      <c r="N241" s="39">
        <f>(VLOOKUP($A241,'The List'!$B1:$AH727,26,FALSE)-AVERAGE('The List'!AA2:AA727))/STDEV('The List'!AA2:AA727)</f>
        <v>0.59587819250866247</v>
      </c>
      <c r="O241" s="39">
        <f>(VLOOKUP($A241,'The List'!$B1:$AH727,27,FALSE)-AVERAGE('The List'!AB2:AB727))/STDEV('The List'!AB2:AB727)</f>
        <v>0.43203723149417378</v>
      </c>
      <c r="P241" s="39">
        <f>(VLOOKUP($A241,'The List'!$B1:$AH727,28,FALSE)-AVERAGE('The List'!AC2:AC727))/STDEV('The List'!AC2:AC727)</f>
        <v>0.53370040874108504</v>
      </c>
      <c r="Q241" s="39">
        <f>(VLOOKUP($A241,'The List'!$B1:$AH727,29,FALSE)-AVERAGE('The List'!AD2:AD727))/STDEV('The List'!AD2:AD727)</f>
        <v>1.0998053708397102</v>
      </c>
      <c r="R241" s="39">
        <f>(VLOOKUP($A241,'The List'!$B1:$AH727,30,FALSE)-AVERAGE('The List'!AE2:AE727))/STDEV('The List'!AE2:AE727)</f>
        <v>-0.13323887695685982</v>
      </c>
      <c r="S241" s="39">
        <f>(VLOOKUP($A241,'The List'!$B1:$AH727,31,FALSE)-AVERAGE('The List'!AF2:AF727))/STDEV('The List'!AF2:AF727)</f>
        <v>-0.55804314905918151</v>
      </c>
      <c r="T241" s="39">
        <f>(VLOOKUP($A241,'The List'!$B1:$AH727,32,FALSE)-AVERAGE('The List'!AG2:AG727))/STDEV('The List'!AG2:AG727)</f>
        <v>-0.60188453558131205</v>
      </c>
      <c r="U241" s="39">
        <f>(VLOOKUP($A241,'The List'!$B1:$AH727,33,FALSE)-AVERAGE('The List'!AH2:AH727))/STDEV('The List'!AH2:AH727)</f>
        <v>-1.2395873372913611</v>
      </c>
      <c r="V241" s="39"/>
      <c r="W241" s="41"/>
      <c r="X241" s="39"/>
      <c r="Y241" s="39"/>
      <c r="Z241" s="39"/>
      <c r="AA241" s="39"/>
      <c r="AB241" s="39"/>
      <c r="AC241" s="39"/>
      <c r="AD241" s="39"/>
      <c r="AE241" s="39"/>
    </row>
    <row r="242" spans="1:31" ht="21.25" customHeight="1" x14ac:dyDescent="0.15">
      <c r="A242" s="8" t="s">
        <v>452</v>
      </c>
      <c r="B242" s="35" t="str">
        <f>VLOOKUP(A242,'Player Data'!A1:B734,2,FALSE)</f>
        <v>EDM</v>
      </c>
      <c r="C242" s="37">
        <f>((E242)*Settings!$C$12)+(F242*Settings!$C$2)+(G242*Settings!$C$3)+(H242*Settings!$C$4)+(I242*Settings!$C$5)+(K242*Settings!$C$9)+(N242*Settings!$C$6)+(J242*Settings!$C$8)+(O242*Settings!$C$7)+(P242*Settings!$C$14)+(Q242*Settings!$C$15)+(R242*Settings!$C$16)+(S242*Settings!$C$17)+(T242*Settings!$C$18)+(U242*Settings!$C$19)</f>
        <v>-0.68496267548818801</v>
      </c>
      <c r="D242" s="41">
        <f>IF(Settings!$E$12="YES",VLOOKUP(A242,'Player Data'!A1:E734,5,FALSE),82)</f>
        <v>67.662499999999994</v>
      </c>
      <c r="E242" s="39">
        <f>(VLOOKUP($A242,'The List'!$B1:$AH727,17,FALSE)-AVERAGE('The List'!R2:R727))/STDEV('The List'!R2:R727)</f>
        <v>0.10281484781755032</v>
      </c>
      <c r="F242" s="39">
        <f>(VLOOKUP($A242,'The List'!$B1:$AH727,18,FALSE)-AVERAGE('The List'!S2:S727))/STDEV('The List'!S2:S727)</f>
        <v>1.9099885459972429E-2</v>
      </c>
      <c r="G242" s="39">
        <f>(VLOOKUP($A242,'The List'!$B1:$AH727,19,FALSE)-AVERAGE('The List'!T2:T727))/STDEV('The List'!T2:T727)</f>
        <v>-0.16809123054343725</v>
      </c>
      <c r="H242" s="39">
        <f>(VLOOKUP($A242,'The List'!$B1:$AH727,20,FALSE)-AVERAGE('The List'!U2:U727))/STDEV('The List'!U2:U727)</f>
        <v>-9.4887720947387233E-2</v>
      </c>
      <c r="I242" s="39">
        <f>(VLOOKUP($A242,'The List'!$B1:$AH727,21,FALSE)-AVERAGE('The List'!V2:V727))/STDEV('The List'!V2:V727)</f>
        <v>-0.24048051481627319</v>
      </c>
      <c r="J242" s="39">
        <f>(VLOOKUP($A242,'The List'!$B1:$AH727,22,FALSE)-AVERAGE('The List'!W2:W727))/STDEV('The List'!W2:W727)</f>
        <v>-0.5585894621601204</v>
      </c>
      <c r="K242" s="39">
        <f>(VLOOKUP($A242,'The List'!$B1:$AH727,23,FALSE)-AVERAGE('The List'!X2:X727))/STDEV('The List'!X2:X727)</f>
        <v>-0.4253193491816501</v>
      </c>
      <c r="L242" s="39">
        <f>(VLOOKUP($A242,'The List'!$B1:$AH727,24,FALSE)-AVERAGE('The List'!Y2:Y727))/STDEV('The List'!Y2:Y727)</f>
        <v>2.3041535543040736</v>
      </c>
      <c r="M242" s="39">
        <f>(VLOOKUP($A242,'The List'!$B1:$AH727,25,FALSE)-AVERAGE('The List'!Z2:Z727))/STDEV('The List'!Z2:Z727)</f>
        <v>2.3730385000207934</v>
      </c>
      <c r="N242" s="39">
        <f>(VLOOKUP($A242,'The List'!$B1:$AH727,26,FALSE)-AVERAGE('The List'!AA2:AA727))/STDEV('The List'!AA2:AA727)</f>
        <v>-0.66658276866889787</v>
      </c>
      <c r="O242" s="39">
        <f>(VLOOKUP($A242,'The List'!$B1:$AH727,27,FALSE)-AVERAGE('The List'!AB2:AB727))/STDEV('The List'!AB2:AB727)</f>
        <v>-1.177465879349199</v>
      </c>
      <c r="P242" s="39">
        <f>(VLOOKUP($A242,'The List'!$B1:$AH727,28,FALSE)-AVERAGE('The List'!AC2:AC727))/STDEV('The List'!AC2:AC727)</f>
        <v>0.79641130226209789</v>
      </c>
      <c r="Q242" s="39">
        <f>(VLOOKUP($A242,'The List'!$B1:$AH727,29,FALSE)-AVERAGE('The List'!AD2:AD727))/STDEV('The List'!AD2:AD727)</f>
        <v>-1.1416110676713707</v>
      </c>
      <c r="R242" s="39">
        <f>(VLOOKUP($A242,'The List'!$B1:$AH727,30,FALSE)-AVERAGE('The List'!AE2:AE727))/STDEV('The List'!AE2:AE727)</f>
        <v>0.16552884331453405</v>
      </c>
      <c r="S242" s="39">
        <f>(VLOOKUP($A242,'The List'!$B1:$AH727,31,FALSE)-AVERAGE('The List'!AF2:AF727))/STDEV('The List'!AF2:AF727)</f>
        <v>-0.40413823401707388</v>
      </c>
      <c r="T242" s="39">
        <f>(VLOOKUP($A242,'The List'!$B1:$AH727,32,FALSE)-AVERAGE('The List'!AG2:AG727))/STDEV('The List'!AG2:AG727)</f>
        <v>-0.35012256467729591</v>
      </c>
      <c r="U242" s="39">
        <f>(VLOOKUP($A242,'The List'!$B1:$AH727,33,FALSE)-AVERAGE('The List'!AH2:AH727))/STDEV('The List'!AH2:AH727)</f>
        <v>0.52866073229184984</v>
      </c>
      <c r="V242" s="39"/>
      <c r="W242" s="43"/>
      <c r="X242" s="41"/>
      <c r="Y242" s="41"/>
      <c r="Z242" s="41"/>
      <c r="AA242" s="41"/>
      <c r="AB242" s="41"/>
      <c r="AC242" s="44"/>
      <c r="AD242" s="45"/>
      <c r="AE242" s="39"/>
    </row>
    <row r="243" spans="1:31" ht="21.25" customHeight="1" x14ac:dyDescent="0.15">
      <c r="A243" s="8" t="s">
        <v>466</v>
      </c>
      <c r="B243" s="35" t="str">
        <f>VLOOKUP(A243,'Player Data'!A1:B734,2,FALSE)</f>
        <v>COL</v>
      </c>
      <c r="C243" s="37">
        <f>((E243)*Settings!$C$12)+(F243*Settings!$C$2)+(G243*Settings!$C$3)+(H243*Settings!$C$4)+(I243*Settings!$C$5)+(K243*Settings!$C$9)+(N243*Settings!$C$6)+(J243*Settings!$C$8)+(O243*Settings!$C$7)+(P243*Settings!$C$14)+(Q243*Settings!$C$15)+(R243*Settings!$C$16)+(S243*Settings!$C$17)+(T243*Settings!$C$18)+(U243*Settings!$C$19)</f>
        <v>0.89121398597470358</v>
      </c>
      <c r="D243" s="41">
        <f>IF(Settings!$E$12="YES",VLOOKUP(A243,'Player Data'!A1:E734,5,FALSE),82)</f>
        <v>77.632857142857105</v>
      </c>
      <c r="E243" s="39">
        <f>(VLOOKUP($A243,'The List'!$B1:$AH727,17,FALSE)-AVERAGE('The List'!R2:R727))/STDEV('The List'!R2:R727)</f>
        <v>-0.58181153657371187</v>
      </c>
      <c r="F243" s="39">
        <f>(VLOOKUP($A243,'The List'!$B1:$AH727,18,FALSE)-AVERAGE('The List'!S2:S727))/STDEV('The List'!S2:S727)</f>
        <v>0.67811143768878179</v>
      </c>
      <c r="G243" s="39">
        <f>(VLOOKUP($A243,'The List'!$B1:$AH727,19,FALSE)-AVERAGE('The List'!T2:T727))/STDEV('The List'!T2:T727)</f>
        <v>-0.309960467767183</v>
      </c>
      <c r="H243" s="39">
        <f>(VLOOKUP($A243,'The List'!$B1:$AH727,20,FALSE)-AVERAGE('The List'!U2:U727))/STDEV('The List'!U2:U727)</f>
        <v>0.11758264356030097</v>
      </c>
      <c r="I243" s="39">
        <f>(VLOOKUP($A243,'The List'!$B1:$AH727,21,FALSE)-AVERAGE('The List'!V2:V727))/STDEV('The List'!V2:V727)</f>
        <v>0.55163861083206556</v>
      </c>
      <c r="J243" s="39">
        <f>(VLOOKUP($A243,'The List'!$B1:$AH727,22,FALSE)-AVERAGE('The List'!W2:W727))/STDEV('The List'!W2:W727)</f>
        <v>-7.6672397375556811E-2</v>
      </c>
      <c r="K243" s="39">
        <f>(VLOOKUP($A243,'The List'!$B1:$AH727,23,FALSE)-AVERAGE('The List'!X2:X727))/STDEV('The List'!X2:X727)</f>
        <v>-0.13000451808239311</v>
      </c>
      <c r="L243" s="39">
        <f>(VLOOKUP($A243,'The List'!$B1:$AH727,24,FALSE)-AVERAGE('The List'!Y2:Y727))/STDEV('The List'!Y2:Y727)</f>
        <v>-0.54164808155196609</v>
      </c>
      <c r="M243" s="39">
        <f>(VLOOKUP($A243,'The List'!$B1:$AH727,25,FALSE)-AVERAGE('The List'!Z2:Z727))/STDEV('The List'!Z2:Z727)</f>
        <v>-0.7210496985687187</v>
      </c>
      <c r="N243" s="39">
        <f>(VLOOKUP($A243,'The List'!$B1:$AH727,26,FALSE)-AVERAGE('The List'!AA2:AA727))/STDEV('The List'!AA2:AA727)</f>
        <v>-0.64762354947824763</v>
      </c>
      <c r="O243" s="39">
        <f>(VLOOKUP($A243,'The List'!$B1:$AH727,27,FALSE)-AVERAGE('The List'!AB2:AB727))/STDEV('The List'!AB2:AB727)</f>
        <v>1.9521917982386523</v>
      </c>
      <c r="P243" s="39">
        <f>(VLOOKUP($A243,'The List'!$B1:$AH727,28,FALSE)-AVERAGE('The List'!AC2:AC727))/STDEV('The List'!AC2:AC727)</f>
        <v>0.74905247278167997</v>
      </c>
      <c r="Q243" s="39">
        <f>(VLOOKUP($A243,'The List'!$B1:$AH727,29,FALSE)-AVERAGE('The List'!AD2:AD727))/STDEV('The List'!AD2:AD727)</f>
        <v>-5.4305392649815404E-2</v>
      </c>
      <c r="R243" s="39">
        <f>(VLOOKUP($A243,'The List'!$B1:$AH727,30,FALSE)-AVERAGE('The List'!AE2:AE727))/STDEV('The List'!AE2:AE727)</f>
        <v>0.84597216921337026</v>
      </c>
      <c r="S243" s="39">
        <f>(VLOOKUP($A243,'The List'!$B1:$AH727,31,FALSE)-AVERAGE('The List'!AF2:AF727))/STDEV('The List'!AF2:AF727)</f>
        <v>0.25283441691632597</v>
      </c>
      <c r="T243" s="39">
        <f>(VLOOKUP($A243,'The List'!$B1:$AH727,32,FALSE)-AVERAGE('The List'!AG2:AG727))/STDEV('The List'!AG2:AG727)</f>
        <v>0.13169552504016152</v>
      </c>
      <c r="U243" s="39">
        <f>(VLOOKUP($A243,'The List'!$B1:$AH727,33,FALSE)-AVERAGE('The List'!AH2:AH727))/STDEV('The List'!AH2:AH727)</f>
        <v>1.1894118997467293</v>
      </c>
      <c r="V243" s="39"/>
      <c r="W243" s="43"/>
      <c r="X243" s="41"/>
      <c r="Y243" s="41"/>
      <c r="Z243" s="41"/>
      <c r="AA243" s="41"/>
      <c r="AB243" s="41"/>
      <c r="AC243" s="44"/>
      <c r="AD243" s="45"/>
      <c r="AE243" s="39"/>
    </row>
    <row r="244" spans="1:31" ht="21.25" customHeight="1" x14ac:dyDescent="0.15">
      <c r="A244" s="8" t="s">
        <v>509</v>
      </c>
      <c r="B244" s="35" t="str">
        <f>VLOOKUP(A244,'Player Data'!A1:B734,2,FALSE)</f>
        <v>VGK</v>
      </c>
      <c r="C244" s="37">
        <f>((E244)*Settings!$C$12)+(F244*Settings!$C$2)+(G244*Settings!$C$3)+(H244*Settings!$C$4)+(I244*Settings!$C$5)+(K244*Settings!$C$9)+(N244*Settings!$C$6)+(J244*Settings!$C$8)+(O244*Settings!$C$7)+(P244*Settings!$C$14)+(Q244*Settings!$C$15)+(R244*Settings!$C$16)+(S244*Settings!$C$17)+(T244*Settings!$C$18)+(U244*Settings!$C$19)</f>
        <v>1.0710488646267069</v>
      </c>
      <c r="D244" s="41">
        <f>IF(Settings!$E$12="YES",VLOOKUP(A244,'Player Data'!A1:E734,5,FALSE),82)</f>
        <v>77.583928571428601</v>
      </c>
      <c r="E244" s="39">
        <f>(VLOOKUP($A244,'The List'!$B1:$AH727,17,FALSE)-AVERAGE('The List'!R2:R727))/STDEV('The List'!R2:R727)</f>
        <v>2.3144919000720188E-2</v>
      </c>
      <c r="F244" s="39">
        <f>(VLOOKUP($A244,'The List'!$B1:$AH727,18,FALSE)-AVERAGE('The List'!S2:S727))/STDEV('The List'!S2:S727)</f>
        <v>0.28849082828123945</v>
      </c>
      <c r="G244" s="39">
        <f>(VLOOKUP($A244,'The List'!$B1:$AH727,19,FALSE)-AVERAGE('The List'!T2:T727))/STDEV('The List'!T2:T727)</f>
        <v>-2.7233067985889089E-2</v>
      </c>
      <c r="H244" s="39">
        <f>(VLOOKUP($A244,'The List'!$B1:$AH727,20,FALSE)-AVERAGE('The List'!U2:U727))/STDEV('The List'!U2:U727)</f>
        <v>0.11450011232020096</v>
      </c>
      <c r="I244" s="39">
        <f>(VLOOKUP($A244,'The List'!$B1:$AH727,21,FALSE)-AVERAGE('The List'!V2:V727))/STDEV('The List'!V2:V727)</f>
        <v>-2.686109046876661E-2</v>
      </c>
      <c r="J244" s="39">
        <f>(VLOOKUP($A244,'The List'!$B1:$AH727,22,FALSE)-AVERAGE('The List'!W2:W727))/STDEV('The List'!W2:W727)</f>
        <v>0.13341787809580186</v>
      </c>
      <c r="K244" s="39">
        <f>(VLOOKUP($A244,'The List'!$B1:$AH727,23,FALSE)-AVERAGE('The List'!X2:X727))/STDEV('The List'!X2:X727)</f>
        <v>-3.9828899676954133E-2</v>
      </c>
      <c r="L244" s="39">
        <f>(VLOOKUP($A244,'The List'!$B1:$AH727,24,FALSE)-AVERAGE('The List'!Y2:Y727))/STDEV('The List'!Y2:Y727)</f>
        <v>-0.32096188223101169</v>
      </c>
      <c r="M244" s="39">
        <f>(VLOOKUP($A244,'The List'!$B1:$AH727,25,FALSE)-AVERAGE('The List'!Z2:Z727))/STDEV('The List'!Z2:Z727)</f>
        <v>0.54978906642631176</v>
      </c>
      <c r="N244" s="39">
        <f>(VLOOKUP($A244,'The List'!$B1:$AH727,26,FALSE)-AVERAGE('The List'!AA2:AA727))/STDEV('The List'!AA2:AA727)</f>
        <v>-0.37366609388827554</v>
      </c>
      <c r="O244" s="39">
        <f>(VLOOKUP($A244,'The List'!$B1:$AH727,27,FALSE)-AVERAGE('The List'!AB2:AB727))/STDEV('The List'!AB2:AB727)</f>
        <v>7.4984517016968705E-2</v>
      </c>
      <c r="P244" s="39">
        <f>(VLOOKUP($A244,'The List'!$B1:$AH727,28,FALSE)-AVERAGE('The List'!AC2:AC727))/STDEV('The List'!AC2:AC727)</f>
        <v>1.2501471883653528</v>
      </c>
      <c r="Q244" s="39">
        <f>(VLOOKUP($A244,'The List'!$B1:$AH727,29,FALSE)-AVERAGE('The List'!AD2:AD727))/STDEV('The List'!AD2:AD727)</f>
        <v>0.16293684297268576</v>
      </c>
      <c r="R244" s="39">
        <f>(VLOOKUP($A244,'The List'!$B1:$AH727,30,FALSE)-AVERAGE('The List'!AE2:AE727))/STDEV('The List'!AE2:AE727)</f>
        <v>0.49718349256135325</v>
      </c>
      <c r="S244" s="39">
        <f>(VLOOKUP($A244,'The List'!$B1:$AH727,31,FALSE)-AVERAGE('The List'!AF2:AF727))/STDEV('The List'!AF2:AF727)</f>
        <v>1.5756106158954002</v>
      </c>
      <c r="T244" s="39">
        <f>(VLOOKUP($A244,'The List'!$B1:$AH727,32,FALSE)-AVERAGE('The List'!AG2:AG727))/STDEV('The List'!AG2:AG727)</f>
        <v>1.8442907919594071</v>
      </c>
      <c r="U244" s="39">
        <f>(VLOOKUP($A244,'The List'!$B1:$AH727,33,FALSE)-AVERAGE('The List'!AH2:AH727))/STDEV('The List'!AH2:AH727)</f>
        <v>0.9222567725343177</v>
      </c>
      <c r="V244" s="39"/>
      <c r="W244" s="41"/>
      <c r="X244" s="39"/>
      <c r="Y244" s="39"/>
      <c r="Z244" s="39"/>
      <c r="AA244" s="39"/>
      <c r="AB244" s="39"/>
      <c r="AC244" s="39"/>
      <c r="AD244" s="39"/>
      <c r="AE244" s="39"/>
    </row>
    <row r="245" spans="1:31" ht="21.25" customHeight="1" x14ac:dyDescent="0.15">
      <c r="A245" s="8" t="s">
        <v>532</v>
      </c>
      <c r="B245" s="35" t="str">
        <f>VLOOKUP(A245,'Player Data'!A1:B734,2,FALSE)</f>
        <v>MTL</v>
      </c>
      <c r="C245" s="37">
        <f>((E245)*Settings!$C$12)+(F245*Settings!$C$2)+(G245*Settings!$C$3)+(H245*Settings!$C$4)+(I245*Settings!$C$5)+(K245*Settings!$C$9)+(N245*Settings!$C$6)+(J245*Settings!$C$8)+(O245*Settings!$C$7)+(P245*Settings!$C$14)+(Q245*Settings!$C$15)+(R245*Settings!$C$16)+(S245*Settings!$C$17)+(T245*Settings!$C$18)+(U245*Settings!$C$19)</f>
        <v>-2.329050802773764</v>
      </c>
      <c r="D245" s="41">
        <f>IF(Settings!$E$12="YES",VLOOKUP(A245,'Player Data'!A1:E734,5,FALSE),82)</f>
        <v>68.696428571428598</v>
      </c>
      <c r="E245" s="39">
        <f>(VLOOKUP($A245,'The List'!$B1:$AH727,17,FALSE)-AVERAGE('The List'!R2:R727))/STDEV('The List'!R2:R727)</f>
        <v>-2.9092738686161353E-2</v>
      </c>
      <c r="F245" s="39">
        <f>(VLOOKUP($A245,'The List'!$B1:$AH727,18,FALSE)-AVERAGE('The List'!S2:S727))/STDEV('The List'!S2:S727)</f>
        <v>-9.2601920444629768E-2</v>
      </c>
      <c r="G245" s="39">
        <f>(VLOOKUP($A245,'The List'!$B1:$AH727,19,FALSE)-AVERAGE('The List'!T2:T727))/STDEV('The List'!T2:T727)</f>
        <v>-7.8355517699402188E-2</v>
      </c>
      <c r="H245" s="39">
        <f>(VLOOKUP($A245,'The List'!$B1:$AH727,20,FALSE)-AVERAGE('The List'!U2:U727))/STDEV('The List'!U2:U727)</f>
        <v>-9.0423059991608129E-2</v>
      </c>
      <c r="I245" s="39">
        <f>(VLOOKUP($A245,'The List'!$B1:$AH727,21,FALSE)-AVERAGE('The List'!V2:V727))/STDEV('The List'!V2:V727)</f>
        <v>2.7195655603488751E-2</v>
      </c>
      <c r="J245" s="39">
        <f>(VLOOKUP($A245,'The List'!$B1:$AH727,22,FALSE)-AVERAGE('The List'!W2:W727))/STDEV('The List'!W2:W727)</f>
        <v>0.37480061893515221</v>
      </c>
      <c r="K245" s="39">
        <f>(VLOOKUP($A245,'The List'!$B1:$AH727,23,FALSE)-AVERAGE('The List'!X2:X727))/STDEV('The List'!X2:X727)</f>
        <v>0.34973186069165213</v>
      </c>
      <c r="L245" s="39">
        <f>(VLOOKUP($A245,'The List'!$B1:$AH727,24,FALSE)-AVERAGE('The List'!Y2:Y727))/STDEV('The List'!Y2:Y727)</f>
        <v>-0.14326292734762835</v>
      </c>
      <c r="M245" s="39">
        <f>(VLOOKUP($A245,'The List'!$B1:$AH727,25,FALSE)-AVERAGE('The List'!Z2:Z727))/STDEV('The List'!Z2:Z727)</f>
        <v>-0.26888313364249911</v>
      </c>
      <c r="N245" s="39">
        <f>(VLOOKUP($A245,'The List'!$B1:$AH727,26,FALSE)-AVERAGE('The List'!AA2:AA727))/STDEV('The List'!AA2:AA727)</f>
        <v>-0.80393818466187483</v>
      </c>
      <c r="O245" s="39">
        <f>(VLOOKUP($A245,'The List'!$B1:$AH727,27,FALSE)-AVERAGE('The List'!AB2:AB727))/STDEV('The List'!AB2:AB727)</f>
        <v>-0.75726818900185444</v>
      </c>
      <c r="P245" s="39">
        <f>(VLOOKUP($A245,'The List'!$B1:$AH727,28,FALSE)-AVERAGE('The List'!AC2:AC727))/STDEV('The List'!AC2:AC727)</f>
        <v>-1.7310826962629979</v>
      </c>
      <c r="Q245" s="39">
        <f>(VLOOKUP($A245,'The List'!$B1:$AH727,29,FALSE)-AVERAGE('The List'!AD2:AD727))/STDEV('The List'!AD2:AD727)</f>
        <v>-0.61785207817406929</v>
      </c>
      <c r="R245" s="39">
        <f>(VLOOKUP($A245,'The List'!$B1:$AH727,30,FALSE)-AVERAGE('The List'!AE2:AE727))/STDEV('The List'!AE2:AE727)</f>
        <v>-0.34172681403129174</v>
      </c>
      <c r="S245" s="39">
        <f>(VLOOKUP($A245,'The List'!$B1:$AH727,31,FALSE)-AVERAGE('The List'!AF2:AF727))/STDEV('The List'!AF2:AF727)</f>
        <v>1.6925129780600301</v>
      </c>
      <c r="T245" s="39">
        <f>(VLOOKUP($A245,'The List'!$B1:$AH727,32,FALSE)-AVERAGE('The List'!AG2:AG727))/STDEV('The List'!AG2:AG727)</f>
        <v>1.549574446563329</v>
      </c>
      <c r="U245" s="39">
        <f>(VLOOKUP($A245,'The List'!$B1:$AH727,33,FALSE)-AVERAGE('The List'!AH2:AH727))/STDEV('The List'!AH2:AH727)</f>
        <v>1.1273625822443147</v>
      </c>
      <c r="V245" s="39"/>
      <c r="W245" s="41"/>
      <c r="X245" s="39"/>
      <c r="Y245" s="39"/>
      <c r="Z245" s="39"/>
      <c r="AA245" s="39"/>
      <c r="AB245" s="39"/>
      <c r="AC245" s="39"/>
      <c r="AD245" s="39"/>
      <c r="AE245" s="39"/>
    </row>
    <row r="246" spans="1:31" ht="21.25" customHeight="1" x14ac:dyDescent="0.15">
      <c r="A246" s="8" t="s">
        <v>539</v>
      </c>
      <c r="B246" s="35" t="str">
        <f>VLOOKUP(A246,'Player Data'!A1:B734,2,FALSE)</f>
        <v>MTL</v>
      </c>
      <c r="C246" s="37">
        <f>((E246)*Settings!$C$12)+(F246*Settings!$C$2)+(G246*Settings!$C$3)+(H246*Settings!$C$4)+(I246*Settings!$C$5)+(K246*Settings!$C$9)+(N246*Settings!$C$6)+(J246*Settings!$C$8)+(O246*Settings!$C$7)+(P246*Settings!$C$14)+(Q246*Settings!$C$15)+(R246*Settings!$C$16)+(S246*Settings!$C$17)+(T246*Settings!$C$18)+(U246*Settings!$C$19)</f>
        <v>-2.3704673761731812</v>
      </c>
      <c r="D246" s="41">
        <f>IF(Settings!$E$12="YES",VLOOKUP(A246,'Player Data'!A1:E734,5,FALSE),82)</f>
        <v>79.417500000000004</v>
      </c>
      <c r="E246" s="39">
        <f>(VLOOKUP($A246,'The List'!$B1:$AH727,17,FALSE)-AVERAGE('The List'!R2:R727))/STDEV('The List'!R2:R727)</f>
        <v>-0.35368428004729091</v>
      </c>
      <c r="F246" s="39">
        <f>(VLOOKUP($A246,'The List'!$B1:$AH727,18,FALSE)-AVERAGE('The List'!S2:S727))/STDEV('The List'!S2:S727)</f>
        <v>0.32254309281359073</v>
      </c>
      <c r="G246" s="39">
        <f>(VLOOKUP($A246,'The List'!$B1:$AH727,19,FALSE)-AVERAGE('The List'!T2:T727))/STDEV('The List'!T2:T727)</f>
        <v>-5.8406184040291952E-3</v>
      </c>
      <c r="H246" s="39">
        <f>(VLOOKUP($A246,'The List'!$B1:$AH727,20,FALSE)-AVERAGE('The List'!U2:U727))/STDEV('The List'!U2:U727)</f>
        <v>0.14317824796160369</v>
      </c>
      <c r="I246" s="39">
        <f>(VLOOKUP($A246,'The List'!$B1:$AH727,21,FALSE)-AVERAGE('The List'!V2:V727))/STDEV('The List'!V2:V727)</f>
        <v>-7.6616249801528605E-2</v>
      </c>
      <c r="J246" s="39">
        <f>(VLOOKUP($A246,'The List'!$B1:$AH727,22,FALSE)-AVERAGE('The List'!W2:W727))/STDEV('The List'!W2:W727)</f>
        <v>-0.25123773097520602</v>
      </c>
      <c r="K246" s="39">
        <f>(VLOOKUP($A246,'The List'!$B1:$AH727,23,FALSE)-AVERAGE('The List'!X2:X727))/STDEV('The List'!X2:X727)</f>
        <v>-0.42303156851286716</v>
      </c>
      <c r="L246" s="39">
        <f>(VLOOKUP($A246,'The List'!$B1:$AH727,24,FALSE)-AVERAGE('The List'!Y2:Y727))/STDEV('The List'!Y2:Y727)</f>
        <v>-0.51027216033259915</v>
      </c>
      <c r="M246" s="39">
        <f>(VLOOKUP($A246,'The List'!$B1:$AH727,25,FALSE)-AVERAGE('The List'!Z2:Z727))/STDEV('The List'!Z2:Z727)</f>
        <v>-0.68605452286285507</v>
      </c>
      <c r="N246" s="39">
        <f>(VLOOKUP($A246,'The List'!$B1:$AH727,26,FALSE)-AVERAGE('The List'!AA2:AA727))/STDEV('The List'!AA2:AA727)</f>
        <v>-0.67548846733528234</v>
      </c>
      <c r="O246" s="39">
        <f>(VLOOKUP($A246,'The List'!$B1:$AH727,27,FALSE)-AVERAGE('The List'!AB2:AB727))/STDEV('The List'!AB2:AB727)</f>
        <v>-0.59599151795235772</v>
      </c>
      <c r="P246" s="39">
        <f>(VLOOKUP($A246,'The List'!$B1:$AH727,28,FALSE)-AVERAGE('The List'!AC2:AC727))/STDEV('The List'!AC2:AC727)</f>
        <v>-1.5120335649330645</v>
      </c>
      <c r="Q246" s="39">
        <f>(VLOOKUP($A246,'The List'!$B1:$AH727,29,FALSE)-AVERAGE('The List'!AD2:AD727))/STDEV('The List'!AD2:AD727)</f>
        <v>-0.60598920714872329</v>
      </c>
      <c r="R246" s="39">
        <f>(VLOOKUP($A246,'The List'!$B1:$AH727,30,FALSE)-AVERAGE('The List'!AE2:AE727))/STDEV('The List'!AE2:AE727)</f>
        <v>-4.7851991072641244E-2</v>
      </c>
      <c r="S246" s="39">
        <f>(VLOOKUP($A246,'The List'!$B1:$AH727,31,FALSE)-AVERAGE('The List'!AF2:AF727))/STDEV('The List'!AF2:AF727)</f>
        <v>0.44016303323230488</v>
      </c>
      <c r="T246" s="39">
        <f>(VLOOKUP($A246,'The List'!$B1:$AH727,32,FALSE)-AVERAGE('The List'!AG2:AG727))/STDEV('The List'!AG2:AG727)</f>
        <v>1.059559572171922</v>
      </c>
      <c r="U246" s="39">
        <f>(VLOOKUP($A246,'The List'!$B1:$AH727,33,FALSE)-AVERAGE('The List'!AH2:AH727))/STDEV('The List'!AH2:AH727)</f>
        <v>0.5100423870582812</v>
      </c>
      <c r="V246" s="39"/>
      <c r="W246" s="43"/>
      <c r="X246" s="41"/>
      <c r="Y246" s="41"/>
      <c r="Z246" s="41"/>
      <c r="AA246" s="41"/>
      <c r="AB246" s="41"/>
      <c r="AC246" s="44"/>
      <c r="AD246" s="45"/>
      <c r="AE246" s="39"/>
    </row>
    <row r="247" spans="1:31" ht="21.25" customHeight="1" x14ac:dyDescent="0.15">
      <c r="A247" s="8" t="s">
        <v>307</v>
      </c>
      <c r="B247" s="35" t="str">
        <f>VLOOKUP(A247,'Player Data'!A1:B734,2,FALSE)</f>
        <v>CHI</v>
      </c>
      <c r="C247" s="37">
        <f>((E247)*Settings!$C$12)+(F247*Settings!$C$2)+(G247*Settings!$C$3)+(H247*Settings!$C$4)+(I247*Settings!$C$5)+(K247*Settings!$C$9)+(N247*Settings!$C$6)+(J247*Settings!$C$8)+(O247*Settings!$C$7)+(P247*Settings!$C$14)+(Q247*Settings!$C$15)+(R247*Settings!$C$16)+(S247*Settings!$C$17)+(T247*Settings!$C$18)+(U247*Settings!$C$19)</f>
        <v>0.94313421953042675</v>
      </c>
      <c r="D247" s="41">
        <f>IF(Settings!$E$12="YES",VLOOKUP(A247,'Player Data'!A1:E734,5,FALSE),82)</f>
        <v>77</v>
      </c>
      <c r="E247" s="39">
        <f>(VLOOKUP($A247,'The List'!$B1:$AH727,17,FALSE)-AVERAGE('The List'!R2:R727))/STDEV('The List'!R2:R727)</f>
        <v>0.95002324974201158</v>
      </c>
      <c r="F247" s="39">
        <f>(VLOOKUP($A247,'The List'!$B1:$AH727,18,FALSE)-AVERAGE('The List'!S2:S727))/STDEV('The List'!S2:S727)</f>
        <v>-0.64219615258906548</v>
      </c>
      <c r="G247" s="39">
        <f>(VLOOKUP($A247,'The List'!$B1:$AH727,19,FALSE)-AVERAGE('The List'!T2:T727))/STDEV('The List'!T2:T727)</f>
        <v>0.47646863765967612</v>
      </c>
      <c r="H247" s="39">
        <f>(VLOOKUP($A247,'The List'!$B1:$AH727,20,FALSE)-AVERAGE('The List'!U2:U727))/STDEV('The List'!U2:U727)</f>
        <v>1.3649260909242029E-3</v>
      </c>
      <c r="I247" s="39">
        <f>(VLOOKUP($A247,'The List'!$B1:$AH727,21,FALSE)-AVERAGE('The List'!V2:V727))/STDEV('The List'!V2:V727)</f>
        <v>-6.7735317448038027E-2</v>
      </c>
      <c r="J247" s="39">
        <f>(VLOOKUP($A247,'The List'!$B1:$AH727,22,FALSE)-AVERAGE('The List'!W2:W727))/STDEV('The List'!W2:W727)</f>
        <v>-0.30612741052773446</v>
      </c>
      <c r="K247" s="39">
        <f>(VLOOKUP($A247,'The List'!$B1:$AH727,23,FALSE)-AVERAGE('The List'!X2:X727))/STDEV('The List'!X2:X727)</f>
        <v>3.6419750764130211E-2</v>
      </c>
      <c r="L247" s="39">
        <f>(VLOOKUP($A247,'The List'!$B1:$AH727,24,FALSE)-AVERAGE('The List'!Y2:Y727))/STDEV('The List'!Y2:Y727)</f>
        <v>-0.54402834717551152</v>
      </c>
      <c r="M247" s="39">
        <f>(VLOOKUP($A247,'The List'!$B1:$AH727,25,FALSE)-AVERAGE('The List'!Z2:Z727))/STDEV('The List'!Z2:Z727)</f>
        <v>-0.72372514007823274</v>
      </c>
      <c r="N247" s="39">
        <f>(VLOOKUP($A247,'The List'!$B1:$AH727,26,FALSE)-AVERAGE('The List'!AA2:AA727))/STDEV('The List'!AA2:AA727)</f>
        <v>1.0524086944082089</v>
      </c>
      <c r="O247" s="39">
        <f>(VLOOKUP($A247,'The List'!$B1:$AH727,27,FALSE)-AVERAGE('The List'!AB2:AB727))/STDEV('The List'!AB2:AB727)</f>
        <v>0.14266663903738169</v>
      </c>
      <c r="P247" s="39">
        <f>(VLOOKUP($A247,'The List'!$B1:$AH727,28,FALSE)-AVERAGE('The List'!AC2:AC727))/STDEV('The List'!AC2:AC727)</f>
        <v>8.7768606735514967E-2</v>
      </c>
      <c r="Q247" s="39">
        <f>(VLOOKUP($A247,'The List'!$B1:$AH727,29,FALSE)-AVERAGE('The List'!AD2:AD727))/STDEV('The List'!AD2:AD727)</f>
        <v>0.1535037554331479</v>
      </c>
      <c r="R247" s="39">
        <f>(VLOOKUP($A247,'The List'!$B1:$AH727,30,FALSE)-AVERAGE('The List'!AE2:AE727))/STDEV('The List'!AE2:AE727)</f>
        <v>-0.69325563098551213</v>
      </c>
      <c r="S247" s="39">
        <f>(VLOOKUP($A247,'The List'!$B1:$AH727,31,FALSE)-AVERAGE('The List'!AF2:AF727))/STDEV('The List'!AF2:AF727)</f>
        <v>-0.55804314905918151</v>
      </c>
      <c r="T247" s="39">
        <f>(VLOOKUP($A247,'The List'!$B1:$AH727,32,FALSE)-AVERAGE('The List'!AG2:AG727))/STDEV('The List'!AG2:AG727)</f>
        <v>-0.60188453558131205</v>
      </c>
      <c r="U247" s="39">
        <f>(VLOOKUP($A247,'The List'!$B1:$AH727,33,FALSE)-AVERAGE('The List'!AH2:AH727))/STDEV('The List'!AH2:AH727)</f>
        <v>-1.2395873372913611</v>
      </c>
      <c r="V247" s="39"/>
      <c r="W247" s="43"/>
      <c r="X247" s="41"/>
      <c r="Y247" s="41"/>
      <c r="Z247" s="41"/>
      <c r="AA247" s="41"/>
      <c r="AB247" s="41"/>
      <c r="AC247" s="44"/>
      <c r="AD247" s="45"/>
      <c r="AE247" s="39"/>
    </row>
    <row r="248" spans="1:31" ht="21.25" customHeight="1" x14ac:dyDescent="0.15">
      <c r="A248" s="8" t="s">
        <v>451</v>
      </c>
      <c r="B248" s="35" t="str">
        <f>VLOOKUP(A248,'Player Data'!A1:B734,2,FALSE)</f>
        <v>NJD</v>
      </c>
      <c r="C248" s="37">
        <f>((E248)*Settings!$C$12)+(F248*Settings!$C$2)+(G248*Settings!$C$3)+(H248*Settings!$C$4)+(I248*Settings!$C$5)+(K248*Settings!$C$9)+(N248*Settings!$C$6)+(J248*Settings!$C$8)+(O248*Settings!$C$7)+(P248*Settings!$C$14)+(Q248*Settings!$C$15)+(R248*Settings!$C$16)+(S248*Settings!$C$17)+(T248*Settings!$C$18)+(U248*Settings!$C$19)</f>
        <v>-0.44436978947976863</v>
      </c>
      <c r="D248" s="41">
        <f>IF(Settings!$E$12="YES",VLOOKUP(A248,'Player Data'!A1:E734,5,FALSE),82)</f>
        <v>75.338571428571399</v>
      </c>
      <c r="E248" s="39">
        <f>(VLOOKUP($A248,'The List'!$B1:$AH727,17,FALSE)-AVERAGE('The List'!R2:R727))/STDEV('The List'!R2:R727)</f>
        <v>-0.52291007349317753</v>
      </c>
      <c r="F248" s="39">
        <f>(VLOOKUP($A248,'The List'!$B1:$AH727,18,FALSE)-AVERAGE('The List'!S2:S727))/STDEV('The List'!S2:S727)</f>
        <v>3.4009321832680068E-3</v>
      </c>
      <c r="G248" s="39">
        <f>(VLOOKUP($A248,'The List'!$B1:$AH727,19,FALSE)-AVERAGE('The List'!T2:T727))/STDEV('The List'!T2:T727)</f>
        <v>7.5901322318782591E-2</v>
      </c>
      <c r="H248" s="39">
        <f>(VLOOKUP($A248,'The List'!$B1:$AH727,20,FALSE)-AVERAGE('The List'!U2:U727))/STDEV('The List'!U2:U727)</f>
        <v>4.8318730668139943E-2</v>
      </c>
      <c r="I248" s="39">
        <f>(VLOOKUP($A248,'The List'!$B1:$AH727,21,FALSE)-AVERAGE('The List'!V2:V727))/STDEV('The List'!V2:V727)</f>
        <v>-0.19655023846740335</v>
      </c>
      <c r="J248" s="39">
        <f>(VLOOKUP($A248,'The List'!$B1:$AH727,22,FALSE)-AVERAGE('The List'!W2:W727))/STDEV('The List'!W2:W727)</f>
        <v>-0.21432567281772505</v>
      </c>
      <c r="K248" s="39">
        <f>(VLOOKUP($A248,'The List'!$B1:$AH727,23,FALSE)-AVERAGE('The List'!X2:X727))/STDEV('The List'!X2:X727)</f>
        <v>-0.18690382133899966</v>
      </c>
      <c r="L248" s="39">
        <f>(VLOOKUP($A248,'The List'!$B1:$AH727,24,FALSE)-AVERAGE('The List'!Y2:Y727))/STDEV('The List'!Y2:Y727)</f>
        <v>-0.48256315696599839</v>
      </c>
      <c r="M248" s="39">
        <f>(VLOOKUP($A248,'The List'!$B1:$AH727,25,FALSE)-AVERAGE('The List'!Z2:Z727))/STDEV('The List'!Z2:Z727)</f>
        <v>-0.54803774579971787</v>
      </c>
      <c r="N248" s="39">
        <f>(VLOOKUP($A248,'The List'!$B1:$AH727,26,FALSE)-AVERAGE('The List'!AA2:AA727))/STDEV('The List'!AA2:AA727)</f>
        <v>-0.21133036662321208</v>
      </c>
      <c r="O248" s="39">
        <f>(VLOOKUP($A248,'The List'!$B1:$AH727,27,FALSE)-AVERAGE('The List'!AB2:AB727))/STDEV('The List'!AB2:AB727)</f>
        <v>0.20925915666128064</v>
      </c>
      <c r="P248" s="39">
        <f>(VLOOKUP($A248,'The List'!$B1:$AH727,28,FALSE)-AVERAGE('The List'!AC2:AC727))/STDEV('The List'!AC2:AC727)</f>
        <v>7.1112382447795899E-2</v>
      </c>
      <c r="Q248" s="39">
        <f>(VLOOKUP($A248,'The List'!$B1:$AH727,29,FALSE)-AVERAGE('The List'!AD2:AD727))/STDEV('The List'!AD2:AD727)</f>
        <v>-0.77342242212116163</v>
      </c>
      <c r="R248" s="39">
        <f>(VLOOKUP($A248,'The List'!$B1:$AH727,30,FALSE)-AVERAGE('The List'!AE2:AE727))/STDEV('The List'!AE2:AE727)</f>
        <v>5.5237427145802986E-2</v>
      </c>
      <c r="S248" s="39">
        <f>(VLOOKUP($A248,'The List'!$B1:$AH727,31,FALSE)-AVERAGE('The List'!AF2:AF727))/STDEV('The List'!AF2:AF727)</f>
        <v>-0.55501532568601963</v>
      </c>
      <c r="T248" s="39">
        <f>(VLOOKUP($A248,'The List'!$B1:$AH727,32,FALSE)-AVERAGE('The List'!AG2:AG727))/STDEV('The List'!AG2:AG727)</f>
        <v>-0.54032323040392483</v>
      </c>
      <c r="U248" s="39">
        <f>(VLOOKUP($A248,'The List'!$B1:$AH727,33,FALSE)-AVERAGE('The List'!AH2:AH727))/STDEV('The List'!AH2:AH727)</f>
        <v>-1.0173303120673061</v>
      </c>
      <c r="V248" s="39"/>
      <c r="W248" s="43"/>
      <c r="X248" s="41"/>
      <c r="Y248" s="41"/>
      <c r="Z248" s="41"/>
      <c r="AA248" s="41"/>
      <c r="AB248" s="41"/>
      <c r="AC248" s="44"/>
      <c r="AD248" s="45"/>
      <c r="AE248" s="39"/>
    </row>
    <row r="249" spans="1:31" ht="21.25" customHeight="1" x14ac:dyDescent="0.15">
      <c r="A249" s="8" t="s">
        <v>387</v>
      </c>
      <c r="B249" s="35" t="str">
        <f>VLOOKUP(A249,'Player Data'!A1:B734,2,FALSE)</f>
        <v>BUF</v>
      </c>
      <c r="C249" s="37">
        <f>((E249)*Settings!$C$12)+(F249*Settings!$C$2)+(G249*Settings!$C$3)+(H249*Settings!$C$4)+(I249*Settings!$C$5)+(K249*Settings!$C$9)+(N249*Settings!$C$6)+(J249*Settings!$C$8)+(O249*Settings!$C$7)+(P249*Settings!$C$14)+(Q249*Settings!$C$15)+(R249*Settings!$C$16)+(S249*Settings!$C$17)+(T249*Settings!$C$18)+(U249*Settings!$C$19)</f>
        <v>-1.1444709095122385</v>
      </c>
      <c r="D249" s="41">
        <f>IF(Settings!$E$12="YES",VLOOKUP(A249,'Player Data'!A1:E734,5,FALSE),82)</f>
        <v>79.412499999999994</v>
      </c>
      <c r="E249" s="39">
        <f>(VLOOKUP($A249,'The List'!$B1:$AH727,17,FALSE)-AVERAGE('The List'!R2:R727))/STDEV('The List'!R2:R727)</f>
        <v>-0.75241631473950465</v>
      </c>
      <c r="F249" s="39">
        <f>(VLOOKUP($A249,'The List'!$B1:$AH727,18,FALSE)-AVERAGE('The List'!S2:S727))/STDEV('The List'!S2:S727)</f>
        <v>0.72531469859263087</v>
      </c>
      <c r="G249" s="39">
        <f>(VLOOKUP($A249,'The List'!$B1:$AH727,19,FALSE)-AVERAGE('The List'!T2:T727))/STDEV('The List'!T2:T727)</f>
        <v>-0.31341524841681656</v>
      </c>
      <c r="H249" s="39">
        <f>(VLOOKUP($A249,'The List'!$B1:$AH727,20,FALSE)-AVERAGE('The List'!U2:U727))/STDEV('The List'!U2:U727)</f>
        <v>0.13693421343201734</v>
      </c>
      <c r="I249" s="39">
        <f>(VLOOKUP($A249,'The List'!$B1:$AH727,21,FALSE)-AVERAGE('The List'!V2:V727))/STDEV('The List'!V2:V727)</f>
        <v>0.36054537513273083</v>
      </c>
      <c r="J249" s="39">
        <f>(VLOOKUP($A249,'The List'!$B1:$AH727,22,FALSE)-AVERAGE('The List'!W2:W727))/STDEV('The List'!W2:W727)</f>
        <v>0.73476897640808014</v>
      </c>
      <c r="K249" s="39">
        <f>(VLOOKUP($A249,'The List'!$B1:$AH727,23,FALSE)-AVERAGE('The List'!X2:X727))/STDEV('The List'!X2:X727)</f>
        <v>0.23668985520256891</v>
      </c>
      <c r="L249" s="39">
        <f>(VLOOKUP($A249,'The List'!$B1:$AH727,24,FALSE)-AVERAGE('The List'!Y2:Y727))/STDEV('The List'!Y2:Y727)</f>
        <v>-0.52999697424895231</v>
      </c>
      <c r="M249" s="39">
        <f>(VLOOKUP($A249,'The List'!$B1:$AH727,25,FALSE)-AVERAGE('The List'!Z2:Z727))/STDEV('The List'!Z2:Z727)</f>
        <v>-0.68465173807683022</v>
      </c>
      <c r="N249" s="39">
        <f>(VLOOKUP($A249,'The List'!$B1:$AH727,26,FALSE)-AVERAGE('The List'!AA2:AA727))/STDEV('The List'!AA2:AA727)</f>
        <v>-1.0514077160298123</v>
      </c>
      <c r="O249" s="39">
        <f>(VLOOKUP($A249,'The List'!$B1:$AH727,27,FALSE)-AVERAGE('The List'!AB2:AB727))/STDEV('The List'!AB2:AB727)</f>
        <v>-1.352473573899921</v>
      </c>
      <c r="P249" s="39">
        <f>(VLOOKUP($A249,'The List'!$B1:$AH727,28,FALSE)-AVERAGE('The List'!AC2:AC727))/STDEV('The List'!AC2:AC727)</f>
        <v>-1.1021978739935403</v>
      </c>
      <c r="Q249" s="39">
        <f>(VLOOKUP($A249,'The List'!$B1:$AH727,29,FALSE)-AVERAGE('The List'!AD2:AD727))/STDEV('The List'!AD2:AD727)</f>
        <v>-1.5037450354966331</v>
      </c>
      <c r="R249" s="39">
        <f>(VLOOKUP($A249,'The List'!$B1:$AH727,30,FALSE)-AVERAGE('The List'!AE2:AE727))/STDEV('The List'!AE2:AE727)</f>
        <v>0.50765849815776909</v>
      </c>
      <c r="S249" s="39">
        <f>(VLOOKUP($A249,'The List'!$B1:$AH727,31,FALSE)-AVERAGE('The List'!AF2:AF727))/STDEV('The List'!AF2:AF727)</f>
        <v>-0.553771655099354</v>
      </c>
      <c r="T249" s="39">
        <f>(VLOOKUP($A249,'The List'!$B1:$AH727,32,FALSE)-AVERAGE('The List'!AG2:AG727))/STDEV('The List'!AG2:AG727)</f>
        <v>-0.5816338828944404</v>
      </c>
      <c r="U249" s="39">
        <f>(VLOOKUP($A249,'The List'!$B1:$AH727,33,FALSE)-AVERAGE('The List'!AH2:AH727))/STDEV('The List'!AH2:AH727)</f>
        <v>-0.41914486084288949</v>
      </c>
      <c r="V249" s="39"/>
      <c r="W249" s="41"/>
      <c r="X249" s="39"/>
      <c r="Y249" s="39"/>
      <c r="Z249" s="39"/>
      <c r="AA249" s="39"/>
      <c r="AB249" s="39"/>
      <c r="AC249" s="39"/>
      <c r="AD249" s="39"/>
      <c r="AE249" s="39"/>
    </row>
    <row r="250" spans="1:31" ht="21.25" customHeight="1" x14ac:dyDescent="0.15">
      <c r="A250" s="8" t="s">
        <v>388</v>
      </c>
      <c r="B250" s="35" t="str">
        <f>VLOOKUP(A250,'Player Data'!A1:B734,2,FALSE)</f>
        <v>NYI</v>
      </c>
      <c r="C250" s="37">
        <f>((E250)*Settings!$C$12)+(F250*Settings!$C$2)+(G250*Settings!$C$3)+(H250*Settings!$C$4)+(I250*Settings!$C$5)+(K250*Settings!$C$9)+(N250*Settings!$C$6)+(J250*Settings!$C$8)+(O250*Settings!$C$7)+(P250*Settings!$C$14)+(Q250*Settings!$C$15)+(R250*Settings!$C$16)+(S250*Settings!$C$17)+(T250*Settings!$C$18)+(U250*Settings!$C$19)</f>
        <v>-0.24818631007360359</v>
      </c>
      <c r="D250" s="41">
        <f>IF(Settings!$E$12="YES",VLOOKUP(A250,'Player Data'!A1:E734,5,FALSE),82)</f>
        <v>74.717857142857099</v>
      </c>
      <c r="E250" s="39">
        <f>(VLOOKUP($A250,'The List'!$B1:$AH727,17,FALSE)-AVERAGE('The List'!R2:R727))/STDEV('The List'!R2:R727)</f>
        <v>-0.18867693773840322</v>
      </c>
      <c r="F250" s="39">
        <f>(VLOOKUP($A250,'The List'!$B1:$AH727,18,FALSE)-AVERAGE('The List'!S2:S727))/STDEV('The List'!S2:S727)</f>
        <v>0.33726282110425027</v>
      </c>
      <c r="G250" s="39">
        <f>(VLOOKUP($A250,'The List'!$B1:$AH727,19,FALSE)-AVERAGE('The List'!T2:T727))/STDEV('The List'!T2:T727)</f>
        <v>-0.19306368504200866</v>
      </c>
      <c r="H250" s="39">
        <f>(VLOOKUP($A250,'The List'!$B1:$AH727,20,FALSE)-AVERAGE('The List'!U2:U727))/STDEV('The List'!U2:U727)</f>
        <v>3.4508067841854929E-2</v>
      </c>
      <c r="I250" s="39">
        <f>(VLOOKUP($A250,'The List'!$B1:$AH727,21,FALSE)-AVERAGE('The List'!V2:V727))/STDEV('The List'!V2:V727)</f>
        <v>0.36060674578062613</v>
      </c>
      <c r="J250" s="39">
        <f>(VLOOKUP($A250,'The List'!$B1:$AH727,22,FALSE)-AVERAGE('The List'!W2:W727))/STDEV('The List'!W2:W727)</f>
        <v>-1.9533043152911368E-2</v>
      </c>
      <c r="K250" s="39">
        <f>(VLOOKUP($A250,'The List'!$B1:$AH727,23,FALSE)-AVERAGE('The List'!X2:X727))/STDEV('The List'!X2:X727)</f>
        <v>-0.19686037071982146</v>
      </c>
      <c r="L250" s="39">
        <f>(VLOOKUP($A250,'The List'!$B1:$AH727,24,FALSE)-AVERAGE('The List'!Y2:Y727))/STDEV('The List'!Y2:Y727)</f>
        <v>-0.24455710826125165</v>
      </c>
      <c r="M250" s="39">
        <f>(VLOOKUP($A250,'The List'!$B1:$AH727,25,FALSE)-AVERAGE('The List'!Z2:Z727))/STDEV('The List'!Z2:Z727)</f>
        <v>-0.47934691352966596</v>
      </c>
      <c r="N250" s="39">
        <f>(VLOOKUP($A250,'The List'!$B1:$AH727,26,FALSE)-AVERAGE('The List'!AA2:AA727))/STDEV('The List'!AA2:AA727)</f>
        <v>-0.92991586130039061</v>
      </c>
      <c r="O250" s="39">
        <f>(VLOOKUP($A250,'The List'!$B1:$AH727,27,FALSE)-AVERAGE('The List'!AB2:AB727))/STDEV('The List'!AB2:AB727)</f>
        <v>-3.7340563882637567E-2</v>
      </c>
      <c r="P250" s="39">
        <f>(VLOOKUP($A250,'The List'!$B1:$AH727,28,FALSE)-AVERAGE('The List'!AC2:AC727))/STDEV('The List'!AC2:AC727)</f>
        <v>0.37378404010374067</v>
      </c>
      <c r="Q250" s="39">
        <f>(VLOOKUP($A250,'The List'!$B1:$AH727,29,FALSE)-AVERAGE('The List'!AD2:AD727))/STDEV('The List'!AD2:AD727)</f>
        <v>0.31355188887025465</v>
      </c>
      <c r="R250" s="39">
        <f>(VLOOKUP($A250,'The List'!$B1:$AH727,30,FALSE)-AVERAGE('The List'!AE2:AE727))/STDEV('The List'!AE2:AE727)</f>
        <v>0.45435603361908239</v>
      </c>
      <c r="S250" s="39">
        <f>(VLOOKUP($A250,'The List'!$B1:$AH727,31,FALSE)-AVERAGE('The List'!AF2:AF727))/STDEV('The List'!AF2:AF727)</f>
        <v>-0.49949283064313094</v>
      </c>
      <c r="T250" s="39">
        <f>(VLOOKUP($A250,'The List'!$B1:$AH727,32,FALSE)-AVERAGE('The List'!AG2:AG727))/STDEV('The List'!AG2:AG727)</f>
        <v>-0.48715024064833795</v>
      </c>
      <c r="U250" s="39">
        <f>(VLOOKUP($A250,'The List'!$B1:$AH727,33,FALSE)-AVERAGE('The List'!AH2:AH727))/STDEV('The List'!AH2:AH727)</f>
        <v>0.33856622960786875</v>
      </c>
      <c r="V250" s="39"/>
      <c r="W250" s="43"/>
      <c r="X250" s="41"/>
      <c r="Y250" s="41"/>
      <c r="Z250" s="41"/>
      <c r="AA250" s="41"/>
      <c r="AB250" s="41"/>
      <c r="AC250" s="44"/>
      <c r="AD250" s="45"/>
      <c r="AE250" s="39"/>
    </row>
    <row r="251" spans="1:31" ht="21.25" customHeight="1" x14ac:dyDescent="0.15">
      <c r="A251" s="8" t="s">
        <v>425</v>
      </c>
      <c r="B251" s="35" t="str">
        <f>VLOOKUP(A251,'Player Data'!A1:B734,2,FALSE)</f>
        <v>ARI</v>
      </c>
      <c r="C251" s="37">
        <f>((E251)*Settings!$C$12)+(F251*Settings!$C$2)+(G251*Settings!$C$3)+(H251*Settings!$C$4)+(I251*Settings!$C$5)+(K251*Settings!$C$9)+(N251*Settings!$C$6)+(J251*Settings!$C$8)+(O251*Settings!$C$7)+(P251*Settings!$C$14)+(Q251*Settings!$C$15)+(R251*Settings!$C$16)+(S251*Settings!$C$17)+(T251*Settings!$C$18)+(U251*Settings!$C$19)</f>
        <v>-0.98208394900045881</v>
      </c>
      <c r="D251" s="41">
        <f>IF(Settings!$E$12="YES",VLOOKUP(A251,'Player Data'!A1:E734,5,FALSE),82)</f>
        <v>73.046785714285704</v>
      </c>
      <c r="E251" s="39">
        <f>(VLOOKUP($A251,'The List'!$B1:$AH727,17,FALSE)-AVERAGE('The List'!R2:R727))/STDEV('The List'!R2:R727)</f>
        <v>-0.47921336370298429</v>
      </c>
      <c r="F251" s="39">
        <f>(VLOOKUP($A251,'The List'!$B1:$AH727,18,FALSE)-AVERAGE('The List'!S2:S727))/STDEV('The List'!S2:S727)</f>
        <v>0.56447817671351241</v>
      </c>
      <c r="G251" s="39">
        <f>(VLOOKUP($A251,'The List'!$B1:$AH727,19,FALSE)-AVERAGE('The List'!T2:T727))/STDEV('The List'!T2:T727)</f>
        <v>-0.4241094549217162</v>
      </c>
      <c r="H251" s="39">
        <f>(VLOOKUP($A251,'The List'!$B1:$AH727,20,FALSE)-AVERAGE('The List'!U2:U727))/STDEV('The List'!U2:U727)</f>
        <v>-4.4672578994077068E-3</v>
      </c>
      <c r="I251" s="39">
        <f>(VLOOKUP($A251,'The List'!$B1:$AH727,21,FALSE)-AVERAGE('The List'!V2:V727))/STDEV('The List'!V2:V727)</f>
        <v>0.5566041003650769</v>
      </c>
      <c r="J251" s="39">
        <f>(VLOOKUP($A251,'The List'!$B1:$AH727,22,FALSE)-AVERAGE('The List'!W2:W727))/STDEV('The List'!W2:W727)</f>
        <v>-0.40656801530275161</v>
      </c>
      <c r="K251" s="39">
        <f>(VLOOKUP($A251,'The List'!$B1:$AH727,23,FALSE)-AVERAGE('The List'!X2:X727))/STDEV('The List'!X2:X727)</f>
        <v>-0.39574674458410314</v>
      </c>
      <c r="L251" s="39">
        <f>(VLOOKUP($A251,'The List'!$B1:$AH727,24,FALSE)-AVERAGE('The List'!Y2:Y727))/STDEV('The List'!Y2:Y727)</f>
        <v>-0.54207329292190332</v>
      </c>
      <c r="M251" s="39">
        <f>(VLOOKUP($A251,'The List'!$B1:$AH727,25,FALSE)-AVERAGE('The List'!Z2:Z727))/STDEV('The List'!Z2:Z727)</f>
        <v>-0.72153690847604224</v>
      </c>
      <c r="N251" s="39">
        <f>(VLOOKUP($A251,'The List'!$B1:$AH727,26,FALSE)-AVERAGE('The List'!AA2:AA727))/STDEV('The List'!AA2:AA727)</f>
        <v>-0.78583169280413878</v>
      </c>
      <c r="O251" s="39">
        <f>(VLOOKUP($A251,'The List'!$B1:$AH727,27,FALSE)-AVERAGE('The List'!AB2:AB727))/STDEV('The List'!AB2:AB727)</f>
        <v>1.3564476747837764</v>
      </c>
      <c r="P251" s="39">
        <f>(VLOOKUP($A251,'The List'!$B1:$AH727,28,FALSE)-AVERAGE('The List'!AC2:AC727))/STDEV('The List'!AC2:AC727)</f>
        <v>-0.49747833376909006</v>
      </c>
      <c r="Q251" s="39">
        <f>(VLOOKUP($A251,'The List'!$B1:$AH727,29,FALSE)-AVERAGE('The List'!AD2:AD727))/STDEV('The List'!AD2:AD727)</f>
        <v>-1.0458426192879613E-2</v>
      </c>
      <c r="R251" s="39">
        <f>(VLOOKUP($A251,'The List'!$B1:$AH727,30,FALSE)-AVERAGE('The List'!AE2:AE727))/STDEV('The List'!AE2:AE727)</f>
        <v>0.30406231955559193</v>
      </c>
      <c r="S251" s="39">
        <f>(VLOOKUP($A251,'The List'!$B1:$AH727,31,FALSE)-AVERAGE('The List'!AF2:AF727))/STDEV('The List'!AF2:AF727)</f>
        <v>-0.53831628901372253</v>
      </c>
      <c r="T251" s="39">
        <f>(VLOOKUP($A251,'The List'!$B1:$AH727,32,FALSE)-AVERAGE('The List'!AG2:AG727))/STDEV('The List'!AG2:AG727)</f>
        <v>-0.54642512775755669</v>
      </c>
      <c r="U251" s="39">
        <f>(VLOOKUP($A251,'The List'!$B1:$AH727,33,FALSE)-AVERAGE('The List'!AH2:AH727))/STDEV('The List'!AH2:AH727)</f>
        <v>-9.3811884610963403E-3</v>
      </c>
      <c r="V251" s="39"/>
      <c r="W251" s="41"/>
      <c r="X251" s="39"/>
      <c r="Y251" s="39"/>
      <c r="Z251" s="39"/>
      <c r="AA251" s="39"/>
      <c r="AB251" s="39"/>
      <c r="AC251" s="39"/>
      <c r="AD251" s="39"/>
      <c r="AE251" s="39"/>
    </row>
    <row r="252" spans="1:31" ht="21.25" customHeight="1" x14ac:dyDescent="0.15">
      <c r="A252" s="8" t="s">
        <v>365</v>
      </c>
      <c r="B252" s="35" t="str">
        <f>VLOOKUP(A252,'Player Data'!A1:B734,2,FALSE)</f>
        <v>OTT</v>
      </c>
      <c r="C252" s="37">
        <f>((E252)*Settings!$C$12)+(F252*Settings!$C$2)+(G252*Settings!$C$3)+(H252*Settings!$C$4)+(I252*Settings!$C$5)+(K252*Settings!$C$9)+(N252*Settings!$C$6)+(J252*Settings!$C$8)+(O252*Settings!$C$7)+(P252*Settings!$C$14)+(Q252*Settings!$C$15)+(R252*Settings!$C$16)+(S252*Settings!$C$17)+(T252*Settings!$C$18)+(U252*Settings!$C$19)</f>
        <v>0.70003282006132661</v>
      </c>
      <c r="D252" s="41">
        <f>IF(Settings!$E$12="YES",VLOOKUP(A252,'Player Data'!A1:E734,5,FALSE),82)</f>
        <v>81.302499999999995</v>
      </c>
      <c r="E252" s="39">
        <f>(VLOOKUP($A252,'The List'!$B1:$AH727,17,FALSE)-AVERAGE('The List'!R2:R727))/STDEV('The List'!R2:R727)</f>
        <v>-0.58469645010204396</v>
      </c>
      <c r="F252" s="39">
        <f>(VLOOKUP($A252,'The List'!$B1:$AH727,18,FALSE)-AVERAGE('The List'!S2:S727))/STDEV('The List'!S2:S727)</f>
        <v>0.44096912346834993</v>
      </c>
      <c r="G252" s="39">
        <f>(VLOOKUP($A252,'The List'!$B1:$AH727,19,FALSE)-AVERAGE('The List'!T2:T727))/STDEV('The List'!T2:T727)</f>
        <v>-4.3381710636199097E-2</v>
      </c>
      <c r="H252" s="39">
        <f>(VLOOKUP($A252,'The List'!$B1:$AH727,20,FALSE)-AVERAGE('The List'!U2:U727))/STDEV('The List'!U2:U727)</f>
        <v>0.17393633587001953</v>
      </c>
      <c r="I252" s="39">
        <f>(VLOOKUP($A252,'The List'!$B1:$AH727,21,FALSE)-AVERAGE('The List'!V2:V727))/STDEV('The List'!V2:V727)</f>
        <v>0.55340897334816552</v>
      </c>
      <c r="J252" s="39">
        <f>(VLOOKUP($A252,'The List'!$B1:$AH727,22,FALSE)-AVERAGE('The List'!W2:W727))/STDEV('The List'!W2:W727)</f>
        <v>0.50251439433003853</v>
      </c>
      <c r="K252" s="39">
        <f>(VLOOKUP($A252,'The List'!$B1:$AH727,23,FALSE)-AVERAGE('The List'!X2:X727))/STDEV('The List'!X2:X727)</f>
        <v>0.444625026937157</v>
      </c>
      <c r="L252" s="39">
        <f>(VLOOKUP($A252,'The List'!$B1:$AH727,24,FALSE)-AVERAGE('The List'!Y2:Y727))/STDEV('The List'!Y2:Y727)</f>
        <v>-0.50137780946881005</v>
      </c>
      <c r="M252" s="39">
        <f>(VLOOKUP($A252,'The List'!$B1:$AH727,25,FALSE)-AVERAGE('The List'!Z2:Z727))/STDEV('The List'!Z2:Z727)</f>
        <v>-0.67574968091692367</v>
      </c>
      <c r="N252" s="39">
        <f>(VLOOKUP($A252,'The List'!$B1:$AH727,26,FALSE)-AVERAGE('The List'!AA2:AA727))/STDEV('The List'!AA2:AA727)</f>
        <v>-0.8060301740972905</v>
      </c>
      <c r="O252" s="39">
        <f>(VLOOKUP($A252,'The List'!$B1:$AH727,27,FALSE)-AVERAGE('The List'!AB2:AB727))/STDEV('The List'!AB2:AB727)</f>
        <v>-3.588390491989403E-2</v>
      </c>
      <c r="P252" s="39">
        <f>(VLOOKUP($A252,'The List'!$B1:$AH727,28,FALSE)-AVERAGE('The List'!AC2:AC727))/STDEV('The List'!AC2:AC727)</f>
        <v>0.11044158104114379</v>
      </c>
      <c r="Q252" s="39">
        <f>(VLOOKUP($A252,'The List'!$B1:$AH727,29,FALSE)-AVERAGE('The List'!AD2:AD727))/STDEV('The List'!AD2:AD727)</f>
        <v>-0.60468893377436705</v>
      </c>
      <c r="R252" s="39">
        <f>(VLOOKUP($A252,'The List'!$B1:$AH727,30,FALSE)-AVERAGE('The List'!AE2:AE727))/STDEV('The List'!AE2:AE727)</f>
        <v>0.38200002601429089</v>
      </c>
      <c r="S252" s="39">
        <f>(VLOOKUP($A252,'The List'!$B1:$AH727,31,FALSE)-AVERAGE('The List'!AF2:AF727))/STDEV('The List'!AF2:AF727)</f>
        <v>-0.50723168684937425</v>
      </c>
      <c r="T252" s="39">
        <f>(VLOOKUP($A252,'The List'!$B1:$AH727,32,FALSE)-AVERAGE('The List'!AG2:AG727))/STDEV('The List'!AG2:AG727)</f>
        <v>-0.50769497227377791</v>
      </c>
      <c r="U252" s="39">
        <f>(VLOOKUP($A252,'The List'!$B1:$AH727,33,FALSE)-AVERAGE('The List'!AH2:AH727))/STDEV('The List'!AH2:AH727)</f>
        <v>0.39607102700870589</v>
      </c>
      <c r="V252" s="39"/>
      <c r="W252" s="43"/>
      <c r="X252" s="41"/>
      <c r="Y252" s="41"/>
      <c r="Z252" s="41"/>
      <c r="AA252" s="41"/>
      <c r="AB252" s="41"/>
      <c r="AC252" s="44"/>
      <c r="AD252" s="45"/>
      <c r="AE252" s="39"/>
    </row>
    <row r="253" spans="1:31" ht="21.25" customHeight="1" x14ac:dyDescent="0.15">
      <c r="A253" s="8" t="s">
        <v>540</v>
      </c>
      <c r="B253" s="35" t="str">
        <f>VLOOKUP(A253,'Player Data'!A1:B734,2,FALSE)</f>
        <v>ARI</v>
      </c>
      <c r="C253" s="37">
        <f>((E253)*Settings!$C$12)+(F253*Settings!$C$2)+(G253*Settings!$C$3)+(H253*Settings!$C$4)+(I253*Settings!$C$5)+(K253*Settings!$C$9)+(N253*Settings!$C$6)+(J253*Settings!$C$8)+(O253*Settings!$C$7)+(P253*Settings!$C$14)+(Q253*Settings!$C$15)+(R253*Settings!$C$16)+(S253*Settings!$C$17)+(T253*Settings!$C$18)+(U253*Settings!$C$19)</f>
        <v>-2.5481428254836258</v>
      </c>
      <c r="D253" s="41">
        <f>IF(Settings!$E$12="YES",VLOOKUP(A253,'Player Data'!A1:E734,5,FALSE),82)</f>
        <v>61.695</v>
      </c>
      <c r="E253" s="39">
        <f>(VLOOKUP($A253,'The List'!$B1:$AH727,17,FALSE)-AVERAGE('The List'!R2:R727))/STDEV('The List'!R2:R727)</f>
        <v>-0.65709972153573137</v>
      </c>
      <c r="F253" s="39">
        <f>(VLOOKUP($A253,'The List'!$B1:$AH727,18,FALSE)-AVERAGE('The List'!S2:S727))/STDEV('The List'!S2:S727)</f>
        <v>-0.10938547493013401</v>
      </c>
      <c r="G253" s="39">
        <f>(VLOOKUP($A253,'The List'!$B1:$AH727,19,FALSE)-AVERAGE('The List'!T2:T727))/STDEV('The List'!T2:T727)</f>
        <v>-0.33269825899127881</v>
      </c>
      <c r="H253" s="39">
        <f>(VLOOKUP($A253,'The List'!$B1:$AH727,20,FALSE)-AVERAGE('The List'!U2:U727))/STDEV('The List'!U2:U727)</f>
        <v>-0.2547889666901203</v>
      </c>
      <c r="I253" s="39">
        <f>(VLOOKUP($A253,'The List'!$B1:$AH727,21,FALSE)-AVERAGE('The List'!V2:V727))/STDEV('The List'!V2:V727)</f>
        <v>-0.4722264702950365</v>
      </c>
      <c r="J253" s="39">
        <f>(VLOOKUP($A253,'The List'!$B1:$AH727,22,FALSE)-AVERAGE('The List'!W2:W727))/STDEV('The List'!W2:W727)</f>
        <v>0.70418298945273727</v>
      </c>
      <c r="K253" s="39">
        <f>(VLOOKUP($A253,'The List'!$B1:$AH727,23,FALSE)-AVERAGE('The List'!X2:X727))/STDEV('The List'!X2:X727)</f>
        <v>0.14836103317943872</v>
      </c>
      <c r="L253" s="39">
        <f>(VLOOKUP($A253,'The List'!$B1:$AH727,24,FALSE)-AVERAGE('The List'!Y2:Y727))/STDEV('The List'!Y2:Y727)</f>
        <v>-0.4955406531109271</v>
      </c>
      <c r="M253" s="39">
        <f>(VLOOKUP($A253,'The List'!$B1:$AH727,25,FALSE)-AVERAGE('The List'!Z2:Z727))/STDEV('The List'!Z2:Z727)</f>
        <v>-0.66991845795747429</v>
      </c>
      <c r="N253" s="39">
        <f>(VLOOKUP($A253,'The List'!$B1:$AH727,26,FALSE)-AVERAGE('The List'!AA2:AA727))/STDEV('The List'!AA2:AA727)</f>
        <v>-0.887165398176475</v>
      </c>
      <c r="O253" s="39">
        <f>(VLOOKUP($A253,'The List'!$B1:$AH727,27,FALSE)-AVERAGE('The List'!AB2:AB727))/STDEV('The List'!AB2:AB727)</f>
        <v>-0.75625681015729973</v>
      </c>
      <c r="P253" s="39">
        <f>(VLOOKUP($A253,'The List'!$B1:$AH727,28,FALSE)-AVERAGE('The List'!AC2:AC727))/STDEV('The List'!AC2:AC727)</f>
        <v>-0.89502825627014004</v>
      </c>
      <c r="Q253" s="39">
        <f>(VLOOKUP($A253,'The List'!$B1:$AH727,29,FALSE)-AVERAGE('The List'!AD2:AD727))/STDEV('The List'!AD2:AD727)</f>
        <v>-0.7159173327058298</v>
      </c>
      <c r="R253" s="39">
        <f>(VLOOKUP($A253,'The List'!$B1:$AH727,30,FALSE)-AVERAGE('The List'!AE2:AE727))/STDEV('The List'!AE2:AE727)</f>
        <v>-0.23845804300275691</v>
      </c>
      <c r="S253" s="39">
        <f>(VLOOKUP($A253,'The List'!$B1:$AH727,31,FALSE)-AVERAGE('The List'!AF2:AF727))/STDEV('The List'!AF2:AF727)</f>
        <v>-0.53835049666447687</v>
      </c>
      <c r="T253" s="39">
        <f>(VLOOKUP($A253,'The List'!$B1:$AH727,32,FALSE)-AVERAGE('The List'!AG2:AG727))/STDEV('The List'!AG2:AG727)</f>
        <v>-0.58116827030928753</v>
      </c>
      <c r="U253" s="39">
        <f>(VLOOKUP($A253,'The List'!$B1:$AH727,33,FALSE)-AVERAGE('The List'!AH2:AH727))/STDEV('The List'!AH2:AH727)</f>
        <v>1.0193495665072134</v>
      </c>
      <c r="V253" s="39"/>
      <c r="W253" s="43"/>
      <c r="X253" s="41"/>
      <c r="Y253" s="41"/>
      <c r="Z253" s="41"/>
      <c r="AA253" s="41"/>
      <c r="AB253" s="41"/>
      <c r="AC253" s="44"/>
      <c r="AD253" s="45"/>
      <c r="AE253" s="39"/>
    </row>
    <row r="254" spans="1:31" ht="21.25" customHeight="1" x14ac:dyDescent="0.15">
      <c r="A254" s="8" t="s">
        <v>536</v>
      </c>
      <c r="B254" s="35" t="str">
        <f>VLOOKUP(A254,'Player Data'!A1:B734,2,FALSE)</f>
        <v>BOS</v>
      </c>
      <c r="C254" s="37">
        <f>((E254)*Settings!$C$12)+(F254*Settings!$C$2)+(G254*Settings!$C$3)+(H254*Settings!$C$4)+(I254*Settings!$C$5)+(K254*Settings!$C$9)+(N254*Settings!$C$6)+(J254*Settings!$C$8)+(O254*Settings!$C$7)+(P254*Settings!$C$14)+(Q254*Settings!$C$15)+(R254*Settings!$C$16)+(S254*Settings!$C$17)+(T254*Settings!$C$18)+(U254*Settings!$C$19)</f>
        <v>-5.6707197523603092E-2</v>
      </c>
      <c r="D254" s="41">
        <f>IF(Settings!$E$12="YES",VLOOKUP(A254,'Player Data'!A1:E734,5,FALSE),82)</f>
        <v>75.556428571428597</v>
      </c>
      <c r="E254" s="39">
        <f>(VLOOKUP($A254,'The List'!$B1:$AH727,17,FALSE)-AVERAGE('The List'!R2:R727))/STDEV('The List'!R2:R727)</f>
        <v>-0.36381087124111056</v>
      </c>
      <c r="F254" s="39">
        <f>(VLOOKUP($A254,'The List'!$B1:$AH727,18,FALSE)-AVERAGE('The List'!S2:S727))/STDEV('The List'!S2:S727)</f>
        <v>-2.7340399934305343E-2</v>
      </c>
      <c r="G254" s="39">
        <f>(VLOOKUP($A254,'The List'!$B1:$AH727,19,FALSE)-AVERAGE('The List'!T2:T727))/STDEV('The List'!T2:T727)</f>
        <v>8.9848040722098232E-2</v>
      </c>
      <c r="H254" s="39">
        <f>(VLOOKUP($A254,'The List'!$B1:$AH727,20,FALSE)-AVERAGE('The List'!U2:U727))/STDEV('The List'!U2:U727)</f>
        <v>4.2923597174559146E-2</v>
      </c>
      <c r="I254" s="39">
        <f>(VLOOKUP($A254,'The List'!$B1:$AH727,21,FALSE)-AVERAGE('The List'!V2:V727))/STDEV('The List'!V2:V727)</f>
        <v>-4.9116171591067542E-2</v>
      </c>
      <c r="J254" s="39">
        <f>(VLOOKUP($A254,'The List'!$B1:$AH727,22,FALSE)-AVERAGE('The List'!W2:W727))/STDEV('The List'!W2:W727)</f>
        <v>-7.4868053938921861E-2</v>
      </c>
      <c r="K254" s="39">
        <f>(VLOOKUP($A254,'The List'!$B1:$AH727,23,FALSE)-AVERAGE('The List'!X2:X727))/STDEV('The List'!X2:X727)</f>
        <v>-0.21219314522929192</v>
      </c>
      <c r="L254" s="39">
        <f>(VLOOKUP($A254,'The List'!$B1:$AH727,24,FALSE)-AVERAGE('The List'!Y2:Y727))/STDEV('The List'!Y2:Y727)</f>
        <v>-0.18203669648824145</v>
      </c>
      <c r="M254" s="39">
        <f>(VLOOKUP($A254,'The List'!$B1:$AH727,25,FALSE)-AVERAGE('The List'!Z2:Z727))/STDEV('The List'!Z2:Z727)</f>
        <v>-0.31952879193519806</v>
      </c>
      <c r="N254" s="39">
        <f>(VLOOKUP($A254,'The List'!$B1:$AH727,26,FALSE)-AVERAGE('The List'!AA2:AA727))/STDEV('The List'!AA2:AA727)</f>
        <v>-0.44355574553038513</v>
      </c>
      <c r="O254" s="39">
        <f>(VLOOKUP($A254,'The List'!$B1:$AH727,27,FALSE)-AVERAGE('The List'!AB2:AB727))/STDEV('The List'!AB2:AB727)</f>
        <v>-0.2968130959699497</v>
      </c>
      <c r="P254" s="39">
        <f>(VLOOKUP($A254,'The List'!$B1:$AH727,28,FALSE)-AVERAGE('The List'!AC2:AC727))/STDEV('The List'!AC2:AC727)</f>
        <v>0.58565022403934863</v>
      </c>
      <c r="Q254" s="39">
        <f>(VLOOKUP($A254,'The List'!$B1:$AH727,29,FALSE)-AVERAGE('The List'!AD2:AD727))/STDEV('The List'!AD2:AD727)</f>
        <v>-6.5095650048484596E-2</v>
      </c>
      <c r="R254" s="39">
        <f>(VLOOKUP($A254,'The List'!$B1:$AH727,30,FALSE)-AVERAGE('The List'!AE2:AE727))/STDEV('The List'!AE2:AE727)</f>
        <v>0.19686743295645509</v>
      </c>
      <c r="S254" s="39">
        <f>(VLOOKUP($A254,'The List'!$B1:$AH727,31,FALSE)-AVERAGE('The List'!AF2:AF727))/STDEV('The List'!AF2:AF727)</f>
        <v>1.6969713735074912</v>
      </c>
      <c r="T254" s="39">
        <f>(VLOOKUP($A254,'The List'!$B1:$AH727,32,FALSE)-AVERAGE('The List'!AG2:AG727))/STDEV('The List'!AG2:AG727)</f>
        <v>1.6682417012669652</v>
      </c>
      <c r="U254" s="39">
        <f>(VLOOKUP($A254,'The List'!$B1:$AH727,33,FALSE)-AVERAGE('The List'!AH2:AH727))/STDEV('The List'!AH2:AH727)</f>
        <v>1.0690319921841955</v>
      </c>
      <c r="V254" s="39"/>
      <c r="W254" s="43"/>
      <c r="X254" s="41"/>
      <c r="Y254" s="41"/>
      <c r="Z254" s="41"/>
      <c r="AA254" s="41"/>
      <c r="AB254" s="41"/>
      <c r="AC254" s="44"/>
      <c r="AD254" s="45"/>
      <c r="AE254" s="39"/>
    </row>
    <row r="255" spans="1:31" ht="21.25" customHeight="1" x14ac:dyDescent="0.15">
      <c r="A255" s="8" t="s">
        <v>491</v>
      </c>
      <c r="B255" s="35" t="str">
        <f>VLOOKUP(A255,'Player Data'!A1:B734,2,FALSE)</f>
        <v>DAL</v>
      </c>
      <c r="C255" s="37">
        <f>((E255)*Settings!$C$12)+(F255*Settings!$C$2)+(G255*Settings!$C$3)+(H255*Settings!$C$4)+(I255*Settings!$C$5)+(K255*Settings!$C$9)+(N255*Settings!$C$6)+(J255*Settings!$C$8)+(O255*Settings!$C$7)+(P255*Settings!$C$14)+(Q255*Settings!$C$15)+(R255*Settings!$C$16)+(S255*Settings!$C$17)+(T255*Settings!$C$18)+(U255*Settings!$C$19)</f>
        <v>-0.33476941373765257</v>
      </c>
      <c r="D255" s="41">
        <f>IF(Settings!$E$12="YES",VLOOKUP(A255,'Player Data'!A1:E734,5,FALSE),82)</f>
        <v>72.327142857142903</v>
      </c>
      <c r="E255" s="39">
        <f>(VLOOKUP($A255,'The List'!$B1:$AH727,17,FALSE)-AVERAGE('The List'!R2:R727))/STDEV('The List'!R2:R727)</f>
        <v>-0.76129584574620013</v>
      </c>
      <c r="F255" s="39">
        <f>(VLOOKUP($A255,'The List'!$B1:$AH727,18,FALSE)-AVERAGE('The List'!S2:S727))/STDEV('The List'!S2:S727)</f>
        <v>-7.1352279610391017E-3</v>
      </c>
      <c r="G255" s="39">
        <f>(VLOOKUP($A255,'The List'!$B1:$AH727,19,FALSE)-AVERAGE('The List'!T2:T727))/STDEV('The List'!T2:T727)</f>
        <v>-4.2239016042781657E-2</v>
      </c>
      <c r="H255" s="39">
        <f>(VLOOKUP($A255,'The List'!$B1:$AH727,20,FALSE)-AVERAGE('The List'!U2:U727))/STDEV('The List'!U2:U727)</f>
        <v>-2.9275045838261866E-2</v>
      </c>
      <c r="I255" s="39">
        <f>(VLOOKUP($A255,'The List'!$B1:$AH727,21,FALSE)-AVERAGE('The List'!V2:V727))/STDEV('The List'!V2:V727)</f>
        <v>-4.4808372156820968E-3</v>
      </c>
      <c r="J255" s="39">
        <f>(VLOOKUP($A255,'The List'!$B1:$AH727,22,FALSE)-AVERAGE('The List'!W2:W727))/STDEV('The List'!W2:W727)</f>
        <v>-0.46235592184046631</v>
      </c>
      <c r="K255" s="39">
        <f>(VLOOKUP($A255,'The List'!$B1:$AH727,23,FALSE)-AVERAGE('The List'!X2:X727))/STDEV('The List'!X2:X727)</f>
        <v>-0.56565165999825251</v>
      </c>
      <c r="L255" s="39">
        <f>(VLOOKUP($A255,'The List'!$B1:$AH727,24,FALSE)-AVERAGE('The List'!Y2:Y727))/STDEV('The List'!Y2:Y727)</f>
        <v>-0.53287008944923553</v>
      </c>
      <c r="M255" s="39">
        <f>(VLOOKUP($A255,'The List'!$B1:$AH727,25,FALSE)-AVERAGE('The List'!Z2:Z727))/STDEV('The List'!Z2:Z727)</f>
        <v>-0.7111080784766165</v>
      </c>
      <c r="N255" s="39">
        <f>(VLOOKUP($A255,'The List'!$B1:$AH727,26,FALSE)-AVERAGE('The List'!AA2:AA727))/STDEV('The List'!AA2:AA727)</f>
        <v>-0.71114793867443171</v>
      </c>
      <c r="O255" s="39">
        <f>(VLOOKUP($A255,'The List'!$B1:$AH727,27,FALSE)-AVERAGE('The List'!AB2:AB727))/STDEV('The List'!AB2:AB727)</f>
        <v>0.14739439990582096</v>
      </c>
      <c r="P255" s="39">
        <f>(VLOOKUP($A255,'The List'!$B1:$AH727,28,FALSE)-AVERAGE('The List'!AC2:AC727))/STDEV('The List'!AC2:AC727)</f>
        <v>0.99588526615453443</v>
      </c>
      <c r="Q255" s="39">
        <f>(VLOOKUP($A255,'The List'!$B1:$AH727,29,FALSE)-AVERAGE('The List'!AD2:AD727))/STDEV('The List'!AD2:AD727)</f>
        <v>1.0913743122848636</v>
      </c>
      <c r="R255" s="39">
        <f>(VLOOKUP($A255,'The List'!$B1:$AH727,30,FALSE)-AVERAGE('The List'!AE2:AE727))/STDEV('The List'!AE2:AE727)</f>
        <v>0.15272333068268579</v>
      </c>
      <c r="S255" s="39">
        <f>(VLOOKUP($A255,'The List'!$B1:$AH727,31,FALSE)-AVERAGE('The List'!AF2:AF727))/STDEV('The List'!AF2:AF727)</f>
        <v>-0.50515267178507695</v>
      </c>
      <c r="T255" s="39">
        <f>(VLOOKUP($A255,'The List'!$B1:$AH727,32,FALSE)-AVERAGE('The List'!AG2:AG727))/STDEV('The List'!AG2:AG727)</f>
        <v>-0.5018967331135763</v>
      </c>
      <c r="U255" s="39">
        <f>(VLOOKUP($A255,'The List'!$B1:$AH727,33,FALSE)-AVERAGE('The List'!AH2:AH727))/STDEV('The List'!AH2:AH727)</f>
        <v>0.37563569541336972</v>
      </c>
      <c r="V255" s="39"/>
      <c r="W255" s="43"/>
      <c r="X255" s="41"/>
      <c r="Y255" s="41"/>
      <c r="Z255" s="41"/>
      <c r="AA255" s="41"/>
      <c r="AB255" s="41"/>
      <c r="AC255" s="44"/>
      <c r="AD255" s="45"/>
      <c r="AE255" s="39"/>
    </row>
    <row r="256" spans="1:31" ht="21.25" customHeight="1" x14ac:dyDescent="0.15">
      <c r="A256" s="8" t="s">
        <v>275</v>
      </c>
      <c r="B256" s="35" t="str">
        <f>VLOOKUP(A256,'Player Data'!A1:B734,2,FALSE)</f>
        <v>BUF</v>
      </c>
      <c r="C256" s="37">
        <f>((E256)*Settings!$C$12)+(F256*Settings!$C$2)+(G256*Settings!$C$3)+(H256*Settings!$C$4)+(I256*Settings!$C$5)+(K256*Settings!$C$9)+(N256*Settings!$C$6)+(J256*Settings!$C$8)+(O256*Settings!$C$7)+(P256*Settings!$C$14)+(Q256*Settings!$C$15)+(R256*Settings!$C$16)+(S256*Settings!$C$17)+(T256*Settings!$C$18)+(U256*Settings!$C$19)</f>
        <v>1.431426517637167</v>
      </c>
      <c r="D256" s="41">
        <f>IF(Settings!$E$12="YES",VLOOKUP(A256,'Player Data'!A1:E734,5,FALSE),82)</f>
        <v>81.45</v>
      </c>
      <c r="E256" s="39">
        <f>(VLOOKUP($A256,'The List'!$B1:$AH727,17,FALSE)-AVERAGE('The List'!R2:R727))/STDEV('The List'!R2:R727)</f>
        <v>1.8971807043235047</v>
      </c>
      <c r="F256" s="39">
        <f>(VLOOKUP($A256,'The List'!$B1:$AH727,18,FALSE)-AVERAGE('The List'!S2:S727))/STDEV('The List'!S2:S727)</f>
        <v>-0.60519652384183653</v>
      </c>
      <c r="G256" s="39">
        <f>(VLOOKUP($A256,'The List'!$B1:$AH727,19,FALSE)-AVERAGE('The List'!T2:T727))/STDEV('The List'!T2:T727)</f>
        <v>0.86142057691404805</v>
      </c>
      <c r="H256" s="39">
        <f>(VLOOKUP($A256,'The List'!$B1:$AH727,20,FALSE)-AVERAGE('The List'!U2:U727))/STDEV('The List'!U2:U727)</f>
        <v>0.25541300205149731</v>
      </c>
      <c r="I256" s="39">
        <f>(VLOOKUP($A256,'The List'!$B1:$AH727,21,FALSE)-AVERAGE('The List'!V2:V727))/STDEV('The List'!V2:V727)</f>
        <v>0.13570946979157317</v>
      </c>
      <c r="J256" s="39">
        <f>(VLOOKUP($A256,'The List'!$B1:$AH727,22,FALSE)-AVERAGE('The List'!W2:W727))/STDEV('The List'!W2:W727)</f>
        <v>-0.59139296146549258</v>
      </c>
      <c r="K256" s="39">
        <f>(VLOOKUP($A256,'The List'!$B1:$AH727,23,FALSE)-AVERAGE('The List'!X2:X727))/STDEV('The List'!X2:X727)</f>
        <v>0.11409860044854489</v>
      </c>
      <c r="L256" s="39">
        <f>(VLOOKUP($A256,'The List'!$B1:$AH727,24,FALSE)-AVERAGE('The List'!Y2:Y727))/STDEV('The List'!Y2:Y727)</f>
        <v>-0.48474462346588992</v>
      </c>
      <c r="M256" s="39">
        <f>(VLOOKUP($A256,'The List'!$B1:$AH727,25,FALSE)-AVERAGE('The List'!Z2:Z727))/STDEV('The List'!Z2:Z727)</f>
        <v>-4.4398448341261901E-2</v>
      </c>
      <c r="N256" s="39">
        <f>(VLOOKUP($A256,'The List'!$B1:$AH727,26,FALSE)-AVERAGE('The List'!AA2:AA727))/STDEV('The List'!AA2:AA727)</f>
        <v>0.95521080196804753</v>
      </c>
      <c r="O256" s="39">
        <f>(VLOOKUP($A256,'The List'!$B1:$AH727,27,FALSE)-AVERAGE('The List'!AB2:AB727))/STDEV('The List'!AB2:AB727)</f>
        <v>-0.96713377417821833</v>
      </c>
      <c r="P256" s="39">
        <f>(VLOOKUP($A256,'The List'!$B1:$AH727,28,FALSE)-AVERAGE('The List'!AC2:AC727))/STDEV('The List'!AC2:AC727)</f>
        <v>-2.9816407643210065E-2</v>
      </c>
      <c r="Q256" s="39">
        <f>(VLOOKUP($A256,'The List'!$B1:$AH727,29,FALSE)-AVERAGE('The List'!AD2:AD727))/STDEV('The List'!AD2:AD727)</f>
        <v>-1.2064732163967404E-2</v>
      </c>
      <c r="R256" s="39">
        <f>(VLOOKUP($A256,'The List'!$B1:$AH727,30,FALSE)-AVERAGE('The List'!AE2:AE727))/STDEV('The List'!AE2:AE727)</f>
        <v>-0.61235128953526607</v>
      </c>
      <c r="S256" s="39">
        <f>(VLOOKUP($A256,'The List'!$B1:$AH727,31,FALSE)-AVERAGE('The List'!AF2:AF727))/STDEV('The List'!AF2:AF727)</f>
        <v>-0.55804314905918151</v>
      </c>
      <c r="T256" s="39">
        <f>(VLOOKUP($A256,'The List'!$B1:$AH727,32,FALSE)-AVERAGE('The List'!AG2:AG727))/STDEV('The List'!AG2:AG727)</f>
        <v>-0.60188453558131205</v>
      </c>
      <c r="U256" s="39">
        <f>(VLOOKUP($A256,'The List'!$B1:$AH727,33,FALSE)-AVERAGE('The List'!AH2:AH727))/STDEV('The List'!AH2:AH727)</f>
        <v>-1.2395873372913611</v>
      </c>
      <c r="V256" s="39"/>
      <c r="W256" s="43"/>
      <c r="X256" s="41"/>
      <c r="Y256" s="41"/>
      <c r="Z256" s="41"/>
      <c r="AA256" s="41"/>
      <c r="AB256" s="41"/>
      <c r="AC256" s="44"/>
      <c r="AD256" s="45"/>
      <c r="AE256" s="39"/>
    </row>
    <row r="257" spans="1:31" ht="21.25" customHeight="1" x14ac:dyDescent="0.15">
      <c r="A257" s="8" t="s">
        <v>446</v>
      </c>
      <c r="B257" s="35" t="str">
        <f>VLOOKUP(A257,'Player Data'!A1:B734,2,FALSE)</f>
        <v>FLA</v>
      </c>
      <c r="C257" s="37">
        <f>((E257)*Settings!$C$12)+(F257*Settings!$C$2)+(G257*Settings!$C$3)+(H257*Settings!$C$4)+(I257*Settings!$C$5)+(K257*Settings!$C$9)+(N257*Settings!$C$6)+(J257*Settings!$C$8)+(O257*Settings!$C$7)+(P257*Settings!$C$14)+(Q257*Settings!$C$15)+(R257*Settings!$C$16)+(S257*Settings!$C$17)+(T257*Settings!$C$18)+(U257*Settings!$C$19)</f>
        <v>1.0076945974786145</v>
      </c>
      <c r="D257" s="41">
        <f>IF(Settings!$E$12="YES",VLOOKUP(A257,'Player Data'!A1:E734,5,FALSE),82)</f>
        <v>76.647499999999994</v>
      </c>
      <c r="E257" s="39">
        <f>(VLOOKUP($A257,'The List'!$B1:$AH727,17,FALSE)-AVERAGE('The List'!R2:R727))/STDEV('The List'!R2:R727)</f>
        <v>-0.20007682870033541</v>
      </c>
      <c r="F257" s="39">
        <f>(VLOOKUP($A257,'The List'!$B1:$AH727,18,FALSE)-AVERAGE('The List'!S2:S727))/STDEV('The List'!S2:S727)</f>
        <v>0.20344914036893497</v>
      </c>
      <c r="G257" s="39">
        <f>(VLOOKUP($A257,'The List'!$B1:$AH727,19,FALSE)-AVERAGE('The List'!T2:T727))/STDEV('The List'!T2:T727)</f>
        <v>-4.890458525384591E-2</v>
      </c>
      <c r="H257" s="39">
        <f>(VLOOKUP($A257,'The List'!$B1:$AH727,20,FALSE)-AVERAGE('The List'!U2:U727))/STDEV('The List'!U2:U727)</f>
        <v>6.2446634230710306E-2</v>
      </c>
      <c r="I257" s="39">
        <f>(VLOOKUP($A257,'The List'!$B1:$AH727,21,FALSE)-AVERAGE('The List'!V2:V727))/STDEV('The List'!V2:V727)</f>
        <v>0.85375600908153737</v>
      </c>
      <c r="J257" s="39">
        <f>(VLOOKUP($A257,'The List'!$B1:$AH727,22,FALSE)-AVERAGE('The List'!W2:W727))/STDEV('The List'!W2:W727)</f>
        <v>0.43759610786576947</v>
      </c>
      <c r="K257" s="39">
        <f>(VLOOKUP($A257,'The List'!$B1:$AH727,23,FALSE)-AVERAGE('The List'!X2:X727))/STDEV('The List'!X2:X727)</f>
        <v>-5.2864453744836691E-2</v>
      </c>
      <c r="L257" s="39">
        <f>(VLOOKUP($A257,'The List'!$B1:$AH727,24,FALSE)-AVERAGE('The List'!Y2:Y727))/STDEV('The List'!Y2:Y727)</f>
        <v>-0.3738817908293664</v>
      </c>
      <c r="M257" s="39">
        <f>(VLOOKUP($A257,'The List'!$B1:$AH727,25,FALSE)-AVERAGE('The List'!Z2:Z727))/STDEV('The List'!Z2:Z727)</f>
        <v>-0.5304482820175227</v>
      </c>
      <c r="N257" s="39">
        <f>(VLOOKUP($A257,'The List'!$B1:$AH727,26,FALSE)-AVERAGE('The List'!AA2:AA727))/STDEV('The List'!AA2:AA727)</f>
        <v>-0.79167010374294211</v>
      </c>
      <c r="O257" s="39">
        <f>(VLOOKUP($A257,'The List'!$B1:$AH727,27,FALSE)-AVERAGE('The List'!AB2:AB727))/STDEV('The List'!AB2:AB727)</f>
        <v>-0.84362412397417341</v>
      </c>
      <c r="P257" s="39">
        <f>(VLOOKUP($A257,'The List'!$B1:$AH727,28,FALSE)-AVERAGE('The List'!AC2:AC727))/STDEV('The List'!AC2:AC727)</f>
        <v>0.84392859076976667</v>
      </c>
      <c r="Q257" s="39">
        <f>(VLOOKUP($A257,'The List'!$B1:$AH727,29,FALSE)-AVERAGE('The List'!AD2:AD727))/STDEV('The List'!AD2:AD727)</f>
        <v>-0.53277837121067639</v>
      </c>
      <c r="R257" s="39">
        <f>(VLOOKUP($A257,'The List'!$B1:$AH727,30,FALSE)-AVERAGE('The List'!AE2:AE727))/STDEV('The List'!AE2:AE727)</f>
        <v>0.21101175626431976</v>
      </c>
      <c r="S257" s="39">
        <f>(VLOOKUP($A257,'The List'!$B1:$AH727,31,FALSE)-AVERAGE('The List'!AF2:AF727))/STDEV('The List'!AF2:AF727)</f>
        <v>5.5715091453818741E-2</v>
      </c>
      <c r="T257" s="39">
        <f>(VLOOKUP($A257,'The List'!$B1:$AH727,32,FALSE)-AVERAGE('The List'!AG2:AG727))/STDEV('The List'!AG2:AG727)</f>
        <v>0.10436511106240348</v>
      </c>
      <c r="U257" s="39">
        <f>(VLOOKUP($A257,'The List'!$B1:$AH727,33,FALSE)-AVERAGE('The List'!AH2:AH727))/STDEV('The List'!AH2:AH727)</f>
        <v>0.91811075752091098</v>
      </c>
      <c r="V257" s="39"/>
      <c r="W257" s="43"/>
      <c r="X257" s="41"/>
      <c r="Y257" s="41"/>
      <c r="Z257" s="41"/>
      <c r="AA257" s="41"/>
      <c r="AB257" s="41"/>
      <c r="AC257" s="44"/>
      <c r="AD257" s="45"/>
      <c r="AE257" s="39"/>
    </row>
    <row r="258" spans="1:31" ht="21.25" customHeight="1" x14ac:dyDescent="0.15">
      <c r="A258" s="8" t="s">
        <v>648</v>
      </c>
      <c r="B258" s="35" t="str">
        <f>VLOOKUP(A258,'Player Data'!A1:B734,2,FALSE)</f>
        <v>SEA</v>
      </c>
      <c r="C258" s="37">
        <f>((E258)*Settings!$C$12)+(F258*Settings!$C$2)+(G258*Settings!$C$3)+(H258*Settings!$C$4)+(I258*Settings!$C$5)+(K258*Settings!$C$9)+(N258*Settings!$C$6)+(J258*Settings!$C$8)+(O258*Settings!$C$7)+(P258*Settings!$C$14)+(Q258*Settings!$C$15)+(R258*Settings!$C$16)+(S258*Settings!$C$17)+(T258*Settings!$C$18)+(U258*Settings!$C$19)</f>
        <v>-2.0046933584710267</v>
      </c>
      <c r="D258" s="41">
        <f>IF(Settings!$E$12="YES",VLOOKUP(A258,'Player Data'!A1:E734,5,FALSE),82)</f>
        <v>60</v>
      </c>
      <c r="E258" s="39">
        <f>(VLOOKUP($A258,'The List'!$B1:$AH727,17,FALSE)-AVERAGE('The List'!R2:R727))/STDEV('The List'!R2:R727)</f>
        <v>-0.79858894944579406</v>
      </c>
      <c r="F258" s="39">
        <f>(VLOOKUP($A258,'The List'!$B1:$AH727,18,FALSE)-AVERAGE('The List'!S2:S727))/STDEV('The List'!S2:S727)</f>
        <v>-2.1246764756757074E-3</v>
      </c>
      <c r="G258" s="39">
        <f>(VLOOKUP($A258,'The List'!$B1:$AH727,19,FALSE)-AVERAGE('The List'!T2:T727))/STDEV('The List'!T2:T727)</f>
        <v>-0.48226362338606632</v>
      </c>
      <c r="H258" s="39">
        <f>(VLOOKUP($A258,'The List'!$B1:$AH727,20,FALSE)-AVERAGE('The List'!U2:U727))/STDEV('The List'!U2:U727)</f>
        <v>-0.29814214613052914</v>
      </c>
      <c r="I258" s="39">
        <f>(VLOOKUP($A258,'The List'!$B1:$AH727,21,FALSE)-AVERAGE('The List'!V2:V727))/STDEV('The List'!V2:V727)</f>
        <v>-0.38949059496326893</v>
      </c>
      <c r="J258" s="39">
        <f>(VLOOKUP($A258,'The List'!$B1:$AH727,22,FALSE)-AVERAGE('The List'!W2:W727))/STDEV('The List'!W2:W727)</f>
        <v>8.6279174694002994E-2</v>
      </c>
      <c r="K258" s="39">
        <f>(VLOOKUP($A258,'The List'!$B1:$AH727,23,FALSE)-AVERAGE('The List'!X2:X727))/STDEV('The List'!X2:X727)</f>
        <v>-0.12581717892373909</v>
      </c>
      <c r="L258" s="39">
        <f>(VLOOKUP($A258,'The List'!$B1:$AH727,24,FALSE)-AVERAGE('The List'!Y2:Y727))/STDEV('The List'!Y2:Y727)</f>
        <v>-0.54402834717551152</v>
      </c>
      <c r="M258" s="39">
        <f>(VLOOKUP($A258,'The List'!$B1:$AH727,25,FALSE)-AVERAGE('The List'!Z2:Z727))/STDEV('The List'!Z2:Z727)</f>
        <v>-0.72372514007823274</v>
      </c>
      <c r="N258" s="39">
        <f>(VLOOKUP($A258,'The List'!$B1:$AH727,26,FALSE)-AVERAGE('The List'!AA2:AA727))/STDEV('The List'!AA2:AA727)</f>
        <v>-0.8731170952015308</v>
      </c>
      <c r="O258" s="39">
        <f>(VLOOKUP($A258,'The List'!$B1:$AH727,27,FALSE)-AVERAGE('The List'!AB2:AB727))/STDEV('The List'!AB2:AB727)</f>
        <v>-1.1631204225302314</v>
      </c>
      <c r="P258" s="39">
        <f>(VLOOKUP($A258,'The List'!$B1:$AH727,28,FALSE)-AVERAGE('The List'!AC2:AC727))/STDEV('The List'!AC2:AC727)</f>
        <v>-0.13188018952074607</v>
      </c>
      <c r="Q258" s="39">
        <f>(VLOOKUP($A258,'The List'!$B1:$AH727,29,FALSE)-AVERAGE('The List'!AD2:AD727))/STDEV('The List'!AD2:AD727)</f>
        <v>-0.73123304634626074</v>
      </c>
      <c r="R258" s="39">
        <f>(VLOOKUP($A258,'The List'!$B1:$AH727,30,FALSE)-AVERAGE('The List'!AE2:AE727))/STDEV('The List'!AE2:AE727)</f>
        <v>-6.0209125258260006E-3</v>
      </c>
      <c r="S258" s="39">
        <f>(VLOOKUP($A258,'The List'!$B1:$AH727,31,FALSE)-AVERAGE('The List'!AF2:AF727))/STDEV('The List'!AF2:AF727)</f>
        <v>-0.36583863144706863</v>
      </c>
      <c r="T258" s="39">
        <f>(VLOOKUP($A258,'The List'!$B1:$AH727,32,FALSE)-AVERAGE('The List'!AG2:AG727))/STDEV('The List'!AG2:AG727)</f>
        <v>-0.27198710533990955</v>
      </c>
      <c r="U258" s="39">
        <f>(VLOOKUP($A258,'The List'!$B1:$AH727,33,FALSE)-AVERAGE('The List'!AH2:AH727))/STDEV('The List'!AH2:AH727)</f>
        <v>0.47720470959555567</v>
      </c>
      <c r="V258" s="39"/>
      <c r="W258" s="43"/>
      <c r="X258" s="41"/>
      <c r="Y258" s="41"/>
      <c r="Z258" s="41"/>
      <c r="AA258" s="41"/>
      <c r="AB258" s="41"/>
      <c r="AC258" s="44"/>
      <c r="AD258" s="45"/>
      <c r="AE258" s="39"/>
    </row>
    <row r="259" spans="1:31" ht="21.25" customHeight="1" x14ac:dyDescent="0.15">
      <c r="A259" s="8" t="s">
        <v>295</v>
      </c>
      <c r="B259" s="35" t="str">
        <f>VLOOKUP(A259,'Player Data'!A1:B734,2,FALSE)</f>
        <v>NJD</v>
      </c>
      <c r="C259" s="37">
        <f>((E259)*Settings!$C$12)+(F259*Settings!$C$2)+(G259*Settings!$C$3)+(H259*Settings!$C$4)+(I259*Settings!$C$5)+(K259*Settings!$C$9)+(N259*Settings!$C$6)+(J259*Settings!$C$8)+(O259*Settings!$C$7)+(P259*Settings!$C$14)+(Q259*Settings!$C$15)+(R259*Settings!$C$16)+(S259*Settings!$C$17)+(T259*Settings!$C$18)+(U259*Settings!$C$19)</f>
        <v>1.2821838403058805</v>
      </c>
      <c r="D259" s="41">
        <f>IF(Settings!$E$12="YES",VLOOKUP(A259,'Player Data'!A1:E734,5,FALSE),82)</f>
        <v>77</v>
      </c>
      <c r="E259" s="39">
        <f>(VLOOKUP($A259,'The List'!$B1:$AH727,17,FALSE)-AVERAGE('The List'!R2:R727))/STDEV('The List'!R2:R727)</f>
        <v>0.95002324974201158</v>
      </c>
      <c r="F259" s="39">
        <f>(VLOOKUP($A259,'The List'!$B1:$AH727,18,FALSE)-AVERAGE('The List'!S2:S727))/STDEV('The List'!S2:S727)</f>
        <v>-0.53039826006708157</v>
      </c>
      <c r="G259" s="39">
        <f>(VLOOKUP($A259,'The List'!$B1:$AH727,19,FALSE)-AVERAGE('The List'!T2:T727))/STDEV('The List'!T2:T727)</f>
        <v>0.491652649634788</v>
      </c>
      <c r="H259" s="39">
        <f>(VLOOKUP($A259,'The List'!$B1:$AH727,20,FALSE)-AVERAGE('The List'!U2:U727))/STDEV('The List'!U2:U727)</f>
        <v>6.1596491085714189E-2</v>
      </c>
      <c r="I259" s="39">
        <f>(VLOOKUP($A259,'The List'!$B1:$AH727,21,FALSE)-AVERAGE('The List'!V2:V727))/STDEV('The List'!V2:V727)</f>
        <v>0.11297644638476895</v>
      </c>
      <c r="J259" s="39">
        <f>(VLOOKUP($A259,'The List'!$B1:$AH727,22,FALSE)-AVERAGE('The List'!W2:W727))/STDEV('The List'!W2:W727)</f>
        <v>-0.2418002276588313</v>
      </c>
      <c r="K259" s="39">
        <f>(VLOOKUP($A259,'The List'!$B1:$AH727,23,FALSE)-AVERAGE('The List'!X2:X727))/STDEV('The List'!X2:X727)</f>
        <v>5.8399102166237164E-2</v>
      </c>
      <c r="L259" s="39">
        <f>(VLOOKUP($A259,'The List'!$B1:$AH727,24,FALSE)-AVERAGE('The List'!Y2:Y727))/STDEV('The List'!Y2:Y727)</f>
        <v>-0.54402834717551152</v>
      </c>
      <c r="M259" s="39">
        <f>(VLOOKUP($A259,'The List'!$B1:$AH727,25,FALSE)-AVERAGE('The List'!Z2:Z727))/STDEV('The List'!Z2:Z727)</f>
        <v>-0.72372514007823274</v>
      </c>
      <c r="N259" s="39">
        <f>(VLOOKUP($A259,'The List'!$B1:$AH727,26,FALSE)-AVERAGE('The List'!AA2:AA727))/STDEV('The List'!AA2:AA727)</f>
        <v>1.0524086944082089</v>
      </c>
      <c r="O259" s="39">
        <f>(VLOOKUP($A259,'The List'!$B1:$AH727,27,FALSE)-AVERAGE('The List'!AB2:AB727))/STDEV('The List'!AB2:AB727)</f>
        <v>0.24502935732039821</v>
      </c>
      <c r="P259" s="39">
        <f>(VLOOKUP($A259,'The List'!$B1:$AH727,28,FALSE)-AVERAGE('The List'!AC2:AC727))/STDEV('The List'!AC2:AC727)</f>
        <v>9.7145207778958978E-2</v>
      </c>
      <c r="Q259" s="39">
        <f>(VLOOKUP($A259,'The List'!$B1:$AH727,29,FALSE)-AVERAGE('The List'!AD2:AD727))/STDEV('The List'!AD2:AD727)</f>
        <v>0.39418476541838154</v>
      </c>
      <c r="R259" s="39">
        <f>(VLOOKUP($A259,'The List'!$B1:$AH727,30,FALSE)-AVERAGE('The List'!AE2:AE727))/STDEV('The List'!AE2:AE727)</f>
        <v>-0.45799619563336291</v>
      </c>
      <c r="S259" s="39">
        <f>(VLOOKUP($A259,'The List'!$B1:$AH727,31,FALSE)-AVERAGE('The List'!AF2:AF727))/STDEV('The List'!AF2:AF727)</f>
        <v>-0.55804314905918151</v>
      </c>
      <c r="T259" s="39">
        <f>(VLOOKUP($A259,'The List'!$B1:$AH727,32,FALSE)-AVERAGE('The List'!AG2:AG727))/STDEV('The List'!AG2:AG727)</f>
        <v>-0.60188453558131205</v>
      </c>
      <c r="U259" s="39">
        <f>(VLOOKUP($A259,'The List'!$B1:$AH727,33,FALSE)-AVERAGE('The List'!AH2:AH727))/STDEV('The List'!AH2:AH727)</f>
        <v>-1.2395873372913611</v>
      </c>
      <c r="V259" s="39"/>
      <c r="W259" s="41"/>
      <c r="X259" s="39"/>
      <c r="Y259" s="39"/>
      <c r="Z259" s="39"/>
      <c r="AA259" s="39"/>
      <c r="AB259" s="39"/>
      <c r="AC259" s="39"/>
      <c r="AD259" s="39"/>
      <c r="AE259" s="39"/>
    </row>
    <row r="260" spans="1:31" ht="21.25" customHeight="1" x14ac:dyDescent="0.15">
      <c r="A260" s="8" t="s">
        <v>497</v>
      </c>
      <c r="B260" s="35" t="str">
        <f>VLOOKUP(A260,'Player Data'!A1:B734,2,FALSE)</f>
        <v>NYI</v>
      </c>
      <c r="C260" s="37">
        <f>((E260)*Settings!$C$12)+(F260*Settings!$C$2)+(G260*Settings!$C$3)+(H260*Settings!$C$4)+(I260*Settings!$C$5)+(K260*Settings!$C$9)+(N260*Settings!$C$6)+(J260*Settings!$C$8)+(O260*Settings!$C$7)+(P260*Settings!$C$14)+(Q260*Settings!$C$15)+(R260*Settings!$C$16)+(S260*Settings!$C$17)+(T260*Settings!$C$18)+(U260*Settings!$C$19)</f>
        <v>0.19620633484055999</v>
      </c>
      <c r="D260" s="41">
        <f>IF(Settings!$E$12="YES",VLOOKUP(A260,'Player Data'!A1:E734,5,FALSE),82)</f>
        <v>78.919642857142904</v>
      </c>
      <c r="E260" s="39">
        <f>(VLOOKUP($A260,'The List'!$B1:$AH727,17,FALSE)-AVERAGE('The List'!R2:R727))/STDEV('The List'!R2:R727)</f>
        <v>1.9543403410932011E-2</v>
      </c>
      <c r="F260" s="39">
        <f>(VLOOKUP($A260,'The List'!$B1:$AH727,18,FALSE)-AVERAGE('The List'!S2:S727))/STDEV('The List'!S2:S727)</f>
        <v>0.1402611828826274</v>
      </c>
      <c r="G260" s="39">
        <f>(VLOOKUP($A260,'The List'!$B1:$AH727,19,FALSE)-AVERAGE('The List'!T2:T727))/STDEV('The List'!T2:T727)</f>
        <v>4.7449318748893791E-2</v>
      </c>
      <c r="H260" s="39">
        <f>(VLOOKUP($A260,'The List'!$B1:$AH727,20,FALSE)-AVERAGE('The List'!U2:U727))/STDEV('The List'!U2:U727)</f>
        <v>9.3066322368576607E-2</v>
      </c>
      <c r="I260" s="39">
        <f>(VLOOKUP($A260,'The List'!$B1:$AH727,21,FALSE)-AVERAGE('The List'!V2:V727))/STDEV('The List'!V2:V727)</f>
        <v>-6.0783095404966916E-2</v>
      </c>
      <c r="J260" s="39">
        <f>(VLOOKUP($A260,'The List'!$B1:$AH727,22,FALSE)-AVERAGE('The List'!W2:W727))/STDEV('The List'!W2:W727)</f>
        <v>0.29778328123682341</v>
      </c>
      <c r="K260" s="39">
        <f>(VLOOKUP($A260,'The List'!$B1:$AH727,23,FALSE)-AVERAGE('The List'!X2:X727))/STDEV('The List'!X2:X727)</f>
        <v>-0.105697687618603</v>
      </c>
      <c r="L260" s="39">
        <f>(VLOOKUP($A260,'The List'!$B1:$AH727,24,FALSE)-AVERAGE('The List'!Y2:Y727))/STDEV('The List'!Y2:Y727)</f>
        <v>2.8388512092718039</v>
      </c>
      <c r="M260" s="39">
        <f>(VLOOKUP($A260,'The List'!$B1:$AH727,25,FALSE)-AVERAGE('The List'!Z2:Z727))/STDEV('The List'!Z2:Z727)</f>
        <v>2.5702044164395277</v>
      </c>
      <c r="N260" s="39">
        <f>(VLOOKUP($A260,'The List'!$B1:$AH727,26,FALSE)-AVERAGE('The List'!AA2:AA727))/STDEV('The List'!AA2:AA727)</f>
        <v>7.9899588905967614E-2</v>
      </c>
      <c r="O260" s="39">
        <f>(VLOOKUP($A260,'The List'!$B1:$AH727,27,FALSE)-AVERAGE('The List'!AB2:AB727))/STDEV('The List'!AB2:AB727)</f>
        <v>1.6528488195121003</v>
      </c>
      <c r="P260" s="39">
        <f>(VLOOKUP($A260,'The List'!$B1:$AH727,28,FALSE)-AVERAGE('The List'!AC2:AC727))/STDEV('The List'!AC2:AC727)</f>
        <v>9.5077027326641084E-2</v>
      </c>
      <c r="Q260" s="39">
        <f>(VLOOKUP($A260,'The List'!$B1:$AH727,29,FALSE)-AVERAGE('The List'!AD2:AD727))/STDEV('The List'!AD2:AD727)</f>
        <v>-0.65025447124569902</v>
      </c>
      <c r="R260" s="39">
        <f>(VLOOKUP($A260,'The List'!$B1:$AH727,30,FALSE)-AVERAGE('The List'!AE2:AE727))/STDEV('The List'!AE2:AE727)</f>
        <v>0.25551003480114137</v>
      </c>
      <c r="S260" s="39">
        <f>(VLOOKUP($A260,'The List'!$B1:$AH727,31,FALSE)-AVERAGE('The List'!AF2:AF727))/STDEV('The List'!AF2:AF727)</f>
        <v>3.0815319364492746</v>
      </c>
      <c r="T260" s="39">
        <f>(VLOOKUP($A260,'The List'!$B1:$AH727,32,FALSE)-AVERAGE('The List'!AG2:AG727))/STDEV('The List'!AG2:AG727)</f>
        <v>2.3551374874108317</v>
      </c>
      <c r="U260" s="39">
        <f>(VLOOKUP($A260,'The List'!$B1:$AH727,33,FALSE)-AVERAGE('The List'!AH2:AH727))/STDEV('The List'!AH2:AH727)</f>
        <v>1.3095441818988069</v>
      </c>
      <c r="V260" s="39"/>
      <c r="W260" s="43"/>
      <c r="X260" s="41"/>
      <c r="Y260" s="41"/>
      <c r="Z260" s="41"/>
      <c r="AA260" s="41"/>
      <c r="AB260" s="41"/>
      <c r="AC260" s="44"/>
      <c r="AD260" s="45"/>
      <c r="AE260" s="39"/>
    </row>
    <row r="261" spans="1:31" ht="21.25" customHeight="1" x14ac:dyDescent="0.15">
      <c r="A261" s="8" t="s">
        <v>374</v>
      </c>
      <c r="B261" s="35" t="str">
        <f>VLOOKUP(A261,'Player Data'!A1:B734,2,FALSE)</f>
        <v>CHI</v>
      </c>
      <c r="C261" s="37">
        <f>((E261)*Settings!$C$12)+(F261*Settings!$C$2)+(G261*Settings!$C$3)+(H261*Settings!$C$4)+(I261*Settings!$C$5)+(K261*Settings!$C$9)+(N261*Settings!$C$6)+(J261*Settings!$C$8)+(O261*Settings!$C$7)+(P261*Settings!$C$14)+(Q261*Settings!$C$15)+(R261*Settings!$C$16)+(S261*Settings!$C$17)+(T261*Settings!$C$18)+(U261*Settings!$C$19)</f>
        <v>-1.3783698249500569</v>
      </c>
      <c r="D261" s="41">
        <f>IF(Settings!$E$12="YES",VLOOKUP(A261,'Player Data'!A1:E734,5,FALSE),82)</f>
        <v>79.42</v>
      </c>
      <c r="E261" s="39">
        <f>(VLOOKUP($A261,'The List'!$B1:$AH727,17,FALSE)-AVERAGE('The List'!R2:R727))/STDEV('The List'!R2:R727)</f>
        <v>-0.12628149263119612</v>
      </c>
      <c r="F261" s="39">
        <f>(VLOOKUP($A261,'The List'!$B1:$AH727,18,FALSE)-AVERAGE('The List'!S2:S727))/STDEV('The List'!S2:S727)</f>
        <v>0.5361321394146058</v>
      </c>
      <c r="G261" s="39">
        <f>(VLOOKUP($A261,'The List'!$B1:$AH727,19,FALSE)-AVERAGE('The List'!T2:T727))/STDEV('The List'!T2:T727)</f>
        <v>-0.23092634014867972</v>
      </c>
      <c r="H261" s="39">
        <f>(VLOOKUP($A261,'The List'!$B1:$AH727,20,FALSE)-AVERAGE('The List'!U2:U727))/STDEV('The List'!U2:U727)</f>
        <v>0.10167473547732168</v>
      </c>
      <c r="I261" s="39">
        <f>(VLOOKUP($A261,'The List'!$B1:$AH727,21,FALSE)-AVERAGE('The List'!V2:V727))/STDEV('The List'!V2:V727)</f>
        <v>4.3810610060934299E-2</v>
      </c>
      <c r="J261" s="39">
        <f>(VLOOKUP($A261,'The List'!$B1:$AH727,22,FALSE)-AVERAGE('The List'!W2:W727))/STDEV('The List'!W2:W727)</f>
        <v>0.84979074843337765</v>
      </c>
      <c r="K261" s="39">
        <f>(VLOOKUP($A261,'The List'!$B1:$AH727,23,FALSE)-AVERAGE('The List'!X2:X727))/STDEV('The List'!X2:X727)</f>
        <v>0.44103795743773461</v>
      </c>
      <c r="L261" s="39">
        <f>(VLOOKUP($A261,'The List'!$B1:$AH727,24,FALSE)-AVERAGE('The List'!Y2:Y727))/STDEV('The List'!Y2:Y727)</f>
        <v>-0.53749403838273546</v>
      </c>
      <c r="M261" s="39">
        <f>(VLOOKUP($A261,'The List'!$B1:$AH727,25,FALSE)-AVERAGE('The List'!Z2:Z727))/STDEV('The List'!Z2:Z727)</f>
        <v>-0.71877811836055949</v>
      </c>
      <c r="N261" s="39">
        <f>(VLOOKUP($A261,'The List'!$B1:$AH727,26,FALSE)-AVERAGE('The List'!AA2:AA727))/STDEV('The List'!AA2:AA727)</f>
        <v>-0.60450315479490302</v>
      </c>
      <c r="O261" s="39">
        <f>(VLOOKUP($A261,'The List'!$B1:$AH727,27,FALSE)-AVERAGE('The List'!AB2:AB727))/STDEV('The List'!AB2:AB727)</f>
        <v>4.7568007152719992E-2</v>
      </c>
      <c r="P261" s="39">
        <f>(VLOOKUP($A261,'The List'!$B1:$AH727,28,FALSE)-AVERAGE('The List'!AC2:AC727))/STDEV('The List'!AC2:AC727)</f>
        <v>-1.5639210369197487</v>
      </c>
      <c r="Q261" s="39">
        <f>(VLOOKUP($A261,'The List'!$B1:$AH727,29,FALSE)-AVERAGE('The List'!AD2:AD727))/STDEV('The List'!AD2:AD727)</f>
        <v>-0.86816737237895081</v>
      </c>
      <c r="R261" s="39">
        <f>(VLOOKUP($A261,'The List'!$B1:$AH727,30,FALSE)-AVERAGE('The List'!AE2:AE727))/STDEV('The List'!AE2:AE727)</f>
        <v>0.2086947576031028</v>
      </c>
      <c r="S261" s="39">
        <f>(VLOOKUP($A261,'The List'!$B1:$AH727,31,FALSE)-AVERAGE('The List'!AF2:AF727))/STDEV('The List'!AF2:AF727)</f>
        <v>-0.51404142856643853</v>
      </c>
      <c r="T261" s="39">
        <f>(VLOOKUP($A261,'The List'!$B1:$AH727,32,FALSE)-AVERAGE('The List'!AG2:AG727))/STDEV('The List'!AG2:AG727)</f>
        <v>-0.5534828188590053</v>
      </c>
      <c r="U261" s="39">
        <f>(VLOOKUP($A261,'The List'!$B1:$AH727,33,FALSE)-AVERAGE('The List'!AH2:AH727))/STDEV('The List'!AH2:AH727)</f>
        <v>0.96894638520023957</v>
      </c>
      <c r="V261" s="39"/>
      <c r="W261" s="41"/>
      <c r="X261" s="39"/>
      <c r="Y261" s="39"/>
      <c r="Z261" s="39"/>
      <c r="AA261" s="39"/>
      <c r="AB261" s="39"/>
      <c r="AC261" s="39"/>
      <c r="AD261" s="39"/>
      <c r="AE261" s="39"/>
    </row>
    <row r="262" spans="1:31" ht="21.25" customHeight="1" x14ac:dyDescent="0.15">
      <c r="A262" s="8" t="s">
        <v>531</v>
      </c>
      <c r="B262" s="35" t="str">
        <f>VLOOKUP(A262,'Player Data'!A1:B734,2,FALSE)</f>
        <v>SJS</v>
      </c>
      <c r="C262" s="37">
        <f>((E262)*Settings!$C$12)+(F262*Settings!$C$2)+(G262*Settings!$C$3)+(H262*Settings!$C$4)+(I262*Settings!$C$5)+(K262*Settings!$C$9)+(N262*Settings!$C$6)+(J262*Settings!$C$8)+(O262*Settings!$C$7)+(P262*Settings!$C$14)+(Q262*Settings!$C$15)+(R262*Settings!$C$16)+(S262*Settings!$C$17)+(T262*Settings!$C$18)+(U262*Settings!$C$19)</f>
        <v>-0.65904682752708676</v>
      </c>
      <c r="D262" s="41">
        <f>IF(Settings!$E$12="YES",VLOOKUP(A262,'Player Data'!A1:E734,5,FALSE),82)</f>
        <v>80.490357142857107</v>
      </c>
      <c r="E262" s="39">
        <f>(VLOOKUP($A262,'The List'!$B1:$AH727,17,FALSE)-AVERAGE('The List'!R2:R727))/STDEV('The List'!R2:R727)</f>
        <v>-9.3454301757599501E-2</v>
      </c>
      <c r="F262" s="39">
        <f>(VLOOKUP($A262,'The List'!$B1:$AH727,18,FALSE)-AVERAGE('The List'!S2:S727))/STDEV('The List'!S2:S727)</f>
        <v>-0.30971545804962691</v>
      </c>
      <c r="G262" s="39">
        <f>(VLOOKUP($A262,'The List'!$B1:$AH727,19,FALSE)-AVERAGE('The List'!T2:T727))/STDEV('The List'!T2:T727)</f>
        <v>0.41679717832302915</v>
      </c>
      <c r="H262" s="39">
        <f>(VLOOKUP($A262,'The List'!$B1:$AH727,20,FALSE)-AVERAGE('The List'!U2:U727))/STDEV('The List'!U2:U727)</f>
        <v>0.11589434484348085</v>
      </c>
      <c r="I262" s="39">
        <f>(VLOOKUP($A262,'The List'!$B1:$AH727,21,FALSE)-AVERAGE('The List'!V2:V727))/STDEV('The List'!V2:V727)</f>
        <v>-0.37101370203302814</v>
      </c>
      <c r="J262" s="39">
        <f>(VLOOKUP($A262,'The List'!$B1:$AH727,22,FALSE)-AVERAGE('The List'!W2:W727))/STDEV('The List'!W2:W727)</f>
        <v>-0.33371362050265219</v>
      </c>
      <c r="K262" s="39">
        <f>(VLOOKUP($A262,'The List'!$B1:$AH727,23,FALSE)-AVERAGE('The List'!X2:X727))/STDEV('The List'!X2:X727)</f>
        <v>6.7379615567189924E-2</v>
      </c>
      <c r="L262" s="39">
        <f>(VLOOKUP($A262,'The List'!$B1:$AH727,24,FALSE)-AVERAGE('The List'!Y2:Y727))/STDEV('The List'!Y2:Y727)</f>
        <v>-0.43809387858636151</v>
      </c>
      <c r="M262" s="39">
        <f>(VLOOKUP($A262,'The List'!$B1:$AH727,25,FALSE)-AVERAGE('The List'!Z2:Z727))/STDEV('The List'!Z2:Z727)</f>
        <v>-0.59781633896038688</v>
      </c>
      <c r="N262" s="39">
        <f>(VLOOKUP($A262,'The List'!$B1:$AH727,26,FALSE)-AVERAGE('The List'!AA2:AA727))/STDEV('The List'!AA2:AA727)</f>
        <v>-0.23400685942968458</v>
      </c>
      <c r="O262" s="39">
        <f>(VLOOKUP($A262,'The List'!$B1:$AH727,27,FALSE)-AVERAGE('The List'!AB2:AB727))/STDEV('The List'!AB2:AB727)</f>
        <v>-0.29866181602265052</v>
      </c>
      <c r="P262" s="39">
        <f>(VLOOKUP($A262,'The List'!$B1:$AH727,28,FALSE)-AVERAGE('The List'!AC2:AC727))/STDEV('The List'!AC2:AC727)</f>
        <v>-0.22848760190496617</v>
      </c>
      <c r="Q262" s="39">
        <f>(VLOOKUP($A262,'The List'!$B1:$AH727,29,FALSE)-AVERAGE('The List'!AD2:AD727))/STDEV('The List'!AD2:AD727)</f>
        <v>-0.5752523957913509</v>
      </c>
      <c r="R262" s="39">
        <f>(VLOOKUP($A262,'The List'!$B1:$AH727,30,FALSE)-AVERAGE('The List'!AE2:AE727))/STDEV('The List'!AE2:AE727)</f>
        <v>-0.41149628651334891</v>
      </c>
      <c r="S262" s="39">
        <f>(VLOOKUP($A262,'The List'!$B1:$AH727,31,FALSE)-AVERAGE('The List'!AF2:AF727))/STDEV('The List'!AF2:AF727)</f>
        <v>0.56277199147324219</v>
      </c>
      <c r="T262" s="39">
        <f>(VLOOKUP($A262,'The List'!$B1:$AH727,32,FALSE)-AVERAGE('The List'!AG2:AG727))/STDEV('The List'!AG2:AG727)</f>
        <v>0.73441823717455235</v>
      </c>
      <c r="U262" s="39">
        <f>(VLOOKUP($A262,'The List'!$B1:$AH727,33,FALSE)-AVERAGE('The List'!AH2:AH727))/STDEV('The List'!AH2:AH727)</f>
        <v>0.87815054523223979</v>
      </c>
      <c r="V262" s="39"/>
      <c r="W262" s="41"/>
      <c r="X262" s="39"/>
      <c r="Y262" s="39"/>
      <c r="Z262" s="39"/>
      <c r="AA262" s="39"/>
      <c r="AB262" s="39"/>
      <c r="AC262" s="39"/>
      <c r="AD262" s="39"/>
      <c r="AE262" s="39"/>
    </row>
    <row r="263" spans="1:31" ht="21.25" customHeight="1" x14ac:dyDescent="0.15">
      <c r="A263" s="8" t="s">
        <v>300</v>
      </c>
      <c r="B263" s="35" t="str">
        <f>VLOOKUP(A263,'Player Data'!A1:B734,2,FALSE)</f>
        <v>CAR</v>
      </c>
      <c r="C263" s="37">
        <f>((E263)*Settings!$C$12)+(F263*Settings!$C$2)+(G263*Settings!$C$3)+(H263*Settings!$C$4)+(I263*Settings!$C$5)+(K263*Settings!$C$9)+(N263*Settings!$C$6)+(J263*Settings!$C$8)+(O263*Settings!$C$7)+(P263*Settings!$C$14)+(Q263*Settings!$C$15)+(R263*Settings!$C$16)+(S263*Settings!$C$17)+(T263*Settings!$C$18)+(U263*Settings!$C$19)</f>
        <v>2.5421873556295118</v>
      </c>
      <c r="D263" s="41">
        <f>IF(Settings!$E$12="YES",VLOOKUP(A263,'Player Data'!A1:E734,5,FALSE),82)</f>
        <v>76.7</v>
      </c>
      <c r="E263" s="39">
        <f>(VLOOKUP($A263,'The List'!$B1:$AH727,17,FALSE)-AVERAGE('The List'!R2:R727))/STDEV('The List'!R2:R727)</f>
        <v>1.3492997154316975</v>
      </c>
      <c r="F263" s="39">
        <f>(VLOOKUP($A263,'The List'!$B1:$AH727,18,FALSE)-AVERAGE('The List'!S2:S727))/STDEV('The List'!S2:S727)</f>
        <v>-0.3621253728801212</v>
      </c>
      <c r="G263" s="39">
        <f>(VLOOKUP($A263,'The List'!$B1:$AH727,19,FALSE)-AVERAGE('The List'!T2:T727))/STDEV('The List'!T2:T727)</f>
        <v>0.31990251358749489</v>
      </c>
      <c r="H263" s="39">
        <f>(VLOOKUP($A263,'The List'!$B1:$AH727,20,FALSE)-AVERAGE('The List'!U2:U727))/STDEV('The List'!U2:U727)</f>
        <v>3.2337169364817342E-2</v>
      </c>
      <c r="I263" s="39">
        <f>(VLOOKUP($A263,'The List'!$B1:$AH727,21,FALSE)-AVERAGE('The List'!V2:V727))/STDEV('The List'!V2:V727)</f>
        <v>5.315679748074105E-2</v>
      </c>
      <c r="J263" s="39">
        <f>(VLOOKUP($A263,'The List'!$B1:$AH727,22,FALSE)-AVERAGE('The List'!W2:W727))/STDEV('The List'!W2:W727)</f>
        <v>-0.26466425903627028</v>
      </c>
      <c r="K263" s="39">
        <f>(VLOOKUP($A263,'The List'!$B1:$AH727,23,FALSE)-AVERAGE('The List'!X2:X727))/STDEV('The List'!X2:X727)</f>
        <v>7.7359939117793097E-2</v>
      </c>
      <c r="L263" s="39">
        <f>(VLOOKUP($A263,'The List'!$B1:$AH727,24,FALSE)-AVERAGE('The List'!Y2:Y727))/STDEV('The List'!Y2:Y727)</f>
        <v>-0.47930546232618376</v>
      </c>
      <c r="M263" s="39">
        <f>(VLOOKUP($A263,'The List'!$B1:$AH727,25,FALSE)-AVERAGE('The List'!Z2:Z727))/STDEV('The List'!Z2:Z727)</f>
        <v>-0.57021862320098637</v>
      </c>
      <c r="N263" s="39">
        <f>(VLOOKUP($A263,'The List'!$B1:$AH727,26,FALSE)-AVERAGE('The List'!AA2:AA727))/STDEV('The List'!AA2:AA727)</f>
        <v>1.0921757259479057</v>
      </c>
      <c r="O263" s="39">
        <f>(VLOOKUP($A263,'The List'!$B1:$AH727,27,FALSE)-AVERAGE('The List'!AB2:AB727))/STDEV('The List'!AB2:AB727)</f>
        <v>1.0185979355146466</v>
      </c>
      <c r="P263" s="39">
        <f>(VLOOKUP($A263,'The List'!$B1:$AH727,28,FALSE)-AVERAGE('The List'!AC2:AC727))/STDEV('The List'!AC2:AC727)</f>
        <v>1.361717752375698</v>
      </c>
      <c r="Q263" s="39">
        <f>(VLOOKUP($A263,'The List'!$B1:$AH727,29,FALSE)-AVERAGE('The List'!AD2:AD727))/STDEV('The List'!AD2:AD727)</f>
        <v>0.24389635318838504</v>
      </c>
      <c r="R263" s="39">
        <f>(VLOOKUP($A263,'The List'!$B1:$AH727,30,FALSE)-AVERAGE('The List'!AE2:AE727))/STDEV('The List'!AE2:AE727)</f>
        <v>-0.10000685108057149</v>
      </c>
      <c r="S263" s="39">
        <f>(VLOOKUP($A263,'The List'!$B1:$AH727,31,FALSE)-AVERAGE('The List'!AF2:AF727))/STDEV('The List'!AF2:AF727)</f>
        <v>-0.55804314905918151</v>
      </c>
      <c r="T263" s="39">
        <f>(VLOOKUP($A263,'The List'!$B1:$AH727,32,FALSE)-AVERAGE('The List'!AG2:AG727))/STDEV('The List'!AG2:AG727)</f>
        <v>-0.60188453558131205</v>
      </c>
      <c r="U263" s="39">
        <f>(VLOOKUP($A263,'The List'!$B1:$AH727,33,FALSE)-AVERAGE('The List'!AH2:AH727))/STDEV('The List'!AH2:AH727)</f>
        <v>-1.2395873372913611</v>
      </c>
      <c r="V263" s="39"/>
      <c r="W263" s="43"/>
      <c r="X263" s="41"/>
      <c r="Y263" s="41"/>
      <c r="Z263" s="41"/>
      <c r="AA263" s="41"/>
      <c r="AB263" s="41"/>
      <c r="AC263" s="44"/>
      <c r="AD263" s="45"/>
      <c r="AE263" s="39"/>
    </row>
    <row r="264" spans="1:31" ht="21.25" customHeight="1" x14ac:dyDescent="0.15">
      <c r="A264" s="8" t="s">
        <v>400</v>
      </c>
      <c r="B264" s="35" t="str">
        <f>VLOOKUP(A264,'Player Data'!A1:B734,2,FALSE)</f>
        <v>WPG</v>
      </c>
      <c r="C264" s="37">
        <f>((E264)*Settings!$C$12)+(F264*Settings!$C$2)+(G264*Settings!$C$3)+(H264*Settings!$C$4)+(I264*Settings!$C$5)+(K264*Settings!$C$9)+(N264*Settings!$C$6)+(J264*Settings!$C$8)+(O264*Settings!$C$7)+(P264*Settings!$C$14)+(Q264*Settings!$C$15)+(R264*Settings!$C$16)+(S264*Settings!$C$17)+(T264*Settings!$C$18)+(U264*Settings!$C$19)</f>
        <v>0.33696131590022477</v>
      </c>
      <c r="D264" s="41">
        <f>IF(Settings!$E$12="YES",VLOOKUP(A264,'Player Data'!A1:E734,5,FALSE),82)</f>
        <v>76.7</v>
      </c>
      <c r="E264" s="39">
        <f>(VLOOKUP($A264,'The List'!$B1:$AH727,17,FALSE)-AVERAGE('The List'!R2:R727))/STDEV('The List'!R2:R727)</f>
        <v>-8.3333126133725358E-2</v>
      </c>
      <c r="F264" s="39">
        <f>(VLOOKUP($A264,'The List'!$B1:$AH727,18,FALSE)-AVERAGE('The List'!S2:S727))/STDEV('The List'!S2:S727)</f>
        <v>0.11118377595686482</v>
      </c>
      <c r="G264" s="39">
        <f>(VLOOKUP($A264,'The List'!$B1:$AH727,19,FALSE)-AVERAGE('The List'!T2:T727))/STDEV('The List'!T2:T727)</f>
        <v>-3.6351118376567966E-2</v>
      </c>
      <c r="H264" s="39">
        <f>(VLOOKUP($A264,'The List'!$B1:$AH727,20,FALSE)-AVERAGE('The List'!U2:U727))/STDEV('The List'!U2:U727)</f>
        <v>2.8195681673970359E-2</v>
      </c>
      <c r="I264" s="39">
        <f>(VLOOKUP($A264,'The List'!$B1:$AH727,21,FALSE)-AVERAGE('The List'!V2:V727))/STDEV('The List'!V2:V727)</f>
        <v>0.53648861613988152</v>
      </c>
      <c r="J264" s="39">
        <f>(VLOOKUP($A264,'The List'!$B1:$AH727,22,FALSE)-AVERAGE('The List'!W2:W727))/STDEV('The List'!W2:W727)</f>
        <v>0.14108345600615074</v>
      </c>
      <c r="K264" s="39">
        <f>(VLOOKUP($A264,'The List'!$B1:$AH727,23,FALSE)-AVERAGE('The List'!X2:X727))/STDEV('The List'!X2:X727)</f>
        <v>-0.27846344979744031</v>
      </c>
      <c r="L264" s="39">
        <f>(VLOOKUP($A264,'The List'!$B1:$AH727,24,FALSE)-AVERAGE('The List'!Y2:Y727))/STDEV('The List'!Y2:Y727)</f>
        <v>6.9142986010705149E-2</v>
      </c>
      <c r="M264" s="39">
        <f>(VLOOKUP($A264,'The List'!$B1:$AH727,25,FALSE)-AVERAGE('The List'!Z2:Z727))/STDEV('The List'!Z2:Z727)</f>
        <v>2.4909757716332956E-2</v>
      </c>
      <c r="N264" s="39">
        <f>(VLOOKUP($A264,'The List'!$B1:$AH727,26,FALSE)-AVERAGE('The List'!AA2:AA727))/STDEV('The List'!AA2:AA727)</f>
        <v>-0.38579903197751925</v>
      </c>
      <c r="O264" s="39">
        <f>(VLOOKUP($A264,'The List'!$B1:$AH727,27,FALSE)-AVERAGE('The List'!AB2:AB727))/STDEV('The List'!AB2:AB727)</f>
        <v>-0.96656605556117969</v>
      </c>
      <c r="P264" s="39">
        <f>(VLOOKUP($A264,'The List'!$B1:$AH727,28,FALSE)-AVERAGE('The List'!AC2:AC727))/STDEV('The List'!AC2:AC727)</f>
        <v>0.38990252395500591</v>
      </c>
      <c r="Q264" s="39">
        <f>(VLOOKUP($A264,'The List'!$B1:$AH727,29,FALSE)-AVERAGE('The List'!AD2:AD727))/STDEV('The List'!AD2:AD727)</f>
        <v>-1.053138874091736</v>
      </c>
      <c r="R264" s="39">
        <f>(VLOOKUP($A264,'The List'!$B1:$AH727,30,FALSE)-AVERAGE('The List'!AE2:AE727))/STDEV('The List'!AE2:AE727)</f>
        <v>0.23975881104809452</v>
      </c>
      <c r="S264" s="39">
        <f>(VLOOKUP($A264,'The List'!$B1:$AH727,31,FALSE)-AVERAGE('The List'!AF2:AF727))/STDEV('The List'!AF2:AF727)</f>
        <v>-0.51916551378453479</v>
      </c>
      <c r="T264" s="39">
        <f>(VLOOKUP($A264,'The List'!$B1:$AH727,32,FALSE)-AVERAGE('The List'!AG2:AG727))/STDEV('The List'!AG2:AG727)</f>
        <v>-0.55204794244540822</v>
      </c>
      <c r="U264" s="39">
        <f>(VLOOKUP($A264,'The List'!$B1:$AH727,33,FALSE)-AVERAGE('The List'!AH2:AH727))/STDEV('The List'!AH2:AH727)</f>
        <v>0.79682644355339216</v>
      </c>
      <c r="V264" s="39"/>
      <c r="W264" s="41"/>
      <c r="X264" s="39"/>
      <c r="Y264" s="39"/>
      <c r="Z264" s="39"/>
      <c r="AA264" s="39"/>
      <c r="AB264" s="39"/>
      <c r="AC264" s="39"/>
      <c r="AD264" s="39"/>
      <c r="AE264" s="39"/>
    </row>
    <row r="265" spans="1:31" ht="21.25" customHeight="1" x14ac:dyDescent="0.15">
      <c r="A265" s="8" t="s">
        <v>556</v>
      </c>
      <c r="B265" s="35" t="str">
        <f>VLOOKUP(A265,'Player Data'!A1:B734,2,FALSE)</f>
        <v>MIN</v>
      </c>
      <c r="C265" s="37">
        <f>((E265)*Settings!$C$12)+(F265*Settings!$C$2)+(G265*Settings!$C$3)+(H265*Settings!$C$4)+(I265*Settings!$C$5)+(K265*Settings!$C$9)+(N265*Settings!$C$6)+(J265*Settings!$C$8)+(O265*Settings!$C$7)+(P265*Settings!$C$14)+(Q265*Settings!$C$15)+(R265*Settings!$C$16)+(S265*Settings!$C$17)+(T265*Settings!$C$18)+(U265*Settings!$C$19)</f>
        <v>-0.5527635664383248</v>
      </c>
      <c r="D265" s="41">
        <f>IF(Settings!$E$12="YES",VLOOKUP(A265,'Player Data'!A1:E734,5,FALSE),82)</f>
        <v>75.787142857142896</v>
      </c>
      <c r="E265" s="39">
        <f>(VLOOKUP($A265,'The List'!$B1:$AH727,17,FALSE)-AVERAGE('The List'!R2:R727))/STDEV('The List'!R2:R727)</f>
        <v>-0.16912554761162821</v>
      </c>
      <c r="F265" s="39">
        <f>(VLOOKUP($A265,'The List'!$B1:$AH727,18,FALSE)-AVERAGE('The List'!S2:S727))/STDEV('The List'!S2:S727)</f>
        <v>0.11210503191614259</v>
      </c>
      <c r="G265" s="39">
        <f>(VLOOKUP($A265,'The List'!$B1:$AH727,19,FALSE)-AVERAGE('The List'!T2:T727))/STDEV('The List'!T2:T727)</f>
        <v>-7.8652750898809423E-2</v>
      </c>
      <c r="H265" s="39">
        <f>(VLOOKUP($A265,'The List'!$B1:$AH727,20,FALSE)-AVERAGE('The List'!U2:U727))/STDEV('The List'!U2:U727)</f>
        <v>2.5482553136601453E-3</v>
      </c>
      <c r="I265" s="39">
        <f>(VLOOKUP($A265,'The List'!$B1:$AH727,21,FALSE)-AVERAGE('The List'!V2:V727))/STDEV('The List'!V2:V727)</f>
        <v>-0.11068361508951384</v>
      </c>
      <c r="J265" s="39">
        <f>(VLOOKUP($A265,'The List'!$B1:$AH727,22,FALSE)-AVERAGE('The List'!W2:W727))/STDEV('The List'!W2:W727)</f>
        <v>-0.3325088821763299</v>
      </c>
      <c r="K265" s="39">
        <f>(VLOOKUP($A265,'The List'!$B1:$AH727,23,FALSE)-AVERAGE('The List'!X2:X727))/STDEV('The List'!X2:X727)</f>
        <v>-0.53397351258441794</v>
      </c>
      <c r="L265" s="39">
        <f>(VLOOKUP($A265,'The List'!$B1:$AH727,24,FALSE)-AVERAGE('The List'!Y2:Y727))/STDEV('The List'!Y2:Y727)</f>
        <v>1.4364917074465213</v>
      </c>
      <c r="M265" s="39">
        <f>(VLOOKUP($A265,'The List'!$B1:$AH727,25,FALSE)-AVERAGE('The List'!Z2:Z727))/STDEV('The List'!Z2:Z727)</f>
        <v>2.0472803911488038</v>
      </c>
      <c r="N265" s="39">
        <f>(VLOOKUP($A265,'The List'!$B1:$AH727,26,FALSE)-AVERAGE('The List'!AA2:AA727))/STDEV('The List'!AA2:AA727)</f>
        <v>-0.32369966298477243</v>
      </c>
      <c r="O265" s="39">
        <f>(VLOOKUP($A265,'The List'!$B1:$AH727,27,FALSE)-AVERAGE('The List'!AB2:AB727))/STDEV('The List'!AB2:AB727)</f>
        <v>-0.95175055390479413</v>
      </c>
      <c r="P265" s="39">
        <f>(VLOOKUP($A265,'The List'!$B1:$AH727,28,FALSE)-AVERAGE('The List'!AC2:AC727))/STDEV('The List'!AC2:AC727)</f>
        <v>0.38214094320304631</v>
      </c>
      <c r="Q265" s="39">
        <f>(VLOOKUP($A265,'The List'!$B1:$AH727,29,FALSE)-AVERAGE('The List'!AD2:AD727))/STDEV('The List'!AD2:AD727)</f>
        <v>-1.3000678383207509</v>
      </c>
      <c r="R265" s="39">
        <f>(VLOOKUP($A265,'The List'!$B1:$AH727,30,FALSE)-AVERAGE('The List'!AE2:AE727))/STDEV('The List'!AE2:AE727)</f>
        <v>0.28270075111615373</v>
      </c>
      <c r="S265" s="39">
        <f>(VLOOKUP($A265,'The List'!$B1:$AH727,31,FALSE)-AVERAGE('The List'!AF2:AF727))/STDEV('The List'!AF2:AF727)</f>
        <v>1.6902360779111014</v>
      </c>
      <c r="T265" s="39">
        <f>(VLOOKUP($A265,'The List'!$B1:$AH727,32,FALSE)-AVERAGE('The List'!AG2:AG727))/STDEV('The List'!AG2:AG727)</f>
        <v>1.7797024748191754</v>
      </c>
      <c r="U265" s="39">
        <f>(VLOOKUP($A265,'The List'!$B1:$AH727,33,FALSE)-AVERAGE('The List'!AH2:AH727))/STDEV('The List'!AH2:AH727)</f>
        <v>1.0115242127806439</v>
      </c>
      <c r="V265" s="39"/>
      <c r="W265" s="43"/>
      <c r="X265" s="41"/>
      <c r="Y265" s="41"/>
      <c r="Z265" s="41"/>
      <c r="AA265" s="41"/>
      <c r="AB265" s="41"/>
      <c r="AC265" s="44"/>
      <c r="AD265" s="45"/>
      <c r="AE265" s="39"/>
    </row>
    <row r="266" spans="1:31" ht="21.25" customHeight="1" x14ac:dyDescent="0.15">
      <c r="A266" s="8" t="s">
        <v>289</v>
      </c>
      <c r="B266" s="35" t="str">
        <f>VLOOKUP(A266,'Player Data'!A1:B734,2,FALSE)</f>
        <v>TOR</v>
      </c>
      <c r="C266" s="37">
        <f>((E266)*Settings!$C$12)+(F266*Settings!$C$2)+(G266*Settings!$C$3)+(H266*Settings!$C$4)+(I266*Settings!$C$5)+(K266*Settings!$C$9)+(N266*Settings!$C$6)+(J266*Settings!$C$8)+(O266*Settings!$C$7)+(P266*Settings!$C$14)+(Q266*Settings!$C$15)+(R266*Settings!$C$16)+(S266*Settings!$C$17)+(T266*Settings!$C$18)+(U266*Settings!$C$19)</f>
        <v>1.5029023388058471</v>
      </c>
      <c r="D266" s="41">
        <f>IF(Settings!$E$12="YES",VLOOKUP(A266,'Player Data'!A1:E734,5,FALSE),82)</f>
        <v>77.828214285714296</v>
      </c>
      <c r="E266" s="39">
        <f>(VLOOKUP($A266,'The List'!$B1:$AH727,17,FALSE)-AVERAGE('The List'!R2:R727))/STDEV('The List'!R2:R727)</f>
        <v>0.72642615866747684</v>
      </c>
      <c r="F266" s="39">
        <f>(VLOOKUP($A266,'The List'!$B1:$AH727,18,FALSE)-AVERAGE('The List'!S2:S727))/STDEV('The List'!S2:S727)</f>
        <v>-0.51615011018750223</v>
      </c>
      <c r="G266" s="39">
        <f>(VLOOKUP($A266,'The List'!$B1:$AH727,19,FALSE)-AVERAGE('The List'!T2:T727))/STDEV('The List'!T2:T727)</f>
        <v>0.5752215994579839</v>
      </c>
      <c r="H266" s="39">
        <f>(VLOOKUP($A266,'The List'!$B1:$AH727,20,FALSE)-AVERAGE('The List'!U2:U727))/STDEV('The List'!U2:U727)</f>
        <v>0.11957624725623765</v>
      </c>
      <c r="I266" s="39">
        <f>(VLOOKUP($A266,'The List'!$B1:$AH727,21,FALSE)-AVERAGE('The List'!V2:V727))/STDEV('The List'!V2:V727)</f>
        <v>-0.11923900764950221</v>
      </c>
      <c r="J266" s="39">
        <f>(VLOOKUP($A266,'The List'!$B1:$AH727,22,FALSE)-AVERAGE('The List'!W2:W727))/STDEV('The List'!W2:W727)</f>
        <v>-0.29924084101722015</v>
      </c>
      <c r="K266" s="39">
        <f>(VLOOKUP($A266,'The List'!$B1:$AH727,23,FALSE)-AVERAGE('The List'!X2:X727))/STDEV('The List'!X2:X727)</f>
        <v>0.52665532283881633</v>
      </c>
      <c r="L266" s="39">
        <f>(VLOOKUP($A266,'The List'!$B1:$AH727,24,FALSE)-AVERAGE('The List'!Y2:Y727))/STDEV('The List'!Y2:Y727)</f>
        <v>-0.53717676220153965</v>
      </c>
      <c r="M266" s="39">
        <f>(VLOOKUP($A266,'The List'!$B1:$AH727,25,FALSE)-AVERAGE('The List'!Z2:Z727))/STDEV('The List'!Z2:Z727)</f>
        <v>-0.70788211109406363</v>
      </c>
      <c r="N266" s="39">
        <f>(VLOOKUP($A266,'The List'!$B1:$AH727,26,FALSE)-AVERAGE('The List'!AA2:AA727))/STDEV('The List'!AA2:AA727)</f>
        <v>0.78666776757710011</v>
      </c>
      <c r="O266" s="39">
        <f>(VLOOKUP($A266,'The List'!$B1:$AH727,27,FALSE)-AVERAGE('The List'!AB2:AB727))/STDEV('The List'!AB2:AB727)</f>
        <v>-0.45523872637143886</v>
      </c>
      <c r="P266" s="39">
        <f>(VLOOKUP($A266,'The List'!$B1:$AH727,28,FALSE)-AVERAGE('The List'!AC2:AC727))/STDEV('The List'!AC2:AC727)</f>
        <v>0.24974676676895124</v>
      </c>
      <c r="Q266" s="39">
        <f>(VLOOKUP($A266,'The List'!$B1:$AH727,29,FALSE)-AVERAGE('The List'!AD2:AD727))/STDEV('The List'!AD2:AD727)</f>
        <v>0.19968280359259322</v>
      </c>
      <c r="R266" s="39">
        <f>(VLOOKUP($A266,'The List'!$B1:$AH727,30,FALSE)-AVERAGE('The List'!AE2:AE727))/STDEV('The List'!AE2:AE727)</f>
        <v>-0.37591077548469637</v>
      </c>
      <c r="S266" s="39">
        <f>(VLOOKUP($A266,'The List'!$B1:$AH727,31,FALSE)-AVERAGE('The List'!AF2:AF727))/STDEV('The List'!AF2:AF727)</f>
        <v>-0.55804314905918151</v>
      </c>
      <c r="T266" s="39">
        <f>(VLOOKUP($A266,'The List'!$B1:$AH727,32,FALSE)-AVERAGE('The List'!AG2:AG727))/STDEV('The List'!AG2:AG727)</f>
        <v>-0.60188453558131205</v>
      </c>
      <c r="U266" s="39">
        <f>(VLOOKUP($A266,'The List'!$B1:$AH727,33,FALSE)-AVERAGE('The List'!AH2:AH727))/STDEV('The List'!AH2:AH727)</f>
        <v>-1.2395873372913611</v>
      </c>
      <c r="V266" s="39"/>
      <c r="W266" s="43"/>
      <c r="X266" s="41"/>
      <c r="Y266" s="41"/>
      <c r="Z266" s="41"/>
      <c r="AA266" s="41"/>
      <c r="AB266" s="41"/>
      <c r="AC266" s="44"/>
      <c r="AD266" s="45"/>
      <c r="AE266" s="39"/>
    </row>
    <row r="267" spans="1:31" ht="21.25" customHeight="1" x14ac:dyDescent="0.15">
      <c r="A267" s="8" t="s">
        <v>434</v>
      </c>
      <c r="B267" s="35" t="str">
        <f>VLOOKUP(A267,'Player Data'!A1:B734,2,FALSE)</f>
        <v>UFA</v>
      </c>
      <c r="C267" s="37">
        <f>((E267)*Settings!$C$12)+(F267*Settings!$C$2)+(G267*Settings!$C$3)+(H267*Settings!$C$4)+(I267*Settings!$C$5)+(K267*Settings!$C$9)+(N267*Settings!$C$6)+(J267*Settings!$C$8)+(O267*Settings!$C$7)+(P267*Settings!$C$14)+(Q267*Settings!$C$15)+(R267*Settings!$C$16)+(S267*Settings!$C$17)+(T267*Settings!$C$18)+(U267*Settings!$C$19)</f>
        <v>-0.3252065856006997</v>
      </c>
      <c r="D267" s="41">
        <f>IF(Settings!$E$12="YES",VLOOKUP(A267,'Player Data'!A1:E734,5,FALSE),82)</f>
        <v>80.326428571428593</v>
      </c>
      <c r="E267" s="39">
        <f>(VLOOKUP($A267,'The List'!$B1:$AH727,17,FALSE)-AVERAGE('The List'!R2:R727))/STDEV('The List'!R2:R727)</f>
        <v>-0.53671324111704766</v>
      </c>
      <c r="F267" s="39">
        <f>(VLOOKUP($A267,'The List'!$B1:$AH727,18,FALSE)-AVERAGE('The List'!S2:S727))/STDEV('The List'!S2:S727)</f>
        <v>0.26736309819235071</v>
      </c>
      <c r="G267" s="39">
        <f>(VLOOKUP($A267,'The List'!$B1:$AH727,19,FALSE)-AVERAGE('The List'!T2:T727))/STDEV('The List'!T2:T727)</f>
        <v>-5.1350638854135253E-2</v>
      </c>
      <c r="H267" s="39">
        <f>(VLOOKUP($A267,'The List'!$B1:$AH727,20,FALSE)-AVERAGE('The List'!U2:U727))/STDEV('The List'!U2:U727)</f>
        <v>9.0024203791471455E-2</v>
      </c>
      <c r="I267" s="39">
        <f>(VLOOKUP($A267,'The List'!$B1:$AH727,21,FALSE)-AVERAGE('The List'!V2:V727))/STDEV('The List'!V2:V727)</f>
        <v>0.14663266067732458</v>
      </c>
      <c r="J267" s="39">
        <f>(VLOOKUP($A267,'The List'!$B1:$AH727,22,FALSE)-AVERAGE('The List'!W2:W727))/STDEV('The List'!W2:W727)</f>
        <v>-0.29477515829518025</v>
      </c>
      <c r="K267" s="39">
        <f>(VLOOKUP($A267,'The List'!$B1:$AH727,23,FALSE)-AVERAGE('The List'!X2:X727))/STDEV('The List'!X2:X727)</f>
        <v>-0.29701281029521365</v>
      </c>
      <c r="L267" s="39">
        <f>(VLOOKUP($A267,'The List'!$B1:$AH727,24,FALSE)-AVERAGE('The List'!Y2:Y727))/STDEV('The List'!Y2:Y727)</f>
        <v>-0.54402834717551152</v>
      </c>
      <c r="M267" s="39">
        <f>(VLOOKUP($A267,'The List'!$B1:$AH727,25,FALSE)-AVERAGE('The List'!Z2:Z727))/STDEV('The List'!Z2:Z727)</f>
        <v>-0.72372514007823274</v>
      </c>
      <c r="N267" s="39">
        <f>(VLOOKUP($A267,'The List'!$B1:$AH727,26,FALSE)-AVERAGE('The List'!AA2:AA727))/STDEV('The List'!AA2:AA727)</f>
        <v>-0.76730914726473376</v>
      </c>
      <c r="O267" s="39">
        <f>(VLOOKUP($A267,'The List'!$B1:$AH727,27,FALSE)-AVERAGE('The List'!AB2:AB727))/STDEV('The List'!AB2:AB727)</f>
        <v>-0.45586930135703868</v>
      </c>
      <c r="P267" s="39">
        <f>(VLOOKUP($A267,'The List'!$B1:$AH727,28,FALSE)-AVERAGE('The List'!AC2:AC727))/STDEV('The List'!AC2:AC727)</f>
        <v>0.37647025194370765</v>
      </c>
      <c r="Q267" s="39">
        <f>(VLOOKUP($A267,'The List'!$B1:$AH727,29,FALSE)-AVERAGE('The List'!AD2:AD727))/STDEV('The List'!AD2:AD727)</f>
        <v>-0.46050042939628233</v>
      </c>
      <c r="R267" s="39">
        <f>(VLOOKUP($A267,'The List'!$B1:$AH727,30,FALSE)-AVERAGE('The List'!AE2:AE727))/STDEV('The List'!AE2:AE727)</f>
        <v>-1.1921764565772743</v>
      </c>
      <c r="S267" s="39">
        <f>(VLOOKUP($A267,'The List'!$B1:$AH727,31,FALSE)-AVERAGE('The List'!AF2:AF727))/STDEV('The List'!AF2:AF727)</f>
        <v>-0.47554723360281226</v>
      </c>
      <c r="T267" s="39">
        <f>(VLOOKUP($A267,'The List'!$B1:$AH727,32,FALSE)-AVERAGE('The List'!AG2:AG727))/STDEV('The List'!AG2:AG727)</f>
        <v>-0.47068980012392148</v>
      </c>
      <c r="U267" s="39">
        <f>(VLOOKUP($A267,'The List'!$B1:$AH727,33,FALSE)-AVERAGE('The List'!AH2:AH727))/STDEV('The List'!AH2:AH727)</f>
        <v>0.55911645224993989</v>
      </c>
      <c r="V267" s="39"/>
      <c r="W267" s="43"/>
      <c r="X267" s="41"/>
      <c r="Y267" s="41"/>
      <c r="Z267" s="41"/>
      <c r="AA267" s="41"/>
      <c r="AB267" s="41"/>
      <c r="AC267" s="44"/>
      <c r="AD267" s="45"/>
      <c r="AE267" s="39"/>
    </row>
    <row r="268" spans="1:31" ht="21.25" customHeight="1" x14ac:dyDescent="0.15">
      <c r="A268" s="8" t="s">
        <v>403</v>
      </c>
      <c r="B268" s="35" t="str">
        <f>VLOOKUP(A268,'Player Data'!A1:B734,2,FALSE)</f>
        <v>TBL</v>
      </c>
      <c r="C268" s="37">
        <f>((E268)*Settings!$C$12)+(F268*Settings!$C$2)+(G268*Settings!$C$3)+(H268*Settings!$C$4)+(I268*Settings!$C$5)+(K268*Settings!$C$9)+(N268*Settings!$C$6)+(J268*Settings!$C$8)+(O268*Settings!$C$7)+(P268*Settings!$C$14)+(Q268*Settings!$C$15)+(R268*Settings!$C$16)+(S268*Settings!$C$17)+(T268*Settings!$C$18)+(U268*Settings!$C$19)</f>
        <v>-0.1624219136731942</v>
      </c>
      <c r="D268" s="41">
        <f>IF(Settings!$E$12="YES",VLOOKUP(A268,'Player Data'!A1:E734,5,FALSE),82)</f>
        <v>80.078214285714296</v>
      </c>
      <c r="E268" s="39">
        <f>(VLOOKUP($A268,'The List'!$B1:$AH727,17,FALSE)-AVERAGE('The List'!R2:R727))/STDEV('The List'!R2:R727)</f>
        <v>-0.18125498641180382</v>
      </c>
      <c r="F268" s="39">
        <f>(VLOOKUP($A268,'The List'!$B1:$AH727,18,FALSE)-AVERAGE('The List'!S2:S727))/STDEV('The List'!S2:S727)</f>
        <v>0.32193629428531523</v>
      </c>
      <c r="G268" s="39">
        <f>(VLOOKUP($A268,'The List'!$B1:$AH727,19,FALSE)-AVERAGE('The List'!T2:T727))/STDEV('The List'!T2:T727)</f>
        <v>-0.10879455224341303</v>
      </c>
      <c r="H268" s="39">
        <f>(VLOOKUP($A268,'The List'!$B1:$AH727,20,FALSE)-AVERAGE('The List'!U2:U727))/STDEV('The List'!U2:U727)</f>
        <v>7.9460954635679495E-2</v>
      </c>
      <c r="I268" s="39">
        <f>(VLOOKUP($A268,'The List'!$B1:$AH727,21,FALSE)-AVERAGE('The List'!V2:V727))/STDEV('The List'!V2:V727)</f>
        <v>0.30524469663020715</v>
      </c>
      <c r="J268" s="39">
        <f>(VLOOKUP($A268,'The List'!$B1:$AH727,22,FALSE)-AVERAGE('The List'!W2:W727))/STDEV('The List'!W2:W727)</f>
        <v>-0.17408232948750482</v>
      </c>
      <c r="K268" s="39">
        <f>(VLOOKUP($A268,'The List'!$B1:$AH727,23,FALSE)-AVERAGE('The List'!X2:X727))/STDEV('The List'!X2:X727)</f>
        <v>-0.16055334547488637</v>
      </c>
      <c r="L268" s="39">
        <f>(VLOOKUP($A268,'The List'!$B1:$AH727,24,FALSE)-AVERAGE('The List'!Y2:Y727))/STDEV('The List'!Y2:Y727)</f>
        <v>0.84314041735872458</v>
      </c>
      <c r="M268" s="39">
        <f>(VLOOKUP($A268,'The List'!$B1:$AH727,25,FALSE)-AVERAGE('The List'!Z2:Z727))/STDEV('The List'!Z2:Z727)</f>
        <v>0.26321608102600352</v>
      </c>
      <c r="N268" s="39">
        <f>(VLOOKUP($A268,'The List'!$B1:$AH727,26,FALSE)-AVERAGE('The List'!AA2:AA727))/STDEV('The List'!AA2:AA727)</f>
        <v>-0.45363482923430165</v>
      </c>
      <c r="O268" s="39">
        <f>(VLOOKUP($A268,'The List'!$B1:$AH727,27,FALSE)-AVERAGE('The List'!AB2:AB727))/STDEV('The List'!AB2:AB727)</f>
        <v>-0.69316427614071452</v>
      </c>
      <c r="P268" s="39">
        <f>(VLOOKUP($A268,'The List'!$B1:$AH727,28,FALSE)-AVERAGE('The List'!AC2:AC727))/STDEV('The List'!AC2:AC727)</f>
        <v>-6.6620177636115496E-2</v>
      </c>
      <c r="Q268" s="39">
        <f>(VLOOKUP($A268,'The List'!$B1:$AH727,29,FALSE)-AVERAGE('The List'!AD2:AD727))/STDEV('The List'!AD2:AD727)</f>
        <v>-0.61413287119941962</v>
      </c>
      <c r="R268" s="39">
        <f>(VLOOKUP($A268,'The List'!$B1:$AH727,30,FALSE)-AVERAGE('The List'!AE2:AE727))/STDEV('The List'!AE2:AE727)</f>
        <v>0.45977022627772773</v>
      </c>
      <c r="S268" s="39">
        <f>(VLOOKUP($A268,'The List'!$B1:$AH727,31,FALSE)-AVERAGE('The List'!AF2:AF727))/STDEV('The List'!AF2:AF727)</f>
        <v>-0.48103455454745708</v>
      </c>
      <c r="T268" s="39">
        <f>(VLOOKUP($A268,'The List'!$B1:$AH727,32,FALSE)-AVERAGE('The List'!AG2:AG727))/STDEV('The List'!AG2:AG727)</f>
        <v>-0.49956812294468883</v>
      </c>
      <c r="U268" s="39">
        <f>(VLOOKUP($A268,'The List'!$B1:$AH727,33,FALSE)-AVERAGE('The List'!AH2:AH727))/STDEV('The List'!AH2:AH727)</f>
        <v>0.75683329220635731</v>
      </c>
      <c r="V268" s="39"/>
      <c r="W268" s="43"/>
      <c r="X268" s="41"/>
      <c r="Y268" s="41"/>
      <c r="Z268" s="41"/>
      <c r="AA268" s="41"/>
      <c r="AB268" s="41"/>
      <c r="AC268" s="44"/>
      <c r="AD268" s="45"/>
      <c r="AE268" s="39"/>
    </row>
    <row r="269" spans="1:31" ht="21.25" customHeight="1" x14ac:dyDescent="0.15">
      <c r="A269" s="8" t="s">
        <v>282</v>
      </c>
      <c r="B269" s="35" t="str">
        <f>VLOOKUP(A269,'Player Data'!A1:B734,2,FALSE)</f>
        <v>NSH</v>
      </c>
      <c r="C269" s="37">
        <f>((E269)*Settings!$C$12)+(F269*Settings!$C$2)+(G269*Settings!$C$3)+(H269*Settings!$C$4)+(I269*Settings!$C$5)+(K269*Settings!$C$9)+(N269*Settings!$C$6)+(J269*Settings!$C$8)+(O269*Settings!$C$7)+(P269*Settings!$C$14)+(Q269*Settings!$C$15)+(R269*Settings!$C$16)+(S269*Settings!$C$17)+(T269*Settings!$C$18)+(U269*Settings!$C$19)</f>
        <v>0.8615406280561253</v>
      </c>
      <c r="D269" s="41">
        <f>IF(Settings!$E$12="YES",VLOOKUP(A269,'Player Data'!A1:E734,5,FALSE),82)</f>
        <v>81.325000000000003</v>
      </c>
      <c r="E269" s="39">
        <f>(VLOOKUP($A269,'The List'!$B1:$AH727,17,FALSE)-AVERAGE('The List'!R2:R727))/STDEV('The List'!R2:R727)</f>
        <v>0.47272340019352871</v>
      </c>
      <c r="F269" s="39">
        <f>(VLOOKUP($A269,'The List'!$B1:$AH727,18,FALSE)-AVERAGE('The List'!S2:S727))/STDEV('The List'!S2:S727)</f>
        <v>-0.56009757478618283</v>
      </c>
      <c r="G269" s="39">
        <f>(VLOOKUP($A269,'The List'!$B1:$AH727,19,FALSE)-AVERAGE('The List'!T2:T727))/STDEV('The List'!T2:T727)</f>
        <v>0.44016373358972155</v>
      </c>
      <c r="H269" s="39">
        <f>(VLOOKUP($A269,'The List'!$B1:$AH727,20,FALSE)-AVERAGE('The List'!U2:U727))/STDEV('The List'!U2:U727)</f>
        <v>1.6353500240338412E-2</v>
      </c>
      <c r="I269" s="39">
        <f>(VLOOKUP($A269,'The List'!$B1:$AH727,21,FALSE)-AVERAGE('The List'!V2:V727))/STDEV('The List'!V2:V727)</f>
        <v>0.14494340315015006</v>
      </c>
      <c r="J269" s="39">
        <f>(VLOOKUP($A269,'The List'!$B1:$AH727,22,FALSE)-AVERAGE('The List'!W2:W727))/STDEV('The List'!W2:W727)</f>
        <v>-0.16566528273632747</v>
      </c>
      <c r="K269" s="39">
        <f>(VLOOKUP($A269,'The List'!$B1:$AH727,23,FALSE)-AVERAGE('The List'!X2:X727))/STDEV('The List'!X2:X727)</f>
        <v>0.69304286314775976</v>
      </c>
      <c r="L269" s="39">
        <f>(VLOOKUP($A269,'The List'!$B1:$AH727,24,FALSE)-AVERAGE('The List'!Y2:Y727))/STDEV('The List'!Y2:Y727)</f>
        <v>-0.51880679116200712</v>
      </c>
      <c r="M269" s="39">
        <f>(VLOOKUP($A269,'The List'!$B1:$AH727,25,FALSE)-AVERAGE('The List'!Z2:Z727))/STDEV('The List'!Z2:Z727)</f>
        <v>-0.28684977691614905</v>
      </c>
      <c r="N269" s="39">
        <f>(VLOOKUP($A269,'The List'!$B1:$AH727,26,FALSE)-AVERAGE('The List'!AA2:AA727))/STDEV('The List'!AA2:AA727)</f>
        <v>0.6556714354316896</v>
      </c>
      <c r="O269" s="39">
        <f>(VLOOKUP($A269,'The List'!$B1:$AH727,27,FALSE)-AVERAGE('The List'!AB2:AB727))/STDEV('The List'!AB2:AB727)</f>
        <v>-0.674588444199824</v>
      </c>
      <c r="P269" s="39">
        <f>(VLOOKUP($A269,'The List'!$B1:$AH727,28,FALSE)-AVERAGE('The List'!AC2:AC727))/STDEV('The List'!AC2:AC727)</f>
        <v>-0.51218323247701281</v>
      </c>
      <c r="Q269" s="39">
        <f>(VLOOKUP($A269,'The List'!$B1:$AH727,29,FALSE)-AVERAGE('The List'!AD2:AD727))/STDEV('The List'!AD2:AD727)</f>
        <v>-0.36948175706309211</v>
      </c>
      <c r="R269" s="39">
        <f>(VLOOKUP($A269,'The List'!$B1:$AH727,30,FALSE)-AVERAGE('The List'!AE2:AE727))/STDEV('The List'!AE2:AE727)</f>
        <v>-0.49213361366309327</v>
      </c>
      <c r="S269" s="39">
        <f>(VLOOKUP($A269,'The List'!$B1:$AH727,31,FALSE)-AVERAGE('The List'!AF2:AF727))/STDEV('The List'!AF2:AF727)</f>
        <v>-0.55804314905918151</v>
      </c>
      <c r="T269" s="39">
        <f>(VLOOKUP($A269,'The List'!$B1:$AH727,32,FALSE)-AVERAGE('The List'!AG2:AG727))/STDEV('The List'!AG2:AG727)</f>
        <v>-0.60188453558131205</v>
      </c>
      <c r="U269" s="39">
        <f>(VLOOKUP($A269,'The List'!$B1:$AH727,33,FALSE)-AVERAGE('The List'!AH2:AH727))/STDEV('The List'!AH2:AH727)</f>
        <v>-1.2395873372913611</v>
      </c>
      <c r="V269" s="39"/>
      <c r="W269" s="41"/>
      <c r="X269" s="39"/>
      <c r="Y269" s="39"/>
      <c r="Z269" s="39"/>
      <c r="AA269" s="39"/>
      <c r="AB269" s="39"/>
      <c r="AC269" s="39"/>
      <c r="AD269" s="39"/>
      <c r="AE269" s="39"/>
    </row>
    <row r="270" spans="1:31" ht="21.25" customHeight="1" x14ac:dyDescent="0.15">
      <c r="A270" s="8" t="s">
        <v>562</v>
      </c>
      <c r="B270" s="35" t="str">
        <f>VLOOKUP(A270,'Player Data'!A1:B734,2,FALSE)</f>
        <v>CHI</v>
      </c>
      <c r="C270" s="37">
        <f>((E270)*Settings!$C$12)+(F270*Settings!$C$2)+(G270*Settings!$C$3)+(H270*Settings!$C$4)+(I270*Settings!$C$5)+(K270*Settings!$C$9)+(N270*Settings!$C$6)+(J270*Settings!$C$8)+(O270*Settings!$C$7)+(P270*Settings!$C$14)+(Q270*Settings!$C$15)+(R270*Settings!$C$16)+(S270*Settings!$C$17)+(T270*Settings!$C$18)+(U270*Settings!$C$19)</f>
        <v>-2.6847883738022453</v>
      </c>
      <c r="D270" s="41">
        <f>IF(Settings!$E$12="YES",VLOOKUP(A270,'Player Data'!A1:E734,5,FALSE),82)</f>
        <v>69.568571428571403</v>
      </c>
      <c r="E270" s="39">
        <f>(VLOOKUP($A270,'The List'!$B1:$AH727,17,FALSE)-AVERAGE('The List'!R2:R727))/STDEV('The List'!R2:R727)</f>
        <v>-0.20467085777315094</v>
      </c>
      <c r="F270" s="39">
        <f>(VLOOKUP($A270,'The List'!$B1:$AH727,18,FALSE)-AVERAGE('The List'!S2:S727))/STDEV('The List'!S2:S727)</f>
        <v>-8.6915339236287859E-2</v>
      </c>
      <c r="G270" s="39">
        <f>(VLOOKUP($A270,'The List'!$B1:$AH727,19,FALSE)-AVERAGE('The List'!T2:T727))/STDEV('The List'!T2:T727)</f>
        <v>-0.17058812801549686</v>
      </c>
      <c r="H270" s="39">
        <f>(VLOOKUP($A270,'The List'!$B1:$AH727,20,FALSE)-AVERAGE('The List'!U2:U727))/STDEV('The List'!U2:U727)</f>
        <v>-0.14466989344435488</v>
      </c>
      <c r="I270" s="39">
        <f>(VLOOKUP($A270,'The List'!$B1:$AH727,21,FALSE)-AVERAGE('The List'!V2:V727))/STDEV('The List'!V2:V727)</f>
        <v>0.10079222113608188</v>
      </c>
      <c r="J270" s="39">
        <f>(VLOOKUP($A270,'The List'!$B1:$AH727,22,FALSE)-AVERAGE('The List'!W2:W727))/STDEV('The List'!W2:W727)</f>
        <v>7.1054524664412241E-2</v>
      </c>
      <c r="K270" s="39">
        <f>(VLOOKUP($A270,'The List'!$B1:$AH727,23,FALSE)-AVERAGE('The List'!X2:X727))/STDEV('The List'!X2:X727)</f>
        <v>-3.5360713881675294E-3</v>
      </c>
      <c r="L270" s="39">
        <f>(VLOOKUP($A270,'The List'!$B1:$AH727,24,FALSE)-AVERAGE('The List'!Y2:Y727))/STDEV('The List'!Y2:Y727)</f>
        <v>-0.51083722801578346</v>
      </c>
      <c r="M270" s="39">
        <f>(VLOOKUP($A270,'The List'!$B1:$AH727,25,FALSE)-AVERAGE('The List'!Z2:Z727))/STDEV('The List'!Z2:Z727)</f>
        <v>-0.68545592685757195</v>
      </c>
      <c r="N270" s="39">
        <f>(VLOOKUP($A270,'The List'!$B1:$AH727,26,FALSE)-AVERAGE('The List'!AA2:AA727))/STDEV('The List'!AA2:AA727)</f>
        <v>-0.76789288219388996</v>
      </c>
      <c r="O270" s="39">
        <f>(VLOOKUP($A270,'The List'!$B1:$AH727,27,FALSE)-AVERAGE('The List'!AB2:AB727))/STDEV('The List'!AB2:AB727)</f>
        <v>-0.45362653600761116</v>
      </c>
      <c r="P270" s="39">
        <f>(VLOOKUP($A270,'The List'!$B1:$AH727,28,FALSE)-AVERAGE('The List'!AC2:AC727))/STDEV('The List'!AC2:AC727)</f>
        <v>-1.756648174104485</v>
      </c>
      <c r="Q270" s="39">
        <f>(VLOOKUP($A270,'The List'!$B1:$AH727,29,FALSE)-AVERAGE('The List'!AD2:AD727))/STDEV('The List'!AD2:AD727)</f>
        <v>-0.48927027819585833</v>
      </c>
      <c r="R270" s="39">
        <f>(VLOOKUP($A270,'The List'!$B1:$AH727,30,FALSE)-AVERAGE('The List'!AE2:AE727))/STDEV('The List'!AE2:AE727)</f>
        <v>-0.26821640483937031</v>
      </c>
      <c r="S270" s="39">
        <f>(VLOOKUP($A270,'The List'!$B1:$AH727,31,FALSE)-AVERAGE('The List'!AF2:AF727))/STDEV('The List'!AF2:AF727)</f>
        <v>-8.6556587276341287E-2</v>
      </c>
      <c r="T270" s="39">
        <f>(VLOOKUP($A270,'The List'!$B1:$AH727,32,FALSE)-AVERAGE('The List'!AG2:AG727))/STDEV('The List'!AG2:AG727)</f>
        <v>-0.17718961203341119</v>
      </c>
      <c r="U270" s="39">
        <f>(VLOOKUP($A270,'The List'!$B1:$AH727,33,FALSE)-AVERAGE('The List'!AH2:AH727))/STDEV('The List'!AH2:AH727)</f>
        <v>1.1942842868762038</v>
      </c>
      <c r="V270" s="39"/>
      <c r="W270" s="43"/>
      <c r="X270" s="41"/>
      <c r="Y270" s="41"/>
      <c r="Z270" s="41"/>
      <c r="AA270" s="41"/>
      <c r="AB270" s="41"/>
      <c r="AC270" s="44"/>
      <c r="AD270" s="45"/>
      <c r="AE270" s="39"/>
    </row>
    <row r="271" spans="1:31" ht="21.25" customHeight="1" x14ac:dyDescent="0.15">
      <c r="A271" s="8" t="s">
        <v>430</v>
      </c>
      <c r="B271" s="35" t="str">
        <f>VLOOKUP(A271,'Player Data'!A1:B734,2,FALSE)</f>
        <v>STL</v>
      </c>
      <c r="C271" s="37">
        <f>((E271)*Settings!$C$12)+(F271*Settings!$C$2)+(G271*Settings!$C$3)+(H271*Settings!$C$4)+(I271*Settings!$C$5)+(K271*Settings!$C$9)+(N271*Settings!$C$6)+(J271*Settings!$C$8)+(O271*Settings!$C$7)+(P271*Settings!$C$14)+(Q271*Settings!$C$15)+(R271*Settings!$C$16)+(S271*Settings!$C$17)+(T271*Settings!$C$18)+(U271*Settings!$C$19)</f>
        <v>-2.3311346258361869</v>
      </c>
      <c r="D271" s="41">
        <f>IF(Settings!$E$12="YES",VLOOKUP(A271,'Player Data'!A1:E734,5,FALSE),82)</f>
        <v>76.434642857142904</v>
      </c>
      <c r="E271" s="39">
        <f>(VLOOKUP($A271,'The List'!$B1:$AH727,17,FALSE)-AVERAGE('The List'!R2:R727))/STDEV('The List'!R2:R727)</f>
        <v>-0.6656715641788673</v>
      </c>
      <c r="F271" s="39">
        <f>(VLOOKUP($A271,'The List'!$B1:$AH727,18,FALSE)-AVERAGE('The List'!S2:S727))/STDEV('The List'!S2:S727)</f>
        <v>0.11375522887096993</v>
      </c>
      <c r="G271" s="39">
        <f>(VLOOKUP($A271,'The List'!$B1:$AH727,19,FALSE)-AVERAGE('The List'!T2:T727))/STDEV('The List'!T2:T727)</f>
        <v>-0.1087772158242042</v>
      </c>
      <c r="H271" s="39">
        <f>(VLOOKUP($A271,'The List'!$B1:$AH727,20,FALSE)-AVERAGE('The List'!U2:U727))/STDEV('The List'!U2:U727)</f>
        <v>-1.5263774479533462E-2</v>
      </c>
      <c r="I271" s="39">
        <f>(VLOOKUP($A271,'The List'!$B1:$AH727,21,FALSE)-AVERAGE('The List'!V2:V727))/STDEV('The List'!V2:V727)</f>
        <v>-4.6569066144190485E-2</v>
      </c>
      <c r="J271" s="39">
        <f>(VLOOKUP($A271,'The List'!$B1:$AH727,22,FALSE)-AVERAGE('The List'!W2:W727))/STDEV('The List'!W2:W727)</f>
        <v>-0.26318056916764804</v>
      </c>
      <c r="K271" s="39">
        <f>(VLOOKUP($A271,'The List'!$B1:$AH727,23,FALSE)-AVERAGE('The List'!X2:X727))/STDEV('The List'!X2:X727)</f>
        <v>-0.28983025300628107</v>
      </c>
      <c r="L271" s="39">
        <f>(VLOOKUP($A271,'The List'!$B1:$AH727,24,FALSE)-AVERAGE('The List'!Y2:Y727))/STDEV('The List'!Y2:Y727)</f>
        <v>0.87403955937743816</v>
      </c>
      <c r="M271" s="39">
        <f>(VLOOKUP($A271,'The List'!$B1:$AH727,25,FALSE)-AVERAGE('The List'!Z2:Z727))/STDEV('The List'!Z2:Z727)</f>
        <v>0.28198989649561063</v>
      </c>
      <c r="N271" s="39">
        <f>(VLOOKUP($A271,'The List'!$B1:$AH727,26,FALSE)-AVERAGE('The List'!AA2:AA727))/STDEV('The List'!AA2:AA727)</f>
        <v>-0.89571639845305184</v>
      </c>
      <c r="O271" s="39">
        <f>(VLOOKUP($A271,'The List'!$B1:$AH727,27,FALSE)-AVERAGE('The List'!AB2:AB727))/STDEV('The List'!AB2:AB727)</f>
        <v>0.42328653599368088</v>
      </c>
      <c r="P271" s="39">
        <f>(VLOOKUP($A271,'The List'!$B1:$AH727,28,FALSE)-AVERAGE('The List'!AC2:AC727))/STDEV('The List'!AC2:AC727)</f>
        <v>-1.1039969212794294</v>
      </c>
      <c r="Q271" s="39">
        <f>(VLOOKUP($A271,'The List'!$B1:$AH727,29,FALSE)-AVERAGE('The List'!AD2:AD727))/STDEV('The List'!AD2:AD727)</f>
        <v>-0.84306104902701962</v>
      </c>
      <c r="R271" s="39">
        <f>(VLOOKUP($A271,'The List'!$B1:$AH727,30,FALSE)-AVERAGE('The List'!AE2:AE727))/STDEV('The List'!AE2:AE727)</f>
        <v>-0.13400530980829348</v>
      </c>
      <c r="S271" s="39">
        <f>(VLOOKUP($A271,'The List'!$B1:$AH727,31,FALSE)-AVERAGE('The List'!AF2:AF727))/STDEV('The List'!AF2:AF727)</f>
        <v>-0.44500288201296806</v>
      </c>
      <c r="T271" s="39">
        <f>(VLOOKUP($A271,'The List'!$B1:$AH727,32,FALSE)-AVERAGE('The List'!AG2:AG727))/STDEV('The List'!AG2:AG727)</f>
        <v>-0.36378910637612633</v>
      </c>
      <c r="U271" s="39">
        <f>(VLOOKUP($A271,'The List'!$B1:$AH727,33,FALSE)-AVERAGE('The List'!AH2:AH727))/STDEV('The List'!AH2:AH727)</f>
        <v>0.26525969513681513</v>
      </c>
      <c r="V271" s="39"/>
      <c r="W271" s="43"/>
      <c r="X271" s="41"/>
      <c r="Y271" s="41"/>
      <c r="Z271" s="41"/>
      <c r="AA271" s="41"/>
      <c r="AB271" s="41"/>
      <c r="AC271" s="44"/>
      <c r="AD271" s="45"/>
      <c r="AE271" s="39"/>
    </row>
    <row r="272" spans="1:31" ht="21.25" customHeight="1" x14ac:dyDescent="0.15">
      <c r="A272" s="8" t="s">
        <v>405</v>
      </c>
      <c r="B272" s="35" t="str">
        <f>VLOOKUP(A272,'Player Data'!A1:B734,2,FALSE)</f>
        <v>ANA</v>
      </c>
      <c r="C272" s="37">
        <f>((E272)*Settings!$C$12)+(F272*Settings!$C$2)+(G272*Settings!$C$3)+(H272*Settings!$C$4)+(I272*Settings!$C$5)+(K272*Settings!$C$9)+(N272*Settings!$C$6)+(J272*Settings!$C$8)+(O272*Settings!$C$7)+(P272*Settings!$C$14)+(Q272*Settings!$C$15)+(R272*Settings!$C$16)+(S272*Settings!$C$17)+(T272*Settings!$C$18)+(U272*Settings!$C$19)</f>
        <v>-1.2948187911890867</v>
      </c>
      <c r="D272" s="41">
        <f>IF(Settings!$E$12="YES",VLOOKUP(A272,'Player Data'!A1:E734,5,FALSE),82)</f>
        <v>80.34</v>
      </c>
      <c r="E272" s="39">
        <f>(VLOOKUP($A272,'The List'!$B1:$AH727,17,FALSE)-AVERAGE('The List'!R2:R727))/STDEV('The List'!R2:R727)</f>
        <v>-0.33015112568698085</v>
      </c>
      <c r="F272" s="39">
        <f>(VLOOKUP($A272,'The List'!$B1:$AH727,18,FALSE)-AVERAGE('The List'!S2:S727))/STDEV('The List'!S2:S727)</f>
        <v>0.66839260030599823</v>
      </c>
      <c r="G272" s="39">
        <f>(VLOOKUP($A272,'The List'!$B1:$AH727,19,FALSE)-AVERAGE('The List'!T2:T727))/STDEV('The List'!T2:T727)</f>
        <v>-0.38849814483474077</v>
      </c>
      <c r="H272" s="39">
        <f>(VLOOKUP($A272,'The List'!$B1:$AH727,20,FALSE)-AVERAGE('The List'!U2:U727))/STDEV('The List'!U2:U727)</f>
        <v>6.4764324603324402E-2</v>
      </c>
      <c r="I272" s="39">
        <f>(VLOOKUP($A272,'The List'!$B1:$AH727,21,FALSE)-AVERAGE('The List'!V2:V727))/STDEV('The List'!V2:V727)</f>
        <v>1.192075247390129</v>
      </c>
      <c r="J272" s="39">
        <f>(VLOOKUP($A272,'The List'!$B1:$AH727,22,FALSE)-AVERAGE('The List'!W2:W727))/STDEV('The List'!W2:W727)</f>
        <v>0.20954435340429955</v>
      </c>
      <c r="K272" s="39">
        <f>(VLOOKUP($A272,'The List'!$B1:$AH727,23,FALSE)-AVERAGE('The List'!X2:X727))/STDEV('The List'!X2:X727)</f>
        <v>-0.10461730500127833</v>
      </c>
      <c r="L272" s="39">
        <f>(VLOOKUP($A272,'The List'!$B1:$AH727,24,FALSE)-AVERAGE('The List'!Y2:Y727))/STDEV('The List'!Y2:Y727)</f>
        <v>-0.29690637483217847</v>
      </c>
      <c r="M272" s="39">
        <f>(VLOOKUP($A272,'The List'!$B1:$AH727,25,FALSE)-AVERAGE('The List'!Z2:Z727))/STDEV('The List'!Z2:Z727)</f>
        <v>-0.44657634426553444</v>
      </c>
      <c r="N272" s="39">
        <f>(VLOOKUP($A272,'The List'!$B1:$AH727,26,FALSE)-AVERAGE('The List'!AA2:AA727))/STDEV('The List'!AA2:AA727)</f>
        <v>-4.355985553439716E-2</v>
      </c>
      <c r="O272" s="39">
        <f>(VLOOKUP($A272,'The List'!$B1:$AH727,27,FALSE)-AVERAGE('The List'!AB2:AB727))/STDEV('The List'!AB2:AB727)</f>
        <v>-0.2045050443262007</v>
      </c>
      <c r="P272" s="39">
        <f>(VLOOKUP($A272,'The List'!$B1:$AH727,28,FALSE)-AVERAGE('The List'!AC2:AC727))/STDEV('The List'!AC2:AC727)</f>
        <v>-2.6186113335147976</v>
      </c>
      <c r="Q272" s="39">
        <f>(VLOOKUP($A272,'The List'!$B1:$AH727,29,FALSE)-AVERAGE('The List'!AD2:AD727))/STDEV('The List'!AD2:AD727)</f>
        <v>9.4108526112268012E-2</v>
      </c>
      <c r="R272" s="39">
        <f>(VLOOKUP($A272,'The List'!$B1:$AH727,30,FALSE)-AVERAGE('The List'!AE2:AE727))/STDEV('The List'!AE2:AE727)</f>
        <v>0.197486665226109</v>
      </c>
      <c r="S272" s="39">
        <f>(VLOOKUP($A272,'The List'!$B1:$AH727,31,FALSE)-AVERAGE('The List'!AF2:AF727))/STDEV('The List'!AF2:AF727)</f>
        <v>-0.52164396753747588</v>
      </c>
      <c r="T272" s="39">
        <f>(VLOOKUP($A272,'The List'!$B1:$AH727,32,FALSE)-AVERAGE('The List'!AG2:AG727))/STDEV('The List'!AG2:AG727)</f>
        <v>-0.54278800726682574</v>
      </c>
      <c r="U272" s="39">
        <f>(VLOOKUP($A272,'The List'!$B1:$AH727,33,FALSE)-AVERAGE('The List'!AH2:AH727))/STDEV('The List'!AH2:AH727)</f>
        <v>0.5367636045088523</v>
      </c>
      <c r="V272" s="39"/>
      <c r="W272" s="43"/>
      <c r="X272" s="41"/>
      <c r="Y272" s="41"/>
      <c r="Z272" s="41"/>
      <c r="AA272" s="41"/>
      <c r="AB272" s="41"/>
      <c r="AC272" s="44"/>
      <c r="AD272" s="45"/>
      <c r="AE272" s="39"/>
    </row>
    <row r="273" spans="1:31" ht="21.25" customHeight="1" x14ac:dyDescent="0.15">
      <c r="A273" s="8" t="s">
        <v>447</v>
      </c>
      <c r="B273" s="35" t="str">
        <f>VLOOKUP(A273,'Player Data'!A1:B734,2,FALSE)</f>
        <v>TBL</v>
      </c>
      <c r="C273" s="37">
        <f>((E273)*Settings!$C$12)+(F273*Settings!$C$2)+(G273*Settings!$C$3)+(H273*Settings!$C$4)+(I273*Settings!$C$5)+(K273*Settings!$C$9)+(N273*Settings!$C$6)+(J273*Settings!$C$8)+(O273*Settings!$C$7)+(P273*Settings!$C$14)+(Q273*Settings!$C$15)+(R273*Settings!$C$16)+(S273*Settings!$C$17)+(T273*Settings!$C$18)+(U273*Settings!$C$19)</f>
        <v>-0.34144713630938944</v>
      </c>
      <c r="D273" s="41">
        <f>IF(Settings!$E$12="YES",VLOOKUP(A273,'Player Data'!A1:E734,5,FALSE),82)</f>
        <v>74.823928571428596</v>
      </c>
      <c r="E273" s="39">
        <f>(VLOOKUP($A273,'The List'!$B1:$AH727,17,FALSE)-AVERAGE('The List'!R2:R727))/STDEV('The List'!R2:R727)</f>
        <v>9.2348685665930408E-2</v>
      </c>
      <c r="F273" s="39">
        <f>(VLOOKUP($A273,'The List'!$B1:$AH727,18,FALSE)-AVERAGE('The List'!S2:S727))/STDEV('The List'!S2:S727)</f>
        <v>0.30484558444722437</v>
      </c>
      <c r="G273" s="39">
        <f>(VLOOKUP($A273,'The List'!$B1:$AH727,19,FALSE)-AVERAGE('The List'!T2:T727))/STDEV('The List'!T2:T727)</f>
        <v>-0.31189171182588515</v>
      </c>
      <c r="H273" s="39">
        <f>(VLOOKUP($A273,'The List'!$B1:$AH727,20,FALSE)-AVERAGE('The List'!U2:U727))/STDEV('The List'!U2:U727)</f>
        <v>-5.3466727653921985E-2</v>
      </c>
      <c r="I273" s="39">
        <f>(VLOOKUP($A273,'The List'!$B1:$AH727,21,FALSE)-AVERAGE('The List'!V2:V727))/STDEV('The List'!V2:V727)</f>
        <v>1.8002201658917395E-2</v>
      </c>
      <c r="J273" s="39">
        <f>(VLOOKUP($A273,'The List'!$B1:$AH727,22,FALSE)-AVERAGE('The List'!W2:W727))/STDEV('The List'!W2:W727)</f>
        <v>-0.11155123894745497</v>
      </c>
      <c r="K273" s="39">
        <f>(VLOOKUP($A273,'The List'!$B1:$AH727,23,FALSE)-AVERAGE('The List'!X2:X727))/STDEV('The List'!X2:X727)</f>
        <v>-0.32672585653918274</v>
      </c>
      <c r="L273" s="39">
        <f>(VLOOKUP($A273,'The List'!$B1:$AH727,24,FALSE)-AVERAGE('The List'!Y2:Y727))/STDEV('The List'!Y2:Y727)</f>
        <v>0.39627244009917761</v>
      </c>
      <c r="M273" s="39">
        <f>(VLOOKUP($A273,'The List'!$B1:$AH727,25,FALSE)-AVERAGE('The List'!Z2:Z727))/STDEV('The List'!Z2:Z727)</f>
        <v>0.61646505690095521</v>
      </c>
      <c r="N273" s="39">
        <f>(VLOOKUP($A273,'The List'!$B1:$AH727,26,FALSE)-AVERAGE('The List'!AA2:AA727))/STDEV('The List'!AA2:AA727)</f>
        <v>6.4807109860392551E-2</v>
      </c>
      <c r="O273" s="39">
        <f>(VLOOKUP($A273,'The List'!$B1:$AH727,27,FALSE)-AVERAGE('The List'!AB2:AB727))/STDEV('The List'!AB2:AB727)</f>
        <v>4.2648998861781271</v>
      </c>
      <c r="P273" s="39">
        <f>(VLOOKUP($A273,'The List'!$B1:$AH727,28,FALSE)-AVERAGE('The List'!AC2:AC727))/STDEV('The List'!AC2:AC727)</f>
        <v>-9.0484463910855892E-2</v>
      </c>
      <c r="Q273" s="39">
        <f>(VLOOKUP($A273,'The List'!$B1:$AH727,29,FALSE)-AVERAGE('The List'!AD2:AD727))/STDEV('The List'!AD2:AD727)</f>
        <v>4.3939378751107094</v>
      </c>
      <c r="R273" s="39">
        <f>(VLOOKUP($A273,'The List'!$B1:$AH727,30,FALSE)-AVERAGE('The List'!AE2:AE727))/STDEV('The List'!AE2:AE727)</f>
        <v>0.44229863143915066</v>
      </c>
      <c r="S273" s="39">
        <f>(VLOOKUP($A273,'The List'!$B1:$AH727,31,FALSE)-AVERAGE('The List'!AF2:AF727))/STDEV('The List'!AF2:AF727)</f>
        <v>-0.50431651773125119</v>
      </c>
      <c r="T273" s="39">
        <f>(VLOOKUP($A273,'The List'!$B1:$AH727,32,FALSE)-AVERAGE('The List'!AG2:AG727))/STDEV('The List'!AG2:AG727)</f>
        <v>-0.52427925152014987</v>
      </c>
      <c r="U273" s="39">
        <f>(VLOOKUP($A273,'The List'!$B1:$AH727,33,FALSE)-AVERAGE('The List'!AH2:AH727))/STDEV('The List'!AH2:AH727)</f>
        <v>0.66421796324269977</v>
      </c>
      <c r="V273" s="39"/>
      <c r="W273" s="41"/>
      <c r="X273" s="39"/>
      <c r="Y273" s="39"/>
      <c r="Z273" s="39"/>
      <c r="AA273" s="39"/>
      <c r="AB273" s="39"/>
      <c r="AC273" s="39"/>
      <c r="AD273" s="39"/>
      <c r="AE273" s="39"/>
    </row>
    <row r="274" spans="1:31" ht="21.25" customHeight="1" x14ac:dyDescent="0.15">
      <c r="A274" s="8" t="s">
        <v>349</v>
      </c>
      <c r="B274" s="35" t="str">
        <f>VLOOKUP(A274,'Player Data'!A1:B734,2,FALSE)</f>
        <v>PHI</v>
      </c>
      <c r="C274" s="37">
        <f>((E274)*Settings!$C$12)+(F274*Settings!$C$2)+(G274*Settings!$C$3)+(H274*Settings!$C$4)+(I274*Settings!$C$5)+(K274*Settings!$C$9)+(N274*Settings!$C$6)+(J274*Settings!$C$8)+(O274*Settings!$C$7)+(P274*Settings!$C$14)+(Q274*Settings!$C$15)+(R274*Settings!$C$16)+(S274*Settings!$C$17)+(T274*Settings!$C$18)+(U274*Settings!$C$19)</f>
        <v>-0.90822995349812929</v>
      </c>
      <c r="D274" s="41">
        <f>IF(Settings!$E$12="YES",VLOOKUP(A274,'Player Data'!A1:E734,5,FALSE),82)</f>
        <v>70.41</v>
      </c>
      <c r="E274" s="39">
        <f>(VLOOKUP($A274,'The List'!$B1:$AH727,17,FALSE)-AVERAGE('The List'!R2:R727))/STDEV('The List'!R2:R727)</f>
        <v>1.3821915777406726</v>
      </c>
      <c r="F274" s="39">
        <f>(VLOOKUP($A274,'The List'!$B1:$AH727,18,FALSE)-AVERAGE('The List'!S2:S727))/STDEV('The List'!S2:S727)</f>
        <v>-0.73031691812743149</v>
      </c>
      <c r="G274" s="39">
        <f>(VLOOKUP($A274,'The List'!$B1:$AH727,19,FALSE)-AVERAGE('The List'!T2:T727))/STDEV('The List'!T2:T727)</f>
        <v>0.41685906509064341</v>
      </c>
      <c r="H274" s="39">
        <f>(VLOOKUP($A274,'The List'!$B1:$AH727,20,FALSE)-AVERAGE('The List'!U2:U727))/STDEV('The List'!U2:U727)</f>
        <v>-7.5467504003321528E-2</v>
      </c>
      <c r="I274" s="39">
        <f>(VLOOKUP($A274,'The List'!$B1:$AH727,21,FALSE)-AVERAGE('The List'!V2:V727))/STDEV('The List'!V2:V727)</f>
        <v>-0.78850587556534335</v>
      </c>
      <c r="J274" s="39">
        <f>(VLOOKUP($A274,'The List'!$B1:$AH727,22,FALSE)-AVERAGE('The List'!W2:W727))/STDEV('The List'!W2:W727)</f>
        <v>-0.31471023802297943</v>
      </c>
      <c r="K274" s="39">
        <f>(VLOOKUP($A274,'The List'!$B1:$AH727,23,FALSE)-AVERAGE('The List'!X2:X727))/STDEV('The List'!X2:X727)</f>
        <v>0.35798211739219266</v>
      </c>
      <c r="L274" s="39">
        <f>(VLOOKUP($A274,'The List'!$B1:$AH727,24,FALSE)-AVERAGE('The List'!Y2:Y727))/STDEV('The List'!Y2:Y727)</f>
        <v>-0.5214162497195276</v>
      </c>
      <c r="M274" s="39">
        <f>(VLOOKUP($A274,'The List'!$B1:$AH727,25,FALSE)-AVERAGE('The List'!Z2:Z727))/STDEV('The List'!Z2:Z727)</f>
        <v>-0.46429063406935933</v>
      </c>
      <c r="N274" s="39">
        <f>(VLOOKUP($A274,'The List'!$B1:$AH727,26,FALSE)-AVERAGE('The List'!AA2:AA727))/STDEV('The List'!AA2:AA727)</f>
        <v>1.0096822320328622</v>
      </c>
      <c r="O274" s="39">
        <f>(VLOOKUP($A274,'The List'!$B1:$AH727,27,FALSE)-AVERAGE('The List'!AB2:AB727))/STDEV('The List'!AB2:AB727)</f>
        <v>-0.32893432206355711</v>
      </c>
      <c r="P274" s="39">
        <f>(VLOOKUP($A274,'The List'!$B1:$AH727,28,FALSE)-AVERAGE('The List'!AC2:AC727))/STDEV('The List'!AC2:AC727)</f>
        <v>-1.1739305743210526</v>
      </c>
      <c r="Q274" s="39">
        <f>(VLOOKUP($A274,'The List'!$B1:$AH727,29,FALSE)-AVERAGE('The List'!AD2:AD727))/STDEV('The List'!AD2:AD727)</f>
        <v>-0.30857621646128869</v>
      </c>
      <c r="R274" s="39">
        <f>(VLOOKUP($A274,'The List'!$B1:$AH727,30,FALSE)-AVERAGE('The List'!AE2:AE727))/STDEV('The List'!AE2:AE727)</f>
        <v>-0.75936699511107164</v>
      </c>
      <c r="S274" s="39">
        <f>(VLOOKUP($A274,'The List'!$B1:$AH727,31,FALSE)-AVERAGE('The List'!AF2:AF727))/STDEV('The List'!AF2:AF727)</f>
        <v>-0.55804314905918151</v>
      </c>
      <c r="T274" s="39">
        <f>(VLOOKUP($A274,'The List'!$B1:$AH727,32,FALSE)-AVERAGE('The List'!AG2:AG727))/STDEV('The List'!AG2:AG727)</f>
        <v>-0.60188453558131205</v>
      </c>
      <c r="U274" s="39">
        <f>(VLOOKUP($A274,'The List'!$B1:$AH727,33,FALSE)-AVERAGE('The List'!AH2:AH727))/STDEV('The List'!AH2:AH727)</f>
        <v>-1.2395873372913611</v>
      </c>
      <c r="V274" s="39"/>
      <c r="W274" s="43"/>
      <c r="X274" s="41"/>
      <c r="Y274" s="41"/>
      <c r="Z274" s="41"/>
      <c r="AA274" s="41"/>
      <c r="AB274" s="41"/>
      <c r="AC274" s="44"/>
      <c r="AD274" s="45"/>
      <c r="AE274" s="39"/>
    </row>
    <row r="275" spans="1:31" ht="21.25" customHeight="1" x14ac:dyDescent="0.15">
      <c r="A275" s="8" t="s">
        <v>369</v>
      </c>
      <c r="B275" s="35" t="str">
        <f>VLOOKUP(A275,'Player Data'!A1:B734,2,FALSE)</f>
        <v>MTL</v>
      </c>
      <c r="C275" s="37">
        <f>((E275)*Settings!$C$12)+(F275*Settings!$C$2)+(G275*Settings!$C$3)+(H275*Settings!$C$4)+(I275*Settings!$C$5)+(K275*Settings!$C$9)+(N275*Settings!$C$6)+(J275*Settings!$C$8)+(O275*Settings!$C$7)+(P275*Settings!$C$14)+(Q275*Settings!$C$15)+(R275*Settings!$C$16)+(S275*Settings!$C$17)+(T275*Settings!$C$18)+(U275*Settings!$C$19)</f>
        <v>-1.78029001000094</v>
      </c>
      <c r="D275" s="41">
        <f>IF(Settings!$E$12="YES",VLOOKUP(A275,'Player Data'!A1:E734,5,FALSE),82)</f>
        <v>77.349285714285699</v>
      </c>
      <c r="E275" s="39">
        <f>(VLOOKUP($A275,'The List'!$B1:$AH727,17,FALSE)-AVERAGE('The List'!R2:R727))/STDEV('The List'!R2:R727)</f>
        <v>7.2940346719622629E-2</v>
      </c>
      <c r="F275" s="39">
        <f>(VLOOKUP($A275,'The List'!$B1:$AH727,18,FALSE)-AVERAGE('The List'!S2:S727))/STDEV('The List'!S2:S727)</f>
        <v>0.78971875123622692</v>
      </c>
      <c r="G275" s="39">
        <f>(VLOOKUP($A275,'The List'!$B1:$AH727,19,FALSE)-AVERAGE('The List'!T2:T727))/STDEV('The List'!T2:T727)</f>
        <v>-0.59583297867606611</v>
      </c>
      <c r="H275" s="39">
        <f>(VLOOKUP($A275,'The List'!$B1:$AH727,20,FALSE)-AVERAGE('The List'!U2:U727))/STDEV('The List'!U2:U727)</f>
        <v>-7.7863183121958954E-3</v>
      </c>
      <c r="I275" s="39">
        <f>(VLOOKUP($A275,'The List'!$B1:$AH727,21,FALSE)-AVERAGE('The List'!V2:V727))/STDEV('The List'!V2:V727)</f>
        <v>0.71036937409047596</v>
      </c>
      <c r="J275" s="39">
        <f>(VLOOKUP($A275,'The List'!$B1:$AH727,22,FALSE)-AVERAGE('The List'!W2:W727))/STDEV('The List'!W2:W727)</f>
        <v>-2.9837416652251829E-3</v>
      </c>
      <c r="K275" s="39">
        <f>(VLOOKUP($A275,'The List'!$B1:$AH727,23,FALSE)-AVERAGE('The List'!X2:X727))/STDEV('The List'!X2:X727)</f>
        <v>-0.40925876623830504</v>
      </c>
      <c r="L275" s="39">
        <f>(VLOOKUP($A275,'The List'!$B1:$AH727,24,FALSE)-AVERAGE('The List'!Y2:Y727))/STDEV('The List'!Y2:Y727)</f>
        <v>1.658359912351592</v>
      </c>
      <c r="M275" s="39">
        <f>(VLOOKUP($A275,'The List'!$B1:$AH727,25,FALSE)-AVERAGE('The List'!Z2:Z727))/STDEV('The List'!Z2:Z727)</f>
        <v>0.78370798991428314</v>
      </c>
      <c r="N275" s="39">
        <f>(VLOOKUP($A275,'The List'!$B1:$AH727,26,FALSE)-AVERAGE('The List'!AA2:AA727))/STDEV('The List'!AA2:AA727)</f>
        <v>-0.24315221282154006</v>
      </c>
      <c r="O275" s="39">
        <f>(VLOOKUP($A275,'The List'!$B1:$AH727,27,FALSE)-AVERAGE('The List'!AB2:AB727))/STDEV('The List'!AB2:AB727)</f>
        <v>1.2238566594166973</v>
      </c>
      <c r="P275" s="39">
        <f>(VLOOKUP($A275,'The List'!$B1:$AH727,28,FALSE)-AVERAGE('The List'!AC2:AC727))/STDEV('The List'!AC2:AC727)</f>
        <v>-2.0321341775917316</v>
      </c>
      <c r="Q275" s="39">
        <f>(VLOOKUP($A275,'The List'!$B1:$AH727,29,FALSE)-AVERAGE('The List'!AD2:AD727))/STDEV('The List'!AD2:AD727)</f>
        <v>1.5954209715058869</v>
      </c>
      <c r="R275" s="39">
        <f>(VLOOKUP($A275,'The List'!$B1:$AH727,30,FALSE)-AVERAGE('The List'!AE2:AE727))/STDEV('The List'!AE2:AE727)</f>
        <v>0.28285453200955996</v>
      </c>
      <c r="S275" s="39">
        <f>(VLOOKUP($A275,'The List'!$B1:$AH727,31,FALSE)-AVERAGE('The List'!AF2:AF727))/STDEV('The List'!AF2:AF727)</f>
        <v>-0.45269911794429263</v>
      </c>
      <c r="T275" s="39">
        <f>(VLOOKUP($A275,'The List'!$B1:$AH727,32,FALSE)-AVERAGE('The List'!AG2:AG727))/STDEV('The List'!AG2:AG727)</f>
        <v>-0.48032829065934252</v>
      </c>
      <c r="U275" s="39">
        <f>(VLOOKUP($A275,'The List'!$B1:$AH727,33,FALSE)-AVERAGE('The List'!AH2:AH727))/STDEV('The List'!AH2:AH727)</f>
        <v>0.91497968431609555</v>
      </c>
      <c r="V275" s="39"/>
      <c r="W275" s="41"/>
      <c r="X275" s="39"/>
      <c r="Y275" s="39"/>
      <c r="Z275" s="39"/>
      <c r="AA275" s="39"/>
      <c r="AB275" s="39"/>
      <c r="AC275" s="39"/>
      <c r="AD275" s="39"/>
      <c r="AE275" s="39"/>
    </row>
    <row r="276" spans="1:31" ht="21.25" customHeight="1" x14ac:dyDescent="0.15">
      <c r="A276" s="8" t="s">
        <v>368</v>
      </c>
      <c r="B276" s="35" t="str">
        <f>VLOOKUP(A276,'Player Data'!A1:B734,2,FALSE)</f>
        <v>MIN</v>
      </c>
      <c r="C276" s="37">
        <f>((E276)*Settings!$C$12)+(F276*Settings!$C$2)+(G276*Settings!$C$3)+(H276*Settings!$C$4)+(I276*Settings!$C$5)+(K276*Settings!$C$9)+(N276*Settings!$C$6)+(J276*Settings!$C$8)+(O276*Settings!$C$7)+(P276*Settings!$C$14)+(Q276*Settings!$C$15)+(R276*Settings!$C$16)+(S276*Settings!$C$17)+(T276*Settings!$C$18)+(U276*Settings!$C$19)</f>
        <v>-0.74709529866287661</v>
      </c>
      <c r="D276" s="41">
        <f>IF(Settings!$E$12="YES",VLOOKUP(A276,'Player Data'!A1:E734,5,FALSE),82)</f>
        <v>64.63</v>
      </c>
      <c r="E276" s="39">
        <f>(VLOOKUP($A276,'The List'!$B1:$AH727,17,FALSE)-AVERAGE('The List'!R2:R727))/STDEV('The List'!R2:R727)</f>
        <v>-8.4954783039071211E-2</v>
      </c>
      <c r="F276" s="39">
        <f>(VLOOKUP($A276,'The List'!$B1:$AH727,18,FALSE)-AVERAGE('The List'!S2:S727))/STDEV('The List'!S2:S727)</f>
        <v>-0.91837414939865103</v>
      </c>
      <c r="G276" s="39">
        <f>(VLOOKUP($A276,'The List'!$B1:$AH727,19,FALSE)-AVERAGE('The List'!T2:T727))/STDEV('The List'!T2:T727)</f>
        <v>0.23626243289172635</v>
      </c>
      <c r="H276" s="39">
        <f>(VLOOKUP($A276,'The List'!$B1:$AH727,20,FALSE)-AVERAGE('The List'!U2:U727))/STDEV('The List'!U2:U727)</f>
        <v>-0.27233061985021256</v>
      </c>
      <c r="I276" s="39">
        <f>(VLOOKUP($A276,'The List'!$B1:$AH727,21,FALSE)-AVERAGE('The List'!V2:V727))/STDEV('The List'!V2:V727)</f>
        <v>-0.82818753495839759</v>
      </c>
      <c r="J276" s="39">
        <f>(VLOOKUP($A276,'The List'!$B1:$AH727,22,FALSE)-AVERAGE('The List'!W2:W727))/STDEV('The List'!W2:W727)</f>
        <v>-0.58820508798238802</v>
      </c>
      <c r="K276" s="39">
        <f>(VLOOKUP($A276,'The List'!$B1:$AH727,23,FALSE)-AVERAGE('The List'!X2:X727))/STDEV('The List'!X2:X727)</f>
        <v>1.0831856118335736</v>
      </c>
      <c r="L276" s="39">
        <f>(VLOOKUP($A276,'The List'!$B1:$AH727,24,FALSE)-AVERAGE('The List'!Y2:Y727))/STDEV('The List'!Y2:Y727)</f>
        <v>-0.53607270434522591</v>
      </c>
      <c r="M276" s="39">
        <f>(VLOOKUP($A276,'The List'!$B1:$AH727,25,FALSE)-AVERAGE('The List'!Z2:Z727))/STDEV('The List'!Z2:Z727)</f>
        <v>-0.70600586284613021</v>
      </c>
      <c r="N276" s="39">
        <f>(VLOOKUP($A276,'The List'!$B1:$AH727,26,FALSE)-AVERAGE('The List'!AA2:AA727))/STDEV('The List'!AA2:AA727)</f>
        <v>-0.2682680647177616</v>
      </c>
      <c r="O276" s="39">
        <f>(VLOOKUP($A276,'The List'!$B1:$AH727,27,FALSE)-AVERAGE('The List'!AB2:AB727))/STDEV('The List'!AB2:AB727)</f>
        <v>-0.97416353078725548</v>
      </c>
      <c r="P276" s="39">
        <f>(VLOOKUP($A276,'The List'!$B1:$AH727,28,FALSE)-AVERAGE('The List'!AC2:AC727))/STDEV('The List'!AC2:AC727)</f>
        <v>-5.1713594313366536E-2</v>
      </c>
      <c r="Q276" s="39">
        <f>(VLOOKUP($A276,'The List'!$B1:$AH727,29,FALSE)-AVERAGE('The List'!AD2:AD727))/STDEV('The List'!AD2:AD727)</f>
        <v>-0.61078413068693793</v>
      </c>
      <c r="R276" s="39">
        <f>(VLOOKUP($A276,'The List'!$B1:$AH727,30,FALSE)-AVERAGE('The List'!AE2:AE727))/STDEV('The List'!AE2:AE727)</f>
        <v>-0.79818074100723435</v>
      </c>
      <c r="S276" s="39">
        <f>(VLOOKUP($A276,'The List'!$B1:$AH727,31,FALSE)-AVERAGE('The List'!AF2:AF727))/STDEV('The List'!AF2:AF727)</f>
        <v>-0.55804314905918151</v>
      </c>
      <c r="T276" s="39">
        <f>(VLOOKUP($A276,'The List'!$B1:$AH727,32,FALSE)-AVERAGE('The List'!AG2:AG727))/STDEV('The List'!AG2:AG727)</f>
        <v>-0.60188453558131205</v>
      </c>
      <c r="U276" s="39">
        <f>(VLOOKUP($A276,'The List'!$B1:$AH727,33,FALSE)-AVERAGE('The List'!AH2:AH727))/STDEV('The List'!AH2:AH727)</f>
        <v>-1.2395873372913611</v>
      </c>
      <c r="V276" s="39"/>
      <c r="W276" s="43"/>
      <c r="X276" s="41"/>
      <c r="Y276" s="41"/>
      <c r="Z276" s="41"/>
      <c r="AA276" s="41"/>
      <c r="AB276" s="41"/>
      <c r="AC276" s="44"/>
      <c r="AD276" s="45"/>
      <c r="AE276" s="39"/>
    </row>
    <row r="277" spans="1:31" ht="21.25" customHeight="1" x14ac:dyDescent="0.15">
      <c r="A277" s="8" t="s">
        <v>535</v>
      </c>
      <c r="B277" s="35" t="str">
        <f>VLOOKUP(A277,'Player Data'!A1:B734,2,FALSE)</f>
        <v>CGY</v>
      </c>
      <c r="C277" s="37">
        <f>((E277)*Settings!$C$12)+(F277*Settings!$C$2)+(G277*Settings!$C$3)+(H277*Settings!$C$4)+(I277*Settings!$C$5)+(K277*Settings!$C$9)+(N277*Settings!$C$6)+(J277*Settings!$C$8)+(O277*Settings!$C$7)+(P277*Settings!$C$14)+(Q277*Settings!$C$15)+(R277*Settings!$C$16)+(S277*Settings!$C$17)+(T277*Settings!$C$18)+(U277*Settings!$C$19)</f>
        <v>-1.0846872761924018</v>
      </c>
      <c r="D277" s="41">
        <f>IF(Settings!$E$12="YES",VLOOKUP(A277,'Player Data'!A1:E734,5,FALSE),82)</f>
        <v>79.669642857142904</v>
      </c>
      <c r="E277" s="39">
        <f>(VLOOKUP($A277,'The List'!$B1:$AH727,17,FALSE)-AVERAGE('The List'!R2:R727))/STDEV('The List'!R2:R727)</f>
        <v>-0.53925726016219844</v>
      </c>
      <c r="F277" s="39">
        <f>(VLOOKUP($A277,'The List'!$B1:$AH727,18,FALSE)-AVERAGE('The List'!S2:S727))/STDEV('The List'!S2:S727)</f>
        <v>0.39442241778682913</v>
      </c>
      <c r="G277" s="39">
        <f>(VLOOKUP($A277,'The List'!$B1:$AH727,19,FALSE)-AVERAGE('The List'!T2:T727))/STDEV('The List'!T2:T727)</f>
        <v>-0.24386940706304025</v>
      </c>
      <c r="H277" s="39">
        <f>(VLOOKUP($A277,'The List'!$B1:$AH727,20,FALSE)-AVERAGE('The List'!U2:U727))/STDEV('The List'!U2:U727)</f>
        <v>2.9212307446972736E-2</v>
      </c>
      <c r="I277" s="39">
        <f>(VLOOKUP($A277,'The List'!$B1:$AH727,21,FALSE)-AVERAGE('The List'!V2:V727))/STDEV('The List'!V2:V727)</f>
        <v>0.16640117038703162</v>
      </c>
      <c r="J277" s="39">
        <f>(VLOOKUP($A277,'The List'!$B1:$AH727,22,FALSE)-AVERAGE('The List'!W2:W727))/STDEV('The List'!W2:W727)</f>
        <v>-0.68885032212703101</v>
      </c>
      <c r="K277" s="39">
        <f>(VLOOKUP($A277,'The List'!$B1:$AH727,23,FALSE)-AVERAGE('The List'!X2:X727))/STDEV('The List'!X2:X727)</f>
        <v>-0.78385559587205456</v>
      </c>
      <c r="L277" s="39">
        <f>(VLOOKUP($A277,'The List'!$B1:$AH727,24,FALSE)-AVERAGE('The List'!Y2:Y727))/STDEV('The List'!Y2:Y727)</f>
        <v>3.1020650978319781</v>
      </c>
      <c r="M277" s="39">
        <f>(VLOOKUP($A277,'The List'!$B1:$AH727,25,FALSE)-AVERAGE('The List'!Z2:Z727))/STDEV('The List'!Z2:Z727)</f>
        <v>3.1213564615432587</v>
      </c>
      <c r="N277" s="39">
        <f>(VLOOKUP($A277,'The List'!$B1:$AH727,26,FALSE)-AVERAGE('The List'!AA2:AA727))/STDEV('The List'!AA2:AA727)</f>
        <v>-0.49594682944735169</v>
      </c>
      <c r="O277" s="39">
        <f>(VLOOKUP($A277,'The List'!$B1:$AH727,27,FALSE)-AVERAGE('The List'!AB2:AB727))/STDEV('The List'!AB2:AB727)</f>
        <v>-1.2465567920644158</v>
      </c>
      <c r="P277" s="39">
        <f>(VLOOKUP($A277,'The List'!$B1:$AH727,28,FALSE)-AVERAGE('The List'!AC2:AC727))/STDEV('The List'!AC2:AC727)</f>
        <v>-0.12183903198381607</v>
      </c>
      <c r="Q277" s="39">
        <f>(VLOOKUP($A277,'The List'!$B1:$AH727,29,FALSE)-AVERAGE('The List'!AD2:AD727))/STDEV('The List'!AD2:AD727)</f>
        <v>-1.0955205319307411</v>
      </c>
      <c r="R277" s="39">
        <f>(VLOOKUP($A277,'The List'!$B1:$AH727,30,FALSE)-AVERAGE('The List'!AE2:AE727))/STDEV('The List'!AE2:AE727)</f>
        <v>0.65075626342129012</v>
      </c>
      <c r="S277" s="39">
        <f>(VLOOKUP($A277,'The List'!$B1:$AH727,31,FALSE)-AVERAGE('The List'!AF2:AF727))/STDEV('The List'!AF2:AF727)</f>
        <v>-0.37191246463898736</v>
      </c>
      <c r="T277" s="39">
        <f>(VLOOKUP($A277,'The List'!$B1:$AH727,32,FALSE)-AVERAGE('The List'!AG2:AG727))/STDEV('The List'!AG2:AG727)</f>
        <v>-0.23716544634041326</v>
      </c>
      <c r="U277" s="39">
        <f>(VLOOKUP($A277,'The List'!$B1:$AH727,33,FALSE)-AVERAGE('The List'!AH2:AH727))/STDEV('The List'!AH2:AH727)</f>
        <v>0.33862172336732504</v>
      </c>
      <c r="V277" s="39"/>
      <c r="W277" s="43"/>
      <c r="X277" s="41"/>
      <c r="Y277" s="41"/>
      <c r="Z277" s="41"/>
      <c r="AA277" s="41"/>
      <c r="AB277" s="41"/>
      <c r="AC277" s="44"/>
      <c r="AD277" s="45"/>
      <c r="AE277" s="39"/>
    </row>
    <row r="278" spans="1:31" ht="21.25" customHeight="1" x14ac:dyDescent="0.15">
      <c r="A278" s="8" t="s">
        <v>458</v>
      </c>
      <c r="B278" s="35" t="str">
        <f>VLOOKUP(A278,'Player Data'!A1:B734,2,FALSE)</f>
        <v>NYI</v>
      </c>
      <c r="C278" s="37">
        <f>((E278)*Settings!$C$12)+(F278*Settings!$C$2)+(G278*Settings!$C$3)+(H278*Settings!$C$4)+(I278*Settings!$C$5)+(K278*Settings!$C$9)+(N278*Settings!$C$6)+(J278*Settings!$C$8)+(O278*Settings!$C$7)+(P278*Settings!$C$14)+(Q278*Settings!$C$15)+(R278*Settings!$C$16)+(S278*Settings!$C$17)+(T278*Settings!$C$18)+(U278*Settings!$C$19)</f>
        <v>-0.95894313556776867</v>
      </c>
      <c r="D278" s="41">
        <f>IF(Settings!$E$12="YES",VLOOKUP(A278,'Player Data'!A1:E734,5,FALSE),82)</f>
        <v>78.364999999999995</v>
      </c>
      <c r="E278" s="39">
        <f>(VLOOKUP($A278,'The List'!$B1:$AH727,17,FALSE)-AVERAGE('The List'!R2:R727))/STDEV('The List'!R2:R727)</f>
        <v>-0.47177425818373531</v>
      </c>
      <c r="F278" s="39">
        <f>(VLOOKUP($A278,'The List'!$B1:$AH727,18,FALSE)-AVERAGE('The List'!S2:S727))/STDEV('The List'!S2:S727)</f>
        <v>0.42173445474552129</v>
      </c>
      <c r="G278" s="39">
        <f>(VLOOKUP($A278,'The List'!$B1:$AH727,19,FALSE)-AVERAGE('The List'!T2:T727))/STDEV('The List'!T2:T727)</f>
        <v>-0.32616709047300868</v>
      </c>
      <c r="H278" s="39">
        <f>(VLOOKUP($A278,'The List'!$B1:$AH727,20,FALSE)-AVERAGE('The List'!U2:U727))/STDEV('The List'!U2:U727)</f>
        <v>-9.0715969574541901E-3</v>
      </c>
      <c r="I278" s="39">
        <f>(VLOOKUP($A278,'The List'!$B1:$AH727,21,FALSE)-AVERAGE('The List'!V2:V727))/STDEV('The List'!V2:V727)</f>
        <v>0.3125410144165135</v>
      </c>
      <c r="J278" s="39">
        <f>(VLOOKUP($A278,'The List'!$B1:$AH727,22,FALSE)-AVERAGE('The List'!W2:W727))/STDEV('The List'!W2:W727)</f>
        <v>-0.46727415134910427</v>
      </c>
      <c r="K278" s="39">
        <f>(VLOOKUP($A278,'The List'!$B1:$AH727,23,FALSE)-AVERAGE('The List'!X2:X727))/STDEV('The List'!X2:X727)</f>
        <v>-0.53449536940745734</v>
      </c>
      <c r="L278" s="39">
        <f>(VLOOKUP($A278,'The List'!$B1:$AH727,24,FALSE)-AVERAGE('The List'!Y2:Y727))/STDEV('The List'!Y2:Y727)</f>
        <v>0.18780541599169359</v>
      </c>
      <c r="M278" s="39">
        <f>(VLOOKUP($A278,'The List'!$B1:$AH727,25,FALSE)-AVERAGE('The List'!Z2:Z727))/STDEV('The List'!Z2:Z727)</f>
        <v>-2.0907793193022904E-2</v>
      </c>
      <c r="N278" s="39">
        <f>(VLOOKUP($A278,'The List'!$B1:$AH727,26,FALSE)-AVERAGE('The List'!AA2:AA727))/STDEV('The List'!AA2:AA727)</f>
        <v>-1.1933689729641193</v>
      </c>
      <c r="O278" s="39">
        <f>(VLOOKUP($A278,'The List'!$B1:$AH727,27,FALSE)-AVERAGE('The List'!AB2:AB727))/STDEV('The List'!AB2:AB727)</f>
        <v>-0.60935606569458511</v>
      </c>
      <c r="P278" s="39">
        <f>(VLOOKUP($A278,'The List'!$B1:$AH727,28,FALSE)-AVERAGE('The List'!AC2:AC727))/STDEV('The List'!AC2:AC727)</f>
        <v>0.36081282811478183</v>
      </c>
      <c r="Q278" s="39">
        <f>(VLOOKUP($A278,'The List'!$B1:$AH727,29,FALSE)-AVERAGE('The List'!AD2:AD727))/STDEV('The List'!AD2:AD727)</f>
        <v>-0.15836500966407036</v>
      </c>
      <c r="R278" s="39">
        <f>(VLOOKUP($A278,'The List'!$B1:$AH727,30,FALSE)-AVERAGE('The List'!AE2:AE727))/STDEV('The List'!AE2:AE727)</f>
        <v>0.53961850409806855</v>
      </c>
      <c r="S278" s="39">
        <f>(VLOOKUP($A278,'The List'!$B1:$AH727,31,FALSE)-AVERAGE('The List'!AF2:AF727))/STDEV('The List'!AF2:AF727)</f>
        <v>-0.30926301163468367</v>
      </c>
      <c r="T278" s="39">
        <f>(VLOOKUP($A278,'The List'!$B1:$AH727,32,FALSE)-AVERAGE('The List'!AG2:AG727))/STDEV('The List'!AG2:AG727)</f>
        <v>-0.3028969753160527</v>
      </c>
      <c r="U278" s="39">
        <f>(VLOOKUP($A278,'The List'!$B1:$AH727,33,FALSE)-AVERAGE('The List'!AH2:AH727))/STDEV('The List'!AH2:AH727)</f>
        <v>0.86917264771111602</v>
      </c>
      <c r="V278" s="39"/>
      <c r="W278" s="41"/>
      <c r="X278" s="39"/>
      <c r="Y278" s="39"/>
      <c r="Z278" s="39"/>
      <c r="AA278" s="39"/>
      <c r="AB278" s="39"/>
      <c r="AC278" s="39"/>
      <c r="AD278" s="39"/>
      <c r="AE278" s="39"/>
    </row>
    <row r="279" spans="1:31" ht="21.25" customHeight="1" x14ac:dyDescent="0.15">
      <c r="A279" s="8" t="s">
        <v>269</v>
      </c>
      <c r="B279" s="35" t="str">
        <f>VLOOKUP(A279,'Player Data'!A1:B734,2,FALSE)</f>
        <v>EDM</v>
      </c>
      <c r="C279" s="37">
        <f>((E279)*Settings!$C$12)+(F279*Settings!$C$2)+(G279*Settings!$C$3)+(H279*Settings!$C$4)+(I279*Settings!$C$5)+(K279*Settings!$C$9)+(N279*Settings!$C$6)+(J279*Settings!$C$8)+(O279*Settings!$C$7)+(P279*Settings!$C$14)+(Q279*Settings!$C$15)+(R279*Settings!$C$16)+(S279*Settings!$C$17)+(T279*Settings!$C$18)+(U279*Settings!$C$19)</f>
        <v>4.0320627179417423</v>
      </c>
      <c r="D279" s="41">
        <f>IF(Settings!$E$12="YES",VLOOKUP(A279,'Player Data'!A1:E734,5,FALSE),82)</f>
        <v>80.517499999999998</v>
      </c>
      <c r="E279" s="39">
        <f>(VLOOKUP($A279,'The List'!$B1:$AH727,17,FALSE)-AVERAGE('The List'!R2:R727))/STDEV('The List'!R2:R727)</f>
        <v>1.437317277997477</v>
      </c>
      <c r="F279" s="39">
        <f>(VLOOKUP($A279,'The List'!$B1:$AH727,18,FALSE)-AVERAGE('The List'!S2:S727))/STDEV('The List'!S2:S727)</f>
        <v>-0.19220889486502218</v>
      </c>
      <c r="G279" s="39">
        <f>(VLOOKUP($A279,'The List'!$B1:$AH727,19,FALSE)-AVERAGE('The List'!T2:T727))/STDEV('The List'!T2:T727)</f>
        <v>0.19654891901385108</v>
      </c>
      <c r="H279" s="39">
        <f>(VLOOKUP($A279,'The List'!$B1:$AH727,20,FALSE)-AVERAGE('The List'!U2:U727))/STDEV('The List'!U2:U727)</f>
        <v>3.3648178808619811E-2</v>
      </c>
      <c r="I279" s="39">
        <f>(VLOOKUP($A279,'The List'!$B1:$AH727,21,FALSE)-AVERAGE('The List'!V2:V727))/STDEV('The List'!V2:V727)</f>
        <v>0.83784127035120493</v>
      </c>
      <c r="J279" s="39">
        <f>(VLOOKUP($A279,'The List'!$B1:$AH727,22,FALSE)-AVERAGE('The List'!W2:W727))/STDEV('The List'!W2:W727)</f>
        <v>-0.64258226593338164</v>
      </c>
      <c r="K279" s="39">
        <f>(VLOOKUP($A279,'The List'!$B1:$AH727,23,FALSE)-AVERAGE('The List'!X2:X727))/STDEV('The List'!X2:X727)</f>
        <v>-0.47964702018919381</v>
      </c>
      <c r="L279" s="39">
        <f>(VLOOKUP($A279,'The List'!$B1:$AH727,24,FALSE)-AVERAGE('The List'!Y2:Y727))/STDEV('The List'!Y2:Y727)</f>
        <v>2.0502004779783558</v>
      </c>
      <c r="M279" s="39">
        <f>(VLOOKUP($A279,'The List'!$B1:$AH727,25,FALSE)-AVERAGE('The List'!Z2:Z727))/STDEV('The List'!Z2:Z727)</f>
        <v>1.2817610571184537</v>
      </c>
      <c r="N279" s="39">
        <f>(VLOOKUP($A279,'The List'!$B1:$AH727,26,FALSE)-AVERAGE('The List'!AA2:AA727))/STDEV('The List'!AA2:AA727)</f>
        <v>2.2018562609467116</v>
      </c>
      <c r="O279" s="39">
        <f>(VLOOKUP($A279,'The List'!$B1:$AH727,27,FALSE)-AVERAGE('The List'!AB2:AB727))/STDEV('The List'!AB2:AB727)</f>
        <v>1.1875116302867754</v>
      </c>
      <c r="P279" s="39">
        <f>(VLOOKUP($A279,'The List'!$B1:$AH727,28,FALSE)-AVERAGE('The List'!AC2:AC727))/STDEV('The List'!AC2:AC727)</f>
        <v>1.4676721826841908</v>
      </c>
      <c r="Q279" s="39">
        <f>(VLOOKUP($A279,'The List'!$B1:$AH727,29,FALSE)-AVERAGE('The List'!AD2:AD727))/STDEV('The List'!AD2:AD727)</f>
        <v>1.6923083882928511</v>
      </c>
      <c r="R279" s="39">
        <f>(VLOOKUP($A279,'The List'!$B1:$AH727,30,FALSE)-AVERAGE('The List'!AE2:AE727))/STDEV('The List'!AE2:AE727)</f>
        <v>-5.2958409094242792E-2</v>
      </c>
      <c r="S279" s="39">
        <f>(VLOOKUP($A279,'The List'!$B1:$AH727,31,FALSE)-AVERAGE('The List'!AF2:AF727))/STDEV('The List'!AF2:AF727)</f>
        <v>-0.55804314905918151</v>
      </c>
      <c r="T279" s="39">
        <f>(VLOOKUP($A279,'The List'!$B1:$AH727,32,FALSE)-AVERAGE('The List'!AG2:AG727))/STDEV('The List'!AG2:AG727)</f>
        <v>-0.60188453558131205</v>
      </c>
      <c r="U279" s="39">
        <f>(VLOOKUP($A279,'The List'!$B1:$AH727,33,FALSE)-AVERAGE('The List'!AH2:AH727))/STDEV('The List'!AH2:AH727)</f>
        <v>-1.2395873372913611</v>
      </c>
      <c r="V279" s="39"/>
      <c r="W279" s="43"/>
      <c r="X279" s="41"/>
      <c r="Y279" s="41"/>
      <c r="Z279" s="41"/>
      <c r="AA279" s="41"/>
      <c r="AB279" s="41"/>
      <c r="AC279" s="44"/>
      <c r="AD279" s="45"/>
      <c r="AE279" s="39"/>
    </row>
    <row r="280" spans="1:31" ht="21.25" customHeight="1" x14ac:dyDescent="0.15">
      <c r="A280" s="8" t="s">
        <v>573</v>
      </c>
      <c r="B280" s="35" t="str">
        <f>VLOOKUP(A280,'Player Data'!A1:B734,2,FALSE)</f>
        <v>COL</v>
      </c>
      <c r="C280" s="37">
        <f>((E280)*Settings!$C$12)+(F280*Settings!$C$2)+(G280*Settings!$C$3)+(H280*Settings!$C$4)+(I280*Settings!$C$5)+(K280*Settings!$C$9)+(N280*Settings!$C$6)+(J280*Settings!$C$8)+(O280*Settings!$C$7)+(P280*Settings!$C$14)+(Q280*Settings!$C$15)+(R280*Settings!$C$16)+(S280*Settings!$C$17)+(T280*Settings!$C$18)+(U280*Settings!$C$19)</f>
        <v>-1.6983282717970676</v>
      </c>
      <c r="D280" s="41">
        <f>IF(Settings!$E$12="YES",VLOOKUP(A280,'Player Data'!A1:E734,5,FALSE),82)</f>
        <v>69.412857142857106</v>
      </c>
      <c r="E280" s="39">
        <f>(VLOOKUP($A280,'The List'!$B1:$AH727,17,FALSE)-AVERAGE('The List'!R2:R727))/STDEV('The List'!R2:R727)</f>
        <v>-0.6192316250669343</v>
      </c>
      <c r="F280" s="39">
        <f>(VLOOKUP($A280,'The List'!$B1:$AH727,18,FALSE)-AVERAGE('The List'!S2:S727))/STDEV('The List'!S2:S727)</f>
        <v>-0.69370596967566533</v>
      </c>
      <c r="G280" s="39">
        <f>(VLOOKUP($A280,'The List'!$B1:$AH727,19,FALSE)-AVERAGE('The List'!T2:T727))/STDEV('The List'!T2:T727)</f>
        <v>0.18147709182308716</v>
      </c>
      <c r="H280" s="39">
        <f>(VLOOKUP($A280,'The List'!$B1:$AH727,20,FALSE)-AVERAGE('The List'!U2:U727))/STDEV('The List'!U2:U727)</f>
        <v>-0.20385177078586825</v>
      </c>
      <c r="I280" s="39">
        <f>(VLOOKUP($A280,'The List'!$B1:$AH727,21,FALSE)-AVERAGE('The List'!V2:V727))/STDEV('The List'!V2:V727)</f>
        <v>-0.66561201070358034</v>
      </c>
      <c r="J280" s="39">
        <f>(VLOOKUP($A280,'The List'!$B1:$AH727,22,FALSE)-AVERAGE('The List'!W2:W727))/STDEV('The List'!W2:W727)</f>
        <v>-0.58550670120642756</v>
      </c>
      <c r="K280" s="39">
        <f>(VLOOKUP($A280,'The List'!$B1:$AH727,23,FALSE)-AVERAGE('The List'!X2:X727))/STDEV('The List'!X2:X727)</f>
        <v>-0.2127979397458217</v>
      </c>
      <c r="L280" s="39">
        <f>(VLOOKUP($A280,'The List'!$B1:$AH727,24,FALSE)-AVERAGE('The List'!Y2:Y727))/STDEV('The List'!Y2:Y727)</f>
        <v>-0.53476214592997517</v>
      </c>
      <c r="M280" s="39">
        <f>(VLOOKUP($A280,'The List'!$B1:$AH727,25,FALSE)-AVERAGE('The List'!Z2:Z727))/STDEV('The List'!Z2:Z727)</f>
        <v>-0.71294241223146793</v>
      </c>
      <c r="N280" s="39">
        <f>(VLOOKUP($A280,'The List'!$B1:$AH727,26,FALSE)-AVERAGE('The List'!AA2:AA727))/STDEV('The List'!AA2:AA727)</f>
        <v>-0.8513739220807951</v>
      </c>
      <c r="O280" s="39">
        <f>(VLOOKUP($A280,'The List'!$B1:$AH727,27,FALSE)-AVERAGE('The List'!AB2:AB727))/STDEV('The List'!AB2:AB727)</f>
        <v>-0.96850126372324341</v>
      </c>
      <c r="P280" s="39">
        <f>(VLOOKUP($A280,'The List'!$B1:$AH727,28,FALSE)-AVERAGE('The List'!AC2:AC727))/STDEV('The List'!AC2:AC727)</f>
        <v>0.5436844785857079</v>
      </c>
      <c r="Q280" s="39">
        <f>(VLOOKUP($A280,'The List'!$B1:$AH727,29,FALSE)-AVERAGE('The List'!AD2:AD727))/STDEV('The List'!AD2:AD727)</f>
        <v>-0.56527437320282781</v>
      </c>
      <c r="R280" s="39">
        <f>(VLOOKUP($A280,'The List'!$B1:$AH727,30,FALSE)-AVERAGE('The List'!AE2:AE727))/STDEV('The List'!AE2:AE727)</f>
        <v>-0.57178302595424024</v>
      </c>
      <c r="S280" s="39">
        <f>(VLOOKUP($A280,'The List'!$B1:$AH727,31,FALSE)-AVERAGE('The List'!AF2:AF727))/STDEV('The List'!AF2:AF727)</f>
        <v>0.22928003035946676</v>
      </c>
      <c r="T280" s="39">
        <f>(VLOOKUP($A280,'The List'!$B1:$AH727,32,FALSE)-AVERAGE('The List'!AG2:AG727))/STDEV('The List'!AG2:AG727)</f>
        <v>0.38097256052660455</v>
      </c>
      <c r="U280" s="39">
        <f>(VLOOKUP($A280,'The List'!$B1:$AH727,33,FALSE)-AVERAGE('The List'!AH2:AH727))/STDEV('The List'!AH2:AH727)</f>
        <v>0.82651000867057822</v>
      </c>
      <c r="V280" s="39"/>
      <c r="W280" s="41"/>
      <c r="X280" s="39"/>
      <c r="Y280" s="39"/>
      <c r="Z280" s="39"/>
      <c r="AA280" s="39"/>
      <c r="AB280" s="39"/>
      <c r="AC280" s="39"/>
      <c r="AD280" s="39"/>
      <c r="AE280" s="39"/>
    </row>
    <row r="281" spans="1:31" ht="21.25" customHeight="1" x14ac:dyDescent="0.15">
      <c r="A281" s="8" t="s">
        <v>423</v>
      </c>
      <c r="B281" s="35" t="str">
        <f>VLOOKUP(A281,'Player Data'!A1:B734,2,FALSE)</f>
        <v>BOS</v>
      </c>
      <c r="C281" s="37">
        <f>((E281)*Settings!$C$12)+(F281*Settings!$C$2)+(G281*Settings!$C$3)+(H281*Settings!$C$4)+(I281*Settings!$C$5)+(K281*Settings!$C$9)+(N281*Settings!$C$6)+(J281*Settings!$C$8)+(O281*Settings!$C$7)+(P281*Settings!$C$14)+(Q281*Settings!$C$15)+(R281*Settings!$C$16)+(S281*Settings!$C$17)+(T281*Settings!$C$18)+(U281*Settings!$C$19)</f>
        <v>0.40798455245546883</v>
      </c>
      <c r="D281" s="41">
        <f>IF(Settings!$E$12="YES",VLOOKUP(A281,'Player Data'!A1:E734,5,FALSE),82)</f>
        <v>78.302499999999995</v>
      </c>
      <c r="E281" s="39">
        <f>(VLOOKUP($A281,'The List'!$B1:$AH727,17,FALSE)-AVERAGE('The List'!R2:R727))/STDEV('The List'!R2:R727)</f>
        <v>-0.31231887475036918</v>
      </c>
      <c r="F281" s="39">
        <f>(VLOOKUP($A281,'The List'!$B1:$AH727,18,FALSE)-AVERAGE('The List'!S2:S727))/STDEV('The List'!S2:S727)</f>
        <v>0.33554339429883384</v>
      </c>
      <c r="G281" s="39">
        <f>(VLOOKUP($A281,'The List'!$B1:$AH727,19,FALSE)-AVERAGE('The List'!T2:T727))/STDEV('The List'!T2:T727)</f>
        <v>-0.29749166871249771</v>
      </c>
      <c r="H281" s="39">
        <f>(VLOOKUP($A281,'The List'!$B1:$AH727,20,FALSE)-AVERAGE('The List'!U2:U727))/STDEV('The List'!U2:U727)</f>
        <v>-3.0623864053266427E-2</v>
      </c>
      <c r="I281" s="39">
        <f>(VLOOKUP($A281,'The List'!$B1:$AH727,21,FALSE)-AVERAGE('The List'!V2:V727))/STDEV('The List'!V2:V727)</f>
        <v>0.43254410580396946</v>
      </c>
      <c r="J281" s="39">
        <f>(VLOOKUP($A281,'The List'!$B1:$AH727,22,FALSE)-AVERAGE('The List'!W2:W727))/STDEV('The List'!W2:W727)</f>
        <v>0.61203782262778295</v>
      </c>
      <c r="K281" s="39">
        <f>(VLOOKUP($A281,'The List'!$B1:$AH727,23,FALSE)-AVERAGE('The List'!X2:X727))/STDEV('The List'!X2:X727)</f>
        <v>-8.2166621693846267E-2</v>
      </c>
      <c r="L281" s="39">
        <f>(VLOOKUP($A281,'The List'!$B1:$AH727,24,FALSE)-AVERAGE('The List'!Y2:Y727))/STDEV('The List'!Y2:Y727)</f>
        <v>-0.53982537320309509</v>
      </c>
      <c r="M281" s="39">
        <f>(VLOOKUP($A281,'The List'!$B1:$AH727,25,FALSE)-AVERAGE('The List'!Z2:Z727))/STDEV('The List'!Z2:Z727)</f>
        <v>-0.71898383947706368</v>
      </c>
      <c r="N281" s="39">
        <f>(VLOOKUP($A281,'The List'!$B1:$AH727,26,FALSE)-AVERAGE('The List'!AA2:AA727))/STDEV('The List'!AA2:AA727)</f>
        <v>-0.84210743070914906</v>
      </c>
      <c r="O281" s="39">
        <f>(VLOOKUP($A281,'The List'!$B1:$AH727,27,FALSE)-AVERAGE('The List'!AB2:AB727))/STDEV('The List'!AB2:AB727)</f>
        <v>-1.1745210233140493</v>
      </c>
      <c r="P281" s="39">
        <f>(VLOOKUP($A281,'The List'!$B1:$AH727,28,FALSE)-AVERAGE('The List'!AC2:AC727))/STDEV('The List'!AC2:AC727)</f>
        <v>0.86166277346815856</v>
      </c>
      <c r="Q281" s="39">
        <f>(VLOOKUP($A281,'The List'!$B1:$AH727,29,FALSE)-AVERAGE('The List'!AD2:AD727))/STDEV('The List'!AD2:AD727)</f>
        <v>-0.26686870320726641</v>
      </c>
      <c r="R281" s="39">
        <f>(VLOOKUP($A281,'The List'!$B1:$AH727,30,FALSE)-AVERAGE('The List'!AE2:AE727))/STDEV('The List'!AE2:AE727)</f>
        <v>0.59481372545172073</v>
      </c>
      <c r="S281" s="39">
        <f>(VLOOKUP($A281,'The List'!$B1:$AH727,31,FALSE)-AVERAGE('The List'!AF2:AF727))/STDEV('The List'!AF2:AF727)</f>
        <v>-0.51367179461698442</v>
      </c>
      <c r="T281" s="39">
        <f>(VLOOKUP($A281,'The List'!$B1:$AH727,32,FALSE)-AVERAGE('The List'!AG2:AG727))/STDEV('The List'!AG2:AG727)</f>
        <v>-0.54808672497041255</v>
      </c>
      <c r="U281" s="39">
        <f>(VLOOKUP($A281,'The List'!$B1:$AH727,33,FALSE)-AVERAGE('The List'!AH2:AH727))/STDEV('The List'!AH2:AH727)</f>
        <v>0.85927320371041338</v>
      </c>
      <c r="V281" s="39"/>
      <c r="W281" s="43"/>
      <c r="X281" s="41"/>
      <c r="Y281" s="41"/>
      <c r="Z281" s="41"/>
      <c r="AA281" s="41"/>
      <c r="AB281" s="41"/>
      <c r="AC281" s="44"/>
      <c r="AD281" s="45"/>
      <c r="AE281" s="39"/>
    </row>
    <row r="282" spans="1:31" ht="21.25" customHeight="1" x14ac:dyDescent="0.15">
      <c r="A282" s="8" t="s">
        <v>599</v>
      </c>
      <c r="B282" s="35" t="str">
        <f>VLOOKUP(A282,'Player Data'!A1:B734,2,FALSE)</f>
        <v>CHI</v>
      </c>
      <c r="C282" s="37">
        <f>((E282)*Settings!$C$12)+(F282*Settings!$C$2)+(G282*Settings!$C$3)+(H282*Settings!$C$4)+(I282*Settings!$C$5)+(K282*Settings!$C$9)+(N282*Settings!$C$6)+(J282*Settings!$C$8)+(O282*Settings!$C$7)+(P282*Settings!$C$14)+(Q282*Settings!$C$15)+(R282*Settings!$C$16)+(S282*Settings!$C$17)+(T282*Settings!$C$18)+(U282*Settings!$C$19)</f>
        <v>-2.6568676287892661</v>
      </c>
      <c r="D282" s="41">
        <f>IF(Settings!$E$12="YES",VLOOKUP(A282,'Player Data'!A1:E734,5,FALSE),82)</f>
        <v>73.375</v>
      </c>
      <c r="E282" s="39">
        <f>(VLOOKUP($A282,'The List'!$B1:$AH727,17,FALSE)-AVERAGE('The List'!R2:R727))/STDEV('The List'!R2:R727)</f>
        <v>-0.60063589151434849</v>
      </c>
      <c r="F282" s="39">
        <f>(VLOOKUP($A282,'The List'!$B1:$AH727,18,FALSE)-AVERAGE('The List'!S2:S727))/STDEV('The List'!S2:S727)</f>
        <v>0.3342204588456259</v>
      </c>
      <c r="G282" s="39">
        <f>(VLOOKUP($A282,'The List'!$B1:$AH727,19,FALSE)-AVERAGE('The List'!T2:T727))/STDEV('The List'!T2:T727)</f>
        <v>-0.45807113254570031</v>
      </c>
      <c r="H282" s="39">
        <f>(VLOOKUP($A282,'The List'!$B1:$AH727,20,FALSE)-AVERAGE('The List'!U2:U727))/STDEV('The List'!U2:U727)</f>
        <v>-0.13017642668724133</v>
      </c>
      <c r="I282" s="39">
        <f>(VLOOKUP($A282,'The List'!$B1:$AH727,21,FALSE)-AVERAGE('The List'!V2:V727))/STDEV('The List'!V2:V727)</f>
        <v>-6.4190013392875334E-2</v>
      </c>
      <c r="J282" s="39">
        <f>(VLOOKUP($A282,'The List'!$B1:$AH727,22,FALSE)-AVERAGE('The List'!W2:W727))/STDEV('The List'!W2:W727)</f>
        <v>-0.58149588969807531</v>
      </c>
      <c r="K282" s="39">
        <f>(VLOOKUP($A282,'The List'!$B1:$AH727,23,FALSE)-AVERAGE('The List'!X2:X727))/STDEV('The List'!X2:X727)</f>
        <v>-0.67407272056200185</v>
      </c>
      <c r="L282" s="39">
        <f>(VLOOKUP($A282,'The List'!$B1:$AH727,24,FALSE)-AVERAGE('The List'!Y2:Y727))/STDEV('The List'!Y2:Y727)</f>
        <v>-7.9748431660630587E-2</v>
      </c>
      <c r="M282" s="39">
        <f>(VLOOKUP($A282,'The List'!$B1:$AH727,25,FALSE)-AVERAGE('The List'!Z2:Z727))/STDEV('The List'!Z2:Z727)</f>
        <v>-0.20079150774309656</v>
      </c>
      <c r="N282" s="39">
        <f>(VLOOKUP($A282,'The List'!$B1:$AH727,26,FALSE)-AVERAGE('The List'!AA2:AA727))/STDEV('The List'!AA2:AA727)</f>
        <v>-0.50333854953486468</v>
      </c>
      <c r="O282" s="39">
        <f>(VLOOKUP($A282,'The List'!$B1:$AH727,27,FALSE)-AVERAGE('The List'!AB2:AB727))/STDEV('The List'!AB2:AB727)</f>
        <v>-0.77800499792729771</v>
      </c>
      <c r="P282" s="39">
        <f>(VLOOKUP($A282,'The List'!$B1:$AH727,28,FALSE)-AVERAGE('The List'!AC2:AC727))/STDEV('The List'!AC2:AC727)</f>
        <v>-1.2914156715994498</v>
      </c>
      <c r="Q282" s="39">
        <f>(VLOOKUP($A282,'The List'!$B1:$AH727,29,FALSE)-AVERAGE('The List'!AD2:AD727))/STDEV('The List'!AD2:AD727)</f>
        <v>-0.64436727647466707</v>
      </c>
      <c r="R282" s="39">
        <f>(VLOOKUP($A282,'The List'!$B1:$AH727,30,FALSE)-AVERAGE('The List'!AE2:AE727))/STDEV('The List'!AE2:AE727)</f>
        <v>5.4141633498702678E-2</v>
      </c>
      <c r="S282" s="39">
        <f>(VLOOKUP($A282,'The List'!$B1:$AH727,31,FALSE)-AVERAGE('The List'!AF2:AF727))/STDEV('The List'!AF2:AF727)</f>
        <v>1.662105258097478</v>
      </c>
      <c r="T282" s="39">
        <f>(VLOOKUP($A282,'The List'!$B1:$AH727,32,FALSE)-AVERAGE('The List'!AG2:AG727))/STDEV('The List'!AG2:AG727)</f>
        <v>1.5478835008493708</v>
      </c>
      <c r="U282" s="39">
        <f>(VLOOKUP($A282,'The List'!$B1:$AH727,33,FALSE)-AVERAGE('The List'!AH2:AH727))/STDEV('The List'!AH2:AH727)</f>
        <v>1.1129150003923631</v>
      </c>
      <c r="V282" s="39"/>
      <c r="W282" s="41"/>
      <c r="X282" s="39"/>
      <c r="Y282" s="39"/>
      <c r="Z282" s="39"/>
      <c r="AA282" s="39"/>
      <c r="AB282" s="39"/>
      <c r="AC282" s="39"/>
      <c r="AD282" s="39"/>
      <c r="AE282" s="39"/>
    </row>
    <row r="283" spans="1:31" ht="21.25" customHeight="1" x14ac:dyDescent="0.15">
      <c r="A283" s="8" t="s">
        <v>415</v>
      </c>
      <c r="B283" s="35" t="str">
        <f>VLOOKUP(A283,'Player Data'!A1:B734,2,FALSE)</f>
        <v>SEA</v>
      </c>
      <c r="C283" s="37">
        <f>((E283)*Settings!$C$12)+(F283*Settings!$C$2)+(G283*Settings!$C$3)+(H283*Settings!$C$4)+(I283*Settings!$C$5)+(K283*Settings!$C$9)+(N283*Settings!$C$6)+(J283*Settings!$C$8)+(O283*Settings!$C$7)+(P283*Settings!$C$14)+(Q283*Settings!$C$15)+(R283*Settings!$C$16)+(S283*Settings!$C$17)+(T283*Settings!$C$18)+(U283*Settings!$C$19)</f>
        <v>-0.16591051026952713</v>
      </c>
      <c r="D283" s="41">
        <f>IF(Settings!$E$12="YES",VLOOKUP(A283,'Player Data'!A1:E734,5,FALSE),82)</f>
        <v>73</v>
      </c>
      <c r="E283" s="39">
        <f>(VLOOKUP($A283,'The List'!$B1:$AH727,17,FALSE)-AVERAGE('The List'!R2:R727))/STDEV('The List'!R2:R727)</f>
        <v>-0.62287516777632213</v>
      </c>
      <c r="F283" s="39">
        <f>(VLOOKUP($A283,'The List'!$B1:$AH727,18,FALSE)-AVERAGE('The List'!S2:S727))/STDEV('The List'!S2:S727)</f>
        <v>0.36453300904762526</v>
      </c>
      <c r="G283" s="39">
        <f>(VLOOKUP($A283,'The List'!$B1:$AH727,19,FALSE)-AVERAGE('The List'!T2:T727))/STDEV('The List'!T2:T727)</f>
        <v>-0.49281439661071091</v>
      </c>
      <c r="H283" s="39">
        <f>(VLOOKUP($A283,'The List'!$B1:$AH727,20,FALSE)-AVERAGE('The List'!U2:U727))/STDEV('The List'!U2:U727)</f>
        <v>-0.13779143872670466</v>
      </c>
      <c r="I283" s="39">
        <f>(VLOOKUP($A283,'The List'!$B1:$AH727,21,FALSE)-AVERAGE('The List'!V2:V727))/STDEV('The List'!V2:V727)</f>
        <v>3.6548930653828263E-2</v>
      </c>
      <c r="J283" s="39">
        <f>(VLOOKUP($A283,'The List'!$B1:$AH727,22,FALSE)-AVERAGE('The List'!W2:W727))/STDEV('The List'!W2:W727)</f>
        <v>0.31403093747068367</v>
      </c>
      <c r="K283" s="39">
        <f>(VLOOKUP($A283,'The List'!$B1:$AH727,23,FALSE)-AVERAGE('The List'!X2:X727))/STDEV('The List'!X2:X727)</f>
        <v>9.1763069137529393E-2</v>
      </c>
      <c r="L283" s="39">
        <f>(VLOOKUP($A283,'The List'!$B1:$AH727,24,FALSE)-AVERAGE('The List'!Y2:Y727))/STDEV('The List'!Y2:Y727)</f>
        <v>-0.44900317211882051</v>
      </c>
      <c r="M283" s="39">
        <f>(VLOOKUP($A283,'The List'!$B1:$AH727,25,FALSE)-AVERAGE('The List'!Z2:Z727))/STDEV('The List'!Z2:Z727)</f>
        <v>-0.61662365907643535</v>
      </c>
      <c r="N283" s="39">
        <f>(VLOOKUP($A283,'The List'!$B1:$AH727,26,FALSE)-AVERAGE('The List'!AA2:AA727))/STDEV('The List'!AA2:AA727)</f>
        <v>-0.20101336776509857</v>
      </c>
      <c r="O283" s="39">
        <f>(VLOOKUP($A283,'The List'!$B1:$AH727,27,FALSE)-AVERAGE('The List'!AB2:AB727))/STDEV('The List'!AB2:AB727)</f>
        <v>0.78075712661816599</v>
      </c>
      <c r="P283" s="39">
        <f>(VLOOKUP($A283,'The List'!$B1:$AH727,28,FALSE)-AVERAGE('The List'!AC2:AC727))/STDEV('The List'!AC2:AC727)</f>
        <v>3.5072245267299441E-2</v>
      </c>
      <c r="Q283" s="39">
        <f>(VLOOKUP($A283,'The List'!$B1:$AH727,29,FALSE)-AVERAGE('The List'!AD2:AD727))/STDEV('The List'!AD2:AD727)</f>
        <v>-0.98518660686771242</v>
      </c>
      <c r="R283" s="39">
        <f>(VLOOKUP($A283,'The List'!$B1:$AH727,30,FALSE)-AVERAGE('The List'!AE2:AE727))/STDEV('The List'!AE2:AE727)</f>
        <v>0.3306322173188222</v>
      </c>
      <c r="S283" s="39">
        <f>(VLOOKUP($A283,'The List'!$B1:$AH727,31,FALSE)-AVERAGE('The List'!AF2:AF727))/STDEV('The List'!AF2:AF727)</f>
        <v>-0.55044221894559064</v>
      </c>
      <c r="T283" s="39">
        <f>(VLOOKUP($A283,'The List'!$B1:$AH727,32,FALSE)-AVERAGE('The List'!AG2:AG727))/STDEV('The List'!AG2:AG727)</f>
        <v>-0.55067153352604981</v>
      </c>
      <c r="U283" s="39">
        <f>(VLOOKUP($A283,'The List'!$B1:$AH727,33,FALSE)-AVERAGE('The List'!AH2:AH727))/STDEV('The List'!AH2:AH727)</f>
        <v>-0.62946042702665306</v>
      </c>
      <c r="V283" s="39"/>
      <c r="W283" s="43"/>
      <c r="X283" s="41"/>
      <c r="Y283" s="41"/>
      <c r="Z283" s="41"/>
      <c r="AA283" s="41"/>
      <c r="AB283" s="41"/>
      <c r="AC283" s="44"/>
      <c r="AD283" s="45"/>
      <c r="AE283" s="39"/>
    </row>
    <row r="284" spans="1:31" ht="21.25" customHeight="1" x14ac:dyDescent="0.15">
      <c r="A284" s="8" t="s">
        <v>290</v>
      </c>
      <c r="B284" s="35" t="str">
        <f>VLOOKUP(A284,'Player Data'!A1:B734,2,FALSE)</f>
        <v>CGY</v>
      </c>
      <c r="C284" s="37">
        <f>((E284)*Settings!$C$12)+(F284*Settings!$C$2)+(G284*Settings!$C$3)+(H284*Settings!$C$4)+(I284*Settings!$C$5)+(K284*Settings!$C$9)+(N284*Settings!$C$6)+(J284*Settings!$C$8)+(O284*Settings!$C$7)+(P284*Settings!$C$14)+(Q284*Settings!$C$15)+(R284*Settings!$C$16)+(S284*Settings!$C$17)+(T284*Settings!$C$18)+(U284*Settings!$C$19)</f>
        <v>2.5966565247644118</v>
      </c>
      <c r="D284" s="41">
        <f>IF(Settings!$E$12="YES",VLOOKUP(A284,'Player Data'!A1:E734,5,FALSE),82)</f>
        <v>80.8</v>
      </c>
      <c r="E284" s="39">
        <f>(VLOOKUP($A284,'The List'!$B1:$AH727,17,FALSE)-AVERAGE('The List'!R2:R727))/STDEV('The List'!R2:R727)</f>
        <v>1.1150737904803445</v>
      </c>
      <c r="F284" s="39">
        <f>(VLOOKUP($A284,'The List'!$B1:$AH727,18,FALSE)-AVERAGE('The List'!S2:S727))/STDEV('The List'!S2:S727)</f>
        <v>-0.71582564087889333</v>
      </c>
      <c r="G284" s="39">
        <f>(VLOOKUP($A284,'The List'!$B1:$AH727,19,FALSE)-AVERAGE('The List'!T2:T727))/STDEV('The List'!T2:T727)</f>
        <v>0.55391920804109762</v>
      </c>
      <c r="H284" s="39">
        <f>(VLOOKUP($A284,'The List'!$B1:$AH727,20,FALSE)-AVERAGE('The List'!U2:U727))/STDEV('The List'!U2:U727)</f>
        <v>1.5584656082215627E-2</v>
      </c>
      <c r="I284" s="39">
        <f>(VLOOKUP($A284,'The List'!$B1:$AH727,21,FALSE)-AVERAGE('The List'!V2:V727))/STDEV('The List'!V2:V727)</f>
        <v>0.46051123189034798</v>
      </c>
      <c r="J284" s="39">
        <f>(VLOOKUP($A284,'The List'!$B1:$AH727,22,FALSE)-AVERAGE('The List'!W2:W727))/STDEV('The List'!W2:W727)</f>
        <v>-0.63609144497832215</v>
      </c>
      <c r="K284" s="39">
        <f>(VLOOKUP($A284,'The List'!$B1:$AH727,23,FALSE)-AVERAGE('The List'!X2:X727))/STDEV('The List'!X2:X727)</f>
        <v>-0.54173388806663414</v>
      </c>
      <c r="L284" s="39">
        <f>(VLOOKUP($A284,'The List'!$B1:$AH727,24,FALSE)-AVERAGE('The List'!Y2:Y727))/STDEV('The List'!Y2:Y727)</f>
        <v>-0.16936932211506719</v>
      </c>
      <c r="M284" s="39">
        <f>(VLOOKUP($A284,'The List'!$B1:$AH727,25,FALSE)-AVERAGE('The List'!Z2:Z727))/STDEV('The List'!Z2:Z727)</f>
        <v>0.41754504237162299</v>
      </c>
      <c r="N284" s="39">
        <f>(VLOOKUP($A284,'The List'!$B1:$AH727,26,FALSE)-AVERAGE('The List'!AA2:AA727))/STDEV('The List'!AA2:AA727)</f>
        <v>1.6223072458780687</v>
      </c>
      <c r="O284" s="39">
        <f>(VLOOKUP($A284,'The List'!$B1:$AH727,27,FALSE)-AVERAGE('The List'!AB2:AB727))/STDEV('The List'!AB2:AB727)</f>
        <v>1.6481931020793783</v>
      </c>
      <c r="P284" s="39">
        <f>(VLOOKUP($A284,'The List'!$B1:$AH727,28,FALSE)-AVERAGE('The List'!AC2:AC727))/STDEV('The List'!AC2:AC727)</f>
        <v>1.2174783679004251</v>
      </c>
      <c r="Q284" s="39">
        <f>(VLOOKUP($A284,'The List'!$B1:$AH727,29,FALSE)-AVERAGE('The List'!AD2:AD727))/STDEV('The List'!AD2:AD727)</f>
        <v>0.94974848567918546</v>
      </c>
      <c r="R284" s="39">
        <f>(VLOOKUP($A284,'The List'!$B1:$AH727,30,FALSE)-AVERAGE('The List'!AE2:AE727))/STDEV('The List'!AE2:AE727)</f>
        <v>-0.56109417241725823</v>
      </c>
      <c r="S284" s="39">
        <f>(VLOOKUP($A284,'The List'!$B1:$AH727,31,FALSE)-AVERAGE('The List'!AF2:AF727))/STDEV('The List'!AF2:AF727)</f>
        <v>-0.55804314905918151</v>
      </c>
      <c r="T284" s="39">
        <f>(VLOOKUP($A284,'The List'!$B1:$AH727,32,FALSE)-AVERAGE('The List'!AG2:AG727))/STDEV('The List'!AG2:AG727)</f>
        <v>-0.60188453558131205</v>
      </c>
      <c r="U284" s="39">
        <f>(VLOOKUP($A284,'The List'!$B1:$AH727,33,FALSE)-AVERAGE('The List'!AH2:AH727))/STDEV('The List'!AH2:AH727)</f>
        <v>-1.2395873372913611</v>
      </c>
      <c r="V284" s="39"/>
      <c r="W284" s="41"/>
      <c r="X284" s="39"/>
      <c r="Y284" s="39"/>
      <c r="Z284" s="39"/>
      <c r="AA284" s="39"/>
      <c r="AB284" s="39"/>
      <c r="AC284" s="39"/>
      <c r="AD284" s="39"/>
      <c r="AE284" s="39"/>
    </row>
    <row r="285" spans="1:31" ht="21.25" customHeight="1" x14ac:dyDescent="0.15">
      <c r="A285" s="8" t="s">
        <v>603</v>
      </c>
      <c r="B285" s="35" t="str">
        <f>VLOOKUP(A285,'Player Data'!A1:B734,2,FALSE)</f>
        <v>MTL</v>
      </c>
      <c r="C285" s="37">
        <f>((E285)*Settings!$C$12)+(F285*Settings!$C$2)+(G285*Settings!$C$3)+(H285*Settings!$C$4)+(I285*Settings!$C$5)+(K285*Settings!$C$9)+(N285*Settings!$C$6)+(J285*Settings!$C$8)+(O285*Settings!$C$7)+(P285*Settings!$C$14)+(Q285*Settings!$C$15)+(R285*Settings!$C$16)+(S285*Settings!$C$17)+(T285*Settings!$C$18)+(U285*Settings!$C$19)</f>
        <v>-3.0747891964383465</v>
      </c>
      <c r="D285" s="41">
        <f>IF(Settings!$E$12="YES",VLOOKUP(A285,'Player Data'!A1:E734,5,FALSE),82)</f>
        <v>75.260000000000005</v>
      </c>
      <c r="E285" s="39">
        <f>(VLOOKUP($A285,'The List'!$B1:$AH727,17,FALSE)-AVERAGE('The List'!R2:R727))/STDEV('The List'!R2:R727)</f>
        <v>-0.24511526468777203</v>
      </c>
      <c r="F285" s="39">
        <f>(VLOOKUP($A285,'The List'!$B1:$AH727,18,FALSE)-AVERAGE('The List'!S2:S727))/STDEV('The List'!S2:S727)</f>
        <v>-3.3027123428831281E-2</v>
      </c>
      <c r="G285" s="39">
        <f>(VLOOKUP($A285,'The List'!$B1:$AH727,19,FALSE)-AVERAGE('The List'!T2:T727))/STDEV('The List'!T2:T727)</f>
        <v>-0.17271638982341478</v>
      </c>
      <c r="H285" s="39">
        <f>(VLOOKUP($A285,'The List'!$B1:$AH727,20,FALSE)-AVERAGE('The List'!U2:U727))/STDEV('The List'!U2:U727)</f>
        <v>-0.12145883764661114</v>
      </c>
      <c r="I285" s="39">
        <f>(VLOOKUP($A285,'The List'!$B1:$AH727,21,FALSE)-AVERAGE('The List'!V2:V727))/STDEV('The List'!V2:V727)</f>
        <v>-0.5330953490357131</v>
      </c>
      <c r="J285" s="39">
        <f>(VLOOKUP($A285,'The List'!$B1:$AH727,22,FALSE)-AVERAGE('The List'!W2:W727))/STDEV('The List'!W2:W727)</f>
        <v>-0.37378962110257924</v>
      </c>
      <c r="K285" s="39">
        <f>(VLOOKUP($A285,'The List'!$B1:$AH727,23,FALSE)-AVERAGE('The List'!X2:X727))/STDEV('The List'!X2:X727)</f>
        <v>-0.44283357701154163</v>
      </c>
      <c r="L285" s="39">
        <f>(VLOOKUP($A285,'The List'!$B1:$AH727,24,FALSE)-AVERAGE('The List'!Y2:Y727))/STDEV('The List'!Y2:Y727)</f>
        <v>0.64699440641023898</v>
      </c>
      <c r="M285" s="39">
        <f>(VLOOKUP($A285,'The List'!$B1:$AH727,25,FALSE)-AVERAGE('The List'!Z2:Z727))/STDEV('The List'!Z2:Z727)</f>
        <v>0.11821110688860829</v>
      </c>
      <c r="N285" s="39">
        <f>(VLOOKUP($A285,'The List'!$B1:$AH727,26,FALSE)-AVERAGE('The List'!AA2:AA727))/STDEV('The List'!AA2:AA727)</f>
        <v>0.20815073261040781</v>
      </c>
      <c r="O285" s="39">
        <f>(VLOOKUP($A285,'The List'!$B1:$AH727,27,FALSE)-AVERAGE('The List'!AB2:AB727))/STDEV('The List'!AB2:AB727)</f>
        <v>-1.262826561020497</v>
      </c>
      <c r="P285" s="39">
        <f>(VLOOKUP($A285,'The List'!$B1:$AH727,28,FALSE)-AVERAGE('The List'!AC2:AC727))/STDEV('The List'!AC2:AC727)</f>
        <v>-2.1012674897492536</v>
      </c>
      <c r="Q285" s="39">
        <f>(VLOOKUP($A285,'The List'!$B1:$AH727,29,FALSE)-AVERAGE('The List'!AD2:AD727))/STDEV('The List'!AD2:AD727)</f>
        <v>-1.1568526745026553</v>
      </c>
      <c r="R285" s="39">
        <f>(VLOOKUP($A285,'The List'!$B1:$AH727,30,FALSE)-AVERAGE('The List'!AE2:AE727))/STDEV('The List'!AE2:AE727)</f>
        <v>-0.29955472387799942</v>
      </c>
      <c r="S285" s="39">
        <f>(VLOOKUP($A285,'The List'!$B1:$AH727,31,FALSE)-AVERAGE('The List'!AF2:AF727))/STDEV('The List'!AF2:AF727)</f>
        <v>2.2036696876680777</v>
      </c>
      <c r="T285" s="39">
        <f>(VLOOKUP($A285,'The List'!$B1:$AH727,32,FALSE)-AVERAGE('The List'!AG2:AG727))/STDEV('The List'!AG2:AG727)</f>
        <v>1.9195002420607674</v>
      </c>
      <c r="U285" s="39">
        <f>(VLOOKUP($A285,'The List'!$B1:$AH727,33,FALSE)-AVERAGE('The List'!AH2:AH727))/STDEV('The List'!AH2:AH727)</f>
        <v>1.1791463926495331</v>
      </c>
      <c r="V285" s="39"/>
      <c r="W285" s="43"/>
      <c r="X285" s="41"/>
      <c r="Y285" s="41"/>
      <c r="Z285" s="41"/>
      <c r="AA285" s="41"/>
      <c r="AB285" s="41"/>
      <c r="AC285" s="44"/>
      <c r="AD285" s="45"/>
      <c r="AE285" s="39"/>
    </row>
    <row r="286" spans="1:31" ht="21.25" customHeight="1" x14ac:dyDescent="0.15">
      <c r="A286" s="8" t="s">
        <v>575</v>
      </c>
      <c r="B286" s="35" t="str">
        <f>VLOOKUP(A286,'Player Data'!A1:B734,2,FALSE)</f>
        <v>SEA</v>
      </c>
      <c r="C286" s="37">
        <f>((E286)*Settings!$C$12)+(F286*Settings!$C$2)+(G286*Settings!$C$3)+(H286*Settings!$C$4)+(I286*Settings!$C$5)+(K286*Settings!$C$9)+(N286*Settings!$C$6)+(J286*Settings!$C$8)+(O286*Settings!$C$7)+(P286*Settings!$C$14)+(Q286*Settings!$C$15)+(R286*Settings!$C$16)+(S286*Settings!$C$17)+(T286*Settings!$C$18)+(U286*Settings!$C$19)</f>
        <v>-1.0410762119846393</v>
      </c>
      <c r="D286" s="41">
        <f>IF(Settings!$E$12="YES",VLOOKUP(A286,'Player Data'!A1:E734,5,FALSE),82)</f>
        <v>81.754999999999995</v>
      </c>
      <c r="E286" s="39">
        <f>(VLOOKUP($A286,'The List'!$B1:$AH727,17,FALSE)-AVERAGE('The List'!R2:R727))/STDEV('The List'!R2:R727)</f>
        <v>0.3323965551756044</v>
      </c>
      <c r="F286" s="39">
        <f>(VLOOKUP($A286,'The List'!$B1:$AH727,18,FALSE)-AVERAGE('The List'!S2:S727))/STDEV('The List'!S2:S727)</f>
        <v>-1.0175334904886476E-2</v>
      </c>
      <c r="G286" s="39">
        <f>(VLOOKUP($A286,'The List'!$B1:$AH727,19,FALSE)-AVERAGE('The List'!T2:T727))/STDEV('The List'!T2:T727)</f>
        <v>1.2918565557343621E-2</v>
      </c>
      <c r="H286" s="39">
        <f>(VLOOKUP($A286,'The List'!$B1:$AH727,20,FALSE)-AVERAGE('The List'!U2:U727))/STDEV('The List'!U2:U727)</f>
        <v>3.3301249325468243E-3</v>
      </c>
      <c r="I286" s="39">
        <f>(VLOOKUP($A286,'The List'!$B1:$AH727,21,FALSE)-AVERAGE('The List'!V2:V727))/STDEV('The List'!V2:V727)</f>
        <v>-0.51837862813930902</v>
      </c>
      <c r="J286" s="39">
        <f>(VLOOKUP($A286,'The List'!$B1:$AH727,22,FALSE)-AVERAGE('The List'!W2:W727))/STDEV('The List'!W2:W727)</f>
        <v>3.6537406815718099E-2</v>
      </c>
      <c r="K286" s="39">
        <f>(VLOOKUP($A286,'The List'!$B1:$AH727,23,FALSE)-AVERAGE('The List'!X2:X727))/STDEV('The List'!X2:X727)</f>
        <v>-8.6096540026898857E-2</v>
      </c>
      <c r="L286" s="39">
        <f>(VLOOKUP($A286,'The List'!$B1:$AH727,24,FALSE)-AVERAGE('The List'!Y2:Y727))/STDEV('The List'!Y2:Y727)</f>
        <v>3.6278097983982779E-2</v>
      </c>
      <c r="M286" s="39">
        <f>(VLOOKUP($A286,'The List'!$B1:$AH727,25,FALSE)-AVERAGE('The List'!Z2:Z727))/STDEV('The List'!Z2:Z727)</f>
        <v>0.17307189984191598</v>
      </c>
      <c r="N286" s="39">
        <f>(VLOOKUP($A286,'The List'!$B1:$AH727,26,FALSE)-AVERAGE('The List'!AA2:AA727))/STDEV('The List'!AA2:AA727)</f>
        <v>-5.0223319089142696E-2</v>
      </c>
      <c r="O286" s="39">
        <f>(VLOOKUP($A286,'The List'!$B1:$AH727,27,FALSE)-AVERAGE('The List'!AB2:AB727))/STDEV('The List'!AB2:AB727)</f>
        <v>-0.93553848612870816</v>
      </c>
      <c r="P286" s="39">
        <f>(VLOOKUP($A286,'The List'!$B1:$AH727,28,FALSE)-AVERAGE('The List'!AC2:AC727))/STDEV('The List'!AC2:AC727)</f>
        <v>-0.3891209553817459</v>
      </c>
      <c r="Q286" s="39">
        <f>(VLOOKUP($A286,'The List'!$B1:$AH727,29,FALSE)-AVERAGE('The List'!AD2:AD727))/STDEV('The List'!AD2:AD727)</f>
        <v>-0.57950344163265877</v>
      </c>
      <c r="R286" s="39">
        <f>(VLOOKUP($A286,'The List'!$B1:$AH727,30,FALSE)-AVERAGE('The List'!AE2:AE727))/STDEV('The List'!AE2:AE727)</f>
        <v>-1.3412764557057952E-2</v>
      </c>
      <c r="S286" s="39">
        <f>(VLOOKUP($A286,'The List'!$B1:$AH727,31,FALSE)-AVERAGE('The List'!AF2:AF727))/STDEV('The List'!AF2:AF727)</f>
        <v>2.3501057679753456</v>
      </c>
      <c r="T286" s="39">
        <f>(VLOOKUP($A286,'The List'!$B1:$AH727,32,FALSE)-AVERAGE('The List'!AG2:AG727))/STDEV('The List'!AG2:AG727)</f>
        <v>2.8999484400506428</v>
      </c>
      <c r="U286" s="39">
        <f>(VLOOKUP($A286,'The List'!$B1:$AH727,33,FALSE)-AVERAGE('The List'!AH2:AH727))/STDEV('The List'!AH2:AH727)</f>
        <v>0.86699430997240856</v>
      </c>
      <c r="V286" s="39"/>
      <c r="W286" s="43"/>
      <c r="X286" s="41"/>
      <c r="Y286" s="41"/>
      <c r="Z286" s="41"/>
      <c r="AA286" s="41"/>
      <c r="AB286" s="41"/>
      <c r="AC286" s="44"/>
      <c r="AD286" s="45"/>
      <c r="AE286" s="39"/>
    </row>
    <row r="287" spans="1:31" ht="21.25" customHeight="1" x14ac:dyDescent="0.15">
      <c r="A287" s="8" t="s">
        <v>543</v>
      </c>
      <c r="B287" s="35" t="str">
        <f>VLOOKUP(A287,'Player Data'!A1:B734,2,FALSE)</f>
        <v>VGK</v>
      </c>
      <c r="C287" s="37">
        <f>((E287)*Settings!$C$12)+(F287*Settings!$C$2)+(G287*Settings!$C$3)+(H287*Settings!$C$4)+(I287*Settings!$C$5)+(K287*Settings!$C$9)+(N287*Settings!$C$6)+(J287*Settings!$C$8)+(O287*Settings!$C$7)+(P287*Settings!$C$14)+(Q287*Settings!$C$15)+(R287*Settings!$C$16)+(S287*Settings!$C$17)+(T287*Settings!$C$18)+(U287*Settings!$C$19)</f>
        <v>-0.61627049330401396</v>
      </c>
      <c r="D287" s="41">
        <f>IF(Settings!$E$12="YES",VLOOKUP(A287,'Player Data'!A1:E734,5,FALSE),82)</f>
        <v>67.45</v>
      </c>
      <c r="E287" s="39">
        <f>(VLOOKUP($A287,'The List'!$B1:$AH727,17,FALSE)-AVERAGE('The List'!R2:R727))/STDEV('The List'!R2:R727)</f>
        <v>-0.80335220864981627</v>
      </c>
      <c r="F287" s="39">
        <f>(VLOOKUP($A287,'The List'!$B1:$AH727,18,FALSE)-AVERAGE('The List'!S2:S727))/STDEV('The List'!S2:S727)</f>
        <v>0.33412394188267802</v>
      </c>
      <c r="G287" s="39">
        <f>(VLOOKUP($A287,'The List'!$B1:$AH727,19,FALSE)-AVERAGE('The List'!T2:T727))/STDEV('The List'!T2:T727)</f>
        <v>-0.69943724719026823</v>
      </c>
      <c r="H287" s="39">
        <f>(VLOOKUP($A287,'The List'!$B1:$AH727,20,FALSE)-AVERAGE('The List'!U2:U727))/STDEV('The List'!U2:U727)</f>
        <v>-0.27895237027103464</v>
      </c>
      <c r="I287" s="39">
        <f>(VLOOKUP($A287,'The List'!$B1:$AH727,21,FALSE)-AVERAGE('The List'!V2:V727))/STDEV('The List'!V2:V727)</f>
        <v>-0.1522217231353574</v>
      </c>
      <c r="J287" s="39">
        <f>(VLOOKUP($A287,'The List'!$B1:$AH727,22,FALSE)-AVERAGE('The List'!W2:W727))/STDEV('The List'!W2:W727)</f>
        <v>-0.10837411240476343</v>
      </c>
      <c r="K287" s="39">
        <f>(VLOOKUP($A287,'The List'!$B1:$AH727,23,FALSE)-AVERAGE('The List'!X2:X727))/STDEV('The List'!X2:X727)</f>
        <v>-0.36913009691805593</v>
      </c>
      <c r="L287" s="39">
        <f>(VLOOKUP($A287,'The List'!$B1:$AH727,24,FALSE)-AVERAGE('The List'!Y2:Y727))/STDEV('The List'!Y2:Y727)</f>
        <v>-0.54239870044419891</v>
      </c>
      <c r="M287" s="39">
        <f>(VLOOKUP($A287,'The List'!$B1:$AH727,25,FALSE)-AVERAGE('The List'!Z2:Z727))/STDEV('The List'!Z2:Z727)</f>
        <v>-0.72187606511746061</v>
      </c>
      <c r="N287" s="39">
        <f>(VLOOKUP($A287,'The List'!$B1:$AH727,26,FALSE)-AVERAGE('The List'!AA2:AA727))/STDEV('The List'!AA2:AA727)</f>
        <v>-0.6938102674717469</v>
      </c>
      <c r="O287" s="39">
        <f>(VLOOKUP($A287,'The List'!$B1:$AH727,27,FALSE)-AVERAGE('The List'!AB2:AB727))/STDEV('The List'!AB2:AB727)</f>
        <v>-1.08646829053537</v>
      </c>
      <c r="P287" s="39">
        <f>(VLOOKUP($A287,'The List'!$B1:$AH727,28,FALSE)-AVERAGE('The List'!AC2:AC727))/STDEV('The List'!AC2:AC727)</f>
        <v>0.96420489952873667</v>
      </c>
      <c r="Q287" s="39">
        <f>(VLOOKUP($A287,'The List'!$B1:$AH727,29,FALSE)-AVERAGE('The List'!AD2:AD727))/STDEV('The List'!AD2:AD727)</f>
        <v>-0.52220741199721732</v>
      </c>
      <c r="R287" s="39">
        <f>(VLOOKUP($A287,'The List'!$B1:$AH727,30,FALSE)-AVERAGE('The List'!AE2:AE727))/STDEV('The List'!AE2:AE727)</f>
        <v>0.54589838709017269</v>
      </c>
      <c r="S287" s="39">
        <f>(VLOOKUP($A287,'The List'!$B1:$AH727,31,FALSE)-AVERAGE('The List'!AF2:AF727))/STDEV('The List'!AF2:AF727)</f>
        <v>-0.55804314905918151</v>
      </c>
      <c r="T287" s="39">
        <f>(VLOOKUP($A287,'The List'!$B1:$AH727,32,FALSE)-AVERAGE('The List'!AG2:AG727))/STDEV('The List'!AG2:AG727)</f>
        <v>-0.58368659493523634</v>
      </c>
      <c r="U287" s="39">
        <f>(VLOOKUP($A287,'The List'!$B1:$AH727,33,FALSE)-AVERAGE('The List'!AH2:AH727))/STDEV('The List'!AH2:AH727)</f>
        <v>-1.2395873372913611</v>
      </c>
      <c r="V287" s="39"/>
      <c r="W287" s="43"/>
      <c r="X287" s="41"/>
      <c r="Y287" s="41"/>
      <c r="Z287" s="41"/>
      <c r="AA287" s="41"/>
      <c r="AB287" s="41"/>
      <c r="AC287" s="44"/>
      <c r="AD287" s="45"/>
      <c r="AE287" s="39"/>
    </row>
    <row r="288" spans="1:31" ht="21.25" customHeight="1" x14ac:dyDescent="0.15">
      <c r="A288" s="8" t="s">
        <v>529</v>
      </c>
      <c r="B288" s="35" t="str">
        <f>VLOOKUP(A288,'Player Data'!A1:B734,2,FALSE)</f>
        <v>CGY</v>
      </c>
      <c r="C288" s="37">
        <f>((E288)*Settings!$C$12)+(F288*Settings!$C$2)+(G288*Settings!$C$3)+(H288*Settings!$C$4)+(I288*Settings!$C$5)+(K288*Settings!$C$9)+(N288*Settings!$C$6)+(J288*Settings!$C$8)+(O288*Settings!$C$7)+(P288*Settings!$C$14)+(Q288*Settings!$C$15)+(R288*Settings!$C$16)+(S288*Settings!$C$17)+(T288*Settings!$C$18)+(U288*Settings!$C$19)</f>
        <v>-1.1075648923637298</v>
      </c>
      <c r="D288" s="41">
        <f>IF(Settings!$E$12="YES",VLOOKUP(A288,'Player Data'!A1:E734,5,FALSE),82)</f>
        <v>62.884999999999998</v>
      </c>
      <c r="E288" s="39">
        <f>(VLOOKUP($A288,'The List'!$B1:$AH727,17,FALSE)-AVERAGE('The List'!R2:R727))/STDEV('The List'!R2:R727)</f>
        <v>-0.51245207813341431</v>
      </c>
      <c r="F288" s="39">
        <f>(VLOOKUP($A288,'The List'!$B1:$AH727,18,FALSE)-AVERAGE('The List'!S2:S727))/STDEV('The List'!S2:S727)</f>
        <v>-0.15932371229725778</v>
      </c>
      <c r="G288" s="39">
        <f>(VLOOKUP($A288,'The List'!$B1:$AH727,19,FALSE)-AVERAGE('The List'!T2:T727))/STDEV('The List'!T2:T727)</f>
        <v>-0.48190235839619494</v>
      </c>
      <c r="H288" s="39">
        <f>(VLOOKUP($A288,'The List'!$B1:$AH727,20,FALSE)-AVERAGE('The List'!U2:U727))/STDEV('The List'!U2:U727)</f>
        <v>-0.36945492955919823</v>
      </c>
      <c r="I288" s="39">
        <f>(VLOOKUP($A288,'The List'!$B1:$AH727,21,FALSE)-AVERAGE('The List'!V2:V727))/STDEV('The List'!V2:V727)</f>
        <v>-0.13403398739028924</v>
      </c>
      <c r="J288" s="39">
        <f>(VLOOKUP($A288,'The List'!$B1:$AH727,22,FALSE)-AVERAGE('The List'!W2:W727))/STDEV('The List'!W2:W727)</f>
        <v>0.51846733619795615</v>
      </c>
      <c r="K288" s="39">
        <f>(VLOOKUP($A288,'The List'!$B1:$AH727,23,FALSE)-AVERAGE('The List'!X2:X727))/STDEV('The List'!X2:X727)</f>
        <v>9.8564036137142402E-2</v>
      </c>
      <c r="L288" s="39">
        <f>(VLOOKUP($A288,'The List'!$B1:$AH727,24,FALSE)-AVERAGE('The List'!Y2:Y727))/STDEV('The List'!Y2:Y727)</f>
        <v>-0.53173554658902777</v>
      </c>
      <c r="M288" s="39">
        <f>(VLOOKUP($A288,'The List'!$B1:$AH727,25,FALSE)-AVERAGE('The List'!Z2:Z727))/STDEV('The List'!Z2:Z727)</f>
        <v>-0.71000881829446794</v>
      </c>
      <c r="N288" s="39">
        <f>(VLOOKUP($A288,'The List'!$B1:$AH727,26,FALSE)-AVERAGE('The List'!AA2:AA727))/STDEV('The List'!AA2:AA727)</f>
        <v>-0.65797175642575523</v>
      </c>
      <c r="O288" s="39">
        <f>(VLOOKUP($A288,'The List'!$B1:$AH727,27,FALSE)-AVERAGE('The List'!AB2:AB727))/STDEV('The List'!AB2:AB727)</f>
        <v>-0.83727409680957843</v>
      </c>
      <c r="P288" s="39">
        <f>(VLOOKUP($A288,'The List'!$B1:$AH727,28,FALSE)-AVERAGE('The List'!AC2:AC727))/STDEV('The List'!AC2:AC727)</f>
        <v>0.22710288600862508</v>
      </c>
      <c r="Q288" s="39">
        <f>(VLOOKUP($A288,'The List'!$B1:$AH727,29,FALSE)-AVERAGE('The List'!AD2:AD727))/STDEV('The List'!AD2:AD727)</f>
        <v>-1.0446223639773891</v>
      </c>
      <c r="R288" s="39">
        <f>(VLOOKUP($A288,'The List'!$B1:$AH727,30,FALSE)-AVERAGE('The List'!AE2:AE727))/STDEV('The List'!AE2:AE727)</f>
        <v>4.6335040750773465E-2</v>
      </c>
      <c r="S288" s="39">
        <f>(VLOOKUP($A288,'The List'!$B1:$AH727,31,FALSE)-AVERAGE('The List'!AF2:AF727))/STDEV('The List'!AF2:AF727)</f>
        <v>-0.53155217026667356</v>
      </c>
      <c r="T288" s="39">
        <f>(VLOOKUP($A288,'The List'!$B1:$AH727,32,FALSE)-AVERAGE('The List'!AG2:AG727))/STDEV('The List'!AG2:AG727)</f>
        <v>-0.5182806411467451</v>
      </c>
      <c r="U288" s="39">
        <f>(VLOOKUP($A288,'The List'!$B1:$AH727,33,FALSE)-AVERAGE('The List'!AH2:AH727))/STDEV('The List'!AH2:AH727)</f>
        <v>-0.11011888539207372</v>
      </c>
      <c r="V288" s="39"/>
      <c r="W288" s="43"/>
      <c r="X288" s="41"/>
      <c r="Y288" s="41"/>
      <c r="Z288" s="41"/>
      <c r="AA288" s="41"/>
      <c r="AB288" s="41"/>
      <c r="AC288" s="44"/>
      <c r="AD288" s="45"/>
      <c r="AE288" s="39"/>
    </row>
    <row r="289" spans="1:31" ht="21.25" customHeight="1" x14ac:dyDescent="0.15">
      <c r="A289" s="8" t="s">
        <v>477</v>
      </c>
      <c r="B289" s="35" t="str">
        <f>VLOOKUP(A289,'Player Data'!A1:B734,2,FALSE)</f>
        <v>SJS</v>
      </c>
      <c r="C289" s="37">
        <f>((E289)*Settings!$C$12)+(F289*Settings!$C$2)+(G289*Settings!$C$3)+(H289*Settings!$C$4)+(I289*Settings!$C$5)+(K289*Settings!$C$9)+(N289*Settings!$C$6)+(J289*Settings!$C$8)+(O289*Settings!$C$7)+(P289*Settings!$C$14)+(Q289*Settings!$C$15)+(R289*Settings!$C$16)+(S289*Settings!$C$17)+(T289*Settings!$C$18)+(U289*Settings!$C$19)</f>
        <v>-1.5609614154748062</v>
      </c>
      <c r="D289" s="41">
        <f>IF(Settings!$E$12="YES",VLOOKUP(A289,'Player Data'!A1:E734,5,FALSE),82)</f>
        <v>71.721071428571406</v>
      </c>
      <c r="E289" s="39">
        <f>(VLOOKUP($A289,'The List'!$B1:$AH727,17,FALSE)-AVERAGE('The List'!R2:R727))/STDEV('The List'!R2:R727)</f>
        <v>-0.58094254030316961</v>
      </c>
      <c r="F289" s="39">
        <f>(VLOOKUP($A289,'The List'!$B1:$AH727,18,FALSE)-AVERAGE('The List'!S2:S727))/STDEV('The List'!S2:S727)</f>
        <v>6.376298510401758E-2</v>
      </c>
      <c r="G289" s="39">
        <f>(VLOOKUP($A289,'The List'!$B1:$AH727,19,FALSE)-AVERAGE('The List'!T2:T727))/STDEV('The List'!T2:T727)</f>
        <v>-0.3673160498155697</v>
      </c>
      <c r="H289" s="39">
        <f>(VLOOKUP($A289,'The List'!$B1:$AH727,20,FALSE)-AVERAGE('The List'!U2:U727))/STDEV('The List'!U2:U727)</f>
        <v>-0.19732738383867462</v>
      </c>
      <c r="I289" s="39">
        <f>(VLOOKUP($A289,'The List'!$B1:$AH727,21,FALSE)-AVERAGE('The List'!V2:V727))/STDEV('The List'!V2:V727)</f>
        <v>-4.2727479612442679E-2</v>
      </c>
      <c r="J289" s="39">
        <f>(VLOOKUP($A289,'The List'!$B1:$AH727,22,FALSE)-AVERAGE('The List'!W2:W727))/STDEV('The List'!W2:W727)</f>
        <v>-0.35971329870355961</v>
      </c>
      <c r="K289" s="39">
        <f>(VLOOKUP($A289,'The List'!$B1:$AH727,23,FALSE)-AVERAGE('The List'!X2:X727))/STDEV('The List'!X2:X727)</f>
        <v>-0.46039624597493978</v>
      </c>
      <c r="L289" s="39">
        <f>(VLOOKUP($A289,'The List'!$B1:$AH727,24,FALSE)-AVERAGE('The List'!Y2:Y727))/STDEV('The List'!Y2:Y727)</f>
        <v>-0.54314153054982528</v>
      </c>
      <c r="M289" s="39">
        <f>(VLOOKUP($A289,'The List'!$B1:$AH727,25,FALSE)-AVERAGE('The List'!Z2:Z727))/STDEV('The List'!Z2:Z727)</f>
        <v>-0.72272632430024297</v>
      </c>
      <c r="N289" s="39">
        <f>(VLOOKUP($A289,'The List'!$B1:$AH727,26,FALSE)-AVERAGE('The List'!AA2:AA727))/STDEV('The List'!AA2:AA727)</f>
        <v>-0.77997067298228384</v>
      </c>
      <c r="O289" s="39">
        <f>(VLOOKUP($A289,'The List'!$B1:$AH727,27,FALSE)-AVERAGE('The List'!AB2:AB727))/STDEV('The List'!AB2:AB727)</f>
        <v>-0.35028127563710648</v>
      </c>
      <c r="P289" s="39">
        <f>(VLOOKUP($A289,'The List'!$B1:$AH727,28,FALSE)-AVERAGE('The List'!AC2:AC727))/STDEV('The List'!AC2:AC727)</f>
        <v>2.5686047806412333E-2</v>
      </c>
      <c r="Q289" s="39">
        <f>(VLOOKUP($A289,'The List'!$B1:$AH727,29,FALSE)-AVERAGE('The List'!AD2:AD727))/STDEV('The List'!AD2:AD727)</f>
        <v>6.648416944978533E-2</v>
      </c>
      <c r="R289" s="39">
        <f>(VLOOKUP($A289,'The List'!$B1:$AH727,30,FALSE)-AVERAGE('The List'!AE2:AE727))/STDEV('The List'!AE2:AE727)</f>
        <v>-0.1152730627972785</v>
      </c>
      <c r="S289" s="39">
        <f>(VLOOKUP($A289,'The List'!$B1:$AH727,31,FALSE)-AVERAGE('The List'!AF2:AF727))/STDEV('The List'!AF2:AF727)</f>
        <v>-0.5460651599635451</v>
      </c>
      <c r="T289" s="39">
        <f>(VLOOKUP($A289,'The List'!$B1:$AH727,32,FALSE)-AVERAGE('The List'!AG2:AG727))/STDEV('The List'!AG2:AG727)</f>
        <v>-0.57941402709545065</v>
      </c>
      <c r="U289" s="39">
        <f>(VLOOKUP($A289,'The List'!$B1:$AH727,33,FALSE)-AVERAGE('The List'!AH2:AH727))/STDEV('The List'!AH2:AH727)</f>
        <v>0.38362669362075302</v>
      </c>
      <c r="V289" s="39"/>
      <c r="W289" s="43"/>
      <c r="X289" s="41"/>
      <c r="Y289" s="41"/>
      <c r="Z289" s="41"/>
      <c r="AA289" s="41"/>
      <c r="AB289" s="41"/>
      <c r="AC289" s="44"/>
      <c r="AD289" s="45"/>
      <c r="AE289" s="39"/>
    </row>
    <row r="290" spans="1:31" ht="21.25" customHeight="1" x14ac:dyDescent="0.15">
      <c r="A290" s="8" t="s">
        <v>443</v>
      </c>
      <c r="B290" s="35" t="str">
        <f>VLOOKUP(A290,'Player Data'!A1:B734,2,FALSE)</f>
        <v>NJD</v>
      </c>
      <c r="C290" s="37">
        <f>((E290)*Settings!$C$12)+(F290*Settings!$C$2)+(G290*Settings!$C$3)+(H290*Settings!$C$4)+(I290*Settings!$C$5)+(K290*Settings!$C$9)+(N290*Settings!$C$6)+(J290*Settings!$C$8)+(O290*Settings!$C$7)+(P290*Settings!$C$14)+(Q290*Settings!$C$15)+(R290*Settings!$C$16)+(S290*Settings!$C$17)+(T290*Settings!$C$18)+(U290*Settings!$C$19)</f>
        <v>-0.57408668261139972</v>
      </c>
      <c r="D290" s="41">
        <f>IF(Settings!$E$12="YES",VLOOKUP(A290,'Player Data'!A1:E734,5,FALSE),82)</f>
        <v>80.392857142857096</v>
      </c>
      <c r="E290" s="39">
        <f>(VLOOKUP($A290,'The List'!$B1:$AH727,17,FALSE)-AVERAGE('The List'!R2:R727))/STDEV('The List'!R2:R727)</f>
        <v>-0.34065573814074068</v>
      </c>
      <c r="F290" s="39">
        <f>(VLOOKUP($A290,'The List'!$B1:$AH727,18,FALSE)-AVERAGE('The List'!S2:S727))/STDEV('The List'!S2:S727)</f>
        <v>4.3191867749551019E-3</v>
      </c>
      <c r="G290" s="39">
        <f>(VLOOKUP($A290,'The List'!$B1:$AH727,19,FALSE)-AVERAGE('The List'!T2:T727))/STDEV('The List'!T2:T727)</f>
        <v>-5.2290276513477577E-2</v>
      </c>
      <c r="H290" s="39">
        <f>(VLOOKUP($A290,'The List'!$B1:$AH727,20,FALSE)-AVERAGE('The List'!U2:U727))/STDEV('The List'!U2:U727)</f>
        <v>-3.0256249611163123E-2</v>
      </c>
      <c r="I290" s="39">
        <f>(VLOOKUP($A290,'The List'!$B1:$AH727,21,FALSE)-AVERAGE('The List'!V2:V727))/STDEV('The List'!V2:V727)</f>
        <v>0.16440354054841899</v>
      </c>
      <c r="J290" s="39">
        <f>(VLOOKUP($A290,'The List'!$B1:$AH727,22,FALSE)-AVERAGE('The List'!W2:W727))/STDEV('The List'!W2:W727)</f>
        <v>-0.44972638494120021</v>
      </c>
      <c r="K290" s="39">
        <f>(VLOOKUP($A290,'The List'!$B1:$AH727,23,FALSE)-AVERAGE('The List'!X2:X727))/STDEV('The List'!X2:X727)</f>
        <v>-0.51160701198576053</v>
      </c>
      <c r="L290" s="39">
        <f>(VLOOKUP($A290,'The List'!$B1:$AH727,24,FALSE)-AVERAGE('The List'!Y2:Y727))/STDEV('The List'!Y2:Y727)</f>
        <v>2.4281561000159972</v>
      </c>
      <c r="M290" s="39">
        <f>(VLOOKUP($A290,'The List'!$B1:$AH727,25,FALSE)-AVERAGE('The List'!Z2:Z727))/STDEV('The List'!Z2:Z727)</f>
        <v>1.9135020219231533</v>
      </c>
      <c r="N290" s="39">
        <f>(VLOOKUP($A290,'The List'!$B1:$AH727,26,FALSE)-AVERAGE('The List'!AA2:AA727))/STDEV('The List'!AA2:AA727)</f>
        <v>-0.30064150491314751</v>
      </c>
      <c r="O290" s="39">
        <f>(VLOOKUP($A290,'The List'!$B1:$AH727,27,FALSE)-AVERAGE('The List'!AB2:AB727))/STDEV('The List'!AB2:AB727)</f>
        <v>0.12119093388676291</v>
      </c>
      <c r="P290" s="39">
        <f>(VLOOKUP($A290,'The List'!$B1:$AH727,28,FALSE)-AVERAGE('The List'!AC2:AC727))/STDEV('The List'!AC2:AC727)</f>
        <v>0.12172938347761185</v>
      </c>
      <c r="Q290" s="39">
        <f>(VLOOKUP($A290,'The List'!$B1:$AH727,29,FALSE)-AVERAGE('The List'!AD2:AD727))/STDEV('The List'!AD2:AD727)</f>
        <v>0.57062462085179089</v>
      </c>
      <c r="R290" s="39">
        <f>(VLOOKUP($A290,'The List'!$B1:$AH727,30,FALSE)-AVERAGE('The List'!AE2:AE727))/STDEV('The List'!AE2:AE727)</f>
        <v>5.6120304335510317E-2</v>
      </c>
      <c r="S290" s="39">
        <f>(VLOOKUP($A290,'The List'!$B1:$AH727,31,FALSE)-AVERAGE('The List'!AF2:AF727))/STDEV('The List'!AF2:AF727)</f>
        <v>1.9264412275161322</v>
      </c>
      <c r="T290" s="39">
        <f>(VLOOKUP($A290,'The List'!$B1:$AH727,32,FALSE)-AVERAGE('The List'!AG2:AG727))/STDEV('The List'!AG2:AG727)</f>
        <v>1.6016263976335134</v>
      </c>
      <c r="U290" s="39">
        <f>(VLOOKUP($A290,'The List'!$B1:$AH727,33,FALSE)-AVERAGE('The List'!AH2:AH727))/STDEV('The List'!AH2:AH727)</f>
        <v>1.2116681630430479</v>
      </c>
      <c r="V290" s="39"/>
      <c r="W290" s="43"/>
      <c r="X290" s="41"/>
      <c r="Y290" s="41"/>
      <c r="Z290" s="41"/>
      <c r="AA290" s="41"/>
      <c r="AB290" s="41"/>
      <c r="AC290" s="44"/>
      <c r="AD290" s="45"/>
      <c r="AE290" s="39"/>
    </row>
    <row r="291" spans="1:31" ht="21.25" customHeight="1" x14ac:dyDescent="0.15">
      <c r="A291" s="8" t="s">
        <v>462</v>
      </c>
      <c r="B291" s="35" t="str">
        <f>VLOOKUP(A291,'Player Data'!A1:B734,2,FALSE)</f>
        <v>BUF</v>
      </c>
      <c r="C291" s="37">
        <f>((E291)*Settings!$C$12)+(F291*Settings!$C$2)+(G291*Settings!$C$3)+(H291*Settings!$C$4)+(I291*Settings!$C$5)+(K291*Settings!$C$9)+(N291*Settings!$C$6)+(J291*Settings!$C$8)+(O291*Settings!$C$7)+(P291*Settings!$C$14)+(Q291*Settings!$C$15)+(R291*Settings!$C$16)+(S291*Settings!$C$17)+(T291*Settings!$C$18)+(U291*Settings!$C$19)</f>
        <v>-2.4593645072760735</v>
      </c>
      <c r="D291" s="41">
        <f>IF(Settings!$E$12="YES",VLOOKUP(A291,'Player Data'!A1:E734,5,FALSE),82)</f>
        <v>76.7</v>
      </c>
      <c r="E291" s="39">
        <f>(VLOOKUP($A291,'The List'!$B1:$AH727,17,FALSE)-AVERAGE('The List'!R2:R727))/STDEV('The List'!R2:R727)</f>
        <v>-0.79365261778466345</v>
      </c>
      <c r="F291" s="39">
        <f>(VLOOKUP($A291,'The List'!$B1:$AH727,18,FALSE)-AVERAGE('The List'!S2:S727))/STDEV('The List'!S2:S727)</f>
        <v>-1.3103584254039034E-2</v>
      </c>
      <c r="G291" s="39">
        <f>(VLOOKUP($A291,'The List'!$B1:$AH727,19,FALSE)-AVERAGE('The List'!T2:T727))/STDEV('The List'!T2:T727)</f>
        <v>-0.15798426533334547</v>
      </c>
      <c r="H291" s="39">
        <f>(VLOOKUP($A291,'The List'!$B1:$AH727,20,FALSE)-AVERAGE('The List'!U2:U727))/STDEV('The List'!U2:U727)</f>
        <v>-0.10331430981643132</v>
      </c>
      <c r="I291" s="39">
        <f>(VLOOKUP($A291,'The List'!$B1:$AH727,21,FALSE)-AVERAGE('The List'!V2:V727))/STDEV('The List'!V2:V727)</f>
        <v>-0.15453489152701266</v>
      </c>
      <c r="J291" s="39">
        <f>(VLOOKUP($A291,'The List'!$B1:$AH727,22,FALSE)-AVERAGE('The List'!W2:W727))/STDEV('The List'!W2:W727)</f>
        <v>-0.11737609622087584</v>
      </c>
      <c r="K291" s="39">
        <f>(VLOOKUP($A291,'The List'!$B1:$AH727,23,FALSE)-AVERAGE('The List'!X2:X727))/STDEV('The List'!X2:X727)</f>
        <v>-0.23710612206258319</v>
      </c>
      <c r="L291" s="39">
        <f>(VLOOKUP($A291,'The List'!$B1:$AH727,24,FALSE)-AVERAGE('The List'!Y2:Y727))/STDEV('The List'!Y2:Y727)</f>
        <v>-0.46957878157501598</v>
      </c>
      <c r="M291" s="39">
        <f>(VLOOKUP($A291,'The List'!$B1:$AH727,25,FALSE)-AVERAGE('The List'!Z2:Z727))/STDEV('The List'!Z2:Z727)</f>
        <v>-0.64127200073919211</v>
      </c>
      <c r="N291" s="39">
        <f>(VLOOKUP($A291,'The List'!$B1:$AH727,26,FALSE)-AVERAGE('The List'!AA2:AA727))/STDEV('The List'!AA2:AA727)</f>
        <v>-1.1319475216159165</v>
      </c>
      <c r="O291" s="39">
        <f>(VLOOKUP($A291,'The List'!$B1:$AH727,27,FALSE)-AVERAGE('The List'!AB2:AB727))/STDEV('The List'!AB2:AB727)</f>
        <v>-1.2034500600335685</v>
      </c>
      <c r="P291" s="39">
        <f>(VLOOKUP($A291,'The List'!$B1:$AH727,28,FALSE)-AVERAGE('The List'!AC2:AC727))/STDEV('The List'!AC2:AC727)</f>
        <v>-0.76468812248317641</v>
      </c>
      <c r="Q291" s="39">
        <f>(VLOOKUP($A291,'The List'!$B1:$AH727,29,FALSE)-AVERAGE('The List'!AD2:AD727))/STDEV('The List'!AD2:AD727)</f>
        <v>-0.40284390444646279</v>
      </c>
      <c r="R291" s="39">
        <f>(VLOOKUP($A291,'The List'!$B1:$AH727,30,FALSE)-AVERAGE('The List'!AE2:AE727))/STDEV('The List'!AE2:AE727)</f>
        <v>-0.11393393207104474</v>
      </c>
      <c r="S291" s="39">
        <f>(VLOOKUP($A291,'The List'!$B1:$AH727,31,FALSE)-AVERAGE('The List'!AF2:AF727))/STDEV('The List'!AF2:AF727)</f>
        <v>-0.53450444267313191</v>
      </c>
      <c r="T291" s="39">
        <f>(VLOOKUP($A291,'The List'!$B1:$AH727,32,FALSE)-AVERAGE('The List'!AG2:AG727))/STDEV('The List'!AG2:AG727)</f>
        <v>-0.58094014291400842</v>
      </c>
      <c r="U291" s="39">
        <f>(VLOOKUP($A291,'The List'!$B1:$AH727,33,FALSE)-AVERAGE('The List'!AH2:AH727))/STDEV('The List'!AH2:AH727)</f>
        <v>1.2080369692528403</v>
      </c>
      <c r="V291" s="39"/>
      <c r="W291" s="43"/>
      <c r="X291" s="41"/>
      <c r="Y291" s="41"/>
      <c r="Z291" s="41"/>
      <c r="AA291" s="41"/>
      <c r="AB291" s="41"/>
      <c r="AC291" s="44"/>
      <c r="AD291" s="45"/>
      <c r="AE291" s="39"/>
    </row>
    <row r="292" spans="1:31" ht="21.25" customHeight="1" x14ac:dyDescent="0.15">
      <c r="A292" s="8" t="s">
        <v>471</v>
      </c>
      <c r="B292" s="35" t="str">
        <f>VLOOKUP(A292,'Player Data'!A1:B734,2,FALSE)</f>
        <v>MIN</v>
      </c>
      <c r="C292" s="37">
        <f>((E292)*Settings!$C$12)+(F292*Settings!$C$2)+(G292*Settings!$C$3)+(H292*Settings!$C$4)+(I292*Settings!$C$5)+(K292*Settings!$C$9)+(N292*Settings!$C$6)+(J292*Settings!$C$8)+(O292*Settings!$C$7)+(P292*Settings!$C$14)+(Q292*Settings!$C$15)+(R292*Settings!$C$16)+(S292*Settings!$C$17)+(T292*Settings!$C$18)+(U292*Settings!$C$19)</f>
        <v>-0.60624966980315653</v>
      </c>
      <c r="D292" s="41">
        <f>IF(Settings!$E$12="YES",VLOOKUP(A292,'Player Data'!A1:E734,5,FALSE),82)</f>
        <v>76.958928571428601</v>
      </c>
      <c r="E292" s="39">
        <f>(VLOOKUP($A292,'The List'!$B1:$AH727,17,FALSE)-AVERAGE('The List'!R2:R727))/STDEV('The List'!R2:R727)</f>
        <v>-7.5642468185565928E-2</v>
      </c>
      <c r="F292" s="39">
        <f>(VLOOKUP($A292,'The List'!$B1:$AH727,18,FALSE)-AVERAGE('The List'!S2:S727))/STDEV('The List'!S2:S727)</f>
        <v>1.3486385201758761E-2</v>
      </c>
      <c r="G292" s="39">
        <f>(VLOOKUP($A292,'The List'!$B1:$AH727,19,FALSE)-AVERAGE('The List'!T2:T727))/STDEV('The List'!T2:T727)</f>
        <v>-0.17119565095771241</v>
      </c>
      <c r="H292" s="39">
        <f>(VLOOKUP($A292,'The List'!$B1:$AH727,20,FALSE)-AVERAGE('The List'!U2:U727))/STDEV('The List'!U2:U727)</f>
        <v>-9.9355187281833388E-2</v>
      </c>
      <c r="I292" s="39">
        <f>(VLOOKUP($A292,'The List'!$B1:$AH727,21,FALSE)-AVERAGE('The List'!V2:V727))/STDEV('The List'!V2:V727)</f>
        <v>-8.6755204333131039E-2</v>
      </c>
      <c r="J292" s="39">
        <f>(VLOOKUP($A292,'The List'!$B1:$AH727,22,FALSE)-AVERAGE('The List'!W2:W727))/STDEV('The List'!W2:W727)</f>
        <v>-9.6629081292136473E-2</v>
      </c>
      <c r="K292" s="39">
        <f>(VLOOKUP($A292,'The List'!$B1:$AH727,23,FALSE)-AVERAGE('The List'!X2:X727))/STDEV('The List'!X2:X727)</f>
        <v>6.268023306218529E-3</v>
      </c>
      <c r="L292" s="39">
        <f>(VLOOKUP($A292,'The List'!$B1:$AH727,24,FALSE)-AVERAGE('The List'!Y2:Y727))/STDEV('The List'!Y2:Y727)</f>
        <v>0.65396817979121391</v>
      </c>
      <c r="M292" s="39">
        <f>(VLOOKUP($A292,'The List'!$B1:$AH727,25,FALSE)-AVERAGE('The List'!Z2:Z727))/STDEV('The List'!Z2:Z727)</f>
        <v>0.14220408062557516</v>
      </c>
      <c r="N292" s="39">
        <f>(VLOOKUP($A292,'The List'!$B1:$AH727,26,FALSE)-AVERAGE('The List'!AA2:AA727))/STDEV('The List'!AA2:AA727)</f>
        <v>-0.81557655761772885</v>
      </c>
      <c r="O292" s="39">
        <f>(VLOOKUP($A292,'The List'!$B1:$AH727,27,FALSE)-AVERAGE('The List'!AB2:AB727))/STDEV('The List'!AB2:AB727)</f>
        <v>-1.2475166600226508</v>
      </c>
      <c r="P292" s="39">
        <f>(VLOOKUP($A292,'The List'!$B1:$AH727,28,FALSE)-AVERAGE('The List'!AC2:AC727))/STDEV('The List'!AC2:AC727)</f>
        <v>0.44752333459743848</v>
      </c>
      <c r="Q292" s="39">
        <f>(VLOOKUP($A292,'The List'!$B1:$AH727,29,FALSE)-AVERAGE('The List'!AD2:AD727))/STDEV('The List'!AD2:AD727)</f>
        <v>-1.4064153013509593</v>
      </c>
      <c r="R292" s="39">
        <f>(VLOOKUP($A292,'The List'!$B1:$AH727,30,FALSE)-AVERAGE('The List'!AE2:AE727))/STDEV('The List'!AE2:AE727)</f>
        <v>0.17925851575160551</v>
      </c>
      <c r="S292" s="39">
        <f>(VLOOKUP($A292,'The List'!$B1:$AH727,31,FALSE)-AVERAGE('The List'!AF2:AF727))/STDEV('The List'!AF2:AF727)</f>
        <v>-0.41771800801737152</v>
      </c>
      <c r="T292" s="39">
        <f>(VLOOKUP($A292,'The List'!$B1:$AH727,32,FALSE)-AVERAGE('The List'!AG2:AG727))/STDEV('The List'!AG2:AG727)</f>
        <v>-0.40226981597250105</v>
      </c>
      <c r="U292" s="39">
        <f>(VLOOKUP($A292,'The List'!$B1:$AH727,33,FALSE)-AVERAGE('The List'!AH2:AH727))/STDEV('The List'!AH2:AH727)</f>
        <v>0.6810914360047301</v>
      </c>
      <c r="V292" s="39"/>
      <c r="W292" s="43"/>
      <c r="X292" s="41"/>
      <c r="Y292" s="41"/>
      <c r="Z292" s="41"/>
      <c r="AA292" s="41"/>
      <c r="AB292" s="41"/>
      <c r="AC292" s="44"/>
      <c r="AD292" s="45"/>
      <c r="AE292" s="39"/>
    </row>
    <row r="293" spans="1:31" ht="21.25" customHeight="1" x14ac:dyDescent="0.15">
      <c r="A293" s="8" t="s">
        <v>593</v>
      </c>
      <c r="B293" s="35" t="str">
        <f>VLOOKUP(A293,'Player Data'!A1:B734,2,FALSE)</f>
        <v>FLA</v>
      </c>
      <c r="C293" s="37">
        <f>((E293)*Settings!$C$12)+(F293*Settings!$C$2)+(G293*Settings!$C$3)+(H293*Settings!$C$4)+(I293*Settings!$C$5)+(K293*Settings!$C$9)+(N293*Settings!$C$6)+(J293*Settings!$C$8)+(O293*Settings!$C$7)+(P293*Settings!$C$14)+(Q293*Settings!$C$15)+(R293*Settings!$C$16)+(S293*Settings!$C$17)+(T293*Settings!$C$18)+(U293*Settings!$C$19)</f>
        <v>-0.18193654130741876</v>
      </c>
      <c r="D293" s="41">
        <f>IF(Settings!$E$12="YES",VLOOKUP(A293,'Player Data'!A1:E734,5,FALSE),82)</f>
        <v>79.722857142857094</v>
      </c>
      <c r="E293" s="39">
        <f>(VLOOKUP($A293,'The List'!$B1:$AH727,17,FALSE)-AVERAGE('The List'!R2:R727))/STDEV('The List'!R2:R727)</f>
        <v>-0.40398805069591154</v>
      </c>
      <c r="F293" s="39">
        <f>(VLOOKUP($A293,'The List'!$B1:$AH727,18,FALSE)-AVERAGE('The List'!S2:S727))/STDEV('The List'!S2:S727)</f>
        <v>2.2166125602268019E-2</v>
      </c>
      <c r="G293" s="39">
        <f>(VLOOKUP($A293,'The List'!$B1:$AH727,19,FALSE)-AVERAGE('The List'!T2:T727))/STDEV('The List'!T2:T727)</f>
        <v>-9.1818741028044784E-2</v>
      </c>
      <c r="H293" s="39">
        <f>(VLOOKUP($A293,'The List'!$B1:$AH727,20,FALSE)-AVERAGE('The List'!U2:U727))/STDEV('The List'!U2:U727)</f>
        <v>-4.6492579457467653E-2</v>
      </c>
      <c r="I293" s="39">
        <f>(VLOOKUP($A293,'The List'!$B1:$AH727,21,FALSE)-AVERAGE('The List'!V2:V727))/STDEV('The List'!V2:V727)</f>
        <v>-0.31174647575039444</v>
      </c>
      <c r="J293" s="39">
        <f>(VLOOKUP($A293,'The List'!$B1:$AH727,22,FALSE)-AVERAGE('The List'!W2:W727))/STDEV('The List'!W2:W727)</f>
        <v>-0.49831234630518656</v>
      </c>
      <c r="K293" s="39">
        <f>(VLOOKUP($A293,'The List'!$B1:$AH727,23,FALSE)-AVERAGE('The List'!X2:X727))/STDEV('The List'!X2:X727)</f>
        <v>-0.57987358409481393</v>
      </c>
      <c r="L293" s="39">
        <f>(VLOOKUP($A293,'The List'!$B1:$AH727,24,FALSE)-AVERAGE('The List'!Y2:Y727))/STDEV('The List'!Y2:Y727)</f>
        <v>0.7044765200505827</v>
      </c>
      <c r="M293" s="39">
        <f>(VLOOKUP($A293,'The List'!$B1:$AH727,25,FALSE)-AVERAGE('The List'!Z2:Z727))/STDEV('The List'!Z2:Z727)</f>
        <v>0.47554128294070774</v>
      </c>
      <c r="N293" s="39">
        <f>(VLOOKUP($A293,'The List'!$B1:$AH727,26,FALSE)-AVERAGE('The List'!AA2:AA727))/STDEV('The List'!AA2:AA727)</f>
        <v>-0.25685011993472584</v>
      </c>
      <c r="O293" s="39">
        <f>(VLOOKUP($A293,'The List'!$B1:$AH727,27,FALSE)-AVERAGE('The List'!AB2:AB727))/STDEV('The List'!AB2:AB727)</f>
        <v>-0.3081189361890585</v>
      </c>
      <c r="P293" s="39">
        <f>(VLOOKUP($A293,'The List'!$B1:$AH727,28,FALSE)-AVERAGE('The List'!AC2:AC727))/STDEV('The List'!AC2:AC727)</f>
        <v>1.0361862538982922</v>
      </c>
      <c r="Q293" s="39">
        <f>(VLOOKUP($A293,'The List'!$B1:$AH727,29,FALSE)-AVERAGE('The List'!AD2:AD727))/STDEV('The List'!AD2:AD727)</f>
        <v>-0.55920295926723995</v>
      </c>
      <c r="R293" s="39">
        <f>(VLOOKUP($A293,'The List'!$B1:$AH727,30,FALSE)-AVERAGE('The List'!AE2:AE727))/STDEV('The List'!AE2:AE727)</f>
        <v>4.1139806207983208E-2</v>
      </c>
      <c r="S293" s="39">
        <f>(VLOOKUP($A293,'The List'!$B1:$AH727,31,FALSE)-AVERAGE('The List'!AF2:AF727))/STDEV('The List'!AF2:AF727)</f>
        <v>0.44053637935484352</v>
      </c>
      <c r="T293" s="39">
        <f>(VLOOKUP($A293,'The List'!$B1:$AH727,32,FALSE)-AVERAGE('The List'!AG2:AG727))/STDEV('The List'!AG2:AG727)</f>
        <v>0.84538489501996106</v>
      </c>
      <c r="U293" s="39">
        <f>(VLOOKUP($A293,'The List'!$B1:$AH727,33,FALSE)-AVERAGE('The List'!AH2:AH727))/STDEV('The List'!AH2:AH727)</f>
        <v>0.66050297381959988</v>
      </c>
      <c r="V293" s="39"/>
      <c r="W293" s="43"/>
      <c r="X293" s="41"/>
      <c r="Y293" s="41"/>
      <c r="Z293" s="41"/>
      <c r="AA293" s="41"/>
      <c r="AB293" s="41"/>
      <c r="AC293" s="44"/>
      <c r="AD293" s="45"/>
      <c r="AE293" s="39"/>
    </row>
    <row r="294" spans="1:31" ht="21.25" customHeight="1" x14ac:dyDescent="0.15">
      <c r="A294" s="8" t="s">
        <v>309</v>
      </c>
      <c r="B294" s="35" t="str">
        <f>VLOOKUP(A294,'Player Data'!A1:B734,2,FALSE)</f>
        <v>CBJ</v>
      </c>
      <c r="C294" s="37">
        <f>((E294)*Settings!$C$12)+(F294*Settings!$C$2)+(G294*Settings!$C$3)+(H294*Settings!$C$4)+(I294*Settings!$C$5)+(K294*Settings!$C$9)+(N294*Settings!$C$6)+(J294*Settings!$C$8)+(O294*Settings!$C$7)+(P294*Settings!$C$14)+(Q294*Settings!$C$15)+(R294*Settings!$C$16)+(S294*Settings!$C$17)+(T294*Settings!$C$18)+(U294*Settings!$C$19)</f>
        <v>0.1639085364938313</v>
      </c>
      <c r="D294" s="41">
        <f>IF(Settings!$E$12="YES",VLOOKUP(A294,'Player Data'!A1:E734,5,FALSE),82)</f>
        <v>81.577500000000001</v>
      </c>
      <c r="E294" s="39">
        <f>(VLOOKUP($A294,'The List'!$B1:$AH727,17,FALSE)-AVERAGE('The List'!R2:R727))/STDEV('The List'!R2:R727)</f>
        <v>1.2030234108192526</v>
      </c>
      <c r="F294" s="39">
        <f>(VLOOKUP($A294,'The List'!$B1:$AH727,18,FALSE)-AVERAGE('The List'!S2:S727))/STDEV('The List'!S2:S727)</f>
        <v>-0.55469619031255513</v>
      </c>
      <c r="G294" s="39">
        <f>(VLOOKUP($A294,'The List'!$B1:$AH727,19,FALSE)-AVERAGE('The List'!T2:T727))/STDEV('The List'!T2:T727)</f>
        <v>0.38969134600722394</v>
      </c>
      <c r="H294" s="39">
        <f>(VLOOKUP($A294,'The List'!$B1:$AH727,20,FALSE)-AVERAGE('The List'!U2:U727))/STDEV('The List'!U2:U727)</f>
        <v>-1.2290081799677985E-2</v>
      </c>
      <c r="I294" s="39">
        <f>(VLOOKUP($A294,'The List'!$B1:$AH727,21,FALSE)-AVERAGE('The List'!V2:V727))/STDEV('The List'!V2:V727)</f>
        <v>-0.12045572896596508</v>
      </c>
      <c r="J294" s="39">
        <f>(VLOOKUP($A294,'The List'!$B1:$AH727,22,FALSE)-AVERAGE('The List'!W2:W727))/STDEV('The List'!W2:W727)</f>
        <v>-0.24844787766835394</v>
      </c>
      <c r="K294" s="39">
        <f>(VLOOKUP($A294,'The List'!$B1:$AH727,23,FALSE)-AVERAGE('The List'!X2:X727))/STDEV('The List'!X2:X727)</f>
        <v>-7.5230763337385168E-2</v>
      </c>
      <c r="L294" s="39">
        <f>(VLOOKUP($A294,'The List'!$B1:$AH727,24,FALSE)-AVERAGE('The List'!Y2:Y727))/STDEV('The List'!Y2:Y727)</f>
        <v>-5.9667962502548598E-2</v>
      </c>
      <c r="M294" s="39">
        <f>(VLOOKUP($A294,'The List'!$B1:$AH727,25,FALSE)-AVERAGE('The List'!Z2:Z727))/STDEV('The List'!Z2:Z727)</f>
        <v>-0.11015484974977675</v>
      </c>
      <c r="N294" s="39">
        <f>(VLOOKUP($A294,'The List'!$B1:$AH727,26,FALSE)-AVERAGE('The List'!AA2:AA727))/STDEV('The List'!AA2:AA727)</f>
        <v>1.2902294429491321</v>
      </c>
      <c r="O294" s="39">
        <f>(VLOOKUP($A294,'The List'!$B1:$AH727,27,FALSE)-AVERAGE('The List'!AB2:AB727))/STDEV('The List'!AB2:AB727)</f>
        <v>-0.54894010957710626</v>
      </c>
      <c r="P294" s="39">
        <f>(VLOOKUP($A294,'The List'!$B1:$AH727,28,FALSE)-AVERAGE('The List'!AC2:AC727))/STDEV('The List'!AC2:AC727)</f>
        <v>-0.76562956984661934</v>
      </c>
      <c r="Q294" s="39">
        <f>(VLOOKUP($A294,'The List'!$B1:$AH727,29,FALSE)-AVERAGE('The List'!AD2:AD727))/STDEV('The List'!AD2:AD727)</f>
        <v>0.72560608963959516</v>
      </c>
      <c r="R294" s="39">
        <f>(VLOOKUP($A294,'The List'!$B1:$AH727,30,FALSE)-AVERAGE('The List'!AE2:AE727))/STDEV('The List'!AE2:AE727)</f>
        <v>-0.67469036044355679</v>
      </c>
      <c r="S294" s="39">
        <f>(VLOOKUP($A294,'The List'!$B1:$AH727,31,FALSE)-AVERAGE('The List'!AF2:AF727))/STDEV('The List'!AF2:AF727)</f>
        <v>-0.55804314905918151</v>
      </c>
      <c r="T294" s="39">
        <f>(VLOOKUP($A294,'The List'!$B1:$AH727,32,FALSE)-AVERAGE('The List'!AG2:AG727))/STDEV('The List'!AG2:AG727)</f>
        <v>-0.60188453558131205</v>
      </c>
      <c r="U294" s="39">
        <f>(VLOOKUP($A294,'The List'!$B1:$AH727,33,FALSE)-AVERAGE('The List'!AH2:AH727))/STDEV('The List'!AH2:AH727)</f>
        <v>-1.2395873372913611</v>
      </c>
      <c r="V294" s="39"/>
      <c r="W294" s="43"/>
      <c r="X294" s="41"/>
      <c r="Y294" s="41"/>
      <c r="Z294" s="41"/>
      <c r="AA294" s="41"/>
      <c r="AB294" s="41"/>
      <c r="AC294" s="44"/>
      <c r="AD294" s="45"/>
      <c r="AE294" s="39"/>
    </row>
    <row r="295" spans="1:31" ht="21.25" customHeight="1" x14ac:dyDescent="0.15">
      <c r="A295" s="8" t="s">
        <v>433</v>
      </c>
      <c r="B295" s="35" t="str">
        <f>VLOOKUP(A295,'Player Data'!A1:B734,2,FALSE)</f>
        <v>TBL</v>
      </c>
      <c r="C295" s="37">
        <f>((E295)*Settings!$C$12)+(F295*Settings!$C$2)+(G295*Settings!$C$3)+(H295*Settings!$C$4)+(I295*Settings!$C$5)+(K295*Settings!$C$9)+(N295*Settings!$C$6)+(J295*Settings!$C$8)+(O295*Settings!$C$7)+(P295*Settings!$C$14)+(Q295*Settings!$C$15)+(R295*Settings!$C$16)+(S295*Settings!$C$17)+(T295*Settings!$C$18)+(U295*Settings!$C$19)</f>
        <v>-0.4459103133592156</v>
      </c>
      <c r="D295" s="41">
        <f>IF(Settings!$E$12="YES",VLOOKUP(A295,'Player Data'!A1:E734,5,FALSE),82)</f>
        <v>81.400000000000006</v>
      </c>
      <c r="E295" s="39">
        <f>(VLOOKUP($A295,'The List'!$B1:$AH727,17,FALSE)-AVERAGE('The List'!R2:R727))/STDEV('The List'!R2:R727)</f>
        <v>-4.053589230775001E-2</v>
      </c>
      <c r="F295" s="39">
        <f>(VLOOKUP($A295,'The List'!$B1:$AH727,18,FALSE)-AVERAGE('The List'!S2:S727))/STDEV('The List'!S2:S727)</f>
        <v>0.34772610483174415</v>
      </c>
      <c r="G295" s="39">
        <f>(VLOOKUP($A295,'The List'!$B1:$AH727,19,FALSE)-AVERAGE('The List'!T2:T727))/STDEV('The List'!T2:T727)</f>
        <v>-0.29951321111993739</v>
      </c>
      <c r="H295" s="39">
        <f>(VLOOKUP($A295,'The List'!$B1:$AH727,20,FALSE)-AVERAGE('The List'!U2:U727))/STDEV('The List'!U2:U727)</f>
        <v>-2.6325661456821841E-2</v>
      </c>
      <c r="I295" s="39">
        <f>(VLOOKUP($A295,'The List'!$B1:$AH727,21,FALSE)-AVERAGE('The List'!V2:V727))/STDEV('The List'!V2:V727)</f>
        <v>0.15165098803877897</v>
      </c>
      <c r="J295" s="39">
        <f>(VLOOKUP($A295,'The List'!$B1:$AH727,22,FALSE)-AVERAGE('The List'!W2:W727))/STDEV('The List'!W2:W727)</f>
        <v>0.36624588172145944</v>
      </c>
      <c r="K295" s="39">
        <f>(VLOOKUP($A295,'The List'!$B1:$AH727,23,FALSE)-AVERAGE('The List'!X2:X727))/STDEV('The List'!X2:X727)</f>
        <v>-0.20470144328332973</v>
      </c>
      <c r="L295" s="39">
        <f>(VLOOKUP($A295,'The List'!$B1:$AH727,24,FALSE)-AVERAGE('The List'!Y2:Y727))/STDEV('The List'!Y2:Y727)</f>
        <v>0.23000351022503865</v>
      </c>
      <c r="M295" s="39">
        <f>(VLOOKUP($A295,'The List'!$B1:$AH727,25,FALSE)-AVERAGE('The List'!Z2:Z727))/STDEV('The List'!Z2:Z727)</f>
        <v>0.51673259994836263</v>
      </c>
      <c r="N295" s="39">
        <f>(VLOOKUP($A295,'The List'!$B1:$AH727,26,FALSE)-AVERAGE('The List'!AA2:AA727))/STDEV('The List'!AA2:AA727)</f>
        <v>-0.29364670623517292</v>
      </c>
      <c r="O295" s="39">
        <f>(VLOOKUP($A295,'The List'!$B1:$AH727,27,FALSE)-AVERAGE('The List'!AB2:AB727))/STDEV('The List'!AB2:AB727)</f>
        <v>0.34757312969385901</v>
      </c>
      <c r="P295" s="39">
        <f>(VLOOKUP($A295,'The List'!$B1:$AH727,28,FALSE)-AVERAGE('The List'!AC2:AC727))/STDEV('The List'!AC2:AC727)</f>
        <v>-0.14742604559129871</v>
      </c>
      <c r="Q295" s="39">
        <f>(VLOOKUP($A295,'The List'!$B1:$AH727,29,FALSE)-AVERAGE('The List'!AD2:AD727))/STDEV('The List'!AD2:AD727)</f>
        <v>2.7642567447614893E-2</v>
      </c>
      <c r="R295" s="39">
        <f>(VLOOKUP($A295,'The List'!$B1:$AH727,30,FALSE)-AVERAGE('The List'!AE2:AE727))/STDEV('The List'!AE2:AE727)</f>
        <v>0.48613479071650534</v>
      </c>
      <c r="S295" s="39">
        <f>(VLOOKUP($A295,'The List'!$B1:$AH727,31,FALSE)-AVERAGE('The List'!AF2:AF727))/STDEV('The List'!AF2:AF727)</f>
        <v>1.7465390066294388</v>
      </c>
      <c r="T295" s="39">
        <f>(VLOOKUP($A295,'The List'!$B1:$AH727,32,FALSE)-AVERAGE('The List'!AG2:AG727))/STDEV('The List'!AG2:AG727)</f>
        <v>1.6177772398669801</v>
      </c>
      <c r="U295" s="39">
        <f>(VLOOKUP($A295,'The List'!$B1:$AH727,33,FALSE)-AVERAGE('The List'!AH2:AH727))/STDEV('The List'!AH2:AH727)</f>
        <v>1.118924573697589</v>
      </c>
      <c r="V295" s="39"/>
      <c r="W295" s="43"/>
      <c r="X295" s="41"/>
      <c r="Y295" s="41"/>
      <c r="Z295" s="41"/>
      <c r="AA295" s="41"/>
      <c r="AB295" s="41"/>
      <c r="AC295" s="44"/>
      <c r="AD295" s="45"/>
      <c r="AE295" s="39"/>
    </row>
    <row r="296" spans="1:31" ht="21.25" customHeight="1" x14ac:dyDescent="0.15">
      <c r="A296" s="8" t="s">
        <v>298</v>
      </c>
      <c r="B296" s="35" t="str">
        <f>VLOOKUP(A296,'Player Data'!A1:B734,2,FALSE)</f>
        <v>WPG</v>
      </c>
      <c r="C296" s="37">
        <f>((E296)*Settings!$C$12)+(F296*Settings!$C$2)+(G296*Settings!$C$3)+(H296*Settings!$C$4)+(I296*Settings!$C$5)+(K296*Settings!$C$9)+(N296*Settings!$C$6)+(J296*Settings!$C$8)+(O296*Settings!$C$7)+(P296*Settings!$C$14)+(Q296*Settings!$C$15)+(R296*Settings!$C$16)+(S296*Settings!$C$17)+(T296*Settings!$C$18)+(U296*Settings!$C$19)</f>
        <v>1.2853945222856555</v>
      </c>
      <c r="D296" s="41">
        <f>IF(Settings!$E$12="YES",VLOOKUP(A296,'Player Data'!A1:E734,5,FALSE),82)</f>
        <v>81.049642857142899</v>
      </c>
      <c r="E296" s="39">
        <f>(VLOOKUP($A296,'The List'!$B1:$AH727,17,FALSE)-AVERAGE('The List'!R2:R727))/STDEV('The List'!R2:R727)</f>
        <v>1.4262115642666171</v>
      </c>
      <c r="F296" s="39">
        <f>(VLOOKUP($A296,'The List'!$B1:$AH727,18,FALSE)-AVERAGE('The List'!S2:S727))/STDEV('The List'!S2:S727)</f>
        <v>-0.68015541594129736</v>
      </c>
      <c r="G296" s="39">
        <f>(VLOOKUP($A296,'The List'!$B1:$AH727,19,FALSE)-AVERAGE('The List'!T2:T727))/STDEV('The List'!T2:T727)</f>
        <v>0.44739950952869323</v>
      </c>
      <c r="H296" s="39">
        <f>(VLOOKUP($A296,'The List'!$B1:$AH727,20,FALSE)-AVERAGE('The List'!U2:U727))/STDEV('The List'!U2:U727)</f>
        <v>-3.3821578507559152E-2</v>
      </c>
      <c r="I296" s="39">
        <f>(VLOOKUP($A296,'The List'!$B1:$AH727,21,FALSE)-AVERAGE('The List'!V2:V727))/STDEV('The List'!V2:V727)</f>
        <v>0.14955726823523038</v>
      </c>
      <c r="J296" s="39">
        <f>(VLOOKUP($A296,'The List'!$B1:$AH727,22,FALSE)-AVERAGE('The List'!W2:W727))/STDEV('The List'!W2:W727)</f>
        <v>-0.43816384501499867</v>
      </c>
      <c r="K296" s="39">
        <f>(VLOOKUP($A296,'The List'!$B1:$AH727,23,FALSE)-AVERAGE('The List'!X2:X727))/STDEV('The List'!X2:X727)</f>
        <v>-8.8051716956831172E-2</v>
      </c>
      <c r="L296" s="39">
        <f>(VLOOKUP($A296,'The List'!$B1:$AH727,24,FALSE)-AVERAGE('The List'!Y2:Y727))/STDEV('The List'!Y2:Y727)</f>
        <v>-0.48166790836898271</v>
      </c>
      <c r="M296" s="39">
        <f>(VLOOKUP($A296,'The List'!$B1:$AH727,25,FALSE)-AVERAGE('The List'!Z2:Z727))/STDEV('The List'!Z2:Z727)</f>
        <v>1.1617673810340661E-2</v>
      </c>
      <c r="N296" s="39">
        <f>(VLOOKUP($A296,'The List'!$B1:$AH727,26,FALSE)-AVERAGE('The List'!AA2:AA727))/STDEV('The List'!AA2:AA727)</f>
        <v>1.6711567071219413</v>
      </c>
      <c r="O296" s="39">
        <f>(VLOOKUP($A296,'The List'!$B1:$AH727,27,FALSE)-AVERAGE('The List'!AB2:AB727))/STDEV('The List'!AB2:AB727)</f>
        <v>1.6702184188059104</v>
      </c>
      <c r="P296" s="39">
        <f>(VLOOKUP($A296,'The List'!$B1:$AH727,28,FALSE)-AVERAGE('The List'!AC2:AC727))/STDEV('The List'!AC2:AC727)</f>
        <v>-0.21451182970208088</v>
      </c>
      <c r="Q296" s="39">
        <f>(VLOOKUP($A296,'The List'!$B1:$AH727,29,FALSE)-AVERAGE('The List'!AD2:AD727))/STDEV('The List'!AD2:AD727)</f>
        <v>0.83780972838537027</v>
      </c>
      <c r="R296" s="39">
        <f>(VLOOKUP($A296,'The List'!$B1:$AH727,30,FALSE)-AVERAGE('The List'!AE2:AE727))/STDEV('The List'!AE2:AE727)</f>
        <v>-0.56664707840998529</v>
      </c>
      <c r="S296" s="39">
        <f>(VLOOKUP($A296,'The List'!$B1:$AH727,31,FALSE)-AVERAGE('The List'!AF2:AF727))/STDEV('The List'!AF2:AF727)</f>
        <v>-0.55804314905918151</v>
      </c>
      <c r="T296" s="39">
        <f>(VLOOKUP($A296,'The List'!$B1:$AH727,32,FALSE)-AVERAGE('The List'!AG2:AG727))/STDEV('The List'!AG2:AG727)</f>
        <v>-0.60188453558131205</v>
      </c>
      <c r="U296" s="39">
        <f>(VLOOKUP($A296,'The List'!$B1:$AH727,33,FALSE)-AVERAGE('The List'!AH2:AH727))/STDEV('The List'!AH2:AH727)</f>
        <v>-1.2395873372913611</v>
      </c>
      <c r="V296" s="39"/>
      <c r="W296" s="43"/>
      <c r="X296" s="41"/>
      <c r="Y296" s="41"/>
      <c r="Z296" s="41"/>
      <c r="AA296" s="41"/>
      <c r="AB296" s="41"/>
      <c r="AC296" s="44"/>
      <c r="AD296" s="45"/>
      <c r="AE296" s="39"/>
    </row>
    <row r="297" spans="1:31" ht="21.25" customHeight="1" x14ac:dyDescent="0.15">
      <c r="A297" s="8" t="s">
        <v>327</v>
      </c>
      <c r="B297" s="35" t="str">
        <f>VLOOKUP(A297,'Player Data'!A1:B734,2,FALSE)</f>
        <v>ARI</v>
      </c>
      <c r="C297" s="37">
        <f>((E297)*Settings!$C$12)+(F297*Settings!$C$2)+(G297*Settings!$C$3)+(H297*Settings!$C$4)+(I297*Settings!$C$5)+(K297*Settings!$C$9)+(N297*Settings!$C$6)+(J297*Settings!$C$8)+(O297*Settings!$C$7)+(P297*Settings!$C$14)+(Q297*Settings!$C$15)+(R297*Settings!$C$16)+(S297*Settings!$C$17)+(T297*Settings!$C$18)+(U297*Settings!$C$19)</f>
        <v>-2.6289247236427116E-2</v>
      </c>
      <c r="D297" s="41">
        <f>IF(Settings!$E$12="YES",VLOOKUP(A297,'Player Data'!A1:E734,5,FALSE),82)</f>
        <v>77.517499999999998</v>
      </c>
      <c r="E297" s="39">
        <f>(VLOOKUP($A297,'The List'!$B1:$AH727,17,FALSE)-AVERAGE('The List'!R2:R727))/STDEV('The List'!R2:R727)</f>
        <v>1.5982992047064466</v>
      </c>
      <c r="F297" s="39">
        <f>(VLOOKUP($A297,'The List'!$B1:$AH727,18,FALSE)-AVERAGE('The List'!S2:S727))/STDEV('The List'!S2:S727)</f>
        <v>-0.53620230567014582</v>
      </c>
      <c r="G297" s="39">
        <f>(VLOOKUP($A297,'The List'!$B1:$AH727,19,FALSE)-AVERAGE('The List'!T2:T727))/STDEV('The List'!T2:T727)</f>
        <v>0.22928345614510032</v>
      </c>
      <c r="H297" s="39">
        <f>(VLOOKUP($A297,'The List'!$B1:$AH727,20,FALSE)-AVERAGE('The List'!U2:U727))/STDEV('The List'!U2:U727)</f>
        <v>-0.1027190257649028</v>
      </c>
      <c r="I297" s="39">
        <f>(VLOOKUP($A297,'The List'!$B1:$AH727,21,FALSE)-AVERAGE('The List'!V2:V727))/STDEV('The List'!V2:V727)</f>
        <v>-0.54419148502557646</v>
      </c>
      <c r="J297" s="39">
        <f>(VLOOKUP($A297,'The List'!$B1:$AH727,22,FALSE)-AVERAGE('The List'!W2:W727))/STDEV('The List'!W2:W727)</f>
        <v>1.6740045637702325E-3</v>
      </c>
      <c r="K297" s="39">
        <f>(VLOOKUP($A297,'The List'!$B1:$AH727,23,FALSE)-AVERAGE('The List'!X2:X727))/STDEV('The List'!X2:X727)</f>
        <v>0.19619427588384319</v>
      </c>
      <c r="L297" s="39">
        <f>(VLOOKUP($A297,'The List'!$B1:$AH727,24,FALSE)-AVERAGE('The List'!Y2:Y727))/STDEV('The List'!Y2:Y727)</f>
        <v>-0.4889784389527298</v>
      </c>
      <c r="M297" s="39">
        <f>(VLOOKUP($A297,'The List'!$B1:$AH727,25,FALSE)-AVERAGE('The List'!Z2:Z727))/STDEV('The List'!Z2:Z727)</f>
        <v>-0.54516718911397266</v>
      </c>
      <c r="N297" s="39">
        <f>(VLOOKUP($A297,'The List'!$B1:$AH727,26,FALSE)-AVERAGE('The List'!AA2:AA727))/STDEV('The List'!AA2:AA727)</f>
        <v>1.945429466241881</v>
      </c>
      <c r="O297" s="39">
        <f>(VLOOKUP($A297,'The List'!$B1:$AH727,27,FALSE)-AVERAGE('The List'!AB2:AB727))/STDEV('The List'!AB2:AB727)</f>
        <v>8.8659305957863193E-4</v>
      </c>
      <c r="P297" s="39">
        <f>(VLOOKUP($A297,'The List'!$B1:$AH727,28,FALSE)-AVERAGE('The List'!AC2:AC727))/STDEV('The List'!AC2:AC727)</f>
        <v>-1.3168026548115295</v>
      </c>
      <c r="Q297" s="39">
        <f>(VLOOKUP($A297,'The List'!$B1:$AH727,29,FALSE)-AVERAGE('The List'!AD2:AD727))/STDEV('The List'!AD2:AD727)</f>
        <v>0.39644717695833731</v>
      </c>
      <c r="R297" s="39">
        <f>(VLOOKUP($A297,'The List'!$B1:$AH727,30,FALSE)-AVERAGE('The List'!AE2:AE727))/STDEV('The List'!AE2:AE727)</f>
        <v>-0.58208367289728757</v>
      </c>
      <c r="S297" s="39">
        <f>(VLOOKUP($A297,'The List'!$B1:$AH727,31,FALSE)-AVERAGE('The List'!AF2:AF727))/STDEV('The List'!AF2:AF727)</f>
        <v>-0.55804314905918151</v>
      </c>
      <c r="T297" s="39">
        <f>(VLOOKUP($A297,'The List'!$B1:$AH727,32,FALSE)-AVERAGE('The List'!AG2:AG727))/STDEV('The List'!AG2:AG727)</f>
        <v>-0.60188453558131205</v>
      </c>
      <c r="U297" s="39">
        <f>(VLOOKUP($A297,'The List'!$B1:$AH727,33,FALSE)-AVERAGE('The List'!AH2:AH727))/STDEV('The List'!AH2:AH727)</f>
        <v>-1.2395873372913611</v>
      </c>
      <c r="V297" s="39"/>
      <c r="W297" s="43"/>
      <c r="X297" s="41"/>
      <c r="Y297" s="41"/>
      <c r="Z297" s="41"/>
      <c r="AA297" s="41"/>
      <c r="AB297" s="41"/>
      <c r="AC297" s="44"/>
      <c r="AD297" s="45"/>
      <c r="AE297" s="39"/>
    </row>
    <row r="298" spans="1:31" ht="21.25" customHeight="1" x14ac:dyDescent="0.15">
      <c r="A298" s="8" t="s">
        <v>342</v>
      </c>
      <c r="B298" s="35" t="str">
        <f>VLOOKUP(A298,'Player Data'!A1:B734,2,FALSE)</f>
        <v>COL</v>
      </c>
      <c r="C298" s="37">
        <f>((E298)*Settings!$C$12)+(F298*Settings!$C$2)+(G298*Settings!$C$3)+(H298*Settings!$C$4)+(I298*Settings!$C$5)+(K298*Settings!$C$9)+(N298*Settings!$C$6)+(J298*Settings!$C$8)+(O298*Settings!$C$7)+(P298*Settings!$C$14)+(Q298*Settings!$C$15)+(R298*Settings!$C$16)+(S298*Settings!$C$17)+(T298*Settings!$C$18)+(U298*Settings!$C$19)</f>
        <v>1.0660984658142749</v>
      </c>
      <c r="D298" s="41">
        <f>IF(Settings!$E$12="YES",VLOOKUP(A298,'Player Data'!A1:E734,5,FALSE),82)</f>
        <v>77.731071428571397</v>
      </c>
      <c r="E298" s="39">
        <f>(VLOOKUP($A298,'The List'!$B1:$AH727,17,FALSE)-AVERAGE('The List'!R2:R727))/STDEV('The List'!R2:R727)</f>
        <v>1.0338102025912397</v>
      </c>
      <c r="F298" s="39">
        <f>(VLOOKUP($A298,'The List'!$B1:$AH727,18,FALSE)-AVERAGE('The List'!S2:S727))/STDEV('The List'!S2:S727)</f>
        <v>-0.70487787582853823</v>
      </c>
      <c r="G298" s="39">
        <f>(VLOOKUP($A298,'The List'!$B1:$AH727,19,FALSE)-AVERAGE('The List'!T2:T727))/STDEV('The List'!T2:T727)</f>
        <v>0.35843325183400648</v>
      </c>
      <c r="H298" s="39">
        <f>(VLOOKUP($A298,'The List'!$B1:$AH727,20,FALSE)-AVERAGE('The List'!U2:U727))/STDEV('The List'!U2:U727)</f>
        <v>-9.9893671984178201E-2</v>
      </c>
      <c r="I298" s="39">
        <f>(VLOOKUP($A298,'The List'!$B1:$AH727,21,FALSE)-AVERAGE('The List'!V2:V727))/STDEV('The List'!V2:V727)</f>
        <v>-0.37988670286864096</v>
      </c>
      <c r="J298" s="39">
        <f>(VLOOKUP($A298,'The List'!$B1:$AH727,22,FALSE)-AVERAGE('The List'!W2:W727))/STDEV('The List'!W2:W727)</f>
        <v>-0.6074522189482866</v>
      </c>
      <c r="K298" s="39">
        <f>(VLOOKUP($A298,'The List'!$B1:$AH727,23,FALSE)-AVERAGE('The List'!X2:X727))/STDEV('The List'!X2:X727)</f>
        <v>-0.20144744651424668</v>
      </c>
      <c r="L298" s="39">
        <f>(VLOOKUP($A298,'The List'!$B1:$AH727,24,FALSE)-AVERAGE('The List'!Y2:Y727))/STDEV('The List'!Y2:Y727)</f>
        <v>-0.48571733037455889</v>
      </c>
      <c r="M298" s="39">
        <f>(VLOOKUP($A298,'The List'!$B1:$AH727,25,FALSE)-AVERAGE('The List'!Z2:Z727))/STDEV('The List'!Z2:Z727)</f>
        <v>-4.7488588481578123E-2</v>
      </c>
      <c r="N298" s="39">
        <f>(VLOOKUP($A298,'The List'!$B1:$AH727,26,FALSE)-AVERAGE('The List'!AA2:AA727))/STDEV('The List'!AA2:AA727)</f>
        <v>1.3648553912789401</v>
      </c>
      <c r="O298" s="39">
        <f>(VLOOKUP($A298,'The List'!$B1:$AH727,27,FALSE)-AVERAGE('The List'!AB2:AB727))/STDEV('The List'!AB2:AB727)</f>
        <v>-0.28534134142363426</v>
      </c>
      <c r="P298" s="39">
        <f>(VLOOKUP($A298,'The List'!$B1:$AH727,28,FALSE)-AVERAGE('The List'!AC2:AC727))/STDEV('The List'!AC2:AC727)</f>
        <v>0.62902184791275428</v>
      </c>
      <c r="Q298" s="39">
        <f>(VLOOKUP($A298,'The List'!$B1:$AH727,29,FALSE)-AVERAGE('The List'!AD2:AD727))/STDEV('The List'!AD2:AD727)</f>
        <v>-0.65768894028094516</v>
      </c>
      <c r="R298" s="39">
        <f>(VLOOKUP($A298,'The List'!$B1:$AH727,30,FALSE)-AVERAGE('The List'!AE2:AE727))/STDEV('The List'!AE2:AE727)</f>
        <v>-0.58332904359705928</v>
      </c>
      <c r="S298" s="39">
        <f>(VLOOKUP($A298,'The List'!$B1:$AH727,31,FALSE)-AVERAGE('The List'!AF2:AF727))/STDEV('The List'!AF2:AF727)</f>
        <v>-0.55804314905918151</v>
      </c>
      <c r="T298" s="39">
        <f>(VLOOKUP($A298,'The List'!$B1:$AH727,32,FALSE)-AVERAGE('The List'!AG2:AG727))/STDEV('The List'!AG2:AG727)</f>
        <v>-0.60188453558131205</v>
      </c>
      <c r="U298" s="39">
        <f>(VLOOKUP($A298,'The List'!$B1:$AH727,33,FALSE)-AVERAGE('The List'!AH2:AH727))/STDEV('The List'!AH2:AH727)</f>
        <v>-1.2395873372913611</v>
      </c>
      <c r="V298" s="39"/>
      <c r="W298" s="43"/>
      <c r="X298" s="41"/>
      <c r="Y298" s="41"/>
      <c r="Z298" s="41"/>
      <c r="AA298" s="41"/>
      <c r="AB298" s="41"/>
      <c r="AC298" s="44"/>
      <c r="AD298" s="45"/>
      <c r="AE298" s="39"/>
    </row>
    <row r="299" spans="1:31" ht="21.25" customHeight="1" x14ac:dyDescent="0.15">
      <c r="A299" s="8" t="s">
        <v>495</v>
      </c>
      <c r="B299" s="35" t="str">
        <f>VLOOKUP(A299,'Player Data'!A1:B734,2,FALSE)</f>
        <v>WSH</v>
      </c>
      <c r="C299" s="37">
        <f>((E299)*Settings!$C$12)+(F299*Settings!$C$2)+(G299*Settings!$C$3)+(H299*Settings!$C$4)+(I299*Settings!$C$5)+(K299*Settings!$C$9)+(N299*Settings!$C$6)+(J299*Settings!$C$8)+(O299*Settings!$C$7)+(P299*Settings!$C$14)+(Q299*Settings!$C$15)+(R299*Settings!$C$16)+(S299*Settings!$C$17)+(T299*Settings!$C$18)+(U299*Settings!$C$19)</f>
        <v>-2.390603608880042</v>
      </c>
      <c r="D299" s="41">
        <f>IF(Settings!$E$12="YES",VLOOKUP(A299,'Player Data'!A1:E734,5,FALSE),82)</f>
        <v>72.099999999999994</v>
      </c>
      <c r="E299" s="39">
        <f>(VLOOKUP($A299,'The List'!$B1:$AH727,17,FALSE)-AVERAGE('The List'!R2:R727))/STDEV('The List'!R2:R727)</f>
        <v>-0.64591099596575541</v>
      </c>
      <c r="F299" s="39">
        <f>(VLOOKUP($A299,'The List'!$B1:$AH727,18,FALSE)-AVERAGE('The List'!S2:S727))/STDEV('The List'!S2:S727)</f>
        <v>-2.1858383028609474E-2</v>
      </c>
      <c r="G299" s="39">
        <f>(VLOOKUP($A299,'The List'!$B1:$AH727,19,FALSE)-AVERAGE('The List'!T2:T727))/STDEV('The List'!T2:T727)</f>
        <v>-0.32686194063567386</v>
      </c>
      <c r="H299" s="39">
        <f>(VLOOKUP($A299,'The List'!$B1:$AH727,20,FALSE)-AVERAGE('The List'!U2:U727))/STDEV('The List'!U2:U727)</f>
        <v>-0.21136226963717966</v>
      </c>
      <c r="I299" s="39">
        <f>(VLOOKUP($A299,'The List'!$B1:$AH727,21,FALSE)-AVERAGE('The List'!V2:V727))/STDEV('The List'!V2:V727)</f>
        <v>-4.0933233307172308E-2</v>
      </c>
      <c r="J299" s="39">
        <f>(VLOOKUP($A299,'The List'!$B1:$AH727,22,FALSE)-AVERAGE('The List'!W2:W727))/STDEV('The List'!W2:W727)</f>
        <v>-0.50441537313259954</v>
      </c>
      <c r="K299" s="39">
        <f>(VLOOKUP($A299,'The List'!$B1:$AH727,23,FALSE)-AVERAGE('The List'!X2:X727))/STDEV('The List'!X2:X727)</f>
        <v>-0.61425442909443784</v>
      </c>
      <c r="L299" s="39">
        <f>(VLOOKUP($A299,'The List'!$B1:$AH727,24,FALSE)-AVERAGE('The List'!Y2:Y727))/STDEV('The List'!Y2:Y727)</f>
        <v>-0.53389527177730323</v>
      </c>
      <c r="M299" s="39">
        <f>(VLOOKUP($A299,'The List'!$B1:$AH727,25,FALSE)-AVERAGE('The List'!Z2:Z727))/STDEV('The List'!Z2:Z727)</f>
        <v>-0.71227726175644368</v>
      </c>
      <c r="N299" s="39">
        <f>(VLOOKUP($A299,'The List'!$B1:$AH727,26,FALSE)-AVERAGE('The List'!AA2:AA727))/STDEV('The List'!AA2:AA727)</f>
        <v>-0.78820091841895601</v>
      </c>
      <c r="O299" s="39">
        <f>(VLOOKUP($A299,'The List'!$B1:$AH727,27,FALSE)-AVERAGE('The List'!AB2:AB727))/STDEV('The List'!AB2:AB727)</f>
        <v>-0.332358219425756</v>
      </c>
      <c r="P299" s="39">
        <f>(VLOOKUP($A299,'The List'!$B1:$AH727,28,FALSE)-AVERAGE('The List'!AC2:AC727))/STDEV('The List'!AC2:AC727)</f>
        <v>-0.59849470439519237</v>
      </c>
      <c r="Q299" s="39">
        <f>(VLOOKUP($A299,'The List'!$B1:$AH727,29,FALSE)-AVERAGE('The List'!AD2:AD727))/STDEV('The List'!AD2:AD727)</f>
        <v>-0.20803472519566657</v>
      </c>
      <c r="R299" s="39">
        <f>(VLOOKUP($A299,'The List'!$B1:$AH727,30,FALSE)-AVERAGE('The List'!AE2:AE727))/STDEV('The List'!AE2:AE727)</f>
        <v>-0.17001942784548768</v>
      </c>
      <c r="S299" s="39">
        <f>(VLOOKUP($A299,'The List'!$B1:$AH727,31,FALSE)-AVERAGE('The List'!AF2:AF727))/STDEV('The List'!AF2:AF727)</f>
        <v>-0.50119137922411283</v>
      </c>
      <c r="T299" s="39">
        <f>(VLOOKUP($A299,'The List'!$B1:$AH727,32,FALSE)-AVERAGE('The List'!AG2:AG727))/STDEV('The List'!AG2:AG727)</f>
        <v>-0.55365701977745185</v>
      </c>
      <c r="U299" s="39">
        <f>(VLOOKUP($A299,'The List'!$B1:$AH727,33,FALSE)-AVERAGE('The List'!AH2:AH727))/STDEV('The List'!AH2:AH727)</f>
        <v>1.2614676266786931</v>
      </c>
      <c r="V299" s="39"/>
      <c r="W299" s="43"/>
      <c r="X299" s="41"/>
      <c r="Y299" s="41"/>
      <c r="Z299" s="41"/>
      <c r="AA299" s="41"/>
      <c r="AB299" s="41"/>
      <c r="AC299" s="44"/>
      <c r="AD299" s="45"/>
      <c r="AE299" s="39"/>
    </row>
    <row r="300" spans="1:31" ht="21.25" customHeight="1" x14ac:dyDescent="0.15">
      <c r="A300" s="8" t="s">
        <v>614</v>
      </c>
      <c r="B300" s="35" t="str">
        <f>VLOOKUP(A300,'Player Data'!A1:B734,2,FALSE)</f>
        <v>DET</v>
      </c>
      <c r="C300" s="37">
        <f>((E300)*Settings!$C$12)+(F300*Settings!$C$2)+(G300*Settings!$C$3)+(H300*Settings!$C$4)+(I300*Settings!$C$5)+(K300*Settings!$C$9)+(N300*Settings!$C$6)+(J300*Settings!$C$8)+(O300*Settings!$C$7)+(P300*Settings!$C$14)+(Q300*Settings!$C$15)+(R300*Settings!$C$16)+(S300*Settings!$C$17)+(T300*Settings!$C$18)+(U300*Settings!$C$19)</f>
        <v>-1.925092812170432</v>
      </c>
      <c r="D300" s="41">
        <f>IF(Settings!$E$12="YES",VLOOKUP(A300,'Player Data'!A1:E734,5,FALSE),82)</f>
        <v>74.797142857142902</v>
      </c>
      <c r="E300" s="39">
        <f>(VLOOKUP($A300,'The List'!$B1:$AH727,17,FALSE)-AVERAGE('The List'!R2:R727))/STDEV('The List'!R2:R727)</f>
        <v>-0.42283927337343441</v>
      </c>
      <c r="F300" s="39">
        <f>(VLOOKUP($A300,'The List'!$B1:$AH727,18,FALSE)-AVERAGE('The List'!S2:S727))/STDEV('The List'!S2:S727)</f>
        <v>7.6055199547474223E-2</v>
      </c>
      <c r="G300" s="39">
        <f>(VLOOKUP($A300,'The List'!$B1:$AH727,19,FALSE)-AVERAGE('The List'!T2:T727))/STDEV('The List'!T2:T727)</f>
        <v>-0.31635545294353579</v>
      </c>
      <c r="H300" s="39">
        <f>(VLOOKUP($A300,'The List'!$B1:$AH727,20,FALSE)-AVERAGE('The List'!U2:U727))/STDEV('The List'!U2:U727)</f>
        <v>-0.16033126803079981</v>
      </c>
      <c r="I300" s="39">
        <f>(VLOOKUP($A300,'The List'!$B1:$AH727,21,FALSE)-AVERAGE('The List'!V2:V727))/STDEV('The List'!V2:V727)</f>
        <v>-0.26282452188900235</v>
      </c>
      <c r="J300" s="39">
        <f>(VLOOKUP($A300,'The List'!$B1:$AH727,22,FALSE)-AVERAGE('The List'!W2:W727))/STDEV('The List'!W2:W727)</f>
        <v>-0.6782320604166252</v>
      </c>
      <c r="K300" s="39">
        <f>(VLOOKUP($A300,'The List'!$B1:$AH727,23,FALSE)-AVERAGE('The List'!X2:X727))/STDEV('The List'!X2:X727)</f>
        <v>-0.73067951103987616</v>
      </c>
      <c r="L300" s="39">
        <f>(VLOOKUP($A300,'The List'!$B1:$AH727,24,FALSE)-AVERAGE('The List'!Y2:Y727))/STDEV('The List'!Y2:Y727)</f>
        <v>-0.22085599210571655</v>
      </c>
      <c r="M300" s="39">
        <f>(VLOOKUP($A300,'The List'!$B1:$AH727,25,FALSE)-AVERAGE('The List'!Z2:Z727))/STDEV('The List'!Z2:Z727)</f>
        <v>-0.38752408323024112</v>
      </c>
      <c r="N300" s="39">
        <f>(VLOOKUP($A300,'The List'!$B1:$AH727,26,FALSE)-AVERAGE('The List'!AA2:AA727))/STDEV('The List'!AA2:AA727)</f>
        <v>6.4193597780012074E-2</v>
      </c>
      <c r="O300" s="39">
        <f>(VLOOKUP($A300,'The List'!$B1:$AH727,27,FALSE)-AVERAGE('The List'!AB2:AB727))/STDEV('The List'!AB2:AB727)</f>
        <v>1.0689413152303584</v>
      </c>
      <c r="P300" s="39">
        <f>(VLOOKUP($A300,'The List'!$B1:$AH727,28,FALSE)-AVERAGE('The List'!AC2:AC727))/STDEV('The List'!AC2:AC727)</f>
        <v>-0.75548212362550393</v>
      </c>
      <c r="Q300" s="39">
        <f>(VLOOKUP($A300,'The List'!$B1:$AH727,29,FALSE)-AVERAGE('The List'!AD2:AD727))/STDEV('The List'!AD2:AD727)</f>
        <v>1.2291966072658629</v>
      </c>
      <c r="R300" s="39">
        <f>(VLOOKUP($A300,'The List'!$B1:$AH727,30,FALSE)-AVERAGE('The List'!AE2:AE727))/STDEV('The List'!AE2:AE727)</f>
        <v>-3.6706039355356601E-2</v>
      </c>
      <c r="S300" s="39">
        <f>(VLOOKUP($A300,'The List'!$B1:$AH727,31,FALSE)-AVERAGE('The List'!AF2:AF727))/STDEV('The List'!AF2:AF727)</f>
        <v>0.85823242142320877</v>
      </c>
      <c r="T300" s="39">
        <f>(VLOOKUP($A300,'The List'!$B1:$AH727,32,FALSE)-AVERAGE('The List'!AG2:AG727))/STDEV('The List'!AG2:AG727)</f>
        <v>0.91736869332176496</v>
      </c>
      <c r="U300" s="39">
        <f>(VLOOKUP($A300,'The List'!$B1:$AH727,33,FALSE)-AVERAGE('The List'!AH2:AH727))/STDEV('The List'!AH2:AH727)</f>
        <v>0.99730895260942298</v>
      </c>
      <c r="V300" s="39"/>
      <c r="W300" s="43"/>
      <c r="X300" s="41"/>
      <c r="Y300" s="41"/>
      <c r="Z300" s="41"/>
      <c r="AA300" s="41"/>
      <c r="AB300" s="41"/>
      <c r="AC300" s="44"/>
      <c r="AD300" s="45"/>
      <c r="AE300" s="39"/>
    </row>
    <row r="301" spans="1:31" ht="21.25" customHeight="1" x14ac:dyDescent="0.15">
      <c r="A301" s="8" t="s">
        <v>325</v>
      </c>
      <c r="B301" s="35" t="str">
        <f>VLOOKUP(A301,'Player Data'!A1:B734,2,FALSE)</f>
        <v>DAL</v>
      </c>
      <c r="C301" s="37">
        <f>((E301)*Settings!$C$12)+(F301*Settings!$C$2)+(G301*Settings!$C$3)+(H301*Settings!$C$4)+(I301*Settings!$C$5)+(K301*Settings!$C$9)+(N301*Settings!$C$6)+(J301*Settings!$C$8)+(O301*Settings!$C$7)+(P301*Settings!$C$14)+(Q301*Settings!$C$15)+(R301*Settings!$C$16)+(S301*Settings!$C$17)+(T301*Settings!$C$18)+(U301*Settings!$C$19)</f>
        <v>1.6662876515956793</v>
      </c>
      <c r="D301" s="41">
        <f>IF(Settings!$E$12="YES",VLOOKUP(A301,'Player Data'!A1:E734,5,FALSE),82)</f>
        <v>73.674999999999997</v>
      </c>
      <c r="E301" s="39">
        <f>(VLOOKUP($A301,'The List'!$B1:$AH727,17,FALSE)-AVERAGE('The List'!R2:R727))/STDEV('The List'!R2:R727)</f>
        <v>1.0465753673283704</v>
      </c>
      <c r="F301" s="39">
        <f>(VLOOKUP($A301,'The List'!$B1:$AH727,18,FALSE)-AVERAGE('The List'!S2:S727))/STDEV('The List'!S2:S727)</f>
        <v>-0.66146496348736816</v>
      </c>
      <c r="G301" s="39">
        <f>(VLOOKUP($A301,'The List'!$B1:$AH727,19,FALSE)-AVERAGE('The List'!T2:T727))/STDEV('The List'!T2:T727)</f>
        <v>0.1884249495392363</v>
      </c>
      <c r="H301" s="39">
        <f>(VLOOKUP($A301,'The List'!$B1:$AH727,20,FALSE)-AVERAGE('The List'!U2:U727))/STDEV('The List'!U2:U727)</f>
        <v>-0.18489876154538409</v>
      </c>
      <c r="I301" s="39">
        <f>(VLOOKUP($A301,'The List'!$B1:$AH727,21,FALSE)-AVERAGE('The List'!V2:V727))/STDEV('The List'!V2:V727)</f>
        <v>-2.1124828981491619E-2</v>
      </c>
      <c r="J301" s="39">
        <f>(VLOOKUP($A301,'The List'!$B1:$AH727,22,FALSE)-AVERAGE('The List'!W2:W727))/STDEV('The List'!W2:W727)</f>
        <v>-0.28047613032299673</v>
      </c>
      <c r="K301" s="39">
        <f>(VLOOKUP($A301,'The List'!$B1:$AH727,23,FALSE)-AVERAGE('The List'!X2:X727))/STDEV('The List'!X2:X727)</f>
        <v>9.1197177266334931E-2</v>
      </c>
      <c r="L301" s="39">
        <f>(VLOOKUP($A301,'The List'!$B1:$AH727,24,FALSE)-AVERAGE('The List'!Y2:Y727))/STDEV('The List'!Y2:Y727)</f>
        <v>-0.51507590791854629</v>
      </c>
      <c r="M301" s="39">
        <f>(VLOOKUP($A301,'The List'!$B1:$AH727,25,FALSE)-AVERAGE('The List'!Z2:Z727))/STDEV('The List'!Z2:Z727)</f>
        <v>-0.65828407713167769</v>
      </c>
      <c r="N301" s="39">
        <f>(VLOOKUP($A301,'The List'!$B1:$AH727,26,FALSE)-AVERAGE('The List'!AA2:AA727))/STDEV('The List'!AA2:AA727)</f>
        <v>0.97840247456133311</v>
      </c>
      <c r="O301" s="39">
        <f>(VLOOKUP($A301,'The List'!$B1:$AH727,27,FALSE)-AVERAGE('The List'!AB2:AB727))/STDEV('The List'!AB2:AB727)</f>
        <v>-0.43313707440556404</v>
      </c>
      <c r="P301" s="39">
        <f>(VLOOKUP($A301,'The List'!$B1:$AH727,28,FALSE)-AVERAGE('The List'!AC2:AC727))/STDEV('The List'!AC2:AC727)</f>
        <v>1.0908528426976347</v>
      </c>
      <c r="Q301" s="39">
        <f>(VLOOKUP($A301,'The List'!$B1:$AH727,29,FALSE)-AVERAGE('The List'!AD2:AD727))/STDEV('The List'!AD2:AD727)</f>
        <v>-2.7253869554446072E-2</v>
      </c>
      <c r="R301" s="39">
        <f>(VLOOKUP($A301,'The List'!$B1:$AH727,30,FALSE)-AVERAGE('The List'!AE2:AE727))/STDEV('The List'!AE2:AE727)</f>
        <v>-0.53111666260244683</v>
      </c>
      <c r="S301" s="39">
        <f>(VLOOKUP($A301,'The List'!$B1:$AH727,31,FALSE)-AVERAGE('The List'!AF2:AF727))/STDEV('The List'!AF2:AF727)</f>
        <v>-0.55804314905918151</v>
      </c>
      <c r="T301" s="39">
        <f>(VLOOKUP($A301,'The List'!$B1:$AH727,32,FALSE)-AVERAGE('The List'!AG2:AG727))/STDEV('The List'!AG2:AG727)</f>
        <v>-0.60188453558131205</v>
      </c>
      <c r="U301" s="39">
        <f>(VLOOKUP($A301,'The List'!$B1:$AH727,33,FALSE)-AVERAGE('The List'!AH2:AH727))/STDEV('The List'!AH2:AH727)</f>
        <v>-1.2395873372913611</v>
      </c>
      <c r="V301" s="39"/>
      <c r="W301" s="43"/>
      <c r="X301" s="41"/>
      <c r="Y301" s="41"/>
      <c r="Z301" s="41"/>
      <c r="AA301" s="41"/>
      <c r="AB301" s="41"/>
      <c r="AC301" s="44"/>
      <c r="AD301" s="45"/>
      <c r="AE301" s="39"/>
    </row>
    <row r="302" spans="1:31" ht="21.25" customHeight="1" x14ac:dyDescent="0.15">
      <c r="A302" s="8" t="s">
        <v>675</v>
      </c>
      <c r="B302" s="35" t="str">
        <f>VLOOKUP(A302,'Player Data'!A1:B734,2,FALSE)</f>
        <v>UFA</v>
      </c>
      <c r="C302" s="37">
        <f>((E302)*Settings!$C$12)+(F302*Settings!$C$2)+(G302*Settings!$C$3)+(H302*Settings!$C$4)+(I302*Settings!$C$5)+(K302*Settings!$C$9)+(N302*Settings!$C$6)+(J302*Settings!$C$8)+(O302*Settings!$C$7)+(P302*Settings!$C$14)+(Q302*Settings!$C$15)+(R302*Settings!$C$16)+(S302*Settings!$C$17)+(T302*Settings!$C$18)+(U302*Settings!$C$19)</f>
        <v>-2.6402565325797043</v>
      </c>
      <c r="D302" s="41">
        <f>IF(Settings!$E$12="YES",VLOOKUP(A302,'Player Data'!A1:E734,5,FALSE),82)</f>
        <v>67.17</v>
      </c>
      <c r="E302" s="39">
        <f>(VLOOKUP($A302,'The List'!$B1:$AH727,17,FALSE)-AVERAGE('The List'!R2:R727))/STDEV('The List'!R2:R727)</f>
        <v>-0.40864888608186012</v>
      </c>
      <c r="F302" s="39">
        <f>(VLOOKUP($A302,'The List'!$B1:$AH727,18,FALSE)-AVERAGE('The List'!S2:S727))/STDEV('The List'!S2:S727)</f>
        <v>-0.28293752226462371</v>
      </c>
      <c r="G302" s="39">
        <f>(VLOOKUP($A302,'The List'!$B1:$AH727,19,FALSE)-AVERAGE('The List'!T2:T727))/STDEV('The List'!T2:T727)</f>
        <v>-0.29507852226482245</v>
      </c>
      <c r="H302" s="39">
        <f>(VLOOKUP($A302,'The List'!$B1:$AH727,20,FALSE)-AVERAGE('The List'!U2:U727))/STDEV('The List'!U2:U727)</f>
        <v>-0.31058438031162455</v>
      </c>
      <c r="I302" s="39">
        <f>(VLOOKUP($A302,'The List'!$B1:$AH727,21,FALSE)-AVERAGE('The List'!V2:V727))/STDEV('The List'!V2:V727)</f>
        <v>-0.53624142338222047</v>
      </c>
      <c r="J302" s="39">
        <f>(VLOOKUP($A302,'The List'!$B1:$AH727,22,FALSE)-AVERAGE('The List'!W2:W727))/STDEV('The List'!W2:W727)</f>
        <v>0.24497874377865597</v>
      </c>
      <c r="K302" s="39">
        <f>(VLOOKUP($A302,'The List'!$B1:$AH727,23,FALSE)-AVERAGE('The List'!X2:X727))/STDEV('The List'!X2:X727)</f>
        <v>-0.21059486477609407</v>
      </c>
      <c r="L302" s="39">
        <f>(VLOOKUP($A302,'The List'!$B1:$AH727,24,FALSE)-AVERAGE('The List'!Y2:Y727))/STDEV('The List'!Y2:Y727)</f>
        <v>-0.54402834717551152</v>
      </c>
      <c r="M302" s="39">
        <f>(VLOOKUP($A302,'The List'!$B1:$AH727,25,FALSE)-AVERAGE('The List'!Z2:Z727))/STDEV('The List'!Z2:Z727)</f>
        <v>-0.72372514007823274</v>
      </c>
      <c r="N302" s="39">
        <f>(VLOOKUP($A302,'The List'!$B1:$AH727,26,FALSE)-AVERAGE('The List'!AA2:AA727))/STDEV('The List'!AA2:AA727)</f>
        <v>-0.94236011421449961</v>
      </c>
      <c r="O302" s="39">
        <f>(VLOOKUP($A302,'The List'!$B1:$AH727,27,FALSE)-AVERAGE('The List'!AB2:AB727))/STDEV('The List'!AB2:AB727)</f>
        <v>-1.4356684434255111</v>
      </c>
      <c r="P302" s="39">
        <f>(VLOOKUP($A302,'The List'!$B1:$AH727,28,FALSE)-AVERAGE('The List'!AC2:AC727))/STDEV('The List'!AC2:AC727)</f>
        <v>-0.37304408567744396</v>
      </c>
      <c r="Q302" s="39">
        <f>(VLOOKUP($A302,'The List'!$B1:$AH727,29,FALSE)-AVERAGE('The List'!AD2:AD727))/STDEV('The List'!AD2:AD727)</f>
        <v>2.9970589495145177E-2</v>
      </c>
      <c r="R302" s="39">
        <f>(VLOOKUP($A302,'The List'!$B1:$AH727,30,FALSE)-AVERAGE('The List'!AE2:AE727))/STDEV('The List'!AE2:AE727)</f>
        <v>-1.1921764565772743</v>
      </c>
      <c r="S302" s="39">
        <f>(VLOOKUP($A302,'The List'!$B1:$AH727,31,FALSE)-AVERAGE('The List'!AF2:AF727))/STDEV('The List'!AF2:AF727)</f>
        <v>2.5116714339147497</v>
      </c>
      <c r="T302" s="39">
        <f>(VLOOKUP($A302,'The List'!$B1:$AH727,32,FALSE)-AVERAGE('The List'!AG2:AG727))/STDEV('The List'!AG2:AG727)</f>
        <v>1.4664054532376436</v>
      </c>
      <c r="U302" s="39">
        <f>(VLOOKUP($A302,'The List'!$B1:$AH727,33,FALSE)-AVERAGE('The List'!AH2:AH727))/STDEV('The List'!AH2:AH727)</f>
        <v>1.5144062043875517</v>
      </c>
      <c r="V302" s="39"/>
      <c r="W302" s="43"/>
      <c r="X302" s="41"/>
      <c r="Y302" s="41"/>
      <c r="Z302" s="41"/>
      <c r="AA302" s="41"/>
      <c r="AB302" s="41"/>
      <c r="AC302" s="44"/>
      <c r="AD302" s="45"/>
      <c r="AE302" s="39"/>
    </row>
    <row r="303" spans="1:31" ht="21.25" customHeight="1" x14ac:dyDescent="0.15">
      <c r="A303" s="8" t="s">
        <v>688</v>
      </c>
      <c r="B303" s="35" t="str">
        <f>VLOOKUP(A303,'Player Data'!A1:B734,2,FALSE)</f>
        <v>DET</v>
      </c>
      <c r="C303" s="37">
        <f>((E303)*Settings!$C$12)+(F303*Settings!$C$2)+(G303*Settings!$C$3)+(H303*Settings!$C$4)+(I303*Settings!$C$5)+(K303*Settings!$C$9)+(N303*Settings!$C$6)+(J303*Settings!$C$8)+(O303*Settings!$C$7)+(P303*Settings!$C$14)+(Q303*Settings!$C$15)+(R303*Settings!$C$16)+(S303*Settings!$C$17)+(T303*Settings!$C$18)+(U303*Settings!$C$19)</f>
        <v>-2.7506752161100536</v>
      </c>
      <c r="D303" s="41">
        <f>IF(Settings!$E$12="YES",VLOOKUP(A303,'Player Data'!A1:E734,5,FALSE),82)</f>
        <v>65.062857142857098</v>
      </c>
      <c r="E303" s="39">
        <f>(VLOOKUP($A303,'The List'!$B1:$AH727,17,FALSE)-AVERAGE('The List'!R2:R727))/STDEV('The List'!R2:R727)</f>
        <v>-0.713155083650439</v>
      </c>
      <c r="F303" s="39">
        <f>(VLOOKUP($A303,'The List'!$B1:$AH727,18,FALSE)-AVERAGE('The List'!S2:S727))/STDEV('The List'!S2:S727)</f>
        <v>6.1925340512906692E-2</v>
      </c>
      <c r="G303" s="39">
        <f>(VLOOKUP($A303,'The List'!$B1:$AH727,19,FALSE)-AVERAGE('The List'!T2:T727))/STDEV('The List'!T2:T727)</f>
        <v>-0.62066525108659365</v>
      </c>
      <c r="H303" s="39">
        <f>(VLOOKUP($A303,'The List'!$B1:$AH727,20,FALSE)-AVERAGE('The List'!U2:U727))/STDEV('The List'!U2:U727)</f>
        <v>-0.35427973776533783</v>
      </c>
      <c r="I303" s="39">
        <f>(VLOOKUP($A303,'The List'!$B1:$AH727,21,FALSE)-AVERAGE('The List'!V2:V727))/STDEV('The List'!V2:V727)</f>
        <v>-0.65205426121504206</v>
      </c>
      <c r="J303" s="39">
        <f>(VLOOKUP($A303,'The List'!$B1:$AH727,22,FALSE)-AVERAGE('The List'!W2:W727))/STDEV('The List'!W2:W727)</f>
        <v>0.10015438991153842</v>
      </c>
      <c r="K303" s="39">
        <f>(VLOOKUP($A303,'The List'!$B1:$AH727,23,FALSE)-AVERAGE('The List'!X2:X727))/STDEV('The List'!X2:X727)</f>
        <v>-0.12881050913847317</v>
      </c>
      <c r="L303" s="39">
        <f>(VLOOKUP($A303,'The List'!$B1:$AH727,24,FALSE)-AVERAGE('The List'!Y2:Y727))/STDEV('The List'!Y2:Y727)</f>
        <v>-0.52493635203816791</v>
      </c>
      <c r="M303" s="39">
        <f>(VLOOKUP($A303,'The List'!$B1:$AH727,25,FALSE)-AVERAGE('The List'!Z2:Z727))/STDEV('The List'!Z2:Z727)</f>
        <v>-0.70225109796370144</v>
      </c>
      <c r="N303" s="39">
        <f>(VLOOKUP($A303,'The List'!$B1:$AH727,26,FALSE)-AVERAGE('The List'!AA2:AA727))/STDEV('The List'!AA2:AA727)</f>
        <v>-0.83112618860074317</v>
      </c>
      <c r="O303" s="39">
        <f>(VLOOKUP($A303,'The List'!$B1:$AH727,27,FALSE)-AVERAGE('The List'!AB2:AB727))/STDEV('The List'!AB2:AB727)</f>
        <v>-8.8514179350585073E-2</v>
      </c>
      <c r="P303" s="39">
        <f>(VLOOKUP($A303,'The List'!$B1:$AH727,28,FALSE)-AVERAGE('The List'!AC2:AC727))/STDEV('The List'!AC2:AC727)</f>
        <v>-0.57994434658210803</v>
      </c>
      <c r="Q303" s="39">
        <f>(VLOOKUP($A303,'The List'!$B1:$AH727,29,FALSE)-AVERAGE('The List'!AD2:AD727))/STDEV('The List'!AD2:AD727)</f>
        <v>-0.28252484605672973</v>
      </c>
      <c r="R303" s="39">
        <f>(VLOOKUP($A303,'The List'!$B1:$AH727,30,FALSE)-AVERAGE('The List'!AE2:AE727))/STDEV('The List'!AE2:AE727)</f>
        <v>-4.862283169170941E-2</v>
      </c>
      <c r="S303" s="39">
        <f>(VLOOKUP($A303,'The List'!$B1:$AH727,31,FALSE)-AVERAGE('The List'!AF2:AF727))/STDEV('The List'!AF2:AF727)</f>
        <v>-0.32575615399584362</v>
      </c>
      <c r="T303" s="39">
        <f>(VLOOKUP($A303,'The List'!$B1:$AH727,32,FALSE)-AVERAGE('The List'!AG2:AG727))/STDEV('The List'!AG2:AG727)</f>
        <v>-0.30573512335453973</v>
      </c>
      <c r="U303" s="39">
        <f>(VLOOKUP($A303,'The List'!$B1:$AH727,33,FALSE)-AVERAGE('The List'!AH2:AH727))/STDEV('The List'!AH2:AH727)</f>
        <v>0.80291265089388919</v>
      </c>
      <c r="V303" s="39"/>
      <c r="W303" s="41"/>
      <c r="X303" s="39"/>
      <c r="Y303" s="39"/>
      <c r="Z303" s="39"/>
      <c r="AA303" s="39"/>
      <c r="AB303" s="39"/>
      <c r="AC303" s="39"/>
      <c r="AD303" s="39"/>
      <c r="AE303" s="39"/>
    </row>
    <row r="304" spans="1:31" ht="21.25" customHeight="1" x14ac:dyDescent="0.15">
      <c r="A304" s="8" t="s">
        <v>450</v>
      </c>
      <c r="B304" s="35" t="str">
        <f>VLOOKUP(A304,'Player Data'!A1:B734,2,FALSE)</f>
        <v>CAR</v>
      </c>
      <c r="C304" s="37">
        <f>((E304)*Settings!$C$12)+(F304*Settings!$C$2)+(G304*Settings!$C$3)+(H304*Settings!$C$4)+(I304*Settings!$C$5)+(K304*Settings!$C$9)+(N304*Settings!$C$6)+(J304*Settings!$C$8)+(O304*Settings!$C$7)+(P304*Settings!$C$14)+(Q304*Settings!$C$15)+(R304*Settings!$C$16)+(S304*Settings!$C$17)+(T304*Settings!$C$18)+(U304*Settings!$C$19)</f>
        <v>0.36564363720330895</v>
      </c>
      <c r="D304" s="41">
        <f>IF(Settings!$E$12="YES",VLOOKUP(A304,'Player Data'!A1:E734,5,FALSE),82)</f>
        <v>70.344999999999999</v>
      </c>
      <c r="E304" s="39">
        <f>(VLOOKUP($A304,'The List'!$B1:$AH727,17,FALSE)-AVERAGE('The List'!R2:R727))/STDEV('The List'!R2:R727)</f>
        <v>-1.1107991417826477</v>
      </c>
      <c r="F304" s="39">
        <f>(VLOOKUP($A304,'The List'!$B1:$AH727,18,FALSE)-AVERAGE('The List'!S2:S727))/STDEV('The List'!S2:S727)</f>
        <v>-0.19432860153124243</v>
      </c>
      <c r="G304" s="39">
        <f>(VLOOKUP($A304,'The List'!$B1:$AH727,19,FALSE)-AVERAGE('The List'!T2:T727))/STDEV('The List'!T2:T727)</f>
        <v>-0.27902461274391172</v>
      </c>
      <c r="H304" s="39">
        <f>(VLOOKUP($A304,'The List'!$B1:$AH727,20,FALSE)-AVERAGE('The List'!U2:U727))/STDEV('The List'!U2:U727)</f>
        <v>-0.26036920968436816</v>
      </c>
      <c r="I304" s="39">
        <f>(VLOOKUP($A304,'The List'!$B1:$AH727,21,FALSE)-AVERAGE('The List'!V2:V727))/STDEV('The List'!V2:V727)</f>
        <v>-0.20588581168504469</v>
      </c>
      <c r="J304" s="39">
        <f>(VLOOKUP($A304,'The List'!$B1:$AH727,22,FALSE)-AVERAGE('The List'!W2:W727))/STDEV('The List'!W2:W727)</f>
        <v>0.91063569304799463</v>
      </c>
      <c r="K304" s="39">
        <f>(VLOOKUP($A304,'The List'!$B1:$AH727,23,FALSE)-AVERAGE('The List'!X2:X727))/STDEV('The List'!X2:X727)</f>
        <v>0.54840789783060273</v>
      </c>
      <c r="L304" s="39">
        <f>(VLOOKUP($A304,'The List'!$B1:$AH727,24,FALSE)-AVERAGE('The List'!Y2:Y727))/STDEV('The List'!Y2:Y727)</f>
        <v>-0.53470273903901078</v>
      </c>
      <c r="M304" s="39">
        <f>(VLOOKUP($A304,'The List'!$B1:$AH727,25,FALSE)-AVERAGE('The List'!Z2:Z727))/STDEV('The List'!Z2:Z727)</f>
        <v>-0.71309896602800438</v>
      </c>
      <c r="N304" s="39">
        <f>(VLOOKUP($A304,'The List'!$B1:$AH727,26,FALSE)-AVERAGE('The List'!AA2:AA727))/STDEV('The List'!AA2:AA727)</f>
        <v>-1.0458573838807497</v>
      </c>
      <c r="O304" s="39">
        <f>(VLOOKUP($A304,'The List'!$B1:$AH727,27,FALSE)-AVERAGE('The List'!AB2:AB727))/STDEV('The List'!AB2:AB727)</f>
        <v>4.5726627361576323E-2</v>
      </c>
      <c r="P304" s="39">
        <f>(VLOOKUP($A304,'The List'!$B1:$AH727,28,FALSE)-AVERAGE('The List'!AC2:AC727))/STDEV('The List'!AC2:AC727)</f>
        <v>1.5423321492136546</v>
      </c>
      <c r="Q304" s="39">
        <f>(VLOOKUP($A304,'The List'!$B1:$AH727,29,FALSE)-AVERAGE('The List'!AD2:AD727))/STDEV('The List'!AD2:AD727)</f>
        <v>-0.36139445753229177</v>
      </c>
      <c r="R304" s="39">
        <f>(VLOOKUP($A304,'The List'!$B1:$AH727,30,FALSE)-AVERAGE('The List'!AE2:AE727))/STDEV('The List'!AE2:AE727)</f>
        <v>9.6653740295906149E-2</v>
      </c>
      <c r="S304" s="39">
        <f>(VLOOKUP($A304,'The List'!$B1:$AH727,31,FALSE)-AVERAGE('The List'!AF2:AF727))/STDEV('The List'!AF2:AF727)</f>
        <v>-0.33439032351673587</v>
      </c>
      <c r="T304" s="39">
        <f>(VLOOKUP($A304,'The List'!$B1:$AH727,32,FALSE)-AVERAGE('The List'!AG2:AG727))/STDEV('The List'!AG2:AG727)</f>
        <v>-0.33795521459203492</v>
      </c>
      <c r="U304" s="39">
        <f>(VLOOKUP($A304,'The List'!$B1:$AH727,33,FALSE)-AVERAGE('The List'!AH2:AH727))/STDEV('The List'!AH2:AH727)</f>
        <v>0.88970179873972255</v>
      </c>
      <c r="V304" s="39"/>
      <c r="W304" s="41"/>
      <c r="X304" s="41"/>
      <c r="Y304" s="41"/>
      <c r="Z304" s="41"/>
      <c r="AA304" s="41"/>
      <c r="AB304" s="41"/>
      <c r="AC304" s="44"/>
      <c r="AD304" s="45"/>
      <c r="AE304" s="39"/>
    </row>
    <row r="305" spans="1:31" ht="21.25" customHeight="1" x14ac:dyDescent="0.15">
      <c r="A305" s="8" t="s">
        <v>608</v>
      </c>
      <c r="B305" s="35" t="str">
        <f>VLOOKUP(A305,'Player Data'!A1:B734,2,FALSE)</f>
        <v>TOR</v>
      </c>
      <c r="C305" s="37">
        <f>((E305)*Settings!$C$12)+(F305*Settings!$C$2)+(G305*Settings!$C$3)+(H305*Settings!$C$4)+(I305*Settings!$C$5)+(K305*Settings!$C$9)+(N305*Settings!$C$6)+(J305*Settings!$C$8)+(O305*Settings!$C$7)+(P305*Settings!$C$14)+(Q305*Settings!$C$15)+(R305*Settings!$C$16)+(S305*Settings!$C$17)+(T305*Settings!$C$18)+(U305*Settings!$C$19)</f>
        <v>-0.91620521006684918</v>
      </c>
      <c r="D305" s="41">
        <f>IF(Settings!$E$12="YES",VLOOKUP(A305,'Player Data'!A1:E734,5,FALSE),82)</f>
        <v>77.207499999999996</v>
      </c>
      <c r="E305" s="39">
        <f>(VLOOKUP($A305,'The List'!$B1:$AH727,17,FALSE)-AVERAGE('The List'!R2:R727))/STDEV('The List'!R2:R727)</f>
        <v>-0.57628349210942786</v>
      </c>
      <c r="F305" s="39">
        <f>(VLOOKUP($A305,'The List'!$B1:$AH727,18,FALSE)-AVERAGE('The List'!S2:S727))/STDEV('The List'!S2:S727)</f>
        <v>0.1912341608569392</v>
      </c>
      <c r="G305" s="39">
        <f>(VLOOKUP($A305,'The List'!$B1:$AH727,19,FALSE)-AVERAGE('The List'!T2:T727))/STDEV('The List'!T2:T727)</f>
        <v>-0.36542269025311236</v>
      </c>
      <c r="H305" s="39">
        <f>(VLOOKUP($A305,'The List'!$B1:$AH727,20,FALSE)-AVERAGE('The List'!U2:U727))/STDEV('The List'!U2:U727)</f>
        <v>-0.13815331659288693</v>
      </c>
      <c r="I305" s="39">
        <f>(VLOOKUP($A305,'The List'!$B1:$AH727,21,FALSE)-AVERAGE('The List'!V2:V727))/STDEV('The List'!V2:V727)</f>
        <v>-0.36095236192684377</v>
      </c>
      <c r="J305" s="39">
        <f>(VLOOKUP($A305,'The List'!$B1:$AH727,22,FALSE)-AVERAGE('The List'!W2:W727))/STDEV('The List'!W2:W727)</f>
        <v>-0.29304757517493008</v>
      </c>
      <c r="K305" s="39">
        <f>(VLOOKUP($A305,'The List'!$B1:$AH727,23,FALSE)-AVERAGE('The List'!X2:X727))/STDEV('The List'!X2:X727)</f>
        <v>-0.41823225322383462</v>
      </c>
      <c r="L305" s="39">
        <f>(VLOOKUP($A305,'The List'!$B1:$AH727,24,FALSE)-AVERAGE('The List'!Y2:Y727))/STDEV('The List'!Y2:Y727)</f>
        <v>1.1225704985176852</v>
      </c>
      <c r="M305" s="39">
        <f>(VLOOKUP($A305,'The List'!$B1:$AH727,25,FALSE)-AVERAGE('The List'!Z2:Z727))/STDEV('The List'!Z2:Z727)</f>
        <v>1.7220628759943259</v>
      </c>
      <c r="N305" s="39">
        <f>(VLOOKUP($A305,'The List'!$B1:$AH727,26,FALSE)-AVERAGE('The List'!AA2:AA727))/STDEV('The List'!AA2:AA727)</f>
        <v>-0.9317639694694595</v>
      </c>
      <c r="O305" s="39">
        <f>(VLOOKUP($A305,'The List'!$B1:$AH727,27,FALSE)-AVERAGE('The List'!AB2:AB727))/STDEV('The List'!AB2:AB727)</f>
        <v>-0.71231593626966039</v>
      </c>
      <c r="P305" s="39">
        <f>(VLOOKUP($A305,'The List'!$B1:$AH727,28,FALSE)-AVERAGE('The List'!AC2:AC727))/STDEV('The List'!AC2:AC727)</f>
        <v>0.96893190394946171</v>
      </c>
      <c r="Q305" s="39">
        <f>(VLOOKUP($A305,'The List'!$B1:$AH727,29,FALSE)-AVERAGE('The List'!AD2:AD727))/STDEV('The List'!AD2:AD727)</f>
        <v>-1.2511029701095371</v>
      </c>
      <c r="R305" s="39">
        <f>(VLOOKUP($A305,'The List'!$B1:$AH727,30,FALSE)-AVERAGE('The List'!AE2:AE727))/STDEV('The List'!AE2:AE727)</f>
        <v>0.36641152804331584</v>
      </c>
      <c r="S305" s="39">
        <f>(VLOOKUP($A305,'The List'!$B1:$AH727,31,FALSE)-AVERAGE('The List'!AF2:AF727))/STDEV('The List'!AF2:AF727)</f>
        <v>-0.18663577761952238</v>
      </c>
      <c r="T305" s="39">
        <f>(VLOOKUP($A305,'The List'!$B1:$AH727,32,FALSE)-AVERAGE('The List'!AG2:AG727))/STDEV('The List'!AG2:AG727)</f>
        <v>-0.1566669397576905</v>
      </c>
      <c r="U305" s="39">
        <f>(VLOOKUP($A305,'The List'!$B1:$AH727,33,FALSE)-AVERAGE('The List'!AH2:AH727))/STDEV('The List'!AH2:AH727)</f>
        <v>0.87206144604059332</v>
      </c>
      <c r="V305" s="39"/>
      <c r="W305" s="41"/>
      <c r="X305" s="39"/>
      <c r="Y305" s="39"/>
      <c r="Z305" s="39"/>
      <c r="AA305" s="39"/>
      <c r="AB305" s="39"/>
      <c r="AC305" s="39"/>
      <c r="AD305" s="39"/>
      <c r="AE305" s="39"/>
    </row>
    <row r="306" spans="1:31" ht="21.25" customHeight="1" x14ac:dyDescent="0.15">
      <c r="A306" s="8" t="s">
        <v>505</v>
      </c>
      <c r="B306" s="35" t="str">
        <f>VLOOKUP(A306,'Player Data'!A1:B734,2,FALSE)</f>
        <v>CGY</v>
      </c>
      <c r="C306" s="37">
        <f>((E306)*Settings!$C$12)+(F306*Settings!$C$2)+(G306*Settings!$C$3)+(H306*Settings!$C$4)+(I306*Settings!$C$5)+(K306*Settings!$C$9)+(N306*Settings!$C$6)+(J306*Settings!$C$8)+(O306*Settings!$C$7)+(P306*Settings!$C$14)+(Q306*Settings!$C$15)+(R306*Settings!$C$16)+(S306*Settings!$C$17)+(T306*Settings!$C$18)+(U306*Settings!$C$19)</f>
        <v>0.35322490843913479</v>
      </c>
      <c r="D306" s="41">
        <f>IF(Settings!$E$12="YES",VLOOKUP(A306,'Player Data'!A1:E734,5,FALSE),82)</f>
        <v>81.746071428571398</v>
      </c>
      <c r="E306" s="39">
        <f>(VLOOKUP($A306,'The List'!$B1:$AH727,17,FALSE)-AVERAGE('The List'!R2:R727))/STDEV('The List'!R2:R727)</f>
        <v>-0.47349501925177007</v>
      </c>
      <c r="F306" s="39">
        <f>(VLOOKUP($A306,'The List'!$B1:$AH727,18,FALSE)-AVERAGE('The List'!S2:S727))/STDEV('The List'!S2:S727)</f>
        <v>0.25288893583109429</v>
      </c>
      <c r="G306" s="39">
        <f>(VLOOKUP($A306,'The List'!$B1:$AH727,19,FALSE)-AVERAGE('The List'!T2:T727))/STDEV('The List'!T2:T727)</f>
        <v>-0.27557397582935067</v>
      </c>
      <c r="H306" s="39">
        <f>(VLOOKUP($A306,'The List'!$B1:$AH727,20,FALSE)-AVERAGE('The List'!U2:U727))/STDEV('The List'!U2:U727)</f>
        <v>-5.4730930699904264E-2</v>
      </c>
      <c r="I306" s="39">
        <f>(VLOOKUP($A306,'The List'!$B1:$AH727,21,FALSE)-AVERAGE('The List'!V2:V727))/STDEV('The List'!V2:V727)</f>
        <v>0.85123901042156069</v>
      </c>
      <c r="J306" s="39">
        <f>(VLOOKUP($A306,'The List'!$B1:$AH727,22,FALSE)-AVERAGE('The List'!W2:W727))/STDEV('The List'!W2:W727)</f>
        <v>-0.69601978368850304</v>
      </c>
      <c r="K306" s="39">
        <f>(VLOOKUP($A306,'The List'!$B1:$AH727,23,FALSE)-AVERAGE('The List'!X2:X727))/STDEV('The List'!X2:X727)</f>
        <v>-0.78800338089205546</v>
      </c>
      <c r="L306" s="39">
        <f>(VLOOKUP($A306,'The List'!$B1:$AH727,24,FALSE)-AVERAGE('The List'!Y2:Y727))/STDEV('The List'!Y2:Y727)</f>
        <v>1.4527751533861302</v>
      </c>
      <c r="M306" s="39">
        <f>(VLOOKUP($A306,'The List'!$B1:$AH727,25,FALSE)-AVERAGE('The List'!Z2:Z727))/STDEV('The List'!Z2:Z727)</f>
        <v>0.85388224649478339</v>
      </c>
      <c r="N306" s="39">
        <f>(VLOOKUP($A306,'The List'!$B1:$AH727,26,FALSE)-AVERAGE('The List'!AA2:AA727))/STDEV('The List'!AA2:AA727)</f>
        <v>-0.49405157880380957</v>
      </c>
      <c r="O306" s="39">
        <f>(VLOOKUP($A306,'The List'!$B1:$AH727,27,FALSE)-AVERAGE('The List'!AB2:AB727))/STDEV('The List'!AB2:AB727)</f>
        <v>0.61509269071677042</v>
      </c>
      <c r="P306" s="39">
        <f>(VLOOKUP($A306,'The List'!$B1:$AH727,28,FALSE)-AVERAGE('The List'!AC2:AC727))/STDEV('The List'!AC2:AC727)</f>
        <v>0.80672589771169556</v>
      </c>
      <c r="Q306" s="39">
        <f>(VLOOKUP($A306,'The List'!$B1:$AH727,29,FALSE)-AVERAGE('The List'!AD2:AD727))/STDEV('The List'!AD2:AD727)</f>
        <v>1.3663169110773747</v>
      </c>
      <c r="R306" s="39">
        <f>(VLOOKUP($A306,'The List'!$B1:$AH727,30,FALSE)-AVERAGE('The List'!AE2:AE727))/STDEV('The List'!AE2:AE727)</f>
        <v>0.49627059649751454</v>
      </c>
      <c r="S306" s="39">
        <f>(VLOOKUP($A306,'The List'!$B1:$AH727,31,FALSE)-AVERAGE('The List'!AF2:AF727))/STDEV('The List'!AF2:AF727)</f>
        <v>-0.50803249916353399</v>
      </c>
      <c r="T306" s="39">
        <f>(VLOOKUP($A306,'The List'!$B1:$AH727,32,FALSE)-AVERAGE('The List'!AG2:AG727))/STDEV('The List'!AG2:AG727)</f>
        <v>-0.47628151892724929</v>
      </c>
      <c r="U306" s="39">
        <f>(VLOOKUP($A306,'The List'!$B1:$AH727,33,FALSE)-AVERAGE('The List'!AH2:AH727))/STDEV('The List'!AH2:AH727)</f>
        <v>9.413060802784122E-2</v>
      </c>
      <c r="V306" s="39"/>
      <c r="W306" s="43"/>
      <c r="X306" s="41"/>
      <c r="Y306" s="41"/>
      <c r="Z306" s="41"/>
      <c r="AA306" s="41"/>
      <c r="AB306" s="41"/>
      <c r="AC306" s="44"/>
      <c r="AD306" s="45"/>
      <c r="AE306" s="39"/>
    </row>
    <row r="307" spans="1:31" ht="21.25" customHeight="1" x14ac:dyDescent="0.15">
      <c r="A307" s="8" t="s">
        <v>726</v>
      </c>
      <c r="B307" s="35" t="str">
        <f>VLOOKUP(A307,'Player Data'!A1:B734,2,FALSE)</f>
        <v>CGY</v>
      </c>
      <c r="C307" s="37">
        <f>((E307)*Settings!$C$12)+(F307*Settings!$C$2)+(G307*Settings!$C$3)+(H307*Settings!$C$4)+(I307*Settings!$C$5)+(K307*Settings!$C$9)+(N307*Settings!$C$6)+(J307*Settings!$C$8)+(O307*Settings!$C$7)+(P307*Settings!$C$14)+(Q307*Settings!$C$15)+(R307*Settings!$C$16)+(S307*Settings!$C$17)+(T307*Settings!$C$18)+(U307*Settings!$C$19)</f>
        <v>-2.6913897308491816</v>
      </c>
      <c r="D307" s="41">
        <f>IF(Settings!$E$12="YES",VLOOKUP(A307,'Player Data'!A1:E734,5,FALSE),82)</f>
        <v>60.099285714285699</v>
      </c>
      <c r="E307" s="39">
        <f>(VLOOKUP($A307,'The List'!$B1:$AH727,17,FALSE)-AVERAGE('The List'!R2:R727))/STDEV('The List'!R2:R727)</f>
        <v>-1.1689185492804954</v>
      </c>
      <c r="F307" s="39">
        <f>(VLOOKUP($A307,'The List'!$B1:$AH727,18,FALSE)-AVERAGE('The List'!S2:S727))/STDEV('The List'!S2:S727)</f>
        <v>-0.36597273087209892</v>
      </c>
      <c r="G307" s="39">
        <f>(VLOOKUP($A307,'The List'!$B1:$AH727,19,FALSE)-AVERAGE('The List'!T2:T727))/STDEV('The List'!T2:T727)</f>
        <v>-0.48303577525011737</v>
      </c>
      <c r="H307" s="39">
        <f>(VLOOKUP($A307,'The List'!$B1:$AH727,20,FALSE)-AVERAGE('The List'!U2:U727))/STDEV('The List'!U2:U727)</f>
        <v>-0.46419158625548351</v>
      </c>
      <c r="I307" s="39">
        <f>(VLOOKUP($A307,'The List'!$B1:$AH727,21,FALSE)-AVERAGE('The List'!V2:V727))/STDEV('The List'!V2:V727)</f>
        <v>-0.73642408576338902</v>
      </c>
      <c r="J307" s="39">
        <f>(VLOOKUP($A307,'The List'!$B1:$AH727,22,FALSE)-AVERAGE('The List'!W2:W727))/STDEV('The List'!W2:W727)</f>
        <v>-0.33613546197666344</v>
      </c>
      <c r="K307" s="39">
        <f>(VLOOKUP($A307,'The List'!$B1:$AH727,23,FALSE)-AVERAGE('The List'!X2:X727))/STDEV('The List'!X2:X727)</f>
        <v>-0.39177242135440626</v>
      </c>
      <c r="L307" s="39">
        <f>(VLOOKUP($A307,'The List'!$B1:$AH727,24,FALSE)-AVERAGE('The List'!Y2:Y727))/STDEV('The List'!Y2:Y727)</f>
        <v>-0.53444985573074777</v>
      </c>
      <c r="M307" s="39">
        <f>(VLOOKUP($A307,'The List'!$B1:$AH727,25,FALSE)-AVERAGE('The List'!Z2:Z727))/STDEV('The List'!Z2:Z727)</f>
        <v>-0.71305771525067763</v>
      </c>
      <c r="N307" s="39">
        <f>(VLOOKUP($A307,'The List'!$B1:$AH727,26,FALSE)-AVERAGE('The List'!AA2:AA727))/STDEV('The List'!AA2:AA727)</f>
        <v>-1.101798530489057</v>
      </c>
      <c r="O307" s="39">
        <f>(VLOOKUP($A307,'The List'!$B1:$AH727,27,FALSE)-AVERAGE('The List'!AB2:AB727))/STDEV('The List'!AB2:AB727)</f>
        <v>-0.79698619376358137</v>
      </c>
      <c r="P307" s="39">
        <f>(VLOOKUP($A307,'The List'!$B1:$AH727,28,FALSE)-AVERAGE('The List'!AC2:AC727))/STDEV('The List'!AC2:AC727)</f>
        <v>0.38761381287988689</v>
      </c>
      <c r="Q307" s="39">
        <f>(VLOOKUP($A307,'The List'!$B1:$AH727,29,FALSE)-AVERAGE('The List'!AD2:AD727))/STDEV('The List'!AD2:AD727)</f>
        <v>-1.0014326131941711</v>
      </c>
      <c r="R307" s="39">
        <f>(VLOOKUP($A307,'The List'!$B1:$AH727,30,FALSE)-AVERAGE('The List'!AE2:AE727))/STDEV('The List'!AE2:AE727)</f>
        <v>-0.17922509535655104</v>
      </c>
      <c r="S307" s="39">
        <f>(VLOOKUP($A307,'The List'!$B1:$AH727,31,FALSE)-AVERAGE('The List'!AF2:AF727))/STDEV('The List'!AF2:AF727)</f>
        <v>0.10646070753865118</v>
      </c>
      <c r="T307" s="39">
        <f>(VLOOKUP($A307,'The List'!$B1:$AH727,32,FALSE)-AVERAGE('The List'!AG2:AG727))/STDEV('The List'!AG2:AG727)</f>
        <v>0.17862299137056589</v>
      </c>
      <c r="U307" s="39">
        <f>(VLOOKUP($A307,'The List'!$B1:$AH727,33,FALSE)-AVERAGE('The List'!AH2:AH727))/STDEV('The List'!AH2:AH727)</f>
        <v>0.89497401344562133</v>
      </c>
      <c r="V307" s="39"/>
      <c r="W307" s="43"/>
      <c r="X307" s="41"/>
      <c r="Y307" s="41"/>
      <c r="Z307" s="41"/>
      <c r="AA307" s="41"/>
      <c r="AB307" s="41"/>
      <c r="AC307" s="44"/>
      <c r="AD307" s="45"/>
      <c r="AE307" s="39"/>
    </row>
    <row r="308" spans="1:31" ht="21.25" customHeight="1" x14ac:dyDescent="0.15">
      <c r="A308" s="8" t="s">
        <v>454</v>
      </c>
      <c r="B308" s="35" t="str">
        <f>VLOOKUP(A308,'Player Data'!A1:B734,2,FALSE)</f>
        <v>SJS</v>
      </c>
      <c r="C308" s="37">
        <f>((E308)*Settings!$C$12)+(F308*Settings!$C$2)+(G308*Settings!$C$3)+(H308*Settings!$C$4)+(I308*Settings!$C$5)+(K308*Settings!$C$9)+(N308*Settings!$C$6)+(J308*Settings!$C$8)+(O308*Settings!$C$7)+(P308*Settings!$C$14)+(Q308*Settings!$C$15)+(R308*Settings!$C$16)+(S308*Settings!$C$17)+(T308*Settings!$C$18)+(U308*Settings!$C$19)</f>
        <v>-1.035246584409794</v>
      </c>
      <c r="D308" s="41">
        <f>IF(Settings!$E$12="YES",VLOOKUP(A308,'Player Data'!A1:E734,5,FALSE),82)</f>
        <v>76.719285714285704</v>
      </c>
      <c r="E308" s="39">
        <f>(VLOOKUP($A308,'The List'!$B1:$AH727,17,FALSE)-AVERAGE('The List'!R2:R727))/STDEV('The List'!R2:R727)</f>
        <v>-0.49735014916075615</v>
      </c>
      <c r="F308" s="39">
        <f>(VLOOKUP($A308,'The List'!$B1:$AH727,18,FALSE)-AVERAGE('The List'!S2:S727))/STDEV('The List'!S2:S727)</f>
        <v>9.1657282295843676E-2</v>
      </c>
      <c r="G308" s="39">
        <f>(VLOOKUP($A308,'The List'!$B1:$AH727,19,FALSE)-AVERAGE('The List'!T2:T727))/STDEV('The List'!T2:T727)</f>
        <v>-0.31423978918271334</v>
      </c>
      <c r="H308" s="39">
        <f>(VLOOKUP($A308,'The List'!$B1:$AH727,20,FALSE)-AVERAGE('The List'!U2:U727))/STDEV('The List'!U2:U727)</f>
        <v>-0.15192765256847934</v>
      </c>
      <c r="I308" s="39">
        <f>(VLOOKUP($A308,'The List'!$B1:$AH727,21,FALSE)-AVERAGE('The List'!V2:V727))/STDEV('The List'!V2:V727)</f>
        <v>0.27380260192561118</v>
      </c>
      <c r="J308" s="39">
        <f>(VLOOKUP($A308,'The List'!$B1:$AH727,22,FALSE)-AVERAGE('The List'!W2:W727))/STDEV('The List'!W2:W727)</f>
        <v>-0.18984802475904991</v>
      </c>
      <c r="K308" s="39">
        <f>(VLOOKUP($A308,'The List'!$B1:$AH727,23,FALSE)-AVERAGE('The List'!X2:X727))/STDEV('The List'!X2:X727)</f>
        <v>-3.3436103933227386E-2</v>
      </c>
      <c r="L308" s="39">
        <f>(VLOOKUP($A308,'The List'!$B1:$AH727,24,FALSE)-AVERAGE('The List'!Y2:Y727))/STDEV('The List'!Y2:Y727)</f>
        <v>-0.52658262931154787</v>
      </c>
      <c r="M308" s="39">
        <f>(VLOOKUP($A308,'The List'!$B1:$AH727,25,FALSE)-AVERAGE('The List'!Z2:Z727))/STDEV('The List'!Z2:Z727)</f>
        <v>-0.7038857985551582</v>
      </c>
      <c r="N308" s="39">
        <f>(VLOOKUP($A308,'The List'!$B1:$AH727,26,FALSE)-AVERAGE('The List'!AA2:AA727))/STDEV('The List'!AA2:AA727)</f>
        <v>-0.78631305519742178</v>
      </c>
      <c r="O308" s="39">
        <f>(VLOOKUP($A308,'The List'!$B1:$AH727,27,FALSE)-AVERAGE('The List'!AB2:AB727))/STDEV('The List'!AB2:AB727)</f>
        <v>-1.1761079109205632</v>
      </c>
      <c r="P308" s="39">
        <f>(VLOOKUP($A308,'The List'!$B1:$AH727,28,FALSE)-AVERAGE('The List'!AC2:AC727))/STDEV('The List'!AC2:AC727)</f>
        <v>-0.26671752031788631</v>
      </c>
      <c r="Q308" s="39">
        <f>(VLOOKUP($A308,'The List'!$B1:$AH727,29,FALSE)-AVERAGE('The List'!AD2:AD727))/STDEV('The List'!AD2:AD727)</f>
        <v>-0.21445204376521801</v>
      </c>
      <c r="R308" s="39">
        <f>(VLOOKUP($A308,'The List'!$B1:$AH727,30,FALSE)-AVERAGE('The List'!AE2:AE727))/STDEV('The List'!AE2:AE727)</f>
        <v>-9.3148790864241743E-2</v>
      </c>
      <c r="S308" s="39">
        <f>(VLOOKUP($A308,'The List'!$B1:$AH727,31,FALSE)-AVERAGE('The List'!AF2:AF727))/STDEV('The List'!AF2:AF727)</f>
        <v>-0.48019085851331927</v>
      </c>
      <c r="T308" s="39">
        <f>(VLOOKUP($A308,'The List'!$B1:$AH727,32,FALSE)-AVERAGE('The List'!AG2:AG727))/STDEV('The List'!AG2:AG727)</f>
        <v>-0.54735135130497548</v>
      </c>
      <c r="U308" s="39">
        <f>(VLOOKUP($A308,'The List'!$B1:$AH727,33,FALSE)-AVERAGE('The List'!AH2:AH727))/STDEV('The List'!AH2:AH727)</f>
        <v>1.4724513507691164</v>
      </c>
      <c r="V308" s="39"/>
      <c r="W308" s="41"/>
      <c r="X308" s="39"/>
      <c r="Y308" s="39"/>
      <c r="Z308" s="39"/>
      <c r="AA308" s="39"/>
      <c r="AB308" s="39"/>
      <c r="AC308" s="39"/>
      <c r="AD308" s="39"/>
      <c r="AE308" s="39"/>
    </row>
    <row r="309" spans="1:31" ht="21.25" customHeight="1" x14ac:dyDescent="0.15">
      <c r="A309" s="8" t="s">
        <v>421</v>
      </c>
      <c r="B309" s="35" t="str">
        <f>VLOOKUP(A309,'Player Data'!A1:B734,2,FALSE)</f>
        <v>MTL</v>
      </c>
      <c r="C309" s="37">
        <f>((E309)*Settings!$C$12)+(F309*Settings!$C$2)+(G309*Settings!$C$3)+(H309*Settings!$C$4)+(I309*Settings!$C$5)+(K309*Settings!$C$9)+(N309*Settings!$C$6)+(J309*Settings!$C$8)+(O309*Settings!$C$7)+(P309*Settings!$C$14)+(Q309*Settings!$C$15)+(R309*Settings!$C$16)+(S309*Settings!$C$17)+(T309*Settings!$C$18)+(U309*Settings!$C$19)</f>
        <v>-2.8078731124145722</v>
      </c>
      <c r="D309" s="41">
        <f>IF(Settings!$E$12="YES",VLOOKUP(A309,'Player Data'!A1:E734,5,FALSE),82)</f>
        <v>66.260000000000005</v>
      </c>
      <c r="E309" s="39">
        <f>(VLOOKUP($A309,'The List'!$B1:$AH727,17,FALSE)-AVERAGE('The List'!R2:R727))/STDEV('The List'!R2:R727)</f>
        <v>1.1126488066026294</v>
      </c>
      <c r="F309" s="39">
        <f>(VLOOKUP($A309,'The List'!$B1:$AH727,18,FALSE)-AVERAGE('The List'!S2:S727))/STDEV('The List'!S2:S727)</f>
        <v>-0.69314211790428715</v>
      </c>
      <c r="G309" s="39">
        <f>(VLOOKUP($A309,'The List'!$B1:$AH727,19,FALSE)-AVERAGE('The List'!T2:T727))/STDEV('The List'!T2:T727)</f>
        <v>-5.9704266848182315E-2</v>
      </c>
      <c r="H309" s="39">
        <f>(VLOOKUP($A309,'The List'!$B1:$AH727,20,FALSE)-AVERAGE('The List'!U2:U727))/STDEV('The List'!U2:U727)</f>
        <v>-0.35221335694010653</v>
      </c>
      <c r="I309" s="39">
        <f>(VLOOKUP($A309,'The List'!$B1:$AH727,21,FALSE)-AVERAGE('The List'!V2:V727))/STDEV('The List'!V2:V727)</f>
        <v>-0.79862340502236373</v>
      </c>
      <c r="J309" s="39">
        <f>(VLOOKUP($A309,'The List'!$B1:$AH727,22,FALSE)-AVERAGE('The List'!W2:W727))/STDEV('The List'!W2:W727)</f>
        <v>-0.62802143116655051</v>
      </c>
      <c r="K309" s="39">
        <f>(VLOOKUP($A309,'The List'!$B1:$AH727,23,FALSE)-AVERAGE('The List'!X2:X727))/STDEV('The List'!X2:X727)</f>
        <v>-0.58408826781658796</v>
      </c>
      <c r="L309" s="39">
        <f>(VLOOKUP($A309,'The List'!$B1:$AH727,24,FALSE)-AVERAGE('The List'!Y2:Y727))/STDEV('The List'!Y2:Y727)</f>
        <v>-0.44957717384589796</v>
      </c>
      <c r="M309" s="39">
        <f>(VLOOKUP($A309,'The List'!$B1:$AH727,25,FALSE)-AVERAGE('The List'!Z2:Z727))/STDEV('The List'!Z2:Z727)</f>
        <v>-0.50261795356569094</v>
      </c>
      <c r="N309" s="39">
        <f>(VLOOKUP($A309,'The List'!$B1:$AH727,26,FALSE)-AVERAGE('The List'!AA2:AA727))/STDEV('The List'!AA2:AA727)</f>
        <v>1.3351947474712862</v>
      </c>
      <c r="O309" s="39">
        <f>(VLOOKUP($A309,'The List'!$B1:$AH727,27,FALSE)-AVERAGE('The List'!AB2:AB727))/STDEV('The List'!AB2:AB727)</f>
        <v>0.55397750478164143</v>
      </c>
      <c r="P309" s="39">
        <f>(VLOOKUP($A309,'The List'!$B1:$AH727,28,FALSE)-AVERAGE('The List'!AC2:AC727))/STDEV('The List'!AC2:AC727)</f>
        <v>-2.0075098022944373</v>
      </c>
      <c r="Q309" s="39">
        <f>(VLOOKUP($A309,'The List'!$B1:$AH727,29,FALSE)-AVERAGE('The List'!AD2:AD727))/STDEV('The List'!AD2:AD727)</f>
        <v>0.51212050913544582</v>
      </c>
      <c r="R309" s="39">
        <f>(VLOOKUP($A309,'The List'!$B1:$AH727,30,FALSE)-AVERAGE('The List'!AE2:AE727))/STDEV('The List'!AE2:AE727)</f>
        <v>-0.76684006017844786</v>
      </c>
      <c r="S309" s="39">
        <f>(VLOOKUP($A309,'The List'!$B1:$AH727,31,FALSE)-AVERAGE('The List'!AF2:AF727))/STDEV('The List'!AF2:AF727)</f>
        <v>-0.55804314905918151</v>
      </c>
      <c r="T309" s="39">
        <f>(VLOOKUP($A309,'The List'!$B1:$AH727,32,FALSE)-AVERAGE('The List'!AG2:AG727))/STDEV('The List'!AG2:AG727)</f>
        <v>-0.60188453558131205</v>
      </c>
      <c r="U309" s="39">
        <f>(VLOOKUP($A309,'The List'!$B1:$AH727,33,FALSE)-AVERAGE('The List'!AH2:AH727))/STDEV('The List'!AH2:AH727)</f>
        <v>-1.2395873372913611</v>
      </c>
      <c r="V309" s="39"/>
      <c r="W309" s="43"/>
      <c r="X309" s="41"/>
      <c r="Y309" s="41"/>
      <c r="Z309" s="41"/>
      <c r="AA309" s="41"/>
      <c r="AB309" s="41"/>
      <c r="AC309" s="44"/>
      <c r="AD309" s="45"/>
      <c r="AE309" s="39"/>
    </row>
    <row r="310" spans="1:31" ht="21.25" customHeight="1" x14ac:dyDescent="0.15">
      <c r="A310" s="8" t="s">
        <v>350</v>
      </c>
      <c r="B310" s="35" t="str">
        <f>VLOOKUP(A310,'Player Data'!A1:B734,2,FALSE)</f>
        <v>NYR</v>
      </c>
      <c r="C310" s="37">
        <f>((E310)*Settings!$C$12)+(F310*Settings!$C$2)+(G310*Settings!$C$3)+(H310*Settings!$C$4)+(I310*Settings!$C$5)+(K310*Settings!$C$9)+(N310*Settings!$C$6)+(J310*Settings!$C$8)+(O310*Settings!$C$7)+(P310*Settings!$C$14)+(Q310*Settings!$C$15)+(R310*Settings!$C$16)+(S310*Settings!$C$17)+(T310*Settings!$C$18)+(U310*Settings!$C$19)</f>
        <v>1.1627659636104379</v>
      </c>
      <c r="D310" s="41">
        <f>IF(Settings!$E$12="YES",VLOOKUP(A310,'Player Data'!A1:E734,5,FALSE),82)</f>
        <v>81.0582142857143</v>
      </c>
      <c r="E310" s="39">
        <f>(VLOOKUP($A310,'The List'!$B1:$AH727,17,FALSE)-AVERAGE('The List'!R2:R727))/STDEV('The List'!R2:R727)</f>
        <v>1.5154807761711557</v>
      </c>
      <c r="F310" s="39">
        <f>(VLOOKUP($A310,'The List'!$B1:$AH727,18,FALSE)-AVERAGE('The List'!S2:S727))/STDEV('The List'!S2:S727)</f>
        <v>-0.45117514512627632</v>
      </c>
      <c r="G310" s="39">
        <f>(VLOOKUP($A310,'The List'!$B1:$AH727,19,FALSE)-AVERAGE('The List'!T2:T727))/STDEV('The List'!T2:T727)</f>
        <v>0.21040929639745498</v>
      </c>
      <c r="H310" s="39">
        <f>(VLOOKUP($A310,'The List'!$B1:$AH727,20,FALSE)-AVERAGE('The List'!U2:U727))/STDEV('The List'!U2:U727)</f>
        <v>-7.565677805583941E-2</v>
      </c>
      <c r="I310" s="39">
        <f>(VLOOKUP($A310,'The List'!$B1:$AH727,21,FALSE)-AVERAGE('The List'!V2:V727))/STDEV('The List'!V2:V727)</f>
        <v>-0.2786901628293465</v>
      </c>
      <c r="J310" s="39">
        <f>(VLOOKUP($A310,'The List'!$B1:$AH727,22,FALSE)-AVERAGE('The List'!W2:W727))/STDEV('The List'!W2:W727)</f>
        <v>-0.62905605277964083</v>
      </c>
      <c r="K310" s="39">
        <f>(VLOOKUP($A310,'The List'!$B1:$AH727,23,FALSE)-AVERAGE('The List'!X2:X727))/STDEV('The List'!X2:X727)</f>
        <v>-0.66397113771017124</v>
      </c>
      <c r="L310" s="39">
        <f>(VLOOKUP($A310,'The List'!$B1:$AH727,24,FALSE)-AVERAGE('The List'!Y2:Y727))/STDEV('The List'!Y2:Y727)</f>
        <v>-0.49361202368269991</v>
      </c>
      <c r="M310" s="39">
        <f>(VLOOKUP($A310,'The List'!$B1:$AH727,25,FALSE)-AVERAGE('The List'!Z2:Z727))/STDEV('The List'!Z2:Z727)</f>
        <v>0.26861293242927375</v>
      </c>
      <c r="N310" s="39">
        <f>(VLOOKUP($A310,'The List'!$B1:$AH727,26,FALSE)-AVERAGE('The List'!AA2:AA727))/STDEV('The List'!AA2:AA727)</f>
        <v>1.3784958019786644</v>
      </c>
      <c r="O310" s="39">
        <f>(VLOOKUP($A310,'The List'!$B1:$AH727,27,FALSE)-AVERAGE('The List'!AB2:AB727))/STDEV('The List'!AB2:AB727)</f>
        <v>1.3173546533656009</v>
      </c>
      <c r="P310" s="39">
        <f>(VLOOKUP($A310,'The List'!$B1:$AH727,28,FALSE)-AVERAGE('The List'!AC2:AC727))/STDEV('The List'!AC2:AC727)</f>
        <v>0.96769731090011268</v>
      </c>
      <c r="Q310" s="39">
        <f>(VLOOKUP($A310,'The List'!$B1:$AH727,29,FALSE)-AVERAGE('The List'!AD2:AD727))/STDEV('The List'!AD2:AD727)</f>
        <v>0.23163382857125278</v>
      </c>
      <c r="R310" s="39">
        <f>(VLOOKUP($A310,'The List'!$B1:$AH727,30,FALSE)-AVERAGE('The List'!AE2:AE727))/STDEV('The List'!AE2:AE727)</f>
        <v>-0.25405730400873877</v>
      </c>
      <c r="S310" s="39">
        <f>(VLOOKUP($A310,'The List'!$B1:$AH727,31,FALSE)-AVERAGE('The List'!AF2:AF727))/STDEV('The List'!AF2:AF727)</f>
        <v>-0.55804314905918151</v>
      </c>
      <c r="T310" s="39">
        <f>(VLOOKUP($A310,'The List'!$B1:$AH727,32,FALSE)-AVERAGE('The List'!AG2:AG727))/STDEV('The List'!AG2:AG727)</f>
        <v>-0.60188453558131205</v>
      </c>
      <c r="U310" s="39">
        <f>(VLOOKUP($A310,'The List'!$B1:$AH727,33,FALSE)-AVERAGE('The List'!AH2:AH727))/STDEV('The List'!AH2:AH727)</f>
        <v>-1.2395873372913611</v>
      </c>
      <c r="V310" s="39"/>
      <c r="W310" s="41"/>
      <c r="X310" s="39"/>
      <c r="Y310" s="39"/>
      <c r="Z310" s="39"/>
      <c r="AA310" s="39"/>
      <c r="AB310" s="39"/>
      <c r="AC310" s="39"/>
      <c r="AD310" s="39"/>
      <c r="AE310" s="39"/>
    </row>
    <row r="311" spans="1:31" ht="21.25" customHeight="1" x14ac:dyDescent="0.15">
      <c r="A311" s="8" t="s">
        <v>584</v>
      </c>
      <c r="B311" s="35" t="str">
        <f>VLOOKUP(A311,'Player Data'!A1:B734,2,FALSE)</f>
        <v>CHI</v>
      </c>
      <c r="C311" s="37">
        <f>((E311)*Settings!$C$12)+(F311*Settings!$C$2)+(G311*Settings!$C$3)+(H311*Settings!$C$4)+(I311*Settings!$C$5)+(K311*Settings!$C$9)+(N311*Settings!$C$6)+(J311*Settings!$C$8)+(O311*Settings!$C$7)+(P311*Settings!$C$14)+(Q311*Settings!$C$15)+(R311*Settings!$C$16)+(S311*Settings!$C$17)+(T311*Settings!$C$18)+(U311*Settings!$C$19)</f>
        <v>-3.4383036359190218</v>
      </c>
      <c r="D311" s="41">
        <f>IF(Settings!$E$12="YES",VLOOKUP(A311,'Player Data'!A1:E734,5,FALSE),82)</f>
        <v>77.544642857142904</v>
      </c>
      <c r="E311" s="39">
        <f>(VLOOKUP($A311,'The List'!$B1:$AH727,17,FALSE)-AVERAGE('The List'!R2:R727))/STDEV('The List'!R2:R727)</f>
        <v>6.5327244266711368E-2</v>
      </c>
      <c r="F311" s="39">
        <f>(VLOOKUP($A311,'The List'!$B1:$AH727,18,FALSE)-AVERAGE('The List'!S2:S727))/STDEV('The List'!S2:S727)</f>
        <v>-0.10871964926967803</v>
      </c>
      <c r="G311" s="39">
        <f>(VLOOKUP($A311,'The List'!$B1:$AH727,19,FALSE)-AVERAGE('The List'!T2:T727))/STDEV('The List'!T2:T727)</f>
        <v>-0.15430678940009376</v>
      </c>
      <c r="H311" s="39">
        <f>(VLOOKUP($A311,'The List'!$B1:$AH727,20,FALSE)-AVERAGE('The List'!U2:U727))/STDEV('The List'!U2:U727)</f>
        <v>-0.14455950817163621</v>
      </c>
      <c r="I311" s="39">
        <f>(VLOOKUP($A311,'The List'!$B1:$AH727,21,FALSE)-AVERAGE('The List'!V2:V727))/STDEV('The List'!V2:V727)</f>
        <v>-0.11049548713168901</v>
      </c>
      <c r="J311" s="39">
        <f>(VLOOKUP($A311,'The List'!$B1:$AH727,22,FALSE)-AVERAGE('The List'!W2:W727))/STDEV('The List'!W2:W727)</f>
        <v>-0.26809536311660304</v>
      </c>
      <c r="K311" s="39">
        <f>(VLOOKUP($A311,'The List'!$B1:$AH727,23,FALSE)-AVERAGE('The List'!X2:X727))/STDEV('The List'!X2:X727)</f>
        <v>-0.1722572587328299</v>
      </c>
      <c r="L311" s="39">
        <f>(VLOOKUP($A311,'The List'!$B1:$AH727,24,FALSE)-AVERAGE('The List'!Y2:Y727))/STDEV('The List'!Y2:Y727)</f>
        <v>-9.2953612074350919E-2</v>
      </c>
      <c r="M311" s="39">
        <f>(VLOOKUP($A311,'The List'!$B1:$AH727,25,FALSE)-AVERAGE('The List'!Z2:Z727))/STDEV('The List'!Z2:Z727)</f>
        <v>-0.22397415400968296</v>
      </c>
      <c r="N311" s="39">
        <f>(VLOOKUP($A311,'The List'!$B1:$AH727,26,FALSE)-AVERAGE('The List'!AA2:AA727))/STDEV('The List'!AA2:AA727)</f>
        <v>-0.55086512976243418</v>
      </c>
      <c r="O311" s="39">
        <f>(VLOOKUP($A311,'The List'!$B1:$AH727,27,FALSE)-AVERAGE('The List'!AB2:AB727))/STDEV('The List'!AB2:AB727)</f>
        <v>-0.9579296102928101</v>
      </c>
      <c r="P311" s="39">
        <f>(VLOOKUP($A311,'The List'!$B1:$AH727,28,FALSE)-AVERAGE('The List'!AC2:AC727))/STDEV('The List'!AC2:AC727)</f>
        <v>-2.3416593216222967</v>
      </c>
      <c r="Q311" s="39">
        <f>(VLOOKUP($A311,'The List'!$B1:$AH727,29,FALSE)-AVERAGE('The List'!AD2:AD727))/STDEV('The List'!AD2:AD727)</f>
        <v>-0.77778878492938663</v>
      </c>
      <c r="R311" s="39">
        <f>(VLOOKUP($A311,'The List'!$B1:$AH727,30,FALSE)-AVERAGE('The List'!AE2:AE727))/STDEV('The List'!AE2:AE727)</f>
        <v>-0.28490649540325708</v>
      </c>
      <c r="S311" s="39">
        <f>(VLOOKUP($A311,'The List'!$B1:$AH727,31,FALSE)-AVERAGE('The List'!AF2:AF727))/STDEV('The List'!AF2:AF727)</f>
        <v>-8.137500212427827E-2</v>
      </c>
      <c r="T311" s="39">
        <f>(VLOOKUP($A311,'The List'!$B1:$AH727,32,FALSE)-AVERAGE('The List'!AG2:AG727))/STDEV('The List'!AG2:AG727)</f>
        <v>5.4428116559922746E-2</v>
      </c>
      <c r="U311" s="39">
        <f>(VLOOKUP($A311,'The List'!$B1:$AH727,33,FALSE)-AVERAGE('The List'!AH2:AH727))/STDEV('The List'!AH2:AH727)</f>
        <v>0.71718267253362444</v>
      </c>
      <c r="V311" s="39"/>
      <c r="W311" s="43"/>
      <c r="X311" s="41"/>
      <c r="Y311" s="41"/>
      <c r="Z311" s="41"/>
      <c r="AA311" s="41"/>
      <c r="AB311" s="41"/>
      <c r="AC311" s="44"/>
      <c r="AD311" s="45"/>
      <c r="AE311" s="39"/>
    </row>
    <row r="312" spans="1:31" ht="21.25" customHeight="1" x14ac:dyDescent="0.15">
      <c r="A312" s="8" t="s">
        <v>396</v>
      </c>
      <c r="B312" s="35" t="str">
        <f>VLOOKUP(A312,'Player Data'!A1:B734,2,FALSE)</f>
        <v>WSH</v>
      </c>
      <c r="C312" s="37">
        <f>((E312)*Settings!$C$12)+(F312*Settings!$C$2)+(G312*Settings!$C$3)+(H312*Settings!$C$4)+(I312*Settings!$C$5)+(K312*Settings!$C$9)+(N312*Settings!$C$6)+(J312*Settings!$C$8)+(O312*Settings!$C$7)+(P312*Settings!$C$14)+(Q312*Settings!$C$15)+(R312*Settings!$C$16)+(S312*Settings!$C$17)+(T312*Settings!$C$18)+(U312*Settings!$C$19)</f>
        <v>-1.2740977096491153</v>
      </c>
      <c r="D312" s="41">
        <f>IF(Settings!$E$12="YES",VLOOKUP(A312,'Player Data'!A1:E734,5,FALSE),82)</f>
        <v>72.599999999999994</v>
      </c>
      <c r="E312" s="39">
        <f>(VLOOKUP($A312,'The List'!$B1:$AH727,17,FALSE)-AVERAGE('The List'!R2:R727))/STDEV('The List'!R2:R727)</f>
        <v>0.58407791334217329</v>
      </c>
      <c r="F312" s="39">
        <f>(VLOOKUP($A312,'The List'!$B1:$AH727,18,FALSE)-AVERAGE('The List'!S2:S727))/STDEV('The List'!S2:S727)</f>
        <v>-0.60450362340718466</v>
      </c>
      <c r="G312" s="39">
        <f>(VLOOKUP($A312,'The List'!$B1:$AH727,19,FALSE)-AVERAGE('The List'!T2:T727))/STDEV('The List'!T2:T727)</f>
        <v>6.0318801636428936E-2</v>
      </c>
      <c r="H312" s="39">
        <f>(VLOOKUP($A312,'The List'!$B1:$AH727,20,FALSE)-AVERAGE('The List'!U2:U727))/STDEV('The List'!U2:U727)</f>
        <v>-0.23791797530569714</v>
      </c>
      <c r="I312" s="39">
        <f>(VLOOKUP($A312,'The List'!$B1:$AH727,21,FALSE)-AVERAGE('The List'!V2:V727))/STDEV('The List'!V2:V727)</f>
        <v>-0.80622535676319462</v>
      </c>
      <c r="J312" s="39">
        <f>(VLOOKUP($A312,'The List'!$B1:$AH727,22,FALSE)-AVERAGE('The List'!W2:W727))/STDEV('The List'!W2:W727)</f>
        <v>-0.6793755874450963</v>
      </c>
      <c r="K312" s="39">
        <f>(VLOOKUP($A312,'The List'!$B1:$AH727,23,FALSE)-AVERAGE('The List'!X2:X727))/STDEV('The List'!X2:X727)</f>
        <v>-0.2191014397491477</v>
      </c>
      <c r="L312" s="39">
        <f>(VLOOKUP($A312,'The List'!$B1:$AH727,24,FALSE)-AVERAGE('The List'!Y2:Y727))/STDEV('The List'!Y2:Y727)</f>
        <v>-0.52833985923547333</v>
      </c>
      <c r="M312" s="39">
        <f>(VLOOKUP($A312,'The List'!$B1:$AH727,25,FALSE)-AVERAGE('The List'!Z2:Z727))/STDEV('The List'!Z2:Z727)</f>
        <v>-0.68807180829792169</v>
      </c>
      <c r="N312" s="39">
        <f>(VLOOKUP($A312,'The List'!$B1:$AH727,26,FALSE)-AVERAGE('The List'!AA2:AA727))/STDEV('The List'!AA2:AA727)</f>
        <v>0.69292011768211292</v>
      </c>
      <c r="O312" s="39">
        <f>(VLOOKUP($A312,'The List'!$B1:$AH727,27,FALSE)-AVERAGE('The List'!AB2:AB727))/STDEV('The List'!AB2:AB727)</f>
        <v>0.82400518198617911</v>
      </c>
      <c r="P312" s="39">
        <f>(VLOOKUP($A312,'The List'!$B1:$AH727,28,FALSE)-AVERAGE('The List'!AC2:AC727))/STDEV('The List'!AC2:AC727)</f>
        <v>-0.39750620904813017</v>
      </c>
      <c r="Q312" s="39">
        <f>(VLOOKUP($A312,'The List'!$B1:$AH727,29,FALSE)-AVERAGE('The List'!AD2:AD727))/STDEV('The List'!AD2:AD727)</f>
        <v>-0.16860531832365036</v>
      </c>
      <c r="R312" s="39">
        <f>(VLOOKUP($A312,'The List'!$B1:$AH727,30,FALSE)-AVERAGE('The List'!AE2:AE727))/STDEV('The List'!AE2:AE727)</f>
        <v>-0.63817176751689475</v>
      </c>
      <c r="S312" s="39">
        <f>(VLOOKUP($A312,'The List'!$B1:$AH727,31,FALSE)-AVERAGE('The List'!AF2:AF727))/STDEV('The List'!AF2:AF727)</f>
        <v>-0.55804314905918151</v>
      </c>
      <c r="T312" s="39">
        <f>(VLOOKUP($A312,'The List'!$B1:$AH727,32,FALSE)-AVERAGE('The List'!AG2:AG727))/STDEV('The List'!AG2:AG727)</f>
        <v>-0.60188453558131205</v>
      </c>
      <c r="U312" s="39">
        <f>(VLOOKUP($A312,'The List'!$B1:$AH727,33,FALSE)-AVERAGE('The List'!AH2:AH727))/STDEV('The List'!AH2:AH727)</f>
        <v>-1.2395873372913611</v>
      </c>
      <c r="V312" s="39"/>
      <c r="W312" s="43"/>
      <c r="X312" s="41"/>
      <c r="Y312" s="41"/>
      <c r="Z312" s="41"/>
      <c r="AA312" s="41"/>
      <c r="AB312" s="41"/>
      <c r="AC312" s="44"/>
      <c r="AD312" s="45"/>
      <c r="AE312" s="39"/>
    </row>
    <row r="313" spans="1:31" ht="21.25" customHeight="1" x14ac:dyDescent="0.15">
      <c r="A313" s="8" t="s">
        <v>586</v>
      </c>
      <c r="B313" s="35" t="str">
        <f>VLOOKUP(A313,'Player Data'!A1:B734,2,FALSE)</f>
        <v>ARI</v>
      </c>
      <c r="C313" s="37">
        <f>((E313)*Settings!$C$12)+(F313*Settings!$C$2)+(G313*Settings!$C$3)+(H313*Settings!$C$4)+(I313*Settings!$C$5)+(K313*Settings!$C$9)+(N313*Settings!$C$6)+(J313*Settings!$C$8)+(O313*Settings!$C$7)+(P313*Settings!$C$14)+(Q313*Settings!$C$15)+(R313*Settings!$C$16)+(S313*Settings!$C$17)+(T313*Settings!$C$18)+(U313*Settings!$C$19)</f>
        <v>-1.8941121400249115</v>
      </c>
      <c r="D313" s="41">
        <f>IF(Settings!$E$12="YES",VLOOKUP(A313,'Player Data'!A1:E734,5,FALSE),82)</f>
        <v>82</v>
      </c>
      <c r="E313" s="39">
        <f>(VLOOKUP($A313,'The List'!$B1:$AH727,17,FALSE)-AVERAGE('The List'!R2:R727))/STDEV('The List'!R2:R727)</f>
        <v>-0.63179016576263092</v>
      </c>
      <c r="F313" s="39">
        <f>(VLOOKUP($A313,'The List'!$B1:$AH727,18,FALSE)-AVERAGE('The List'!S2:S727))/STDEV('The List'!S2:S727)</f>
        <v>-0.29706575261134416</v>
      </c>
      <c r="G313" s="39">
        <f>(VLOOKUP($A313,'The List'!$B1:$AH727,19,FALSE)-AVERAGE('The List'!T2:T727))/STDEV('The List'!T2:T727)</f>
        <v>0.11533395637589941</v>
      </c>
      <c r="H313" s="39">
        <f>(VLOOKUP($A313,'The List'!$B1:$AH727,20,FALSE)-AVERAGE('The List'!U2:U727))/STDEV('The List'!U2:U727)</f>
        <v>-6.4113660825300414E-2</v>
      </c>
      <c r="I313" s="39">
        <f>(VLOOKUP($A313,'The List'!$B1:$AH727,21,FALSE)-AVERAGE('The List'!V2:V727))/STDEV('The List'!V2:V727)</f>
        <v>-0.19288415185597252</v>
      </c>
      <c r="J313" s="39">
        <f>(VLOOKUP($A313,'The List'!$B1:$AH727,22,FALSE)-AVERAGE('The List'!W2:W727))/STDEV('The List'!W2:W727)</f>
        <v>-0.52247069331626184</v>
      </c>
      <c r="K313" s="39">
        <f>(VLOOKUP($A313,'The List'!$B1:$AH727,23,FALSE)-AVERAGE('The List'!X2:X727))/STDEV('The List'!X2:X727)</f>
        <v>-0.64563595865886148</v>
      </c>
      <c r="L313" s="39">
        <f>(VLOOKUP($A313,'The List'!$B1:$AH727,24,FALSE)-AVERAGE('The List'!Y2:Y727))/STDEV('The List'!Y2:Y727)</f>
        <v>0.87755578495575781</v>
      </c>
      <c r="M313" s="39">
        <f>(VLOOKUP($A313,'The List'!$B1:$AH727,25,FALSE)-AVERAGE('The List'!Z2:Z727))/STDEV('The List'!Z2:Z727)</f>
        <v>1.8105917292978619</v>
      </c>
      <c r="N313" s="39">
        <f>(VLOOKUP($A313,'The List'!$B1:$AH727,26,FALSE)-AVERAGE('The List'!AA2:AA727))/STDEV('The List'!AA2:AA727)</f>
        <v>-0.25209053431021816</v>
      </c>
      <c r="O313" s="39">
        <f>(VLOOKUP($A313,'The List'!$B1:$AH727,27,FALSE)-AVERAGE('The List'!AB2:AB727))/STDEV('The List'!AB2:AB727)</f>
        <v>-0.56386651058009851</v>
      </c>
      <c r="P313" s="39">
        <f>(VLOOKUP($A313,'The List'!$B1:$AH727,28,FALSE)-AVERAGE('The List'!AC2:AC727))/STDEV('The List'!AC2:AC727)</f>
        <v>-0.62176969896441447</v>
      </c>
      <c r="Q313" s="39">
        <f>(VLOOKUP($A313,'The List'!$B1:$AH727,29,FALSE)-AVERAGE('The List'!AD2:AD727))/STDEV('The List'!AD2:AD727)</f>
        <v>-0.48942099670792</v>
      </c>
      <c r="R313" s="39">
        <f>(VLOOKUP($A313,'The List'!$B1:$AH727,30,FALSE)-AVERAGE('The List'!AE2:AE727))/STDEV('The List'!AE2:AE727)</f>
        <v>-0.38955741161287172</v>
      </c>
      <c r="S313" s="39">
        <f>(VLOOKUP($A313,'The List'!$B1:$AH727,31,FALSE)-AVERAGE('The List'!AF2:AF727))/STDEV('The List'!AF2:AF727)</f>
        <v>-0.18635366773168574</v>
      </c>
      <c r="T313" s="39">
        <f>(VLOOKUP($A313,'The List'!$B1:$AH727,32,FALSE)-AVERAGE('The List'!AG2:AG727))/STDEV('The List'!AG2:AG727)</f>
        <v>-8.9964069263778937E-2</v>
      </c>
      <c r="U313" s="39">
        <f>(VLOOKUP($A313,'The List'!$B1:$AH727,33,FALSE)-AVERAGE('The List'!AH2:AH727))/STDEV('The List'!AH2:AH727)</f>
        <v>0.71685682704398102</v>
      </c>
      <c r="V313" s="39"/>
      <c r="W313" s="41"/>
      <c r="X313" s="39"/>
      <c r="Y313" s="39"/>
      <c r="Z313" s="39"/>
      <c r="AA313" s="39"/>
      <c r="AB313" s="39"/>
      <c r="AC313" s="39"/>
      <c r="AD313" s="39"/>
      <c r="AE313" s="39"/>
    </row>
    <row r="314" spans="1:31" ht="21.25" customHeight="1" x14ac:dyDescent="0.15">
      <c r="A314" s="8" t="s">
        <v>444</v>
      </c>
      <c r="B314" s="35" t="str">
        <f>VLOOKUP(A314,'Player Data'!A1:B734,2,FALSE)</f>
        <v>TOR</v>
      </c>
      <c r="C314" s="37">
        <f>((E314)*Settings!$C$12)+(F314*Settings!$C$2)+(G314*Settings!$C$3)+(H314*Settings!$C$4)+(I314*Settings!$C$5)+(K314*Settings!$C$9)+(N314*Settings!$C$6)+(J314*Settings!$C$8)+(O314*Settings!$C$7)+(P314*Settings!$C$14)+(Q314*Settings!$C$15)+(R314*Settings!$C$16)+(S314*Settings!$C$17)+(T314*Settings!$C$18)+(U314*Settings!$C$19)</f>
        <v>-0.75035737428993032</v>
      </c>
      <c r="D314" s="41">
        <f>IF(Settings!$E$12="YES",VLOOKUP(A314,'Player Data'!A1:E734,5,FALSE),82)</f>
        <v>74</v>
      </c>
      <c r="E314" s="39">
        <f>(VLOOKUP($A314,'The List'!$B1:$AH727,17,FALSE)-AVERAGE('The List'!R2:R727))/STDEV('The List'!R2:R727)</f>
        <v>-0.39506305732553121</v>
      </c>
      <c r="F314" s="39">
        <f>(VLOOKUP($A314,'The List'!$B1:$AH727,18,FALSE)-AVERAGE('The List'!S2:S727))/STDEV('The List'!S2:S727)</f>
        <v>0.24258766714472091</v>
      </c>
      <c r="G314" s="39">
        <f>(VLOOKUP($A314,'The List'!$B1:$AH727,19,FALSE)-AVERAGE('The List'!T2:T727))/STDEV('The List'!T2:T727)</f>
        <v>-0.11258066597416407</v>
      </c>
      <c r="H314" s="39">
        <f>(VLOOKUP($A314,'The List'!$B1:$AH727,20,FALSE)-AVERAGE('The List'!U2:U727))/STDEV('The List'!U2:U727)</f>
        <v>4.101932579547269E-2</v>
      </c>
      <c r="I314" s="39">
        <f>(VLOOKUP($A314,'The List'!$B1:$AH727,21,FALSE)-AVERAGE('The List'!V2:V727))/STDEV('The List'!V2:V727)</f>
        <v>-2.585779927553767E-2</v>
      </c>
      <c r="J314" s="39">
        <f>(VLOOKUP($A314,'The List'!$B1:$AH727,22,FALSE)-AVERAGE('The List'!W2:W727))/STDEV('The List'!W2:W727)</f>
        <v>0.10847424639866299</v>
      </c>
      <c r="K314" s="39">
        <f>(VLOOKUP($A314,'The List'!$B1:$AH727,23,FALSE)-AVERAGE('The List'!X2:X727))/STDEV('The List'!X2:X727)</f>
        <v>-6.4942465467703964E-2</v>
      </c>
      <c r="L314" s="39">
        <f>(VLOOKUP($A314,'The List'!$B1:$AH727,24,FALSE)-AVERAGE('The List'!Y2:Y727))/STDEV('The List'!Y2:Y727)</f>
        <v>-0.54402834717551152</v>
      </c>
      <c r="M314" s="39">
        <f>(VLOOKUP($A314,'The List'!$B1:$AH727,25,FALSE)-AVERAGE('The List'!Z2:Z727))/STDEV('The List'!Z2:Z727)</f>
        <v>-0.72372514007823274</v>
      </c>
      <c r="N314" s="39">
        <f>(VLOOKUP($A314,'The List'!$B1:$AH727,26,FALSE)-AVERAGE('The List'!AA2:AA727))/STDEV('The List'!AA2:AA727)</f>
        <v>-0.70184730619765567</v>
      </c>
      <c r="O314" s="39">
        <f>(VLOOKUP($A314,'The List'!$B1:$AH727,27,FALSE)-AVERAGE('The List'!AB2:AB727))/STDEV('The List'!AB2:AB727)</f>
        <v>-6.8436422562081364E-2</v>
      </c>
      <c r="P314" s="39">
        <f>(VLOOKUP($A314,'The List'!$B1:$AH727,28,FALSE)-AVERAGE('The List'!AC2:AC727))/STDEV('The List'!AC2:AC727)</f>
        <v>-8.7716804519589811E-2</v>
      </c>
      <c r="Q314" s="39">
        <f>(VLOOKUP($A314,'The List'!$B1:$AH727,29,FALSE)-AVERAGE('The List'!AD2:AD727))/STDEV('The List'!AD2:AD727)</f>
        <v>-8.9330881684666338E-2</v>
      </c>
      <c r="R314" s="39">
        <f>(VLOOKUP($A314,'The List'!$B1:$AH727,30,FALSE)-AVERAGE('The List'!AE2:AE727))/STDEV('The List'!AE2:AE727)</f>
        <v>0.42030140747972078</v>
      </c>
      <c r="S314" s="39">
        <f>(VLOOKUP($A314,'The List'!$B1:$AH727,31,FALSE)-AVERAGE('The List'!AF2:AF727))/STDEV('The List'!AF2:AF727)</f>
        <v>-0.55804314905918151</v>
      </c>
      <c r="T314" s="39">
        <f>(VLOOKUP($A314,'The List'!$B1:$AH727,32,FALSE)-AVERAGE('The List'!AG2:AG727))/STDEV('The List'!AG2:AG727)</f>
        <v>-0.60188453558131205</v>
      </c>
      <c r="U314" s="39">
        <f>(VLOOKUP($A314,'The List'!$B1:$AH727,33,FALSE)-AVERAGE('The List'!AH2:AH727))/STDEV('The List'!AH2:AH727)</f>
        <v>-1.2395873372913611</v>
      </c>
      <c r="V314" s="39"/>
      <c r="W314" s="43"/>
      <c r="X314" s="41"/>
      <c r="Y314" s="41"/>
      <c r="Z314" s="41"/>
      <c r="AA314" s="41"/>
      <c r="AB314" s="41"/>
      <c r="AC314" s="44"/>
      <c r="AD314" s="45"/>
      <c r="AE314" s="39"/>
    </row>
    <row r="315" spans="1:31" ht="21.25" customHeight="1" x14ac:dyDescent="0.15">
      <c r="A315" s="8" t="s">
        <v>357</v>
      </c>
      <c r="B315" s="35" t="str">
        <f>VLOOKUP(A315,'Player Data'!A1:B734,2,FALSE)</f>
        <v>ARI</v>
      </c>
      <c r="C315" s="37">
        <f>((E315)*Settings!$C$12)+(F315*Settings!$C$2)+(G315*Settings!$C$3)+(H315*Settings!$C$4)+(I315*Settings!$C$5)+(K315*Settings!$C$9)+(N315*Settings!$C$6)+(J315*Settings!$C$8)+(O315*Settings!$C$7)+(P315*Settings!$C$14)+(Q315*Settings!$C$15)+(R315*Settings!$C$16)+(S315*Settings!$C$17)+(T315*Settings!$C$18)+(U315*Settings!$C$19)</f>
        <v>-0.53346251722719484</v>
      </c>
      <c r="D315" s="41">
        <f>IF(Settings!$E$12="YES",VLOOKUP(A315,'Player Data'!A1:E734,5,FALSE),82)</f>
        <v>76.307500000000005</v>
      </c>
      <c r="E315" s="39">
        <f>(VLOOKUP($A315,'The List'!$B1:$AH727,17,FALSE)-AVERAGE('The List'!R2:R727))/STDEV('The List'!R2:R727)</f>
        <v>0.60989013404583003</v>
      </c>
      <c r="F315" s="39">
        <f>(VLOOKUP($A315,'The List'!$B1:$AH727,18,FALSE)-AVERAGE('The List'!S2:S727))/STDEV('The List'!S2:S727)</f>
        <v>-0.85897400982843808</v>
      </c>
      <c r="G315" s="39">
        <f>(VLOOKUP($A315,'The List'!$B1:$AH727,19,FALSE)-AVERAGE('The List'!T2:T727))/STDEV('The List'!T2:T727)</f>
        <v>0.32487722856795814</v>
      </c>
      <c r="H315" s="39">
        <f>(VLOOKUP($A315,'The List'!$B1:$AH727,20,FALSE)-AVERAGE('The List'!U2:U727))/STDEV('The List'!U2:U727)</f>
        <v>-0.19069458624695909</v>
      </c>
      <c r="I315" s="39">
        <f>(VLOOKUP($A315,'The List'!$B1:$AH727,21,FALSE)-AVERAGE('The List'!V2:V727))/STDEV('The List'!V2:V727)</f>
        <v>-0.50674059952407202</v>
      </c>
      <c r="J315" s="39">
        <f>(VLOOKUP($A315,'The List'!$B1:$AH727,22,FALSE)-AVERAGE('The List'!W2:W727))/STDEV('The List'!W2:W727)</f>
        <v>-0.44451928812096114</v>
      </c>
      <c r="K315" s="39">
        <f>(VLOOKUP($A315,'The List'!$B1:$AH727,23,FALSE)-AVERAGE('The List'!X2:X727))/STDEV('The List'!X2:X727)</f>
        <v>0.18044188492508761</v>
      </c>
      <c r="L315" s="39">
        <f>(VLOOKUP($A315,'The List'!$B1:$AH727,24,FALSE)-AVERAGE('The List'!Y2:Y727))/STDEV('The List'!Y2:Y727)</f>
        <v>-0.50710913300628246</v>
      </c>
      <c r="M315" s="39">
        <f>(VLOOKUP($A315,'The List'!$B1:$AH727,25,FALSE)-AVERAGE('The List'!Z2:Z727))/STDEV('The List'!Z2:Z727)</f>
        <v>-0.64107795671456669</v>
      </c>
      <c r="N315" s="39">
        <f>(VLOOKUP($A315,'The List'!$B1:$AH727,26,FALSE)-AVERAGE('The List'!AA2:AA727))/STDEV('The List'!AA2:AA727)</f>
        <v>0.98744613794258662</v>
      </c>
      <c r="O315" s="39">
        <f>(VLOOKUP($A315,'The List'!$B1:$AH727,27,FALSE)-AVERAGE('The List'!AB2:AB727))/STDEV('The List'!AB2:AB727)</f>
        <v>-0.46291171953913834</v>
      </c>
      <c r="P315" s="39">
        <f>(VLOOKUP($A315,'The List'!$B1:$AH727,28,FALSE)-AVERAGE('The List'!AC2:AC727))/STDEV('The List'!AC2:AC727)</f>
        <v>-0.66051315931031696</v>
      </c>
      <c r="Q315" s="39">
        <f>(VLOOKUP($A315,'The List'!$B1:$AH727,29,FALSE)-AVERAGE('The List'!AD2:AD727))/STDEV('The List'!AD2:AD727)</f>
        <v>1.2273398875064461</v>
      </c>
      <c r="R315" s="39">
        <f>(VLOOKUP($A315,'The List'!$B1:$AH727,30,FALSE)-AVERAGE('The List'!AE2:AE727))/STDEV('The List'!AE2:AE727)</f>
        <v>-0.84194369285298143</v>
      </c>
      <c r="S315" s="39">
        <f>(VLOOKUP($A315,'The List'!$B1:$AH727,31,FALSE)-AVERAGE('The List'!AF2:AF727))/STDEV('The List'!AF2:AF727)</f>
        <v>-0.55804314905918151</v>
      </c>
      <c r="T315" s="39">
        <f>(VLOOKUP($A315,'The List'!$B1:$AH727,32,FALSE)-AVERAGE('The List'!AG2:AG727))/STDEV('The List'!AG2:AG727)</f>
        <v>-0.60188453558131205</v>
      </c>
      <c r="U315" s="39">
        <f>(VLOOKUP($A315,'The List'!$B1:$AH727,33,FALSE)-AVERAGE('The List'!AH2:AH727))/STDEV('The List'!AH2:AH727)</f>
        <v>-1.2395873372913611</v>
      </c>
      <c r="V315" s="39"/>
      <c r="W315" s="43"/>
      <c r="X315" s="41"/>
      <c r="Y315" s="41"/>
      <c r="Z315" s="41"/>
      <c r="AA315" s="41"/>
      <c r="AB315" s="41"/>
      <c r="AC315" s="44"/>
      <c r="AD315" s="45"/>
      <c r="AE315" s="39"/>
    </row>
    <row r="316" spans="1:31" ht="21.25" customHeight="1" x14ac:dyDescent="0.15">
      <c r="A316" s="8" t="s">
        <v>329</v>
      </c>
      <c r="B316" s="35" t="str">
        <f>VLOOKUP(A316,'Player Data'!A1:B734,2,FALSE)</f>
        <v>DET</v>
      </c>
      <c r="C316" s="37">
        <f>((E316)*Settings!$C$12)+(F316*Settings!$C$2)+(G316*Settings!$C$3)+(H316*Settings!$C$4)+(I316*Settings!$C$5)+(K316*Settings!$C$9)+(N316*Settings!$C$6)+(J316*Settings!$C$8)+(O316*Settings!$C$7)+(P316*Settings!$C$14)+(Q316*Settings!$C$15)+(R316*Settings!$C$16)+(S316*Settings!$C$17)+(T316*Settings!$C$18)+(U316*Settings!$C$19)</f>
        <v>-0.26691751821003351</v>
      </c>
      <c r="D316" s="41">
        <f>IF(Settings!$E$12="YES",VLOOKUP(A316,'Player Data'!A1:E734,5,FALSE),82)</f>
        <v>78.591071428571396</v>
      </c>
      <c r="E316" s="39">
        <f>(VLOOKUP($A316,'The List'!$B1:$AH727,17,FALSE)-AVERAGE('The List'!R2:R727))/STDEV('The List'!R2:R727)</f>
        <v>0.28066226722699011</v>
      </c>
      <c r="F316" s="39">
        <f>(VLOOKUP($A316,'The List'!$B1:$AH727,18,FALSE)-AVERAGE('The List'!S2:S727))/STDEV('The List'!S2:S727)</f>
        <v>-0.34394804513749216</v>
      </c>
      <c r="G316" s="39">
        <f>(VLOOKUP($A316,'The List'!$B1:$AH727,19,FALSE)-AVERAGE('The List'!T2:T727))/STDEV('The List'!T2:T727)</f>
        <v>1.0634683946899436E-2</v>
      </c>
      <c r="H316" s="39">
        <f>(VLOOKUP($A316,'The List'!$B1:$AH727,20,FALSE)-AVERAGE('The List'!U2:U727))/STDEV('The List'!U2:U727)</f>
        <v>-0.14996469338200052</v>
      </c>
      <c r="I316" s="39">
        <f>(VLOOKUP($A316,'The List'!$B1:$AH727,21,FALSE)-AVERAGE('The List'!V2:V727))/STDEV('The List'!V2:V727)</f>
        <v>-0.14882185485142005</v>
      </c>
      <c r="J316" s="39">
        <f>(VLOOKUP($A316,'The List'!$B1:$AH727,22,FALSE)-AVERAGE('The List'!W2:W727))/STDEV('The List'!W2:W727)</f>
        <v>-1.1947741283381698E-2</v>
      </c>
      <c r="K316" s="39">
        <f>(VLOOKUP($A316,'The List'!$B1:$AH727,23,FALSE)-AVERAGE('The List'!X2:X727))/STDEV('The List'!X2:X727)</f>
        <v>0.19797196917840298</v>
      </c>
      <c r="L316" s="39">
        <f>(VLOOKUP($A316,'The List'!$B1:$AH727,24,FALSE)-AVERAGE('The List'!Y2:Y727))/STDEV('The List'!Y2:Y727)</f>
        <v>-7.8680119063897297E-2</v>
      </c>
      <c r="M316" s="39">
        <f>(VLOOKUP($A316,'The List'!$B1:$AH727,25,FALSE)-AVERAGE('The List'!Z2:Z727))/STDEV('The List'!Z2:Z727)</f>
        <v>-0.41083188260982828</v>
      </c>
      <c r="N316" s="39">
        <f>(VLOOKUP($A316,'The List'!$B1:$AH727,26,FALSE)-AVERAGE('The List'!AA2:AA727))/STDEV('The List'!AA2:AA727)</f>
        <v>0.65333618515246394</v>
      </c>
      <c r="O316" s="39">
        <f>(VLOOKUP($A316,'The List'!$B1:$AH727,27,FALSE)-AVERAGE('The List'!AB2:AB727))/STDEV('The List'!AB2:AB727)</f>
        <v>-0.7807926209616971</v>
      </c>
      <c r="P316" s="39">
        <f>(VLOOKUP($A316,'The List'!$B1:$AH727,28,FALSE)-AVERAGE('The List'!AC2:AC727))/STDEV('The List'!AC2:AC727)</f>
        <v>-0.63609045649888762</v>
      </c>
      <c r="Q316" s="39">
        <f>(VLOOKUP($A316,'The List'!$B1:$AH727,29,FALSE)-AVERAGE('The List'!AD2:AD727))/STDEV('The List'!AD2:AD727)</f>
        <v>-0.75135121957908069</v>
      </c>
      <c r="R316" s="39">
        <f>(VLOOKUP($A316,'The List'!$B1:$AH727,30,FALSE)-AVERAGE('The List'!AE2:AE727))/STDEV('The List'!AE2:AE727)</f>
        <v>-0.39092694384270626</v>
      </c>
      <c r="S316" s="39">
        <f>(VLOOKUP($A316,'The List'!$B1:$AH727,31,FALSE)-AVERAGE('The List'!AF2:AF727))/STDEV('The List'!AF2:AF727)</f>
        <v>-0.55804314905918151</v>
      </c>
      <c r="T316" s="39">
        <f>(VLOOKUP($A316,'The List'!$B1:$AH727,32,FALSE)-AVERAGE('The List'!AG2:AG727))/STDEV('The List'!AG2:AG727)</f>
        <v>-0.60188453558131205</v>
      </c>
      <c r="U316" s="39">
        <f>(VLOOKUP($A316,'The List'!$B1:$AH727,33,FALSE)-AVERAGE('The List'!AH2:AH727))/STDEV('The List'!AH2:AH727)</f>
        <v>-1.2395873372913611</v>
      </c>
      <c r="V316" s="39"/>
      <c r="W316" s="43"/>
      <c r="X316" s="41"/>
      <c r="Y316" s="41"/>
      <c r="Z316" s="41"/>
      <c r="AA316" s="41"/>
      <c r="AB316" s="41"/>
      <c r="AC316" s="44"/>
      <c r="AD316" s="45"/>
      <c r="AE316" s="39"/>
    </row>
    <row r="317" spans="1:31" ht="21.25" customHeight="1" x14ac:dyDescent="0.15">
      <c r="A317" s="8" t="s">
        <v>288</v>
      </c>
      <c r="B317" s="35" t="str">
        <f>VLOOKUP(A317,'Player Data'!A1:B734,2,FALSE)</f>
        <v>OTT</v>
      </c>
      <c r="C317" s="37">
        <f>((E317)*Settings!$C$12)+(F317*Settings!$C$2)+(G317*Settings!$C$3)+(H317*Settings!$C$4)+(I317*Settings!$C$5)+(K317*Settings!$C$9)+(N317*Settings!$C$6)+(J317*Settings!$C$8)+(O317*Settings!$C$7)+(P317*Settings!$C$14)+(Q317*Settings!$C$15)+(R317*Settings!$C$16)+(S317*Settings!$C$17)+(T317*Settings!$C$18)+(U317*Settings!$C$19)</f>
        <v>2.4653494082631831</v>
      </c>
      <c r="D317" s="41">
        <f>IF(Settings!$E$12="YES",VLOOKUP(A317,'Player Data'!A1:E734,5,FALSE),82)</f>
        <v>79.954999999999998</v>
      </c>
      <c r="E317" s="39">
        <f>(VLOOKUP($A317,'The List'!$B1:$AH727,17,FALSE)-AVERAGE('The List'!R2:R727))/STDEV('The List'!R2:R727)</f>
        <v>1.4795485717495127</v>
      </c>
      <c r="F317" s="39">
        <f>(VLOOKUP($A317,'The List'!$B1:$AH727,18,FALSE)-AVERAGE('The List'!S2:S727))/STDEV('The List'!S2:S727)</f>
        <v>-0.79567568347646012</v>
      </c>
      <c r="G317" s="39">
        <f>(VLOOKUP($A317,'The List'!$B1:$AH727,19,FALSE)-AVERAGE('The List'!T2:T727))/STDEV('The List'!T2:T727)</f>
        <v>0.37385802234555632</v>
      </c>
      <c r="H317" s="39">
        <f>(VLOOKUP($A317,'The List'!$B1:$AH727,20,FALSE)-AVERAGE('The List'!U2:U727))/STDEV('The List'!U2:U727)</f>
        <v>-0.13170747064067567</v>
      </c>
      <c r="I317" s="39">
        <f>(VLOOKUP($A317,'The List'!$B1:$AH727,21,FALSE)-AVERAGE('The List'!V2:V727))/STDEV('The List'!V2:V727)</f>
        <v>6.2836487097036972E-2</v>
      </c>
      <c r="J317" s="39">
        <f>(VLOOKUP($A317,'The List'!$B1:$AH727,22,FALSE)-AVERAGE('The List'!W2:W727))/STDEV('The List'!W2:W727)</f>
        <v>-0.2565538718196273</v>
      </c>
      <c r="K317" s="39">
        <f>(VLOOKUP($A317,'The List'!$B1:$AH727,23,FALSE)-AVERAGE('The List'!X2:X727))/STDEV('The List'!X2:X727)</f>
        <v>0.47761103896371304</v>
      </c>
      <c r="L317" s="39">
        <f>(VLOOKUP($A317,'The List'!$B1:$AH727,24,FALSE)-AVERAGE('The List'!Y2:Y727))/STDEV('The List'!Y2:Y727)</f>
        <v>-0.46957962792235441</v>
      </c>
      <c r="M317" s="39">
        <f>(VLOOKUP($A317,'The List'!$B1:$AH727,25,FALSE)-AVERAGE('The List'!Z2:Z727))/STDEV('The List'!Z2:Z727)</f>
        <v>-0.48767775553124176</v>
      </c>
      <c r="N317" s="39">
        <f>(VLOOKUP($A317,'The List'!$B1:$AH727,26,FALSE)-AVERAGE('The List'!AA2:AA727))/STDEV('The List'!AA2:AA727)</f>
        <v>2.3830808572718563</v>
      </c>
      <c r="O317" s="39">
        <f>(VLOOKUP($A317,'The List'!$B1:$AH727,27,FALSE)-AVERAGE('The List'!AB2:AB727))/STDEV('The List'!AB2:AB727)</f>
        <v>-0.46120585105186424</v>
      </c>
      <c r="P317" s="39">
        <f>(VLOOKUP($A317,'The List'!$B1:$AH727,28,FALSE)-AVERAGE('The List'!AC2:AC727))/STDEV('The List'!AC2:AC727)</f>
        <v>-3.6361313938519532E-2</v>
      </c>
      <c r="Q317" s="39">
        <f>(VLOOKUP($A317,'The List'!$B1:$AH727,29,FALSE)-AVERAGE('The List'!AD2:AD727))/STDEV('The List'!AD2:AD727)</f>
        <v>-0.76184843426603766</v>
      </c>
      <c r="R317" s="39">
        <f>(VLOOKUP($A317,'The List'!$B1:$AH727,30,FALSE)-AVERAGE('The List'!AE2:AE727))/STDEV('The List'!AE2:AE727)</f>
        <v>-0.74003718740917357</v>
      </c>
      <c r="S317" s="39">
        <f>(VLOOKUP($A317,'The List'!$B1:$AH727,31,FALSE)-AVERAGE('The List'!AF2:AF727))/STDEV('The List'!AF2:AF727)</f>
        <v>-0.55804314905918151</v>
      </c>
      <c r="T317" s="39">
        <f>(VLOOKUP($A317,'The List'!$B1:$AH727,32,FALSE)-AVERAGE('The List'!AG2:AG727))/STDEV('The List'!AG2:AG727)</f>
        <v>-0.60188453558131205</v>
      </c>
      <c r="U317" s="39">
        <f>(VLOOKUP($A317,'The List'!$B1:$AH727,33,FALSE)-AVERAGE('The List'!AH2:AH727))/STDEV('The List'!AH2:AH727)</f>
        <v>-1.2395873372913611</v>
      </c>
      <c r="V317" s="39"/>
      <c r="W317" s="41"/>
      <c r="X317" s="39"/>
      <c r="Y317" s="39"/>
      <c r="Z317" s="39"/>
      <c r="AA317" s="39"/>
      <c r="AB317" s="39"/>
      <c r="AC317" s="39"/>
      <c r="AD317" s="39"/>
      <c r="AE317" s="39"/>
    </row>
    <row r="318" spans="1:31" ht="21.25" customHeight="1" x14ac:dyDescent="0.15">
      <c r="A318" s="8" t="s">
        <v>306</v>
      </c>
      <c r="B318" s="35" t="str">
        <f>VLOOKUP(A318,'Player Data'!A1:B734,2,FALSE)</f>
        <v>MIN</v>
      </c>
      <c r="C318" s="37">
        <f>((E318)*Settings!$C$12)+(F318*Settings!$C$2)+(G318*Settings!$C$3)+(H318*Settings!$C$4)+(I318*Settings!$C$5)+(K318*Settings!$C$9)+(N318*Settings!$C$6)+(J318*Settings!$C$8)+(O318*Settings!$C$7)+(P318*Settings!$C$14)+(Q318*Settings!$C$15)+(R318*Settings!$C$16)+(S318*Settings!$C$17)+(T318*Settings!$C$18)+(U318*Settings!$C$19)</f>
        <v>3.2967717291822218</v>
      </c>
      <c r="D318" s="41">
        <f>IF(Settings!$E$12="YES",VLOOKUP(A318,'Player Data'!A1:E734,5,FALSE),82)</f>
        <v>79.400000000000006</v>
      </c>
      <c r="E318" s="39">
        <f>(VLOOKUP($A318,'The List'!$B1:$AH727,17,FALSE)-AVERAGE('The List'!R2:R727))/STDEV('The List'!R2:R727)</f>
        <v>1.3329778879707965</v>
      </c>
      <c r="F318" s="39">
        <f>(VLOOKUP($A318,'The List'!$B1:$AH727,18,FALSE)-AVERAGE('The List'!S2:S727))/STDEV('The List'!S2:S727)</f>
        <v>-0.3606415193016812</v>
      </c>
      <c r="G318" s="39">
        <f>(VLOOKUP($A318,'The List'!$B1:$AH727,19,FALSE)-AVERAGE('The List'!T2:T727))/STDEV('The List'!T2:T727)</f>
        <v>3.3874911959652233E-2</v>
      </c>
      <c r="H318" s="39">
        <f>(VLOOKUP($A318,'The List'!$B1:$AH727,20,FALSE)-AVERAGE('The List'!U2:U727))/STDEV('The List'!U2:U727)</f>
        <v>-0.14324042624769673</v>
      </c>
      <c r="I318" s="39">
        <f>(VLOOKUP($A318,'The List'!$B1:$AH727,21,FALSE)-AVERAGE('The List'!V2:V727))/STDEV('The List'!V2:V727)</f>
        <v>0.13000777333485014</v>
      </c>
      <c r="J318" s="39">
        <f>(VLOOKUP($A318,'The List'!$B1:$AH727,22,FALSE)-AVERAGE('The List'!W2:W727))/STDEV('The List'!W2:W727)</f>
        <v>-0.55106769230637209</v>
      </c>
      <c r="K318" s="39">
        <f>(VLOOKUP($A318,'The List'!$B1:$AH727,23,FALSE)-AVERAGE('The List'!X2:X727))/STDEV('The List'!X2:X727)</f>
        <v>-0.36508965499462193</v>
      </c>
      <c r="L318" s="39">
        <f>(VLOOKUP($A318,'The List'!$B1:$AH727,24,FALSE)-AVERAGE('The List'!Y2:Y727))/STDEV('The List'!Y2:Y727)</f>
        <v>-0.49769603395501155</v>
      </c>
      <c r="M318" s="39">
        <f>(VLOOKUP($A318,'The List'!$B1:$AH727,25,FALSE)-AVERAGE('The List'!Z2:Z727))/STDEV('The List'!Z2:Z727)</f>
        <v>-4.9463142236050531E-3</v>
      </c>
      <c r="N318" s="39">
        <f>(VLOOKUP($A318,'The List'!$B1:$AH727,26,FALSE)-AVERAGE('The List'!AA2:AA727))/STDEV('The List'!AA2:AA727)</f>
        <v>2.5765160878387849</v>
      </c>
      <c r="O318" s="39">
        <f>(VLOOKUP($A318,'The List'!$B1:$AH727,27,FALSE)-AVERAGE('The List'!AB2:AB727))/STDEV('The List'!AB2:AB727)</f>
        <v>-0.27261072108738249</v>
      </c>
      <c r="P318" s="39">
        <f>(VLOOKUP($A318,'The List'!$B1:$AH727,28,FALSE)-AVERAGE('The List'!AC2:AC727))/STDEV('The List'!AC2:AC727)</f>
        <v>1.2821041303452376</v>
      </c>
      <c r="Q318" s="39">
        <f>(VLOOKUP($A318,'The List'!$B1:$AH727,29,FALSE)-AVERAGE('The List'!AD2:AD727))/STDEV('The List'!AD2:AD727)</f>
        <v>-1.0282869850617704</v>
      </c>
      <c r="R318" s="39">
        <f>(VLOOKUP($A318,'The List'!$B1:$AH727,30,FALSE)-AVERAGE('The List'!AE2:AE727))/STDEV('The List'!AE2:AE727)</f>
        <v>-0.21316855603912335</v>
      </c>
      <c r="S318" s="39">
        <f>(VLOOKUP($A318,'The List'!$B1:$AH727,31,FALSE)-AVERAGE('The List'!AF2:AF727))/STDEV('The List'!AF2:AF727)</f>
        <v>-0.55804314905918151</v>
      </c>
      <c r="T318" s="39">
        <f>(VLOOKUP($A318,'The List'!$B1:$AH727,32,FALSE)-AVERAGE('The List'!AG2:AG727))/STDEV('The List'!AG2:AG727)</f>
        <v>-0.60188453558131205</v>
      </c>
      <c r="U318" s="39">
        <f>(VLOOKUP($A318,'The List'!$B1:$AH727,33,FALSE)-AVERAGE('The List'!AH2:AH727))/STDEV('The List'!AH2:AH727)</f>
        <v>-1.2395873372913611</v>
      </c>
      <c r="V318" s="39"/>
      <c r="W318" s="41"/>
      <c r="X318" s="39"/>
      <c r="Y318" s="39"/>
      <c r="Z318" s="39"/>
      <c r="AA318" s="39"/>
      <c r="AB318" s="39"/>
      <c r="AC318" s="39"/>
      <c r="AD318" s="39"/>
      <c r="AE318" s="39"/>
    </row>
    <row r="319" spans="1:31" ht="21.25" customHeight="1" x14ac:dyDescent="0.15">
      <c r="A319" s="8" t="s">
        <v>330</v>
      </c>
      <c r="B319" s="35" t="str">
        <f>VLOOKUP(A319,'Player Data'!A1:B734,2,FALSE)</f>
        <v>DET</v>
      </c>
      <c r="C319" s="37">
        <f>((E319)*Settings!$C$12)+(F319*Settings!$C$2)+(G319*Settings!$C$3)+(H319*Settings!$C$4)+(I319*Settings!$C$5)+(K319*Settings!$C$9)+(N319*Settings!$C$6)+(J319*Settings!$C$8)+(O319*Settings!$C$7)+(P319*Settings!$C$14)+(Q319*Settings!$C$15)+(R319*Settings!$C$16)+(S319*Settings!$C$17)+(T319*Settings!$C$18)+(U319*Settings!$C$19)</f>
        <v>0.57066007081963832</v>
      </c>
      <c r="D319" s="41">
        <f>IF(Settings!$E$12="YES",VLOOKUP(A319,'Player Data'!A1:E734,5,FALSE),82)</f>
        <v>76.231071428571397</v>
      </c>
      <c r="E319" s="39">
        <f>(VLOOKUP($A319,'The List'!$B1:$AH727,17,FALSE)-AVERAGE('The List'!R2:R727))/STDEV('The List'!R2:R727)</f>
        <v>0.93352913187232656</v>
      </c>
      <c r="F319" s="39">
        <f>(VLOOKUP($A319,'The List'!$B1:$AH727,18,FALSE)-AVERAGE('The List'!S2:S727))/STDEV('The List'!S2:S727)</f>
        <v>-0.65048614016480222</v>
      </c>
      <c r="G319" s="39">
        <f>(VLOOKUP($A319,'The List'!$B1:$AH727,19,FALSE)-AVERAGE('The List'!T2:T727))/STDEV('The List'!T2:T727)</f>
        <v>0.1411664550351657</v>
      </c>
      <c r="H319" s="39">
        <f>(VLOOKUP($A319,'The List'!$B1:$AH727,20,FALSE)-AVERAGE('The List'!U2:U727))/STDEV('The List'!U2:U727)</f>
        <v>-0.20902382938509936</v>
      </c>
      <c r="I319" s="39">
        <f>(VLOOKUP($A319,'The List'!$B1:$AH727,21,FALSE)-AVERAGE('The List'!V2:V727))/STDEV('The List'!V2:V727)</f>
        <v>-8.4637681800069309E-2</v>
      </c>
      <c r="J319" s="39">
        <f>(VLOOKUP($A319,'The List'!$B1:$AH727,22,FALSE)-AVERAGE('The List'!W2:W727))/STDEV('The List'!W2:W727)</f>
        <v>-0.31730341721080874</v>
      </c>
      <c r="K319" s="39">
        <f>(VLOOKUP($A319,'The List'!$B1:$AH727,23,FALSE)-AVERAGE('The List'!X2:X727))/STDEV('The List'!X2:X727)</f>
        <v>-7.0834353424773844E-2</v>
      </c>
      <c r="L319" s="39">
        <f>(VLOOKUP($A319,'The List'!$B1:$AH727,24,FALSE)-AVERAGE('The List'!Y2:Y727))/STDEV('The List'!Y2:Y727)</f>
        <v>-0.50230051674643583</v>
      </c>
      <c r="M319" s="39">
        <f>(VLOOKUP($A319,'The List'!$B1:$AH727,25,FALSE)-AVERAGE('The List'!Z2:Z727))/STDEV('The List'!Z2:Z727)</f>
        <v>-0.25098513915207121</v>
      </c>
      <c r="N319" s="39">
        <f>(VLOOKUP($A319,'The List'!$B1:$AH727,26,FALSE)-AVERAGE('The List'!AA2:AA727))/STDEV('The List'!AA2:AA727)</f>
        <v>1.5136943285321107</v>
      </c>
      <c r="O319" s="39">
        <f>(VLOOKUP($A319,'The List'!$B1:$AH727,27,FALSE)-AVERAGE('The List'!AB2:AB727))/STDEV('The List'!AB2:AB727)</f>
        <v>1.7138149128945417</v>
      </c>
      <c r="P319" s="39">
        <f>(VLOOKUP($A319,'The List'!$B1:$AH727,28,FALSE)-AVERAGE('The List'!AC2:AC727))/STDEV('The List'!AC2:AC727)</f>
        <v>-0.2782425373579927</v>
      </c>
      <c r="Q319" s="39">
        <f>(VLOOKUP($A319,'The List'!$B1:$AH727,29,FALSE)-AVERAGE('The List'!AD2:AD727))/STDEV('The List'!AD2:AD727)</f>
        <v>3.2631535463038853E-2</v>
      </c>
      <c r="R319" s="39">
        <f>(VLOOKUP($A319,'The List'!$B1:$AH727,30,FALSE)-AVERAGE('The List'!AE2:AE727))/STDEV('The List'!AE2:AE727)</f>
        <v>-0.64945399727498854</v>
      </c>
      <c r="S319" s="39">
        <f>(VLOOKUP($A319,'The List'!$B1:$AH727,31,FALSE)-AVERAGE('The List'!AF2:AF727))/STDEV('The List'!AF2:AF727)</f>
        <v>-0.55804314905918151</v>
      </c>
      <c r="T319" s="39">
        <f>(VLOOKUP($A319,'The List'!$B1:$AH727,32,FALSE)-AVERAGE('The List'!AG2:AG727))/STDEV('The List'!AG2:AG727)</f>
        <v>-0.60188453558131205</v>
      </c>
      <c r="U319" s="39">
        <f>(VLOOKUP($A319,'The List'!$B1:$AH727,33,FALSE)-AVERAGE('The List'!AH2:AH727))/STDEV('The List'!AH2:AH727)</f>
        <v>-1.2395873372913611</v>
      </c>
      <c r="V319" s="39"/>
      <c r="W319" s="43"/>
      <c r="X319" s="41"/>
      <c r="Y319" s="41"/>
      <c r="Z319" s="41"/>
      <c r="AA319" s="41"/>
      <c r="AB319" s="41"/>
      <c r="AC319" s="44"/>
      <c r="AD319" s="45"/>
      <c r="AE319" s="39"/>
    </row>
    <row r="320" spans="1:31" ht="21.25" customHeight="1" x14ac:dyDescent="0.15">
      <c r="A320" s="8" t="s">
        <v>649</v>
      </c>
      <c r="B320" s="35" t="str">
        <f>VLOOKUP(A320,'Player Data'!A1:B734,2,FALSE)</f>
        <v>OTT</v>
      </c>
      <c r="C320" s="37">
        <f>((E320)*Settings!$C$12)+(F320*Settings!$C$2)+(G320*Settings!$C$3)+(H320*Settings!$C$4)+(I320*Settings!$C$5)+(K320*Settings!$C$9)+(N320*Settings!$C$6)+(J320*Settings!$C$8)+(O320*Settings!$C$7)+(P320*Settings!$C$14)+(Q320*Settings!$C$15)+(R320*Settings!$C$16)+(S320*Settings!$C$17)+(T320*Settings!$C$18)+(U320*Settings!$C$19)</f>
        <v>-1.885220363348185</v>
      </c>
      <c r="D320" s="41">
        <f>IF(Settings!$E$12="YES",VLOOKUP(A320,'Player Data'!A1:E734,5,FALSE),82)</f>
        <v>70.867500000000007</v>
      </c>
      <c r="E320" s="39">
        <f>(VLOOKUP($A320,'The List'!$B1:$AH727,17,FALSE)-AVERAGE('The List'!R2:R727))/STDEV('The List'!R2:R727)</f>
        <v>-0.53882696633203198</v>
      </c>
      <c r="F320" s="39">
        <f>(VLOOKUP($A320,'The List'!$B1:$AH727,18,FALSE)-AVERAGE('The List'!S2:S727))/STDEV('The List'!S2:S727)</f>
        <v>0.12961569262845082</v>
      </c>
      <c r="G320" s="39">
        <f>(VLOOKUP($A320,'The List'!$B1:$AH727,19,FALSE)-AVERAGE('The List'!T2:T727))/STDEV('The List'!T2:T727)</f>
        <v>-0.60436894637119276</v>
      </c>
      <c r="H320" s="39">
        <f>(VLOOKUP($A320,'The List'!$B1:$AH727,20,FALSE)-AVERAGE('The List'!U2:U727))/STDEV('The List'!U2:U727)</f>
        <v>-0.31343445871622916</v>
      </c>
      <c r="I320" s="39">
        <f>(VLOOKUP($A320,'The List'!$B1:$AH727,21,FALSE)-AVERAGE('The List'!V2:V727))/STDEV('The List'!V2:V727)</f>
        <v>-0.28392223086429397</v>
      </c>
      <c r="J320" s="39">
        <f>(VLOOKUP($A320,'The List'!$B1:$AH727,22,FALSE)-AVERAGE('The List'!W2:W727))/STDEV('The List'!W2:W727)</f>
        <v>-0.21984216248050281</v>
      </c>
      <c r="K320" s="39">
        <f>(VLOOKUP($A320,'The List'!$B1:$AH727,23,FALSE)-AVERAGE('The List'!X2:X727))/STDEV('The List'!X2:X727)</f>
        <v>-0.41556812973942858</v>
      </c>
      <c r="L320" s="39">
        <f>(VLOOKUP($A320,'The List'!$B1:$AH727,24,FALSE)-AVERAGE('The List'!Y2:Y727))/STDEV('The List'!Y2:Y727)</f>
        <v>-0.32650955585791991</v>
      </c>
      <c r="M320" s="39">
        <f>(VLOOKUP($A320,'The List'!$B1:$AH727,25,FALSE)-AVERAGE('The List'!Z2:Z727))/STDEV('The List'!Z2:Z727)</f>
        <v>-0.47777466911813132</v>
      </c>
      <c r="N320" s="39">
        <f>(VLOOKUP($A320,'The List'!$B1:$AH727,26,FALSE)-AVERAGE('The List'!AA2:AA727))/STDEV('The List'!AA2:AA727)</f>
        <v>-0.49004059683417128</v>
      </c>
      <c r="O320" s="39">
        <f>(VLOOKUP($A320,'The List'!$B1:$AH727,27,FALSE)-AVERAGE('The List'!AB2:AB727))/STDEV('The List'!AB2:AB727)</f>
        <v>-0.62472565156293025</v>
      </c>
      <c r="P320" s="39">
        <f>(VLOOKUP($A320,'The List'!$B1:$AH727,28,FALSE)-AVERAGE('The List'!AC2:AC727))/STDEV('The List'!AC2:AC727)</f>
        <v>-0.22093615216754922</v>
      </c>
      <c r="Q320" s="39">
        <f>(VLOOKUP($A320,'The List'!$B1:$AH727,29,FALSE)-AVERAGE('The List'!AD2:AD727))/STDEV('The List'!AD2:AD727)</f>
        <v>-0.77899265211708513</v>
      </c>
      <c r="R320" s="39">
        <f>(VLOOKUP($A320,'The List'!$B1:$AH727,30,FALSE)-AVERAGE('The List'!AE2:AE727))/STDEV('The List'!AE2:AE727)</f>
        <v>9.9501661109884967E-2</v>
      </c>
      <c r="S320" s="39">
        <f>(VLOOKUP($A320,'The List'!$B1:$AH727,31,FALSE)-AVERAGE('The List'!AF2:AF727))/STDEV('The List'!AF2:AF727)</f>
        <v>1.133142785992816</v>
      </c>
      <c r="T320" s="39">
        <f>(VLOOKUP($A320,'The List'!$B1:$AH727,32,FALSE)-AVERAGE('The List'!AG2:AG727))/STDEV('The List'!AG2:AG727)</f>
        <v>1.1287437039666774</v>
      </c>
      <c r="U320" s="39">
        <f>(VLOOKUP($A320,'The List'!$B1:$AH727,33,FALSE)-AVERAGE('The List'!AH2:AH727))/STDEV('The List'!AH2:AH727)</f>
        <v>1.0505424802351102</v>
      </c>
      <c r="V320" s="39"/>
      <c r="W320" s="43"/>
      <c r="X320" s="41"/>
      <c r="Y320" s="41"/>
      <c r="Z320" s="41"/>
      <c r="AA320" s="41"/>
      <c r="AB320" s="41"/>
      <c r="AC320" s="44"/>
      <c r="AD320" s="45"/>
      <c r="AE320" s="39"/>
    </row>
    <row r="321" spans="1:31" ht="21.25" customHeight="1" x14ac:dyDescent="0.15">
      <c r="A321" s="8" t="s">
        <v>582</v>
      </c>
      <c r="B321" s="35" t="str">
        <f>VLOOKUP(A321,'Player Data'!A1:B734,2,FALSE)</f>
        <v>CHI</v>
      </c>
      <c r="C321" s="37">
        <f>((E321)*Settings!$C$12)+(F321*Settings!$C$2)+(G321*Settings!$C$3)+(H321*Settings!$C$4)+(I321*Settings!$C$5)+(K321*Settings!$C$9)+(N321*Settings!$C$6)+(J321*Settings!$C$8)+(O321*Settings!$C$7)+(P321*Settings!$C$14)+(Q321*Settings!$C$15)+(R321*Settings!$C$16)+(S321*Settings!$C$17)+(T321*Settings!$C$18)+(U321*Settings!$C$19)</f>
        <v>-2.7240597534714972</v>
      </c>
      <c r="D321" s="41">
        <f>IF(Settings!$E$12="YES",VLOOKUP(A321,'Player Data'!A1:E734,5,FALSE),82)</f>
        <v>78.098928571428601</v>
      </c>
      <c r="E321" s="39">
        <f>(VLOOKUP($A321,'The List'!$B1:$AH727,17,FALSE)-AVERAGE('The List'!R2:R727))/STDEV('The List'!R2:R727)</f>
        <v>-0.88324192893547893</v>
      </c>
      <c r="F321" s="39">
        <f>(VLOOKUP($A321,'The List'!$B1:$AH727,18,FALSE)-AVERAGE('The List'!S2:S727))/STDEV('The List'!S2:S727)</f>
        <v>0.18386113436627519</v>
      </c>
      <c r="G321" s="39">
        <f>(VLOOKUP($A321,'The List'!$B1:$AH727,19,FALSE)-AVERAGE('The List'!T2:T727))/STDEV('The List'!T2:T727)</f>
        <v>-0.43428625062536996</v>
      </c>
      <c r="H321" s="39">
        <f>(VLOOKUP($A321,'The List'!$B1:$AH727,20,FALSE)-AVERAGE('The List'!U2:U727))/STDEV('The List'!U2:U727)</f>
        <v>-0.18394286501542617</v>
      </c>
      <c r="I321" s="39">
        <f>(VLOOKUP($A321,'The List'!$B1:$AH727,21,FALSE)-AVERAGE('The List'!V2:V727))/STDEV('The List'!V2:V727)</f>
        <v>0.3327917503149696</v>
      </c>
      <c r="J321" s="39">
        <f>(VLOOKUP($A321,'The List'!$B1:$AH727,22,FALSE)-AVERAGE('The List'!W2:W727))/STDEV('The List'!W2:W727)</f>
        <v>-0.48463243798328376</v>
      </c>
      <c r="K321" s="39">
        <f>(VLOOKUP($A321,'The List'!$B1:$AH727,23,FALSE)-AVERAGE('The List'!X2:X727))/STDEV('The List'!X2:X727)</f>
        <v>-0.50824321877570167</v>
      </c>
      <c r="L321" s="39">
        <f>(VLOOKUP($A321,'The List'!$B1:$AH727,24,FALSE)-AVERAGE('The List'!Y2:Y727))/STDEV('The List'!Y2:Y727)</f>
        <v>-0.12835667916624333</v>
      </c>
      <c r="M321" s="39">
        <f>(VLOOKUP($A321,'The List'!$B1:$AH727,25,FALSE)-AVERAGE('The List'!Z2:Z727))/STDEV('The List'!Z2:Z727)</f>
        <v>-0.25596030160096672</v>
      </c>
      <c r="N321" s="39">
        <f>(VLOOKUP($A321,'The List'!$B1:$AH727,26,FALSE)-AVERAGE('The List'!AA2:AA727))/STDEV('The List'!AA2:AA727)</f>
        <v>-0.98369531233382124</v>
      </c>
      <c r="O321" s="39">
        <f>(VLOOKUP($A321,'The List'!$B1:$AH727,27,FALSE)-AVERAGE('The List'!AB2:AB727))/STDEV('The List'!AB2:AB727)</f>
        <v>-0.13078461976137656</v>
      </c>
      <c r="P321" s="39">
        <f>(VLOOKUP($A321,'The List'!$B1:$AH727,28,FALSE)-AVERAGE('The List'!AC2:AC727))/STDEV('The List'!AC2:AC727)</f>
        <v>-1.3144878564178488</v>
      </c>
      <c r="Q321" s="39">
        <f>(VLOOKUP($A321,'The List'!$B1:$AH727,29,FALSE)-AVERAGE('The List'!AD2:AD727))/STDEV('The List'!AD2:AD727)</f>
        <v>0.15056263965189823</v>
      </c>
      <c r="R321" s="39">
        <f>(VLOOKUP($A321,'The List'!$B1:$AH727,30,FALSE)-AVERAGE('The List'!AE2:AE727))/STDEV('The List'!AE2:AE727)</f>
        <v>-6.0950783497810142E-2</v>
      </c>
      <c r="S321" s="39">
        <f>(VLOOKUP($A321,'The List'!$B1:$AH727,31,FALSE)-AVERAGE('The List'!AF2:AF727))/STDEV('The List'!AF2:AF727)</f>
        <v>-0.25059577144578477</v>
      </c>
      <c r="T321" s="39">
        <f>(VLOOKUP($A321,'The List'!$B1:$AH727,32,FALSE)-AVERAGE('The List'!AG2:AG727))/STDEV('The List'!AG2:AG727)</f>
        <v>-0.13966093124667581</v>
      </c>
      <c r="U321" s="39">
        <f>(VLOOKUP($A321,'The List'!$B1:$AH727,33,FALSE)-AVERAGE('The List'!AH2:AH727))/STDEV('The List'!AH2:AH727)</f>
        <v>0.62027997004009672</v>
      </c>
      <c r="V321" s="39"/>
      <c r="W321" s="43"/>
      <c r="X321" s="41"/>
      <c r="Y321" s="41"/>
      <c r="Z321" s="41"/>
      <c r="AA321" s="41"/>
      <c r="AB321" s="41"/>
      <c r="AC321" s="44"/>
      <c r="AD321" s="45"/>
      <c r="AE321" s="39"/>
    </row>
    <row r="322" spans="1:31" ht="21.25" customHeight="1" x14ac:dyDescent="0.15">
      <c r="A322" s="8" t="s">
        <v>332</v>
      </c>
      <c r="B322" s="35" t="str">
        <f>VLOOKUP(A322,'Player Data'!A1:B734,2,FALSE)</f>
        <v>ANA</v>
      </c>
      <c r="C322" s="37">
        <f>((E322)*Settings!$C$12)+(F322*Settings!$C$2)+(G322*Settings!$C$3)+(H322*Settings!$C$4)+(I322*Settings!$C$5)+(K322*Settings!$C$9)+(N322*Settings!$C$6)+(J322*Settings!$C$8)+(O322*Settings!$C$7)+(P322*Settings!$C$14)+(Q322*Settings!$C$15)+(R322*Settings!$C$16)+(S322*Settings!$C$17)+(T322*Settings!$C$18)+(U322*Settings!$C$19)</f>
        <v>-1.8013847936003951</v>
      </c>
      <c r="D322" s="41">
        <f>IF(Settings!$E$12="YES",VLOOKUP(A322,'Player Data'!A1:E734,5,FALSE),82)</f>
        <v>72.946785714285696</v>
      </c>
      <c r="E322" s="39">
        <f>(VLOOKUP($A322,'The List'!$B1:$AH727,17,FALSE)-AVERAGE('The List'!R2:R727))/STDEV('The List'!R2:R727)</f>
        <v>1.4456339151313207</v>
      </c>
      <c r="F322" s="39">
        <f>(VLOOKUP($A322,'The List'!$B1:$AH727,18,FALSE)-AVERAGE('The List'!S2:S727))/STDEV('The List'!S2:S727)</f>
        <v>-0.7457792435128977</v>
      </c>
      <c r="G322" s="39">
        <f>(VLOOKUP($A322,'The List'!$B1:$AH727,19,FALSE)-AVERAGE('The List'!T2:T727))/STDEV('The List'!T2:T727)</f>
        <v>0.20201254131076643</v>
      </c>
      <c r="H322" s="39">
        <f>(VLOOKUP($A322,'The List'!$B1:$AH727,20,FALSE)-AVERAGE('The List'!U2:U727))/STDEV('The List'!U2:U727)</f>
        <v>-0.2148942358743601</v>
      </c>
      <c r="I322" s="39">
        <f>(VLOOKUP($A322,'The List'!$B1:$AH727,21,FALSE)-AVERAGE('The List'!V2:V727))/STDEV('The List'!V2:V727)</f>
        <v>-0.13841256748235689</v>
      </c>
      <c r="J322" s="39">
        <f>(VLOOKUP($A322,'The List'!$B1:$AH727,22,FALSE)-AVERAGE('The List'!W2:W727))/STDEV('The List'!W2:W727)</f>
        <v>-0.5866797805910906</v>
      </c>
      <c r="K322" s="39">
        <f>(VLOOKUP($A322,'The List'!$B1:$AH727,23,FALSE)-AVERAGE('The List'!X2:X727))/STDEV('The List'!X2:X727)</f>
        <v>0.22034437576149798</v>
      </c>
      <c r="L322" s="39">
        <f>(VLOOKUP($A322,'The List'!$B1:$AH727,24,FALSE)-AVERAGE('The List'!Y2:Y727))/STDEV('The List'!Y2:Y727)</f>
        <v>-0.33414715140716689</v>
      </c>
      <c r="M322" s="39">
        <f>(VLOOKUP($A322,'The List'!$B1:$AH727,25,FALSE)-AVERAGE('The List'!Z2:Z727))/STDEV('The List'!Z2:Z727)</f>
        <v>-0.23730199266079277</v>
      </c>
      <c r="N322" s="39">
        <f>(VLOOKUP($A322,'The List'!$B1:$AH727,26,FALSE)-AVERAGE('The List'!AA2:AA727))/STDEV('The List'!AA2:AA727)</f>
        <v>0.97736072009570885</v>
      </c>
      <c r="O322" s="39">
        <f>(VLOOKUP($A322,'The List'!$B1:$AH727,27,FALSE)-AVERAGE('The List'!AB2:AB727))/STDEV('The List'!AB2:AB727)</f>
        <v>-0.29011281937354966</v>
      </c>
      <c r="P322" s="39">
        <f>(VLOOKUP($A322,'The List'!$B1:$AH727,28,FALSE)-AVERAGE('The List'!AC2:AC727))/STDEV('The List'!AC2:AC727)</f>
        <v>-2.3169106197731137</v>
      </c>
      <c r="Q322" s="39">
        <f>(VLOOKUP($A322,'The List'!$B1:$AH727,29,FALSE)-AVERAGE('The List'!AD2:AD727))/STDEV('The List'!AD2:AD727)</f>
        <v>-0.50015073105421326</v>
      </c>
      <c r="R322" s="39">
        <f>(VLOOKUP($A322,'The List'!$B1:$AH727,30,FALSE)-AVERAGE('The List'!AE2:AE727))/STDEV('The List'!AE2:AE727)</f>
        <v>-0.80395662997662565</v>
      </c>
      <c r="S322" s="39">
        <f>(VLOOKUP($A322,'The List'!$B1:$AH727,31,FALSE)-AVERAGE('The List'!AF2:AF727))/STDEV('The List'!AF2:AF727)</f>
        <v>-0.55804314905918151</v>
      </c>
      <c r="T322" s="39">
        <f>(VLOOKUP($A322,'The List'!$B1:$AH727,32,FALSE)-AVERAGE('The List'!AG2:AG727))/STDEV('The List'!AG2:AG727)</f>
        <v>-0.60188453558131205</v>
      </c>
      <c r="U322" s="39">
        <f>(VLOOKUP($A322,'The List'!$B1:$AH727,33,FALSE)-AVERAGE('The List'!AH2:AH727))/STDEV('The List'!AH2:AH727)</f>
        <v>-1.2395873372913611</v>
      </c>
      <c r="V322" s="39"/>
      <c r="W322" s="43"/>
      <c r="X322" s="41"/>
      <c r="Y322" s="41"/>
      <c r="Z322" s="41"/>
      <c r="AA322" s="41"/>
      <c r="AB322" s="41"/>
      <c r="AC322" s="44"/>
      <c r="AD322" s="45"/>
      <c r="AE322" s="39"/>
    </row>
    <row r="323" spans="1:31" ht="21.25" customHeight="1" x14ac:dyDescent="0.15">
      <c r="A323" s="8" t="s">
        <v>308</v>
      </c>
      <c r="B323" s="35" t="str">
        <f>VLOOKUP(A323,'Player Data'!A1:B734,2,FALSE)</f>
        <v>EDM</v>
      </c>
      <c r="C323" s="37">
        <f>((E323)*Settings!$C$12)+(F323*Settings!$C$2)+(G323*Settings!$C$3)+(H323*Settings!$C$4)+(I323*Settings!$C$5)+(K323*Settings!$C$9)+(N323*Settings!$C$6)+(J323*Settings!$C$8)+(O323*Settings!$C$7)+(P323*Settings!$C$14)+(Q323*Settings!$C$15)+(R323*Settings!$C$16)+(S323*Settings!$C$17)+(T323*Settings!$C$18)+(U323*Settings!$C$19)</f>
        <v>3.0186094897754141</v>
      </c>
      <c r="D323" s="41">
        <f>IF(Settings!$E$12="YES",VLOOKUP(A323,'Player Data'!A1:E734,5,FALSE),82)</f>
        <v>79.323571428571398</v>
      </c>
      <c r="E323" s="39">
        <f>(VLOOKUP($A323,'The List'!$B1:$AH727,17,FALSE)-AVERAGE('The List'!R2:R727))/STDEV('The List'!R2:R727)</f>
        <v>1.5454464454375711</v>
      </c>
      <c r="F323" s="39">
        <f>(VLOOKUP($A323,'The List'!$B1:$AH727,18,FALSE)-AVERAGE('The List'!S2:S727))/STDEV('The List'!S2:S727)</f>
        <v>-0.51566115547021685</v>
      </c>
      <c r="G323" s="39">
        <f>(VLOOKUP($A323,'The List'!$B1:$AH727,19,FALSE)-AVERAGE('The List'!T2:T727))/STDEV('The List'!T2:T727)</f>
        <v>0.20982595344396957</v>
      </c>
      <c r="H323" s="39">
        <f>(VLOOKUP($A323,'The List'!$B1:$AH727,20,FALSE)-AVERAGE('The List'!U2:U727))/STDEV('The List'!U2:U727)</f>
        <v>-0.10536140936130618</v>
      </c>
      <c r="I323" s="39">
        <f>(VLOOKUP($A323,'The List'!$B1:$AH727,21,FALSE)-AVERAGE('The List'!V2:V727))/STDEV('The List'!V2:V727)</f>
        <v>0.32463073188478431</v>
      </c>
      <c r="J323" s="39">
        <f>(VLOOKUP($A323,'The List'!$B1:$AH727,22,FALSE)-AVERAGE('The List'!W2:W727))/STDEV('The List'!W2:W727)</f>
        <v>-0.68198341982560706</v>
      </c>
      <c r="K323" s="39">
        <f>(VLOOKUP($A323,'The List'!$B1:$AH727,23,FALSE)-AVERAGE('The List'!X2:X727))/STDEV('The List'!X2:X727)</f>
        <v>-0.41948909446584925</v>
      </c>
      <c r="L323" s="39">
        <f>(VLOOKUP($A323,'The List'!$B1:$AH727,24,FALSE)-AVERAGE('The List'!Y2:Y727))/STDEV('The List'!Y2:Y727)</f>
        <v>-0.50898750305429619</v>
      </c>
      <c r="M323" s="39">
        <f>(VLOOKUP($A323,'The List'!$B1:$AH727,25,FALSE)-AVERAGE('The List'!Z2:Z727))/STDEV('The List'!Z2:Z727)</f>
        <v>0.22894709283341624</v>
      </c>
      <c r="N323" s="39">
        <f>(VLOOKUP($A323,'The List'!$B1:$AH727,26,FALSE)-AVERAGE('The List'!AA2:AA727))/STDEV('The List'!AA2:AA727)</f>
        <v>1.2533266392763307</v>
      </c>
      <c r="O323" s="39">
        <f>(VLOOKUP($A323,'The List'!$B1:$AH727,27,FALSE)-AVERAGE('The List'!AB2:AB727))/STDEV('The List'!AB2:AB727)</f>
        <v>-4.2676358964378984E-2</v>
      </c>
      <c r="P323" s="39">
        <f>(VLOOKUP($A323,'The List'!$B1:$AH727,28,FALSE)-AVERAGE('The List'!AC2:AC727))/STDEV('The List'!AC2:AC727)</f>
        <v>2.1659764151063956</v>
      </c>
      <c r="Q323" s="39">
        <f>(VLOOKUP($A323,'The List'!$B1:$AH727,29,FALSE)-AVERAGE('The List'!AD2:AD727))/STDEV('The List'!AD2:AD727)</f>
        <v>0.25354243870097554</v>
      </c>
      <c r="R323" s="39">
        <f>(VLOOKUP($A323,'The List'!$B1:$AH727,30,FALSE)-AVERAGE('The List'!AE2:AE727))/STDEV('The List'!AE2:AE727)</f>
        <v>-0.38739882182271557</v>
      </c>
      <c r="S323" s="39">
        <f>(VLOOKUP($A323,'The List'!$B1:$AH727,31,FALSE)-AVERAGE('The List'!AF2:AF727))/STDEV('The List'!AF2:AF727)</f>
        <v>-0.55804314905918151</v>
      </c>
      <c r="T323" s="39">
        <f>(VLOOKUP($A323,'The List'!$B1:$AH727,32,FALSE)-AVERAGE('The List'!AG2:AG727))/STDEV('The List'!AG2:AG727)</f>
        <v>-0.60188453558131205</v>
      </c>
      <c r="U323" s="39">
        <f>(VLOOKUP($A323,'The List'!$B1:$AH727,33,FALSE)-AVERAGE('The List'!AH2:AH727))/STDEV('The List'!AH2:AH727)</f>
        <v>-1.2395873372913611</v>
      </c>
      <c r="V323" s="39"/>
      <c r="W323" s="41"/>
      <c r="X323" s="39"/>
      <c r="Y323" s="39"/>
      <c r="Z323" s="39"/>
      <c r="AA323" s="39"/>
      <c r="AB323" s="39"/>
      <c r="AC323" s="39"/>
      <c r="AD323" s="39"/>
      <c r="AE323" s="39"/>
    </row>
    <row r="324" spans="1:31" ht="21.25" customHeight="1" x14ac:dyDescent="0.15">
      <c r="A324" s="8" t="s">
        <v>358</v>
      </c>
      <c r="B324" s="35" t="str">
        <f>VLOOKUP(A324,'Player Data'!A1:B734,2,FALSE)</f>
        <v>SEA</v>
      </c>
      <c r="C324" s="37">
        <f>((E324)*Settings!$C$12)+(F324*Settings!$C$2)+(G324*Settings!$C$3)+(H324*Settings!$C$4)+(I324*Settings!$C$5)+(K324*Settings!$C$9)+(N324*Settings!$C$6)+(J324*Settings!$C$8)+(O324*Settings!$C$7)+(P324*Settings!$C$14)+(Q324*Settings!$C$15)+(R324*Settings!$C$16)+(S324*Settings!$C$17)+(T324*Settings!$C$18)+(U324*Settings!$C$19)</f>
        <v>-0.26873950974798155</v>
      </c>
      <c r="D324" s="41">
        <f>IF(Settings!$E$12="YES",VLOOKUP(A324,'Player Data'!A1:E734,5,FALSE),82)</f>
        <v>77.868214285714302</v>
      </c>
      <c r="E324" s="39">
        <f>(VLOOKUP($A324,'The List'!$B1:$AH727,17,FALSE)-AVERAGE('The List'!R2:R727))/STDEV('The List'!R2:R727)</f>
        <v>0.26624122870231481</v>
      </c>
      <c r="F324" s="39">
        <f>(VLOOKUP($A324,'The List'!$B1:$AH727,18,FALSE)-AVERAGE('The List'!S2:S727))/STDEV('The List'!S2:S727)</f>
        <v>-0.79354798677268068</v>
      </c>
      <c r="G324" s="39">
        <f>(VLOOKUP($A324,'The List'!$B1:$AH727,19,FALSE)-AVERAGE('The List'!T2:T727))/STDEV('The List'!T2:T727)</f>
        <v>0.2396896747743523</v>
      </c>
      <c r="H324" s="39">
        <f>(VLOOKUP($A324,'The List'!$B1:$AH727,20,FALSE)-AVERAGE('The List'!U2:U727))/STDEV('The List'!U2:U727)</f>
        <v>-0.21341500668290836</v>
      </c>
      <c r="I324" s="39">
        <f>(VLOOKUP($A324,'The List'!$B1:$AH727,21,FALSE)-AVERAGE('The List'!V2:V727))/STDEV('The List'!V2:V727)</f>
        <v>-0.48028270458149347</v>
      </c>
      <c r="J324" s="39">
        <f>(VLOOKUP($A324,'The List'!$B1:$AH727,22,FALSE)-AVERAGE('The List'!W2:W727))/STDEV('The List'!W2:W727)</f>
        <v>-0.37222016832791283</v>
      </c>
      <c r="K324" s="39">
        <f>(VLOOKUP($A324,'The List'!$B1:$AH727,23,FALSE)-AVERAGE('The List'!X2:X727))/STDEV('The List'!X2:X727)</f>
        <v>0.30056428783559197</v>
      </c>
      <c r="L324" s="39">
        <f>(VLOOKUP($A324,'The List'!$B1:$AH727,24,FALSE)-AVERAGE('The List'!Y2:Y727))/STDEV('The List'!Y2:Y727)</f>
        <v>-0.53603593895780643</v>
      </c>
      <c r="M324" s="39">
        <f>(VLOOKUP($A324,'The List'!$B1:$AH727,25,FALSE)-AVERAGE('The List'!Z2:Z727))/STDEV('The List'!Z2:Z727)</f>
        <v>-0.7047046342222073</v>
      </c>
      <c r="N324" s="39">
        <f>(VLOOKUP($A324,'The List'!$B1:$AH727,26,FALSE)-AVERAGE('The List'!AA2:AA727))/STDEV('The List'!AA2:AA727)</f>
        <v>0.62736425669315288</v>
      </c>
      <c r="O324" s="39">
        <f>(VLOOKUP($A324,'The List'!$B1:$AH727,27,FALSE)-AVERAGE('The List'!AB2:AB727))/STDEV('The List'!AB2:AB727)</f>
        <v>-0.8579420868934784</v>
      </c>
      <c r="P324" s="39">
        <f>(VLOOKUP($A324,'The List'!$B1:$AH727,28,FALSE)-AVERAGE('The List'!AC2:AC727))/STDEV('The List'!AC2:AC727)</f>
        <v>-0.16252703769690446</v>
      </c>
      <c r="Q324" s="39">
        <f>(VLOOKUP($A324,'The List'!$B1:$AH727,29,FALSE)-AVERAGE('The List'!AD2:AD727))/STDEV('The List'!AD2:AD727)</f>
        <v>-6.9105184679893114E-2</v>
      </c>
      <c r="R324" s="39">
        <f>(VLOOKUP($A324,'The List'!$B1:$AH727,30,FALSE)-AVERAGE('The List'!AE2:AE727))/STDEV('The List'!AE2:AE727)</f>
        <v>-0.7326799870880697</v>
      </c>
      <c r="S324" s="39">
        <f>(VLOOKUP($A324,'The List'!$B1:$AH727,31,FALSE)-AVERAGE('The List'!AF2:AF727))/STDEV('The List'!AF2:AF727)</f>
        <v>-0.55804314905918151</v>
      </c>
      <c r="T324" s="39">
        <f>(VLOOKUP($A324,'The List'!$B1:$AH727,32,FALSE)-AVERAGE('The List'!AG2:AG727))/STDEV('The List'!AG2:AG727)</f>
        <v>-0.60188453558131205</v>
      </c>
      <c r="U324" s="39">
        <f>(VLOOKUP($A324,'The List'!$B1:$AH727,33,FALSE)-AVERAGE('The List'!AH2:AH727))/STDEV('The List'!AH2:AH727)</f>
        <v>-1.2395873372913611</v>
      </c>
      <c r="V324" s="39"/>
      <c r="W324" s="43"/>
      <c r="X324" s="41"/>
      <c r="Y324" s="41"/>
      <c r="Z324" s="41"/>
      <c r="AA324" s="41"/>
      <c r="AB324" s="41"/>
      <c r="AC324" s="44"/>
      <c r="AD324" s="45"/>
      <c r="AE324" s="39"/>
    </row>
    <row r="325" spans="1:31" ht="21.25" customHeight="1" x14ac:dyDescent="0.15">
      <c r="A325" s="8" t="s">
        <v>668</v>
      </c>
      <c r="B325" s="35" t="str">
        <f>VLOOKUP(A325,'Player Data'!A1:B734,2,FALSE)</f>
        <v>EDM</v>
      </c>
      <c r="C325" s="37">
        <f>((E325)*Settings!$C$12)+(F325*Settings!$C$2)+(G325*Settings!$C$3)+(H325*Settings!$C$4)+(I325*Settings!$C$5)+(K325*Settings!$C$9)+(N325*Settings!$C$6)+(J325*Settings!$C$8)+(O325*Settings!$C$7)+(P325*Settings!$C$14)+(Q325*Settings!$C$15)+(R325*Settings!$C$16)+(S325*Settings!$C$17)+(T325*Settings!$C$18)+(U325*Settings!$C$19)</f>
        <v>-1.1671929846546041</v>
      </c>
      <c r="D325" s="41">
        <f>IF(Settings!$E$12="YES",VLOOKUP(A325,'Player Data'!A1:E734,5,FALSE),82)</f>
        <v>74.28</v>
      </c>
      <c r="E325" s="39">
        <f>(VLOOKUP($A325,'The List'!$B1:$AH727,17,FALSE)-AVERAGE('The List'!R2:R727))/STDEV('The List'!R2:R727)</f>
        <v>-0.56600466326706278</v>
      </c>
      <c r="F325" s="39">
        <f>(VLOOKUP($A325,'The List'!$B1:$AH727,18,FALSE)-AVERAGE('The List'!S2:S727))/STDEV('The List'!S2:S727)</f>
        <v>-7.7165049658571433E-3</v>
      </c>
      <c r="G325" s="39">
        <f>(VLOOKUP($A325,'The List'!$B1:$AH727,19,FALSE)-AVERAGE('The List'!T2:T727))/STDEV('The List'!T2:T727)</f>
        <v>-0.46058446215079396</v>
      </c>
      <c r="H325" s="39">
        <f>(VLOOKUP($A325,'The List'!$B1:$AH727,20,FALSE)-AVERAGE('The List'!U2:U727))/STDEV('The List'!U2:U727)</f>
        <v>-0.28732787923647479</v>
      </c>
      <c r="I325" s="39">
        <f>(VLOOKUP($A325,'The List'!$B1:$AH727,21,FALSE)-AVERAGE('The List'!V2:V727))/STDEV('The List'!V2:V727)</f>
        <v>-0.49682694251854082</v>
      </c>
      <c r="J325" s="39">
        <f>(VLOOKUP($A325,'The List'!$B1:$AH727,22,FALSE)-AVERAGE('The List'!W2:W727))/STDEV('The List'!W2:W727)</f>
        <v>-0.43365356475779404</v>
      </c>
      <c r="K325" s="39">
        <f>(VLOOKUP($A325,'The List'!$B1:$AH727,23,FALSE)-AVERAGE('The List'!X2:X727))/STDEV('The List'!X2:X727)</f>
        <v>-0.53174767410275214</v>
      </c>
      <c r="L325" s="39">
        <f>(VLOOKUP($A325,'The List'!$B1:$AH727,24,FALSE)-AVERAGE('The List'!Y2:Y727))/STDEV('The List'!Y2:Y727)</f>
        <v>1.8328126972387484</v>
      </c>
      <c r="M325" s="39">
        <f>(VLOOKUP($A325,'The List'!$B1:$AH727,25,FALSE)-AVERAGE('The List'!Z2:Z727))/STDEV('The List'!Z2:Z727)</f>
        <v>1.5246865318159206</v>
      </c>
      <c r="N325" s="39">
        <f>(VLOOKUP($A325,'The List'!$B1:$AH727,26,FALSE)-AVERAGE('The List'!AA2:AA727))/STDEV('The List'!AA2:AA727)</f>
        <v>-0.76267896784652411</v>
      </c>
      <c r="O325" s="39">
        <f>(VLOOKUP($A325,'The List'!$B1:$AH727,27,FALSE)-AVERAGE('The List'!AB2:AB727))/STDEV('The List'!AB2:AB727)</f>
        <v>-0.70816866916414434</v>
      </c>
      <c r="P325" s="39">
        <f>(VLOOKUP($A325,'The List'!$B1:$AH727,28,FALSE)-AVERAGE('The List'!AC2:AC727))/STDEV('The List'!AC2:AC727)</f>
        <v>1.0923615669298639</v>
      </c>
      <c r="Q325" s="39">
        <f>(VLOOKUP($A325,'The List'!$B1:$AH727,29,FALSE)-AVERAGE('The List'!AD2:AD727))/STDEV('The List'!AD2:AD727)</f>
        <v>-0.73648866525600953</v>
      </c>
      <c r="R325" s="39">
        <f>(VLOOKUP($A325,'The List'!$B1:$AH727,30,FALSE)-AVERAGE('The List'!AE2:AE727))/STDEV('The List'!AE2:AE727)</f>
        <v>0.1378014604076408</v>
      </c>
      <c r="S325" s="39">
        <f>(VLOOKUP($A325,'The List'!$B1:$AH727,31,FALSE)-AVERAGE('The List'!AF2:AF727))/STDEV('The List'!AF2:AF727)</f>
        <v>1.2176003462643965</v>
      </c>
      <c r="T325" s="39">
        <f>(VLOOKUP($A325,'The List'!$B1:$AH727,32,FALSE)-AVERAGE('The List'!AG2:AG727))/STDEV('The List'!AG2:AG727)</f>
        <v>1.4407022090666566</v>
      </c>
      <c r="U325" s="39">
        <f>(VLOOKUP($A325,'The List'!$B1:$AH727,33,FALSE)-AVERAGE('The List'!AH2:AH727))/STDEV('The List'!AH2:AH727)</f>
        <v>0.91846419320899575</v>
      </c>
      <c r="V325" s="39"/>
      <c r="W325" s="43"/>
      <c r="X325" s="41"/>
      <c r="Y325" s="41"/>
      <c r="Z325" s="41"/>
      <c r="AA325" s="41"/>
      <c r="AB325" s="41"/>
      <c r="AC325" s="44"/>
      <c r="AD325" s="45"/>
      <c r="AE325" s="39"/>
    </row>
    <row r="326" spans="1:31" ht="21.25" customHeight="1" x14ac:dyDescent="0.15">
      <c r="A326" s="8" t="s">
        <v>371</v>
      </c>
      <c r="B326" s="35" t="str">
        <f>VLOOKUP(A326,'Player Data'!A1:B734,2,FALSE)</f>
        <v>MIN</v>
      </c>
      <c r="C326" s="37">
        <f>((E326)*Settings!$C$12)+(F326*Settings!$C$2)+(G326*Settings!$C$3)+(H326*Settings!$C$4)+(I326*Settings!$C$5)+(K326*Settings!$C$9)+(N326*Settings!$C$6)+(J326*Settings!$C$8)+(O326*Settings!$C$7)+(P326*Settings!$C$14)+(Q326*Settings!$C$15)+(R326*Settings!$C$16)+(S326*Settings!$C$17)+(T326*Settings!$C$18)+(U326*Settings!$C$19)</f>
        <v>-0.13028971846423509</v>
      </c>
      <c r="D326" s="41">
        <f>IF(Settings!$E$12="YES",VLOOKUP(A326,'Player Data'!A1:E734,5,FALSE),82)</f>
        <v>74</v>
      </c>
      <c r="E326" s="39">
        <f>(VLOOKUP($A326,'The List'!$B1:$AH727,17,FALSE)-AVERAGE('The List'!R2:R727))/STDEV('The List'!R2:R727)</f>
        <v>0.95002324974201158</v>
      </c>
      <c r="F326" s="39">
        <f>(VLOOKUP($A326,'The List'!$B1:$AH727,18,FALSE)-AVERAGE('The List'!S2:S727))/STDEV('The List'!S2:S727)</f>
        <v>-0.73418953422801581</v>
      </c>
      <c r="G326" s="39">
        <f>(VLOOKUP($A326,'The List'!$B1:$AH727,19,FALSE)-AVERAGE('The List'!T2:T727))/STDEV('The List'!T2:T727)</f>
        <v>6.6991473526379589E-2</v>
      </c>
      <c r="H326" s="39">
        <f>(VLOOKUP($A326,'The List'!$B1:$AH727,20,FALSE)-AVERAGE('The List'!U2:U727))/STDEV('The List'!U2:U727)</f>
        <v>-0.2928214181410565</v>
      </c>
      <c r="I326" s="39">
        <f>(VLOOKUP($A326,'The List'!$B1:$AH727,21,FALSE)-AVERAGE('The List'!V2:V727))/STDEV('The List'!V2:V727)</f>
        <v>-0.26070370656758207</v>
      </c>
      <c r="J326" s="39">
        <f>(VLOOKUP($A326,'The List'!$B1:$AH727,22,FALSE)-AVERAGE('The List'!W2:W727))/STDEV('The List'!W2:W727)</f>
        <v>-0.42796110685785582</v>
      </c>
      <c r="K326" s="39">
        <f>(VLOOKUP($A326,'The List'!$B1:$AH727,23,FALSE)-AVERAGE('The List'!X2:X727))/STDEV('The List'!X2:X727)</f>
        <v>-0.24451814464443467</v>
      </c>
      <c r="L326" s="39">
        <f>(VLOOKUP($A326,'The List'!$B1:$AH727,24,FALSE)-AVERAGE('The List'!Y2:Y727))/STDEV('The List'!Y2:Y727)</f>
        <v>-0.54402834717551152</v>
      </c>
      <c r="M326" s="39">
        <f>(VLOOKUP($A326,'The List'!$B1:$AH727,25,FALSE)-AVERAGE('The List'!Z2:Z727))/STDEV('The List'!Z2:Z727)</f>
        <v>-0.72372514007823274</v>
      </c>
      <c r="N326" s="39">
        <f>(VLOOKUP($A326,'The List'!$B1:$AH727,26,FALSE)-AVERAGE('The List'!AA2:AA727))/STDEV('The List'!AA2:AA727)</f>
        <v>0.95229142804197364</v>
      </c>
      <c r="O326" s="39">
        <f>(VLOOKUP($A326,'The List'!$B1:$AH727,27,FALSE)-AVERAGE('The List'!AB2:AB727))/STDEV('The List'!AB2:AB727)</f>
        <v>0.14592118983945601</v>
      </c>
      <c r="P326" s="39">
        <f>(VLOOKUP($A326,'The List'!$B1:$AH727,28,FALSE)-AVERAGE('The List'!AC2:AC727))/STDEV('The List'!AC2:AC727)</f>
        <v>8.983876540744419E-2</v>
      </c>
      <c r="Q326" s="39">
        <f>(VLOOKUP($A326,'The List'!$B1:$AH727,29,FALSE)-AVERAGE('The List'!AD2:AD727))/STDEV('The List'!AD2:AD727)</f>
        <v>0.26093315374242798</v>
      </c>
      <c r="R326" s="39">
        <f>(VLOOKUP($A326,'The List'!$B1:$AH727,30,FALSE)-AVERAGE('The List'!AE2:AE727))/STDEV('The List'!AE2:AE727)</f>
        <v>-0.604987374967761</v>
      </c>
      <c r="S326" s="39">
        <f>(VLOOKUP($A326,'The List'!$B1:$AH727,31,FALSE)-AVERAGE('The List'!AF2:AF727))/STDEV('The List'!AF2:AF727)</f>
        <v>-0.55804314905918151</v>
      </c>
      <c r="T326" s="39">
        <f>(VLOOKUP($A326,'The List'!$B1:$AH727,32,FALSE)-AVERAGE('The List'!AG2:AG727))/STDEV('The List'!AG2:AG727)</f>
        <v>-0.60188453558131205</v>
      </c>
      <c r="U326" s="39">
        <f>(VLOOKUP($A326,'The List'!$B1:$AH727,33,FALSE)-AVERAGE('The List'!AH2:AH727))/STDEV('The List'!AH2:AH727)</f>
        <v>-1.2395873372913611</v>
      </c>
      <c r="V326" s="39"/>
      <c r="W326" s="41"/>
      <c r="X326" s="39"/>
      <c r="Y326" s="39"/>
      <c r="Z326" s="39"/>
      <c r="AA326" s="39"/>
      <c r="AB326" s="39"/>
      <c r="AC326" s="39"/>
      <c r="AD326" s="39"/>
      <c r="AE326" s="39"/>
    </row>
    <row r="327" spans="1:31" ht="21.25" customHeight="1" x14ac:dyDescent="0.15">
      <c r="A327" s="8" t="s">
        <v>441</v>
      </c>
      <c r="B327" s="35" t="str">
        <f>VLOOKUP(A327,'Player Data'!A1:B734,2,FALSE)</f>
        <v>UFA</v>
      </c>
      <c r="C327" s="37">
        <f>((E327)*Settings!$C$12)+(F327*Settings!$C$2)+(G327*Settings!$C$3)+(H327*Settings!$C$4)+(I327*Settings!$C$5)+(K327*Settings!$C$9)+(N327*Settings!$C$6)+(J327*Settings!$C$8)+(O327*Settings!$C$7)+(P327*Settings!$C$14)+(Q327*Settings!$C$15)+(R327*Settings!$C$16)+(S327*Settings!$C$17)+(T327*Settings!$C$18)+(U327*Settings!$C$19)</f>
        <v>-1.6315287513852743</v>
      </c>
      <c r="D327" s="41">
        <f>IF(Settings!$E$12="YES",VLOOKUP(A327,'Player Data'!A1:E734,5,FALSE),82)</f>
        <v>82.03</v>
      </c>
      <c r="E327" s="39">
        <f>(VLOOKUP($A327,'The List'!$B1:$AH727,17,FALSE)-AVERAGE('The List'!R2:R727))/STDEV('The List'!R2:R727)</f>
        <v>-1.0417491820860059</v>
      </c>
      <c r="F327" s="39">
        <f>(VLOOKUP($A327,'The List'!$B1:$AH727,18,FALSE)-AVERAGE('The List'!S2:S727))/STDEV('The List'!S2:S727)</f>
        <v>-0.34417160456692303</v>
      </c>
      <c r="G327" s="39">
        <f>(VLOOKUP($A327,'The List'!$B1:$AH727,19,FALSE)-AVERAGE('The List'!T2:T727))/STDEV('The List'!T2:T727)</f>
        <v>6.0110164200567803E-3</v>
      </c>
      <c r="H327" s="39">
        <f>(VLOOKUP($A327,'The List'!$B1:$AH727,20,FALSE)-AVERAGE('The List'!U2:U727))/STDEV('The List'!U2:U727)</f>
        <v>-0.15291557341636813</v>
      </c>
      <c r="I327" s="39">
        <f>(VLOOKUP($A327,'The List'!$B1:$AH727,21,FALSE)-AVERAGE('The List'!V2:V727))/STDEV('The List'!V2:V727)</f>
        <v>5.9896543274520882E-2</v>
      </c>
      <c r="J327" s="39">
        <f>(VLOOKUP($A327,'The List'!$B1:$AH727,22,FALSE)-AVERAGE('The List'!W2:W727))/STDEV('The List'!W2:W727)</f>
        <v>-0.34730328535289318</v>
      </c>
      <c r="K327" s="39">
        <f>(VLOOKUP($A327,'The List'!$B1:$AH727,23,FALSE)-AVERAGE('The List'!X2:X727))/STDEV('The List'!X2:X727)</f>
        <v>-0.14987820767778567</v>
      </c>
      <c r="L327" s="39">
        <f>(VLOOKUP($A327,'The List'!$B1:$AH727,24,FALSE)-AVERAGE('The List'!Y2:Y727))/STDEV('The List'!Y2:Y727)</f>
        <v>-0.54402834717551152</v>
      </c>
      <c r="M327" s="39">
        <f>(VLOOKUP($A327,'The List'!$B1:$AH727,25,FALSE)-AVERAGE('The List'!Z2:Z727))/STDEV('The List'!Z2:Z727)</f>
        <v>-0.72372514007823274</v>
      </c>
      <c r="N327" s="39">
        <f>(VLOOKUP($A327,'The List'!$B1:$AH727,26,FALSE)-AVERAGE('The List'!AA2:AA727))/STDEV('The List'!AA2:AA727)</f>
        <v>-0.87713296460433376</v>
      </c>
      <c r="O327" s="39">
        <f>(VLOOKUP($A327,'The List'!$B1:$AH727,27,FALSE)-AVERAGE('The List'!AB2:AB727))/STDEV('The List'!AB2:AB727)</f>
        <v>-1.5020292774506552</v>
      </c>
      <c r="P327" s="39">
        <f>(VLOOKUP($A327,'The List'!$B1:$AH727,28,FALSE)-AVERAGE('The List'!AC2:AC727))/STDEV('The List'!AC2:AC727)</f>
        <v>-0.32625353423080961</v>
      </c>
      <c r="Q327" s="39">
        <f>(VLOOKUP($A327,'The List'!$B1:$AH727,29,FALSE)-AVERAGE('The List'!AD2:AD727))/STDEV('The List'!AD2:AD727)</f>
        <v>-0.5181835220353822</v>
      </c>
      <c r="R327" s="39">
        <f>(VLOOKUP($A327,'The List'!$B1:$AH727,30,FALSE)-AVERAGE('The List'!AE2:AE727))/STDEV('The List'!AE2:AE727)</f>
        <v>-1.1921764565772743</v>
      </c>
      <c r="S327" s="39">
        <f>(VLOOKUP($A327,'The List'!$B1:$AH727,31,FALSE)-AVERAGE('The List'!AF2:AF727))/STDEV('The List'!AF2:AF727)</f>
        <v>-0.54032285922012424</v>
      </c>
      <c r="T327" s="39">
        <f>(VLOOKUP($A327,'The List'!$B1:$AH727,32,FALSE)-AVERAGE('The List'!AG2:AG727))/STDEV('The List'!AG2:AG727)</f>
        <v>-0.56697535461262905</v>
      </c>
      <c r="U327" s="39">
        <f>(VLOOKUP($A327,'The List'!$B1:$AH727,33,FALSE)-AVERAGE('The List'!AH2:AH727))/STDEV('The List'!AH2:AH727)</f>
        <v>0.33312081343682515</v>
      </c>
      <c r="V327" s="39"/>
      <c r="W327" s="43"/>
      <c r="X327" s="41"/>
      <c r="Y327" s="41"/>
      <c r="Z327" s="41"/>
      <c r="AA327" s="41"/>
      <c r="AB327" s="41"/>
      <c r="AC327" s="44"/>
      <c r="AD327" s="45"/>
      <c r="AE327" s="39"/>
    </row>
    <row r="328" spans="1:31" ht="21.25" customHeight="1" x14ac:dyDescent="0.15">
      <c r="A328" s="8" t="s">
        <v>337</v>
      </c>
      <c r="B328" s="35" t="str">
        <f>VLOOKUP(A328,'Player Data'!A1:B734,2,FALSE)</f>
        <v>STL</v>
      </c>
      <c r="C328" s="37">
        <f>((E328)*Settings!$C$12)+(F328*Settings!$C$2)+(G328*Settings!$C$3)+(H328*Settings!$C$4)+(I328*Settings!$C$5)+(K328*Settings!$C$9)+(N328*Settings!$C$6)+(J328*Settings!$C$8)+(O328*Settings!$C$7)+(P328*Settings!$C$14)+(Q328*Settings!$C$15)+(R328*Settings!$C$16)+(S328*Settings!$C$17)+(T328*Settings!$C$18)+(U328*Settings!$C$19)</f>
        <v>-0.53099237388903009</v>
      </c>
      <c r="D328" s="41">
        <f>IF(Settings!$E$12="YES",VLOOKUP(A328,'Player Data'!A1:E734,5,FALSE),82)</f>
        <v>78.44</v>
      </c>
      <c r="E328" s="39">
        <f>(VLOOKUP($A328,'The List'!$B1:$AH727,17,FALSE)-AVERAGE('The List'!R2:R727))/STDEV('The List'!R2:R727)</f>
        <v>1.7793309503346555</v>
      </c>
      <c r="F328" s="39">
        <f>(VLOOKUP($A328,'The List'!$B1:$AH727,18,FALSE)-AVERAGE('The List'!S2:S727))/STDEV('The List'!S2:S727)</f>
        <v>-0.78935180265084004</v>
      </c>
      <c r="G328" s="39">
        <f>(VLOOKUP($A328,'The List'!$B1:$AH727,19,FALSE)-AVERAGE('The List'!T2:T727))/STDEV('The List'!T2:T727)</f>
        <v>0.22560531217885596</v>
      </c>
      <c r="H328" s="39">
        <f>(VLOOKUP($A328,'The List'!$B1:$AH727,20,FALSE)-AVERAGE('The List'!U2:U727))/STDEV('The List'!U2:U727)</f>
        <v>-0.22018439424470421</v>
      </c>
      <c r="I328" s="39">
        <f>(VLOOKUP($A328,'The List'!$B1:$AH727,21,FALSE)-AVERAGE('The List'!V2:V727))/STDEV('The List'!V2:V727)</f>
        <v>2.6619782009176422E-2</v>
      </c>
      <c r="J328" s="39">
        <f>(VLOOKUP($A328,'The List'!$B1:$AH727,22,FALSE)-AVERAGE('The List'!W2:W727))/STDEV('The List'!W2:W727)</f>
        <v>-0.68519969861180163</v>
      </c>
      <c r="K328" s="39">
        <f>(VLOOKUP($A328,'The List'!$B1:$AH727,23,FALSE)-AVERAGE('The List'!X2:X727))/STDEV('The List'!X2:X727)</f>
        <v>-0.63551394073182099</v>
      </c>
      <c r="L328" s="39">
        <f>(VLOOKUP($A328,'The List'!$B1:$AH727,24,FALSE)-AVERAGE('The List'!Y2:Y727))/STDEV('The List'!Y2:Y727)</f>
        <v>-0.50119705119923008</v>
      </c>
      <c r="M328" s="39">
        <f>(VLOOKUP($A328,'The List'!$B1:$AH727,25,FALSE)-AVERAGE('The List'!Z2:Z727))/STDEV('The List'!Z2:Z727)</f>
        <v>-4.2458411058887813E-2</v>
      </c>
      <c r="N328" s="39">
        <f>(VLOOKUP($A328,'The List'!$B1:$AH727,26,FALSE)-AVERAGE('The List'!AA2:AA727))/STDEV('The List'!AA2:AA727)</f>
        <v>2.2603418131305224</v>
      </c>
      <c r="O328" s="39">
        <f>(VLOOKUP($A328,'The List'!$B1:$AH727,27,FALSE)-AVERAGE('The List'!AB2:AB727))/STDEV('The List'!AB2:AB727)</f>
        <v>0.21957062936177657</v>
      </c>
      <c r="P328" s="39">
        <f>(VLOOKUP($A328,'The List'!$B1:$AH727,28,FALSE)-AVERAGE('The List'!AC2:AC727))/STDEV('The List'!AC2:AC727)</f>
        <v>-1.6186935378249239</v>
      </c>
      <c r="Q328" s="39">
        <f>(VLOOKUP($A328,'The List'!$B1:$AH727,29,FALSE)-AVERAGE('The List'!AD2:AD727))/STDEV('The List'!AD2:AD727)</f>
        <v>-0.1387503306925556</v>
      </c>
      <c r="R328" s="39">
        <f>(VLOOKUP($A328,'The List'!$B1:$AH727,30,FALSE)-AVERAGE('The List'!AE2:AE727))/STDEV('The List'!AE2:AE727)</f>
        <v>-0.81284737433971077</v>
      </c>
      <c r="S328" s="39">
        <f>(VLOOKUP($A328,'The List'!$B1:$AH727,31,FALSE)-AVERAGE('The List'!AF2:AF727))/STDEV('The List'!AF2:AF727)</f>
        <v>-0.55804314905918151</v>
      </c>
      <c r="T328" s="39">
        <f>(VLOOKUP($A328,'The List'!$B1:$AH727,32,FALSE)-AVERAGE('The List'!AG2:AG727))/STDEV('The List'!AG2:AG727)</f>
        <v>-0.60188453558131205</v>
      </c>
      <c r="U328" s="39">
        <f>(VLOOKUP($A328,'The List'!$B1:$AH727,33,FALSE)-AVERAGE('The List'!AH2:AH727))/STDEV('The List'!AH2:AH727)</f>
        <v>-1.2395873372913611</v>
      </c>
      <c r="V328" s="39"/>
      <c r="W328" s="43"/>
      <c r="X328" s="41"/>
      <c r="Y328" s="41"/>
      <c r="Z328" s="41"/>
      <c r="AA328" s="41"/>
      <c r="AB328" s="41"/>
      <c r="AC328" s="44"/>
      <c r="AD328" s="45"/>
      <c r="AE328" s="39"/>
    </row>
    <row r="329" spans="1:31" ht="21.25" customHeight="1" x14ac:dyDescent="0.15">
      <c r="A329" s="8" t="s">
        <v>549</v>
      </c>
      <c r="B329" s="35" t="str">
        <f>VLOOKUP(A329,'Player Data'!A1:B734,2,FALSE)</f>
        <v>SEA</v>
      </c>
      <c r="C329" s="37">
        <f>((E329)*Settings!$C$12)+(F329*Settings!$C$2)+(G329*Settings!$C$3)+(H329*Settings!$C$4)+(I329*Settings!$C$5)+(K329*Settings!$C$9)+(N329*Settings!$C$6)+(J329*Settings!$C$8)+(O329*Settings!$C$7)+(P329*Settings!$C$14)+(Q329*Settings!$C$15)+(R329*Settings!$C$16)+(S329*Settings!$C$17)+(T329*Settings!$C$18)+(U329*Settings!$C$19)</f>
        <v>-2.485203924351441</v>
      </c>
      <c r="D329" s="41">
        <f>IF(Settings!$E$12="YES",VLOOKUP(A329,'Player Data'!A1:E734,5,FALSE),82)</f>
        <v>76.2</v>
      </c>
      <c r="E329" s="39">
        <f>(VLOOKUP($A329,'The List'!$B1:$AH727,17,FALSE)-AVERAGE('The List'!R2:R727))/STDEV('The List'!R2:R727)</f>
        <v>-0.82193119411686533</v>
      </c>
      <c r="F329" s="39">
        <f>(VLOOKUP($A329,'The List'!$B1:$AH727,18,FALSE)-AVERAGE('The List'!S2:S727))/STDEV('The List'!S2:S727)</f>
        <v>-3.5322916924401739E-2</v>
      </c>
      <c r="G329" s="39">
        <f>(VLOOKUP($A329,'The List'!$B1:$AH727,19,FALSE)-AVERAGE('The List'!T2:T727))/STDEV('The List'!T2:T727)</f>
        <v>-0.4140044713982744</v>
      </c>
      <c r="H329" s="39">
        <f>(VLOOKUP($A329,'The List'!$B1:$AH727,20,FALSE)-AVERAGE('The List'!U2:U727))/STDEV('The List'!U2:U727)</f>
        <v>-0.27118750497938565</v>
      </c>
      <c r="I329" s="39">
        <f>(VLOOKUP($A329,'The List'!$B1:$AH727,21,FALSE)-AVERAGE('The List'!V2:V727))/STDEV('The List'!V2:V727)</f>
        <v>-0.55842819520928555</v>
      </c>
      <c r="J329" s="39">
        <f>(VLOOKUP($A329,'The List'!$B1:$AH727,22,FALSE)-AVERAGE('The List'!W2:W727))/STDEV('The List'!W2:W727)</f>
        <v>-0.48928648881157538</v>
      </c>
      <c r="K329" s="39">
        <f>(VLOOKUP($A329,'The List'!$B1:$AH727,23,FALSE)-AVERAGE('The List'!X2:X727))/STDEV('The List'!X2:X727)</f>
        <v>-0.61509205016885393</v>
      </c>
      <c r="L329" s="39">
        <f>(VLOOKUP($A329,'The List'!$B1:$AH727,24,FALSE)-AVERAGE('The List'!Y2:Y727))/STDEV('The List'!Y2:Y727)</f>
        <v>0.16847343090021025</v>
      </c>
      <c r="M329" s="39">
        <f>(VLOOKUP($A329,'The List'!$B1:$AH727,25,FALSE)-AVERAGE('The List'!Z2:Z727))/STDEV('The List'!Z2:Z727)</f>
        <v>0.23228130273861658</v>
      </c>
      <c r="N329" s="39">
        <f>(VLOOKUP($A329,'The List'!$B1:$AH727,26,FALSE)-AVERAGE('The List'!AA2:AA727))/STDEV('The List'!AA2:AA727)</f>
        <v>-0.78882786002182681</v>
      </c>
      <c r="O329" s="39">
        <f>(VLOOKUP($A329,'The List'!$B1:$AH727,27,FALSE)-AVERAGE('The List'!AB2:AB727))/STDEV('The List'!AB2:AB727)</f>
        <v>-0.14103748033830399</v>
      </c>
      <c r="P329" s="39">
        <f>(VLOOKUP($A329,'The List'!$B1:$AH727,28,FALSE)-AVERAGE('The List'!AC2:AC727))/STDEV('The List'!AC2:AC727)</f>
        <v>-7.3528430628798547E-2</v>
      </c>
      <c r="Q329" s="39">
        <f>(VLOOKUP($A329,'The List'!$B1:$AH727,29,FALSE)-AVERAGE('The List'!AD2:AD727))/STDEV('The List'!AD2:AD727)</f>
        <v>-0.40031950524383786</v>
      </c>
      <c r="R329" s="39">
        <f>(VLOOKUP($A329,'The List'!$B1:$AH727,30,FALSE)-AVERAGE('The List'!AE2:AE727))/STDEV('The List'!AE2:AE727)</f>
        <v>-3.6502454284451542E-2</v>
      </c>
      <c r="S329" s="39">
        <f>(VLOOKUP($A329,'The List'!$B1:$AH727,31,FALSE)-AVERAGE('The List'!AF2:AF727))/STDEV('The List'!AF2:AF727)</f>
        <v>-0.54181963017002643</v>
      </c>
      <c r="T329" s="39">
        <f>(VLOOKUP($A329,'The List'!$B1:$AH727,32,FALSE)-AVERAGE('The List'!AG2:AG727))/STDEV('The List'!AG2:AG727)</f>
        <v>-0.56503904358530765</v>
      </c>
      <c r="U329" s="39">
        <f>(VLOOKUP($A329,'The List'!$B1:$AH727,33,FALSE)-AVERAGE('The List'!AH2:AH727))/STDEV('The List'!AH2:AH727)</f>
        <v>0.19061848587832322</v>
      </c>
      <c r="V329" s="39"/>
      <c r="W329" s="41"/>
      <c r="X329" s="41"/>
      <c r="Y329" s="41"/>
      <c r="Z329" s="41"/>
      <c r="AA329" s="41"/>
      <c r="AB329" s="41"/>
      <c r="AC329" s="44"/>
      <c r="AD329" s="45"/>
      <c r="AE329" s="39"/>
    </row>
    <row r="330" spans="1:31" ht="21.25" customHeight="1" x14ac:dyDescent="0.15">
      <c r="A330" s="8" t="s">
        <v>610</v>
      </c>
      <c r="B330" s="35" t="str">
        <f>VLOOKUP(A330,'Player Data'!A1:B734,2,FALSE)</f>
        <v>SJS</v>
      </c>
      <c r="C330" s="37">
        <f>((E330)*Settings!$C$12)+(F330*Settings!$C$2)+(G330*Settings!$C$3)+(H330*Settings!$C$4)+(I330*Settings!$C$5)+(K330*Settings!$C$9)+(N330*Settings!$C$6)+(J330*Settings!$C$8)+(O330*Settings!$C$7)+(P330*Settings!$C$14)+(Q330*Settings!$C$15)+(R330*Settings!$C$16)+(S330*Settings!$C$17)+(T330*Settings!$C$18)+(U330*Settings!$C$19)</f>
        <v>-2.9349108150928416</v>
      </c>
      <c r="D330" s="41">
        <f>IF(Settings!$E$12="YES",VLOOKUP(A330,'Player Data'!A1:E734,5,FALSE),82)</f>
        <v>65.917500000000004</v>
      </c>
      <c r="E330" s="39">
        <f>(VLOOKUP($A330,'The List'!$B1:$AH727,17,FALSE)-AVERAGE('The List'!R2:R727))/STDEV('The List'!R2:R727)</f>
        <v>-0.95215890214952914</v>
      </c>
      <c r="F330" s="39">
        <f>(VLOOKUP($A330,'The List'!$B1:$AH727,18,FALSE)-AVERAGE('The List'!S2:S727))/STDEV('The List'!S2:S727)</f>
        <v>-0.47435492258908069</v>
      </c>
      <c r="G330" s="39">
        <f>(VLOOKUP($A330,'The List'!$B1:$AH727,19,FALSE)-AVERAGE('The List'!T2:T727))/STDEV('The List'!T2:T727)</f>
        <v>-0.38069077378311283</v>
      </c>
      <c r="H330" s="39">
        <f>(VLOOKUP($A330,'The List'!$B1:$AH727,20,FALSE)-AVERAGE('The List'!U2:U727))/STDEV('The List'!U2:U727)</f>
        <v>-0.45044633336006668</v>
      </c>
      <c r="I330" s="39">
        <f>(VLOOKUP($A330,'The List'!$B1:$AH727,21,FALSE)-AVERAGE('The List'!V2:V727))/STDEV('The List'!V2:V727)</f>
        <v>-0.34519703540598778</v>
      </c>
      <c r="J330" s="39">
        <f>(VLOOKUP($A330,'The List'!$B1:$AH727,22,FALSE)-AVERAGE('The List'!W2:W727))/STDEV('The List'!W2:W727)</f>
        <v>-0.56076912680712221</v>
      </c>
      <c r="K330" s="39">
        <f>(VLOOKUP($A330,'The List'!$B1:$AH727,23,FALSE)-AVERAGE('The List'!X2:X727))/STDEV('The List'!X2:X727)</f>
        <v>-0.64332391494720009</v>
      </c>
      <c r="L330" s="39">
        <f>(VLOOKUP($A330,'The List'!$B1:$AH727,24,FALSE)-AVERAGE('The List'!Y2:Y727))/STDEV('The List'!Y2:Y727)</f>
        <v>-0.53395294884049427</v>
      </c>
      <c r="M330" s="39">
        <f>(VLOOKUP($A330,'The List'!$B1:$AH727,25,FALSE)-AVERAGE('The List'!Z2:Z727))/STDEV('The List'!Z2:Z727)</f>
        <v>-0.71265505459273104</v>
      </c>
      <c r="N330" s="39">
        <f>(VLOOKUP($A330,'The List'!$B1:$AH727,26,FALSE)-AVERAGE('The List'!AA2:AA727))/STDEV('The List'!AA2:AA727)</f>
        <v>-0.94310072110942089</v>
      </c>
      <c r="O330" s="39">
        <f>(VLOOKUP($A330,'The List'!$B1:$AH727,27,FALSE)-AVERAGE('The List'!AB2:AB727))/STDEV('The List'!AB2:AB727)</f>
        <v>-0.72353850601425829</v>
      </c>
      <c r="P330" s="39">
        <f>(VLOOKUP($A330,'The List'!$B1:$AH727,28,FALSE)-AVERAGE('The List'!AC2:AC727))/STDEV('The List'!AC2:AC727)</f>
        <v>-0.1482434472580394</v>
      </c>
      <c r="Q330" s="39">
        <f>(VLOOKUP($A330,'The List'!$B1:$AH727,29,FALSE)-AVERAGE('The List'!AD2:AD727))/STDEV('The List'!AD2:AD727)</f>
        <v>-1.1333872331556918</v>
      </c>
      <c r="R330" s="39">
        <f>(VLOOKUP($A330,'The List'!$B1:$AH727,30,FALSE)-AVERAGE('The List'!AE2:AE727))/STDEV('The List'!AE2:AE727)</f>
        <v>-0.5420795472899349</v>
      </c>
      <c r="S330" s="39">
        <f>(VLOOKUP($A330,'The List'!$B1:$AH727,31,FALSE)-AVERAGE('The List'!AF2:AF727))/STDEV('The List'!AF2:AF727)</f>
        <v>-0.52217425589104871</v>
      </c>
      <c r="T330" s="39">
        <f>(VLOOKUP($A330,'The List'!$B1:$AH727,32,FALSE)-AVERAGE('The List'!AG2:AG727))/STDEV('The List'!AG2:AG727)</f>
        <v>-0.55569608269888116</v>
      </c>
      <c r="U330" s="39">
        <f>(VLOOKUP($A330,'The List'!$B1:$AH727,33,FALSE)-AVERAGE('The List'!AH2:AH727))/STDEV('The List'!AH2:AH727)</f>
        <v>0.79176181823681802</v>
      </c>
      <c r="V330" s="39"/>
      <c r="W330" s="43"/>
      <c r="X330" s="41"/>
      <c r="Y330" s="41"/>
      <c r="Z330" s="41"/>
      <c r="AA330" s="41"/>
      <c r="AB330" s="41"/>
      <c r="AC330" s="44"/>
      <c r="AD330" s="45"/>
      <c r="AE330" s="39"/>
    </row>
    <row r="331" spans="1:31" ht="21.25" customHeight="1" x14ac:dyDescent="0.15">
      <c r="A331" s="8" t="s">
        <v>616</v>
      </c>
      <c r="B331" s="35" t="str">
        <f>VLOOKUP(A331,'Player Data'!A1:B734,2,FALSE)</f>
        <v>WSH</v>
      </c>
      <c r="C331" s="37">
        <f>((E331)*Settings!$C$12)+(F331*Settings!$C$2)+(G331*Settings!$C$3)+(H331*Settings!$C$4)+(I331*Settings!$C$5)+(K331*Settings!$C$9)+(N331*Settings!$C$6)+(J331*Settings!$C$8)+(O331*Settings!$C$7)+(P331*Settings!$C$14)+(Q331*Settings!$C$15)+(R331*Settings!$C$16)+(S331*Settings!$C$17)+(T331*Settings!$C$18)+(U331*Settings!$C$19)</f>
        <v>-3.6066239056803555</v>
      </c>
      <c r="D331" s="41">
        <f>IF(Settings!$E$12="YES",VLOOKUP(A331,'Player Data'!A1:E734,5,FALSE),82)</f>
        <v>74.834999999999994</v>
      </c>
      <c r="E331" s="39">
        <f>(VLOOKUP($A331,'The List'!$B1:$AH727,17,FALSE)-AVERAGE('The List'!R2:R727))/STDEV('The List'!R2:R727)</f>
        <v>-1.1043051686988514</v>
      </c>
      <c r="F331" s="39">
        <f>(VLOOKUP($A331,'The List'!$B1:$AH727,18,FALSE)-AVERAGE('The List'!S2:S727))/STDEV('The List'!S2:S727)</f>
        <v>-0.23822121761155607</v>
      </c>
      <c r="G331" s="39">
        <f>(VLOOKUP($A331,'The List'!$B1:$AH727,19,FALSE)-AVERAGE('The List'!T2:T727))/STDEV('The List'!T2:T727)</f>
        <v>-0.3064257384222554</v>
      </c>
      <c r="H331" s="39">
        <f>(VLOOKUP($A331,'The List'!$B1:$AH727,20,FALSE)-AVERAGE('The List'!U2:U727))/STDEV('The List'!U2:U727)</f>
        <v>-0.29722792259156772</v>
      </c>
      <c r="I331" s="39">
        <f>(VLOOKUP($A331,'The List'!$B1:$AH727,21,FALSE)-AVERAGE('The List'!V2:V727))/STDEV('The List'!V2:V727)</f>
        <v>-0.67155399353880985</v>
      </c>
      <c r="J331" s="39">
        <f>(VLOOKUP($A331,'The List'!$B1:$AH727,22,FALSE)-AVERAGE('The List'!W2:W727))/STDEV('The List'!W2:W727)</f>
        <v>-0.58756346097423817</v>
      </c>
      <c r="K331" s="39">
        <f>(VLOOKUP($A331,'The List'!$B1:$AH727,23,FALSE)-AVERAGE('The List'!X2:X727))/STDEV('The List'!X2:X727)</f>
        <v>-0.66947598034426481</v>
      </c>
      <c r="L331" s="39">
        <f>(VLOOKUP($A331,'The List'!$B1:$AH727,24,FALSE)-AVERAGE('The List'!Y2:Y727))/STDEV('The List'!Y2:Y727)</f>
        <v>-0.54264910544058242</v>
      </c>
      <c r="M331" s="39">
        <f>(VLOOKUP($A331,'The List'!$B1:$AH727,25,FALSE)-AVERAGE('The List'!Z2:Z727))/STDEV('The List'!Z2:Z727)</f>
        <v>-0.72216899578689009</v>
      </c>
      <c r="N331" s="39">
        <f>(VLOOKUP($A331,'The List'!$B1:$AH727,26,FALSE)-AVERAGE('The List'!AA2:AA727))/STDEV('The List'!AA2:AA727)</f>
        <v>-1.0194343114453595</v>
      </c>
      <c r="O331" s="39">
        <f>(VLOOKUP($A331,'The List'!$B1:$AH727,27,FALSE)-AVERAGE('The List'!AB2:AB727))/STDEV('The List'!AB2:AB727)</f>
        <v>-0.88590352748054735</v>
      </c>
      <c r="P331" s="39">
        <f>(VLOOKUP($A331,'The List'!$B1:$AH727,28,FALSE)-AVERAGE('The List'!AC2:AC727))/STDEV('The List'!AC2:AC727)</f>
        <v>-0.70151266431810977</v>
      </c>
      <c r="Q331" s="39">
        <f>(VLOOKUP($A331,'The List'!$B1:$AH727,29,FALSE)-AVERAGE('The List'!AD2:AD727))/STDEV('The List'!AD2:AD727)</f>
        <v>-1.0153324279267451</v>
      </c>
      <c r="R331" s="39">
        <f>(VLOOKUP($A331,'The List'!$B1:$AH727,30,FALSE)-AVERAGE('The List'!AE2:AE727))/STDEV('The List'!AE2:AE727)</f>
        <v>-0.34386581018636492</v>
      </c>
      <c r="S331" s="39">
        <f>(VLOOKUP($A331,'The List'!$B1:$AH727,31,FALSE)-AVERAGE('The List'!AF2:AF727))/STDEV('The List'!AF2:AF727)</f>
        <v>-0.55804314905918151</v>
      </c>
      <c r="T331" s="39">
        <f>(VLOOKUP($A331,'The List'!$B1:$AH727,32,FALSE)-AVERAGE('The List'!AG2:AG727))/STDEV('The List'!AG2:AG727)</f>
        <v>-0.60000822556992051</v>
      </c>
      <c r="U331" s="39">
        <f>(VLOOKUP($A331,'The List'!$B1:$AH727,33,FALSE)-AVERAGE('The List'!AH2:AH727))/STDEV('The List'!AH2:AH727)</f>
        <v>-1.2395873372913611</v>
      </c>
      <c r="V331" s="39"/>
      <c r="W331" s="43"/>
      <c r="X331" s="41"/>
      <c r="Y331" s="41"/>
      <c r="Z331" s="41"/>
      <c r="AA331" s="41"/>
      <c r="AB331" s="41"/>
      <c r="AC331" s="44"/>
      <c r="AD331" s="45"/>
      <c r="AE331" s="39"/>
    </row>
    <row r="332" spans="1:31" ht="21.25" customHeight="1" x14ac:dyDescent="0.15">
      <c r="A332" s="8" t="s">
        <v>416</v>
      </c>
      <c r="B332" s="35" t="str">
        <f>VLOOKUP(A332,'Player Data'!A1:B734,2,FALSE)</f>
        <v>CAR</v>
      </c>
      <c r="C332" s="37">
        <f>((E332)*Settings!$C$12)+(F332*Settings!$C$2)+(G332*Settings!$C$3)+(H332*Settings!$C$4)+(I332*Settings!$C$5)+(K332*Settings!$C$9)+(N332*Settings!$C$6)+(J332*Settings!$C$8)+(O332*Settings!$C$7)+(P332*Settings!$C$14)+(Q332*Settings!$C$15)+(R332*Settings!$C$16)+(S332*Settings!$C$17)+(T332*Settings!$C$18)+(U332*Settings!$C$19)</f>
        <v>-0.6876514218910238</v>
      </c>
      <c r="D332" s="41">
        <f>IF(Settings!$E$12="YES",VLOOKUP(A332,'Player Data'!A1:E734,5,FALSE),82)</f>
        <v>66.400000000000006</v>
      </c>
      <c r="E332" s="39">
        <f>(VLOOKUP($A332,'The List'!$B1:$AH727,17,FALSE)-AVERAGE('The List'!R2:R727))/STDEV('The List'!R2:R727)</f>
        <v>-0.12091546548144697</v>
      </c>
      <c r="F332" s="39">
        <f>(VLOOKUP($A332,'The List'!$B1:$AH727,18,FALSE)-AVERAGE('The List'!S2:S727))/STDEV('The List'!S2:S727)</f>
        <v>-0.67207291922226864</v>
      </c>
      <c r="G332" s="39">
        <f>(VLOOKUP($A332,'The List'!$B1:$AH727,19,FALSE)-AVERAGE('The List'!T2:T727))/STDEV('The List'!T2:T727)</f>
        <v>-0.22405753227343267</v>
      </c>
      <c r="H332" s="39">
        <f>(VLOOKUP($A332,'The List'!$B1:$AH727,20,FALSE)-AVERAGE('The List'!U2:U727))/STDEV('The List'!U2:U727)</f>
        <v>-0.443901548614272</v>
      </c>
      <c r="I332" s="39">
        <f>(VLOOKUP($A332,'The List'!$B1:$AH727,21,FALSE)-AVERAGE('The List'!V2:V727))/STDEV('The List'!V2:V727)</f>
        <v>-0.34801436708954753</v>
      </c>
      <c r="J332" s="39">
        <f>(VLOOKUP($A332,'The List'!$B1:$AH727,22,FALSE)-AVERAGE('The List'!W2:W727))/STDEV('The List'!W2:W727)</f>
        <v>-0.51795699262384443</v>
      </c>
      <c r="K332" s="39">
        <f>(VLOOKUP($A332,'The List'!$B1:$AH727,23,FALSE)-AVERAGE('The List'!X2:X727))/STDEV('The List'!X2:X727)</f>
        <v>-0.34308455051972492</v>
      </c>
      <c r="L332" s="39">
        <f>(VLOOKUP($A332,'The List'!$B1:$AH727,24,FALSE)-AVERAGE('The List'!Y2:Y727))/STDEV('The List'!Y2:Y727)</f>
        <v>-0.53832605802392353</v>
      </c>
      <c r="M332" s="39">
        <f>(VLOOKUP($A332,'The List'!$B1:$AH727,25,FALSE)-AVERAGE('The List'!Z2:Z727))/STDEV('The List'!Z2:Z727)</f>
        <v>-0.71071493723951007</v>
      </c>
      <c r="N332" s="39">
        <f>(VLOOKUP($A332,'The List'!$B1:$AH727,26,FALSE)-AVERAGE('The List'!AA2:AA727))/STDEV('The List'!AA2:AA727)</f>
        <v>4.1083938034988665E-2</v>
      </c>
      <c r="O332" s="39">
        <f>(VLOOKUP($A332,'The List'!$B1:$AH727,27,FALSE)-AVERAGE('The List'!AB2:AB727))/STDEV('The List'!AB2:AB727)</f>
        <v>-0.91331232679748642</v>
      </c>
      <c r="P332" s="39">
        <f>(VLOOKUP($A332,'The List'!$B1:$AH727,28,FALSE)-AVERAGE('The List'!AC2:AC727))/STDEV('The List'!AC2:AC727)</f>
        <v>0.85849400917896135</v>
      </c>
      <c r="Q332" s="39">
        <f>(VLOOKUP($A332,'The List'!$B1:$AH727,29,FALSE)-AVERAGE('The List'!AD2:AD727))/STDEV('The List'!AD2:AD727)</f>
        <v>-8.3537371027350676E-2</v>
      </c>
      <c r="R332" s="39">
        <f>(VLOOKUP($A332,'The List'!$B1:$AH727,30,FALSE)-AVERAGE('The List'!AE2:AE727))/STDEV('The List'!AE2:AE727)</f>
        <v>-0.71464565407985314</v>
      </c>
      <c r="S332" s="39">
        <f>(VLOOKUP($A332,'The List'!$B1:$AH727,31,FALSE)-AVERAGE('The List'!AF2:AF727))/STDEV('The List'!AF2:AF727)</f>
        <v>-0.55804314905918151</v>
      </c>
      <c r="T332" s="39">
        <f>(VLOOKUP($A332,'The List'!$B1:$AH727,32,FALSE)-AVERAGE('The List'!AG2:AG727))/STDEV('The List'!AG2:AG727)</f>
        <v>-0.60188453558131205</v>
      </c>
      <c r="U332" s="39">
        <f>(VLOOKUP($A332,'The List'!$B1:$AH727,33,FALSE)-AVERAGE('The List'!AH2:AH727))/STDEV('The List'!AH2:AH727)</f>
        <v>-1.2395873372913611</v>
      </c>
      <c r="V332" s="39"/>
      <c r="W332" s="43"/>
      <c r="X332" s="41"/>
      <c r="Y332" s="41"/>
      <c r="Z332" s="41"/>
      <c r="AA332" s="41"/>
      <c r="AB332" s="41"/>
      <c r="AC332" s="44"/>
      <c r="AD332" s="45"/>
      <c r="AE332" s="39"/>
    </row>
    <row r="333" spans="1:31" ht="21.25" customHeight="1" x14ac:dyDescent="0.15">
      <c r="A333" s="8" t="s">
        <v>671</v>
      </c>
      <c r="B333" s="35" t="str">
        <f>VLOOKUP(A333,'Player Data'!A1:B734,2,FALSE)</f>
        <v>LAK</v>
      </c>
      <c r="C333" s="37">
        <f>((E333)*Settings!$C$12)+(F333*Settings!$C$2)+(G333*Settings!$C$3)+(H333*Settings!$C$4)+(I333*Settings!$C$5)+(K333*Settings!$C$9)+(N333*Settings!$C$6)+(J333*Settings!$C$8)+(O333*Settings!$C$7)+(P333*Settings!$C$14)+(Q333*Settings!$C$15)+(R333*Settings!$C$16)+(S333*Settings!$C$17)+(T333*Settings!$C$18)+(U333*Settings!$C$19)</f>
        <v>-2.3105991812362654</v>
      </c>
      <c r="D333" s="41">
        <f>IF(Settings!$E$12="YES",VLOOKUP(A333,'Player Data'!A1:E734,5,FALSE),82)</f>
        <v>78.006071428571403</v>
      </c>
      <c r="E333" s="39">
        <f>(VLOOKUP($A333,'The List'!$B1:$AH727,17,FALSE)-AVERAGE('The List'!R2:R727))/STDEV('The List'!R2:R727)</f>
        <v>-0.95786789969211572</v>
      </c>
      <c r="F333" s="39">
        <f>(VLOOKUP($A333,'The List'!$B1:$AH727,18,FALSE)-AVERAGE('The List'!S2:S727))/STDEV('The List'!S2:S727)</f>
        <v>-0.219031749169672</v>
      </c>
      <c r="G333" s="39">
        <f>(VLOOKUP($A333,'The List'!$B1:$AH727,19,FALSE)-AVERAGE('The List'!T2:T727))/STDEV('The List'!T2:T727)</f>
        <v>-0.23724788862176804</v>
      </c>
      <c r="H333" s="39">
        <f>(VLOOKUP($A333,'The List'!$B1:$AH727,20,FALSE)-AVERAGE('The List'!U2:U727))/STDEV('The List'!U2:U727)</f>
        <v>-0.2458674856116943</v>
      </c>
      <c r="I333" s="39">
        <f>(VLOOKUP($A333,'The List'!$B1:$AH727,21,FALSE)-AVERAGE('The List'!V2:V727))/STDEV('The List'!V2:V727)</f>
        <v>-0.47431013130118932</v>
      </c>
      <c r="J333" s="39">
        <f>(VLOOKUP($A333,'The List'!$B1:$AH727,22,FALSE)-AVERAGE('The List'!W2:W727))/STDEV('The List'!W2:W727)</f>
        <v>-0.69716454080559409</v>
      </c>
      <c r="K333" s="39">
        <f>(VLOOKUP($A333,'The List'!$B1:$AH727,23,FALSE)-AVERAGE('The List'!X2:X727))/STDEV('The List'!X2:X727)</f>
        <v>-0.78685012683054212</v>
      </c>
      <c r="L333" s="39">
        <f>(VLOOKUP($A333,'The List'!$B1:$AH727,24,FALSE)-AVERAGE('The List'!Y2:Y727))/STDEV('The List'!Y2:Y727)</f>
        <v>0.19586455646640027</v>
      </c>
      <c r="M333" s="39">
        <f>(VLOOKUP($A333,'The List'!$B1:$AH727,25,FALSE)-AVERAGE('The List'!Z2:Z727))/STDEV('The List'!Z2:Z727)</f>
        <v>1.6597177069834939</v>
      </c>
      <c r="N333" s="39">
        <f>(VLOOKUP($A333,'The List'!$B1:$AH727,26,FALSE)-AVERAGE('The List'!AA2:AA727))/STDEV('The List'!AA2:AA727)</f>
        <v>-0.66897186891233462</v>
      </c>
      <c r="O333" s="39">
        <f>(VLOOKUP($A333,'The List'!$B1:$AH727,27,FALSE)-AVERAGE('The List'!AB2:AB727))/STDEV('The List'!AB2:AB727)</f>
        <v>3.0794926309469402E-2</v>
      </c>
      <c r="P333" s="39">
        <f>(VLOOKUP($A333,'The List'!$B1:$AH727,28,FALSE)-AVERAGE('The List'!AC2:AC727))/STDEV('The List'!AC2:AC727)</f>
        <v>7.5812583599240674E-2</v>
      </c>
      <c r="Q333" s="39">
        <f>(VLOOKUP($A333,'The List'!$B1:$AH727,29,FALSE)-AVERAGE('The List'!AD2:AD727))/STDEV('The List'!AD2:AD727)</f>
        <v>0.71904801345997593</v>
      </c>
      <c r="R333" s="39">
        <f>(VLOOKUP($A333,'The List'!$B1:$AH727,30,FALSE)-AVERAGE('The List'!AE2:AE727))/STDEV('The List'!AE2:AE727)</f>
        <v>-0.1496852266094317</v>
      </c>
      <c r="S333" s="39">
        <f>(VLOOKUP($A333,'The List'!$B1:$AH727,31,FALSE)-AVERAGE('The List'!AF2:AF727))/STDEV('The List'!AF2:AF727)</f>
        <v>1.3652240872394819</v>
      </c>
      <c r="T333" s="39">
        <f>(VLOOKUP($A333,'The List'!$B1:$AH727,32,FALSE)-AVERAGE('The List'!AG2:AG727))/STDEV('The List'!AG2:AG727)</f>
        <v>1.312122442526366</v>
      </c>
      <c r="U333" s="39">
        <f>(VLOOKUP($A333,'The List'!$B1:$AH727,33,FALSE)-AVERAGE('The List'!AH2:AH727))/STDEV('The List'!AH2:AH727)</f>
        <v>1.0820190351572498</v>
      </c>
      <c r="V333" s="39"/>
      <c r="W333" s="43"/>
      <c r="X333" s="41"/>
      <c r="Y333" s="41"/>
      <c r="Z333" s="41"/>
      <c r="AA333" s="41"/>
      <c r="AB333" s="41"/>
      <c r="AC333" s="44"/>
      <c r="AD333" s="45"/>
      <c r="AE333" s="39"/>
    </row>
    <row r="334" spans="1:31" ht="21.25" customHeight="1" x14ac:dyDescent="0.15">
      <c r="A334" s="8" t="s">
        <v>641</v>
      </c>
      <c r="B334" s="35" t="str">
        <f>VLOOKUP(A334,'Player Data'!A1:B734,2,FALSE)</f>
        <v>MTL</v>
      </c>
      <c r="C334" s="37">
        <f>((E334)*Settings!$C$12)+(F334*Settings!$C$2)+(G334*Settings!$C$3)+(H334*Settings!$C$4)+(I334*Settings!$C$5)+(K334*Settings!$C$9)+(N334*Settings!$C$6)+(J334*Settings!$C$8)+(O334*Settings!$C$7)+(P334*Settings!$C$14)+(Q334*Settings!$C$15)+(R334*Settings!$C$16)+(S334*Settings!$C$17)+(T334*Settings!$C$18)+(U334*Settings!$C$19)</f>
        <v>-4.2788178632140035</v>
      </c>
      <c r="D334" s="41">
        <f>IF(Settings!$E$12="YES",VLOOKUP(A334,'Player Data'!A1:E734,5,FALSE),82)</f>
        <v>64.185000000000002</v>
      </c>
      <c r="E334" s="39">
        <f>(VLOOKUP($A334,'The List'!$B1:$AH727,17,FALSE)-AVERAGE('The List'!R2:R727))/STDEV('The List'!R2:R727)</f>
        <v>-0.76178908289952196</v>
      </c>
      <c r="F334" s="39">
        <f>(VLOOKUP($A334,'The List'!$B1:$AH727,18,FALSE)-AVERAGE('The List'!S2:S727))/STDEV('The List'!S2:S727)</f>
        <v>-0.29891325823173209</v>
      </c>
      <c r="G334" s="39">
        <f>(VLOOKUP($A334,'The List'!$B1:$AH727,19,FALSE)-AVERAGE('The List'!T2:T727))/STDEV('The List'!T2:T727)</f>
        <v>-0.57271467328517733</v>
      </c>
      <c r="H334" s="39">
        <f>(VLOOKUP($A334,'The List'!$B1:$AH727,20,FALSE)-AVERAGE('The List'!U2:U727))/STDEV('The List'!U2:U727)</f>
        <v>-0.48893629259267174</v>
      </c>
      <c r="I334" s="39">
        <f>(VLOOKUP($A334,'The List'!$B1:$AH727,21,FALSE)-AVERAGE('The List'!V2:V727))/STDEV('The List'!V2:V727)</f>
        <v>-0.77341110844969441</v>
      </c>
      <c r="J334" s="39">
        <f>(VLOOKUP($A334,'The List'!$B1:$AH727,22,FALSE)-AVERAGE('The List'!W2:W727))/STDEV('The List'!W2:W727)</f>
        <v>-0.26732172471840665</v>
      </c>
      <c r="K334" s="39">
        <f>(VLOOKUP($A334,'The List'!$B1:$AH727,23,FALSE)-AVERAGE('The List'!X2:X727))/STDEV('The List'!X2:X727)</f>
        <v>-0.41787562524501698</v>
      </c>
      <c r="L334" s="39">
        <f>(VLOOKUP($A334,'The List'!$B1:$AH727,24,FALSE)-AVERAGE('The List'!Y2:Y727))/STDEV('The List'!Y2:Y727)</f>
        <v>-0.54208291439121947</v>
      </c>
      <c r="M334" s="39">
        <f>(VLOOKUP($A334,'The List'!$B1:$AH727,25,FALSE)-AVERAGE('The List'!Z2:Z727))/STDEV('The List'!Z2:Z727)</f>
        <v>-0.72156348044898388</v>
      </c>
      <c r="N334" s="39">
        <f>(VLOOKUP($A334,'The List'!$B1:$AH727,26,FALSE)-AVERAGE('The List'!AA2:AA727))/STDEV('The List'!AA2:AA727)</f>
        <v>-0.50943655793131071</v>
      </c>
      <c r="O334" s="39">
        <f>(VLOOKUP($A334,'The List'!$B1:$AH727,27,FALSE)-AVERAGE('The List'!AB2:AB727))/STDEV('The List'!AB2:AB727)</f>
        <v>-6.0595618109263609E-2</v>
      </c>
      <c r="P334" s="39">
        <f>(VLOOKUP($A334,'The List'!$B1:$AH727,28,FALSE)-AVERAGE('The List'!AC2:AC727))/STDEV('The List'!AC2:AC727)</f>
        <v>-1.7064666400710717</v>
      </c>
      <c r="Q334" s="39">
        <f>(VLOOKUP($A334,'The List'!$B1:$AH727,29,FALSE)-AVERAGE('The List'!AD2:AD727))/STDEV('The List'!AD2:AD727)</f>
        <v>1.6313213019592706E-2</v>
      </c>
      <c r="R334" s="39">
        <f>(VLOOKUP($A334,'The List'!$B1:$AH727,30,FALSE)-AVERAGE('The List'!AE2:AE727))/STDEV('The List'!AE2:AE727)</f>
        <v>-0.4877714633231181</v>
      </c>
      <c r="S334" s="39">
        <f>(VLOOKUP($A334,'The List'!$B1:$AH727,31,FALSE)-AVERAGE('The List'!AF2:AF727))/STDEV('The List'!AF2:AF727)</f>
        <v>-0.51281352549304882</v>
      </c>
      <c r="T334" s="39">
        <f>(VLOOKUP($A334,'The List'!$B1:$AH727,32,FALSE)-AVERAGE('The List'!AG2:AG727))/STDEV('The List'!AG2:AG727)</f>
        <v>-0.55430390189268974</v>
      </c>
      <c r="U334" s="39">
        <f>(VLOOKUP($A334,'The List'!$B1:$AH727,33,FALSE)-AVERAGE('The List'!AH2:AH727))/STDEV('The List'!AH2:AH727)</f>
        <v>1.0193495665072134</v>
      </c>
      <c r="V334" s="39"/>
      <c r="W334" s="43"/>
      <c r="X334" s="41"/>
      <c r="Y334" s="41"/>
      <c r="Z334" s="41"/>
      <c r="AA334" s="41"/>
      <c r="AB334" s="41"/>
      <c r="AC334" s="44"/>
      <c r="AD334" s="45"/>
      <c r="AE334" s="39"/>
    </row>
    <row r="335" spans="1:31" ht="21.25" customHeight="1" x14ac:dyDescent="0.15">
      <c r="A335" s="8" t="s">
        <v>595</v>
      </c>
      <c r="B335" s="35" t="str">
        <f>VLOOKUP(A335,'Player Data'!A1:B734,2,FALSE)</f>
        <v>SEA</v>
      </c>
      <c r="C335" s="37">
        <f>((E335)*Settings!$C$12)+(F335*Settings!$C$2)+(G335*Settings!$C$3)+(H335*Settings!$C$4)+(I335*Settings!$C$5)+(K335*Settings!$C$9)+(N335*Settings!$C$6)+(J335*Settings!$C$8)+(O335*Settings!$C$7)+(P335*Settings!$C$14)+(Q335*Settings!$C$15)+(R335*Settings!$C$16)+(S335*Settings!$C$17)+(T335*Settings!$C$18)+(U335*Settings!$C$19)</f>
        <v>-1.8676240128598021</v>
      </c>
      <c r="D335" s="41">
        <f>IF(Settings!$E$12="YES",VLOOKUP(A335,'Player Data'!A1:E734,5,FALSE),82)</f>
        <v>71.2</v>
      </c>
      <c r="E335" s="39">
        <f>(VLOOKUP($A335,'The List'!$B1:$AH727,17,FALSE)-AVERAGE('The List'!R2:R727))/STDEV('The List'!R2:R727)</f>
        <v>-0.61487456419491648</v>
      </c>
      <c r="F335" s="39">
        <f>(VLOOKUP($A335,'The List'!$B1:$AH727,18,FALSE)-AVERAGE('The List'!S2:S727))/STDEV('The List'!S2:S727)</f>
        <v>-5.8148023530951089E-2</v>
      </c>
      <c r="G335" s="39">
        <f>(VLOOKUP($A335,'The List'!$B1:$AH727,19,FALSE)-AVERAGE('The List'!T2:T727))/STDEV('The List'!T2:T727)</f>
        <v>-0.55988092542664203</v>
      </c>
      <c r="H335" s="39">
        <f>(VLOOKUP($A335,'The List'!$B1:$AH727,20,FALSE)-AVERAGE('The List'!U2:U727))/STDEV('The List'!U2:U727)</f>
        <v>-0.37146477098968023</v>
      </c>
      <c r="I335" s="39">
        <f>(VLOOKUP($A335,'The List'!$B1:$AH727,21,FALSE)-AVERAGE('The List'!V2:V727))/STDEV('The List'!V2:V727)</f>
        <v>-0.51761357582209155</v>
      </c>
      <c r="J335" s="39">
        <f>(VLOOKUP($A335,'The List'!$B1:$AH727,22,FALSE)-AVERAGE('The List'!W2:W727))/STDEV('The List'!W2:W727)</f>
        <v>-0.68514654855406532</v>
      </c>
      <c r="K335" s="39">
        <f>(VLOOKUP($A335,'The List'!$B1:$AH727,23,FALSE)-AVERAGE('The List'!X2:X727))/STDEV('The List'!X2:X727)</f>
        <v>-0.78339528643002965</v>
      </c>
      <c r="L335" s="39">
        <f>(VLOOKUP($A335,'The List'!$B1:$AH727,24,FALSE)-AVERAGE('The List'!Y2:Y727))/STDEV('The List'!Y2:Y727)</f>
        <v>1.6029735081495677</v>
      </c>
      <c r="M335" s="39">
        <f>(VLOOKUP($A335,'The List'!$B1:$AH727,25,FALSE)-AVERAGE('The List'!Z2:Z727))/STDEV('The List'!Z2:Z727)</f>
        <v>0.94106451794589707</v>
      </c>
      <c r="N335" s="39">
        <f>(VLOOKUP($A335,'The List'!$B1:$AH727,26,FALSE)-AVERAGE('The List'!AA2:AA727))/STDEV('The List'!AA2:AA727)</f>
        <v>-5.7722843405114826E-2</v>
      </c>
      <c r="O335" s="39">
        <f>(VLOOKUP($A335,'The List'!$B1:$AH727,27,FALSE)-AVERAGE('The List'!AB2:AB727))/STDEV('The List'!AB2:AB727)</f>
        <v>1.593286473592487</v>
      </c>
      <c r="P335" s="39">
        <f>(VLOOKUP($A335,'The List'!$B1:$AH727,28,FALSE)-AVERAGE('The List'!AC2:AC727))/STDEV('The List'!AC2:AC727)</f>
        <v>0.10913664175502734</v>
      </c>
      <c r="Q335" s="39">
        <f>(VLOOKUP($A335,'The List'!$B1:$AH727,29,FALSE)-AVERAGE('The List'!AD2:AD727))/STDEV('The List'!AD2:AD727)</f>
        <v>-0.20987612853736076</v>
      </c>
      <c r="R335" s="39">
        <f>(VLOOKUP($A335,'The List'!$B1:$AH727,30,FALSE)-AVERAGE('The List'!AE2:AE727))/STDEV('The List'!AE2:AE727)</f>
        <v>-5.7459722825443996E-2</v>
      </c>
      <c r="S335" s="39">
        <f>(VLOOKUP($A335,'The List'!$B1:$AH727,31,FALSE)-AVERAGE('The List'!AF2:AF727))/STDEV('The List'!AF2:AF727)</f>
        <v>-0.53568513154614172</v>
      </c>
      <c r="T335" s="39">
        <f>(VLOOKUP($A335,'The List'!$B1:$AH727,32,FALSE)-AVERAGE('The List'!AG2:AG727))/STDEV('The List'!AG2:AG727)</f>
        <v>-0.5182816567059616</v>
      </c>
      <c r="U335" s="39">
        <f>(VLOOKUP($A335,'The List'!$B1:$AH727,33,FALSE)-AVERAGE('The List'!AH2:AH727))/STDEV('The List'!AH2:AH727)</f>
        <v>-0.24763297110939614</v>
      </c>
      <c r="V335" s="39"/>
      <c r="W335" s="43"/>
      <c r="X335" s="41"/>
      <c r="Y335" s="41"/>
      <c r="Z335" s="41"/>
      <c r="AA335" s="41"/>
      <c r="AB335" s="41"/>
      <c r="AC335" s="44"/>
      <c r="AD335" s="45"/>
      <c r="AE335" s="39"/>
    </row>
    <row r="336" spans="1:31" ht="21.25" customHeight="1" x14ac:dyDescent="0.15">
      <c r="A336" s="8" t="s">
        <v>538</v>
      </c>
      <c r="B336" s="35" t="str">
        <f>VLOOKUP(A336,'Player Data'!A1:B734,2,FALSE)</f>
        <v>VGK</v>
      </c>
      <c r="C336" s="37">
        <f>((E336)*Settings!$C$12)+(F336*Settings!$C$2)+(G336*Settings!$C$3)+(H336*Settings!$C$4)+(I336*Settings!$C$5)+(K336*Settings!$C$9)+(N336*Settings!$C$6)+(J336*Settings!$C$8)+(O336*Settings!$C$7)+(P336*Settings!$C$14)+(Q336*Settings!$C$15)+(R336*Settings!$C$16)+(S336*Settings!$C$17)+(T336*Settings!$C$18)+(U336*Settings!$C$19)</f>
        <v>-0.29417224824283816</v>
      </c>
      <c r="D336" s="41">
        <f>IF(Settings!$E$12="YES",VLOOKUP(A336,'Player Data'!A1:E734,5,FALSE),82)</f>
        <v>74.216785714285706</v>
      </c>
      <c r="E336" s="39">
        <f>(VLOOKUP($A336,'The List'!$B1:$AH727,17,FALSE)-AVERAGE('The List'!R2:R727))/STDEV('The List'!R2:R727)</f>
        <v>-1.0397317322216779</v>
      </c>
      <c r="F336" s="39">
        <f>(VLOOKUP($A336,'The List'!$B1:$AH727,18,FALSE)-AVERAGE('The List'!S2:S727))/STDEV('The List'!S2:S727)</f>
        <v>0.16427965833854899</v>
      </c>
      <c r="G336" s="39">
        <f>(VLOOKUP($A336,'The List'!$B1:$AH727,19,FALSE)-AVERAGE('The List'!T2:T727))/STDEV('The List'!T2:T727)</f>
        <v>-0.64869510752115644</v>
      </c>
      <c r="H336" s="39">
        <f>(VLOOKUP($A336,'The List'!$B1:$AH727,20,FALSE)-AVERAGE('The List'!U2:U727))/STDEV('The List'!U2:U727)</f>
        <v>-0.3249743738261554</v>
      </c>
      <c r="I336" s="39">
        <f>(VLOOKUP($A336,'The List'!$B1:$AH727,21,FALSE)-AVERAGE('The List'!V2:V727))/STDEV('The List'!V2:V727)</f>
        <v>0.1940475083966961</v>
      </c>
      <c r="J336" s="39">
        <f>(VLOOKUP($A336,'The List'!$B1:$AH727,22,FALSE)-AVERAGE('The List'!W2:W727))/STDEV('The List'!W2:W727)</f>
        <v>-0.61008457501669444</v>
      </c>
      <c r="K336" s="39">
        <f>(VLOOKUP($A336,'The List'!$B1:$AH727,23,FALSE)-AVERAGE('The List'!X2:X727))/STDEV('The List'!X2:X727)</f>
        <v>-0.70216892465662306</v>
      </c>
      <c r="L336" s="39">
        <f>(VLOOKUP($A336,'The List'!$B1:$AH727,24,FALSE)-AVERAGE('The List'!Y2:Y727))/STDEV('The List'!Y2:Y727)</f>
        <v>-0.43097561588511385</v>
      </c>
      <c r="M336" s="39">
        <f>(VLOOKUP($A336,'The List'!$B1:$AH727,25,FALSE)-AVERAGE('The List'!Z2:Z727))/STDEV('The List'!Z2:Z727)</f>
        <v>-0.5967102656186668</v>
      </c>
      <c r="N336" s="39">
        <f>(VLOOKUP($A336,'The List'!$B1:$AH727,26,FALSE)-AVERAGE('The List'!AA2:AA727))/STDEV('The List'!AA2:AA727)</f>
        <v>-0.76775875931261772</v>
      </c>
      <c r="O336" s="39">
        <f>(VLOOKUP($A336,'The List'!$B1:$AH727,27,FALSE)-AVERAGE('The List'!AB2:AB727))/STDEV('The List'!AB2:AB727)</f>
        <v>1.6966906302593059</v>
      </c>
      <c r="P336" s="39">
        <f>(VLOOKUP($A336,'The List'!$B1:$AH727,28,FALSE)-AVERAGE('The List'!AC2:AC727))/STDEV('The List'!AC2:AC727)</f>
        <v>1.4661233765123141</v>
      </c>
      <c r="Q336" s="39">
        <f>(VLOOKUP($A336,'The List'!$B1:$AH727,29,FALSE)-AVERAGE('The List'!AD2:AD727))/STDEV('The List'!AD2:AD727)</f>
        <v>1.7789030665403778E-2</v>
      </c>
      <c r="R336" s="39">
        <f>(VLOOKUP($A336,'The List'!$B1:$AH727,30,FALSE)-AVERAGE('The List'!AE2:AE727))/STDEV('The List'!AE2:AE727)</f>
        <v>0.36458386116412289</v>
      </c>
      <c r="S336" s="39">
        <f>(VLOOKUP($A336,'The List'!$B1:$AH727,31,FALSE)-AVERAGE('The List'!AF2:AF727))/STDEV('The List'!AF2:AF727)</f>
        <v>-0.54118058786603596</v>
      </c>
      <c r="T336" s="39">
        <f>(VLOOKUP($A336,'The List'!$B1:$AH727,32,FALSE)-AVERAGE('The List'!AG2:AG727))/STDEV('The List'!AG2:AG727)</f>
        <v>-0.56303410678762122</v>
      </c>
      <c r="U336" s="39">
        <f>(VLOOKUP($A336,'The List'!$B1:$AH727,33,FALSE)-AVERAGE('The List'!AH2:AH727))/STDEV('The List'!AH2:AH727)</f>
        <v>0.17662722191062349</v>
      </c>
      <c r="V336" s="39"/>
      <c r="W336" s="41"/>
      <c r="X336" s="39"/>
      <c r="Y336" s="39"/>
      <c r="Z336" s="39"/>
      <c r="AA336" s="39"/>
      <c r="AB336" s="39"/>
      <c r="AC336" s="39"/>
      <c r="AD336" s="39"/>
      <c r="AE336" s="39"/>
    </row>
    <row r="337" spans="1:31" ht="21.25" customHeight="1" x14ac:dyDescent="0.15">
      <c r="A337" s="8" t="s">
        <v>512</v>
      </c>
      <c r="B337" s="35" t="str">
        <f>VLOOKUP(A337,'Player Data'!A1:B734,2,FALSE)</f>
        <v>NYI</v>
      </c>
      <c r="C337" s="37">
        <f>((E337)*Settings!$C$12)+(F337*Settings!$C$2)+(G337*Settings!$C$3)+(H337*Settings!$C$4)+(I337*Settings!$C$5)+(K337*Settings!$C$9)+(N337*Settings!$C$6)+(J337*Settings!$C$8)+(O337*Settings!$C$7)+(P337*Settings!$C$14)+(Q337*Settings!$C$15)+(R337*Settings!$C$16)+(S337*Settings!$C$17)+(T337*Settings!$C$18)+(U337*Settings!$C$19)</f>
        <v>-1.5674070520509975</v>
      </c>
      <c r="D337" s="41">
        <f>IF(Settings!$E$12="YES",VLOOKUP(A337,'Player Data'!A1:E734,5,FALSE),82)</f>
        <v>70.692857142857093</v>
      </c>
      <c r="E337" s="39">
        <f>(VLOOKUP($A337,'The List'!$B1:$AH727,17,FALSE)-AVERAGE('The List'!R2:R727))/STDEV('The List'!R2:R727)</f>
        <v>-1.1860720734036947</v>
      </c>
      <c r="F337" s="39">
        <f>(VLOOKUP($A337,'The List'!$B1:$AH727,18,FALSE)-AVERAGE('The List'!S2:S727))/STDEV('The List'!S2:S727)</f>
        <v>-4.2706295739089177E-2</v>
      </c>
      <c r="G337" s="39">
        <f>(VLOOKUP($A337,'The List'!$B1:$AH727,19,FALSE)-AVERAGE('The List'!T2:T727))/STDEV('The List'!T2:T727)</f>
        <v>-0.59763412015419104</v>
      </c>
      <c r="H337" s="39">
        <f>(VLOOKUP($A337,'The List'!$B1:$AH727,20,FALSE)-AVERAGE('The List'!U2:U727))/STDEV('The List'!U2:U727)</f>
        <v>-0.38770168477714306</v>
      </c>
      <c r="I337" s="39">
        <f>(VLOOKUP($A337,'The List'!$B1:$AH727,21,FALSE)-AVERAGE('The List'!V2:V727))/STDEV('The List'!V2:V727)</f>
        <v>6.4207187346597633E-3</v>
      </c>
      <c r="J337" s="39">
        <f>(VLOOKUP($A337,'The List'!$B1:$AH727,22,FALSE)-AVERAGE('The List'!W2:W727))/STDEV('The List'!W2:W727)</f>
        <v>-5.3822281331700091E-2</v>
      </c>
      <c r="K337" s="39">
        <f>(VLOOKUP($A337,'The List'!$B1:$AH727,23,FALSE)-AVERAGE('The List'!X2:X727))/STDEV('The List'!X2:X727)</f>
        <v>-0.33062779107262819</v>
      </c>
      <c r="L337" s="39">
        <f>(VLOOKUP($A337,'The List'!$B1:$AH727,24,FALSE)-AVERAGE('The List'!Y2:Y727))/STDEV('The List'!Y2:Y727)</f>
        <v>-0.54356765602619683</v>
      </c>
      <c r="M337" s="39">
        <f>(VLOOKUP($A337,'The List'!$B1:$AH727,25,FALSE)-AVERAGE('The List'!Z2:Z727))/STDEV('The List'!Z2:Z727)</f>
        <v>-0.7232075011005662</v>
      </c>
      <c r="N337" s="39">
        <f>(VLOOKUP($A337,'The List'!$B1:$AH727,26,FALSE)-AVERAGE('The List'!AA2:AA727))/STDEV('The List'!AA2:AA727)</f>
        <v>-0.84866255976232707</v>
      </c>
      <c r="O337" s="39">
        <f>(VLOOKUP($A337,'The List'!$B1:$AH727,27,FALSE)-AVERAGE('The List'!AB2:AB727))/STDEV('The List'!AB2:AB727)</f>
        <v>0.1678433066316545</v>
      </c>
      <c r="P337" s="39">
        <f>(VLOOKUP($A337,'The List'!$B1:$AH727,28,FALSE)-AVERAGE('The List'!AC2:AC727))/STDEV('The List'!AC2:AC727)</f>
        <v>0.24580299594257815</v>
      </c>
      <c r="Q337" s="39">
        <f>(VLOOKUP($A337,'The List'!$B1:$AH727,29,FALSE)-AVERAGE('The List'!AD2:AD727))/STDEV('The List'!AD2:AD727)</f>
        <v>0.82612075297076237</v>
      </c>
      <c r="R337" s="39">
        <f>(VLOOKUP($A337,'The List'!$B1:$AH727,30,FALSE)-AVERAGE('The List'!AE2:AE727))/STDEV('The List'!AE2:AE727)</f>
        <v>7.0829585612155729E-2</v>
      </c>
      <c r="S337" s="39">
        <f>(VLOOKUP($A337,'The List'!$B1:$AH727,31,FALSE)-AVERAGE('The List'!AF2:AF727))/STDEV('The List'!AF2:AF727)</f>
        <v>-0.49835801006045288</v>
      </c>
      <c r="T337" s="39">
        <f>(VLOOKUP($A337,'The List'!$B1:$AH727,32,FALSE)-AVERAGE('The List'!AG2:AG727))/STDEV('The List'!AG2:AG727)</f>
        <v>-0.50900027321152841</v>
      </c>
      <c r="U337" s="39">
        <f>(VLOOKUP($A337,'The List'!$B1:$AH727,33,FALSE)-AVERAGE('The List'!AH2:AH727))/STDEV('The List'!AH2:AH727)</f>
        <v>0.58261921718552601</v>
      </c>
      <c r="V337" s="39"/>
      <c r="W337" s="41"/>
      <c r="X337" s="39"/>
      <c r="Y337" s="39"/>
      <c r="Z337" s="39"/>
      <c r="AA337" s="39"/>
      <c r="AB337" s="39"/>
      <c r="AC337" s="39"/>
      <c r="AD337" s="39"/>
      <c r="AE337" s="39"/>
    </row>
    <row r="338" spans="1:31" ht="21.25" customHeight="1" x14ac:dyDescent="0.15">
      <c r="A338" s="8" t="s">
        <v>492</v>
      </c>
      <c r="B338" s="35" t="str">
        <f>VLOOKUP(A338,'Player Data'!A1:B734,2,FALSE)</f>
        <v>MTL</v>
      </c>
      <c r="C338" s="37">
        <f>((E338)*Settings!$C$12)+(F338*Settings!$C$2)+(G338*Settings!$C$3)+(H338*Settings!$C$4)+(I338*Settings!$C$5)+(K338*Settings!$C$9)+(N338*Settings!$C$6)+(J338*Settings!$C$8)+(O338*Settings!$C$7)+(P338*Settings!$C$14)+(Q338*Settings!$C$15)+(R338*Settings!$C$16)+(S338*Settings!$C$17)+(T338*Settings!$C$18)+(U338*Settings!$C$19)</f>
        <v>-2.7337320285880811</v>
      </c>
      <c r="D338" s="41">
        <f>IF(Settings!$E$12="YES",VLOOKUP(A338,'Player Data'!A1:E734,5,FALSE),82)</f>
        <v>67.392499999999998</v>
      </c>
      <c r="E338" s="39">
        <f>(VLOOKUP($A338,'The List'!$B1:$AH727,17,FALSE)-AVERAGE('The List'!R2:R727))/STDEV('The List'!R2:R727)</f>
        <v>-0.75537505459969667</v>
      </c>
      <c r="F338" s="39">
        <f>(VLOOKUP($A338,'The List'!$B1:$AH727,18,FALSE)-AVERAGE('The List'!S2:S727))/STDEV('The List'!S2:S727)</f>
        <v>-0.18402925526305586</v>
      </c>
      <c r="G338" s="39">
        <f>(VLOOKUP($A338,'The List'!$B1:$AH727,19,FALSE)-AVERAGE('The List'!T2:T727))/STDEV('The List'!T2:T727)</f>
        <v>-0.58478633782756073</v>
      </c>
      <c r="H338" s="39">
        <f>(VLOOKUP($A338,'The List'!$B1:$AH727,20,FALSE)-AVERAGE('The List'!U2:U727))/STDEV('The List'!U2:U727)</f>
        <v>-0.44409555306549336</v>
      </c>
      <c r="I338" s="39">
        <f>(VLOOKUP($A338,'The List'!$B1:$AH727,21,FALSE)-AVERAGE('The List'!V2:V727))/STDEV('The List'!V2:V727)</f>
        <v>0.4149764886391476</v>
      </c>
      <c r="J338" s="39">
        <f>(VLOOKUP($A338,'The List'!$B1:$AH727,22,FALSE)-AVERAGE('The List'!W2:W727))/STDEV('The List'!W2:W727)</f>
        <v>-0.25893642831948815</v>
      </c>
      <c r="K338" s="39">
        <f>(VLOOKUP($A338,'The List'!$B1:$AH727,23,FALSE)-AVERAGE('The List'!X2:X727))/STDEV('The List'!X2:X727)</f>
        <v>-0.45623075031394711</v>
      </c>
      <c r="L338" s="39">
        <f>(VLOOKUP($A338,'The List'!$B1:$AH727,24,FALSE)-AVERAGE('The List'!Y2:Y727))/STDEV('The List'!Y2:Y727)</f>
        <v>-0.53932569561191568</v>
      </c>
      <c r="M338" s="39">
        <f>(VLOOKUP($A338,'The List'!$B1:$AH727,25,FALSE)-AVERAGE('The List'!Z2:Z727))/STDEV('The List'!Z2:Z727)</f>
        <v>-0.71838731269427247</v>
      </c>
      <c r="N338" s="39">
        <f>(VLOOKUP($A338,'The List'!$B1:$AH727,26,FALSE)-AVERAGE('The List'!AA2:AA727))/STDEV('The List'!AA2:AA727)</f>
        <v>-0.80226773000624474</v>
      </c>
      <c r="O338" s="39">
        <f>(VLOOKUP($A338,'The List'!$B1:$AH727,27,FALSE)-AVERAGE('The List'!AB2:AB727))/STDEV('The List'!AB2:AB727)</f>
        <v>-0.83733318024729508</v>
      </c>
      <c r="P338" s="39">
        <f>(VLOOKUP($A338,'The List'!$B1:$AH727,28,FALSE)-AVERAGE('The List'!AC2:AC727))/STDEV('The List'!AC2:AC727)</f>
        <v>-1.1213944438164203</v>
      </c>
      <c r="Q338" s="39">
        <f>(VLOOKUP($A338,'The List'!$B1:$AH727,29,FALSE)-AVERAGE('The List'!AD2:AD727))/STDEV('The List'!AD2:AD727)</f>
        <v>0.85025624867995908</v>
      </c>
      <c r="R338" s="39">
        <f>(VLOOKUP($A338,'The List'!$B1:$AH727,30,FALSE)-AVERAGE('The List'!AE2:AE727))/STDEV('The List'!AE2:AE727)</f>
        <v>-0.40644682986978964</v>
      </c>
      <c r="S338" s="39">
        <f>(VLOOKUP($A338,'The List'!$B1:$AH727,31,FALSE)-AVERAGE('The List'!AF2:AF727))/STDEV('The List'!AF2:AF727)</f>
        <v>-0.48438255559104293</v>
      </c>
      <c r="T338" s="39">
        <f>(VLOOKUP($A338,'The List'!$B1:$AH727,32,FALSE)-AVERAGE('The List'!AG2:AG727))/STDEV('The List'!AG2:AG727)</f>
        <v>-0.48590847889195693</v>
      </c>
      <c r="U338" s="39">
        <f>(VLOOKUP($A338,'The List'!$B1:$AH727,33,FALSE)-AVERAGE('The List'!AH2:AH727))/STDEV('The List'!AH2:AH727)</f>
        <v>0.5699729626254979</v>
      </c>
      <c r="V338" s="39"/>
      <c r="W338" s="43"/>
      <c r="X338" s="41"/>
      <c r="Y338" s="41"/>
      <c r="Z338" s="41"/>
      <c r="AA338" s="41"/>
      <c r="AB338" s="41"/>
      <c r="AC338" s="44"/>
      <c r="AD338" s="45"/>
      <c r="AE338" s="39"/>
    </row>
    <row r="339" spans="1:31" ht="21.25" customHeight="1" x14ac:dyDescent="0.15">
      <c r="A339" s="8" t="s">
        <v>621</v>
      </c>
      <c r="B339" s="35" t="str">
        <f>VLOOKUP(A339,'Player Data'!A1:B734,2,FALSE)</f>
        <v>VAN</v>
      </c>
      <c r="C339" s="37">
        <f>((E339)*Settings!$C$12)+(F339*Settings!$C$2)+(G339*Settings!$C$3)+(H339*Settings!$C$4)+(I339*Settings!$C$5)+(K339*Settings!$C$9)+(N339*Settings!$C$6)+(J339*Settings!$C$8)+(O339*Settings!$C$7)+(P339*Settings!$C$14)+(Q339*Settings!$C$15)+(R339*Settings!$C$16)+(S339*Settings!$C$17)+(T339*Settings!$C$18)+(U339*Settings!$C$19)</f>
        <v>-2.8629392580471</v>
      </c>
      <c r="D339" s="41">
        <f>IF(Settings!$E$12="YES",VLOOKUP(A339,'Player Data'!A1:E734,5,FALSE),82)</f>
        <v>57.8642857142857</v>
      </c>
      <c r="E339" s="39">
        <f>(VLOOKUP($A339,'The List'!$B1:$AH727,17,FALSE)-AVERAGE('The List'!R2:R727))/STDEV('The List'!R2:R727)</f>
        <v>-0.50739167865159773</v>
      </c>
      <c r="F339" s="39">
        <f>(VLOOKUP($A339,'The List'!$B1:$AH727,18,FALSE)-AVERAGE('The List'!S2:S727))/STDEV('The List'!S2:S727)</f>
        <v>-0.36763642996036527</v>
      </c>
      <c r="G339" s="39">
        <f>(VLOOKUP($A339,'The List'!$B1:$AH727,19,FALSE)-AVERAGE('The List'!T2:T727))/STDEV('The List'!T2:T727)</f>
        <v>-0.71763516776756997</v>
      </c>
      <c r="H339" s="39">
        <f>(VLOOKUP($A339,'The List'!$B1:$AH727,20,FALSE)-AVERAGE('The List'!U2:U727))/STDEV('The List'!U2:U727)</f>
        <v>-0.60951097929262221</v>
      </c>
      <c r="I339" s="39">
        <f>(VLOOKUP($A339,'The List'!$B1:$AH727,21,FALSE)-AVERAGE('The List'!V2:V727))/STDEV('The List'!V2:V727)</f>
        <v>-0.12526786425257733</v>
      </c>
      <c r="J339" s="39">
        <f>(VLOOKUP($A339,'The List'!$B1:$AH727,22,FALSE)-AVERAGE('The List'!W2:W727))/STDEV('The List'!W2:W727)</f>
        <v>-0.64291092506482517</v>
      </c>
      <c r="K339" s="39">
        <f>(VLOOKUP($A339,'The List'!$B1:$AH727,23,FALSE)-AVERAGE('The List'!X2:X727))/STDEV('The List'!X2:X727)</f>
        <v>-0.70579929744902392</v>
      </c>
      <c r="L339" s="39">
        <f>(VLOOKUP($A339,'The List'!$B1:$AH727,24,FALSE)-AVERAGE('The List'!Y2:Y727))/STDEV('The List'!Y2:Y727)</f>
        <v>-0.21451298594828183</v>
      </c>
      <c r="M339" s="39">
        <f>(VLOOKUP($A339,'The List'!$B1:$AH727,25,FALSE)-AVERAGE('The List'!Z2:Z727))/STDEV('The List'!Z2:Z727)</f>
        <v>0.61971757875286315</v>
      </c>
      <c r="N339" s="39">
        <f>(VLOOKUP($A339,'The List'!$B1:$AH727,26,FALSE)-AVERAGE('The List'!AA2:AA727))/STDEV('The List'!AA2:AA727)</f>
        <v>-0.90206524089872664</v>
      </c>
      <c r="O339" s="39">
        <f>(VLOOKUP($A339,'The List'!$B1:$AH727,27,FALSE)-AVERAGE('The List'!AB2:AB727))/STDEV('The List'!AB2:AB727)</f>
        <v>3.7412818304801428E-2</v>
      </c>
      <c r="P339" s="39">
        <f>(VLOOKUP($A339,'The List'!$B1:$AH727,28,FALSE)-AVERAGE('The List'!AC2:AC727))/STDEV('The List'!AC2:AC727)</f>
        <v>-4.4535257718837339E-2</v>
      </c>
      <c r="Q339" s="39">
        <f>(VLOOKUP($A339,'The List'!$B1:$AH727,29,FALSE)-AVERAGE('The List'!AD2:AD727))/STDEV('The List'!AD2:AD727)</f>
        <v>-0.42335386112756956</v>
      </c>
      <c r="R339" s="39">
        <f>(VLOOKUP($A339,'The List'!$B1:$AH727,30,FALSE)-AVERAGE('The List'!AE2:AE727))/STDEV('The List'!AE2:AE727)</f>
        <v>-0.33557877306606415</v>
      </c>
      <c r="S339" s="39">
        <f>(VLOOKUP($A339,'The List'!$B1:$AH727,31,FALSE)-AVERAGE('The List'!AF2:AF727))/STDEV('The List'!AF2:AF727)</f>
        <v>-0.54440329227265294</v>
      </c>
      <c r="T339" s="39">
        <f>(VLOOKUP($A339,'The List'!$B1:$AH727,32,FALSE)-AVERAGE('The List'!AG2:AG727))/STDEV('The List'!AG2:AG727)</f>
        <v>-0.56941676522704876</v>
      </c>
      <c r="U339" s="39">
        <f>(VLOOKUP($A339,'The List'!$B1:$AH727,33,FALSE)-AVERAGE('The List'!AH2:AH727))/STDEV('The List'!AH2:AH727)</f>
        <v>0.14509804364173576</v>
      </c>
      <c r="V339" s="39"/>
      <c r="W339" s="43"/>
      <c r="X339" s="41"/>
      <c r="Y339" s="41"/>
      <c r="Z339" s="41"/>
      <c r="AA339" s="41"/>
      <c r="AB339" s="41"/>
      <c r="AC339" s="44"/>
      <c r="AD339" s="45"/>
      <c r="AE339" s="39"/>
    </row>
    <row r="340" spans="1:31" ht="21.25" customHeight="1" x14ac:dyDescent="0.15">
      <c r="A340" s="8" t="s">
        <v>343</v>
      </c>
      <c r="B340" s="35" t="str">
        <f>VLOOKUP(A340,'Player Data'!A1:B734,2,FALSE)</f>
        <v>CAR</v>
      </c>
      <c r="C340" s="37">
        <f>((E340)*Settings!$C$12)+(F340*Settings!$C$2)+(G340*Settings!$C$3)+(H340*Settings!$C$4)+(I340*Settings!$C$5)+(K340*Settings!$C$9)+(N340*Settings!$C$6)+(J340*Settings!$C$8)+(O340*Settings!$C$7)+(P340*Settings!$C$14)+(Q340*Settings!$C$15)+(R340*Settings!$C$16)+(S340*Settings!$C$17)+(T340*Settings!$C$18)+(U340*Settings!$C$19)</f>
        <v>2.4545698423674187</v>
      </c>
      <c r="D340" s="41">
        <f>IF(Settings!$E$12="YES",VLOOKUP(A340,'Player Data'!A1:E734,5,FALSE),82)</f>
        <v>79.966785714285706</v>
      </c>
      <c r="E340" s="39">
        <f>(VLOOKUP($A340,'The List'!$B1:$AH727,17,FALSE)-AVERAGE('The List'!R2:R727))/STDEV('The List'!R2:R727)</f>
        <v>1.4610395263298432</v>
      </c>
      <c r="F340" s="39">
        <f>(VLOOKUP($A340,'The List'!$B1:$AH727,18,FALSE)-AVERAGE('The List'!S2:S727))/STDEV('The List'!S2:S727)</f>
        <v>-0.77301520048301253</v>
      </c>
      <c r="G340" s="39">
        <f>(VLOOKUP($A340,'The List'!$B1:$AH727,19,FALSE)-AVERAGE('The List'!T2:T727))/STDEV('The List'!T2:T727)</f>
        <v>0.19194473841299606</v>
      </c>
      <c r="H340" s="39">
        <f>(VLOOKUP($A340,'The List'!$B1:$AH727,20,FALSE)-AVERAGE('The List'!U2:U727))/STDEV('The List'!U2:U727)</f>
        <v>-0.23349217347196843</v>
      </c>
      <c r="I340" s="39">
        <f>(VLOOKUP($A340,'The List'!$B1:$AH727,21,FALSE)-AVERAGE('The List'!V2:V727))/STDEV('The List'!V2:V727)</f>
        <v>0.18389085751254966</v>
      </c>
      <c r="J340" s="39">
        <f>(VLOOKUP($A340,'The List'!$B1:$AH727,22,FALSE)-AVERAGE('The List'!W2:W727))/STDEV('The List'!W2:W727)</f>
        <v>-0.69592068127092321</v>
      </c>
      <c r="K340" s="39">
        <f>(VLOOKUP($A340,'The List'!$B1:$AH727,23,FALSE)-AVERAGE('The List'!X2:X727))/STDEV('The List'!X2:X727)</f>
        <v>-0.7619474913182005</v>
      </c>
      <c r="L340" s="39">
        <f>(VLOOKUP($A340,'The List'!$B1:$AH727,24,FALSE)-AVERAGE('The List'!Y2:Y727))/STDEV('The List'!Y2:Y727)</f>
        <v>-0.50428110342965304</v>
      </c>
      <c r="M340" s="39">
        <f>(VLOOKUP($A340,'The List'!$B1:$AH727,25,FALSE)-AVERAGE('The List'!Z2:Z727))/STDEV('The List'!Z2:Z727)</f>
        <v>0.6371496203236412</v>
      </c>
      <c r="N340" s="39">
        <f>(VLOOKUP($A340,'The List'!$B1:$AH727,26,FALSE)-AVERAGE('The List'!AA2:AA727))/STDEV('The List'!AA2:AA727)</f>
        <v>1.4508661365597399</v>
      </c>
      <c r="O340" s="39">
        <f>(VLOOKUP($A340,'The List'!$B1:$AH727,27,FALSE)-AVERAGE('The List'!AB2:AB727))/STDEV('The List'!AB2:AB727)</f>
        <v>-0.84719910754308125</v>
      </c>
      <c r="P340" s="39">
        <f>(VLOOKUP($A340,'The List'!$B1:$AH727,28,FALSE)-AVERAGE('The List'!AC2:AC727))/STDEV('The List'!AC2:AC727)</f>
        <v>2.162830801683346</v>
      </c>
      <c r="Q340" s="39">
        <f>(VLOOKUP($A340,'The List'!$B1:$AH727,29,FALSE)-AVERAGE('The List'!AD2:AD727))/STDEV('The List'!AD2:AD727)</f>
        <v>-1.3202990572533102</v>
      </c>
      <c r="R340" s="39">
        <f>(VLOOKUP($A340,'The List'!$B1:$AH727,30,FALSE)-AVERAGE('The List'!AE2:AE727))/STDEV('The List'!AE2:AE727)</f>
        <v>-0.58157652514157121</v>
      </c>
      <c r="S340" s="39">
        <f>(VLOOKUP($A340,'The List'!$B1:$AH727,31,FALSE)-AVERAGE('The List'!AF2:AF727))/STDEV('The List'!AF2:AF727)</f>
        <v>-0.55804314905918151</v>
      </c>
      <c r="T340" s="39">
        <f>(VLOOKUP($A340,'The List'!$B1:$AH727,32,FALSE)-AVERAGE('The List'!AG2:AG727))/STDEV('The List'!AG2:AG727)</f>
        <v>-0.60188453558131205</v>
      </c>
      <c r="U340" s="39">
        <f>(VLOOKUP($A340,'The List'!$B1:$AH727,33,FALSE)-AVERAGE('The List'!AH2:AH727))/STDEV('The List'!AH2:AH727)</f>
        <v>-1.2395873372913611</v>
      </c>
      <c r="V340" s="39"/>
      <c r="W340" s="43"/>
      <c r="X340" s="41"/>
      <c r="Y340" s="41"/>
      <c r="Z340" s="41"/>
      <c r="AA340" s="41"/>
      <c r="AB340" s="41"/>
      <c r="AC340" s="44"/>
      <c r="AD340" s="45"/>
      <c r="AE340" s="39"/>
    </row>
    <row r="341" spans="1:31" ht="21.25" customHeight="1" x14ac:dyDescent="0.15">
      <c r="A341" s="8" t="s">
        <v>476</v>
      </c>
      <c r="B341" s="35" t="str">
        <f>VLOOKUP(A341,'Player Data'!A1:B734,2,FALSE)</f>
        <v>DAL</v>
      </c>
      <c r="C341" s="37">
        <f>((E341)*Settings!$C$12)+(F341*Settings!$C$2)+(G341*Settings!$C$3)+(H341*Settings!$C$4)+(I341*Settings!$C$5)+(K341*Settings!$C$9)+(N341*Settings!$C$6)+(J341*Settings!$C$8)+(O341*Settings!$C$7)+(P341*Settings!$C$14)+(Q341*Settings!$C$15)+(R341*Settings!$C$16)+(S341*Settings!$C$17)+(T341*Settings!$C$18)+(U341*Settings!$C$19)</f>
        <v>-0.35582202922903905</v>
      </c>
      <c r="D341" s="41">
        <f>IF(Settings!$E$12="YES",VLOOKUP(A341,'Player Data'!A1:E734,5,FALSE),82)</f>
        <v>79.736071428571407</v>
      </c>
      <c r="E341" s="39">
        <f>(VLOOKUP($A341,'The List'!$B1:$AH727,17,FALSE)-AVERAGE('The List'!R2:R727))/STDEV('The List'!R2:R727)</f>
        <v>-0.73905795887444825</v>
      </c>
      <c r="F341" s="39">
        <f>(VLOOKUP($A341,'The List'!$B1:$AH727,18,FALSE)-AVERAGE('The List'!S2:S727))/STDEV('The List'!S2:S727)</f>
        <v>-0.26558007997601824</v>
      </c>
      <c r="G341" s="39">
        <f>(VLOOKUP($A341,'The List'!$B1:$AH727,19,FALSE)-AVERAGE('The List'!T2:T727))/STDEV('The List'!T2:T727)</f>
        <v>-0.19243856406533996</v>
      </c>
      <c r="H341" s="39">
        <f>(VLOOKUP($A341,'The List'!$B1:$AH727,20,FALSE)-AVERAGE('The List'!U2:U727))/STDEV('The List'!U2:U727)</f>
        <v>-0.23943797056084568</v>
      </c>
      <c r="I341" s="39">
        <f>(VLOOKUP($A341,'The List'!$B1:$AH727,21,FALSE)-AVERAGE('The List'!V2:V727))/STDEV('The List'!V2:V727)</f>
        <v>-0.14871150690086457</v>
      </c>
      <c r="J341" s="39">
        <f>(VLOOKUP($A341,'The List'!$B1:$AH727,22,FALSE)-AVERAGE('The List'!W2:W727))/STDEV('The List'!W2:W727)</f>
        <v>-0.31563708053008865</v>
      </c>
      <c r="K341" s="39">
        <f>(VLOOKUP($A341,'The List'!$B1:$AH727,23,FALSE)-AVERAGE('The List'!X2:X727))/STDEV('The List'!X2:X727)</f>
        <v>-0.24053412469994545</v>
      </c>
      <c r="L341" s="39">
        <f>(VLOOKUP($A341,'The List'!$B1:$AH727,24,FALSE)-AVERAGE('The List'!Y2:Y727))/STDEV('The List'!Y2:Y727)</f>
        <v>-0.40871503918761865</v>
      </c>
      <c r="M341" s="39">
        <f>(VLOOKUP($A341,'The List'!$B1:$AH727,25,FALSE)-AVERAGE('The List'!Z2:Z727))/STDEV('The List'!Z2:Z727)</f>
        <v>-0.56514050017973227</v>
      </c>
      <c r="N341" s="39">
        <f>(VLOOKUP($A341,'The List'!$B1:$AH727,26,FALSE)-AVERAGE('The List'!AA2:AA727))/STDEV('The List'!AA2:AA727)</f>
        <v>-0.55580348228873577</v>
      </c>
      <c r="O341" s="39">
        <f>(VLOOKUP($A341,'The List'!$B1:$AH727,27,FALSE)-AVERAGE('The List'!AB2:AB727))/STDEV('The List'!AB2:AB727)</f>
        <v>-0.85283128845840417</v>
      </c>
      <c r="P341" s="39">
        <f>(VLOOKUP($A341,'The List'!$B1:$AH727,28,FALSE)-AVERAGE('The List'!AC2:AC727))/STDEV('The List'!AC2:AC727)</f>
        <v>1.0472457287018648</v>
      </c>
      <c r="Q341" s="39">
        <f>(VLOOKUP($A341,'The List'!$B1:$AH727,29,FALSE)-AVERAGE('The List'!AD2:AD727))/STDEV('The List'!AD2:AD727)</f>
        <v>-0.99071157919586206</v>
      </c>
      <c r="R341" s="39">
        <f>(VLOOKUP($A341,'The List'!$B1:$AH727,30,FALSE)-AVERAGE('The List'!AE2:AE727))/STDEV('The List'!AE2:AE727)</f>
        <v>-0.1173773788996753</v>
      </c>
      <c r="S341" s="39">
        <f>(VLOOKUP($A341,'The List'!$B1:$AH727,31,FALSE)-AVERAGE('The List'!AF2:AF727))/STDEV('The List'!AF2:AF727)</f>
        <v>-0.55203124112652269</v>
      </c>
      <c r="T341" s="39">
        <f>(VLOOKUP($A341,'The List'!$B1:$AH727,32,FALSE)-AVERAGE('The List'!AG2:AG727))/STDEV('The List'!AG2:AG727)</f>
        <v>-0.5734436186801295</v>
      </c>
      <c r="U341" s="39">
        <f>(VLOOKUP($A341,'The List'!$B1:$AH727,33,FALSE)-AVERAGE('The List'!AH2:AH727))/STDEV('The List'!AH2:AH727)</f>
        <v>-0.41770919686143448</v>
      </c>
      <c r="V341" s="39"/>
      <c r="W341" s="43"/>
      <c r="X341" s="41"/>
      <c r="Y341" s="41"/>
      <c r="Z341" s="41"/>
      <c r="AA341" s="41"/>
      <c r="AB341" s="41"/>
      <c r="AC341" s="44"/>
      <c r="AD341" s="45"/>
      <c r="AE341" s="39"/>
    </row>
    <row r="342" spans="1:31" ht="21.25" customHeight="1" x14ac:dyDescent="0.15">
      <c r="A342" s="8" t="s">
        <v>564</v>
      </c>
      <c r="B342" s="35" t="str">
        <f>VLOOKUP(A342,'Player Data'!A1:B734,2,FALSE)</f>
        <v>UFA</v>
      </c>
      <c r="C342" s="37">
        <f>((E342)*Settings!$C$12)+(F342*Settings!$C$2)+(G342*Settings!$C$3)+(H342*Settings!$C$4)+(I342*Settings!$C$5)+(K342*Settings!$C$9)+(N342*Settings!$C$6)+(J342*Settings!$C$8)+(O342*Settings!$C$7)+(P342*Settings!$C$14)+(Q342*Settings!$C$15)+(R342*Settings!$C$16)+(S342*Settings!$C$17)+(T342*Settings!$C$18)+(U342*Settings!$C$19)</f>
        <v>-2.7549923875667526</v>
      </c>
      <c r="D342" s="41">
        <f>IF(Settings!$E$12="YES",VLOOKUP(A342,'Player Data'!A1:E734,5,FALSE),82)</f>
        <v>77.442142857142898</v>
      </c>
      <c r="E342" s="39">
        <f>(VLOOKUP($A342,'The List'!$B1:$AH727,17,FALSE)-AVERAGE('The List'!R2:R727))/STDEV('The List'!R2:R727)</f>
        <v>-0.90202107461215586</v>
      </c>
      <c r="F342" s="39">
        <f>(VLOOKUP($A342,'The List'!$B1:$AH727,18,FALSE)-AVERAGE('The List'!S2:S727))/STDEV('The List'!S2:S727)</f>
        <v>-0.3791646028996134</v>
      </c>
      <c r="G342" s="39">
        <f>(VLOOKUP($A342,'The List'!$B1:$AH727,19,FALSE)-AVERAGE('The List'!T2:T727))/STDEV('The List'!T2:T727)</f>
        <v>-0.17707734825119933</v>
      </c>
      <c r="H342" s="39">
        <f>(VLOOKUP($A342,'The List'!$B1:$AH727,20,FALSE)-AVERAGE('The List'!U2:U727))/STDEV('The List'!U2:U727)</f>
        <v>-0.2816603135671733</v>
      </c>
      <c r="I342" s="39">
        <f>(VLOOKUP($A342,'The List'!$B1:$AH727,21,FALSE)-AVERAGE('The List'!V2:V727))/STDEV('The List'!V2:V727)</f>
        <v>-0.80049731646856315</v>
      </c>
      <c r="J342" s="39">
        <f>(VLOOKUP($A342,'The List'!$B1:$AH727,22,FALSE)-AVERAGE('The List'!W2:W727))/STDEV('The List'!W2:W727)</f>
        <v>-0.55648684430752404</v>
      </c>
      <c r="K342" s="39">
        <f>(VLOOKUP($A342,'The List'!$B1:$AH727,23,FALSE)-AVERAGE('The List'!X2:X727))/STDEV('The List'!X2:X727)</f>
        <v>-0.35860976392376198</v>
      </c>
      <c r="L342" s="39">
        <f>(VLOOKUP($A342,'The List'!$B1:$AH727,24,FALSE)-AVERAGE('The List'!Y2:Y727))/STDEV('The List'!Y2:Y727)</f>
        <v>-0.54402834717551152</v>
      </c>
      <c r="M342" s="39">
        <f>(VLOOKUP($A342,'The List'!$B1:$AH727,25,FALSE)-AVERAGE('The List'!Z2:Z727))/STDEV('The List'!Z2:Z727)</f>
        <v>-0.72372514007823274</v>
      </c>
      <c r="N342" s="39">
        <f>(VLOOKUP($A342,'The List'!$B1:$AH727,26,FALSE)-AVERAGE('The List'!AA2:AA727))/STDEV('The List'!AA2:AA727)</f>
        <v>-0.81132500042307987</v>
      </c>
      <c r="O342" s="39">
        <f>(VLOOKUP($A342,'The List'!$B1:$AH727,27,FALSE)-AVERAGE('The List'!AB2:AB727))/STDEV('The List'!AB2:AB727)</f>
        <v>-1.3575263786283005</v>
      </c>
      <c r="P342" s="39">
        <f>(VLOOKUP($A342,'The List'!$B1:$AH727,28,FALSE)-AVERAGE('The List'!AC2:AC727))/STDEV('The List'!AC2:AC727)</f>
        <v>-0.22831835560053476</v>
      </c>
      <c r="Q342" s="39">
        <f>(VLOOKUP($A342,'The List'!$B1:$AH727,29,FALSE)-AVERAGE('The List'!AD2:AD727))/STDEV('The List'!AD2:AD727)</f>
        <v>-1.6557627848656253</v>
      </c>
      <c r="R342" s="39">
        <f>(VLOOKUP($A342,'The List'!$B1:$AH727,30,FALSE)-AVERAGE('The List'!AE2:AE727))/STDEV('The List'!AE2:AE727)</f>
        <v>-1.1921764565772743</v>
      </c>
      <c r="S342" s="39">
        <f>(VLOOKUP($A342,'The List'!$B1:$AH727,31,FALSE)-AVERAGE('The List'!AF2:AF727))/STDEV('The List'!AF2:AF727)</f>
        <v>-0.37692464648238666</v>
      </c>
      <c r="T342" s="39">
        <f>(VLOOKUP($A342,'The List'!$B1:$AH727,32,FALSE)-AVERAGE('The List'!AG2:AG727))/STDEV('The List'!AG2:AG727)</f>
        <v>-0.32856539434528259</v>
      </c>
      <c r="U342" s="39">
        <f>(VLOOKUP($A342,'The List'!$B1:$AH727,33,FALSE)-AVERAGE('The List'!AH2:AH727))/STDEV('The List'!AH2:AH727)</f>
        <v>0.61618482003053221</v>
      </c>
      <c r="V342" s="39"/>
      <c r="W342" s="41"/>
      <c r="X342" s="39"/>
      <c r="Y342" s="39"/>
      <c r="Z342" s="39"/>
      <c r="AA342" s="39"/>
      <c r="AB342" s="39"/>
      <c r="AC342" s="39"/>
      <c r="AD342" s="39"/>
      <c r="AE342" s="39"/>
    </row>
    <row r="343" spans="1:31" ht="21.25" customHeight="1" x14ac:dyDescent="0.15">
      <c r="A343" s="8" t="s">
        <v>642</v>
      </c>
      <c r="B343" s="35" t="str">
        <f>VLOOKUP(A343,'Player Data'!A1:B734,2,FALSE)</f>
        <v>SJS</v>
      </c>
      <c r="C343" s="37">
        <f>((E343)*Settings!$C$12)+(F343*Settings!$C$2)+(G343*Settings!$C$3)+(H343*Settings!$C$4)+(I343*Settings!$C$5)+(K343*Settings!$C$9)+(N343*Settings!$C$6)+(J343*Settings!$C$8)+(O343*Settings!$C$7)+(P343*Settings!$C$14)+(Q343*Settings!$C$15)+(R343*Settings!$C$16)+(S343*Settings!$C$17)+(T343*Settings!$C$18)+(U343*Settings!$C$19)</f>
        <v>-1.6767101652348191</v>
      </c>
      <c r="D343" s="41">
        <f>IF(Settings!$E$12="YES",VLOOKUP(A343,'Player Data'!A1:E734,5,FALSE),82)</f>
        <v>70.341785714285706</v>
      </c>
      <c r="E343" s="39">
        <f>(VLOOKUP($A343,'The List'!$B1:$AH727,17,FALSE)-AVERAGE('The List'!R2:R727))/STDEV('The List'!R2:R727)</f>
        <v>-0.29833312967828357</v>
      </c>
      <c r="F343" s="39">
        <f>(VLOOKUP($A343,'The List'!$B1:$AH727,18,FALSE)-AVERAGE('The List'!S2:S727))/STDEV('The List'!S2:S727)</f>
        <v>-3.2981441636805414E-2</v>
      </c>
      <c r="G343" s="39">
        <f>(VLOOKUP($A343,'The List'!$B1:$AH727,19,FALSE)-AVERAGE('The List'!T2:T727))/STDEV('The List'!T2:T727)</f>
        <v>-0.63360775890555232</v>
      </c>
      <c r="H343" s="39">
        <f>(VLOOKUP($A343,'The List'!$B1:$AH727,20,FALSE)-AVERAGE('The List'!U2:U727))/STDEV('The List'!U2:U727)</f>
        <v>-0.40544355505594576</v>
      </c>
      <c r="I343" s="39">
        <f>(VLOOKUP($A343,'The List'!$B1:$AH727,21,FALSE)-AVERAGE('The List'!V2:V727))/STDEV('The List'!V2:V727)</f>
        <v>-0.10675670976578057</v>
      </c>
      <c r="J343" s="39">
        <f>(VLOOKUP($A343,'The List'!$B1:$AH727,22,FALSE)-AVERAGE('The List'!W2:W727))/STDEV('The List'!W2:W727)</f>
        <v>-0.33047091409277057</v>
      </c>
      <c r="K343" s="39">
        <f>(VLOOKUP($A343,'The List'!$B1:$AH727,23,FALSE)-AVERAGE('The List'!X2:X727))/STDEV('The List'!X2:X727)</f>
        <v>-0.42307278033095003</v>
      </c>
      <c r="L343" s="39">
        <f>(VLOOKUP($A343,'The List'!$B1:$AH727,24,FALSE)-AVERAGE('The List'!Y2:Y727))/STDEV('The List'!Y2:Y727)</f>
        <v>-9.2520544641198368E-2</v>
      </c>
      <c r="M343" s="39">
        <f>(VLOOKUP($A343,'The List'!$B1:$AH727,25,FALSE)-AVERAGE('The List'!Z2:Z727))/STDEV('The List'!Z2:Z727)</f>
        <v>-0.25128426359943701</v>
      </c>
      <c r="N343" s="39">
        <f>(VLOOKUP($A343,'The List'!$B1:$AH727,26,FALSE)-AVERAGE('The List'!AA2:AA727))/STDEV('The List'!AA2:AA727)</f>
        <v>-0.16878676080716137</v>
      </c>
      <c r="O343" s="39">
        <f>(VLOOKUP($A343,'The List'!$B1:$AH727,27,FALSE)-AVERAGE('The List'!AB2:AB727))/STDEV('The List'!AB2:AB727)</f>
        <v>1.3399001940061743</v>
      </c>
      <c r="P343" s="39">
        <f>(VLOOKUP($A343,'The List'!$B1:$AH727,28,FALSE)-AVERAGE('The List'!AC2:AC727))/STDEV('The List'!AC2:AC727)</f>
        <v>-0.31150471378856931</v>
      </c>
      <c r="Q343" s="39">
        <f>(VLOOKUP($A343,'The List'!$B1:$AH727,29,FALSE)-AVERAGE('The List'!AD2:AD727))/STDEV('The List'!AD2:AD727)</f>
        <v>1.7033561963109054</v>
      </c>
      <c r="R343" s="39">
        <f>(VLOOKUP($A343,'The List'!$B1:$AH727,30,FALSE)-AVERAGE('The List'!AE2:AE727))/STDEV('The List'!AE2:AE727)</f>
        <v>-0.19200559312417192</v>
      </c>
      <c r="S343" s="39">
        <f>(VLOOKUP($A343,'The List'!$B1:$AH727,31,FALSE)-AVERAGE('The List'!AF2:AF727))/STDEV('The List'!AF2:AF727)</f>
        <v>-0.4407374749040483</v>
      </c>
      <c r="T343" s="39">
        <f>(VLOOKUP($A343,'The List'!$B1:$AH727,32,FALSE)-AVERAGE('The List'!AG2:AG727))/STDEV('The List'!AG2:AG727)</f>
        <v>-0.42756496873552191</v>
      </c>
      <c r="U343" s="39">
        <f>(VLOOKUP($A343,'The List'!$B1:$AH727,33,FALSE)-AVERAGE('The List'!AH2:AH727))/STDEV('The List'!AH2:AH727)</f>
        <v>0.63302716132271464</v>
      </c>
      <c r="V343" s="39"/>
      <c r="W343" s="41"/>
      <c r="X343" s="39"/>
      <c r="Y343" s="39"/>
      <c r="Z343" s="39"/>
      <c r="AA343" s="39"/>
      <c r="AB343" s="39"/>
      <c r="AC343" s="39"/>
      <c r="AD343" s="39"/>
      <c r="AE343" s="39"/>
    </row>
    <row r="344" spans="1:31" ht="21.25" customHeight="1" x14ac:dyDescent="0.15">
      <c r="A344" s="8" t="s">
        <v>339</v>
      </c>
      <c r="B344" s="35" t="str">
        <f>VLOOKUP(A344,'Player Data'!A1:B734,2,FALSE)</f>
        <v>CAR</v>
      </c>
      <c r="C344" s="37">
        <f>((E344)*Settings!$C$12)+(F344*Settings!$C$2)+(G344*Settings!$C$3)+(H344*Settings!$C$4)+(I344*Settings!$C$5)+(K344*Settings!$C$9)+(N344*Settings!$C$6)+(J344*Settings!$C$8)+(O344*Settings!$C$7)+(P344*Settings!$C$14)+(Q344*Settings!$C$15)+(R344*Settings!$C$16)+(S344*Settings!$C$17)+(T344*Settings!$C$18)+(U344*Settings!$C$19)</f>
        <v>2.0864526127506249</v>
      </c>
      <c r="D344" s="41">
        <f>IF(Settings!$E$12="YES",VLOOKUP(A344,'Player Data'!A1:E734,5,FALSE),82)</f>
        <v>80.233571428571395</v>
      </c>
      <c r="E344" s="39">
        <f>(VLOOKUP($A344,'The List'!$B1:$AH727,17,FALSE)-AVERAGE('The List'!R2:R727))/STDEV('The List'!R2:R727)</f>
        <v>1.3111786310024665</v>
      </c>
      <c r="F344" s="39">
        <f>(VLOOKUP($A344,'The List'!$B1:$AH727,18,FALSE)-AVERAGE('The List'!S2:S727))/STDEV('The List'!S2:S727)</f>
        <v>-0.71736125705342957</v>
      </c>
      <c r="G344" s="39">
        <f>(VLOOKUP($A344,'The List'!$B1:$AH727,19,FALSE)-AVERAGE('The List'!T2:T727))/STDEV('The List'!T2:T727)</f>
        <v>0.13966891584521879</v>
      </c>
      <c r="H344" s="39">
        <f>(VLOOKUP($A344,'The List'!$B1:$AH727,20,FALSE)-AVERAGE('The List'!U2:U727))/STDEV('The List'!U2:U727)</f>
        <v>-0.24037898980874606</v>
      </c>
      <c r="I344" s="39">
        <f>(VLOOKUP($A344,'The List'!$B1:$AH727,21,FALSE)-AVERAGE('The List'!V2:V727))/STDEV('The List'!V2:V727)</f>
        <v>0.17496274418625093</v>
      </c>
      <c r="J344" s="39">
        <f>(VLOOKUP($A344,'The List'!$B1:$AH727,22,FALSE)-AVERAGE('The List'!W2:W727))/STDEV('The List'!W2:W727)</f>
        <v>-0.55952416136603</v>
      </c>
      <c r="K344" s="39">
        <f>(VLOOKUP($A344,'The List'!$B1:$AH727,23,FALSE)-AVERAGE('The List'!X2:X727))/STDEV('The List'!X2:X727)</f>
        <v>-0.54748994769095616</v>
      </c>
      <c r="L344" s="39">
        <f>(VLOOKUP($A344,'The List'!$B1:$AH727,24,FALSE)-AVERAGE('The List'!Y2:Y727))/STDEV('The List'!Y2:Y727)</f>
        <v>-0.5056088516689613</v>
      </c>
      <c r="M344" s="39">
        <f>(VLOOKUP($A344,'The List'!$B1:$AH727,25,FALSE)-AVERAGE('The List'!Z2:Z727))/STDEV('The List'!Z2:Z727)</f>
        <v>0.34776520788199672</v>
      </c>
      <c r="N344" s="39">
        <f>(VLOOKUP($A344,'The List'!$B1:$AH727,26,FALSE)-AVERAGE('The List'!AA2:AA727))/STDEV('The List'!AA2:AA727)</f>
        <v>1.3511057332374399</v>
      </c>
      <c r="O344" s="39">
        <f>(VLOOKUP($A344,'The List'!$B1:$AH727,27,FALSE)-AVERAGE('The List'!AB2:AB727))/STDEV('The List'!AB2:AB727)</f>
        <v>-0.92600996328732488</v>
      </c>
      <c r="P344" s="39">
        <f>(VLOOKUP($A344,'The List'!$B1:$AH727,28,FALSE)-AVERAGE('The List'!AC2:AC727))/STDEV('The List'!AC2:AC727)</f>
        <v>1.6855664242261008</v>
      </c>
      <c r="Q344" s="39">
        <f>(VLOOKUP($A344,'The List'!$B1:$AH727,29,FALSE)-AVERAGE('The List'!AD2:AD727))/STDEV('The List'!AD2:AD727)</f>
        <v>9.8906482643056653E-2</v>
      </c>
      <c r="R344" s="39">
        <f>(VLOOKUP($A344,'The List'!$B1:$AH727,30,FALSE)-AVERAGE('The List'!AE2:AE727))/STDEV('The List'!AE2:AE727)</f>
        <v>-0.5163491829268757</v>
      </c>
      <c r="S344" s="39">
        <f>(VLOOKUP($A344,'The List'!$B1:$AH727,31,FALSE)-AVERAGE('The List'!AF2:AF727))/STDEV('The List'!AF2:AF727)</f>
        <v>-0.55804314905918151</v>
      </c>
      <c r="T344" s="39">
        <f>(VLOOKUP($A344,'The List'!$B1:$AH727,32,FALSE)-AVERAGE('The List'!AG2:AG727))/STDEV('The List'!AG2:AG727)</f>
        <v>-0.60188453558131205</v>
      </c>
      <c r="U344" s="39">
        <f>(VLOOKUP($A344,'The List'!$B1:$AH727,33,FALSE)-AVERAGE('The List'!AH2:AH727))/STDEV('The List'!AH2:AH727)</f>
        <v>-1.2395873372913611</v>
      </c>
      <c r="V344" s="39"/>
      <c r="W344" s="41"/>
      <c r="X344" s="39"/>
      <c r="Y344" s="39"/>
      <c r="Z344" s="39"/>
      <c r="AA344" s="39"/>
      <c r="AB344" s="39"/>
      <c r="AC344" s="39"/>
      <c r="AD344" s="39"/>
      <c r="AE344" s="39"/>
    </row>
    <row r="345" spans="1:31" ht="21.25" customHeight="1" x14ac:dyDescent="0.15">
      <c r="A345" s="8" t="s">
        <v>637</v>
      </c>
      <c r="B345" s="35" t="str">
        <f>VLOOKUP(A345,'Player Data'!A1:B734,2,FALSE)</f>
        <v>CBJ</v>
      </c>
      <c r="C345" s="37">
        <f>((E345)*Settings!$C$12)+(F345*Settings!$C$2)+(G345*Settings!$C$3)+(H345*Settings!$C$4)+(I345*Settings!$C$5)+(K345*Settings!$C$9)+(N345*Settings!$C$6)+(J345*Settings!$C$8)+(O345*Settings!$C$7)+(P345*Settings!$C$14)+(Q345*Settings!$C$15)+(R345*Settings!$C$16)+(S345*Settings!$C$17)+(T345*Settings!$C$18)+(U345*Settings!$C$19)</f>
        <v>-4.0892529606186692</v>
      </c>
      <c r="D345" s="41">
        <f>IF(Settings!$E$12="YES",VLOOKUP(A345,'Player Data'!A1:E734,5,FALSE),82)</f>
        <v>72.12</v>
      </c>
      <c r="E345" s="39">
        <f>(VLOOKUP($A345,'The List'!$B1:$AH727,17,FALSE)-AVERAGE('The List'!R2:R727))/STDEV('The List'!R2:R727)</f>
        <v>-1.282883722099424</v>
      </c>
      <c r="F345" s="39">
        <f>(VLOOKUP($A345,'The List'!$B1:$AH727,18,FALSE)-AVERAGE('The List'!S2:S727))/STDEV('The List'!S2:S727)</f>
        <v>-5.3989566203459301E-2</v>
      </c>
      <c r="G345" s="39">
        <f>(VLOOKUP($A345,'The List'!$B1:$AH727,19,FALSE)-AVERAGE('The List'!T2:T727))/STDEV('The List'!T2:T727)</f>
        <v>-0.57621340876617899</v>
      </c>
      <c r="H345" s="39">
        <f>(VLOOKUP($A345,'The List'!$B1:$AH727,20,FALSE)-AVERAGE('The List'!U2:U727))/STDEV('The List'!U2:U727)</f>
        <v>-0.37963663930672353</v>
      </c>
      <c r="I345" s="39">
        <f>(VLOOKUP($A345,'The List'!$B1:$AH727,21,FALSE)-AVERAGE('The List'!V2:V727))/STDEV('The List'!V2:V727)</f>
        <v>-0.68721481990888966</v>
      </c>
      <c r="J345" s="39">
        <f>(VLOOKUP($A345,'The List'!$B1:$AH727,22,FALSE)-AVERAGE('The List'!W2:W727))/STDEV('The List'!W2:W727)</f>
        <v>-0.64866329653484578</v>
      </c>
      <c r="K345" s="39">
        <f>(VLOOKUP($A345,'The List'!$B1:$AH727,23,FALSE)-AVERAGE('The List'!X2:X727))/STDEV('The List'!X2:X727)</f>
        <v>-0.7397016847078014</v>
      </c>
      <c r="L345" s="39">
        <f>(VLOOKUP($A345,'The List'!$B1:$AH727,24,FALSE)-AVERAGE('The List'!Y2:Y727))/STDEV('The List'!Y2:Y727)</f>
        <v>-0.54402834717551152</v>
      </c>
      <c r="M345" s="39">
        <f>(VLOOKUP($A345,'The List'!$B1:$AH727,25,FALSE)-AVERAGE('The List'!Z2:Z727))/STDEV('The List'!Z2:Z727)</f>
        <v>-0.72372514007823274</v>
      </c>
      <c r="N345" s="39">
        <f>(VLOOKUP($A345,'The List'!$B1:$AH727,26,FALSE)-AVERAGE('The List'!AA2:AA727))/STDEV('The List'!AA2:AA727)</f>
        <v>-0.90317432014001053</v>
      </c>
      <c r="O345" s="39">
        <f>(VLOOKUP($A345,'The List'!$B1:$AH727,27,FALSE)-AVERAGE('The List'!AB2:AB727))/STDEV('The List'!AB2:AB727)</f>
        <v>-0.65354669890453398</v>
      </c>
      <c r="P345" s="39">
        <f>(VLOOKUP($A345,'The List'!$B1:$AH727,28,FALSE)-AVERAGE('The List'!AC2:AC727))/STDEV('The List'!AC2:AC727)</f>
        <v>-1.1289591608923297</v>
      </c>
      <c r="Q345" s="39">
        <f>(VLOOKUP($A345,'The List'!$B1:$AH727,29,FALSE)-AVERAGE('The List'!AD2:AD727))/STDEV('The List'!AD2:AD727)</f>
        <v>-2.2035150062588813</v>
      </c>
      <c r="R345" s="39">
        <f>(VLOOKUP($A345,'The List'!$B1:$AH727,30,FALSE)-AVERAGE('The List'!AE2:AE727))/STDEV('The List'!AE2:AE727)</f>
        <v>-0.32421255785994252</v>
      </c>
      <c r="S345" s="39">
        <f>(VLOOKUP($A345,'The List'!$B1:$AH727,31,FALSE)-AVERAGE('The List'!AF2:AF727))/STDEV('The List'!AF2:AF727)</f>
        <v>-8.9837220247818247E-2</v>
      </c>
      <c r="T345" s="39">
        <f>(VLOOKUP($A345,'The List'!$B1:$AH727,32,FALSE)-AVERAGE('The List'!AG2:AG727))/STDEV('The List'!AG2:AG727)</f>
        <v>0.29179599782743765</v>
      </c>
      <c r="U345" s="39">
        <f>(VLOOKUP($A345,'The List'!$B1:$AH727,33,FALSE)-AVERAGE('The List'!AH2:AH727))/STDEV('The List'!AH2:AH727)</f>
        <v>0.36567118351358274</v>
      </c>
      <c r="V345" s="39"/>
      <c r="W345" s="43"/>
      <c r="X345" s="41"/>
      <c r="Y345" s="41"/>
      <c r="Z345" s="41"/>
      <c r="AA345" s="41"/>
      <c r="AB345" s="41"/>
      <c r="AC345" s="44"/>
      <c r="AD345" s="45"/>
      <c r="AE345" s="39"/>
    </row>
    <row r="346" spans="1:31" ht="21.25" customHeight="1" x14ac:dyDescent="0.15">
      <c r="A346" s="8" t="s">
        <v>634</v>
      </c>
      <c r="B346" s="35" t="str">
        <f>VLOOKUP(A346,'Player Data'!A1:B734,2,FALSE)</f>
        <v>CGY</v>
      </c>
      <c r="C346" s="37">
        <f>((E346)*Settings!$C$12)+(F346*Settings!$C$2)+(G346*Settings!$C$3)+(H346*Settings!$C$4)+(I346*Settings!$C$5)+(K346*Settings!$C$9)+(N346*Settings!$C$6)+(J346*Settings!$C$8)+(O346*Settings!$C$7)+(P346*Settings!$C$14)+(Q346*Settings!$C$15)+(R346*Settings!$C$16)+(S346*Settings!$C$17)+(T346*Settings!$C$18)+(U346*Settings!$C$19)</f>
        <v>-3.1761929346102633</v>
      </c>
      <c r="D346" s="41">
        <f>IF(Settings!$E$12="YES",VLOOKUP(A346,'Player Data'!A1:E734,5,FALSE),82)</f>
        <v>59.204999999999998</v>
      </c>
      <c r="E346" s="39">
        <f>(VLOOKUP($A346,'The List'!$B1:$AH727,17,FALSE)-AVERAGE('The List'!R2:R727))/STDEV('The List'!R2:R727)</f>
        <v>-1.3916939442457279</v>
      </c>
      <c r="F346" s="39">
        <f>(VLOOKUP($A346,'The List'!$B1:$AH727,18,FALSE)-AVERAGE('The List'!S2:S727))/STDEV('The List'!S2:S727)</f>
        <v>-0.11783032343378887</v>
      </c>
      <c r="G346" s="39">
        <f>(VLOOKUP($A346,'The List'!$B1:$AH727,19,FALSE)-AVERAGE('The List'!T2:T727))/STDEV('The List'!T2:T727)</f>
        <v>-0.8848146472765327</v>
      </c>
      <c r="H346" s="39">
        <f>(VLOOKUP($A346,'The List'!$B1:$AH727,20,FALSE)-AVERAGE('The List'!U2:U727))/STDEV('The List'!U2:U727)</f>
        <v>-0.59885110351688986</v>
      </c>
      <c r="I346" s="39">
        <f>(VLOOKUP($A346,'The List'!$B1:$AH727,21,FALSE)-AVERAGE('The List'!V2:V727))/STDEV('The List'!V2:V727)</f>
        <v>-0.55082032976523243</v>
      </c>
      <c r="J346" s="39">
        <f>(VLOOKUP($A346,'The List'!$B1:$AH727,22,FALSE)-AVERAGE('The List'!W2:W727))/STDEV('The List'!W2:W727)</f>
        <v>-0.67355672525426569</v>
      </c>
      <c r="K346" s="39">
        <f>(VLOOKUP($A346,'The List'!$B1:$AH727,23,FALSE)-AVERAGE('The List'!X2:X727))/STDEV('The List'!X2:X727)</f>
        <v>-0.76375888907245548</v>
      </c>
      <c r="L346" s="39">
        <f>(VLOOKUP($A346,'The List'!$B1:$AH727,24,FALSE)-AVERAGE('The List'!Y2:Y727))/STDEV('The List'!Y2:Y727)</f>
        <v>-0.54402834717551152</v>
      </c>
      <c r="M346" s="39">
        <f>(VLOOKUP($A346,'The List'!$B1:$AH727,25,FALSE)-AVERAGE('The List'!Z2:Z727))/STDEV('The List'!Z2:Z727)</f>
        <v>-0.72372514007823274</v>
      </c>
      <c r="N346" s="39">
        <f>(VLOOKUP($A346,'The List'!$B1:$AH727,26,FALSE)-AVERAGE('The List'!AA2:AA727))/STDEV('The List'!AA2:AA727)</f>
        <v>-1.1122373901439508</v>
      </c>
      <c r="O346" s="39">
        <f>(VLOOKUP($A346,'The List'!$B1:$AH727,27,FALSE)-AVERAGE('The List'!AB2:AB727))/STDEV('The List'!AB2:AB727)</f>
        <v>0.35811763581131201</v>
      </c>
      <c r="P346" s="39">
        <f>(VLOOKUP($A346,'The List'!$B1:$AH727,28,FALSE)-AVERAGE('The List'!AC2:AC727))/STDEV('The List'!AC2:AC727)</f>
        <v>0.25326864508169666</v>
      </c>
      <c r="Q346" s="39">
        <f>(VLOOKUP($A346,'The List'!$B1:$AH727,29,FALSE)-AVERAGE('The List'!AD2:AD727))/STDEV('The List'!AD2:AD727)</f>
        <v>-1.1851473252685214</v>
      </c>
      <c r="R346" s="39">
        <f>(VLOOKUP($A346,'The List'!$B1:$AH727,30,FALSE)-AVERAGE('The List'!AE2:AE727))/STDEV('The List'!AE2:AE727)</f>
        <v>9.1625623324761749E-2</v>
      </c>
      <c r="S346" s="39">
        <f>(VLOOKUP($A346,'The List'!$B1:$AH727,31,FALSE)-AVERAGE('The List'!AF2:AF727))/STDEV('The List'!AF2:AF727)</f>
        <v>-0.54646746831176429</v>
      </c>
      <c r="T346" s="39">
        <f>(VLOOKUP($A346,'The List'!$B1:$AH727,32,FALSE)-AVERAGE('The List'!AG2:AG727))/STDEV('The List'!AG2:AG727)</f>
        <v>-0.52656537857144858</v>
      </c>
      <c r="U346" s="39">
        <f>(VLOOKUP($A346,'The List'!$B1:$AH727,33,FALSE)-AVERAGE('The List'!AH2:AH727))/STDEV('The List'!AH2:AH727)</f>
        <v>-0.61080978273359787</v>
      </c>
      <c r="V346" s="39"/>
      <c r="W346" s="43"/>
      <c r="X346" s="41"/>
      <c r="Y346" s="41"/>
      <c r="Z346" s="41"/>
      <c r="AA346" s="41"/>
      <c r="AB346" s="41"/>
      <c r="AC346" s="44"/>
      <c r="AD346" s="45"/>
      <c r="AE346" s="39"/>
    </row>
    <row r="347" spans="1:31" ht="21.25" customHeight="1" x14ac:dyDescent="0.15">
      <c r="A347" s="8" t="s">
        <v>623</v>
      </c>
      <c r="B347" s="35" t="str">
        <f>VLOOKUP(A347,'Player Data'!A1:B734,2,FALSE)</f>
        <v>NSH</v>
      </c>
      <c r="C347" s="37">
        <f>((E347)*Settings!$C$12)+(F347*Settings!$C$2)+(G347*Settings!$C$3)+(H347*Settings!$C$4)+(I347*Settings!$C$5)+(K347*Settings!$C$9)+(N347*Settings!$C$6)+(J347*Settings!$C$8)+(O347*Settings!$C$7)+(P347*Settings!$C$14)+(Q347*Settings!$C$15)+(R347*Settings!$C$16)+(S347*Settings!$C$17)+(T347*Settings!$C$18)+(U347*Settings!$C$19)</f>
        <v>-3.3072339351126052</v>
      </c>
      <c r="D347" s="41">
        <f>IF(Settings!$E$12="YES",VLOOKUP(A347,'Player Data'!A1:E734,5,FALSE),82)</f>
        <v>57.535357142857102</v>
      </c>
      <c r="E347" s="39">
        <f>(VLOOKUP($A347,'The List'!$B1:$AH727,17,FALSE)-AVERAGE('The List'!R2:R727))/STDEV('The List'!R2:R727)</f>
        <v>-0.87862699250662812</v>
      </c>
      <c r="F347" s="39">
        <f>(VLOOKUP($A347,'The List'!$B1:$AH727,18,FALSE)-AVERAGE('The List'!S2:S727))/STDEV('The List'!S2:S727)</f>
        <v>-0.33081139608030824</v>
      </c>
      <c r="G347" s="39">
        <f>(VLOOKUP($A347,'The List'!$B1:$AH727,19,FALSE)-AVERAGE('The List'!T2:T727))/STDEV('The List'!T2:T727)</f>
        <v>-0.78479068689801745</v>
      </c>
      <c r="H347" s="39">
        <f>(VLOOKUP($A347,'The List'!$B1:$AH727,20,FALSE)-AVERAGE('The List'!U2:U727))/STDEV('The List'!U2:U727)</f>
        <v>-0.6341351337521185</v>
      </c>
      <c r="I347" s="39">
        <f>(VLOOKUP($A347,'The List'!$B1:$AH727,21,FALSE)-AVERAGE('The List'!V2:V727))/STDEV('The List'!V2:V727)</f>
        <v>-0.59253439073340897</v>
      </c>
      <c r="J347" s="39">
        <f>(VLOOKUP($A347,'The List'!$B1:$AH727,22,FALSE)-AVERAGE('The List'!W2:W727))/STDEV('The List'!W2:W727)</f>
        <v>-0.48302572414216466</v>
      </c>
      <c r="K347" s="39">
        <f>(VLOOKUP($A347,'The List'!$B1:$AH727,23,FALSE)-AVERAGE('The List'!X2:X727))/STDEV('The List'!X2:X727)</f>
        <v>-0.60078155969480629</v>
      </c>
      <c r="L347" s="39">
        <f>(VLOOKUP($A347,'The List'!$B1:$AH727,24,FALSE)-AVERAGE('The List'!Y2:Y727))/STDEV('The List'!Y2:Y727)</f>
        <v>-0.51546636524275602</v>
      </c>
      <c r="M347" s="39">
        <f>(VLOOKUP($A347,'The List'!$B1:$AH727,25,FALSE)-AVERAGE('The List'!Z2:Z727))/STDEV('The List'!Z2:Z727)</f>
        <v>-0.691502004903363</v>
      </c>
      <c r="N347" s="39">
        <f>(VLOOKUP($A347,'The List'!$B1:$AH727,26,FALSE)-AVERAGE('The List'!AA2:AA727))/STDEV('The List'!AA2:AA727)</f>
        <v>-0.82765689356438421</v>
      </c>
      <c r="O347" s="39">
        <f>(VLOOKUP($A347,'The List'!$B1:$AH727,27,FALSE)-AVERAGE('The List'!AB2:AB727))/STDEV('The List'!AB2:AB727)</f>
        <v>1.0725794500032941</v>
      </c>
      <c r="P347" s="39">
        <f>(VLOOKUP($A347,'The List'!$B1:$AH727,28,FALSE)-AVERAGE('The List'!AC2:AC727))/STDEV('The List'!AC2:AC727)</f>
        <v>-0.17065900814168</v>
      </c>
      <c r="Q347" s="39">
        <f>(VLOOKUP($A347,'The List'!$B1:$AH727,29,FALSE)-AVERAGE('The List'!AD2:AD727))/STDEV('The List'!AD2:AD727)</f>
        <v>-0.13114352188994846</v>
      </c>
      <c r="R347" s="39">
        <f>(VLOOKUP($A347,'The List'!$B1:$AH727,30,FALSE)-AVERAGE('The List'!AE2:AE727))/STDEV('The List'!AE2:AE727)</f>
        <v>-0.27342513340590674</v>
      </c>
      <c r="S347" s="39">
        <f>(VLOOKUP($A347,'The List'!$B1:$AH727,31,FALSE)-AVERAGE('The List'!AF2:AF727))/STDEV('The List'!AF2:AF727)</f>
        <v>-0.50557682237577661</v>
      </c>
      <c r="T347" s="39">
        <f>(VLOOKUP($A347,'The List'!$B1:$AH727,32,FALSE)-AVERAGE('The List'!AG2:AG727))/STDEV('The List'!AG2:AG727)</f>
        <v>-0.5706452204304211</v>
      </c>
      <c r="U347" s="39">
        <f>(VLOOKUP($A347,'The List'!$B1:$AH727,33,FALSE)-AVERAGE('The List'!AH2:AH727))/STDEV('The List'!AH2:AH727)</f>
        <v>1.6453963564861356</v>
      </c>
      <c r="V347" s="39"/>
      <c r="W347" s="43"/>
      <c r="X347" s="41"/>
      <c r="Y347" s="41"/>
      <c r="Z347" s="41"/>
      <c r="AA347" s="41"/>
      <c r="AB347" s="41"/>
      <c r="AC347" s="44"/>
      <c r="AD347" s="45"/>
      <c r="AE347" s="39"/>
    </row>
    <row r="348" spans="1:31" ht="21.25" customHeight="1" x14ac:dyDescent="0.15">
      <c r="A348" s="8" t="s">
        <v>600</v>
      </c>
      <c r="B348" s="35" t="str">
        <f>VLOOKUP(A348,'Player Data'!A1:B734,2,FALSE)</f>
        <v>MIN</v>
      </c>
      <c r="C348" s="37">
        <f>((E348)*Settings!$C$12)+(F348*Settings!$C$2)+(G348*Settings!$C$3)+(H348*Settings!$C$4)+(I348*Settings!$C$5)+(K348*Settings!$C$9)+(N348*Settings!$C$6)+(J348*Settings!$C$8)+(O348*Settings!$C$7)+(P348*Settings!$C$14)+(Q348*Settings!$C$15)+(R348*Settings!$C$16)+(S348*Settings!$C$17)+(T348*Settings!$C$18)+(U348*Settings!$C$19)</f>
        <v>-1.7086605065402369</v>
      </c>
      <c r="D348" s="41">
        <f>IF(Settings!$E$12="YES",VLOOKUP(A348,'Player Data'!A1:E734,5,FALSE),82)</f>
        <v>75.423214285714295</v>
      </c>
      <c r="E348" s="39">
        <f>(VLOOKUP($A348,'The List'!$B1:$AH727,17,FALSE)-AVERAGE('The List'!R2:R727))/STDEV('The List'!R2:R727)</f>
        <v>-0.63650513017954113</v>
      </c>
      <c r="F348" s="39">
        <f>(VLOOKUP($A348,'The List'!$B1:$AH727,18,FALSE)-AVERAGE('The List'!S2:S727))/STDEV('The List'!S2:S727)</f>
        <v>-8.2235208914470628E-2</v>
      </c>
      <c r="G348" s="39">
        <f>(VLOOKUP($A348,'The List'!$B1:$AH727,19,FALSE)-AVERAGE('The List'!T2:T727))/STDEV('The List'!T2:T727)</f>
        <v>-0.48429460944271757</v>
      </c>
      <c r="H348" s="39">
        <f>(VLOOKUP($A348,'The List'!$B1:$AH727,20,FALSE)-AVERAGE('The List'!U2:U727))/STDEV('The List'!U2:U727)</f>
        <v>-0.33584896372480522</v>
      </c>
      <c r="I348" s="39">
        <f>(VLOOKUP($A348,'The List'!$B1:$AH727,21,FALSE)-AVERAGE('The List'!V2:V727))/STDEV('The List'!V2:V727)</f>
        <v>-0.66480895555311093</v>
      </c>
      <c r="J348" s="39">
        <f>(VLOOKUP($A348,'The List'!$B1:$AH727,22,FALSE)-AVERAGE('The List'!W2:W727))/STDEV('The List'!W2:W727)</f>
        <v>-0.43782147831979723</v>
      </c>
      <c r="K348" s="39">
        <f>(VLOOKUP($A348,'The List'!$B1:$AH727,23,FALSE)-AVERAGE('The List'!X2:X727))/STDEV('The List'!X2:X727)</f>
        <v>-0.54932937179510077</v>
      </c>
      <c r="L348" s="39">
        <f>(VLOOKUP($A348,'The List'!$B1:$AH727,24,FALSE)-AVERAGE('The List'!Y2:Y727))/STDEV('The List'!Y2:Y727)</f>
        <v>-0.18505651643773421</v>
      </c>
      <c r="M348" s="39">
        <f>(VLOOKUP($A348,'The List'!$B1:$AH727,25,FALSE)-AVERAGE('The List'!Z2:Z727))/STDEV('The List'!Z2:Z727)</f>
        <v>-0.42903701318510618</v>
      </c>
      <c r="N348" s="39">
        <f>(VLOOKUP($A348,'The List'!$B1:$AH727,26,FALSE)-AVERAGE('The List'!AA2:AA727))/STDEV('The List'!AA2:AA727)</f>
        <v>-0.45091256099459454</v>
      </c>
      <c r="O348" s="39">
        <f>(VLOOKUP($A348,'The List'!$B1:$AH727,27,FALSE)-AVERAGE('The List'!AB2:AB727))/STDEV('The List'!AB2:AB727)</f>
        <v>2.8992790270378639</v>
      </c>
      <c r="P348" s="39">
        <f>(VLOOKUP($A348,'The List'!$B1:$AH727,28,FALSE)-AVERAGE('The List'!AC2:AC727))/STDEV('The List'!AC2:AC727)</f>
        <v>0.52292020015975715</v>
      </c>
      <c r="Q348" s="39">
        <f>(VLOOKUP($A348,'The List'!$B1:$AH727,29,FALSE)-AVERAGE('The List'!AD2:AD727))/STDEV('The List'!AD2:AD727)</f>
        <v>2.6148547522178225</v>
      </c>
      <c r="R348" s="39">
        <f>(VLOOKUP($A348,'The List'!$B1:$AH727,30,FALSE)-AVERAGE('The List'!AE2:AE727))/STDEV('The List'!AE2:AE727)</f>
        <v>7.8855032253014559E-2</v>
      </c>
      <c r="S348" s="39">
        <f>(VLOOKUP($A348,'The List'!$B1:$AH727,31,FALSE)-AVERAGE('The List'!AF2:AF727))/STDEV('The List'!AF2:AF727)</f>
        <v>-0.51863833603206855</v>
      </c>
      <c r="T348" s="39">
        <f>(VLOOKUP($A348,'The List'!$B1:$AH727,32,FALSE)-AVERAGE('The List'!AG2:AG727))/STDEV('The List'!AG2:AG727)</f>
        <v>-0.55982018215356966</v>
      </c>
      <c r="U348" s="39">
        <f>(VLOOKUP($A348,'The List'!$B1:$AH727,33,FALSE)-AVERAGE('The List'!AH2:AH727))/STDEV('The List'!AH2:AH727)</f>
        <v>1.002815414052838</v>
      </c>
      <c r="V348" s="39"/>
      <c r="W348" s="41"/>
      <c r="X348" s="39"/>
      <c r="Y348" s="39"/>
      <c r="Z348" s="39"/>
      <c r="AA348" s="39"/>
      <c r="AB348" s="39"/>
      <c r="AC348" s="39"/>
      <c r="AD348" s="39"/>
      <c r="AE348" s="39"/>
    </row>
    <row r="349" spans="1:31" ht="21.25" customHeight="1" x14ac:dyDescent="0.15">
      <c r="A349" s="8" t="s">
        <v>429</v>
      </c>
      <c r="B349" s="35" t="str">
        <f>VLOOKUP(A349,'Player Data'!A1:B734,2,FALSE)</f>
        <v>CBJ</v>
      </c>
      <c r="C349" s="37">
        <f>((E349)*Settings!$C$12)+(F349*Settings!$C$2)+(G349*Settings!$C$3)+(H349*Settings!$C$4)+(I349*Settings!$C$5)+(K349*Settings!$C$9)+(N349*Settings!$C$6)+(J349*Settings!$C$8)+(O349*Settings!$C$7)+(P349*Settings!$C$14)+(Q349*Settings!$C$15)+(R349*Settings!$C$16)+(S349*Settings!$C$17)+(T349*Settings!$C$18)+(U349*Settings!$C$19)</f>
        <v>-2.7188996620652652</v>
      </c>
      <c r="D349" s="41">
        <f>IF(Settings!$E$12="YES",VLOOKUP(A349,'Player Data'!A1:E734,5,FALSE),82)</f>
        <v>72.099999999999994</v>
      </c>
      <c r="E349" s="39">
        <f>(VLOOKUP($A349,'The List'!$B1:$AH727,17,FALSE)-AVERAGE('The List'!R2:R727))/STDEV('The List'!R2:R727)</f>
        <v>7.8124450686174338E-2</v>
      </c>
      <c r="F349" s="39">
        <f>(VLOOKUP($A349,'The List'!$B1:$AH727,18,FALSE)-AVERAGE('The List'!S2:S727))/STDEV('The List'!S2:S727)</f>
        <v>-0.50158871805464234</v>
      </c>
      <c r="G349" s="39">
        <f>(VLOOKUP($A349,'The List'!$B1:$AH727,19,FALSE)-AVERAGE('The List'!T2:T727))/STDEV('The List'!T2:T727)</f>
        <v>-0.28125634749409767</v>
      </c>
      <c r="H349" s="39">
        <f>(VLOOKUP($A349,'The List'!$B1:$AH727,20,FALSE)-AVERAGE('The List'!U2:U727))/STDEV('The List'!U2:U727)</f>
        <v>-0.40156700542422136</v>
      </c>
      <c r="I349" s="39">
        <f>(VLOOKUP($A349,'The List'!$B1:$AH727,21,FALSE)-AVERAGE('The List'!V2:V727))/STDEV('The List'!V2:V727)</f>
        <v>-0.74288911482978548</v>
      </c>
      <c r="J349" s="39">
        <f>(VLOOKUP($A349,'The List'!$B1:$AH727,22,FALSE)-AVERAGE('The List'!W2:W727))/STDEV('The List'!W2:W727)</f>
        <v>-0.49292094109939705</v>
      </c>
      <c r="K349" s="39">
        <f>(VLOOKUP($A349,'The List'!$B1:$AH727,23,FALSE)-AVERAGE('The List'!X2:X727))/STDEV('The List'!X2:X727)</f>
        <v>-0.24729601336545551</v>
      </c>
      <c r="L349" s="39">
        <f>(VLOOKUP($A349,'The List'!$B1:$AH727,24,FALSE)-AVERAGE('The List'!Y2:Y727))/STDEV('The List'!Y2:Y727)</f>
        <v>-0.53848013818443807</v>
      </c>
      <c r="M349" s="39">
        <f>(VLOOKUP($A349,'The List'!$B1:$AH727,25,FALSE)-AVERAGE('The List'!Z2:Z727))/STDEV('The List'!Z2:Z727)</f>
        <v>-0.71102455748948823</v>
      </c>
      <c r="N349" s="39">
        <f>(VLOOKUP($A349,'The List'!$B1:$AH727,26,FALSE)-AVERAGE('The List'!AA2:AA727))/STDEV('The List'!AA2:AA727)</f>
        <v>0.37269192721246308</v>
      </c>
      <c r="O349" s="39">
        <f>(VLOOKUP($A349,'The List'!$B1:$AH727,27,FALSE)-AVERAGE('The List'!AB2:AB727))/STDEV('The List'!AB2:AB727)</f>
        <v>-0.77760387556916433</v>
      </c>
      <c r="P349" s="39">
        <f>(VLOOKUP($A349,'The List'!$B1:$AH727,28,FALSE)-AVERAGE('The List'!AC2:AC727))/STDEV('The List'!AC2:AC727)</f>
        <v>-1.3185613955337474</v>
      </c>
      <c r="Q349" s="39">
        <f>(VLOOKUP($A349,'The List'!$B1:$AH727,29,FALSE)-AVERAGE('The List'!AD2:AD727))/STDEV('The List'!AD2:AD727)</f>
        <v>-0.77815842484972686</v>
      </c>
      <c r="R349" s="39">
        <f>(VLOOKUP($A349,'The List'!$B1:$AH727,30,FALSE)-AVERAGE('The List'!AE2:AE727))/STDEV('The List'!AE2:AE727)</f>
        <v>-0.6375169153930893</v>
      </c>
      <c r="S349" s="39">
        <f>(VLOOKUP($A349,'The List'!$B1:$AH727,31,FALSE)-AVERAGE('The List'!AF2:AF727))/STDEV('The List'!AF2:AF727)</f>
        <v>-0.55804314905918151</v>
      </c>
      <c r="T349" s="39">
        <f>(VLOOKUP($A349,'The List'!$B1:$AH727,32,FALSE)-AVERAGE('The List'!AG2:AG727))/STDEV('The List'!AG2:AG727)</f>
        <v>-0.60188453558131205</v>
      </c>
      <c r="U349" s="39">
        <f>(VLOOKUP($A349,'The List'!$B1:$AH727,33,FALSE)-AVERAGE('The List'!AH2:AH727))/STDEV('The List'!AH2:AH727)</f>
        <v>-1.2395873372913611</v>
      </c>
      <c r="V349" s="39"/>
      <c r="W349" s="43"/>
      <c r="X349" s="41"/>
      <c r="Y349" s="41"/>
      <c r="Z349" s="41"/>
      <c r="AA349" s="41"/>
      <c r="AB349" s="41"/>
      <c r="AC349" s="44"/>
      <c r="AD349" s="45"/>
      <c r="AE349" s="39"/>
    </row>
    <row r="350" spans="1:31" ht="21.25" customHeight="1" x14ac:dyDescent="0.15">
      <c r="A350" s="8" t="s">
        <v>692</v>
      </c>
      <c r="B350" s="35" t="str">
        <f>VLOOKUP(A350,'Player Data'!A1:B734,2,FALSE)</f>
        <v>WPG</v>
      </c>
      <c r="C350" s="37">
        <f>((E350)*Settings!$C$12)+(F350*Settings!$C$2)+(G350*Settings!$C$3)+(H350*Settings!$C$4)+(I350*Settings!$C$5)+(K350*Settings!$C$9)+(N350*Settings!$C$6)+(J350*Settings!$C$8)+(O350*Settings!$C$7)+(P350*Settings!$C$14)+(Q350*Settings!$C$15)+(R350*Settings!$C$16)+(S350*Settings!$C$17)+(T350*Settings!$C$18)+(U350*Settings!$C$19)</f>
        <v>-2.2054013903361511</v>
      </c>
      <c r="D350" s="41">
        <f>IF(Settings!$E$12="YES",VLOOKUP(A350,'Player Data'!A1:E734,5,FALSE),82)</f>
        <v>72.827500000000001</v>
      </c>
      <c r="E350" s="39">
        <f>(VLOOKUP($A350,'The List'!$B1:$AH727,17,FALSE)-AVERAGE('The List'!R2:R727))/STDEV('The List'!R2:R727)</f>
        <v>-0.24540880405142407</v>
      </c>
      <c r="F350" s="39">
        <f>(VLOOKUP($A350,'The List'!$B1:$AH727,18,FALSE)-AVERAGE('The List'!S2:S727))/STDEV('The List'!S2:S727)</f>
        <v>-0.32100242863788753</v>
      </c>
      <c r="G350" s="39">
        <f>(VLOOKUP($A350,'The List'!$B1:$AH727,19,FALSE)-AVERAGE('The List'!T2:T727))/STDEV('The List'!T2:T727)</f>
        <v>-0.40150821231928607</v>
      </c>
      <c r="H350" s="39">
        <f>(VLOOKUP($A350,'The List'!$B1:$AH727,20,FALSE)-AVERAGE('The List'!U2:U727))/STDEV('The List'!U2:U727)</f>
        <v>-0.39348924968322468</v>
      </c>
      <c r="I350" s="39">
        <f>(VLOOKUP($A350,'The List'!$B1:$AH727,21,FALSE)-AVERAGE('The List'!V2:V727))/STDEV('The List'!V2:V727)</f>
        <v>-0.24364673509259335</v>
      </c>
      <c r="J350" s="39">
        <f>(VLOOKUP($A350,'The List'!$B1:$AH727,22,FALSE)-AVERAGE('The List'!W2:W727))/STDEV('The List'!W2:W727)</f>
        <v>-0.69059512164601899</v>
      </c>
      <c r="K350" s="39">
        <f>(VLOOKUP($A350,'The List'!$B1:$AH727,23,FALSE)-AVERAGE('The List'!X2:X727))/STDEV('The List'!X2:X727)</f>
        <v>-0.78656293170911118</v>
      </c>
      <c r="L350" s="39">
        <f>(VLOOKUP($A350,'The List'!$B1:$AH727,24,FALSE)-AVERAGE('The List'!Y2:Y727))/STDEV('The List'!Y2:Y727)</f>
        <v>-0.29177135049788638</v>
      </c>
      <c r="M350" s="39">
        <f>(VLOOKUP($A350,'The List'!$B1:$AH727,25,FALSE)-AVERAGE('The List'!Z2:Z727))/STDEV('The List'!Z2:Z727)</f>
        <v>-4.1229172632051447E-2</v>
      </c>
      <c r="N350" s="39">
        <f>(VLOOKUP($A350,'The List'!$B1:$AH727,26,FALSE)-AVERAGE('The List'!AA2:AA727))/STDEV('The List'!AA2:AA727)</f>
        <v>-0.84473312328201489</v>
      </c>
      <c r="O350" s="39">
        <f>(VLOOKUP($A350,'The List'!$B1:$AH727,27,FALSE)-AVERAGE('The List'!AB2:AB727))/STDEV('The List'!AB2:AB727)</f>
        <v>-0.26480813450089824</v>
      </c>
      <c r="P350" s="39">
        <f>(VLOOKUP($A350,'The List'!$B1:$AH727,28,FALSE)-AVERAGE('The List'!AC2:AC727))/STDEV('The List'!AC2:AC727)</f>
        <v>0.39205204070474176</v>
      </c>
      <c r="Q350" s="39">
        <f>(VLOOKUP($A350,'The List'!$B1:$AH727,29,FALSE)-AVERAGE('The List'!AD2:AD727))/STDEV('The List'!AD2:AD727)</f>
        <v>-0.72179274633733481</v>
      </c>
      <c r="R350" s="39">
        <f>(VLOOKUP($A350,'The List'!$B1:$AH727,30,FALSE)-AVERAGE('The List'!AE2:AE727))/STDEV('The List'!AE2:AE727)</f>
        <v>-0.20065600006692966</v>
      </c>
      <c r="S350" s="39">
        <f>(VLOOKUP($A350,'The List'!$B1:$AH727,31,FALSE)-AVERAGE('The List'!AF2:AF727))/STDEV('The List'!AF2:AF727)</f>
        <v>-0.52715988020097893</v>
      </c>
      <c r="T350" s="39">
        <f>(VLOOKUP($A350,'The List'!$B1:$AH727,32,FALSE)-AVERAGE('The List'!AG2:AG727))/STDEV('The List'!AG2:AG727)</f>
        <v>-0.53645806097194459</v>
      </c>
      <c r="U350" s="39">
        <f>(VLOOKUP($A350,'The List'!$B1:$AH727,33,FALSE)-AVERAGE('The List'!AH2:AH727))/STDEV('The List'!AH2:AH727)</f>
        <v>0.25945952286074253</v>
      </c>
      <c r="V350" s="39"/>
      <c r="W350" s="43"/>
      <c r="X350" s="41"/>
      <c r="Y350" s="41"/>
      <c r="Z350" s="41"/>
      <c r="AA350" s="41"/>
      <c r="AB350" s="41"/>
      <c r="AC350" s="44"/>
      <c r="AD350" s="45"/>
      <c r="AE350" s="39"/>
    </row>
    <row r="351" spans="1:31" ht="21.25" customHeight="1" x14ac:dyDescent="0.15">
      <c r="A351" s="8" t="s">
        <v>602</v>
      </c>
      <c r="B351" s="35" t="str">
        <f>VLOOKUP(A351,'Player Data'!A1:B734,2,FALSE)</f>
        <v>NJD</v>
      </c>
      <c r="C351" s="37">
        <f>((E351)*Settings!$C$12)+(F351*Settings!$C$2)+(G351*Settings!$C$3)+(H351*Settings!$C$4)+(I351*Settings!$C$5)+(K351*Settings!$C$9)+(N351*Settings!$C$6)+(J351*Settings!$C$8)+(O351*Settings!$C$7)+(P351*Settings!$C$14)+(Q351*Settings!$C$15)+(R351*Settings!$C$16)+(S351*Settings!$C$17)+(T351*Settings!$C$18)+(U351*Settings!$C$19)</f>
        <v>-3.1908891652109674</v>
      </c>
      <c r="D351" s="41">
        <f>IF(Settings!$E$12="YES",VLOOKUP(A351,'Player Data'!A1:E734,5,FALSE),82)</f>
        <v>61</v>
      </c>
      <c r="E351" s="39">
        <f>(VLOOKUP($A351,'The List'!$B1:$AH727,17,FALSE)-AVERAGE('The List'!R2:R727))/STDEV('The List'!R2:R727)</f>
        <v>-0.76459965404706887</v>
      </c>
      <c r="F351" s="39">
        <f>(VLOOKUP($A351,'The List'!$B1:$AH727,18,FALSE)-AVERAGE('The List'!S2:S727))/STDEV('The List'!S2:S727)</f>
        <v>-0.29951662160606507</v>
      </c>
      <c r="G351" s="39">
        <f>(VLOOKUP($A351,'The List'!$B1:$AH727,19,FALSE)-AVERAGE('The List'!T2:T727))/STDEV('The List'!T2:T727)</f>
        <v>-0.73699118188595236</v>
      </c>
      <c r="H351" s="39">
        <f>(VLOOKUP($A351,'The List'!$B1:$AH727,20,FALSE)-AVERAGE('The List'!U2:U727))/STDEV('The List'!U2:U727)</f>
        <v>-0.59043955793046154</v>
      </c>
      <c r="I351" s="39">
        <f>(VLOOKUP($A351,'The List'!$B1:$AH727,21,FALSE)-AVERAGE('The List'!V2:V727))/STDEV('The List'!V2:V727)</f>
        <v>-0.70221700370793649</v>
      </c>
      <c r="J351" s="39">
        <f>(VLOOKUP($A351,'The List'!$B1:$AH727,22,FALSE)-AVERAGE('The List'!W2:W727))/STDEV('The List'!W2:W727)</f>
        <v>0.15904073180463593</v>
      </c>
      <c r="K351" s="39">
        <f>(VLOOKUP($A351,'The List'!$B1:$AH727,23,FALSE)-AVERAGE('The List'!X2:X727))/STDEV('The List'!X2:X727)</f>
        <v>-0.20278563364961927</v>
      </c>
      <c r="L351" s="39">
        <f>(VLOOKUP($A351,'The List'!$B1:$AH727,24,FALSE)-AVERAGE('The List'!Y2:Y727))/STDEV('The List'!Y2:Y727)</f>
        <v>-0.54402834717551152</v>
      </c>
      <c r="M351" s="39">
        <f>(VLOOKUP($A351,'The List'!$B1:$AH727,25,FALSE)-AVERAGE('The List'!Z2:Z727))/STDEV('The List'!Z2:Z727)</f>
        <v>-0.72372514007823274</v>
      </c>
      <c r="N351" s="39">
        <f>(VLOOKUP($A351,'The List'!$B1:$AH727,26,FALSE)-AVERAGE('The List'!AA2:AA727))/STDEV('The List'!AA2:AA727)</f>
        <v>-0.93967486424295577</v>
      </c>
      <c r="O351" s="39">
        <f>(VLOOKUP($A351,'The List'!$B1:$AH727,27,FALSE)-AVERAGE('The List'!AB2:AB727))/STDEV('The List'!AB2:AB727)</f>
        <v>-0.69039884157029285</v>
      </c>
      <c r="P351" s="39">
        <f>(VLOOKUP($A351,'The List'!$B1:$AH727,28,FALSE)-AVERAGE('The List'!AC2:AC727))/STDEV('The List'!AC2:AC727)</f>
        <v>-0.30970386011843837</v>
      </c>
      <c r="Q351" s="39">
        <f>(VLOOKUP($A351,'The List'!$B1:$AH727,29,FALSE)-AVERAGE('The List'!AD2:AD727))/STDEV('The List'!AD2:AD727)</f>
        <v>-0.54269815913251107</v>
      </c>
      <c r="R351" s="39">
        <f>(VLOOKUP($A351,'The List'!$B1:$AH727,30,FALSE)-AVERAGE('The List'!AE2:AE727))/STDEV('The List'!AE2:AE727)</f>
        <v>-0.23600968561076693</v>
      </c>
      <c r="S351" s="39">
        <f>(VLOOKUP($A351,'The List'!$B1:$AH727,31,FALSE)-AVERAGE('The List'!AF2:AF727))/STDEV('The List'!AF2:AF727)</f>
        <v>-0.55804314905918151</v>
      </c>
      <c r="T351" s="39">
        <f>(VLOOKUP($A351,'The List'!$B1:$AH727,32,FALSE)-AVERAGE('The List'!AG2:AG727))/STDEV('The List'!AG2:AG727)</f>
        <v>-0.60188453558131205</v>
      </c>
      <c r="U351" s="39">
        <f>(VLOOKUP($A351,'The List'!$B1:$AH727,33,FALSE)-AVERAGE('The List'!AH2:AH727))/STDEV('The List'!AH2:AH727)</f>
        <v>-1.2395873372913611</v>
      </c>
      <c r="V351" s="39"/>
      <c r="W351" s="43"/>
      <c r="X351" s="41"/>
      <c r="Y351" s="41"/>
      <c r="Z351" s="41"/>
      <c r="AA351" s="41"/>
      <c r="AB351" s="41"/>
      <c r="AC351" s="44"/>
      <c r="AD351" s="45"/>
      <c r="AE351" s="39"/>
    </row>
    <row r="352" spans="1:31" ht="21.25" customHeight="1" x14ac:dyDescent="0.15">
      <c r="A352" s="8" t="s">
        <v>651</v>
      </c>
      <c r="B352" s="35" t="str">
        <f>VLOOKUP(A352,'Player Data'!A1:B734,2,FALSE)</f>
        <v>CAR</v>
      </c>
      <c r="C352" s="37">
        <f>((E352)*Settings!$C$12)+(F352*Settings!$C$2)+(G352*Settings!$C$3)+(H352*Settings!$C$4)+(I352*Settings!$C$5)+(K352*Settings!$C$9)+(N352*Settings!$C$6)+(J352*Settings!$C$8)+(O352*Settings!$C$7)+(P352*Settings!$C$14)+(Q352*Settings!$C$15)+(R352*Settings!$C$16)+(S352*Settings!$C$17)+(T352*Settings!$C$18)+(U352*Settings!$C$19)</f>
        <v>-0.32143919620416161</v>
      </c>
      <c r="D352" s="41">
        <f>IF(Settings!$E$12="YES",VLOOKUP(A352,'Player Data'!A1:E734,5,FALSE),82)</f>
        <v>80.863214285714307</v>
      </c>
      <c r="E352" s="39">
        <f>(VLOOKUP($A352,'The List'!$B1:$AH727,17,FALSE)-AVERAGE('The List'!R2:R727))/STDEV('The List'!R2:R727)</f>
        <v>-0.32623776688402933</v>
      </c>
      <c r="F352" s="39">
        <f>(VLOOKUP($A352,'The List'!$B1:$AH727,18,FALSE)-AVERAGE('The List'!S2:S727))/STDEV('The List'!S2:S727)</f>
        <v>4.4045862579642908E-2</v>
      </c>
      <c r="G352" s="39">
        <f>(VLOOKUP($A352,'The List'!$B1:$AH727,19,FALSE)-AVERAGE('The List'!T2:T727))/STDEV('The List'!T2:T727)</f>
        <v>-0.47380959955282875</v>
      </c>
      <c r="H352" s="39">
        <f>(VLOOKUP($A352,'The List'!$B1:$AH727,20,FALSE)-AVERAGE('The List'!U2:U727))/STDEV('The List'!U2:U727)</f>
        <v>-0.27192221434609753</v>
      </c>
      <c r="I352" s="39">
        <f>(VLOOKUP($A352,'The List'!$B1:$AH727,21,FALSE)-AVERAGE('The List'!V2:V727))/STDEV('The List'!V2:V727)</f>
        <v>-0.15706423288478957</v>
      </c>
      <c r="J352" s="39">
        <f>(VLOOKUP($A352,'The List'!$B1:$AH727,22,FALSE)-AVERAGE('The List'!W2:W727))/STDEV('The List'!W2:W727)</f>
        <v>-0.63821561484547928</v>
      </c>
      <c r="K352" s="39">
        <f>(VLOOKUP($A352,'The List'!$B1:$AH727,23,FALSE)-AVERAGE('The List'!X2:X727))/STDEV('The List'!X2:X727)</f>
        <v>-0.74238347223672652</v>
      </c>
      <c r="L352" s="39">
        <f>(VLOOKUP($A352,'The List'!$B1:$AH727,24,FALSE)-AVERAGE('The List'!Y2:Y727))/STDEV('The List'!Y2:Y727)</f>
        <v>-0.41927808105380665</v>
      </c>
      <c r="M352" s="39">
        <f>(VLOOKUP($A352,'The List'!$B1:$AH727,25,FALSE)-AVERAGE('The List'!Z2:Z727))/STDEV('The List'!Z2:Z727)</f>
        <v>-0.38567750423496749</v>
      </c>
      <c r="N352" s="39">
        <f>(VLOOKUP($A352,'The List'!$B1:$AH727,26,FALSE)-AVERAGE('The List'!AA2:AA727))/STDEV('The List'!AA2:AA727)</f>
        <v>-0.59324887301464324</v>
      </c>
      <c r="O352" s="39">
        <f>(VLOOKUP($A352,'The List'!$B1:$AH727,27,FALSE)-AVERAGE('The List'!AB2:AB727))/STDEV('The List'!AB2:AB727)</f>
        <v>1.3646344937302106</v>
      </c>
      <c r="P352" s="39">
        <f>(VLOOKUP($A352,'The List'!$B1:$AH727,28,FALSE)-AVERAGE('The List'!AC2:AC727))/STDEV('The List'!AC2:AC727)</f>
        <v>1.6010211189051835</v>
      </c>
      <c r="Q352" s="39">
        <f>(VLOOKUP($A352,'The List'!$B1:$AH727,29,FALSE)-AVERAGE('The List'!AD2:AD727))/STDEV('The List'!AD2:AD727)</f>
        <v>-0.229567144794568</v>
      </c>
      <c r="R352" s="39">
        <f>(VLOOKUP($A352,'The List'!$B1:$AH727,30,FALSE)-AVERAGE('The List'!AE2:AE727))/STDEV('The List'!AE2:AE727)</f>
        <v>0.3760325549432475</v>
      </c>
      <c r="S352" s="39">
        <f>(VLOOKUP($A352,'The List'!$B1:$AH727,31,FALSE)-AVERAGE('The List'!AF2:AF727))/STDEV('The List'!AF2:AF727)</f>
        <v>3.2241328756998544</v>
      </c>
      <c r="T352" s="39">
        <f>(VLOOKUP($A352,'The List'!$B1:$AH727,32,FALSE)-AVERAGE('The List'!AG2:AG727))/STDEV('The List'!AG2:AG727)</f>
        <v>2.4348072500027933</v>
      </c>
      <c r="U352" s="39">
        <f>(VLOOKUP($A352,'The List'!$B1:$AH727,33,FALSE)-AVERAGE('The List'!AH2:AH727))/STDEV('The List'!AH2:AH727)</f>
        <v>1.3226935255383094</v>
      </c>
      <c r="V352" s="39"/>
      <c r="W352" s="41"/>
      <c r="X352" s="39"/>
      <c r="Y352" s="39"/>
      <c r="Z352" s="39"/>
      <c r="AA352" s="39"/>
      <c r="AB352" s="39"/>
      <c r="AC352" s="39"/>
      <c r="AD352" s="39"/>
      <c r="AE352" s="39"/>
    </row>
    <row r="353" spans="1:31" ht="21.25" customHeight="1" x14ac:dyDescent="0.15">
      <c r="A353" s="8" t="s">
        <v>589</v>
      </c>
      <c r="B353" s="35" t="str">
        <f>VLOOKUP(A353,'Player Data'!A1:B734,2,FALSE)</f>
        <v>DET</v>
      </c>
      <c r="C353" s="37">
        <f>((E353)*Settings!$C$12)+(F353*Settings!$C$2)+(G353*Settings!$C$3)+(H353*Settings!$C$4)+(I353*Settings!$C$5)+(K353*Settings!$C$9)+(N353*Settings!$C$6)+(J353*Settings!$C$8)+(O353*Settings!$C$7)+(P353*Settings!$C$14)+(Q353*Settings!$C$15)+(R353*Settings!$C$16)+(S353*Settings!$C$17)+(T353*Settings!$C$18)+(U353*Settings!$C$19)</f>
        <v>-2.8312855887641852</v>
      </c>
      <c r="D353" s="41">
        <f>IF(Settings!$E$12="YES",VLOOKUP(A353,'Player Data'!A1:E734,5,FALSE),82)</f>
        <v>75.805000000000007</v>
      </c>
      <c r="E353" s="39">
        <f>(VLOOKUP($A353,'The List'!$B1:$AH727,17,FALSE)-AVERAGE('The List'!R2:R727))/STDEV('The List'!R2:R727)</f>
        <v>-1.041129840141757</v>
      </c>
      <c r="F353" s="39">
        <f>(VLOOKUP($A353,'The List'!$B1:$AH727,18,FALSE)-AVERAGE('The List'!S2:S727))/STDEV('The List'!S2:S727)</f>
        <v>5.0928495714958055E-2</v>
      </c>
      <c r="G353" s="39">
        <f>(VLOOKUP($A353,'The List'!$B1:$AH727,19,FALSE)-AVERAGE('The List'!T2:T727))/STDEV('The List'!T2:T727)</f>
        <v>-0.61680470899165707</v>
      </c>
      <c r="H353" s="39">
        <f>(VLOOKUP($A353,'The List'!$B1:$AH727,20,FALSE)-AVERAGE('The List'!U2:U727))/STDEV('The List'!U2:U727)</f>
        <v>-0.35690508870440257</v>
      </c>
      <c r="I353" s="39">
        <f>(VLOOKUP($A353,'The List'!$B1:$AH727,21,FALSE)-AVERAGE('The List'!V2:V727))/STDEV('The List'!V2:V727)</f>
        <v>-0.46804606244003016</v>
      </c>
      <c r="J353" s="39">
        <f>(VLOOKUP($A353,'The List'!$B1:$AH727,22,FALSE)-AVERAGE('The List'!W2:W727))/STDEV('The List'!W2:W727)</f>
        <v>-0.11762083849433994</v>
      </c>
      <c r="K353" s="39">
        <f>(VLOOKUP($A353,'The List'!$B1:$AH727,23,FALSE)-AVERAGE('The List'!X2:X727))/STDEV('The List'!X2:X727)</f>
        <v>-0.35894635665306357</v>
      </c>
      <c r="L353" s="39">
        <f>(VLOOKUP($A353,'The List'!$B1:$AH727,24,FALSE)-AVERAGE('The List'!Y2:Y727))/STDEV('The List'!Y2:Y727)</f>
        <v>-0.53647518725379517</v>
      </c>
      <c r="M353" s="39">
        <f>(VLOOKUP($A353,'The List'!$B1:$AH727,25,FALSE)-AVERAGE('The List'!Z2:Z727))/STDEV('The List'!Z2:Z727)</f>
        <v>-0.71521037781887387</v>
      </c>
      <c r="N353" s="39">
        <f>(VLOOKUP($A353,'The List'!$B1:$AH727,26,FALSE)-AVERAGE('The List'!AA2:AA727))/STDEV('The List'!AA2:AA727)</f>
        <v>-0.72339780804525877</v>
      </c>
      <c r="O353" s="39">
        <f>(VLOOKUP($A353,'The List'!$B1:$AH727,27,FALSE)-AVERAGE('The List'!AB2:AB727))/STDEV('The List'!AB2:AB727)</f>
        <v>-1.0967728019681584</v>
      </c>
      <c r="P353" s="39">
        <f>(VLOOKUP($A353,'The List'!$B1:$AH727,28,FALSE)-AVERAGE('The List'!AC2:AC727))/STDEV('The List'!AC2:AC727)</f>
        <v>-0.7150191483491336</v>
      </c>
      <c r="Q353" s="39">
        <f>(VLOOKUP($A353,'The List'!$B1:$AH727,29,FALSE)-AVERAGE('The List'!AD2:AD727))/STDEV('The List'!AD2:AD727)</f>
        <v>-0.81201155051451557</v>
      </c>
      <c r="R353" s="39">
        <f>(VLOOKUP($A353,'The List'!$B1:$AH727,30,FALSE)-AVERAGE('The List'!AE2:AE727))/STDEV('The List'!AE2:AE727)</f>
        <v>-5.7897313163292739E-2</v>
      </c>
      <c r="S353" s="39">
        <f>(VLOOKUP($A353,'The List'!$B1:$AH727,31,FALSE)-AVERAGE('The List'!AF2:AF727))/STDEV('The List'!AF2:AF727)</f>
        <v>-0.54240108021436928</v>
      </c>
      <c r="T353" s="39">
        <f>(VLOOKUP($A353,'The List'!$B1:$AH727,32,FALSE)-AVERAGE('The List'!AG2:AG727))/STDEV('The List'!AG2:AG727)</f>
        <v>-0.58542940088957618</v>
      </c>
      <c r="U353" s="39">
        <f>(VLOOKUP($A353,'The List'!$B1:$AH727,33,FALSE)-AVERAGE('The List'!AH2:AH727))/STDEV('The List'!AH2:AH727)</f>
        <v>1.0193495665072134</v>
      </c>
      <c r="V353" s="39"/>
      <c r="W353" s="41"/>
      <c r="X353" s="39"/>
      <c r="Y353" s="39"/>
      <c r="Z353" s="39"/>
      <c r="AA353" s="39"/>
      <c r="AB353" s="39"/>
      <c r="AC353" s="39"/>
      <c r="AD353" s="39"/>
      <c r="AE353" s="39"/>
    </row>
    <row r="354" spans="1:31" ht="21.25" customHeight="1" x14ac:dyDescent="0.15">
      <c r="A354" s="8" t="s">
        <v>679</v>
      </c>
      <c r="B354" s="35" t="str">
        <f>VLOOKUP(A354,'Player Data'!A1:B734,2,FALSE)</f>
        <v>BOS</v>
      </c>
      <c r="C354" s="37">
        <f>((E354)*Settings!$C$12)+(F354*Settings!$C$2)+(G354*Settings!$C$3)+(H354*Settings!$C$4)+(I354*Settings!$C$5)+(K354*Settings!$C$9)+(N354*Settings!$C$6)+(J354*Settings!$C$8)+(O354*Settings!$C$7)+(P354*Settings!$C$14)+(Q354*Settings!$C$15)+(R354*Settings!$C$16)+(S354*Settings!$C$17)+(T354*Settings!$C$18)+(U354*Settings!$C$19)</f>
        <v>-0.9773984272367493</v>
      </c>
      <c r="D354" s="41">
        <f>IF(Settings!$E$12="YES",VLOOKUP(A354,'Player Data'!A1:E734,5,FALSE),82)</f>
        <v>76.422499999999999</v>
      </c>
      <c r="E354" s="39">
        <f>(VLOOKUP($A354,'The List'!$B1:$AH727,17,FALSE)-AVERAGE('The List'!R2:R727))/STDEV('The List'!R2:R727)</f>
        <v>-1.0918070682529948</v>
      </c>
      <c r="F354" s="39">
        <f>(VLOOKUP($A354,'The List'!$B1:$AH727,18,FALSE)-AVERAGE('The List'!S2:S727))/STDEV('The List'!S2:S727)</f>
        <v>9.0371852748714829E-2</v>
      </c>
      <c r="G354" s="39">
        <f>(VLOOKUP($A354,'The List'!$B1:$AH727,19,FALSE)-AVERAGE('The List'!T2:T727))/STDEV('The List'!T2:T727)</f>
        <v>-0.63610576496767179</v>
      </c>
      <c r="H354" s="39">
        <f>(VLOOKUP($A354,'The List'!$B1:$AH727,20,FALSE)-AVERAGE('The List'!U2:U727))/STDEV('The List'!U2:U727)</f>
        <v>-0.35084938144758965</v>
      </c>
      <c r="I354" s="39">
        <f>(VLOOKUP($A354,'The List'!$B1:$AH727,21,FALSE)-AVERAGE('The List'!V2:V727))/STDEV('The List'!V2:V727)</f>
        <v>-0.2175929789532644</v>
      </c>
      <c r="J354" s="39">
        <f>(VLOOKUP($A354,'The List'!$B1:$AH727,22,FALSE)-AVERAGE('The List'!W2:W727))/STDEV('The List'!W2:W727)</f>
        <v>-0.69649128622809697</v>
      </c>
      <c r="K354" s="39">
        <f>(VLOOKUP($A354,'The List'!$B1:$AH727,23,FALSE)-AVERAGE('The List'!X2:X727))/STDEV('The List'!X2:X727)</f>
        <v>-0.78608397941293584</v>
      </c>
      <c r="L354" s="39">
        <f>(VLOOKUP($A354,'The List'!$B1:$AH727,24,FALSE)-AVERAGE('The List'!Y2:Y727))/STDEV('The List'!Y2:Y727)</f>
        <v>-0.39687702469226016</v>
      </c>
      <c r="M354" s="39">
        <f>(VLOOKUP($A354,'The List'!$B1:$AH727,25,FALSE)-AVERAGE('The List'!Z2:Z727))/STDEV('The List'!Z2:Z727)</f>
        <v>-0.12793998605002935</v>
      </c>
      <c r="N354" s="39">
        <f>(VLOOKUP($A354,'The List'!$B1:$AH727,26,FALSE)-AVERAGE('The List'!AA2:AA727))/STDEV('The List'!AA2:AA727)</f>
        <v>-0.63559431643238951</v>
      </c>
      <c r="O354" s="39">
        <f>(VLOOKUP($A354,'The List'!$B1:$AH727,27,FALSE)-AVERAGE('The List'!AB2:AB727))/STDEV('The List'!AB2:AB727)</f>
        <v>0.57047088655459066</v>
      </c>
      <c r="P354" s="39">
        <f>(VLOOKUP($A354,'The List'!$B1:$AH727,28,FALSE)-AVERAGE('The List'!AC2:AC727))/STDEV('The List'!AC2:AC727)</f>
        <v>1.2076067597807973</v>
      </c>
      <c r="Q354" s="39">
        <f>(VLOOKUP($A354,'The List'!$B1:$AH727,29,FALSE)-AVERAGE('The List'!AD2:AD727))/STDEV('The List'!AD2:AD727)</f>
        <v>1.528895994400735</v>
      </c>
      <c r="R354" s="39">
        <f>(VLOOKUP($A354,'The List'!$B1:$AH727,30,FALSE)-AVERAGE('The List'!AE2:AE727))/STDEV('The List'!AE2:AE727)</f>
        <v>0.32595325955133891</v>
      </c>
      <c r="S354" s="39">
        <f>(VLOOKUP($A354,'The List'!$B1:$AH727,31,FALSE)-AVERAGE('The List'!AF2:AF727))/STDEV('The List'!AF2:AF727)</f>
        <v>-0.39968976304437231</v>
      </c>
      <c r="T354" s="39">
        <f>(VLOOKUP($A354,'The List'!$B1:$AH727,32,FALSE)-AVERAGE('The List'!AG2:AG727))/STDEV('The List'!AG2:AG727)</f>
        <v>-0.33328980262154906</v>
      </c>
      <c r="U354" s="39">
        <f>(VLOOKUP($A354,'The List'!$B1:$AH727,33,FALSE)-AVERAGE('The List'!AH2:AH727))/STDEV('The List'!AH2:AH727)</f>
        <v>0.48983287915374507</v>
      </c>
      <c r="V354" s="39"/>
      <c r="W354" s="43"/>
      <c r="X354" s="41"/>
      <c r="Y354" s="41"/>
      <c r="Z354" s="41"/>
      <c r="AA354" s="41"/>
      <c r="AB354" s="41"/>
      <c r="AC354" s="44"/>
      <c r="AD354" s="45"/>
      <c r="AE354" s="39"/>
    </row>
    <row r="355" spans="1:31" ht="21.25" customHeight="1" x14ac:dyDescent="0.15">
      <c r="A355" s="8" t="s">
        <v>774</v>
      </c>
      <c r="B355" s="35" t="str">
        <f>VLOOKUP(A355,'Player Data'!A1:B734,2,FALSE)</f>
        <v>DET</v>
      </c>
      <c r="C355" s="37">
        <f>((E355)*Settings!$C$12)+(F355*Settings!$C$2)+(G355*Settings!$C$3)+(H355*Settings!$C$4)+(I355*Settings!$C$5)+(K355*Settings!$C$9)+(N355*Settings!$C$6)+(J355*Settings!$C$8)+(O355*Settings!$C$7)+(P355*Settings!$C$14)+(Q355*Settings!$C$15)+(R355*Settings!$C$16)+(S355*Settings!$C$17)+(T355*Settings!$C$18)+(U355*Settings!$C$19)</f>
        <v>-4.1680944374571256</v>
      </c>
      <c r="D355" s="41">
        <f>IF(Settings!$E$12="YES",VLOOKUP(A355,'Player Data'!A1:E734,5,FALSE),82)</f>
        <v>63.910357142857102</v>
      </c>
      <c r="E355" s="39">
        <f>(VLOOKUP($A355,'The List'!$B1:$AH727,17,FALSE)-AVERAGE('The List'!R2:R727))/STDEV('The List'!R2:R727)</f>
        <v>-1.4124988254476598</v>
      </c>
      <c r="F355" s="39">
        <f>(VLOOKUP($A355,'The List'!$B1:$AH727,18,FALSE)-AVERAGE('The List'!S2:S727))/STDEV('The List'!S2:S727)</f>
        <v>-0.20007310598207625</v>
      </c>
      <c r="G355" s="39">
        <f>(VLOOKUP($A355,'The List'!$B1:$AH727,19,FALSE)-AVERAGE('The List'!T2:T727))/STDEV('The List'!T2:T727)</f>
        <v>-0.75318095696104048</v>
      </c>
      <c r="H355" s="39">
        <f>(VLOOKUP($A355,'The List'!$B1:$AH727,20,FALSE)-AVERAGE('The List'!U2:U727))/STDEV('The List'!U2:U727)</f>
        <v>-0.55516282398409766</v>
      </c>
      <c r="I355" s="39">
        <f>(VLOOKUP($A355,'The List'!$B1:$AH727,21,FALSE)-AVERAGE('The List'!V2:V727))/STDEV('The List'!V2:V727)</f>
        <v>-1.0116311295067828</v>
      </c>
      <c r="J355" s="39">
        <f>(VLOOKUP($A355,'The List'!$B1:$AH727,22,FALSE)-AVERAGE('The List'!W2:W727))/STDEV('The List'!W2:W727)</f>
        <v>-0.69724926416454858</v>
      </c>
      <c r="K355" s="39">
        <f>(VLOOKUP($A355,'The List'!$B1:$AH727,23,FALSE)-AVERAGE('The List'!X2:X727))/STDEV('The List'!X2:X727)</f>
        <v>-0.78685321778541317</v>
      </c>
      <c r="L355" s="39">
        <f>(VLOOKUP($A355,'The List'!$B1:$AH727,24,FALSE)-AVERAGE('The List'!Y2:Y727))/STDEV('The List'!Y2:Y727)</f>
        <v>-0.54318373524655483</v>
      </c>
      <c r="M355" s="39">
        <f>(VLOOKUP($A355,'The List'!$B1:$AH727,25,FALSE)-AVERAGE('The List'!Z2:Z727))/STDEV('The List'!Z2:Z727)</f>
        <v>-0.7227758405072231</v>
      </c>
      <c r="N355" s="39">
        <f>(VLOOKUP($A355,'The List'!$B1:$AH727,26,FALSE)-AVERAGE('The List'!AA2:AA727))/STDEV('The List'!AA2:AA727)</f>
        <v>-0.99893332340681262</v>
      </c>
      <c r="O355" s="39">
        <f>(VLOOKUP($A355,'The List'!$B1:$AH727,27,FALSE)-AVERAGE('The List'!AB2:AB727))/STDEV('The List'!AB2:AB727)</f>
        <v>1.6444778005382146</v>
      </c>
      <c r="P355" s="39">
        <f>(VLOOKUP($A355,'The List'!$B1:$AH727,28,FALSE)-AVERAGE('The List'!AC2:AC727))/STDEV('The List'!AC2:AC727)</f>
        <v>-0.41742270381500057</v>
      </c>
      <c r="Q355" s="39">
        <f>(VLOOKUP($A355,'The List'!$B1:$AH727,29,FALSE)-AVERAGE('The List'!AD2:AD727))/STDEV('The List'!AD2:AD727)</f>
        <v>0.91986926757357235</v>
      </c>
      <c r="R355" s="39">
        <f>(VLOOKUP($A355,'The List'!$B1:$AH727,30,FALSE)-AVERAGE('The List'!AE2:AE727))/STDEV('The List'!AE2:AE727)</f>
        <v>-0.26958618820421026</v>
      </c>
      <c r="S355" s="39">
        <f>(VLOOKUP($A355,'The List'!$B1:$AH727,31,FALSE)-AVERAGE('The List'!AF2:AF727))/STDEV('The List'!AF2:AF727)</f>
        <v>-0.53310994437137504</v>
      </c>
      <c r="T355" s="39">
        <f>(VLOOKUP($A355,'The List'!$B1:$AH727,32,FALSE)-AVERAGE('The List'!AG2:AG727))/STDEV('The List'!AG2:AG727)</f>
        <v>-0.56659302974450243</v>
      </c>
      <c r="U355" s="39">
        <f>(VLOOKUP($A355,'The List'!$B1:$AH727,33,FALSE)-AVERAGE('The List'!AH2:AH727))/STDEV('The List'!AH2:AH727)</f>
        <v>0.68659770876775694</v>
      </c>
      <c r="V355" s="39"/>
      <c r="W355" s="43"/>
      <c r="X355" s="41"/>
      <c r="Y355" s="41"/>
      <c r="Z355" s="41"/>
      <c r="AA355" s="41"/>
      <c r="AB355" s="41"/>
      <c r="AC355" s="44"/>
      <c r="AD355" s="45"/>
      <c r="AE355" s="39"/>
    </row>
    <row r="356" spans="1:31" ht="21.25" customHeight="1" x14ac:dyDescent="0.15">
      <c r="A356" s="8" t="s">
        <v>347</v>
      </c>
      <c r="B356" s="35" t="str">
        <f>VLOOKUP(A356,'Player Data'!A1:B734,2,FALSE)</f>
        <v>CAR</v>
      </c>
      <c r="C356" s="37">
        <f>((E356)*Settings!$C$12)+(F356*Settings!$C$2)+(G356*Settings!$C$3)+(H356*Settings!$C$4)+(I356*Settings!$C$5)+(K356*Settings!$C$9)+(N356*Settings!$C$6)+(J356*Settings!$C$8)+(O356*Settings!$C$7)+(P356*Settings!$C$14)+(Q356*Settings!$C$15)+(R356*Settings!$C$16)+(S356*Settings!$C$17)+(T356*Settings!$C$18)+(U356*Settings!$C$19)</f>
        <v>1.1565369032344504</v>
      </c>
      <c r="D356" s="41">
        <f>IF(Settings!$E$12="YES",VLOOKUP(A356,'Player Data'!A1:E734,5,FALSE),82)</f>
        <v>80.599999999999994</v>
      </c>
      <c r="E356" s="39">
        <f>(VLOOKUP($A356,'The List'!$B1:$AH727,17,FALSE)-AVERAGE('The List'!R2:R727))/STDEV('The List'!R2:R727)</f>
        <v>0.72518839277297054</v>
      </c>
      <c r="F356" s="39">
        <f>(VLOOKUP($A356,'The List'!$B1:$AH727,18,FALSE)-AVERAGE('The List'!S2:S727))/STDEV('The List'!S2:S727)</f>
        <v>-0.33970903489653548</v>
      </c>
      <c r="G356" s="39">
        <f>(VLOOKUP($A356,'The List'!$B1:$AH727,19,FALSE)-AVERAGE('The List'!T2:T727))/STDEV('The List'!T2:T727)</f>
        <v>-0.21075456764274622</v>
      </c>
      <c r="H356" s="39">
        <f>(VLOOKUP($A356,'The List'!$B1:$AH727,20,FALSE)-AVERAGE('The List'!U2:U727))/STDEV('The List'!U2:U727)</f>
        <v>-0.28445777382654075</v>
      </c>
      <c r="I356" s="39">
        <f>(VLOOKUP($A356,'The List'!$B1:$AH727,21,FALSE)-AVERAGE('The List'!V2:V727))/STDEV('The List'!V2:V727)</f>
        <v>0.412282953421587</v>
      </c>
      <c r="J356" s="39">
        <f>(VLOOKUP($A356,'The List'!$B1:$AH727,22,FALSE)-AVERAGE('The List'!W2:W727))/STDEV('The List'!W2:W727)</f>
        <v>-0.34708634468902644</v>
      </c>
      <c r="K356" s="39">
        <f>(VLOOKUP($A356,'The List'!$B1:$AH727,23,FALSE)-AVERAGE('The List'!X2:X727))/STDEV('The List'!X2:X727)</f>
        <v>-0.50424228554610651</v>
      </c>
      <c r="L356" s="39">
        <f>(VLOOKUP($A356,'The List'!$B1:$AH727,24,FALSE)-AVERAGE('The List'!Y2:Y727))/STDEV('The List'!Y2:Y727)</f>
        <v>0.19114478465270782</v>
      </c>
      <c r="M356" s="39">
        <f>(VLOOKUP($A356,'The List'!$B1:$AH727,25,FALSE)-AVERAGE('The List'!Z2:Z727))/STDEV('The List'!Z2:Z727)</f>
        <v>-2.4258702724543897E-2</v>
      </c>
      <c r="N356" s="39">
        <f>(VLOOKUP($A356,'The List'!$B1:$AH727,26,FALSE)-AVERAGE('The List'!AA2:AA727))/STDEV('The List'!AA2:AA727)</f>
        <v>0.30241991090658199</v>
      </c>
      <c r="O356" s="39">
        <f>(VLOOKUP($A356,'The List'!$B1:$AH727,27,FALSE)-AVERAGE('The List'!AB2:AB727))/STDEV('The List'!AB2:AB727)</f>
        <v>-0.24926230798891427</v>
      </c>
      <c r="P356" s="39">
        <f>(VLOOKUP($A356,'The List'!$B1:$AH727,28,FALSE)-AVERAGE('The List'!AC2:AC727))/STDEV('The List'!AC2:AC727)</f>
        <v>1.4965399269916697</v>
      </c>
      <c r="Q356" s="39">
        <f>(VLOOKUP($A356,'The List'!$B1:$AH727,29,FALSE)-AVERAGE('The List'!AD2:AD727))/STDEV('The List'!AD2:AD727)</f>
        <v>0.60822640022661534</v>
      </c>
      <c r="R356" s="39">
        <f>(VLOOKUP($A356,'The List'!$B1:$AH727,30,FALSE)-AVERAGE('The List'!AE2:AE727))/STDEV('The List'!AE2:AE727)</f>
        <v>-7.3734532197983482E-2</v>
      </c>
      <c r="S356" s="39">
        <f>(VLOOKUP($A356,'The List'!$B1:$AH727,31,FALSE)-AVERAGE('The List'!AF2:AF727))/STDEV('The List'!AF2:AF727)</f>
        <v>-0.55804314905918151</v>
      </c>
      <c r="T356" s="39">
        <f>(VLOOKUP($A356,'The List'!$B1:$AH727,32,FALSE)-AVERAGE('The List'!AG2:AG727))/STDEV('The List'!AG2:AG727)</f>
        <v>-0.60188453558131205</v>
      </c>
      <c r="U356" s="39">
        <f>(VLOOKUP($A356,'The List'!$B1:$AH727,33,FALSE)-AVERAGE('The List'!AH2:AH727))/STDEV('The List'!AH2:AH727)</f>
        <v>-1.2395873372913611</v>
      </c>
      <c r="V356" s="39"/>
      <c r="W356" s="43"/>
      <c r="X356" s="41"/>
      <c r="Y356" s="41"/>
      <c r="Z356" s="41"/>
      <c r="AA356" s="41"/>
      <c r="AB356" s="41"/>
      <c r="AC356" s="44"/>
      <c r="AD356" s="45"/>
      <c r="AE356" s="39"/>
    </row>
    <row r="357" spans="1:31" ht="21.25" customHeight="1" x14ac:dyDescent="0.15">
      <c r="A357" s="8" t="s">
        <v>305</v>
      </c>
      <c r="B357" s="35" t="str">
        <f>VLOOKUP(A357,'Player Data'!A1:B734,2,FALSE)</f>
        <v>NYR</v>
      </c>
      <c r="C357" s="37">
        <f>((E357)*Settings!$C$12)+(F357*Settings!$C$2)+(G357*Settings!$C$3)+(H357*Settings!$C$4)+(I357*Settings!$C$5)+(K357*Settings!$C$9)+(N357*Settings!$C$6)+(J357*Settings!$C$8)+(O357*Settings!$C$7)+(P357*Settings!$C$14)+(Q357*Settings!$C$15)+(R357*Settings!$C$16)+(S357*Settings!$C$17)+(T357*Settings!$C$18)+(U357*Settings!$C$19)</f>
        <v>2.9361209017404404</v>
      </c>
      <c r="D357" s="41">
        <f>IF(Settings!$E$12="YES",VLOOKUP(A357,'Player Data'!A1:E734,5,FALSE),82)</f>
        <v>78.510000000000005</v>
      </c>
      <c r="E357" s="39">
        <f>(VLOOKUP($A357,'The List'!$B1:$AH727,17,FALSE)-AVERAGE('The List'!R2:R727))/STDEV('The List'!R2:R727)</f>
        <v>1.131104053399359</v>
      </c>
      <c r="F357" s="39">
        <f>(VLOOKUP($A357,'The List'!$B1:$AH727,18,FALSE)-AVERAGE('The List'!S2:S727))/STDEV('The List'!S2:S727)</f>
        <v>-0.59632487788249133</v>
      </c>
      <c r="G357" s="39">
        <f>(VLOOKUP($A357,'The List'!$B1:$AH727,19,FALSE)-AVERAGE('The List'!T2:T727))/STDEV('The List'!T2:T727)</f>
        <v>-7.8994947350684241E-2</v>
      </c>
      <c r="H357" s="39">
        <f>(VLOOKUP($A357,'The List'!$B1:$AH727,20,FALSE)-AVERAGE('The List'!U2:U727))/STDEV('The List'!U2:U727)</f>
        <v>-0.32004254921279079</v>
      </c>
      <c r="I357" s="39">
        <f>(VLOOKUP($A357,'The List'!$B1:$AH727,21,FALSE)-AVERAGE('The List'!V2:V727))/STDEV('The List'!V2:V727)</f>
        <v>0.61751987763451599</v>
      </c>
      <c r="J357" s="39">
        <f>(VLOOKUP($A357,'The List'!$B1:$AH727,22,FALSE)-AVERAGE('The List'!W2:W727))/STDEV('The List'!W2:W727)</f>
        <v>-0.57877876512780557</v>
      </c>
      <c r="K357" s="39">
        <f>(VLOOKUP($A357,'The List'!$B1:$AH727,23,FALSE)-AVERAGE('The List'!X2:X727))/STDEV('The List'!X2:X727)</f>
        <v>-0.6395799539751057</v>
      </c>
      <c r="L357" s="39">
        <f>(VLOOKUP($A357,'The List'!$B1:$AH727,24,FALSE)-AVERAGE('The List'!Y2:Y727))/STDEV('The List'!Y2:Y727)</f>
        <v>-0.50212588995710006</v>
      </c>
      <c r="M357" s="39">
        <f>(VLOOKUP($A357,'The List'!$B1:$AH727,25,FALSE)-AVERAGE('The List'!Z2:Z727))/STDEV('The List'!Z2:Z727)</f>
        <v>0.22221060931073641</v>
      </c>
      <c r="N357" s="39">
        <f>(VLOOKUP($A357,'The List'!$B1:$AH727,26,FALSE)-AVERAGE('The List'!AA2:AA727))/STDEV('The List'!AA2:AA727)</f>
        <v>2.8770831177151792</v>
      </c>
      <c r="O357" s="39">
        <f>(VLOOKUP($A357,'The List'!$B1:$AH727,27,FALSE)-AVERAGE('The List'!AB2:AB727))/STDEV('The List'!AB2:AB727)</f>
        <v>2.0930032390376265</v>
      </c>
      <c r="P357" s="39">
        <f>(VLOOKUP($A357,'The List'!$B1:$AH727,28,FALSE)-AVERAGE('The List'!AC2:AC727))/STDEV('The List'!AC2:AC727)</f>
        <v>0.75641768559902622</v>
      </c>
      <c r="Q357" s="39">
        <f>(VLOOKUP($A357,'The List'!$B1:$AH727,29,FALSE)-AVERAGE('The List'!AD2:AD727))/STDEV('The List'!AD2:AD727)</f>
        <v>2.1082258968871885</v>
      </c>
      <c r="R357" s="39">
        <f>(VLOOKUP($A357,'The List'!$B1:$AH727,30,FALSE)-AVERAGE('The List'!AE2:AE727))/STDEV('The List'!AE2:AE727)</f>
        <v>-0.4156189134251676</v>
      </c>
      <c r="S357" s="39">
        <f>(VLOOKUP($A357,'The List'!$B1:$AH727,31,FALSE)-AVERAGE('The List'!AF2:AF727))/STDEV('The List'!AF2:AF727)</f>
        <v>-0.55804314905918151</v>
      </c>
      <c r="T357" s="39">
        <f>(VLOOKUP($A357,'The List'!$B1:$AH727,32,FALSE)-AVERAGE('The List'!AG2:AG727))/STDEV('The List'!AG2:AG727)</f>
        <v>-0.59819904214703501</v>
      </c>
      <c r="U357" s="39">
        <f>(VLOOKUP($A357,'The List'!$B1:$AH727,33,FALSE)-AVERAGE('The List'!AH2:AH727))/STDEV('The List'!AH2:AH727)</f>
        <v>-1.2395873372913611</v>
      </c>
      <c r="V357" s="39"/>
      <c r="W357" s="43"/>
      <c r="X357" s="41"/>
      <c r="Y357" s="41"/>
      <c r="Z357" s="41"/>
      <c r="AA357" s="41"/>
      <c r="AB357" s="41"/>
      <c r="AC357" s="44"/>
      <c r="AD357" s="45"/>
      <c r="AE357" s="39"/>
    </row>
    <row r="358" spans="1:31" ht="21.25" customHeight="1" x14ac:dyDescent="0.15">
      <c r="A358" s="8" t="s">
        <v>565</v>
      </c>
      <c r="B358" s="35" t="str">
        <f>VLOOKUP(A358,'Player Data'!A1:B734,2,FALSE)</f>
        <v>CBJ</v>
      </c>
      <c r="C358" s="37">
        <f>((E358)*Settings!$C$12)+(F358*Settings!$C$2)+(G358*Settings!$C$3)+(H358*Settings!$C$4)+(I358*Settings!$C$5)+(K358*Settings!$C$9)+(N358*Settings!$C$6)+(J358*Settings!$C$8)+(O358*Settings!$C$7)+(P358*Settings!$C$14)+(Q358*Settings!$C$15)+(R358*Settings!$C$16)+(S358*Settings!$C$17)+(T358*Settings!$C$18)+(U358*Settings!$C$19)</f>
        <v>-2.8907972414002447</v>
      </c>
      <c r="D358" s="41">
        <f>IF(Settings!$E$12="YES",VLOOKUP(A358,'Player Data'!A1:E734,5,FALSE),82)</f>
        <v>70</v>
      </c>
      <c r="E358" s="39">
        <f>(VLOOKUP($A358,'The List'!$B1:$AH727,17,FALSE)-AVERAGE('The List'!R2:R727))/STDEV('The List'!R2:R727)</f>
        <v>-0.86521555785588178</v>
      </c>
      <c r="F358" s="39">
        <f>(VLOOKUP($A358,'The List'!$B1:$AH727,18,FALSE)-AVERAGE('The List'!S2:S727))/STDEV('The List'!S2:S727)</f>
        <v>-0.29614551049948684</v>
      </c>
      <c r="G358" s="39">
        <f>(VLOOKUP($A358,'The List'!$B1:$AH727,19,FALSE)-AVERAGE('The List'!T2:T727))/STDEV('The List'!T2:T727)</f>
        <v>-0.53002289596350005</v>
      </c>
      <c r="H358" s="39">
        <f>(VLOOKUP($A358,'The List'!$B1:$AH727,20,FALSE)-AVERAGE('The List'!U2:U727))/STDEV('The List'!U2:U727)</f>
        <v>-0.46136972789046599</v>
      </c>
      <c r="I358" s="39">
        <f>(VLOOKUP($A358,'The List'!$B1:$AH727,21,FALSE)-AVERAGE('The List'!V2:V727))/STDEV('The List'!V2:V727)</f>
        <v>-0.40483231695433064</v>
      </c>
      <c r="J358" s="39">
        <f>(VLOOKUP($A358,'The List'!$B1:$AH727,22,FALSE)-AVERAGE('The List'!W2:W727))/STDEV('The List'!W2:W727)</f>
        <v>-0.25671237302078598</v>
      </c>
      <c r="K358" s="39">
        <f>(VLOOKUP($A358,'The List'!$B1:$AH727,23,FALSE)-AVERAGE('The List'!X2:X727))/STDEV('The List'!X2:X727)</f>
        <v>-0.38919993017917748</v>
      </c>
      <c r="L358" s="39">
        <f>(VLOOKUP($A358,'The List'!$B1:$AH727,24,FALSE)-AVERAGE('The List'!Y2:Y727))/STDEV('The List'!Y2:Y727)</f>
        <v>-0.54402834717551152</v>
      </c>
      <c r="M358" s="39">
        <f>(VLOOKUP($A358,'The List'!$B1:$AH727,25,FALSE)-AVERAGE('The List'!Z2:Z727))/STDEV('The List'!Z2:Z727)</f>
        <v>-0.72372514007823274</v>
      </c>
      <c r="N358" s="39">
        <f>(VLOOKUP($A358,'The List'!$B1:$AH727,26,FALSE)-AVERAGE('The List'!AA2:AA727))/STDEV('The List'!AA2:AA727)</f>
        <v>-0.72535711011851256</v>
      </c>
      <c r="O358" s="39">
        <f>(VLOOKUP($A358,'The List'!$B1:$AH727,27,FALSE)-AVERAGE('The List'!AB2:AB727))/STDEV('The List'!AB2:AB727)</f>
        <v>-0.43178829877142222</v>
      </c>
      <c r="P358" s="39">
        <f>(VLOOKUP($A358,'The List'!$B1:$AH727,28,FALSE)-AVERAGE('The List'!AC2:AC727))/STDEV('The List'!AC2:AC727)</f>
        <v>-0.54523947768523717</v>
      </c>
      <c r="Q358" s="39">
        <f>(VLOOKUP($A358,'The List'!$B1:$AH727,29,FALSE)-AVERAGE('The List'!AD2:AD727))/STDEV('The List'!AD2:AD727)</f>
        <v>-0.66084197987146354</v>
      </c>
      <c r="R358" s="39">
        <f>(VLOOKUP($A358,'The List'!$B1:$AH727,30,FALSE)-AVERAGE('The List'!AE2:AE727))/STDEV('The List'!AE2:AE727)</f>
        <v>-0.49371357732506832</v>
      </c>
      <c r="S358" s="39">
        <f>(VLOOKUP($A358,'The List'!$B1:$AH727,31,FALSE)-AVERAGE('The List'!AF2:AF727))/STDEV('The List'!AF2:AF727)</f>
        <v>-0.55362129528951565</v>
      </c>
      <c r="T358" s="39">
        <f>(VLOOKUP($A358,'The List'!$B1:$AH727,32,FALSE)-AVERAGE('The List'!AG2:AG727))/STDEV('The List'!AG2:AG727)</f>
        <v>-0.57001242338319258</v>
      </c>
      <c r="U358" s="39">
        <f>(VLOOKUP($A358,'The List'!$B1:$AH727,33,FALSE)-AVERAGE('The List'!AH2:AH727))/STDEV('The List'!AH2:AH727)</f>
        <v>-0.6641876396333849</v>
      </c>
      <c r="V358" s="39"/>
      <c r="W358" s="41"/>
      <c r="X358" s="39"/>
      <c r="Y358" s="39"/>
      <c r="Z358" s="39"/>
      <c r="AA358" s="39"/>
      <c r="AB358" s="39"/>
      <c r="AC358" s="39"/>
      <c r="AD358" s="39"/>
      <c r="AE358" s="39"/>
    </row>
    <row r="359" spans="1:31" ht="21.25" customHeight="1" x14ac:dyDescent="0.15">
      <c r="A359" s="8" t="s">
        <v>354</v>
      </c>
      <c r="B359" s="35" t="str">
        <f>VLOOKUP(A359,'Player Data'!A1:B734,2,FALSE)</f>
        <v>SJS</v>
      </c>
      <c r="C359" s="37">
        <f>((E359)*Settings!$C$12)+(F359*Settings!$C$2)+(G359*Settings!$C$3)+(H359*Settings!$C$4)+(I359*Settings!$C$5)+(K359*Settings!$C$9)+(N359*Settings!$C$6)+(J359*Settings!$C$8)+(O359*Settings!$C$7)+(P359*Settings!$C$14)+(Q359*Settings!$C$15)+(R359*Settings!$C$16)+(S359*Settings!$C$17)+(T359*Settings!$C$18)+(U359*Settings!$C$19)</f>
        <v>1.0851073248933982</v>
      </c>
      <c r="D359" s="41">
        <f>IF(Settings!$E$12="YES",VLOOKUP(A359,'Player Data'!A1:E734,5,FALSE),82)</f>
        <v>76.599999999999994</v>
      </c>
      <c r="E359" s="39">
        <f>(VLOOKUP($A359,'The List'!$B1:$AH727,17,FALSE)-AVERAGE('The List'!R2:R727))/STDEV('The List'!R2:R727)</f>
        <v>2.5190397837952805</v>
      </c>
      <c r="F359" s="39">
        <f>(VLOOKUP($A359,'The List'!$B1:$AH727,18,FALSE)-AVERAGE('The List'!S2:S727))/STDEV('The List'!S2:S727)</f>
        <v>-0.78618027571218507</v>
      </c>
      <c r="G359" s="39">
        <f>(VLOOKUP($A359,'The List'!$B1:$AH727,19,FALSE)-AVERAGE('The List'!T2:T727))/STDEV('The List'!T2:T727)</f>
        <v>3.3607490809571144E-3</v>
      </c>
      <c r="H359" s="39">
        <f>(VLOOKUP($A359,'The List'!$B1:$AH727,20,FALSE)-AVERAGE('The List'!U2:U727))/STDEV('The List'!U2:U727)</f>
        <v>-0.3556902972180418</v>
      </c>
      <c r="I359" s="39">
        <f>(VLOOKUP($A359,'The List'!$B1:$AH727,21,FALSE)-AVERAGE('The List'!V2:V727))/STDEV('The List'!V2:V727)</f>
        <v>-0.55451712622455318</v>
      </c>
      <c r="J359" s="39">
        <f>(VLOOKUP($A359,'The List'!$B1:$AH727,22,FALSE)-AVERAGE('The List'!W2:W727))/STDEV('The List'!W2:W727)</f>
        <v>-0.49608689349389712</v>
      </c>
      <c r="K359" s="39">
        <f>(VLOOKUP($A359,'The List'!$B1:$AH727,23,FALSE)-AVERAGE('The List'!X2:X727))/STDEV('The List'!X2:X727)</f>
        <v>0.10593656640364103</v>
      </c>
      <c r="L359" s="39">
        <f>(VLOOKUP($A359,'The List'!$B1:$AH727,24,FALSE)-AVERAGE('The List'!Y2:Y727))/STDEV('The List'!Y2:Y727)</f>
        <v>-0.49356421874995121</v>
      </c>
      <c r="M359" s="39">
        <f>(VLOOKUP($A359,'The List'!$B1:$AH727,25,FALSE)-AVERAGE('The List'!Z2:Z727))/STDEV('The List'!Z2:Z727)</f>
        <v>-0.56095153434855993</v>
      </c>
      <c r="N359" s="39">
        <f>(VLOOKUP($A359,'The List'!$B1:$AH727,26,FALSE)-AVERAGE('The List'!AA2:AA727))/STDEV('The List'!AA2:AA727)</f>
        <v>2.897076723455247</v>
      </c>
      <c r="O359" s="39">
        <f>(VLOOKUP($A359,'The List'!$B1:$AH727,27,FALSE)-AVERAGE('The List'!AB2:AB727))/STDEV('The List'!AB2:AB727)</f>
        <v>1.3102611722177326</v>
      </c>
      <c r="P359" s="39">
        <f>(VLOOKUP($A359,'The List'!$B1:$AH727,28,FALSE)-AVERAGE('The List'!AC2:AC727))/STDEV('The List'!AC2:AC727)</f>
        <v>-0.58056931210970886</v>
      </c>
      <c r="Q359" s="39">
        <f>(VLOOKUP($A359,'The List'!$B1:$AH727,29,FALSE)-AVERAGE('The List'!AD2:AD727))/STDEV('The List'!AD2:AD727)</f>
        <v>4.1581466490832358E-2</v>
      </c>
      <c r="R359" s="39">
        <f>(VLOOKUP($A359,'The List'!$B1:$AH727,30,FALSE)-AVERAGE('The List'!AE2:AE727))/STDEV('The List'!AE2:AE727)</f>
        <v>-0.78940282131496187</v>
      </c>
      <c r="S359" s="39">
        <f>(VLOOKUP($A359,'The List'!$B1:$AH727,31,FALSE)-AVERAGE('The List'!AF2:AF727))/STDEV('The List'!AF2:AF727)</f>
        <v>-0.55804314905918151</v>
      </c>
      <c r="T359" s="39">
        <f>(VLOOKUP($A359,'The List'!$B1:$AH727,32,FALSE)-AVERAGE('The List'!AG2:AG727))/STDEV('The List'!AG2:AG727)</f>
        <v>-0.59703296232379766</v>
      </c>
      <c r="U359" s="39">
        <f>(VLOOKUP($A359,'The List'!$B1:$AH727,33,FALSE)-AVERAGE('The List'!AH2:AH727))/STDEV('The List'!AH2:AH727)</f>
        <v>-1.2395873372913611</v>
      </c>
      <c r="V359" s="39"/>
      <c r="W359" s="41"/>
      <c r="X359" s="39"/>
      <c r="Y359" s="39"/>
      <c r="Z359" s="39"/>
      <c r="AA359" s="39"/>
      <c r="AB359" s="39"/>
      <c r="AC359" s="39"/>
      <c r="AD359" s="39"/>
      <c r="AE359" s="39"/>
    </row>
    <row r="360" spans="1:31" ht="21.25" customHeight="1" x14ac:dyDescent="0.15">
      <c r="A360" s="8" t="s">
        <v>752</v>
      </c>
      <c r="B360" s="35" t="str">
        <f>VLOOKUP(A360,'Player Data'!A1:B734,2,FALSE)</f>
        <v>OTT</v>
      </c>
      <c r="C360" s="37">
        <f>((E360)*Settings!$C$12)+(F360*Settings!$C$2)+(G360*Settings!$C$3)+(H360*Settings!$C$4)+(I360*Settings!$C$5)+(K360*Settings!$C$9)+(N360*Settings!$C$6)+(J360*Settings!$C$8)+(O360*Settings!$C$7)+(P360*Settings!$C$14)+(Q360*Settings!$C$15)+(R360*Settings!$C$16)+(S360*Settings!$C$17)+(T360*Settings!$C$18)+(U360*Settings!$C$19)</f>
        <v>-3.1340512290564071</v>
      </c>
      <c r="D360" s="41">
        <f>IF(Settings!$E$12="YES",VLOOKUP(A360,'Player Data'!A1:E734,5,FALSE),82)</f>
        <v>63</v>
      </c>
      <c r="E360" s="39">
        <f>(VLOOKUP($A360,'The List'!$B1:$AH727,17,FALSE)-AVERAGE('The List'!R2:R727))/STDEV('The List'!R2:R727)</f>
        <v>-1.1681117640482961</v>
      </c>
      <c r="F360" s="39">
        <f>(VLOOKUP($A360,'The List'!$B1:$AH727,18,FALSE)-AVERAGE('The List'!S2:S727))/STDEV('The List'!S2:S727)</f>
        <v>-0.44872017184140028</v>
      </c>
      <c r="G360" s="39">
        <f>(VLOOKUP($A360,'The List'!$B1:$AH727,19,FALSE)-AVERAGE('The List'!T2:T727))/STDEV('The List'!T2:T727)</f>
        <v>-0.61659249561391738</v>
      </c>
      <c r="H360" s="39">
        <f>(VLOOKUP($A360,'The List'!$B1:$AH727,20,FALSE)-AVERAGE('The List'!U2:U727))/STDEV('The List'!U2:U727)</f>
        <v>-0.58414573079892851</v>
      </c>
      <c r="I360" s="39">
        <f>(VLOOKUP($A360,'The List'!$B1:$AH727,21,FALSE)-AVERAGE('The List'!V2:V727))/STDEV('The List'!V2:V727)</f>
        <v>-0.76250112426812899</v>
      </c>
      <c r="J360" s="39">
        <f>(VLOOKUP($A360,'The List'!$B1:$AH727,22,FALSE)-AVERAGE('The List'!W2:W727))/STDEV('The List'!W2:W727)</f>
        <v>-0.62654777000736994</v>
      </c>
      <c r="K360" s="39">
        <f>(VLOOKUP($A360,'The List'!$B1:$AH727,23,FALSE)-AVERAGE('The List'!X2:X727))/STDEV('The List'!X2:X727)</f>
        <v>-0.61979624721752591</v>
      </c>
      <c r="L360" s="39">
        <f>(VLOOKUP($A360,'The List'!$B1:$AH727,24,FALSE)-AVERAGE('The List'!Y2:Y727))/STDEV('The List'!Y2:Y727)</f>
        <v>-0.32494459268779635</v>
      </c>
      <c r="M360" s="39">
        <f>(VLOOKUP($A360,'The List'!$B1:$AH727,25,FALSE)-AVERAGE('The List'!Z2:Z727))/STDEV('The List'!Z2:Z727)</f>
        <v>-0.48185316625973368</v>
      </c>
      <c r="N360" s="39">
        <f>(VLOOKUP($A360,'The List'!$B1:$AH727,26,FALSE)-AVERAGE('The List'!AA2:AA727))/STDEV('The List'!AA2:AA727)</f>
        <v>-1.0507945334669675</v>
      </c>
      <c r="O360" s="39">
        <f>(VLOOKUP($A360,'The List'!$B1:$AH727,27,FALSE)-AVERAGE('The List'!AB2:AB727))/STDEV('The List'!AB2:AB727)</f>
        <v>-1.2689955372536858E-2</v>
      </c>
      <c r="P360" s="39">
        <f>(VLOOKUP($A360,'The List'!$B1:$AH727,28,FALSE)-AVERAGE('The List'!AC2:AC727))/STDEV('The List'!AC2:AC727)</f>
        <v>0.36435334335153352</v>
      </c>
      <c r="Q360" s="39">
        <f>(VLOOKUP($A360,'The List'!$B1:$AH727,29,FALSE)-AVERAGE('The List'!AD2:AD727))/STDEV('The List'!AD2:AD727)</f>
        <v>-0.47599968900002293</v>
      </c>
      <c r="R360" s="39">
        <f>(VLOOKUP($A360,'The List'!$B1:$AH727,30,FALSE)-AVERAGE('The List'!AE2:AE727))/STDEV('The List'!AE2:AE727)</f>
        <v>-0.42523620876867341</v>
      </c>
      <c r="S360" s="39">
        <f>(VLOOKUP($A360,'The List'!$B1:$AH727,31,FALSE)-AVERAGE('The List'!AF2:AF727))/STDEV('The List'!AF2:AF727)</f>
        <v>6.8786462330762896E-2</v>
      </c>
      <c r="T360" s="39">
        <f>(VLOOKUP($A360,'The List'!$B1:$AH727,32,FALSE)-AVERAGE('The List'!AG2:AG727))/STDEV('The List'!AG2:AG727)</f>
        <v>0.41023599107008707</v>
      </c>
      <c r="U360" s="39">
        <f>(VLOOKUP($A360,'The List'!$B1:$AH727,33,FALSE)-AVERAGE('The List'!AH2:AH727))/STDEV('The List'!AH2:AH727)</f>
        <v>0.54269315561393772</v>
      </c>
      <c r="V360" s="39"/>
      <c r="W360" s="41"/>
      <c r="X360" s="39"/>
      <c r="Y360" s="39"/>
      <c r="Z360" s="39"/>
      <c r="AA360" s="39"/>
      <c r="AB360" s="39"/>
      <c r="AC360" s="39"/>
      <c r="AD360" s="39"/>
      <c r="AE360" s="39"/>
    </row>
    <row r="361" spans="1:31" ht="21.25" customHeight="1" x14ac:dyDescent="0.15">
      <c r="A361" s="8" t="s">
        <v>674</v>
      </c>
      <c r="B361" s="35" t="str">
        <f>VLOOKUP(A361,'Player Data'!A1:B734,2,FALSE)</f>
        <v>STL</v>
      </c>
      <c r="C361" s="37">
        <f>((E361)*Settings!$C$12)+(F361*Settings!$C$2)+(G361*Settings!$C$3)+(H361*Settings!$C$4)+(I361*Settings!$C$5)+(K361*Settings!$C$9)+(N361*Settings!$C$6)+(J361*Settings!$C$8)+(O361*Settings!$C$7)+(P361*Settings!$C$14)+(Q361*Settings!$C$15)+(R361*Settings!$C$16)+(S361*Settings!$C$17)+(T361*Settings!$C$18)+(U361*Settings!$C$19)</f>
        <v>-3.8761816016082538</v>
      </c>
      <c r="D361" s="41">
        <f>IF(Settings!$E$12="YES",VLOOKUP(A361,'Player Data'!A1:E734,5,FALSE),82)</f>
        <v>71.511428571428596</v>
      </c>
      <c r="E361" s="39">
        <f>(VLOOKUP($A361,'The List'!$B1:$AH727,17,FALSE)-AVERAGE('The List'!R2:R727))/STDEV('The List'!R2:R727)</f>
        <v>-1.1673331369315902</v>
      </c>
      <c r="F361" s="39">
        <f>(VLOOKUP($A361,'The List'!$B1:$AH727,18,FALSE)-AVERAGE('The List'!S2:S727))/STDEV('The List'!S2:S727)</f>
        <v>-0.3511747646542438</v>
      </c>
      <c r="G361" s="39">
        <f>(VLOOKUP($A361,'The List'!$B1:$AH727,19,FALSE)-AVERAGE('The List'!T2:T727))/STDEV('The List'!T2:T727)</f>
        <v>-0.48002426618276145</v>
      </c>
      <c r="H361" s="39">
        <f>(VLOOKUP($A361,'The List'!$B1:$AH727,20,FALSE)-AVERAGE('The List'!U2:U727))/STDEV('The List'!U2:U727)</f>
        <v>-0.45560186600646507</v>
      </c>
      <c r="I361" s="39">
        <f>(VLOOKUP($A361,'The List'!$B1:$AH727,21,FALSE)-AVERAGE('The List'!V2:V727))/STDEV('The List'!V2:V727)</f>
        <v>-0.93345070247624906</v>
      </c>
      <c r="J361" s="39">
        <f>(VLOOKUP($A361,'The List'!$B1:$AH727,22,FALSE)-AVERAGE('The List'!W2:W727))/STDEV('The List'!W2:W727)</f>
        <v>-0.62401696648258953</v>
      </c>
      <c r="K361" s="39">
        <f>(VLOOKUP($A361,'The List'!$B1:$AH727,23,FALSE)-AVERAGE('The List'!X2:X727))/STDEV('The List'!X2:X727)</f>
        <v>-0.68025747565891215</v>
      </c>
      <c r="L361" s="39">
        <f>(VLOOKUP($A361,'The List'!$B1:$AH727,24,FALSE)-AVERAGE('The List'!Y2:Y727))/STDEV('The List'!Y2:Y727)</f>
        <v>-0.53986243853128002</v>
      </c>
      <c r="M361" s="39">
        <f>(VLOOKUP($A361,'The List'!$B1:$AH727,25,FALSE)-AVERAGE('The List'!Z2:Z727))/STDEV('The List'!Z2:Z727)</f>
        <v>-0.71902183981772561</v>
      </c>
      <c r="N361" s="39">
        <f>(VLOOKUP($A361,'The List'!$B1:$AH727,26,FALSE)-AVERAGE('The List'!AA2:AA727))/STDEV('The List'!AA2:AA727)</f>
        <v>-0.61405287346440185</v>
      </c>
      <c r="O361" s="39">
        <f>(VLOOKUP($A361,'The List'!$B1:$AH727,27,FALSE)-AVERAGE('The List'!AB2:AB727))/STDEV('The List'!AB2:AB727)</f>
        <v>2.6038077621323361</v>
      </c>
      <c r="P361" s="39">
        <f>(VLOOKUP($A361,'The List'!$B1:$AH727,28,FALSE)-AVERAGE('The List'!AC2:AC727))/STDEV('The List'!AC2:AC727)</f>
        <v>-0.81722151917168562</v>
      </c>
      <c r="Q361" s="39">
        <f>(VLOOKUP($A361,'The List'!$B1:$AH727,29,FALSE)-AVERAGE('The List'!AD2:AD727))/STDEV('The List'!AD2:AD727)</f>
        <v>-2.5434326002153042E-2</v>
      </c>
      <c r="R361" s="39">
        <f>(VLOOKUP($A361,'The List'!$B1:$AH727,30,FALSE)-AVERAGE('The List'!AE2:AE727))/STDEV('The List'!AE2:AE727)</f>
        <v>-0.48348109246873899</v>
      </c>
      <c r="S361" s="39">
        <f>(VLOOKUP($A361,'The List'!$B1:$AH727,31,FALSE)-AVERAGE('The List'!AF2:AF727))/STDEV('The List'!AF2:AF727)</f>
        <v>-0.5435576313472692</v>
      </c>
      <c r="T361" s="39">
        <f>(VLOOKUP($A361,'The List'!$B1:$AH727,32,FALSE)-AVERAGE('The List'!AG2:AG727))/STDEV('The List'!AG2:AG727)</f>
        <v>-0.57593826825833105</v>
      </c>
      <c r="U361" s="39">
        <f>(VLOOKUP($A361,'The List'!$B1:$AH727,33,FALSE)-AVERAGE('The List'!AH2:AH727))/STDEV('The List'!AH2:AH727)</f>
        <v>0.43203859819208107</v>
      </c>
      <c r="V361" s="39"/>
      <c r="W361" s="41"/>
      <c r="X361" s="39"/>
      <c r="Y361" s="39"/>
      <c r="Z361" s="39"/>
      <c r="AA361" s="39"/>
      <c r="AB361" s="39"/>
      <c r="AC361" s="39"/>
      <c r="AD361" s="39"/>
      <c r="AE361" s="39"/>
    </row>
    <row r="362" spans="1:31" ht="21.25" customHeight="1" x14ac:dyDescent="0.15">
      <c r="A362" s="8" t="s">
        <v>570</v>
      </c>
      <c r="B362" s="35" t="str">
        <f>VLOOKUP(A362,'Player Data'!A1:B734,2,FALSE)</f>
        <v>COL</v>
      </c>
      <c r="C362" s="37">
        <f>((E362)*Settings!$C$12)+(F362*Settings!$C$2)+(G362*Settings!$C$3)+(H362*Settings!$C$4)+(I362*Settings!$C$5)+(K362*Settings!$C$9)+(N362*Settings!$C$6)+(J362*Settings!$C$8)+(O362*Settings!$C$7)+(P362*Settings!$C$14)+(Q362*Settings!$C$15)+(R362*Settings!$C$16)+(S362*Settings!$C$17)+(T362*Settings!$C$18)+(U362*Settings!$C$19)</f>
        <v>-1.615388895521471</v>
      </c>
      <c r="D362" s="41">
        <f>IF(Settings!$E$12="YES",VLOOKUP(A362,'Player Data'!A1:E734,5,FALSE),82)</f>
        <v>72.293571428571397</v>
      </c>
      <c r="E362" s="39">
        <f>(VLOOKUP($A362,'The List'!$B1:$AH727,17,FALSE)-AVERAGE('The List'!R2:R727))/STDEV('The List'!R2:R727)</f>
        <v>-1.1095626863245416</v>
      </c>
      <c r="F362" s="39">
        <f>(VLOOKUP($A362,'The List'!$B1:$AH727,18,FALSE)-AVERAGE('The List'!S2:S727))/STDEV('The List'!S2:S727)</f>
        <v>-9.4604105370955288E-2</v>
      </c>
      <c r="G362" s="39">
        <f>(VLOOKUP($A362,'The List'!$B1:$AH727,19,FALSE)-AVERAGE('The List'!T2:T727))/STDEV('The List'!T2:T727)</f>
        <v>-0.65576439735876324</v>
      </c>
      <c r="H362" s="39">
        <f>(VLOOKUP($A362,'The List'!$B1:$AH727,20,FALSE)-AVERAGE('The List'!U2:U727))/STDEV('The List'!U2:U727)</f>
        <v>-0.4471388478084552</v>
      </c>
      <c r="I362" s="39">
        <f>(VLOOKUP($A362,'The List'!$B1:$AH727,21,FALSE)-AVERAGE('The List'!V2:V727))/STDEV('The List'!V2:V727)</f>
        <v>0.25644733832799044</v>
      </c>
      <c r="J362" s="39">
        <f>(VLOOKUP($A362,'The List'!$B1:$AH727,22,FALSE)-AVERAGE('The List'!W2:W727))/STDEV('The List'!W2:W727)</f>
        <v>-0.60180541207493443</v>
      </c>
      <c r="K362" s="39">
        <f>(VLOOKUP($A362,'The List'!$B1:$AH727,23,FALSE)-AVERAGE('The List'!X2:X727))/STDEV('The List'!X2:X727)</f>
        <v>-0.73207343368738065</v>
      </c>
      <c r="L362" s="39">
        <f>(VLOOKUP($A362,'The List'!$B1:$AH727,24,FALSE)-AVERAGE('The List'!Y2:Y727))/STDEV('The List'!Y2:Y727)</f>
        <v>-0.52228872251798897</v>
      </c>
      <c r="M362" s="39">
        <f>(VLOOKUP($A362,'The List'!$B1:$AH727,25,FALSE)-AVERAGE('The List'!Z2:Z727))/STDEV('The List'!Z2:Z727)</f>
        <v>-0.69924374682697576</v>
      </c>
      <c r="N362" s="39">
        <f>(VLOOKUP($A362,'The List'!$B1:$AH727,26,FALSE)-AVERAGE('The List'!AA2:AA727))/STDEV('The List'!AA2:AA727)</f>
        <v>-0.93156037320494445</v>
      </c>
      <c r="O362" s="39">
        <f>(VLOOKUP($A362,'The List'!$B1:$AH727,27,FALSE)-AVERAGE('The List'!AB2:AB727))/STDEV('The List'!AB2:AB727)</f>
        <v>0.17046304290382797</v>
      </c>
      <c r="P362" s="39">
        <f>(VLOOKUP($A362,'The List'!$B1:$AH727,28,FALSE)-AVERAGE('The List'!AC2:AC727))/STDEV('The List'!AC2:AC727)</f>
        <v>0.54216607577258236</v>
      </c>
      <c r="Q362" s="39">
        <f>(VLOOKUP($A362,'The List'!$B1:$AH727,29,FALSE)-AVERAGE('The List'!AD2:AD727))/STDEV('The List'!AD2:AD727)</f>
        <v>0.64690485873483194</v>
      </c>
      <c r="R362" s="39">
        <f>(VLOOKUP($A362,'The List'!$B1:$AH727,30,FALSE)-AVERAGE('The List'!AE2:AE727))/STDEV('The List'!AE2:AE727)</f>
        <v>4.7380848182945329E-2</v>
      </c>
      <c r="S362" s="39">
        <f>(VLOOKUP($A362,'The List'!$B1:$AH727,31,FALSE)-AVERAGE('The List'!AF2:AF727))/STDEV('The List'!AF2:AF727)</f>
        <v>-0.54897857583356457</v>
      </c>
      <c r="T362" s="39">
        <f>(VLOOKUP($A362,'The List'!$B1:$AH727,32,FALSE)-AVERAGE('The List'!AG2:AG727))/STDEV('The List'!AG2:AG727)</f>
        <v>-0.56885886203499003</v>
      </c>
      <c r="U362" s="39">
        <f>(VLOOKUP($A362,'The List'!$B1:$AH727,33,FALSE)-AVERAGE('The List'!AH2:AH727))/STDEV('The List'!AH2:AH727)</f>
        <v>-0.2273726930738105</v>
      </c>
      <c r="V362" s="39"/>
      <c r="W362" s="43"/>
      <c r="X362" s="41"/>
      <c r="Y362" s="41"/>
      <c r="Z362" s="41"/>
      <c r="AA362" s="41"/>
      <c r="AB362" s="41"/>
      <c r="AC362" s="44"/>
      <c r="AD362" s="45"/>
      <c r="AE362" s="39"/>
    </row>
    <row r="363" spans="1:31" ht="21.25" customHeight="1" x14ac:dyDescent="0.15">
      <c r="A363" s="8" t="s">
        <v>561</v>
      </c>
      <c r="B363" s="35" t="str">
        <f>VLOOKUP(A363,'Player Data'!A1:B734,2,FALSE)</f>
        <v>EDM</v>
      </c>
      <c r="C363" s="37">
        <f>((E363)*Settings!$C$12)+(F363*Settings!$C$2)+(G363*Settings!$C$3)+(H363*Settings!$C$4)+(I363*Settings!$C$5)+(K363*Settings!$C$9)+(N363*Settings!$C$6)+(J363*Settings!$C$8)+(O363*Settings!$C$7)+(P363*Settings!$C$14)+(Q363*Settings!$C$15)+(R363*Settings!$C$16)+(S363*Settings!$C$17)+(T363*Settings!$C$18)+(U363*Settings!$C$19)</f>
        <v>-0.76762457768099424</v>
      </c>
      <c r="D363" s="41">
        <f>IF(Settings!$E$12="YES",VLOOKUP(A363,'Player Data'!A1:E734,5,FALSE),82)</f>
        <v>78.928214285714304</v>
      </c>
      <c r="E363" s="39">
        <f>(VLOOKUP($A363,'The List'!$B1:$AH727,17,FALSE)-AVERAGE('The List'!R2:R727))/STDEV('The List'!R2:R727)</f>
        <v>-1.1209308696606022</v>
      </c>
      <c r="F363" s="39">
        <f>(VLOOKUP($A363,'The List'!$B1:$AH727,18,FALSE)-AVERAGE('The List'!S2:S727))/STDEV('The List'!S2:S727)</f>
        <v>-6.1649872050937034E-2</v>
      </c>
      <c r="G363" s="39">
        <f>(VLOOKUP($A363,'The List'!$B1:$AH727,19,FALSE)-AVERAGE('The List'!T2:T727))/STDEV('The List'!T2:T727)</f>
        <v>-0.51544541097882424</v>
      </c>
      <c r="H363" s="39">
        <f>(VLOOKUP($A363,'The List'!$B1:$AH727,20,FALSE)-AVERAGE('The List'!U2:U727))/STDEV('The List'!U2:U727)</f>
        <v>-0.34567675803740283</v>
      </c>
      <c r="I363" s="39">
        <f>(VLOOKUP($A363,'The List'!$B1:$AH727,21,FALSE)-AVERAGE('The List'!V2:V727))/STDEV('The List'!V2:V727)</f>
        <v>7.2702028253174497E-2</v>
      </c>
      <c r="J363" s="39">
        <f>(VLOOKUP($A363,'The List'!$B1:$AH727,22,FALSE)-AVERAGE('The List'!W2:W727))/STDEV('The List'!W2:W727)</f>
        <v>-0.57893690798906539</v>
      </c>
      <c r="K363" s="39">
        <f>(VLOOKUP($A363,'The List'!$B1:$AH727,23,FALSE)-AVERAGE('The List'!X2:X727))/STDEV('The List'!X2:X727)</f>
        <v>-0.69965680504355188</v>
      </c>
      <c r="L363" s="39">
        <f>(VLOOKUP($A363,'The List'!$B1:$AH727,24,FALSE)-AVERAGE('The List'!Y2:Y727))/STDEV('The List'!Y2:Y727)</f>
        <v>-6.2920168766982421E-2</v>
      </c>
      <c r="M363" s="39">
        <f>(VLOOKUP($A363,'The List'!$B1:$AH727,25,FALSE)-AVERAGE('The List'!Z2:Z727))/STDEV('The List'!Z2:Z727)</f>
        <v>-0.3823633498143737</v>
      </c>
      <c r="N363" s="39">
        <f>(VLOOKUP($A363,'The List'!$B1:$AH727,26,FALSE)-AVERAGE('The List'!AA2:AA727))/STDEV('The List'!AA2:AA727)</f>
        <v>-0.92555243128931108</v>
      </c>
      <c r="O363" s="39">
        <f>(VLOOKUP($A363,'The List'!$B1:$AH727,27,FALSE)-AVERAGE('The List'!AB2:AB727))/STDEV('The List'!AB2:AB727)</f>
        <v>0.43758704546402905</v>
      </c>
      <c r="P363" s="39">
        <f>(VLOOKUP($A363,'The List'!$B1:$AH727,28,FALSE)-AVERAGE('The List'!AC2:AC727))/STDEV('The List'!AC2:AC727)</f>
        <v>1.3619779134284555</v>
      </c>
      <c r="Q363" s="39">
        <f>(VLOOKUP($A363,'The List'!$B1:$AH727,29,FALSE)-AVERAGE('The List'!AD2:AD727))/STDEV('The List'!AD2:AD727)</f>
        <v>-0.32160186656024164</v>
      </c>
      <c r="R363" s="39">
        <f>(VLOOKUP($A363,'The List'!$B1:$AH727,30,FALSE)-AVERAGE('The List'!AE2:AE727))/STDEV('The List'!AE2:AE727)</f>
        <v>8.20358970010929E-2</v>
      </c>
      <c r="S363" s="39">
        <f>(VLOOKUP($A363,'The List'!$B1:$AH727,31,FALSE)-AVERAGE('The List'!AF2:AF727))/STDEV('The List'!AF2:AF727)</f>
        <v>-0.50669116684550619</v>
      </c>
      <c r="T363" s="39">
        <f>(VLOOKUP($A363,'The List'!$B1:$AH727,32,FALSE)-AVERAGE('The List'!AG2:AG727))/STDEV('The List'!AG2:AG727)</f>
        <v>-0.54870083631551347</v>
      </c>
      <c r="U363" s="39">
        <f>(VLOOKUP($A363,'The List'!$B1:$AH727,33,FALSE)-AVERAGE('The List'!AH2:AH727))/STDEV('The List'!AH2:AH727)</f>
        <v>1.0369973275404634</v>
      </c>
      <c r="V363" s="39"/>
      <c r="W363" s="41"/>
      <c r="X363" s="39"/>
      <c r="Y363" s="39"/>
      <c r="Z363" s="39"/>
      <c r="AA363" s="39"/>
      <c r="AB363" s="39"/>
      <c r="AC363" s="39"/>
      <c r="AD363" s="39"/>
      <c r="AE363" s="39"/>
    </row>
    <row r="364" spans="1:31" ht="21.25" customHeight="1" x14ac:dyDescent="0.15">
      <c r="A364" s="8" t="s">
        <v>646</v>
      </c>
      <c r="B364" s="35" t="str">
        <f>VLOOKUP(A364,'Player Data'!A1:B734,2,FALSE)</f>
        <v>UFA</v>
      </c>
      <c r="C364" s="37">
        <f>((E364)*Settings!$C$12)+(F364*Settings!$C$2)+(G364*Settings!$C$3)+(H364*Settings!$C$4)+(I364*Settings!$C$5)+(K364*Settings!$C$9)+(N364*Settings!$C$6)+(J364*Settings!$C$8)+(O364*Settings!$C$7)+(P364*Settings!$C$14)+(Q364*Settings!$C$15)+(R364*Settings!$C$16)+(S364*Settings!$C$17)+(T364*Settings!$C$18)+(U364*Settings!$C$19)</f>
        <v>-1.8653129545641527</v>
      </c>
      <c r="D364" s="41">
        <f>IF(Settings!$E$12="YES",VLOOKUP(A364,'Player Data'!A1:E734,5,FALSE),82)</f>
        <v>81.351071428571402</v>
      </c>
      <c r="E364" s="39">
        <f>(VLOOKUP($A364,'The List'!$B1:$AH727,17,FALSE)-AVERAGE('The List'!R2:R727))/STDEV('The List'!R2:R727)</f>
        <v>-0.57264890751722763</v>
      </c>
      <c r="F364" s="39">
        <f>(VLOOKUP($A364,'The List'!$B1:$AH727,18,FALSE)-AVERAGE('The List'!S2:S727))/STDEV('The List'!S2:S727)</f>
        <v>0.13961028049166141</v>
      </c>
      <c r="G364" s="39">
        <f>(VLOOKUP($A364,'The List'!$B1:$AH727,19,FALSE)-AVERAGE('The List'!T2:T727))/STDEV('The List'!T2:T727)</f>
        <v>-0.60281754322996572</v>
      </c>
      <c r="H364" s="39">
        <f>(VLOOKUP($A364,'The List'!$B1:$AH727,20,FALSE)-AVERAGE('The List'!U2:U727))/STDEV('The List'!U2:U727)</f>
        <v>-0.30793030691272855</v>
      </c>
      <c r="I364" s="39">
        <f>(VLOOKUP($A364,'The List'!$B1:$AH727,21,FALSE)-AVERAGE('The List'!V2:V727))/STDEV('The List'!V2:V727)</f>
        <v>-0.15080309448367724</v>
      </c>
      <c r="J364" s="39">
        <f>(VLOOKUP($A364,'The List'!$B1:$AH727,22,FALSE)-AVERAGE('The List'!W2:W727))/STDEV('The List'!W2:W727)</f>
        <v>-0.70215456823083799</v>
      </c>
      <c r="K364" s="39">
        <f>(VLOOKUP($A364,'The List'!$B1:$AH727,23,FALSE)-AVERAGE('The List'!X2:X727))/STDEV('The List'!X2:X727)</f>
        <v>-0.78622655246689455</v>
      </c>
      <c r="L364" s="39">
        <f>(VLOOKUP($A364,'The List'!$B1:$AH727,24,FALSE)-AVERAGE('The List'!Y2:Y727))/STDEV('The List'!Y2:Y727)</f>
        <v>2.6306907143868039</v>
      </c>
      <c r="M364" s="39">
        <f>(VLOOKUP($A364,'The List'!$B1:$AH727,25,FALSE)-AVERAGE('The List'!Z2:Z727))/STDEV('The List'!Z2:Z727)</f>
        <v>1.349346696050989</v>
      </c>
      <c r="N364" s="39">
        <f>(VLOOKUP($A364,'The List'!$B1:$AH727,26,FALSE)-AVERAGE('The List'!AA2:AA727))/STDEV('The List'!AA2:AA727)</f>
        <v>-0.52328606940370326</v>
      </c>
      <c r="O364" s="39">
        <f>(VLOOKUP($A364,'The List'!$B1:$AH727,27,FALSE)-AVERAGE('The List'!AB2:AB727))/STDEV('The List'!AB2:AB727)</f>
        <v>-1.0500856743630096</v>
      </c>
      <c r="P364" s="39">
        <f>(VLOOKUP($A364,'The List'!$B1:$AH727,28,FALSE)-AVERAGE('The List'!AC2:AC727))/STDEV('The List'!AC2:AC727)</f>
        <v>5.8210024528426413E-2</v>
      </c>
      <c r="Q364" s="39">
        <f>(VLOOKUP($A364,'The List'!$B1:$AH727,29,FALSE)-AVERAGE('The List'!AD2:AD727))/STDEV('The List'!AD2:AD727)</f>
        <v>-1.0641214966213843</v>
      </c>
      <c r="R364" s="39">
        <f>(VLOOKUP($A364,'The List'!$B1:$AH727,30,FALSE)-AVERAGE('The List'!AE2:AE727))/STDEV('The List'!AE2:AE727)</f>
        <v>-1.1921764565772743</v>
      </c>
      <c r="S364" s="39">
        <f>(VLOOKUP($A364,'The List'!$B1:$AH727,31,FALSE)-AVERAGE('The List'!AF2:AF727))/STDEV('The List'!AF2:AF727)</f>
        <v>0.79584661193555517</v>
      </c>
      <c r="T364" s="39">
        <f>(VLOOKUP($A364,'The List'!$B1:$AH727,32,FALSE)-AVERAGE('The List'!AG2:AG727))/STDEV('The List'!AG2:AG727)</f>
        <v>1.0015439194714264</v>
      </c>
      <c r="U364" s="39">
        <f>(VLOOKUP($A364,'The List'!$B1:$AH727,33,FALSE)-AVERAGE('The List'!AH2:AH727))/STDEV('The List'!AH2:AH727)</f>
        <v>0.88567655581451532</v>
      </c>
      <c r="V364" s="39"/>
      <c r="W364" s="41"/>
      <c r="X364" s="39"/>
      <c r="Y364" s="39"/>
      <c r="Z364" s="39"/>
      <c r="AA364" s="39"/>
      <c r="AB364" s="39"/>
      <c r="AC364" s="39"/>
      <c r="AD364" s="39"/>
      <c r="AE364" s="39"/>
    </row>
    <row r="365" spans="1:31" ht="21.25" customHeight="1" x14ac:dyDescent="0.15">
      <c r="A365" s="8" t="s">
        <v>560</v>
      </c>
      <c r="B365" s="35" t="str">
        <f>VLOOKUP(A365,'Player Data'!A1:B734,2,FALSE)</f>
        <v>CAR</v>
      </c>
      <c r="C365" s="37">
        <f>((E365)*Settings!$C$12)+(F365*Settings!$C$2)+(G365*Settings!$C$3)+(H365*Settings!$C$4)+(I365*Settings!$C$5)+(K365*Settings!$C$9)+(N365*Settings!$C$6)+(J365*Settings!$C$8)+(O365*Settings!$C$7)+(P365*Settings!$C$14)+(Q365*Settings!$C$15)+(R365*Settings!$C$16)+(S365*Settings!$C$17)+(T365*Settings!$C$18)+(U365*Settings!$C$19)</f>
        <v>-0.67415441502697182</v>
      </c>
      <c r="D365" s="41">
        <f>IF(Settings!$E$12="YES",VLOOKUP(A365,'Player Data'!A1:E734,5,FALSE),82)</f>
        <v>77.110357142857097</v>
      </c>
      <c r="E365" s="39">
        <f>(VLOOKUP($A365,'The List'!$B1:$AH727,17,FALSE)-AVERAGE('The List'!R2:R727))/STDEV('The List'!R2:R727)</f>
        <v>-0.40357714283436497</v>
      </c>
      <c r="F365" s="39">
        <f>(VLOOKUP($A365,'The List'!$B1:$AH727,18,FALSE)-AVERAGE('The List'!S2:S727))/STDEV('The List'!S2:S727)</f>
        <v>-0.29419104148429198</v>
      </c>
      <c r="G365" s="39">
        <f>(VLOOKUP($A365,'The List'!$B1:$AH727,19,FALSE)-AVERAGE('The List'!T2:T727))/STDEV('The List'!T2:T727)</f>
        <v>-0.39432131052403363</v>
      </c>
      <c r="H365" s="39">
        <f>(VLOOKUP($A365,'The List'!$B1:$AH727,20,FALSE)-AVERAGE('The List'!U2:U727))/STDEV('The List'!U2:U727)</f>
        <v>-0.37685975570666896</v>
      </c>
      <c r="I365" s="39">
        <f>(VLOOKUP($A365,'The List'!$B1:$AH727,21,FALSE)-AVERAGE('The List'!V2:V727))/STDEV('The List'!V2:V727)</f>
        <v>0.14944239004161175</v>
      </c>
      <c r="J365" s="39">
        <f>(VLOOKUP($A365,'The List'!$B1:$AH727,22,FALSE)-AVERAGE('The List'!W2:W727))/STDEV('The List'!W2:W727)</f>
        <v>-0.69836811922963349</v>
      </c>
      <c r="K365" s="39">
        <f>(VLOOKUP($A365,'The List'!$B1:$AH727,23,FALSE)-AVERAGE('The List'!X2:X727))/STDEV('The List'!X2:X727)</f>
        <v>-0.78756504741451083</v>
      </c>
      <c r="L365" s="39">
        <f>(VLOOKUP($A365,'The List'!$B1:$AH727,24,FALSE)-AVERAGE('The List'!Y2:Y727))/STDEV('The List'!Y2:Y727)</f>
        <v>-0.2836932395476478</v>
      </c>
      <c r="M365" s="39">
        <f>(VLOOKUP($A365,'The List'!$B1:$AH727,25,FALSE)-AVERAGE('The List'!Z2:Z727))/STDEV('The List'!Z2:Z727)</f>
        <v>-0.21830887473852886</v>
      </c>
      <c r="N365" s="39">
        <f>(VLOOKUP($A365,'The List'!$B1:$AH727,26,FALSE)-AVERAGE('The List'!AA2:AA727))/STDEV('The List'!AA2:AA727)</f>
        <v>-0.75678721112342828</v>
      </c>
      <c r="O365" s="39">
        <f>(VLOOKUP($A365,'The List'!$B1:$AH727,27,FALSE)-AVERAGE('The List'!AB2:AB727))/STDEV('The List'!AB2:AB727)</f>
        <v>-7.3216476304784658E-2</v>
      </c>
      <c r="P365" s="39">
        <f>(VLOOKUP($A365,'The List'!$B1:$AH727,28,FALSE)-AVERAGE('The List'!AC2:AC727))/STDEV('The List'!AC2:AC727)</f>
        <v>1.409267805477681</v>
      </c>
      <c r="Q365" s="39">
        <f>(VLOOKUP($A365,'The List'!$B1:$AH727,29,FALSE)-AVERAGE('The List'!AD2:AD727))/STDEV('The List'!AD2:AD727)</f>
        <v>1.0546217249756464</v>
      </c>
      <c r="R365" s="39">
        <f>(VLOOKUP($A365,'The List'!$B1:$AH727,30,FALSE)-AVERAGE('The List'!AE2:AE727))/STDEV('The List'!AE2:AE727)</f>
        <v>-2.0386691052032811E-2</v>
      </c>
      <c r="S365" s="39">
        <f>(VLOOKUP($A365,'The List'!$B1:$AH727,31,FALSE)-AVERAGE('The List'!AF2:AF727))/STDEV('The List'!AF2:AF727)</f>
        <v>-0.36355148277431754</v>
      </c>
      <c r="T365" s="39">
        <f>(VLOOKUP($A365,'The List'!$B1:$AH727,32,FALSE)-AVERAGE('The List'!AG2:AG727))/STDEV('The List'!AG2:AG727)</f>
        <v>-0.35552940288363627</v>
      </c>
      <c r="U365" s="39">
        <f>(VLOOKUP($A365,'The List'!$B1:$AH727,33,FALSE)-AVERAGE('The List'!AH2:AH727))/STDEV('The List'!AH2:AH727)</f>
        <v>0.81019534846693564</v>
      </c>
      <c r="V365" s="39"/>
      <c r="W365" s="43"/>
      <c r="X365" s="41"/>
      <c r="Y365" s="41"/>
      <c r="Z365" s="41"/>
      <c r="AA365" s="41"/>
      <c r="AB365" s="41"/>
      <c r="AC365" s="44"/>
      <c r="AD365" s="45"/>
      <c r="AE365" s="39"/>
    </row>
    <row r="366" spans="1:31" ht="21.25" customHeight="1" x14ac:dyDescent="0.15">
      <c r="A366" s="8" t="s">
        <v>530</v>
      </c>
      <c r="B366" s="35" t="str">
        <f>VLOOKUP(A366,'Player Data'!A1:B734,2,FALSE)</f>
        <v>LAK</v>
      </c>
      <c r="C366" s="37">
        <f>((E366)*Settings!$C$12)+(F366*Settings!$C$2)+(G366*Settings!$C$3)+(H366*Settings!$C$4)+(I366*Settings!$C$5)+(K366*Settings!$C$9)+(N366*Settings!$C$6)+(J366*Settings!$C$8)+(O366*Settings!$C$7)+(P366*Settings!$C$14)+(Q366*Settings!$C$15)+(R366*Settings!$C$16)+(S366*Settings!$C$17)+(T366*Settings!$C$18)+(U366*Settings!$C$19)</f>
        <v>-2.2078761851170863</v>
      </c>
      <c r="D366" s="41">
        <f>IF(Settings!$E$12="YES",VLOOKUP(A366,'Player Data'!A1:E734,5,FALSE),82)</f>
        <v>69.086428571428598</v>
      </c>
      <c r="E366" s="39">
        <f>(VLOOKUP($A366,'The List'!$B1:$AH727,17,FALSE)-AVERAGE('The List'!R2:R727))/STDEV('The List'!R2:R727)</f>
        <v>-1.5183255459944816</v>
      </c>
      <c r="F366" s="39">
        <f>(VLOOKUP($A366,'The List'!$B1:$AH727,18,FALSE)-AVERAGE('The List'!S2:S727))/STDEV('The List'!S2:S727)</f>
        <v>-0.20111224430355187</v>
      </c>
      <c r="G366" s="39">
        <f>(VLOOKUP($A366,'The List'!$B1:$AH727,19,FALSE)-AVERAGE('The List'!T2:T727))/STDEV('The List'!T2:T727)</f>
        <v>-0.66987857851125376</v>
      </c>
      <c r="H366" s="39">
        <f>(VLOOKUP($A366,'The List'!$B1:$AH727,20,FALSE)-AVERAGE('The List'!U2:U727))/STDEV('The List'!U2:U727)</f>
        <v>-0.50430400430273559</v>
      </c>
      <c r="I366" s="39">
        <f>(VLOOKUP($A366,'The List'!$B1:$AH727,21,FALSE)-AVERAGE('The List'!V2:V727))/STDEV('The List'!V2:V727)</f>
        <v>-8.8736434693654609E-2</v>
      </c>
      <c r="J366" s="39">
        <f>(VLOOKUP($A366,'The List'!$B1:$AH727,22,FALSE)-AVERAGE('The List'!W2:W727))/STDEV('The List'!W2:W727)</f>
        <v>0.49940536934297036</v>
      </c>
      <c r="K366" s="39">
        <f>(VLOOKUP($A366,'The List'!$B1:$AH727,23,FALSE)-AVERAGE('The List'!X2:X727))/STDEV('The List'!X2:X727)</f>
        <v>-4.913828167066199E-2</v>
      </c>
      <c r="L366" s="39">
        <f>(VLOOKUP($A366,'The List'!$B1:$AH727,24,FALSE)-AVERAGE('The List'!Y2:Y727))/STDEV('The List'!Y2:Y727)</f>
        <v>-0.54259366422044419</v>
      </c>
      <c r="M366" s="39">
        <f>(VLOOKUP($A366,'The List'!$B1:$AH727,25,FALSE)-AVERAGE('The List'!Z2:Z727))/STDEV('The List'!Z2:Z727)</f>
        <v>-0.72211642022412448</v>
      </c>
      <c r="N366" s="39">
        <f>(VLOOKUP($A366,'The List'!$B1:$AH727,26,FALSE)-AVERAGE('The List'!AA2:AA727))/STDEV('The List'!AA2:AA727)</f>
        <v>-1.1550728409402702</v>
      </c>
      <c r="O366" s="39">
        <f>(VLOOKUP($A366,'The List'!$B1:$AH727,27,FALSE)-AVERAGE('The List'!AB2:AB727))/STDEV('The List'!AB2:AB727)</f>
        <v>-0.86748959283008464</v>
      </c>
      <c r="P366" s="39">
        <f>(VLOOKUP($A366,'The List'!$B1:$AH727,28,FALSE)-AVERAGE('The List'!AC2:AC727))/STDEV('The List'!AC2:AC727)</f>
        <v>-4.3937804997693439E-2</v>
      </c>
      <c r="Q366" s="39">
        <f>(VLOOKUP($A366,'The List'!$B1:$AH727,29,FALSE)-AVERAGE('The List'!AD2:AD727))/STDEV('The List'!AD2:AD727)</f>
        <v>-0.96834150152839782</v>
      </c>
      <c r="R366" s="39">
        <f>(VLOOKUP($A366,'The List'!$B1:$AH727,30,FALSE)-AVERAGE('The List'!AE2:AE727))/STDEV('The List'!AE2:AE727)</f>
        <v>-0.13230706756237065</v>
      </c>
      <c r="S366" s="39">
        <f>(VLOOKUP($A366,'The List'!$B1:$AH727,31,FALSE)-AVERAGE('The List'!AF2:AF727))/STDEV('The List'!AF2:AF727)</f>
        <v>-0.55804314905918151</v>
      </c>
      <c r="T366" s="39">
        <f>(VLOOKUP($A366,'The List'!$B1:$AH727,32,FALSE)-AVERAGE('The List'!AG2:AG727))/STDEV('The List'!AG2:AG727)</f>
        <v>-0.60188453558131205</v>
      </c>
      <c r="U366" s="39">
        <f>(VLOOKUP($A366,'The List'!$B1:$AH727,33,FALSE)-AVERAGE('The List'!AH2:AH727))/STDEV('The List'!AH2:AH727)</f>
        <v>-1.2395873372913611</v>
      </c>
      <c r="V366" s="39"/>
      <c r="W366" s="43"/>
      <c r="X366" s="41"/>
      <c r="Y366" s="41"/>
      <c r="Z366" s="41"/>
      <c r="AA366" s="41"/>
      <c r="AB366" s="41"/>
      <c r="AC366" s="44"/>
      <c r="AD366" s="45"/>
      <c r="AE366" s="39"/>
    </row>
    <row r="367" spans="1:31" ht="21.25" customHeight="1" x14ac:dyDescent="0.15">
      <c r="A367" s="8" t="s">
        <v>742</v>
      </c>
      <c r="B367" s="35" t="str">
        <f>VLOOKUP(A367,'Player Data'!A1:B734,2,FALSE)</f>
        <v>BUF</v>
      </c>
      <c r="C367" s="37">
        <f>((E367)*Settings!$C$12)+(F367*Settings!$C$2)+(G367*Settings!$C$3)+(H367*Settings!$C$4)+(I367*Settings!$C$5)+(K367*Settings!$C$9)+(N367*Settings!$C$6)+(J367*Settings!$C$8)+(O367*Settings!$C$7)+(P367*Settings!$C$14)+(Q367*Settings!$C$15)+(R367*Settings!$C$16)+(S367*Settings!$C$17)+(T367*Settings!$C$18)+(U367*Settings!$C$19)</f>
        <v>-4.2408592933271265</v>
      </c>
      <c r="D367" s="41">
        <f>IF(Settings!$E$12="YES",VLOOKUP(A367,'Player Data'!A1:E734,5,FALSE),82)</f>
        <v>69.5582142857143</v>
      </c>
      <c r="E367" s="39">
        <f>(VLOOKUP($A367,'The List'!$B1:$AH727,17,FALSE)-AVERAGE('The List'!R2:R727))/STDEV('The List'!R2:R727)</f>
        <v>-0.89853957108367188</v>
      </c>
      <c r="F367" s="39">
        <f>(VLOOKUP($A367,'The List'!$B1:$AH727,18,FALSE)-AVERAGE('The List'!S2:S727))/STDEV('The List'!S2:S727)</f>
        <v>-0.38178946257910495</v>
      </c>
      <c r="G367" s="39">
        <f>(VLOOKUP($A367,'The List'!$B1:$AH727,19,FALSE)-AVERAGE('The List'!T2:T727))/STDEV('The List'!T2:T727)</f>
        <v>-0.53372175122648546</v>
      </c>
      <c r="H367" s="39">
        <f>(VLOOKUP($A367,'The List'!$B1:$AH727,20,FALSE)-AVERAGE('The List'!U2:U727))/STDEV('The List'!U2:U727)</f>
        <v>-0.50262235404512767</v>
      </c>
      <c r="I367" s="39">
        <f>(VLOOKUP($A367,'The List'!$B1:$AH727,21,FALSE)-AVERAGE('The List'!V2:V727))/STDEV('The List'!V2:V727)</f>
        <v>-0.97585844697872415</v>
      </c>
      <c r="J367" s="39">
        <f>(VLOOKUP($A367,'The List'!$B1:$AH727,22,FALSE)-AVERAGE('The List'!W2:W727))/STDEV('The List'!W2:W727)</f>
        <v>-0.52095841903304185</v>
      </c>
      <c r="K367" s="39">
        <f>(VLOOKUP($A367,'The List'!$B1:$AH727,23,FALSE)-AVERAGE('The List'!X2:X727))/STDEV('The List'!X2:X727)</f>
        <v>-0.39004094018626451</v>
      </c>
      <c r="L367" s="39">
        <f>(VLOOKUP($A367,'The List'!$B1:$AH727,24,FALSE)-AVERAGE('The List'!Y2:Y727))/STDEV('The List'!Y2:Y727)</f>
        <v>0.57000087901180208</v>
      </c>
      <c r="M367" s="39">
        <f>(VLOOKUP($A367,'The List'!$B1:$AH727,25,FALSE)-AVERAGE('The List'!Z2:Z727))/STDEV('The List'!Z2:Z727)</f>
        <v>5.2094797720752851E-2</v>
      </c>
      <c r="N367" s="39">
        <f>(VLOOKUP($A367,'The List'!$B1:$AH727,26,FALSE)-AVERAGE('The List'!AA2:AA727))/STDEV('The List'!AA2:AA727)</f>
        <v>-1.0415392262976639</v>
      </c>
      <c r="O367" s="39">
        <f>(VLOOKUP($A367,'The List'!$B1:$AH727,27,FALSE)-AVERAGE('The List'!AB2:AB727))/STDEV('The List'!AB2:AB727)</f>
        <v>-0.35886569782606831</v>
      </c>
      <c r="P367" s="39">
        <f>(VLOOKUP($A367,'The List'!$B1:$AH727,28,FALSE)-AVERAGE('The List'!AC2:AC727))/STDEV('The List'!AC2:AC727)</f>
        <v>-0.91790946605888368</v>
      </c>
      <c r="Q367" s="39">
        <f>(VLOOKUP($A367,'The List'!$B1:$AH727,29,FALSE)-AVERAGE('The List'!AD2:AD727))/STDEV('The List'!AD2:AD727)</f>
        <v>0.13609663758389307</v>
      </c>
      <c r="R367" s="39">
        <f>(VLOOKUP($A367,'The List'!$B1:$AH727,30,FALSE)-AVERAGE('The List'!AE2:AE727))/STDEV('The List'!AE2:AE727)</f>
        <v>-0.42428967003523321</v>
      </c>
      <c r="S367" s="39">
        <f>(VLOOKUP($A367,'The List'!$B1:$AH727,31,FALSE)-AVERAGE('The List'!AF2:AF727))/STDEV('The List'!AF2:AF727)</f>
        <v>0.36286301849706198</v>
      </c>
      <c r="T367" s="39">
        <f>(VLOOKUP($A367,'The List'!$B1:$AH727,32,FALSE)-AVERAGE('The List'!AG2:AG727))/STDEV('The List'!AG2:AG727)</f>
        <v>0.75983355465221236</v>
      </c>
      <c r="U367" s="39">
        <f>(VLOOKUP($A367,'The List'!$B1:$AH727,33,FALSE)-AVERAGE('The List'!AH2:AH727))/STDEV('The List'!AH2:AH727)</f>
        <v>0.63847078337300611</v>
      </c>
      <c r="V367" s="39"/>
      <c r="W367" s="43"/>
      <c r="X367" s="41"/>
      <c r="Y367" s="41"/>
      <c r="Z367" s="41"/>
      <c r="AA367" s="41"/>
      <c r="AB367" s="41"/>
      <c r="AC367" s="44"/>
      <c r="AD367" s="45"/>
      <c r="AE367" s="39"/>
    </row>
    <row r="368" spans="1:31" ht="21.25" customHeight="1" x14ac:dyDescent="0.15">
      <c r="A368" s="8" t="s">
        <v>449</v>
      </c>
      <c r="B368" s="35" t="str">
        <f>VLOOKUP(A368,'Player Data'!A1:B734,2,FALSE)</f>
        <v>NYR</v>
      </c>
      <c r="C368" s="37">
        <f>((E368)*Settings!$C$12)+(F368*Settings!$C$2)+(G368*Settings!$C$3)+(H368*Settings!$C$4)+(I368*Settings!$C$5)+(K368*Settings!$C$9)+(N368*Settings!$C$6)+(J368*Settings!$C$8)+(O368*Settings!$C$7)+(P368*Settings!$C$14)+(Q368*Settings!$C$15)+(R368*Settings!$C$16)+(S368*Settings!$C$17)+(T368*Settings!$C$18)+(U368*Settings!$C$19)</f>
        <v>-0.82334914127163361</v>
      </c>
      <c r="D368" s="41">
        <f>IF(Settings!$E$12="YES",VLOOKUP(A368,'Player Data'!A1:E734,5,FALSE),82)</f>
        <v>68.67</v>
      </c>
      <c r="E368" s="39">
        <f>(VLOOKUP($A368,'The List'!$B1:$AH727,17,FALSE)-AVERAGE('The List'!R2:R727))/STDEV('The List'!R2:R727)</f>
        <v>-0.14332851800652846</v>
      </c>
      <c r="F368" s="39">
        <f>(VLOOKUP($A368,'The List'!$B1:$AH727,18,FALSE)-AVERAGE('The List'!S2:S727))/STDEV('The List'!S2:S727)</f>
        <v>-0.89133632556865172</v>
      </c>
      <c r="G368" s="39">
        <f>(VLOOKUP($A368,'The List'!$B1:$AH727,19,FALSE)-AVERAGE('The List'!T2:T727))/STDEV('The List'!T2:T727)</f>
        <v>-0.18713166909853313</v>
      </c>
      <c r="H368" s="39">
        <f>(VLOOKUP($A368,'The List'!$B1:$AH727,20,FALSE)-AVERAGE('The List'!U2:U727))/STDEV('The List'!U2:U727)</f>
        <v>-0.52092606230815208</v>
      </c>
      <c r="I368" s="39">
        <f>(VLOOKUP($A368,'The List'!$B1:$AH727,21,FALSE)-AVERAGE('The List'!V2:V727))/STDEV('The List'!V2:V727)</f>
        <v>-0.66466357951047794</v>
      </c>
      <c r="J368" s="39">
        <f>(VLOOKUP($A368,'The List'!$B1:$AH727,22,FALSE)-AVERAGE('The List'!W2:W727))/STDEV('The List'!W2:W727)</f>
        <v>-0.69093533807085572</v>
      </c>
      <c r="K368" s="39">
        <f>(VLOOKUP($A368,'The List'!$B1:$AH727,23,FALSE)-AVERAGE('The List'!X2:X727))/STDEV('The List'!X2:X727)</f>
        <v>-0.24366093928763383</v>
      </c>
      <c r="L368" s="39">
        <f>(VLOOKUP($A368,'The List'!$B1:$AH727,24,FALSE)-AVERAGE('The List'!Y2:Y727))/STDEV('The List'!Y2:Y727)</f>
        <v>-0.52832381100927128</v>
      </c>
      <c r="M368" s="39">
        <f>(VLOOKUP($A368,'The List'!$B1:$AH727,25,FALSE)-AVERAGE('The List'!Z2:Z727))/STDEV('The List'!Z2:Z727)</f>
        <v>-0.68693345491678393</v>
      </c>
      <c r="N368" s="39">
        <f>(VLOOKUP($A368,'The List'!$B1:$AH727,26,FALSE)-AVERAGE('The List'!AA2:AA727))/STDEV('The List'!AA2:AA727)</f>
        <v>1.042040497401028E-2</v>
      </c>
      <c r="O368" s="39">
        <f>(VLOOKUP($A368,'The List'!$B1:$AH727,27,FALSE)-AVERAGE('The List'!AB2:AB727))/STDEV('The List'!AB2:AB727)</f>
        <v>-0.77804154112402646</v>
      </c>
      <c r="P368" s="39">
        <f>(VLOOKUP($A368,'The List'!$B1:$AH727,28,FALSE)-AVERAGE('The List'!AC2:AC727))/STDEV('The List'!AC2:AC727)</f>
        <v>1.1530229672196528</v>
      </c>
      <c r="Q368" s="39">
        <f>(VLOOKUP($A368,'The List'!$B1:$AH727,29,FALSE)-AVERAGE('The List'!AD2:AD727))/STDEV('The List'!AD2:AD727)</f>
        <v>-0.9513781184777238</v>
      </c>
      <c r="R368" s="39">
        <f>(VLOOKUP($A368,'The List'!$B1:$AH727,30,FALSE)-AVERAGE('The List'!AE2:AE727))/STDEV('The List'!AE2:AE727)</f>
        <v>-0.74398689164596676</v>
      </c>
      <c r="S368" s="39">
        <f>(VLOOKUP($A368,'The List'!$B1:$AH727,31,FALSE)-AVERAGE('The List'!AF2:AF727))/STDEV('The List'!AF2:AF727)</f>
        <v>-0.55804314905918151</v>
      </c>
      <c r="T368" s="39">
        <f>(VLOOKUP($A368,'The List'!$B1:$AH727,32,FALSE)-AVERAGE('The List'!AG2:AG727))/STDEV('The List'!AG2:AG727)</f>
        <v>-0.60188453558131205</v>
      </c>
      <c r="U368" s="39">
        <f>(VLOOKUP($A368,'The List'!$B1:$AH727,33,FALSE)-AVERAGE('The List'!AH2:AH727))/STDEV('The List'!AH2:AH727)</f>
        <v>-1.2395873372913611</v>
      </c>
      <c r="V368" s="39"/>
      <c r="W368" s="41"/>
      <c r="X368" s="39"/>
      <c r="Y368" s="39"/>
      <c r="Z368" s="39"/>
      <c r="AA368" s="39"/>
      <c r="AB368" s="39"/>
      <c r="AC368" s="39"/>
      <c r="AD368" s="39"/>
      <c r="AE368" s="39"/>
    </row>
    <row r="369" spans="1:31" ht="21.25" customHeight="1" x14ac:dyDescent="0.15">
      <c r="A369" s="8" t="s">
        <v>776</v>
      </c>
      <c r="B369" s="35" t="str">
        <f>VLOOKUP(A369,'Player Data'!A1:B734,2,FALSE)</f>
        <v>WSH</v>
      </c>
      <c r="C369" s="37">
        <f>((E369)*Settings!$C$12)+(F369*Settings!$C$2)+(G369*Settings!$C$3)+(H369*Settings!$C$4)+(I369*Settings!$C$5)+(K369*Settings!$C$9)+(N369*Settings!$C$6)+(J369*Settings!$C$8)+(O369*Settings!$C$7)+(P369*Settings!$C$14)+(Q369*Settings!$C$15)+(R369*Settings!$C$16)+(S369*Settings!$C$17)+(T369*Settings!$C$18)+(U369*Settings!$C$19)</f>
        <v>-4.2297076463556316</v>
      </c>
      <c r="D369" s="41">
        <f>IF(Settings!$E$12="YES",VLOOKUP(A369,'Player Data'!A1:E734,5,FALSE),82)</f>
        <v>58.89</v>
      </c>
      <c r="E369" s="39">
        <f>(VLOOKUP($A369,'The List'!$B1:$AH727,17,FALSE)-AVERAGE('The List'!R2:R727))/STDEV('The List'!R2:R727)</f>
        <v>-1.199876649907953</v>
      </c>
      <c r="F369" s="39">
        <f>(VLOOKUP($A369,'The List'!$B1:$AH727,18,FALSE)-AVERAGE('The List'!S2:S727))/STDEV('The List'!S2:S727)</f>
        <v>-0.36757808900826028</v>
      </c>
      <c r="G369" s="39">
        <f>(VLOOKUP($A369,'The List'!$B1:$AH727,19,FALSE)-AVERAGE('The List'!T2:T727))/STDEV('The List'!T2:T727)</f>
        <v>-0.82479573835989917</v>
      </c>
      <c r="H369" s="39">
        <f>(VLOOKUP($A369,'The List'!$B1:$AH727,20,FALSE)-AVERAGE('The List'!U2:U727))/STDEV('The List'!U2:U727)</f>
        <v>-0.67551776083454351</v>
      </c>
      <c r="I369" s="39">
        <f>(VLOOKUP($A369,'The List'!$B1:$AH727,21,FALSE)-AVERAGE('The List'!V2:V727))/STDEV('The List'!V2:V727)</f>
        <v>-0.86344964119457612</v>
      </c>
      <c r="J369" s="39">
        <f>(VLOOKUP($A369,'The List'!$B1:$AH727,22,FALSE)-AVERAGE('The List'!W2:W727))/STDEV('The List'!W2:W727)</f>
        <v>-0.69198524118153282</v>
      </c>
      <c r="K369" s="39">
        <f>(VLOOKUP($A369,'The List'!$B1:$AH727,23,FALSE)-AVERAGE('The List'!X2:X727))/STDEV('The List'!X2:X727)</f>
        <v>-0.78599650927888276</v>
      </c>
      <c r="L369" s="39">
        <f>(VLOOKUP($A369,'The List'!$B1:$AH727,24,FALSE)-AVERAGE('The List'!Y2:Y727))/STDEV('The List'!Y2:Y727)</f>
        <v>-0.54402834717551152</v>
      </c>
      <c r="M369" s="39">
        <f>(VLOOKUP($A369,'The List'!$B1:$AH727,25,FALSE)-AVERAGE('The List'!Z2:Z727))/STDEV('The List'!Z2:Z727)</f>
        <v>-0.72372514007823274</v>
      </c>
      <c r="N369" s="39">
        <f>(VLOOKUP($A369,'The List'!$B1:$AH727,26,FALSE)-AVERAGE('The List'!AA2:AA727))/STDEV('The List'!AA2:AA727)</f>
        <v>-0.87502138581825217</v>
      </c>
      <c r="O369" s="39">
        <f>(VLOOKUP($A369,'The List'!$B1:$AH727,27,FALSE)-AVERAGE('The List'!AB2:AB727))/STDEV('The List'!AB2:AB727)</f>
        <v>-0.89939686604311142</v>
      </c>
      <c r="P369" s="39">
        <f>(VLOOKUP($A369,'The List'!$B1:$AH727,28,FALSE)-AVERAGE('The List'!AC2:AC727))/STDEV('The List'!AC2:AC727)</f>
        <v>-0.51286628269576051</v>
      </c>
      <c r="Q369" s="39">
        <f>(VLOOKUP($A369,'The List'!$B1:$AH727,29,FALSE)-AVERAGE('The List'!AD2:AD727))/STDEV('The List'!AD2:AD727)</f>
        <v>-1.2443415485694671</v>
      </c>
      <c r="R369" s="39">
        <f>(VLOOKUP($A369,'The List'!$B1:$AH727,30,FALSE)-AVERAGE('The List'!AE2:AE727))/STDEV('The List'!AE2:AE727)</f>
        <v>-0.44780336566625223</v>
      </c>
      <c r="S369" s="39">
        <f>(VLOOKUP($A369,'The List'!$B1:$AH727,31,FALSE)-AVERAGE('The List'!AF2:AF727))/STDEV('The List'!AF2:AF727)</f>
        <v>-0.53452863925078986</v>
      </c>
      <c r="T369" s="39">
        <f>(VLOOKUP($A369,'The List'!$B1:$AH727,32,FALSE)-AVERAGE('The List'!AG2:AG727))/STDEV('The List'!AG2:AG727)</f>
        <v>-0.56127871999939938</v>
      </c>
      <c r="U369" s="39">
        <f>(VLOOKUP($A369,'The List'!$B1:$AH727,33,FALSE)-AVERAGE('The List'!AH2:AH727))/STDEV('The List'!AH2:AH727)</f>
        <v>0.47074650097141596</v>
      </c>
      <c r="V369" s="39"/>
      <c r="W369" s="43"/>
      <c r="X369" s="41"/>
      <c r="Y369" s="41"/>
      <c r="Z369" s="41"/>
      <c r="AA369" s="41"/>
      <c r="AB369" s="41"/>
      <c r="AC369" s="44"/>
      <c r="AD369" s="45"/>
      <c r="AE369" s="39"/>
    </row>
    <row r="370" spans="1:31" ht="21.25" customHeight="1" x14ac:dyDescent="0.15">
      <c r="A370" s="8" t="s">
        <v>640</v>
      </c>
      <c r="B370" s="35" t="str">
        <f>VLOOKUP(A370,'Player Data'!A1:B734,2,FALSE)</f>
        <v>WPG</v>
      </c>
      <c r="C370" s="37">
        <f>((E370)*Settings!$C$12)+(F370*Settings!$C$2)+(G370*Settings!$C$3)+(H370*Settings!$C$4)+(I370*Settings!$C$5)+(K370*Settings!$C$9)+(N370*Settings!$C$6)+(J370*Settings!$C$8)+(O370*Settings!$C$7)+(P370*Settings!$C$14)+(Q370*Settings!$C$15)+(R370*Settings!$C$16)+(S370*Settings!$C$17)+(T370*Settings!$C$18)+(U370*Settings!$C$19)</f>
        <v>-1.6462456270560568</v>
      </c>
      <c r="D370" s="41">
        <f>IF(Settings!$E$12="YES",VLOOKUP(A370,'Player Data'!A1:E734,5,FALSE),82)</f>
        <v>81.031785714285704</v>
      </c>
      <c r="E370" s="39">
        <f>(VLOOKUP($A370,'The List'!$B1:$AH727,17,FALSE)-AVERAGE('The List'!R2:R727))/STDEV('The List'!R2:R727)</f>
        <v>-0.42857918591922589</v>
      </c>
      <c r="F370" s="39">
        <f>(VLOOKUP($A370,'The List'!$B1:$AH727,18,FALSE)-AVERAGE('The List'!S2:S727))/STDEV('The List'!S2:S727)</f>
        <v>-8.5194625242114783E-2</v>
      </c>
      <c r="G370" s="39">
        <f>(VLOOKUP($A370,'The List'!$B1:$AH727,19,FALSE)-AVERAGE('The List'!T2:T727))/STDEV('The List'!T2:T727)</f>
        <v>-0.48196733962957511</v>
      </c>
      <c r="H370" s="39">
        <f>(VLOOKUP($A370,'The List'!$B1:$AH727,20,FALSE)-AVERAGE('The List'!U2:U727))/STDEV('The List'!U2:U727)</f>
        <v>-0.33576159825518526</v>
      </c>
      <c r="I370" s="39">
        <f>(VLOOKUP($A370,'The List'!$B1:$AH727,21,FALSE)-AVERAGE('The List'!V2:V727))/STDEV('The List'!V2:V727)</f>
        <v>-0.24166577433361885</v>
      </c>
      <c r="J370" s="39">
        <f>(VLOOKUP($A370,'The List'!$B1:$AH727,22,FALSE)-AVERAGE('The List'!W2:W727))/STDEV('The List'!W2:W727)</f>
        <v>-0.65182621491458759</v>
      </c>
      <c r="K370" s="39">
        <f>(VLOOKUP($A370,'The List'!$B1:$AH727,23,FALSE)-AVERAGE('The List'!X2:X727))/STDEV('The List'!X2:X727)</f>
        <v>-0.67357304474500901</v>
      </c>
      <c r="L370" s="39">
        <f>(VLOOKUP($A370,'The List'!$B1:$AH727,24,FALSE)-AVERAGE('The List'!Y2:Y727))/STDEV('The List'!Y2:Y727)</f>
        <v>3.6402958445022535</v>
      </c>
      <c r="M370" s="39">
        <f>(VLOOKUP($A370,'The List'!$B1:$AH727,25,FALSE)-AVERAGE('The List'!Z2:Z727))/STDEV('The List'!Z2:Z727)</f>
        <v>3.0561080897438933</v>
      </c>
      <c r="N370" s="39">
        <f>(VLOOKUP($A370,'The List'!$B1:$AH727,26,FALSE)-AVERAGE('The List'!AA2:AA727))/STDEV('The List'!AA2:AA727)</f>
        <v>-0.36849001756503386</v>
      </c>
      <c r="O370" s="39">
        <f>(VLOOKUP($A370,'The List'!$B1:$AH727,27,FALSE)-AVERAGE('The List'!AB2:AB727))/STDEV('The List'!AB2:AB727)</f>
        <v>1.750962178188755</v>
      </c>
      <c r="P370" s="39">
        <f>(VLOOKUP($A370,'The List'!$B1:$AH727,28,FALSE)-AVERAGE('The List'!AC2:AC727))/STDEV('The List'!AC2:AC727)</f>
        <v>0.20464517445929467</v>
      </c>
      <c r="Q370" s="39">
        <f>(VLOOKUP($A370,'The List'!$B1:$AH727,29,FALSE)-AVERAGE('The List'!AD2:AD727))/STDEV('The List'!AD2:AD727)</f>
        <v>0.59842139681805284</v>
      </c>
      <c r="R370" s="39">
        <f>(VLOOKUP($A370,'The List'!$B1:$AH727,30,FALSE)-AVERAGE('The List'!AE2:AE727))/STDEV('The List'!AE2:AE727)</f>
        <v>3.9641464516373785E-2</v>
      </c>
      <c r="S370" s="39">
        <f>(VLOOKUP($A370,'The List'!$B1:$AH727,31,FALSE)-AVERAGE('The List'!AF2:AF727))/STDEV('The List'!AF2:AF727)</f>
        <v>2.2125479643843606</v>
      </c>
      <c r="T370" s="39">
        <f>(VLOOKUP($A370,'The List'!$B1:$AH727,32,FALSE)-AVERAGE('The List'!AG2:AG727))/STDEV('The List'!AG2:AG727)</f>
        <v>2.1561421567977366</v>
      </c>
      <c r="U370" s="39">
        <f>(VLOOKUP($A370,'The List'!$B1:$AH727,33,FALSE)-AVERAGE('The List'!AH2:AH727))/STDEV('The List'!AH2:AH727)</f>
        <v>1.0817016174025205</v>
      </c>
      <c r="V370" s="39"/>
      <c r="W370" s="43"/>
      <c r="X370" s="41"/>
      <c r="Y370" s="41"/>
      <c r="Z370" s="41"/>
      <c r="AA370" s="41"/>
      <c r="AB370" s="41"/>
      <c r="AC370" s="44"/>
      <c r="AD370" s="45"/>
      <c r="AE370" s="39"/>
    </row>
    <row r="371" spans="1:31" ht="21.25" customHeight="1" x14ac:dyDescent="0.15">
      <c r="A371" s="8" t="s">
        <v>652</v>
      </c>
      <c r="B371" s="35" t="str">
        <f>VLOOKUP(A371,'Player Data'!A1:B734,2,FALSE)</f>
        <v>CBJ</v>
      </c>
      <c r="C371" s="37">
        <f>((E371)*Settings!$C$12)+(F371*Settings!$C$2)+(G371*Settings!$C$3)+(H371*Settings!$C$4)+(I371*Settings!$C$5)+(K371*Settings!$C$9)+(N371*Settings!$C$6)+(J371*Settings!$C$8)+(O371*Settings!$C$7)+(P371*Settings!$C$14)+(Q371*Settings!$C$15)+(R371*Settings!$C$16)+(S371*Settings!$C$17)+(T371*Settings!$C$18)+(U371*Settings!$C$19)</f>
        <v>-3.5874410021348364</v>
      </c>
      <c r="D371" s="41">
        <f>IF(Settings!$E$12="YES",VLOOKUP(A371,'Player Data'!A1:E734,5,FALSE),82)</f>
        <v>77.422499999999999</v>
      </c>
      <c r="E371" s="39">
        <f>(VLOOKUP($A371,'The List'!$B1:$AH727,17,FALSE)-AVERAGE('The List'!R2:R727))/STDEV('The List'!R2:R727)</f>
        <v>-0.64689206062021498</v>
      </c>
      <c r="F371" s="39">
        <f>(VLOOKUP($A371,'The List'!$B1:$AH727,18,FALSE)-AVERAGE('The List'!S2:S727))/STDEV('The List'!S2:S727)</f>
        <v>-0.14916235433651062</v>
      </c>
      <c r="G371" s="39">
        <f>(VLOOKUP($A371,'The List'!$B1:$AH727,19,FALSE)-AVERAGE('The List'!T2:T727))/STDEV('The List'!T2:T727)</f>
        <v>-0.52776927076620561</v>
      </c>
      <c r="H371" s="39">
        <f>(VLOOKUP($A371,'The List'!$B1:$AH727,20,FALSE)-AVERAGE('The List'!U2:U727))/STDEV('The List'!U2:U727)</f>
        <v>-0.39309448956794901</v>
      </c>
      <c r="I371" s="39">
        <f>(VLOOKUP($A371,'The List'!$B1:$AH727,21,FALSE)-AVERAGE('The List'!V2:V727))/STDEV('The List'!V2:V727)</f>
        <v>-9.4057477050204688E-2</v>
      </c>
      <c r="J371" s="39">
        <f>(VLOOKUP($A371,'The List'!$B1:$AH727,22,FALSE)-AVERAGE('The List'!W2:W727))/STDEV('The List'!W2:W727)</f>
        <v>-0.38171670258580798</v>
      </c>
      <c r="K371" s="39">
        <f>(VLOOKUP($A371,'The List'!$B1:$AH727,23,FALSE)-AVERAGE('The List'!X2:X727))/STDEV('The List'!X2:X727)</f>
        <v>-0.51922393379601728</v>
      </c>
      <c r="L371" s="39">
        <f>(VLOOKUP($A371,'The List'!$B1:$AH727,24,FALSE)-AVERAGE('The List'!Y2:Y727))/STDEV('The List'!Y2:Y727)</f>
        <v>-0.29284506137042537</v>
      </c>
      <c r="M371" s="39">
        <f>(VLOOKUP($A371,'The List'!$B1:$AH727,25,FALSE)-AVERAGE('The List'!Z2:Z727))/STDEV('The List'!Z2:Z727)</f>
        <v>-0.44273313180260526</v>
      </c>
      <c r="N371" s="39">
        <f>(VLOOKUP($A371,'The List'!$B1:$AH727,26,FALSE)-AVERAGE('The List'!AA2:AA727))/STDEV('The List'!AA2:AA727)</f>
        <v>-0.37289045586940128</v>
      </c>
      <c r="O371" s="39">
        <f>(VLOOKUP($A371,'The List'!$B1:$AH727,27,FALSE)-AVERAGE('The List'!AB2:AB727))/STDEV('The List'!AB2:AB727)</f>
        <v>0.56111912884806814</v>
      </c>
      <c r="P371" s="39">
        <f>(VLOOKUP($A371,'The List'!$B1:$AH727,28,FALSE)-AVERAGE('The List'!AC2:AC727))/STDEV('The List'!AC2:AC727)</f>
        <v>-1.924337510316497</v>
      </c>
      <c r="Q371" s="39">
        <f>(VLOOKUP($A371,'The List'!$B1:$AH727,29,FALSE)-AVERAGE('The List'!AD2:AD727))/STDEV('The List'!AD2:AD727)</f>
        <v>3.2636008322369349E-3</v>
      </c>
      <c r="R371" s="39">
        <f>(VLOOKUP($A371,'The List'!$B1:$AH727,30,FALSE)-AVERAGE('The List'!AE2:AE727))/STDEV('The List'!AE2:AE727)</f>
        <v>-0.3908303097420549</v>
      </c>
      <c r="S371" s="39">
        <f>(VLOOKUP($A371,'The List'!$B1:$AH727,31,FALSE)-AVERAGE('The List'!AF2:AF727))/STDEV('The List'!AF2:AF727)</f>
        <v>1.3821258462812001</v>
      </c>
      <c r="T371" s="39">
        <f>(VLOOKUP($A371,'The List'!$B1:$AH727,32,FALSE)-AVERAGE('The List'!AG2:AG727))/STDEV('The List'!AG2:AG727)</f>
        <v>1.8567392665682732</v>
      </c>
      <c r="U371" s="39">
        <f>(VLOOKUP($A371,'The List'!$B1:$AH727,33,FALSE)-AVERAGE('The List'!AH2:AH727))/STDEV('The List'!AH2:AH727)</f>
        <v>0.80970055371436478</v>
      </c>
      <c r="V371" s="39"/>
      <c r="W371" s="41"/>
      <c r="X371" s="39"/>
      <c r="Y371" s="39"/>
      <c r="Z371" s="39"/>
      <c r="AA371" s="39"/>
      <c r="AB371" s="39"/>
      <c r="AC371" s="39"/>
      <c r="AD371" s="39"/>
      <c r="AE371" s="39"/>
    </row>
    <row r="372" spans="1:31" ht="21.25" customHeight="1" x14ac:dyDescent="0.15">
      <c r="A372" s="8" t="s">
        <v>727</v>
      </c>
      <c r="B372" s="35" t="str">
        <f>VLOOKUP(A372,'Player Data'!A1:B734,2,FALSE)</f>
        <v>VGK</v>
      </c>
      <c r="C372" s="37">
        <f>((E372)*Settings!$C$12)+(F372*Settings!$C$2)+(G372*Settings!$C$3)+(H372*Settings!$C$4)+(I372*Settings!$C$5)+(K372*Settings!$C$9)+(N372*Settings!$C$6)+(J372*Settings!$C$8)+(O372*Settings!$C$7)+(P372*Settings!$C$14)+(Q372*Settings!$C$15)+(R372*Settings!$C$16)+(S372*Settings!$C$17)+(T372*Settings!$C$18)+(U372*Settings!$C$19)</f>
        <v>-1.9063948814408307</v>
      </c>
      <c r="D372" s="41">
        <f>IF(Settings!$E$12="YES",VLOOKUP(A372,'Player Data'!A1:E734,5,FALSE),82)</f>
        <v>71.253214285714293</v>
      </c>
      <c r="E372" s="39">
        <f>(VLOOKUP($A372,'The List'!$B1:$AH727,17,FALSE)-AVERAGE('The List'!R2:R727))/STDEV('The List'!R2:R727)</f>
        <v>-1.1743884418224275</v>
      </c>
      <c r="F372" s="39">
        <f>(VLOOKUP($A372,'The List'!$B1:$AH727,18,FALSE)-AVERAGE('The List'!S2:S727))/STDEV('The List'!S2:S727)</f>
        <v>2.2315219410673236E-2</v>
      </c>
      <c r="G372" s="39">
        <f>(VLOOKUP($A372,'The List'!$B1:$AH727,19,FALSE)-AVERAGE('The List'!T2:T727))/STDEV('The List'!T2:T727)</f>
        <v>-0.82279264118097606</v>
      </c>
      <c r="H372" s="39">
        <f>(VLOOKUP($A372,'The List'!$B1:$AH727,20,FALSE)-AVERAGE('The List'!U2:U727))/STDEV('The List'!U2:U727)</f>
        <v>-0.4968575804747315</v>
      </c>
      <c r="I372" s="39">
        <f>(VLOOKUP($A372,'The List'!$B1:$AH727,21,FALSE)-AVERAGE('The List'!V2:V727))/STDEV('The List'!V2:V727)</f>
        <v>-0.57442841277772427</v>
      </c>
      <c r="J372" s="39">
        <f>(VLOOKUP($A372,'The List'!$B1:$AH727,22,FALSE)-AVERAGE('The List'!W2:W727))/STDEV('The List'!W2:W727)</f>
        <v>-0.55157444379962772</v>
      </c>
      <c r="K372" s="39">
        <f>(VLOOKUP($A372,'The List'!$B1:$AH727,23,FALSE)-AVERAGE('The List'!X2:X727))/STDEV('The List'!X2:X727)</f>
        <v>-0.65030517576231051</v>
      </c>
      <c r="L372" s="39">
        <f>(VLOOKUP($A372,'The List'!$B1:$AH727,24,FALSE)-AVERAGE('The List'!Y2:Y727))/STDEV('The List'!Y2:Y727)</f>
        <v>-0.54402834717551152</v>
      </c>
      <c r="M372" s="39">
        <f>(VLOOKUP($A372,'The List'!$B1:$AH727,25,FALSE)-AVERAGE('The List'!Z2:Z727))/STDEV('The List'!Z2:Z727)</f>
        <v>-0.72372514007823274</v>
      </c>
      <c r="N372" s="39">
        <f>(VLOOKUP($A372,'The List'!$B1:$AH727,26,FALSE)-AVERAGE('The List'!AA2:AA727))/STDEV('The List'!AA2:AA727)</f>
        <v>-0.80888481595006467</v>
      </c>
      <c r="O372" s="39">
        <f>(VLOOKUP($A372,'The List'!$B1:$AH727,27,FALSE)-AVERAGE('The List'!AB2:AB727))/STDEV('The List'!AB2:AB727)</f>
        <v>-0.59602907983488385</v>
      </c>
      <c r="P372" s="39">
        <f>(VLOOKUP($A372,'The List'!$B1:$AH727,28,FALSE)-AVERAGE('The List'!AC2:AC727))/STDEV('The List'!AC2:AC727)</f>
        <v>0.92770094481957166</v>
      </c>
      <c r="Q372" s="39">
        <f>(VLOOKUP($A372,'The List'!$B1:$AH727,29,FALSE)-AVERAGE('The List'!AD2:AD727))/STDEV('The List'!AD2:AD727)</f>
        <v>-1.0364589705109963</v>
      </c>
      <c r="R372" s="39">
        <f>(VLOOKUP($A372,'The List'!$B1:$AH727,30,FALSE)-AVERAGE('The List'!AE2:AE727))/STDEV('The List'!AE2:AE727)</f>
        <v>0.21303201375749659</v>
      </c>
      <c r="S372" s="39">
        <f>(VLOOKUP($A372,'The List'!$B1:$AH727,31,FALSE)-AVERAGE('The List'!AF2:AF727))/STDEV('The List'!AF2:AF727)</f>
        <v>-0.33271212785909232</v>
      </c>
      <c r="T372" s="39">
        <f>(VLOOKUP($A372,'The List'!$B1:$AH727,32,FALSE)-AVERAGE('The List'!AG2:AG727))/STDEV('The List'!AG2:AG727)</f>
        <v>-0.33005612803507789</v>
      </c>
      <c r="U372" s="39">
        <f>(VLOOKUP($A372,'The List'!$B1:$AH727,33,FALSE)-AVERAGE('The List'!AH2:AH727))/STDEV('The List'!AH2:AH727)</f>
        <v>0.86493610836463641</v>
      </c>
      <c r="V372" s="39"/>
      <c r="W372" s="43"/>
      <c r="X372" s="41"/>
      <c r="Y372" s="41"/>
      <c r="Z372" s="41"/>
      <c r="AA372" s="41"/>
      <c r="AB372" s="41"/>
      <c r="AC372" s="44"/>
      <c r="AD372" s="45"/>
      <c r="AE372" s="39"/>
    </row>
    <row r="373" spans="1:31" ht="21.25" customHeight="1" x14ac:dyDescent="0.15">
      <c r="A373" s="8" t="s">
        <v>720</v>
      </c>
      <c r="B373" s="35" t="str">
        <f>VLOOKUP(A373,'Player Data'!A1:B734,2,FALSE)</f>
        <v>TOR</v>
      </c>
      <c r="C373" s="37">
        <f>((E373)*Settings!$C$12)+(F373*Settings!$C$2)+(G373*Settings!$C$3)+(H373*Settings!$C$4)+(I373*Settings!$C$5)+(K373*Settings!$C$9)+(N373*Settings!$C$6)+(J373*Settings!$C$8)+(O373*Settings!$C$7)+(P373*Settings!$C$14)+(Q373*Settings!$C$15)+(R373*Settings!$C$16)+(S373*Settings!$C$17)+(T373*Settings!$C$18)+(U373*Settings!$C$19)</f>
        <v>-3.2688473114746786</v>
      </c>
      <c r="D373" s="41">
        <f>IF(Settings!$E$12="YES",VLOOKUP(A373,'Player Data'!A1:E734,5,FALSE),82)</f>
        <v>52.916071428571399</v>
      </c>
      <c r="E373" s="39">
        <f>(VLOOKUP($A373,'The List'!$B1:$AH727,17,FALSE)-AVERAGE('The List'!R2:R727))/STDEV('The List'!R2:R727)</f>
        <v>-1.2000712351331178</v>
      </c>
      <c r="F373" s="39">
        <f>(VLOOKUP($A373,'The List'!$B1:$AH727,18,FALSE)-AVERAGE('The List'!S2:S727))/STDEV('The List'!S2:S727)</f>
        <v>-0.50963633218775495</v>
      </c>
      <c r="G373" s="39">
        <f>(VLOOKUP($A373,'The List'!$B1:$AH727,19,FALSE)-AVERAGE('The List'!T2:T727))/STDEV('The List'!T2:T727)</f>
        <v>-0.88869982591280416</v>
      </c>
      <c r="H373" s="39">
        <f>(VLOOKUP($A373,'The List'!$B1:$AH727,20,FALSE)-AVERAGE('The List'!U2:U727))/STDEV('The List'!U2:U727)</f>
        <v>-0.7795414381430521</v>
      </c>
      <c r="I373" s="39">
        <f>(VLOOKUP($A373,'The List'!$B1:$AH727,21,FALSE)-AVERAGE('The List'!V2:V727))/STDEV('The List'!V2:V727)</f>
        <v>-0.7745317326868939</v>
      </c>
      <c r="J373" s="39">
        <f>(VLOOKUP($A373,'The List'!$B1:$AH727,22,FALSE)-AVERAGE('The List'!W2:W727))/STDEV('The List'!W2:W727)</f>
        <v>-0.61464400948416609</v>
      </c>
      <c r="K373" s="39">
        <f>(VLOOKUP($A373,'The List'!$B1:$AH727,23,FALSE)-AVERAGE('The List'!X2:X727))/STDEV('The List'!X2:X727)</f>
        <v>-0.706999374469373</v>
      </c>
      <c r="L373" s="39">
        <f>(VLOOKUP($A373,'The List'!$B1:$AH727,24,FALSE)-AVERAGE('The List'!Y2:Y727))/STDEV('The List'!Y2:Y727)</f>
        <v>-0.52532806374387453</v>
      </c>
      <c r="M373" s="39">
        <f>(VLOOKUP($A373,'The List'!$B1:$AH727,25,FALSE)-AVERAGE('The List'!Z2:Z727))/STDEV('The List'!Z2:Z727)</f>
        <v>-0.70280443308895291</v>
      </c>
      <c r="N373" s="39">
        <f>(VLOOKUP($A373,'The List'!$B1:$AH727,26,FALSE)-AVERAGE('The List'!AA2:AA727))/STDEV('The List'!AA2:AA727)</f>
        <v>-0.91164074730023192</v>
      </c>
      <c r="O373" s="39">
        <f>(VLOOKUP($A373,'The List'!$B1:$AH727,27,FALSE)-AVERAGE('The List'!AB2:AB727))/STDEV('The List'!AB2:AB727)</f>
        <v>-0.46866810966528699</v>
      </c>
      <c r="P373" s="39">
        <f>(VLOOKUP($A373,'The List'!$B1:$AH727,28,FALSE)-AVERAGE('The List'!AC2:AC727))/STDEV('The List'!AC2:AC727)</f>
        <v>0.52266070108237939</v>
      </c>
      <c r="Q373" s="39">
        <f>(VLOOKUP($A373,'The List'!$B1:$AH727,29,FALSE)-AVERAGE('The List'!AD2:AD727))/STDEV('The List'!AD2:AD727)</f>
        <v>-1.2831888106156071</v>
      </c>
      <c r="R373" s="39">
        <f>(VLOOKUP($A373,'The List'!$B1:$AH727,30,FALSE)-AVERAGE('The List'!AE2:AE727))/STDEV('The List'!AE2:AE727)</f>
        <v>-0.36907527901217063</v>
      </c>
      <c r="S373" s="39">
        <f>(VLOOKUP($A373,'The List'!$B1:$AH727,31,FALSE)-AVERAGE('The List'!AF2:AF727))/STDEV('The List'!AF2:AF727)</f>
        <v>-0.53955087767894616</v>
      </c>
      <c r="T373" s="39">
        <f>(VLOOKUP($A373,'The List'!$B1:$AH727,32,FALSE)-AVERAGE('The List'!AG2:AG727))/STDEV('The List'!AG2:AG727)</f>
        <v>-0.57098321268870766</v>
      </c>
      <c r="U373" s="39">
        <f>(VLOOKUP($A373,'The List'!$B1:$AH727,33,FALSE)-AVERAGE('The List'!AH2:AH727))/STDEV('The List'!AH2:AH727)</f>
        <v>0.50579518902169707</v>
      </c>
      <c r="V373" s="39"/>
      <c r="W373" s="41"/>
      <c r="X373" s="39"/>
      <c r="Y373" s="39"/>
      <c r="Z373" s="39"/>
      <c r="AA373" s="39"/>
      <c r="AB373" s="39"/>
      <c r="AC373" s="39"/>
      <c r="AD373" s="39"/>
      <c r="AE373" s="39"/>
    </row>
    <row r="374" spans="1:31" ht="21.25" customHeight="1" x14ac:dyDescent="0.15">
      <c r="A374" s="8" t="s">
        <v>348</v>
      </c>
      <c r="B374" s="35" t="str">
        <f>VLOOKUP(A374,'Player Data'!A1:B734,2,FALSE)</f>
        <v>SEA</v>
      </c>
      <c r="C374" s="37">
        <f>((E374)*Settings!$C$12)+(F374*Settings!$C$2)+(G374*Settings!$C$3)+(H374*Settings!$C$4)+(I374*Settings!$C$5)+(K374*Settings!$C$9)+(N374*Settings!$C$6)+(J374*Settings!$C$8)+(O374*Settings!$C$7)+(P374*Settings!$C$14)+(Q374*Settings!$C$15)+(R374*Settings!$C$16)+(S374*Settings!$C$17)+(T374*Settings!$C$18)+(U374*Settings!$C$19)</f>
        <v>1.3415273305505113</v>
      </c>
      <c r="D374" s="41">
        <f>IF(Settings!$E$12="YES",VLOOKUP(A374,'Player Data'!A1:E734,5,FALSE),82)</f>
        <v>82.03</v>
      </c>
      <c r="E374" s="39">
        <f>(VLOOKUP($A374,'The List'!$B1:$AH727,17,FALSE)-AVERAGE('The List'!R2:R727))/STDEV('The List'!R2:R727)</f>
        <v>1.9647470395349025</v>
      </c>
      <c r="F374" s="39">
        <f>(VLOOKUP($A374,'The List'!$B1:$AH727,18,FALSE)-AVERAGE('The List'!S2:S727))/STDEV('The List'!S2:S727)</f>
        <v>-0.53180555092787685</v>
      </c>
      <c r="G374" s="39">
        <f>(VLOOKUP($A374,'The List'!$B1:$AH727,19,FALSE)-AVERAGE('The List'!T2:T727))/STDEV('The List'!T2:T727)</f>
        <v>-0.14704212102915581</v>
      </c>
      <c r="H374" s="39">
        <f>(VLOOKUP($A374,'The List'!$B1:$AH727,20,FALSE)-AVERAGE('The List'!U2:U727))/STDEV('The List'!U2:U727)</f>
        <v>-0.33261351305815506</v>
      </c>
      <c r="I374" s="39">
        <f>(VLOOKUP($A374,'The List'!$B1:$AH727,21,FALSE)-AVERAGE('The List'!V2:V727))/STDEV('The List'!V2:V727)</f>
        <v>6.3139499153067713E-2</v>
      </c>
      <c r="J374" s="39">
        <f>(VLOOKUP($A374,'The List'!$B1:$AH727,22,FALSE)-AVERAGE('The List'!W2:W727))/STDEV('The List'!W2:W727)</f>
        <v>-0.70215147492013541</v>
      </c>
      <c r="K374" s="39">
        <f>(VLOOKUP($A374,'The List'!$B1:$AH727,23,FALSE)-AVERAGE('The List'!X2:X727))/STDEV('The List'!X2:X727)</f>
        <v>-0.76697887108999019</v>
      </c>
      <c r="L374" s="39">
        <f>(VLOOKUP($A374,'The List'!$B1:$AH727,24,FALSE)-AVERAGE('The List'!Y2:Y727))/STDEV('The List'!Y2:Y727)</f>
        <v>-0.49707796912158619</v>
      </c>
      <c r="M374" s="39">
        <f>(VLOOKUP($A374,'The List'!$B1:$AH727,25,FALSE)-AVERAGE('The List'!Z2:Z727))/STDEV('The List'!Z2:Z727)</f>
        <v>-0.56967184607636723</v>
      </c>
      <c r="N374" s="39">
        <f>(VLOOKUP($A374,'The List'!$B1:$AH727,26,FALSE)-AVERAGE('The List'!AA2:AA727))/STDEV('The List'!AA2:AA727)</f>
        <v>2.7779011312606099</v>
      </c>
      <c r="O374" s="39">
        <f>(VLOOKUP($A374,'The List'!$B1:$AH727,27,FALSE)-AVERAGE('The List'!AB2:AB727))/STDEV('The List'!AB2:AB727)</f>
        <v>2.327921727269552</v>
      </c>
      <c r="P374" s="39">
        <f>(VLOOKUP($A374,'The List'!$B1:$AH727,28,FALSE)-AVERAGE('The List'!AC2:AC727))/STDEV('The List'!AC2:AC727)</f>
        <v>-5.3686756816143516E-2</v>
      </c>
      <c r="Q374" s="39">
        <f>(VLOOKUP($A374,'The List'!$B1:$AH727,29,FALSE)-AVERAGE('The List'!AD2:AD727))/STDEV('The List'!AD2:AD727)</f>
        <v>1.4094704013415558</v>
      </c>
      <c r="R374" s="39">
        <f>(VLOOKUP($A374,'The List'!$B1:$AH727,30,FALSE)-AVERAGE('The List'!AE2:AE727))/STDEV('The List'!AE2:AE727)</f>
        <v>-0.49235661812730858</v>
      </c>
      <c r="S374" s="39">
        <f>(VLOOKUP($A374,'The List'!$B1:$AH727,31,FALSE)-AVERAGE('The List'!AF2:AF727))/STDEV('The List'!AF2:AF727)</f>
        <v>-0.55792039774640156</v>
      </c>
      <c r="T374" s="39">
        <f>(VLOOKUP($A374,'The List'!$B1:$AH727,32,FALSE)-AVERAGE('The List'!AG2:AG727))/STDEV('The List'!AG2:AG727)</f>
        <v>-0.60119542440658746</v>
      </c>
      <c r="U374" s="39">
        <f>(VLOOKUP($A374,'The List'!$B1:$AH727,33,FALSE)-AVERAGE('The List'!AH2:AH727))/STDEV('The List'!AH2:AH727)</f>
        <v>-0.52659448680604704</v>
      </c>
      <c r="V374" s="39"/>
      <c r="W374" s="41"/>
      <c r="X374" s="39"/>
      <c r="Y374" s="39"/>
      <c r="Z374" s="39"/>
      <c r="AA374" s="39"/>
      <c r="AB374" s="39"/>
      <c r="AC374" s="39"/>
      <c r="AD374" s="39"/>
      <c r="AE374" s="39"/>
    </row>
    <row r="375" spans="1:31" ht="21.25" customHeight="1" x14ac:dyDescent="0.15">
      <c r="A375" s="8" t="s">
        <v>366</v>
      </c>
      <c r="B375" s="35" t="str">
        <f>VLOOKUP(A375,'Player Data'!A1:B734,2,FALSE)</f>
        <v>PHI</v>
      </c>
      <c r="C375" s="37">
        <f>((E375)*Settings!$C$12)+(F375*Settings!$C$2)+(G375*Settings!$C$3)+(H375*Settings!$C$4)+(I375*Settings!$C$5)+(K375*Settings!$C$9)+(N375*Settings!$C$6)+(J375*Settings!$C$8)+(O375*Settings!$C$7)+(P375*Settings!$C$14)+(Q375*Settings!$C$15)+(R375*Settings!$C$16)+(S375*Settings!$C$17)+(T375*Settings!$C$18)+(U375*Settings!$C$19)</f>
        <v>-1.0321781067795046</v>
      </c>
      <c r="D375" s="41">
        <f>IF(Settings!$E$12="YES",VLOOKUP(A375,'Player Data'!A1:E734,5,FALSE),82)</f>
        <v>81.4310714285714</v>
      </c>
      <c r="E375" s="39">
        <f>(VLOOKUP($A375,'The List'!$B1:$AH727,17,FALSE)-AVERAGE('The List'!R2:R727))/STDEV('The List'!R2:R727)</f>
        <v>1.3703600510662077</v>
      </c>
      <c r="F375" s="39">
        <f>(VLOOKUP($A375,'The List'!$B1:$AH727,18,FALSE)-AVERAGE('The List'!S2:S727))/STDEV('The List'!S2:S727)</f>
        <v>-0.61691548462366597</v>
      </c>
      <c r="G375" s="39">
        <f>(VLOOKUP($A375,'The List'!$B1:$AH727,19,FALSE)-AVERAGE('The List'!T2:T727))/STDEV('The List'!T2:T727)</f>
        <v>-9.9843616569182905E-2</v>
      </c>
      <c r="H375" s="39">
        <f>(VLOOKUP($A375,'The List'!$B1:$AH727,20,FALSE)-AVERAGE('The List'!U2:U727))/STDEV('The List'!U2:U727)</f>
        <v>-0.34225970571069964</v>
      </c>
      <c r="I375" s="39">
        <f>(VLOOKUP($A375,'The List'!$B1:$AH727,21,FALSE)-AVERAGE('The List'!V2:V727))/STDEV('The List'!V2:V727)</f>
        <v>-0.14168897447116299</v>
      </c>
      <c r="J375" s="39">
        <f>(VLOOKUP($A375,'The List'!$B1:$AH727,22,FALSE)-AVERAGE('The List'!W2:W727))/STDEV('The List'!W2:W727)</f>
        <v>-0.68370272482208128</v>
      </c>
      <c r="K375" s="39">
        <f>(VLOOKUP($A375,'The List'!$B1:$AH727,23,FALSE)-AVERAGE('The List'!X2:X727))/STDEV('The List'!X2:X727)</f>
        <v>-0.69130384975363979</v>
      </c>
      <c r="L375" s="39">
        <f>(VLOOKUP($A375,'The List'!$B1:$AH727,24,FALSE)-AVERAGE('The List'!Y2:Y727))/STDEV('The List'!Y2:Y727)</f>
        <v>0.32765030282256047</v>
      </c>
      <c r="M375" s="39">
        <f>(VLOOKUP($A375,'The List'!$B1:$AH727,25,FALSE)-AVERAGE('The List'!Z2:Z727))/STDEV('The List'!Z2:Z727)</f>
        <v>-8.6212902109666756E-2</v>
      </c>
      <c r="N375" s="39">
        <f>(VLOOKUP($A375,'The List'!$B1:$AH727,26,FALSE)-AVERAGE('The List'!AA2:AA727))/STDEV('The List'!AA2:AA727)</f>
        <v>2.0398360699684726</v>
      </c>
      <c r="O375" s="39">
        <f>(VLOOKUP($A375,'The List'!$B1:$AH727,27,FALSE)-AVERAGE('The List'!AB2:AB727))/STDEV('The List'!AB2:AB727)</f>
        <v>-0.44936375953710467</v>
      </c>
      <c r="P375" s="39">
        <f>(VLOOKUP($A375,'The List'!$B1:$AH727,28,FALSE)-AVERAGE('The List'!AC2:AC727))/STDEV('The List'!AC2:AC727)</f>
        <v>-1.5222622513303254</v>
      </c>
      <c r="Q375" s="39">
        <f>(VLOOKUP($A375,'The List'!$B1:$AH727,29,FALSE)-AVERAGE('The List'!AD2:AD727))/STDEV('The List'!AD2:AD727)</f>
        <v>0.4917755164692571</v>
      </c>
      <c r="R375" s="39">
        <f>(VLOOKUP($A375,'The List'!$B1:$AH727,30,FALSE)-AVERAGE('The List'!AE2:AE727))/STDEV('The List'!AE2:AE727)</f>
        <v>-0.67229426184272822</v>
      </c>
      <c r="S375" s="39">
        <f>(VLOOKUP($A375,'The List'!$B1:$AH727,31,FALSE)-AVERAGE('The List'!AF2:AF727))/STDEV('The List'!AF2:AF727)</f>
        <v>-0.55804314905918151</v>
      </c>
      <c r="T375" s="39">
        <f>(VLOOKUP($A375,'The List'!$B1:$AH727,32,FALSE)-AVERAGE('The List'!AG2:AG727))/STDEV('The List'!AG2:AG727)</f>
        <v>-0.60188453558131205</v>
      </c>
      <c r="U375" s="39">
        <f>(VLOOKUP($A375,'The List'!$B1:$AH727,33,FALSE)-AVERAGE('The List'!AH2:AH727))/STDEV('The List'!AH2:AH727)</f>
        <v>-1.2395873372913611</v>
      </c>
      <c r="V375" s="39"/>
      <c r="W375" s="41"/>
      <c r="X375" s="39"/>
      <c r="Y375" s="39"/>
      <c r="Z375" s="39"/>
      <c r="AA375" s="39"/>
      <c r="AB375" s="39"/>
      <c r="AC375" s="39"/>
      <c r="AD375" s="39"/>
      <c r="AE375" s="39"/>
    </row>
    <row r="376" spans="1:31" ht="21.25" customHeight="1" x14ac:dyDescent="0.15">
      <c r="A376" s="8" t="s">
        <v>733</v>
      </c>
      <c r="B376" s="35" t="str">
        <f>VLOOKUP(A376,'Player Data'!A1:B734,2,FALSE)</f>
        <v>DAL</v>
      </c>
      <c r="C376" s="37">
        <f>((E376)*Settings!$C$12)+(F376*Settings!$C$2)+(G376*Settings!$C$3)+(H376*Settings!$C$4)+(I376*Settings!$C$5)+(K376*Settings!$C$9)+(N376*Settings!$C$6)+(J376*Settings!$C$8)+(O376*Settings!$C$7)+(P376*Settings!$C$14)+(Q376*Settings!$C$15)+(R376*Settings!$C$16)+(S376*Settings!$C$17)+(T376*Settings!$C$18)+(U376*Settings!$C$19)</f>
        <v>-2.4243151518178476</v>
      </c>
      <c r="D376" s="41">
        <f>IF(Settings!$E$12="YES",VLOOKUP(A376,'Player Data'!A1:E734,5,FALSE),82)</f>
        <v>71.862142857142899</v>
      </c>
      <c r="E376" s="39">
        <f>(VLOOKUP($A376,'The List'!$B1:$AH727,17,FALSE)-AVERAGE('The List'!R2:R727))/STDEV('The List'!R2:R727)</f>
        <v>-0.69867550250157295</v>
      </c>
      <c r="F376" s="39">
        <f>(VLOOKUP($A376,'The List'!$B1:$AH727,18,FALSE)-AVERAGE('The List'!S2:S727))/STDEV('The List'!S2:S727)</f>
        <v>-0.45325920700841832</v>
      </c>
      <c r="G376" s="39">
        <f>(VLOOKUP($A376,'The List'!$B1:$AH727,19,FALSE)-AVERAGE('The List'!T2:T727))/STDEV('The List'!T2:T727)</f>
        <v>-0.46028164104520097</v>
      </c>
      <c r="H376" s="39">
        <f>(VLOOKUP($A376,'The List'!$B1:$AH727,20,FALSE)-AVERAGE('The List'!U2:U727))/STDEV('The List'!U2:U727)</f>
        <v>-0.48989108795175385</v>
      </c>
      <c r="I376" s="39">
        <f>(VLOOKUP($A376,'The List'!$B1:$AH727,21,FALSE)-AVERAGE('The List'!V2:V727))/STDEV('The List'!V2:V727)</f>
        <v>-0.84219724557767606</v>
      </c>
      <c r="J376" s="39">
        <f>(VLOOKUP($A376,'The List'!$B1:$AH727,22,FALSE)-AVERAGE('The List'!W2:W727))/STDEV('The List'!W2:W727)</f>
        <v>-0.69377017381319828</v>
      </c>
      <c r="K376" s="39">
        <f>(VLOOKUP($A376,'The List'!$B1:$AH727,23,FALSE)-AVERAGE('The List'!X2:X727))/STDEV('The List'!X2:X727)</f>
        <v>-0.78670796845867019</v>
      </c>
      <c r="L376" s="39">
        <f>(VLOOKUP($A376,'The List'!$B1:$AH727,24,FALSE)-AVERAGE('The List'!Y2:Y727))/STDEV('The List'!Y2:Y727)</f>
        <v>-0.3068515766804184</v>
      </c>
      <c r="M376" s="39">
        <f>(VLOOKUP($A376,'The List'!$B1:$AH727,25,FALSE)-AVERAGE('The List'!Z2:Z727))/STDEV('The List'!Z2:Z727)</f>
        <v>2.4270209527000981</v>
      </c>
      <c r="N376" s="39">
        <f>(VLOOKUP($A376,'The List'!$B1:$AH727,26,FALSE)-AVERAGE('The List'!AA2:AA727))/STDEV('The List'!AA2:AA727)</f>
        <v>-0.64372372215857676</v>
      </c>
      <c r="O376" s="39">
        <f>(VLOOKUP($A376,'The List'!$B1:$AH727,27,FALSE)-AVERAGE('The List'!AB2:AB727))/STDEV('The List'!AB2:AB727)</f>
        <v>0.31540000829873588</v>
      </c>
      <c r="P376" s="39">
        <f>(VLOOKUP($A376,'The List'!$B1:$AH727,28,FALSE)-AVERAGE('The List'!AC2:AC727))/STDEV('The List'!AC2:AC727)</f>
        <v>0.76185463243069451</v>
      </c>
      <c r="Q376" s="39">
        <f>(VLOOKUP($A376,'The List'!$B1:$AH727,29,FALSE)-AVERAGE('The List'!AD2:AD727))/STDEV('The List'!AD2:AD727)</f>
        <v>0.79015849198861365</v>
      </c>
      <c r="R376" s="39">
        <f>(VLOOKUP($A376,'The List'!$B1:$AH727,30,FALSE)-AVERAGE('The List'!AE2:AE727))/STDEV('The List'!AE2:AE727)</f>
        <v>-0.31352083074259707</v>
      </c>
      <c r="S376" s="39">
        <f>(VLOOKUP($A376,'The List'!$B1:$AH727,31,FALSE)-AVERAGE('The List'!AF2:AF727))/STDEV('The List'!AF2:AF727)</f>
        <v>-0.11746889698841829</v>
      </c>
      <c r="T376" s="39">
        <f>(VLOOKUP($A376,'The List'!$B1:$AH727,32,FALSE)-AVERAGE('The List'!AG2:AG727))/STDEV('The List'!AG2:AG727)</f>
        <v>-0.13523733415789055</v>
      </c>
      <c r="U376" s="39">
        <f>(VLOOKUP($A376,'The List'!$B1:$AH727,33,FALSE)-AVERAGE('The List'!AH2:AH727))/STDEV('The List'!AH2:AH727)</f>
        <v>1.0116455393578598</v>
      </c>
      <c r="V376" s="39"/>
      <c r="W376" s="41"/>
      <c r="X376" s="39"/>
      <c r="Y376" s="39"/>
      <c r="Z376" s="39"/>
      <c r="AA376" s="39"/>
      <c r="AB376" s="39"/>
      <c r="AC376" s="39"/>
      <c r="AD376" s="39"/>
      <c r="AE376" s="39"/>
    </row>
    <row r="377" spans="1:31" ht="21.25" customHeight="1" x14ac:dyDescent="0.15">
      <c r="A377" s="8" t="s">
        <v>590</v>
      </c>
      <c r="B377" s="35" t="str">
        <f>VLOOKUP(A377,'Player Data'!A1:B734,2,FALSE)</f>
        <v>CAR</v>
      </c>
      <c r="C377" s="37">
        <f>((E377)*Settings!$C$12)+(F377*Settings!$C$2)+(G377*Settings!$C$3)+(H377*Settings!$C$4)+(I377*Settings!$C$5)+(K377*Settings!$C$9)+(N377*Settings!$C$6)+(J377*Settings!$C$8)+(O377*Settings!$C$7)+(P377*Settings!$C$14)+(Q377*Settings!$C$15)+(R377*Settings!$C$16)+(S377*Settings!$C$17)+(T377*Settings!$C$18)+(U377*Settings!$C$19)</f>
        <v>-1.2292258974657806</v>
      </c>
      <c r="D377" s="41">
        <f>IF(Settings!$E$12="YES",VLOOKUP(A377,'Player Data'!A1:E734,5,FALSE),82)</f>
        <v>80.210714285714303</v>
      </c>
      <c r="E377" s="39">
        <f>(VLOOKUP($A377,'The List'!$B1:$AH727,17,FALSE)-AVERAGE('The List'!R2:R727))/STDEV('The List'!R2:R727)</f>
        <v>-0.63568187049647851</v>
      </c>
      <c r="F377" s="39">
        <f>(VLOOKUP($A377,'The List'!$B1:$AH727,18,FALSE)-AVERAGE('The List'!S2:S727))/STDEV('The List'!S2:S727)</f>
        <v>-0.31570956931348837</v>
      </c>
      <c r="G377" s="39">
        <f>(VLOOKUP($A377,'The List'!$B1:$AH727,19,FALSE)-AVERAGE('The List'!T2:T727))/STDEV('The List'!T2:T727)</f>
        <v>-0.35475908254379351</v>
      </c>
      <c r="H377" s="39">
        <f>(VLOOKUP($A377,'The List'!$B1:$AH727,20,FALSE)-AVERAGE('The List'!U2:U727))/STDEV('The List'!U2:U727)</f>
        <v>-0.36227342325244927</v>
      </c>
      <c r="I377" s="39">
        <f>(VLOOKUP($A377,'The List'!$B1:$AH727,21,FALSE)-AVERAGE('The List'!V2:V727))/STDEV('The List'!V2:V727)</f>
        <v>-0.84200410095969414</v>
      </c>
      <c r="J377" s="39">
        <f>(VLOOKUP($A377,'The List'!$B1:$AH727,22,FALSE)-AVERAGE('The List'!W2:W727))/STDEV('The List'!W2:W727)</f>
        <v>-0.66129711294332649</v>
      </c>
      <c r="K377" s="39">
        <f>(VLOOKUP($A377,'The List'!$B1:$AH727,23,FALSE)-AVERAGE('The List'!X2:X727))/STDEV('The List'!X2:X727)</f>
        <v>-0.74798720113318318</v>
      </c>
      <c r="L377" s="39">
        <f>(VLOOKUP($A377,'The List'!$B1:$AH727,24,FALSE)-AVERAGE('The List'!Y2:Y727))/STDEV('The List'!Y2:Y727)</f>
        <v>-0.38517682441814455</v>
      </c>
      <c r="M377" s="39">
        <f>(VLOOKUP($A377,'The List'!$B1:$AH727,25,FALSE)-AVERAGE('The List'!Z2:Z727))/STDEV('The List'!Z2:Z727)</f>
        <v>1.1660052037689597</v>
      </c>
      <c r="N377" s="39">
        <f>(VLOOKUP($A377,'The List'!$B1:$AH727,26,FALSE)-AVERAGE('The List'!AA2:AA727))/STDEV('The List'!AA2:AA727)</f>
        <v>-0.54431997500772034</v>
      </c>
      <c r="O377" s="39">
        <f>(VLOOKUP($A377,'The List'!$B1:$AH727,27,FALSE)-AVERAGE('The List'!AB2:AB727))/STDEV('The List'!AB2:AB727)</f>
        <v>0.21322083345981319</v>
      </c>
      <c r="P377" s="39">
        <f>(VLOOKUP($A377,'The List'!$B1:$AH727,28,FALSE)-AVERAGE('The List'!AC2:AC727))/STDEV('The List'!AC2:AC727)</f>
        <v>1.5755540314920988</v>
      </c>
      <c r="Q377" s="39">
        <f>(VLOOKUP($A377,'The List'!$B1:$AH727,29,FALSE)-AVERAGE('The List'!AD2:AD727))/STDEV('The List'!AD2:AD727)</f>
        <v>-1.1155154136312071</v>
      </c>
      <c r="R377" s="39">
        <f>(VLOOKUP($A377,'The List'!$B1:$AH727,30,FALSE)-AVERAGE('The List'!AE2:AE727))/STDEV('The List'!AE2:AE727)</f>
        <v>-4.5606761583923211E-2</v>
      </c>
      <c r="S377" s="39">
        <f>(VLOOKUP($A377,'The List'!$B1:$AH727,31,FALSE)-AVERAGE('The List'!AF2:AF727))/STDEV('The List'!AF2:AF727)</f>
        <v>-0.50363613639058036</v>
      </c>
      <c r="T377" s="39">
        <f>(VLOOKUP($A377,'The List'!$B1:$AH727,32,FALSE)-AVERAGE('The List'!AG2:AG727))/STDEV('The List'!AG2:AG727)</f>
        <v>-0.51463292405891059</v>
      </c>
      <c r="U377" s="39">
        <f>(VLOOKUP($A377,'The List'!$B1:$AH727,33,FALSE)-AVERAGE('The List'!AH2:AH727))/STDEV('The List'!AH2:AH727)</f>
        <v>0.55006406084842197</v>
      </c>
      <c r="V377" s="39"/>
      <c r="W377" s="41"/>
      <c r="X377" s="39"/>
      <c r="Y377" s="39"/>
      <c r="Z377" s="39"/>
      <c r="AA377" s="39"/>
      <c r="AB377" s="39"/>
      <c r="AC377" s="39"/>
      <c r="AD377" s="39"/>
      <c r="AE377" s="39"/>
    </row>
    <row r="378" spans="1:31" ht="21.25" customHeight="1" x14ac:dyDescent="0.15">
      <c r="A378" s="8" t="s">
        <v>665</v>
      </c>
      <c r="B378" s="35" t="str">
        <f>VLOOKUP(A378,'Player Data'!A1:B734,2,FALSE)</f>
        <v>TBL</v>
      </c>
      <c r="C378" s="37">
        <f>((E378)*Settings!$C$12)+(F378*Settings!$C$2)+(G378*Settings!$C$3)+(H378*Settings!$C$4)+(I378*Settings!$C$5)+(K378*Settings!$C$9)+(N378*Settings!$C$6)+(J378*Settings!$C$8)+(O378*Settings!$C$7)+(P378*Settings!$C$14)+(Q378*Settings!$C$15)+(R378*Settings!$C$16)+(S378*Settings!$C$17)+(T378*Settings!$C$18)+(U378*Settings!$C$19)</f>
        <v>-2.0391252041470653</v>
      </c>
      <c r="D378" s="41">
        <f>IF(Settings!$E$12="YES",VLOOKUP(A378,'Player Data'!A1:E734,5,FALSE),82)</f>
        <v>68.2</v>
      </c>
      <c r="E378" s="39">
        <f>(VLOOKUP($A378,'The List'!$B1:$AH727,17,FALSE)-AVERAGE('The List'!R2:R727))/STDEV('The List'!R2:R727)</f>
        <v>-0.9260848814418795</v>
      </c>
      <c r="F378" s="39">
        <f>(VLOOKUP($A378,'The List'!$B1:$AH727,18,FALSE)-AVERAGE('The List'!S2:S727))/STDEV('The List'!S2:S727)</f>
        <v>-0.44807915619136801</v>
      </c>
      <c r="G378" s="39">
        <f>(VLOOKUP($A378,'The List'!$B1:$AH727,19,FALSE)-AVERAGE('The List'!T2:T727))/STDEV('The List'!T2:T727)</f>
        <v>-0.56086860499866764</v>
      </c>
      <c r="H378" s="39">
        <f>(VLOOKUP($A378,'The List'!$B1:$AH727,20,FALSE)-AVERAGE('The List'!U2:U727))/STDEV('The List'!U2:U727)</f>
        <v>-0.54951645406700722</v>
      </c>
      <c r="I378" s="39">
        <f>(VLOOKUP($A378,'The List'!$B1:$AH727,21,FALSE)-AVERAGE('The List'!V2:V727))/STDEV('The List'!V2:V727)</f>
        <v>0.35880729579367465</v>
      </c>
      <c r="J378" s="39">
        <f>(VLOOKUP($A378,'The List'!$B1:$AH727,22,FALSE)-AVERAGE('The List'!W2:W727))/STDEV('The List'!W2:W727)</f>
        <v>-0.61119515702047889</v>
      </c>
      <c r="K378" s="39">
        <f>(VLOOKUP($A378,'The List'!$B1:$AH727,23,FALSE)-AVERAGE('The List'!X2:X727))/STDEV('The List'!X2:X727)</f>
        <v>-0.70312026558726015</v>
      </c>
      <c r="L378" s="39">
        <f>(VLOOKUP($A378,'The List'!$B1:$AH727,24,FALSE)-AVERAGE('The List'!Y2:Y727))/STDEV('The List'!Y2:Y727)</f>
        <v>-0.49577523509663324</v>
      </c>
      <c r="M378" s="39">
        <f>(VLOOKUP($A378,'The List'!$B1:$AH727,25,FALSE)-AVERAGE('The List'!Z2:Z727))/STDEV('The List'!Z2:Z727)</f>
        <v>-0.66944191991365865</v>
      </c>
      <c r="N378" s="39">
        <f>(VLOOKUP($A378,'The List'!$B1:$AH727,26,FALSE)-AVERAGE('The List'!AA2:AA727))/STDEV('The List'!AA2:AA727)</f>
        <v>-0.83792791980032832</v>
      </c>
      <c r="O378" s="39">
        <f>(VLOOKUP($A378,'The List'!$B1:$AH727,27,FALSE)-AVERAGE('The List'!AB2:AB727))/STDEV('The List'!AB2:AB727)</f>
        <v>0.75930530401247032</v>
      </c>
      <c r="P378" s="39">
        <f>(VLOOKUP($A378,'The List'!$B1:$AH727,28,FALSE)-AVERAGE('The List'!AC2:AC727))/STDEV('The List'!AC2:AC727)</f>
        <v>0.15206344663688434</v>
      </c>
      <c r="Q378" s="39">
        <f>(VLOOKUP($A378,'The List'!$B1:$AH727,29,FALSE)-AVERAGE('The List'!AD2:AD727))/STDEV('The List'!AD2:AD727)</f>
        <v>1.2416820247669917</v>
      </c>
      <c r="R378" s="39">
        <f>(VLOOKUP($A378,'The List'!$B1:$AH727,30,FALSE)-AVERAGE('The List'!AE2:AE727))/STDEV('The List'!AE2:AE727)</f>
        <v>-0.3274058534535233</v>
      </c>
      <c r="S378" s="39">
        <f>(VLOOKUP($A378,'The List'!$B1:$AH727,31,FALSE)-AVERAGE('The List'!AF2:AF727))/STDEV('The List'!AF2:AF727)</f>
        <v>-0.4794362795880015</v>
      </c>
      <c r="T378" s="39">
        <f>(VLOOKUP($A378,'The List'!$B1:$AH727,32,FALSE)-AVERAGE('The List'!AG2:AG727))/STDEV('The List'!AG2:AG727)</f>
        <v>-0.44857174879987899</v>
      </c>
      <c r="U378" s="39">
        <f>(VLOOKUP($A378,'The List'!$B1:$AH727,33,FALSE)-AVERAGE('The List'!AH2:AH727))/STDEV('The List'!AH2:AH727)</f>
        <v>0.34340766396176536</v>
      </c>
      <c r="V378" s="39"/>
      <c r="W378" s="43"/>
      <c r="X378" s="41"/>
      <c r="Y378" s="41"/>
      <c r="Z378" s="41"/>
      <c r="AA378" s="41"/>
      <c r="AB378" s="41"/>
      <c r="AC378" s="44"/>
      <c r="AD378" s="45"/>
      <c r="AE378" s="39"/>
    </row>
    <row r="379" spans="1:31" ht="21.25" customHeight="1" x14ac:dyDescent="0.15">
      <c r="A379" s="8" t="s">
        <v>627</v>
      </c>
      <c r="B379" s="35" t="str">
        <f>VLOOKUP(A379,'Player Data'!A1:B734,2,FALSE)</f>
        <v>NYI</v>
      </c>
      <c r="C379" s="37">
        <f>((E379)*Settings!$C$12)+(F379*Settings!$C$2)+(G379*Settings!$C$3)+(H379*Settings!$C$4)+(I379*Settings!$C$5)+(K379*Settings!$C$9)+(N379*Settings!$C$6)+(J379*Settings!$C$8)+(O379*Settings!$C$7)+(P379*Settings!$C$14)+(Q379*Settings!$C$15)+(R379*Settings!$C$16)+(S379*Settings!$C$17)+(T379*Settings!$C$18)+(U379*Settings!$C$19)</f>
        <v>-2.9236754550334698</v>
      </c>
      <c r="D379" s="41">
        <f>IF(Settings!$E$12="YES",VLOOKUP(A379,'Player Data'!A1:E734,5,FALSE),82)</f>
        <v>68.209999999999994</v>
      </c>
      <c r="E379" s="39">
        <f>(VLOOKUP($A379,'The List'!$B1:$AH727,17,FALSE)-AVERAGE('The List'!R2:R727))/STDEV('The List'!R2:R727)</f>
        <v>-1.063768289226555</v>
      </c>
      <c r="F379" s="39">
        <f>(VLOOKUP($A379,'The List'!$B1:$AH727,18,FALSE)-AVERAGE('The List'!S2:S727))/STDEV('The List'!S2:S727)</f>
        <v>-0.1615329910250701</v>
      </c>
      <c r="G379" s="39">
        <f>(VLOOKUP($A379,'The List'!$B1:$AH727,19,FALSE)-AVERAGE('The List'!T2:T727))/STDEV('The List'!T2:T727)</f>
        <v>-0.77595173007399942</v>
      </c>
      <c r="H379" s="39">
        <f>(VLOOKUP($A379,'The List'!$B1:$AH727,20,FALSE)-AVERAGE('The List'!U2:U727))/STDEV('The List'!U2:U727)</f>
        <v>-0.55165622004249903</v>
      </c>
      <c r="I379" s="39">
        <f>(VLOOKUP($A379,'The List'!$B1:$AH727,21,FALSE)-AVERAGE('The List'!V2:V727))/STDEV('The List'!V2:V727)</f>
        <v>-0.73222370977258233</v>
      </c>
      <c r="J379" s="39">
        <f>(VLOOKUP($A379,'The List'!$B1:$AH727,22,FALSE)-AVERAGE('The List'!W2:W727))/STDEV('The List'!W2:W727)</f>
        <v>-0.64923723169277814</v>
      </c>
      <c r="K379" s="39">
        <f>(VLOOKUP($A379,'The List'!$B1:$AH727,23,FALSE)-AVERAGE('The List'!X2:X727))/STDEV('The List'!X2:X727)</f>
        <v>-0.7151523167675119</v>
      </c>
      <c r="L379" s="39">
        <f>(VLOOKUP($A379,'The List'!$B1:$AH727,24,FALSE)-AVERAGE('The List'!Y2:Y727))/STDEV('The List'!Y2:Y727)</f>
        <v>-0.54363880694101119</v>
      </c>
      <c r="M379" s="39">
        <f>(VLOOKUP($A379,'The List'!$B1:$AH727,25,FALSE)-AVERAGE('The List'!Z2:Z727))/STDEV('The List'!Z2:Z727)</f>
        <v>-0.72328643418737493</v>
      </c>
      <c r="N379" s="39">
        <f>(VLOOKUP($A379,'The List'!$B1:$AH727,26,FALSE)-AVERAGE('The List'!AA2:AA727))/STDEV('The List'!AA2:AA727)</f>
        <v>-0.7190519164199668</v>
      </c>
      <c r="O379" s="39">
        <f>(VLOOKUP($A379,'The List'!$B1:$AH727,27,FALSE)-AVERAGE('The List'!AB2:AB727))/STDEV('The List'!AB2:AB727)</f>
        <v>-0.48940446947383731</v>
      </c>
      <c r="P379" s="39">
        <f>(VLOOKUP($A379,'The List'!$B1:$AH727,28,FALSE)-AVERAGE('The List'!AC2:AC727))/STDEV('The List'!AC2:AC727)</f>
        <v>0.18023720902566095</v>
      </c>
      <c r="Q379" s="39">
        <f>(VLOOKUP($A379,'The List'!$B1:$AH727,29,FALSE)-AVERAGE('The List'!AD2:AD727))/STDEV('The List'!AD2:AD727)</f>
        <v>-1.064255611297164</v>
      </c>
      <c r="R379" s="39">
        <f>(VLOOKUP($A379,'The List'!$B1:$AH727,30,FALSE)-AVERAGE('The List'!AE2:AE727))/STDEV('The List'!AE2:AE727)</f>
        <v>-4.910958404995322E-2</v>
      </c>
      <c r="S379" s="39">
        <f>(VLOOKUP($A379,'The List'!$B1:$AH727,31,FALSE)-AVERAGE('The List'!AF2:AF727))/STDEV('The List'!AF2:AF727)</f>
        <v>-0.53863578002261392</v>
      </c>
      <c r="T379" s="39">
        <f>(VLOOKUP($A379,'The List'!$B1:$AH727,32,FALSE)-AVERAGE('The List'!AG2:AG727))/STDEV('The List'!AG2:AG727)</f>
        <v>-0.55220229442093549</v>
      </c>
      <c r="U379" s="39">
        <f>(VLOOKUP($A379,'The List'!$B1:$AH727,33,FALSE)-AVERAGE('The List'!AH2:AH727))/STDEV('The List'!AH2:AH727)</f>
        <v>7.6243134236707907E-2</v>
      </c>
      <c r="V379" s="39"/>
      <c r="W379" s="43"/>
      <c r="X379" s="41"/>
      <c r="Y379" s="41"/>
      <c r="Z379" s="41"/>
      <c r="AA379" s="41"/>
      <c r="AB379" s="41"/>
      <c r="AC379" s="44"/>
      <c r="AD379" s="45"/>
      <c r="AE379" s="39"/>
    </row>
    <row r="380" spans="1:31" ht="21.25" customHeight="1" x14ac:dyDescent="0.15">
      <c r="A380" s="8" t="s">
        <v>508</v>
      </c>
      <c r="B380" s="35" t="str">
        <f>VLOOKUP(A380,'Player Data'!A1:B734,2,FALSE)</f>
        <v>UFA</v>
      </c>
      <c r="C380" s="37">
        <f>((E380)*Settings!$C$12)+(F380*Settings!$C$2)+(G380*Settings!$C$3)+(H380*Settings!$C$4)+(I380*Settings!$C$5)+(K380*Settings!$C$9)+(N380*Settings!$C$6)+(J380*Settings!$C$8)+(O380*Settings!$C$7)+(P380*Settings!$C$14)+(Q380*Settings!$C$15)+(R380*Settings!$C$16)+(S380*Settings!$C$17)+(T380*Settings!$C$18)+(U380*Settings!$C$19)</f>
        <v>-0.72123131286290765</v>
      </c>
      <c r="D380" s="41">
        <f>IF(Settings!$E$12="YES",VLOOKUP(A380,'Player Data'!A1:E734,5,FALSE),82)</f>
        <v>80.419285714285706</v>
      </c>
      <c r="E380" s="39">
        <f>(VLOOKUP($A380,'The List'!$B1:$AH727,17,FALSE)-AVERAGE('The List'!R2:R727))/STDEV('The List'!R2:R727)</f>
        <v>-0.73029385011445613</v>
      </c>
      <c r="F380" s="39">
        <f>(VLOOKUP($A380,'The List'!$B1:$AH727,18,FALSE)-AVERAGE('The List'!S2:S727))/STDEV('The List'!S2:S727)</f>
        <v>8.9458254168983634E-2</v>
      </c>
      <c r="G380" s="39">
        <f>(VLOOKUP($A380,'The List'!$B1:$AH727,19,FALSE)-AVERAGE('The List'!T2:T727))/STDEV('The List'!T2:T727)</f>
        <v>-0.66383890429521175</v>
      </c>
      <c r="H380" s="39">
        <f>(VLOOKUP($A380,'The List'!$B1:$AH727,20,FALSE)-AVERAGE('The List'!U2:U727))/STDEV('The List'!U2:U727)</f>
        <v>-0.36835454178944033</v>
      </c>
      <c r="I380" s="39">
        <f>(VLOOKUP($A380,'The List'!$B1:$AH727,21,FALSE)-AVERAGE('The List'!V2:V727))/STDEV('The List'!V2:V727)</f>
        <v>0.33985253692037054</v>
      </c>
      <c r="J380" s="39">
        <f>(VLOOKUP($A380,'The List'!$B1:$AH727,22,FALSE)-AVERAGE('The List'!W2:W727))/STDEV('The List'!W2:W727)</f>
        <v>-0.26713588370856572</v>
      </c>
      <c r="K380" s="39">
        <f>(VLOOKUP($A380,'The List'!$B1:$AH727,23,FALSE)-AVERAGE('The List'!X2:X727))/STDEV('The List'!X2:X727)</f>
        <v>-0.4195208758968465</v>
      </c>
      <c r="L380" s="39">
        <f>(VLOOKUP($A380,'The List'!$B1:$AH727,24,FALSE)-AVERAGE('The List'!Y2:Y727))/STDEV('The List'!Y2:Y727)</f>
        <v>-0.54402834717551152</v>
      </c>
      <c r="M380" s="39">
        <f>(VLOOKUP($A380,'The List'!$B1:$AH727,25,FALSE)-AVERAGE('The List'!Z2:Z727))/STDEV('The List'!Z2:Z727)</f>
        <v>-0.72372514007823274</v>
      </c>
      <c r="N380" s="39">
        <f>(VLOOKUP($A380,'The List'!$B1:$AH727,26,FALSE)-AVERAGE('The List'!AA2:AA727))/STDEV('The List'!AA2:AA727)</f>
        <v>-0.1023983234094117</v>
      </c>
      <c r="O380" s="39">
        <f>(VLOOKUP($A380,'The List'!$B1:$AH727,27,FALSE)-AVERAGE('The List'!AB2:AB727))/STDEV('The List'!AB2:AB727)</f>
        <v>-0.3316019085375852</v>
      </c>
      <c r="P380" s="39">
        <f>(VLOOKUP($A380,'The List'!$B1:$AH727,28,FALSE)-AVERAGE('The List'!AC2:AC727))/STDEV('The List'!AC2:AC727)</f>
        <v>3.5215999649208046E-2</v>
      </c>
      <c r="Q380" s="39">
        <f>(VLOOKUP($A380,'The List'!$B1:$AH727,29,FALSE)-AVERAGE('The List'!AD2:AD727))/STDEV('The List'!AD2:AD727)</f>
        <v>-0.67043885532472158</v>
      </c>
      <c r="R380" s="39">
        <f>(VLOOKUP($A380,'The List'!$B1:$AH727,30,FALSE)-AVERAGE('The List'!AE2:AE727))/STDEV('The List'!AE2:AE727)</f>
        <v>-1.1921764565772743</v>
      </c>
      <c r="S380" s="39">
        <f>(VLOOKUP($A380,'The List'!$B1:$AH727,31,FALSE)-AVERAGE('The List'!AF2:AF727))/STDEV('The List'!AF2:AF727)</f>
        <v>-0.48351396572668293</v>
      </c>
      <c r="T380" s="39">
        <f>(VLOOKUP($A380,'The List'!$B1:$AH727,32,FALSE)-AVERAGE('The List'!AG2:AG727))/STDEV('The List'!AG2:AG727)</f>
        <v>-0.47493981116426726</v>
      </c>
      <c r="U380" s="39">
        <f>(VLOOKUP($A380,'The List'!$B1:$AH727,33,FALSE)-AVERAGE('The List'!AH2:AH727))/STDEV('The List'!AH2:AH727)</f>
        <v>0.48536642160701915</v>
      </c>
      <c r="V380" s="39"/>
      <c r="W380" s="41"/>
      <c r="X380" s="39"/>
      <c r="Y380" s="39"/>
      <c r="Z380" s="39"/>
      <c r="AA380" s="39"/>
      <c r="AB380" s="39"/>
      <c r="AC380" s="39"/>
      <c r="AD380" s="39"/>
      <c r="AE380" s="39"/>
    </row>
    <row r="381" spans="1:31" ht="21.25" customHeight="1" x14ac:dyDescent="0.15">
      <c r="A381" s="8" t="s">
        <v>723</v>
      </c>
      <c r="B381" s="35" t="str">
        <f>VLOOKUP(A381,'Player Data'!A1:B734,2,FALSE)</f>
        <v>VAN</v>
      </c>
      <c r="C381" s="37">
        <f>((E381)*Settings!$C$12)+(F381*Settings!$C$2)+(G381*Settings!$C$3)+(H381*Settings!$C$4)+(I381*Settings!$C$5)+(K381*Settings!$C$9)+(N381*Settings!$C$6)+(J381*Settings!$C$8)+(O381*Settings!$C$7)+(P381*Settings!$C$14)+(Q381*Settings!$C$15)+(R381*Settings!$C$16)+(S381*Settings!$C$17)+(T381*Settings!$C$18)+(U381*Settings!$C$19)</f>
        <v>-4.0762759713815839</v>
      </c>
      <c r="D381" s="41">
        <f>IF(Settings!$E$12="YES",VLOOKUP(A381,'Player Data'!A1:E734,5,FALSE),82)</f>
        <v>55</v>
      </c>
      <c r="E381" s="39">
        <f>(VLOOKUP($A381,'The List'!$B1:$AH727,17,FALSE)-AVERAGE('The List'!R2:R727))/STDEV('The List'!R2:R727)</f>
        <v>-1.1872650887360314</v>
      </c>
      <c r="F381" s="39">
        <f>(VLOOKUP($A381,'The List'!$B1:$AH727,18,FALSE)-AVERAGE('The List'!S2:S727))/STDEV('The List'!S2:S727)</f>
        <v>-0.44697490056893768</v>
      </c>
      <c r="G381" s="39">
        <f>(VLOOKUP($A381,'The List'!$B1:$AH727,19,FALSE)-AVERAGE('The List'!T2:T727))/STDEV('The List'!T2:T727)</f>
        <v>-0.896808327492713</v>
      </c>
      <c r="H381" s="39">
        <f>(VLOOKUP($A381,'The List'!$B1:$AH727,20,FALSE)-AVERAGE('The List'!U2:U727))/STDEV('The List'!U2:U727)</f>
        <v>-0.75602309896837028</v>
      </c>
      <c r="I381" s="39">
        <f>(VLOOKUP($A381,'The List'!$B1:$AH727,21,FALSE)-AVERAGE('The List'!V2:V727))/STDEV('The List'!V2:V727)</f>
        <v>-0.81060702081266778</v>
      </c>
      <c r="J381" s="39">
        <f>(VLOOKUP($A381,'The List'!$B1:$AH727,22,FALSE)-AVERAGE('The List'!W2:W727))/STDEV('The List'!W2:W727)</f>
        <v>-0.65201050803893335</v>
      </c>
      <c r="K381" s="39">
        <f>(VLOOKUP($A381,'The List'!$B1:$AH727,23,FALSE)-AVERAGE('The List'!X2:X727))/STDEV('The List'!X2:X727)</f>
        <v>-0.74590964064646303</v>
      </c>
      <c r="L381" s="39">
        <f>(VLOOKUP($A381,'The List'!$B1:$AH727,24,FALSE)-AVERAGE('The List'!Y2:Y727))/STDEV('The List'!Y2:Y727)</f>
        <v>-0.54402834717551152</v>
      </c>
      <c r="M381" s="39">
        <f>(VLOOKUP($A381,'The List'!$B1:$AH727,25,FALSE)-AVERAGE('The List'!Z2:Z727))/STDEV('The List'!Z2:Z727)</f>
        <v>-0.72372514007823274</v>
      </c>
      <c r="N381" s="39">
        <f>(VLOOKUP($A381,'The List'!$B1:$AH727,26,FALSE)-AVERAGE('The List'!AA2:AA727))/STDEV('The List'!AA2:AA727)</f>
        <v>-1.0753723353326998</v>
      </c>
      <c r="O381" s="39">
        <f>(VLOOKUP($A381,'The List'!$B1:$AH727,27,FALSE)-AVERAGE('The List'!AB2:AB727))/STDEV('The List'!AB2:AB727)</f>
        <v>-0.92568902589471624</v>
      </c>
      <c r="P381" s="39">
        <f>(VLOOKUP($A381,'The List'!$B1:$AH727,28,FALSE)-AVERAGE('The List'!AC2:AC727))/STDEV('The List'!AC2:AC727)</f>
        <v>-0.100603746528103</v>
      </c>
      <c r="Q381" s="39">
        <f>(VLOOKUP($A381,'The List'!$B1:$AH727,29,FALSE)-AVERAGE('The List'!AD2:AD727))/STDEV('The List'!AD2:AD727)</f>
        <v>-1.068437251454901</v>
      </c>
      <c r="R381" s="39">
        <f>(VLOOKUP($A381,'The List'!$B1:$AH727,30,FALSE)-AVERAGE('The List'!AE2:AE727))/STDEV('The List'!AE2:AE727)</f>
        <v>-0.40894233358115867</v>
      </c>
      <c r="S381" s="39">
        <f>(VLOOKUP($A381,'The List'!$B1:$AH727,31,FALSE)-AVERAGE('The List'!AF2:AF727))/STDEV('The List'!AF2:AF727)</f>
        <v>-0.55434922672379439</v>
      </c>
      <c r="T381" s="39">
        <f>(VLOOKUP($A381,'The List'!$B1:$AH727,32,FALSE)-AVERAGE('The List'!AG2:AG727))/STDEV('The List'!AG2:AG727)</f>
        <v>-0.59174921863145391</v>
      </c>
      <c r="U381" s="39">
        <f>(VLOOKUP($A381,'The List'!$B1:$AH727,33,FALSE)-AVERAGE('The List'!AH2:AH727))/STDEV('The List'!AH2:AH727)</f>
        <v>1.2522583345142699E-2</v>
      </c>
      <c r="V381" s="39"/>
      <c r="W381" s="43"/>
      <c r="X381" s="41"/>
      <c r="Y381" s="41"/>
      <c r="Z381" s="41"/>
      <c r="AA381" s="41"/>
      <c r="AB381" s="41"/>
      <c r="AC381" s="44"/>
      <c r="AD381" s="45"/>
      <c r="AE381" s="39"/>
    </row>
    <row r="382" spans="1:31" ht="21.25" customHeight="1" x14ac:dyDescent="0.15">
      <c r="A382" s="8" t="s">
        <v>382</v>
      </c>
      <c r="B382" s="35" t="str">
        <f>VLOOKUP(A382,'Player Data'!A1:B734,2,FALSE)</f>
        <v>NYI</v>
      </c>
      <c r="C382" s="37">
        <f>((E382)*Settings!$C$12)+(F382*Settings!$C$2)+(G382*Settings!$C$3)+(H382*Settings!$C$4)+(I382*Settings!$C$5)+(K382*Settings!$C$9)+(N382*Settings!$C$6)+(J382*Settings!$C$8)+(O382*Settings!$C$7)+(P382*Settings!$C$14)+(Q382*Settings!$C$15)+(R382*Settings!$C$16)+(S382*Settings!$C$17)+(T382*Settings!$C$18)+(U382*Settings!$C$19)</f>
        <v>0.64242041083446066</v>
      </c>
      <c r="D382" s="41">
        <f>IF(Settings!$E$12="YES",VLOOKUP(A382,'Player Data'!A1:E734,5,FALSE),82)</f>
        <v>77.752499999999998</v>
      </c>
      <c r="E382" s="39">
        <f>(VLOOKUP($A382,'The List'!$B1:$AH727,17,FALSE)-AVERAGE('The List'!R2:R727))/STDEV('The List'!R2:R727)</f>
        <v>1.4342598635156967</v>
      </c>
      <c r="F382" s="39">
        <f>(VLOOKUP($A382,'The List'!$B1:$AH727,18,FALSE)-AVERAGE('The List'!S2:S727))/STDEV('The List'!S2:S727)</f>
        <v>-0.76818077968156462</v>
      </c>
      <c r="G382" s="39">
        <f>(VLOOKUP($A382,'The List'!$B1:$AH727,19,FALSE)-AVERAGE('The List'!T2:T727))/STDEV('The List'!T2:T727)</f>
        <v>-9.7355865935489533E-2</v>
      </c>
      <c r="H382" s="39">
        <f>(VLOOKUP($A382,'The List'!$B1:$AH727,20,FALSE)-AVERAGE('The List'!U2:U727))/STDEV('The List'!U2:U727)</f>
        <v>-0.4095619057457564</v>
      </c>
      <c r="I382" s="39">
        <f>(VLOOKUP($A382,'The List'!$B1:$AH727,21,FALSE)-AVERAGE('The List'!V2:V727))/STDEV('The List'!V2:V727)</f>
        <v>-0.19526218171427531</v>
      </c>
      <c r="J382" s="39">
        <f>(VLOOKUP($A382,'The List'!$B1:$AH727,22,FALSE)-AVERAGE('The List'!W2:W727))/STDEV('The List'!W2:W727)</f>
        <v>-0.70255234281994194</v>
      </c>
      <c r="K382" s="39">
        <f>(VLOOKUP($A382,'The List'!$B1:$AH727,23,FALSE)-AVERAGE('The List'!X2:X727))/STDEV('The List'!X2:X727)</f>
        <v>-0.77645012599230423</v>
      </c>
      <c r="L382" s="39">
        <f>(VLOOKUP($A382,'The List'!$B1:$AH727,24,FALSE)-AVERAGE('The List'!Y2:Y727))/STDEV('The List'!Y2:Y727)</f>
        <v>-0.14518091713812512</v>
      </c>
      <c r="M382" s="39">
        <f>(VLOOKUP($A382,'The List'!$B1:$AH727,25,FALSE)-AVERAGE('The List'!Z2:Z727))/STDEV('The List'!Z2:Z727)</f>
        <v>1.2353590614291845</v>
      </c>
      <c r="N382" s="39">
        <f>(VLOOKUP($A382,'The List'!$B1:$AH727,26,FALSE)-AVERAGE('The List'!AA2:AA727))/STDEV('The List'!AA2:AA727)</f>
        <v>1.9896366176452525</v>
      </c>
      <c r="O382" s="39">
        <f>(VLOOKUP($A382,'The List'!$B1:$AH727,27,FALSE)-AVERAGE('The List'!AB2:AB727))/STDEV('The List'!AB2:AB727)</f>
        <v>0.13020260423250982</v>
      </c>
      <c r="P382" s="39">
        <f>(VLOOKUP($A382,'The List'!$B1:$AH727,28,FALSE)-AVERAGE('The List'!AC2:AC727))/STDEV('The List'!AC2:AC727)</f>
        <v>0.49003274651284184</v>
      </c>
      <c r="Q382" s="39">
        <f>(VLOOKUP($A382,'The List'!$B1:$AH727,29,FALSE)-AVERAGE('The List'!AD2:AD727))/STDEV('The List'!AD2:AD727)</f>
        <v>0.52427892879379356</v>
      </c>
      <c r="R382" s="39">
        <f>(VLOOKUP($A382,'The List'!$B1:$AH727,30,FALSE)-AVERAGE('The List'!AE2:AE727))/STDEV('The List'!AE2:AE727)</f>
        <v>-0.66143690556385526</v>
      </c>
      <c r="S382" s="39">
        <f>(VLOOKUP($A382,'The List'!$B1:$AH727,31,FALSE)-AVERAGE('The List'!AF2:AF727))/STDEV('The List'!AF2:AF727)</f>
        <v>-0.55804314905918151</v>
      </c>
      <c r="T382" s="39">
        <f>(VLOOKUP($A382,'The List'!$B1:$AH727,32,FALSE)-AVERAGE('The List'!AG2:AG727))/STDEV('The List'!AG2:AG727)</f>
        <v>-0.60188453558131205</v>
      </c>
      <c r="U382" s="39">
        <f>(VLOOKUP($A382,'The List'!$B1:$AH727,33,FALSE)-AVERAGE('The List'!AH2:AH727))/STDEV('The List'!AH2:AH727)</f>
        <v>-1.2395873372913611</v>
      </c>
      <c r="V382" s="39"/>
      <c r="W382" s="43"/>
      <c r="X382" s="41"/>
      <c r="Y382" s="41"/>
      <c r="Z382" s="41"/>
      <c r="AA382" s="41"/>
      <c r="AB382" s="41"/>
      <c r="AC382" s="44"/>
      <c r="AD382" s="45"/>
      <c r="AE382" s="39"/>
    </row>
    <row r="383" spans="1:31" ht="21.25" customHeight="1" x14ac:dyDescent="0.15">
      <c r="A383" s="8" t="s">
        <v>389</v>
      </c>
      <c r="B383" s="35" t="str">
        <f>VLOOKUP(A383,'Player Data'!A1:B734,2,FALSE)</f>
        <v>LAK</v>
      </c>
      <c r="C383" s="37">
        <f>((E383)*Settings!$C$12)+(F383*Settings!$C$2)+(G383*Settings!$C$3)+(H383*Settings!$C$4)+(I383*Settings!$C$5)+(K383*Settings!$C$9)+(N383*Settings!$C$6)+(J383*Settings!$C$8)+(O383*Settings!$C$7)+(P383*Settings!$C$14)+(Q383*Settings!$C$15)+(R383*Settings!$C$16)+(S383*Settings!$C$17)+(T383*Settings!$C$18)+(U383*Settings!$C$19)</f>
        <v>-0.23594224521015678</v>
      </c>
      <c r="D383" s="41">
        <f>IF(Settings!$E$12="YES",VLOOKUP(A383,'Player Data'!A1:E734,5,FALSE),82)</f>
        <v>79.833571428571403</v>
      </c>
      <c r="E383" s="39">
        <f>(VLOOKUP($A383,'The List'!$B1:$AH727,17,FALSE)-AVERAGE('The List'!R2:R727))/STDEV('The List'!R2:R727)</f>
        <v>1.4712045696045983</v>
      </c>
      <c r="F383" s="39">
        <f>(VLOOKUP($A383,'The List'!$B1:$AH727,18,FALSE)-AVERAGE('The List'!S2:S727))/STDEV('The List'!S2:S727)</f>
        <v>-0.72533154615721374</v>
      </c>
      <c r="G383" s="39">
        <f>(VLOOKUP($A383,'The List'!$B1:$AH727,19,FALSE)-AVERAGE('The List'!T2:T727))/STDEV('The List'!T2:T727)</f>
        <v>-8.0568867114606077E-2</v>
      </c>
      <c r="H383" s="39">
        <f>(VLOOKUP($A383,'The List'!$B1:$AH727,20,FALSE)-AVERAGE('The List'!U2:U727))/STDEV('The List'!U2:U727)</f>
        <v>-0.37971851989629091</v>
      </c>
      <c r="I383" s="39">
        <f>(VLOOKUP($A383,'The List'!$B1:$AH727,21,FALSE)-AVERAGE('The List'!V2:V727))/STDEV('The List'!V2:V727)</f>
        <v>-0.46649736124366303</v>
      </c>
      <c r="J383" s="39">
        <f>(VLOOKUP($A383,'The List'!$B1:$AH727,22,FALSE)-AVERAGE('The List'!W2:W727))/STDEV('The List'!W2:W727)</f>
        <v>-0.68995633124121647</v>
      </c>
      <c r="K383" s="39">
        <f>(VLOOKUP($A383,'The List'!$B1:$AH727,23,FALSE)-AVERAGE('The List'!X2:X727))/STDEV('The List'!X2:X727)</f>
        <v>-0.74371092000075423</v>
      </c>
      <c r="L383" s="39">
        <f>(VLOOKUP($A383,'The List'!$B1:$AH727,24,FALSE)-AVERAGE('The List'!Y2:Y727))/STDEV('The List'!Y2:Y727)</f>
        <v>0.47646411178807008</v>
      </c>
      <c r="M383" s="39">
        <f>(VLOOKUP($A383,'The List'!$B1:$AH727,25,FALSE)-AVERAGE('The List'!Z2:Z727))/STDEV('The List'!Z2:Z727)</f>
        <v>0.99412012117219106</v>
      </c>
      <c r="N383" s="39">
        <f>(VLOOKUP($A383,'The List'!$B1:$AH727,26,FALSE)-AVERAGE('The List'!AA2:AA727))/STDEV('The List'!AA2:AA727)</f>
        <v>1.8896677767750372</v>
      </c>
      <c r="O383" s="39">
        <f>(VLOOKUP($A383,'The List'!$B1:$AH727,27,FALSE)-AVERAGE('The List'!AB2:AB727))/STDEV('The List'!AB2:AB727)</f>
        <v>7.9068200858137982E-2</v>
      </c>
      <c r="P383" s="39">
        <f>(VLOOKUP($A383,'The List'!$B1:$AH727,28,FALSE)-AVERAGE('The List'!AC2:AC727))/STDEV('The List'!AC2:AC727)</f>
        <v>-0.10950132746895695</v>
      </c>
      <c r="Q383" s="39">
        <f>(VLOOKUP($A383,'The List'!$B1:$AH727,29,FALSE)-AVERAGE('The List'!AD2:AD727))/STDEV('The List'!AD2:AD727)</f>
        <v>1.1762578821357639</v>
      </c>
      <c r="R383" s="39">
        <f>(VLOOKUP($A383,'The List'!$B1:$AH727,30,FALSE)-AVERAGE('The List'!AE2:AE727))/STDEV('The List'!AE2:AE727)</f>
        <v>-0.640689775188234</v>
      </c>
      <c r="S383" s="39">
        <f>(VLOOKUP($A383,'The List'!$B1:$AH727,31,FALSE)-AVERAGE('The List'!AF2:AF727))/STDEV('The List'!AF2:AF727)</f>
        <v>-0.55804314905918151</v>
      </c>
      <c r="T383" s="39">
        <f>(VLOOKUP($A383,'The List'!$B1:$AH727,32,FALSE)-AVERAGE('The List'!AG2:AG727))/STDEV('The List'!AG2:AG727)</f>
        <v>-0.60188453558131205</v>
      </c>
      <c r="U383" s="39">
        <f>(VLOOKUP($A383,'The List'!$B1:$AH727,33,FALSE)-AVERAGE('The List'!AH2:AH727))/STDEV('The List'!AH2:AH727)</f>
        <v>-1.2395873372913611</v>
      </c>
      <c r="V383" s="39"/>
      <c r="W383" s="43"/>
      <c r="X383" s="41"/>
      <c r="Y383" s="41"/>
      <c r="Z383" s="41"/>
      <c r="AA383" s="41"/>
      <c r="AB383" s="41"/>
      <c r="AC383" s="44"/>
      <c r="AD383" s="45"/>
      <c r="AE383" s="39"/>
    </row>
    <row r="384" spans="1:31" ht="21.25" customHeight="1" x14ac:dyDescent="0.15">
      <c r="A384" s="8" t="s">
        <v>709</v>
      </c>
      <c r="B384" s="35" t="str">
        <f>VLOOKUP(A384,'Player Data'!A1:B734,2,FALSE)</f>
        <v>EDM</v>
      </c>
      <c r="C384" s="37">
        <f>((E384)*Settings!$C$12)+(F384*Settings!$C$2)+(G384*Settings!$C$3)+(H384*Settings!$C$4)+(I384*Settings!$C$5)+(K384*Settings!$C$9)+(N384*Settings!$C$6)+(J384*Settings!$C$8)+(O384*Settings!$C$7)+(P384*Settings!$C$14)+(Q384*Settings!$C$15)+(R384*Settings!$C$16)+(S384*Settings!$C$17)+(T384*Settings!$C$18)+(U384*Settings!$C$19)</f>
        <v>-2.0325857723825993</v>
      </c>
      <c r="D384" s="41">
        <f>IF(Settings!$E$12="YES",VLOOKUP(A384,'Player Data'!A1:E734,5,FALSE),82)</f>
        <v>77.127499999999998</v>
      </c>
      <c r="E384" s="39">
        <f>(VLOOKUP($A384,'The List'!$B1:$AH727,17,FALSE)-AVERAGE('The List'!R2:R727))/STDEV('The List'!R2:R727)</f>
        <v>-0.69852564719847032</v>
      </c>
      <c r="F384" s="39">
        <f>(VLOOKUP($A384,'The List'!$B1:$AH727,18,FALSE)-AVERAGE('The List'!S2:S727))/STDEV('The List'!S2:S727)</f>
        <v>-0.29582054198086294</v>
      </c>
      <c r="G384" s="39">
        <f>(VLOOKUP($A384,'The List'!$B1:$AH727,19,FALSE)-AVERAGE('The List'!T2:T727))/STDEV('The List'!T2:T727)</f>
        <v>-0.46778408069284089</v>
      </c>
      <c r="H384" s="39">
        <f>(VLOOKUP($A384,'The List'!$B1:$AH727,20,FALSE)-AVERAGE('The List'!U2:U727))/STDEV('The List'!U2:U727)</f>
        <v>-0.42286971581878835</v>
      </c>
      <c r="I384" s="39">
        <f>(VLOOKUP($A384,'The List'!$B1:$AH727,21,FALSE)-AVERAGE('The List'!V2:V727))/STDEV('The List'!V2:V727)</f>
        <v>-0.60605332911214504</v>
      </c>
      <c r="J384" s="39">
        <f>(VLOOKUP($A384,'The List'!$B1:$AH727,22,FALSE)-AVERAGE('The List'!W2:W727))/STDEV('The List'!W2:W727)</f>
        <v>-0.69300413513663361</v>
      </c>
      <c r="K384" s="39">
        <f>(VLOOKUP($A384,'The List'!$B1:$AH727,23,FALSE)-AVERAGE('The List'!X2:X727))/STDEV('The List'!X2:X727)</f>
        <v>-0.78568559696400453</v>
      </c>
      <c r="L384" s="39">
        <f>(VLOOKUP($A384,'The List'!$B1:$AH727,24,FALSE)-AVERAGE('The List'!Y2:Y727))/STDEV('The List'!Y2:Y727)</f>
        <v>3.1986338837737245</v>
      </c>
      <c r="M384" s="39">
        <f>(VLOOKUP($A384,'The List'!$B1:$AH727,25,FALSE)-AVERAGE('The List'!Z2:Z727))/STDEV('The List'!Z2:Z727)</f>
        <v>2.5789738584852904</v>
      </c>
      <c r="N384" s="39">
        <f>(VLOOKUP($A384,'The List'!$B1:$AH727,26,FALSE)-AVERAGE('The List'!AA2:AA727))/STDEV('The List'!AA2:AA727)</f>
        <v>-0.73422559400141696</v>
      </c>
      <c r="O384" s="39">
        <f>(VLOOKUP($A384,'The List'!$B1:$AH727,27,FALSE)-AVERAGE('The List'!AB2:AB727))/STDEV('The List'!AB2:AB727)</f>
        <v>-1.2769051305214589</v>
      </c>
      <c r="P384" s="39">
        <f>(VLOOKUP($A384,'The List'!$B1:$AH727,28,FALSE)-AVERAGE('The List'!AC2:AC727))/STDEV('The List'!AC2:AC727)</f>
        <v>0.856983370368671</v>
      </c>
      <c r="Q384" s="39">
        <f>(VLOOKUP($A384,'The List'!$B1:$AH727,29,FALSE)-AVERAGE('The List'!AD2:AD727))/STDEV('The List'!AD2:AD727)</f>
        <v>-0.43131289235802561</v>
      </c>
      <c r="R384" s="39">
        <f>(VLOOKUP($A384,'The List'!$B1:$AH727,30,FALSE)-AVERAGE('The List'!AE2:AE727))/STDEV('The List'!AE2:AE727)</f>
        <v>-0.16008989724666423</v>
      </c>
      <c r="S384" s="39">
        <f>(VLOOKUP($A384,'The List'!$B1:$AH727,31,FALSE)-AVERAGE('The List'!AF2:AF727))/STDEV('The List'!AF2:AF727)</f>
        <v>-0.43727861384391592</v>
      </c>
      <c r="T384" s="39">
        <f>(VLOOKUP($A384,'The List'!$B1:$AH727,32,FALSE)-AVERAGE('The List'!AG2:AG727))/STDEV('The List'!AG2:AG727)</f>
        <v>-0.41198912349121353</v>
      </c>
      <c r="U384" s="39">
        <f>(VLOOKUP($A384,'The List'!$B1:$AH727,33,FALSE)-AVERAGE('The List'!AH2:AH727))/STDEV('The List'!AH2:AH727)</f>
        <v>0.57136706640771251</v>
      </c>
      <c r="V384" s="39"/>
      <c r="W384" s="43"/>
      <c r="X384" s="41"/>
      <c r="Y384" s="41"/>
      <c r="Z384" s="41"/>
      <c r="AA384" s="41"/>
      <c r="AB384" s="41"/>
      <c r="AC384" s="44"/>
      <c r="AD384" s="45"/>
      <c r="AE384" s="39"/>
    </row>
    <row r="385" spans="1:31" ht="21.25" customHeight="1" x14ac:dyDescent="0.15">
      <c r="A385" s="8" t="s">
        <v>359</v>
      </c>
      <c r="B385" s="35" t="str">
        <f>VLOOKUP(A385,'Player Data'!A1:B734,2,FALSE)</f>
        <v>PIT</v>
      </c>
      <c r="C385" s="37">
        <f>((E385)*Settings!$C$12)+(F385*Settings!$C$2)+(G385*Settings!$C$3)+(H385*Settings!$C$4)+(I385*Settings!$C$5)+(K385*Settings!$C$9)+(N385*Settings!$C$6)+(J385*Settings!$C$8)+(O385*Settings!$C$7)+(P385*Settings!$C$14)+(Q385*Settings!$C$15)+(R385*Settings!$C$16)+(S385*Settings!$C$17)+(T385*Settings!$C$18)+(U385*Settings!$C$19)</f>
        <v>1.2352671658073289</v>
      </c>
      <c r="D385" s="41">
        <f>IF(Settings!$E$12="YES",VLOOKUP(A385,'Player Data'!A1:E734,5,FALSE),82)</f>
        <v>80.0646428571429</v>
      </c>
      <c r="E385" s="39">
        <f>(VLOOKUP($A385,'The List'!$B1:$AH727,17,FALSE)-AVERAGE('The List'!R2:R727))/STDEV('The List'!R2:R727)</f>
        <v>0.97263189182408483</v>
      </c>
      <c r="F385" s="39">
        <f>(VLOOKUP($A385,'The List'!$B1:$AH727,18,FALSE)-AVERAGE('The List'!S2:S727))/STDEV('The List'!S2:S727)</f>
        <v>-0.67472200018995521</v>
      </c>
      <c r="G385" s="39">
        <f>(VLOOKUP($A385,'The List'!$B1:$AH727,19,FALSE)-AVERAGE('The List'!T2:T727))/STDEV('The List'!T2:T727)</f>
        <v>-0.12168690702600765</v>
      </c>
      <c r="H385" s="39">
        <f>(VLOOKUP($A385,'The List'!$B1:$AH727,20,FALSE)-AVERAGE('The List'!U2:U727))/STDEV('The List'!U2:U727)</f>
        <v>-0.38202532432552</v>
      </c>
      <c r="I385" s="39">
        <f>(VLOOKUP($A385,'The List'!$B1:$AH727,21,FALSE)-AVERAGE('The List'!V2:V727))/STDEV('The List'!V2:V727)</f>
        <v>6.8422816403552175E-2</v>
      </c>
      <c r="J385" s="39">
        <f>(VLOOKUP($A385,'The List'!$B1:$AH727,22,FALSE)-AVERAGE('The List'!W2:W727))/STDEV('The List'!W2:W727)</f>
        <v>-0.70524665837056699</v>
      </c>
      <c r="K385" s="39">
        <f>(VLOOKUP($A385,'The List'!$B1:$AH727,23,FALSE)-AVERAGE('The List'!X2:X727))/STDEV('The List'!X2:X727)</f>
        <v>-0.78373197945165651</v>
      </c>
      <c r="L385" s="39">
        <f>(VLOOKUP($A385,'The List'!$B1:$AH727,24,FALSE)-AVERAGE('The List'!Y2:Y727))/STDEV('The List'!Y2:Y727)</f>
        <v>-0.50031543836660297</v>
      </c>
      <c r="M385" s="39">
        <f>(VLOOKUP($A385,'The List'!$B1:$AH727,25,FALSE)-AVERAGE('The List'!Z2:Z727))/STDEV('The List'!Z2:Z727)</f>
        <v>0.49293612268586051</v>
      </c>
      <c r="N385" s="39">
        <f>(VLOOKUP($A385,'The List'!$B1:$AH727,26,FALSE)-AVERAGE('The List'!AA2:AA727))/STDEV('The List'!AA2:AA727)</f>
        <v>2.3258127479811175</v>
      </c>
      <c r="O385" s="39">
        <f>(VLOOKUP($A385,'The List'!$B1:$AH727,27,FALSE)-AVERAGE('The List'!AB2:AB727))/STDEV('The List'!AB2:AB727)</f>
        <v>0.12192834112192197</v>
      </c>
      <c r="P385" s="39">
        <f>(VLOOKUP($A385,'The List'!$B1:$AH727,28,FALSE)-AVERAGE('The List'!AC2:AC727))/STDEV('The List'!AC2:AC727)</f>
        <v>0.42117248809027852</v>
      </c>
      <c r="Q385" s="39">
        <f>(VLOOKUP($A385,'The List'!$B1:$AH727,29,FALSE)-AVERAGE('The List'!AD2:AD727))/STDEV('The List'!AD2:AD727)</f>
        <v>0.2050006549103488</v>
      </c>
      <c r="R385" s="39">
        <f>(VLOOKUP($A385,'The List'!$B1:$AH727,30,FALSE)-AVERAGE('The List'!AE2:AE727))/STDEV('The List'!AE2:AE727)</f>
        <v>-0.54838392003476544</v>
      </c>
      <c r="S385" s="39">
        <f>(VLOOKUP($A385,'The List'!$B1:$AH727,31,FALSE)-AVERAGE('The List'!AF2:AF727))/STDEV('The List'!AF2:AF727)</f>
        <v>-0.55804314905918151</v>
      </c>
      <c r="T385" s="39">
        <f>(VLOOKUP($A385,'The List'!$B1:$AH727,32,FALSE)-AVERAGE('The List'!AG2:AG727))/STDEV('The List'!AG2:AG727)</f>
        <v>-0.60188453558131205</v>
      </c>
      <c r="U385" s="39">
        <f>(VLOOKUP($A385,'The List'!$B1:$AH727,33,FALSE)-AVERAGE('The List'!AH2:AH727))/STDEV('The List'!AH2:AH727)</f>
        <v>-1.2395873372913611</v>
      </c>
      <c r="V385" s="39"/>
      <c r="W385" s="43"/>
      <c r="X385" s="41"/>
      <c r="Y385" s="41"/>
      <c r="Z385" s="41"/>
      <c r="AA385" s="41"/>
      <c r="AB385" s="41"/>
      <c r="AC385" s="44"/>
      <c r="AD385" s="45"/>
      <c r="AE385" s="39"/>
    </row>
    <row r="386" spans="1:31" ht="21.25" customHeight="1" x14ac:dyDescent="0.15">
      <c r="A386" s="8" t="s">
        <v>694</v>
      </c>
      <c r="B386" s="35" t="str">
        <f>VLOOKUP(A386,'Player Data'!A1:B734,2,FALSE)</f>
        <v>NSH</v>
      </c>
      <c r="C386" s="37">
        <f>((E386)*Settings!$C$12)+(F386*Settings!$C$2)+(G386*Settings!$C$3)+(H386*Settings!$C$4)+(I386*Settings!$C$5)+(K386*Settings!$C$9)+(N386*Settings!$C$6)+(J386*Settings!$C$8)+(O386*Settings!$C$7)+(P386*Settings!$C$14)+(Q386*Settings!$C$15)+(R386*Settings!$C$16)+(S386*Settings!$C$17)+(T386*Settings!$C$18)+(U386*Settings!$C$19)</f>
        <v>-2.5549367528689224</v>
      </c>
      <c r="D386" s="41">
        <f>IF(Settings!$E$12="YES",VLOOKUP(A386,'Player Data'!A1:E734,5,FALSE),82)</f>
        <v>81.324642857142905</v>
      </c>
      <c r="E386" s="39">
        <f>(VLOOKUP($A386,'The List'!$B1:$AH727,17,FALSE)-AVERAGE('The List'!R2:R727))/STDEV('The List'!R2:R727)</f>
        <v>-0.26065748633194391</v>
      </c>
      <c r="F386" s="39">
        <f>(VLOOKUP($A386,'The List'!$B1:$AH727,18,FALSE)-AVERAGE('The List'!S2:S727))/STDEV('The List'!S2:S727)</f>
        <v>-0.29274670573225492</v>
      </c>
      <c r="G386" s="39">
        <f>(VLOOKUP($A386,'The List'!$B1:$AH727,19,FALSE)-AVERAGE('The List'!T2:T727))/STDEV('The List'!T2:T727)</f>
        <v>-0.37648934395606259</v>
      </c>
      <c r="H386" s="39">
        <f>(VLOOKUP($A386,'The List'!$B1:$AH727,20,FALSE)-AVERAGE('The List'!U2:U727))/STDEV('The List'!U2:U727)</f>
        <v>-0.36521427056355971</v>
      </c>
      <c r="I386" s="39">
        <f>(VLOOKUP($A386,'The List'!$B1:$AH727,21,FALSE)-AVERAGE('The List'!V2:V727))/STDEV('The List'!V2:V727)</f>
        <v>-0.6749206845908079</v>
      </c>
      <c r="J386" s="39">
        <f>(VLOOKUP($A386,'The List'!$B1:$AH727,22,FALSE)-AVERAGE('The List'!W2:W727))/STDEV('The List'!W2:W727)</f>
        <v>-0.59547847592800907</v>
      </c>
      <c r="K386" s="39">
        <f>(VLOOKUP($A386,'The List'!$B1:$AH727,23,FALSE)-AVERAGE('The List'!X2:X727))/STDEV('The List'!X2:X727)</f>
        <v>-0.60058910040358271</v>
      </c>
      <c r="L386" s="39">
        <f>(VLOOKUP($A386,'The List'!$B1:$AH727,24,FALSE)-AVERAGE('The List'!Y2:Y727))/STDEV('The List'!Y2:Y727)</f>
        <v>0.41338566304095048</v>
      </c>
      <c r="M386" s="39">
        <f>(VLOOKUP($A386,'The List'!$B1:$AH727,25,FALSE)-AVERAGE('The List'!Z2:Z727))/STDEV('The List'!Z2:Z727)</f>
        <v>0.14728112107748059</v>
      </c>
      <c r="N386" s="39">
        <f>(VLOOKUP($A386,'The List'!$B1:$AH727,26,FALSE)-AVERAGE('The List'!AA2:AA727))/STDEV('The List'!AA2:AA727)</f>
        <v>3.0660229277595329E-2</v>
      </c>
      <c r="O386" s="39">
        <f>(VLOOKUP($A386,'The List'!$B1:$AH727,27,FALSE)-AVERAGE('The List'!AB2:AB727))/STDEV('The List'!AB2:AB727)</f>
        <v>1.4205976996153562</v>
      </c>
      <c r="P386" s="39">
        <f>(VLOOKUP($A386,'The List'!$B1:$AH727,28,FALSE)-AVERAGE('The List'!AC2:AC727))/STDEV('The List'!AC2:AC727)</f>
        <v>-0.64085114746380945</v>
      </c>
      <c r="Q386" s="39">
        <f>(VLOOKUP($A386,'The List'!$B1:$AH727,29,FALSE)-AVERAGE('The List'!AD2:AD727))/STDEV('The List'!AD2:AD727)</f>
        <v>-0.37554681840867477</v>
      </c>
      <c r="R386" s="39">
        <f>(VLOOKUP($A386,'The List'!$B1:$AH727,30,FALSE)-AVERAGE('The List'!AE2:AE727))/STDEV('The List'!AE2:AE727)</f>
        <v>-0.23711648791985068</v>
      </c>
      <c r="S386" s="39">
        <f>(VLOOKUP($A386,'The List'!$B1:$AH727,31,FALSE)-AVERAGE('The List'!AF2:AF727))/STDEV('The List'!AF2:AF727)</f>
        <v>2.3748909915957279</v>
      </c>
      <c r="T386" s="39">
        <f>(VLOOKUP($A386,'The List'!$B1:$AH727,32,FALSE)-AVERAGE('The List'!AG2:AG727))/STDEV('The List'!AG2:AG727)</f>
        <v>1.9891654861229566</v>
      </c>
      <c r="U386" s="39">
        <f>(VLOOKUP($A386,'The List'!$B1:$AH727,33,FALSE)-AVERAGE('The List'!AH2:AH727))/STDEV('The List'!AH2:AH727)</f>
        <v>1.2160706401537082</v>
      </c>
      <c r="V386" s="39"/>
      <c r="W386" s="43"/>
      <c r="X386" s="41"/>
      <c r="Y386" s="41"/>
      <c r="Z386" s="41"/>
      <c r="AA386" s="41"/>
      <c r="AB386" s="41"/>
      <c r="AC386" s="44"/>
      <c r="AD386" s="45"/>
      <c r="AE386" s="39"/>
    </row>
    <row r="387" spans="1:31" ht="21.25" customHeight="1" x14ac:dyDescent="0.15">
      <c r="A387" s="8" t="s">
        <v>606</v>
      </c>
      <c r="B387" s="35" t="str">
        <f>VLOOKUP(A387,'Player Data'!A1:B734,2,FALSE)</f>
        <v>TOR</v>
      </c>
      <c r="C387" s="37">
        <f>((E387)*Settings!$C$12)+(F387*Settings!$C$2)+(G387*Settings!$C$3)+(H387*Settings!$C$4)+(I387*Settings!$C$5)+(K387*Settings!$C$9)+(N387*Settings!$C$6)+(J387*Settings!$C$8)+(O387*Settings!$C$7)+(P387*Settings!$C$14)+(Q387*Settings!$C$15)+(R387*Settings!$C$16)+(S387*Settings!$C$17)+(T387*Settings!$C$18)+(U387*Settings!$C$19)</f>
        <v>-3.2862174307638305</v>
      </c>
      <c r="D387" s="41">
        <f>IF(Settings!$E$12="YES",VLOOKUP(A387,'Player Data'!A1:E734,5,FALSE),82)</f>
        <v>50</v>
      </c>
      <c r="E387" s="39">
        <f>(VLOOKUP($A387,'The List'!$B1:$AH727,17,FALSE)-AVERAGE('The List'!R2:R727))/STDEV('The List'!R2:R727)</f>
        <v>-1.3898115000297915E-2</v>
      </c>
      <c r="F387" s="39">
        <f>(VLOOKUP($A387,'The List'!$B1:$AH727,18,FALSE)-AVERAGE('The List'!S2:S727))/STDEV('The List'!S2:S727)</f>
        <v>-1.0250797446468283</v>
      </c>
      <c r="G387" s="39">
        <f>(VLOOKUP($A387,'The List'!$B1:$AH727,19,FALSE)-AVERAGE('The List'!T2:T727))/STDEV('The List'!T2:T727)</f>
        <v>-0.60752183054169107</v>
      </c>
      <c r="H387" s="39">
        <f>(VLOOKUP($A387,'The List'!$B1:$AH727,20,FALSE)-AVERAGE('The List'!U2:U727))/STDEV('The List'!U2:U727)</f>
        <v>-0.84083597556869971</v>
      </c>
      <c r="I387" s="39">
        <f>(VLOOKUP($A387,'The List'!$B1:$AH727,21,FALSE)-AVERAGE('The List'!V2:V727))/STDEV('The List'!V2:V727)</f>
        <v>-1.3853274982198638</v>
      </c>
      <c r="J387" s="39">
        <f>(VLOOKUP($A387,'The List'!$B1:$AH727,22,FALSE)-AVERAGE('The List'!W2:W727))/STDEV('The List'!W2:W727)</f>
        <v>-0.68524084836460553</v>
      </c>
      <c r="K387" s="39">
        <f>(VLOOKUP($A387,'The List'!$B1:$AH727,23,FALSE)-AVERAGE('The List'!X2:X727))/STDEV('The List'!X2:X727)</f>
        <v>-0.59886198802715973</v>
      </c>
      <c r="L387" s="39">
        <f>(VLOOKUP($A387,'The List'!$B1:$AH727,24,FALSE)-AVERAGE('The List'!Y2:Y727))/STDEV('The List'!Y2:Y727)</f>
        <v>-0.5369139227267492</v>
      </c>
      <c r="M387" s="39">
        <f>(VLOOKUP($A387,'The List'!$B1:$AH727,25,FALSE)-AVERAGE('The List'!Z2:Z727))/STDEV('The List'!Z2:Z727)</f>
        <v>-0.70771696703805209</v>
      </c>
      <c r="N387" s="39">
        <f>(VLOOKUP($A387,'The List'!$B1:$AH727,26,FALSE)-AVERAGE('The List'!AA2:AA727))/STDEV('The List'!AA2:AA727)</f>
        <v>-0.22962170075287913</v>
      </c>
      <c r="O387" s="39">
        <f>(VLOOKUP($A387,'The List'!$B1:$AH727,27,FALSE)-AVERAGE('The List'!AB2:AB727))/STDEV('The List'!AB2:AB727)</f>
        <v>-0.72232760919678796</v>
      </c>
      <c r="P387" s="39">
        <f>(VLOOKUP($A387,'The List'!$B1:$AH727,28,FALSE)-AVERAGE('The List'!AC2:AC727))/STDEV('The List'!AC2:AC727)</f>
        <v>0.56019533142459133</v>
      </c>
      <c r="Q387" s="39">
        <f>(VLOOKUP($A387,'The List'!$B1:$AH727,29,FALSE)-AVERAGE('The List'!AD2:AD727))/STDEV('The List'!AD2:AD727)</f>
        <v>-0.99761888465099913</v>
      </c>
      <c r="R387" s="39">
        <f>(VLOOKUP($A387,'The List'!$B1:$AH727,30,FALSE)-AVERAGE('The List'!AE2:AE727))/STDEV('The List'!AE2:AE727)</f>
        <v>-0.90997667721547149</v>
      </c>
      <c r="S387" s="39">
        <f>(VLOOKUP($A387,'The List'!$B1:$AH727,31,FALSE)-AVERAGE('The List'!AF2:AF727))/STDEV('The List'!AF2:AF727)</f>
        <v>-0.55804314905918151</v>
      </c>
      <c r="T387" s="39">
        <f>(VLOOKUP($A387,'The List'!$B1:$AH727,32,FALSE)-AVERAGE('The List'!AG2:AG727))/STDEV('The List'!AG2:AG727)</f>
        <v>-0.60188453558131205</v>
      </c>
      <c r="U387" s="39">
        <f>(VLOOKUP($A387,'The List'!$B1:$AH727,33,FALSE)-AVERAGE('The List'!AH2:AH727))/STDEV('The List'!AH2:AH727)</f>
        <v>-1.2395873372913611</v>
      </c>
      <c r="V387" s="39"/>
      <c r="W387" s="41"/>
      <c r="X387" s="39"/>
      <c r="Y387" s="39"/>
      <c r="Z387" s="39"/>
      <c r="AA387" s="39"/>
      <c r="AB387" s="39"/>
      <c r="AC387" s="39"/>
      <c r="AD387" s="39"/>
      <c r="AE387" s="39"/>
    </row>
    <row r="388" spans="1:31" ht="21.25" customHeight="1" x14ac:dyDescent="0.15">
      <c r="A388" s="8" t="s">
        <v>750</v>
      </c>
      <c r="B388" s="35" t="str">
        <f>VLOOKUP(A388,'Player Data'!A1:B734,2,FALSE)</f>
        <v>VGK</v>
      </c>
      <c r="C388" s="37">
        <f>((E388)*Settings!$C$12)+(F388*Settings!$C$2)+(G388*Settings!$C$3)+(H388*Settings!$C$4)+(I388*Settings!$C$5)+(K388*Settings!$C$9)+(N388*Settings!$C$6)+(J388*Settings!$C$8)+(O388*Settings!$C$7)+(P388*Settings!$C$14)+(Q388*Settings!$C$15)+(R388*Settings!$C$16)+(S388*Settings!$C$17)+(T388*Settings!$C$18)+(U388*Settings!$C$19)</f>
        <v>-2.136746282660277</v>
      </c>
      <c r="D388" s="41">
        <f>IF(Settings!$E$12="YES",VLOOKUP(A388,'Player Data'!A1:E734,5,FALSE),82)</f>
        <v>70.197500000000005</v>
      </c>
      <c r="E388" s="39">
        <f>(VLOOKUP($A388,'The List'!$B1:$AH727,17,FALSE)-AVERAGE('The List'!R2:R727))/STDEV('The List'!R2:R727)</f>
        <v>-0.88641421703893053</v>
      </c>
      <c r="F388" s="39">
        <f>(VLOOKUP($A388,'The List'!$B1:$AH727,18,FALSE)-AVERAGE('The List'!S2:S727))/STDEV('The List'!S2:S727)</f>
        <v>-0.31107700106118635</v>
      </c>
      <c r="G388" s="39">
        <f>(VLOOKUP($A388,'The List'!$B1:$AH727,19,FALSE)-AVERAGE('The List'!T2:T727))/STDEV('The List'!T2:T727)</f>
        <v>-0.64662470244240688</v>
      </c>
      <c r="H388" s="39">
        <f>(VLOOKUP($A388,'The List'!$B1:$AH727,20,FALSE)-AVERAGE('The List'!U2:U727))/STDEV('The List'!U2:U727)</f>
        <v>-0.54001559726776505</v>
      </c>
      <c r="I388" s="39">
        <f>(VLOOKUP($A388,'The List'!$B1:$AH727,21,FALSE)-AVERAGE('The List'!V2:V727))/STDEV('The List'!V2:V727)</f>
        <v>-0.95146276587470846</v>
      </c>
      <c r="J388" s="39">
        <f>(VLOOKUP($A388,'The List'!$B1:$AH727,22,FALSE)-AVERAGE('The List'!W2:W727))/STDEV('The List'!W2:W727)</f>
        <v>-0.70311396623411093</v>
      </c>
      <c r="K388" s="39">
        <f>(VLOOKUP($A388,'The List'!$B1:$AH727,23,FALSE)-AVERAGE('The List'!X2:X727))/STDEV('The List'!X2:X727)</f>
        <v>-0.79444438887932933</v>
      </c>
      <c r="L388" s="39">
        <f>(VLOOKUP($A388,'The List'!$B1:$AH727,24,FALSE)-AVERAGE('The List'!Y2:Y727))/STDEV('The List'!Y2:Y727)</f>
        <v>-0.3276974289551105</v>
      </c>
      <c r="M388" s="39">
        <f>(VLOOKUP($A388,'The List'!$B1:$AH727,25,FALSE)-AVERAGE('The List'!Z2:Z727))/STDEV('The List'!Z2:Z727)</f>
        <v>0.24000304679599263</v>
      </c>
      <c r="N388" s="39">
        <f>(VLOOKUP($A388,'The List'!$B1:$AH727,26,FALSE)-AVERAGE('The List'!AA2:AA727))/STDEV('The List'!AA2:AA727)</f>
        <v>-0.30741372647649823</v>
      </c>
      <c r="O388" s="39">
        <f>(VLOOKUP($A388,'The List'!$B1:$AH727,27,FALSE)-AVERAGE('The List'!AB2:AB727))/STDEV('The List'!AB2:AB727)</f>
        <v>0.64137423557613948</v>
      </c>
      <c r="P388" s="39">
        <f>(VLOOKUP($A388,'The List'!$B1:$AH727,28,FALSE)-AVERAGE('The List'!AC2:AC727))/STDEV('The List'!AC2:AC727)</f>
        <v>0.87427630207385232</v>
      </c>
      <c r="Q388" s="39">
        <f>(VLOOKUP($A388,'The List'!$B1:$AH727,29,FALSE)-AVERAGE('The List'!AD2:AD727))/STDEV('The List'!AD2:AD727)</f>
        <v>0.30653684252089936</v>
      </c>
      <c r="R388" s="39">
        <f>(VLOOKUP($A388,'The List'!$B1:$AH727,30,FALSE)-AVERAGE('The List'!AE2:AE727))/STDEV('The List'!AE2:AE727)</f>
        <v>-0.14287547480148199</v>
      </c>
      <c r="S388" s="39">
        <f>(VLOOKUP($A388,'The List'!$B1:$AH727,31,FALSE)-AVERAGE('The List'!AF2:AF727))/STDEV('The List'!AF2:AF727)</f>
        <v>0.27495187918421865</v>
      </c>
      <c r="T388" s="39">
        <f>(VLOOKUP($A388,'The List'!$B1:$AH727,32,FALSE)-AVERAGE('The List'!AG2:AG727))/STDEV('The List'!AG2:AG727)</f>
        <v>0.29273436594622099</v>
      </c>
      <c r="U388" s="39">
        <f>(VLOOKUP($A388,'The List'!$B1:$AH727,33,FALSE)-AVERAGE('The List'!AH2:AH727))/STDEV('The List'!AH2:AH727)</f>
        <v>0.99597426309284387</v>
      </c>
      <c r="V388" s="39"/>
      <c r="W388" s="43"/>
      <c r="X388" s="41"/>
      <c r="Y388" s="41"/>
      <c r="Z388" s="41"/>
      <c r="AA388" s="41"/>
      <c r="AB388" s="41"/>
      <c r="AC388" s="44"/>
      <c r="AD388" s="45"/>
      <c r="AE388" s="39"/>
    </row>
    <row r="389" spans="1:31" ht="21.25" customHeight="1" x14ac:dyDescent="0.15">
      <c r="A389" s="8" t="s">
        <v>424</v>
      </c>
      <c r="B389" s="35" t="str">
        <f>VLOOKUP(A389,'Player Data'!A1:B734,2,FALSE)</f>
        <v>SJS</v>
      </c>
      <c r="C389" s="37">
        <f>((E389)*Settings!$C$12)+(F389*Settings!$C$2)+(G389*Settings!$C$3)+(H389*Settings!$C$4)+(I389*Settings!$C$5)+(K389*Settings!$C$9)+(N389*Settings!$C$6)+(J389*Settings!$C$8)+(O389*Settings!$C$7)+(P389*Settings!$C$14)+(Q389*Settings!$C$15)+(R389*Settings!$C$16)+(S389*Settings!$C$17)+(T389*Settings!$C$18)+(U389*Settings!$C$19)</f>
        <v>-0.89152345584411097</v>
      </c>
      <c r="D389" s="41">
        <f>IF(Settings!$E$12="YES",VLOOKUP(A389,'Player Data'!A1:E734,5,FALSE),82)</f>
        <v>73.8</v>
      </c>
      <c r="E389" s="39">
        <f>(VLOOKUP($A389,'The List'!$B1:$AH727,17,FALSE)-AVERAGE('The List'!R2:R727))/STDEV('The List'!R2:R727)</f>
        <v>1.7356379448637018</v>
      </c>
      <c r="F389" s="39">
        <f>(VLOOKUP($A389,'The List'!$B1:$AH727,18,FALSE)-AVERAGE('The List'!S2:S727))/STDEV('The List'!S2:S727)</f>
        <v>-1.0539169099023316</v>
      </c>
      <c r="G389" s="39">
        <f>(VLOOKUP($A389,'The List'!$B1:$AH727,19,FALSE)-AVERAGE('The List'!T2:T727))/STDEV('The List'!T2:T727)</f>
        <v>-1.4176921795595225E-2</v>
      </c>
      <c r="H389" s="39">
        <f>(VLOOKUP($A389,'The List'!$B1:$AH727,20,FALSE)-AVERAGE('The List'!U2:U727))/STDEV('The List'!U2:U727)</f>
        <v>-0.48833409403772937</v>
      </c>
      <c r="I389" s="39">
        <f>(VLOOKUP($A389,'The List'!$B1:$AH727,21,FALSE)-AVERAGE('The List'!V2:V727))/STDEV('The List'!V2:V727)</f>
        <v>-0.76953088346936771</v>
      </c>
      <c r="J389" s="39">
        <f>(VLOOKUP($A389,'The List'!$B1:$AH727,22,FALSE)-AVERAGE('The List'!W2:W727))/STDEV('The List'!W2:W727)</f>
        <v>-0.56938631489075131</v>
      </c>
      <c r="K389" s="39">
        <f>(VLOOKUP($A389,'The List'!$B1:$AH727,23,FALSE)-AVERAGE('The List'!X2:X727))/STDEV('The List'!X2:X727)</f>
        <v>-0.37992404586813755</v>
      </c>
      <c r="L389" s="39">
        <f>(VLOOKUP($A389,'The List'!$B1:$AH727,24,FALSE)-AVERAGE('The List'!Y2:Y727))/STDEV('The List'!Y2:Y727)</f>
        <v>-0.50612890289736423</v>
      </c>
      <c r="M389" s="39">
        <f>(VLOOKUP($A389,'The List'!$B1:$AH727,25,FALSE)-AVERAGE('The List'!Z2:Z727))/STDEV('The List'!Z2:Z727)</f>
        <v>6.5177923584100919E-2</v>
      </c>
      <c r="N389" s="39">
        <f>(VLOOKUP($A389,'The List'!$B1:$AH727,26,FALSE)-AVERAGE('The List'!AA2:AA727))/STDEV('The List'!AA2:AA727)</f>
        <v>1.6159411666174517</v>
      </c>
      <c r="O389" s="39">
        <f>(VLOOKUP($A389,'The List'!$B1:$AH727,27,FALSE)-AVERAGE('The List'!AB2:AB727))/STDEV('The List'!AB2:AB727)</f>
        <v>0.37031379312173429</v>
      </c>
      <c r="P389" s="39">
        <f>(VLOOKUP($A389,'The List'!$B1:$AH727,28,FALSE)-AVERAGE('The List'!AC2:AC727))/STDEV('The List'!AC2:AC727)</f>
        <v>-0.28991586142613074</v>
      </c>
      <c r="Q389" s="39">
        <f>(VLOOKUP($A389,'The List'!$B1:$AH727,29,FALSE)-AVERAGE('The List'!AD2:AD727))/STDEV('The List'!AD2:AD727)</f>
        <v>0.64744830422369548</v>
      </c>
      <c r="R389" s="39">
        <f>(VLOOKUP($A389,'The List'!$B1:$AH727,30,FALSE)-AVERAGE('The List'!AE2:AE727))/STDEV('The List'!AE2:AE727)</f>
        <v>-1.001757269986769</v>
      </c>
      <c r="S389" s="39">
        <f>(VLOOKUP($A389,'The List'!$B1:$AH727,31,FALSE)-AVERAGE('The List'!AF2:AF727))/STDEV('The List'!AF2:AF727)</f>
        <v>-0.55804314905918151</v>
      </c>
      <c r="T389" s="39">
        <f>(VLOOKUP($A389,'The List'!$B1:$AH727,32,FALSE)-AVERAGE('The List'!AG2:AG727))/STDEV('The List'!AG2:AG727)</f>
        <v>-0.60188453558131205</v>
      </c>
      <c r="U389" s="39">
        <f>(VLOOKUP($A389,'The List'!$B1:$AH727,33,FALSE)-AVERAGE('The List'!AH2:AH727))/STDEV('The List'!AH2:AH727)</f>
        <v>-1.2395873372913611</v>
      </c>
      <c r="V389" s="39"/>
      <c r="W389" s="43"/>
      <c r="X389" s="41"/>
      <c r="Y389" s="41"/>
      <c r="Z389" s="41"/>
      <c r="AA389" s="41"/>
      <c r="AB389" s="41"/>
      <c r="AC389" s="44"/>
      <c r="AD389" s="45"/>
      <c r="AE389" s="39"/>
    </row>
    <row r="390" spans="1:31" ht="21.25" customHeight="1" x14ac:dyDescent="0.15">
      <c r="A390" s="8" t="s">
        <v>588</v>
      </c>
      <c r="B390" s="35" t="str">
        <f>VLOOKUP(A390,'Player Data'!A1:B734,2,FALSE)</f>
        <v>OTT</v>
      </c>
      <c r="C390" s="37">
        <f>((E390)*Settings!$C$12)+(F390*Settings!$C$2)+(G390*Settings!$C$3)+(H390*Settings!$C$4)+(I390*Settings!$C$5)+(K390*Settings!$C$9)+(N390*Settings!$C$6)+(J390*Settings!$C$8)+(O390*Settings!$C$7)+(P390*Settings!$C$14)+(Q390*Settings!$C$15)+(R390*Settings!$C$16)+(S390*Settings!$C$17)+(T390*Settings!$C$18)+(U390*Settings!$C$19)</f>
        <v>-2.6606794385315533</v>
      </c>
      <c r="D390" s="41">
        <f>IF(Settings!$E$12="YES",VLOOKUP(A390,'Player Data'!A1:E734,5,FALSE),82)</f>
        <v>75.627499999999998</v>
      </c>
      <c r="E390" s="39">
        <f>(VLOOKUP($A390,'The List'!$B1:$AH727,17,FALSE)-AVERAGE('The List'!R2:R727))/STDEV('The List'!R2:R727)</f>
        <v>-0.79124608741288682</v>
      </c>
      <c r="F390" s="39">
        <f>(VLOOKUP($A390,'The List'!$B1:$AH727,18,FALSE)-AVERAGE('The List'!S2:S727))/STDEV('The List'!S2:S727)</f>
        <v>-0.40078767233619228</v>
      </c>
      <c r="G390" s="39">
        <f>(VLOOKUP($A390,'The List'!$B1:$AH727,19,FALSE)-AVERAGE('The List'!T2:T727))/STDEV('The List'!T2:T727)</f>
        <v>-0.45896617905220216</v>
      </c>
      <c r="H390" s="39">
        <f>(VLOOKUP($A390,'The List'!$B1:$AH727,20,FALSE)-AVERAGE('The List'!U2:U727))/STDEV('The List'!U2:U727)</f>
        <v>-0.46520265640559716</v>
      </c>
      <c r="I390" s="39">
        <f>(VLOOKUP($A390,'The List'!$B1:$AH727,21,FALSE)-AVERAGE('The List'!V2:V727))/STDEV('The List'!V2:V727)</f>
        <v>-0.6818114090912234</v>
      </c>
      <c r="J390" s="39">
        <f>(VLOOKUP($A390,'The List'!$B1:$AH727,22,FALSE)-AVERAGE('The List'!W2:W727))/STDEV('The List'!W2:W727)</f>
        <v>-0.65845266594707896</v>
      </c>
      <c r="K390" s="39">
        <f>(VLOOKUP($A390,'The List'!$B1:$AH727,23,FALSE)-AVERAGE('The List'!X2:X727))/STDEV('The List'!X2:X727)</f>
        <v>-0.74628647369403633</v>
      </c>
      <c r="L390" s="39">
        <f>(VLOOKUP($A390,'The List'!$B1:$AH727,24,FALSE)-AVERAGE('The List'!Y2:Y727))/STDEV('The List'!Y2:Y727)</f>
        <v>2.4483273986442748</v>
      </c>
      <c r="M390" s="39">
        <f>(VLOOKUP($A390,'The List'!$B1:$AH727,25,FALSE)-AVERAGE('The List'!Z2:Z727))/STDEV('The List'!Z2:Z727)</f>
        <v>2.9924737633891589</v>
      </c>
      <c r="N390" s="39">
        <f>(VLOOKUP($A390,'The List'!$B1:$AH727,26,FALSE)-AVERAGE('The List'!AA2:AA727))/STDEV('The List'!AA2:AA727)</f>
        <v>-0.5811914930810167</v>
      </c>
      <c r="O390" s="39">
        <f>(VLOOKUP($A390,'The List'!$B1:$AH727,27,FALSE)-AVERAGE('The List'!AB2:AB727))/STDEV('The List'!AB2:AB727)</f>
        <v>0.44913273365090145</v>
      </c>
      <c r="P390" s="39">
        <f>(VLOOKUP($A390,'The List'!$B1:$AH727,28,FALSE)-AVERAGE('The List'!AC2:AC727))/STDEV('The List'!AC2:AC727)</f>
        <v>0.20836378872311753</v>
      </c>
      <c r="Q390" s="39">
        <f>(VLOOKUP($A390,'The List'!$B1:$AH727,29,FALSE)-AVERAGE('The List'!AD2:AD727))/STDEV('The List'!AD2:AD727)</f>
        <v>-0.19481925045084023</v>
      </c>
      <c r="R390" s="39">
        <f>(VLOOKUP($A390,'The List'!$B1:$AH727,30,FALSE)-AVERAGE('The List'!AE2:AE727))/STDEV('The List'!AE2:AE727)</f>
        <v>-0.38174591319211937</v>
      </c>
      <c r="S390" s="39">
        <f>(VLOOKUP($A390,'The List'!$B1:$AH727,31,FALSE)-AVERAGE('The List'!AF2:AF727))/STDEV('The List'!AF2:AF727)</f>
        <v>-0.48644984939699448</v>
      </c>
      <c r="T390" s="39">
        <f>(VLOOKUP($A390,'The List'!$B1:$AH727,32,FALSE)-AVERAGE('The List'!AG2:AG727))/STDEV('The List'!AG2:AG727)</f>
        <v>-0.47754262430978767</v>
      </c>
      <c r="U390" s="39">
        <f>(VLOOKUP($A390,'The List'!$B1:$AH727,33,FALSE)-AVERAGE('The List'!AH2:AH727))/STDEV('The List'!AH2:AH727)</f>
        <v>0.46464999453880257</v>
      </c>
      <c r="V390" s="39"/>
      <c r="W390" s="43"/>
      <c r="X390" s="41"/>
      <c r="Y390" s="41"/>
      <c r="Z390" s="41"/>
      <c r="AA390" s="41"/>
      <c r="AB390" s="41"/>
      <c r="AC390" s="44"/>
      <c r="AD390" s="45"/>
      <c r="AE390" s="39"/>
    </row>
    <row r="391" spans="1:31" ht="21.25" customHeight="1" x14ac:dyDescent="0.15">
      <c r="A391" s="8" t="s">
        <v>755</v>
      </c>
      <c r="B391" s="35" t="str">
        <f>VLOOKUP(A391,'Player Data'!A1:B734,2,FALSE)</f>
        <v>VGK</v>
      </c>
      <c r="C391" s="37">
        <f>((E391)*Settings!$C$12)+(F391*Settings!$C$2)+(G391*Settings!$C$3)+(H391*Settings!$C$4)+(I391*Settings!$C$5)+(K391*Settings!$C$9)+(N391*Settings!$C$6)+(J391*Settings!$C$8)+(O391*Settings!$C$7)+(P391*Settings!$C$14)+(Q391*Settings!$C$15)+(R391*Settings!$C$16)+(S391*Settings!$C$17)+(T391*Settings!$C$18)+(U391*Settings!$C$19)</f>
        <v>-2.9537329194914563</v>
      </c>
      <c r="D391" s="41">
        <f>IF(Settings!$E$12="YES",VLOOKUP(A391,'Player Data'!A1:E734,5,FALSE),82)</f>
        <v>67.45</v>
      </c>
      <c r="E391" s="39">
        <f>(VLOOKUP($A391,'The List'!$B1:$AH727,17,FALSE)-AVERAGE('The List'!R2:R727))/STDEV('The List'!R2:R727)</f>
        <v>-1.2529237432088483</v>
      </c>
      <c r="F391" s="39">
        <f>(VLOOKUP($A391,'The List'!$B1:$AH727,18,FALSE)-AVERAGE('The List'!S2:S727))/STDEV('The List'!S2:S727)</f>
        <v>8.9583018179215462E-2</v>
      </c>
      <c r="G391" s="39">
        <f>(VLOOKUP($A391,'The List'!$B1:$AH727,19,FALSE)-AVERAGE('The List'!T2:T727))/STDEV('The List'!T2:T727)</f>
        <v>-1.0213832026926208</v>
      </c>
      <c r="H391" s="39">
        <f>(VLOOKUP($A391,'The List'!$B1:$AH727,20,FALSE)-AVERAGE('The List'!U2:U727))/STDEV('The List'!U2:U727)</f>
        <v>-0.58861985527242</v>
      </c>
      <c r="I391" s="39">
        <f>(VLOOKUP($A391,'The List'!$B1:$AH727,21,FALSE)-AVERAGE('The List'!V2:V727))/STDEV('The List'!V2:V727)</f>
        <v>-0.72992807884490973</v>
      </c>
      <c r="J391" s="39">
        <f>(VLOOKUP($A391,'The List'!$B1:$AH727,22,FALSE)-AVERAGE('The List'!W2:W727))/STDEV('The List'!W2:W727)</f>
        <v>-0.65554360832770919</v>
      </c>
      <c r="K391" s="39">
        <f>(VLOOKUP($A391,'The List'!$B1:$AH727,23,FALSE)-AVERAGE('The List'!X2:X727))/STDEV('The List'!X2:X727)</f>
        <v>-0.74554039358964785</v>
      </c>
      <c r="L391" s="39">
        <f>(VLOOKUP($A391,'The List'!$B1:$AH727,24,FALSE)-AVERAGE('The List'!Y2:Y727))/STDEV('The List'!Y2:Y727)</f>
        <v>-0.53257679507806144</v>
      </c>
      <c r="M391" s="39">
        <f>(VLOOKUP($A391,'The List'!$B1:$AH727,25,FALSE)-AVERAGE('The List'!Z2:Z727))/STDEV('The List'!Z2:Z727)</f>
        <v>-0.71067190291177873</v>
      </c>
      <c r="N391" s="39">
        <f>(VLOOKUP($A391,'The List'!$B1:$AH727,26,FALSE)-AVERAGE('The List'!AA2:AA727))/STDEV('The List'!AA2:AA727)</f>
        <v>-0.97154119202057987</v>
      </c>
      <c r="O391" s="39">
        <f>(VLOOKUP($A391,'The List'!$B1:$AH727,27,FALSE)-AVERAGE('The List'!AB2:AB727))/STDEV('The List'!AB2:AB727)</f>
        <v>1.6244787418639297</v>
      </c>
      <c r="P391" s="39">
        <f>(VLOOKUP($A391,'The List'!$B1:$AH727,28,FALSE)-AVERAGE('The List'!AC2:AC727))/STDEV('The List'!AC2:AC727)</f>
        <v>0.42507692947708664</v>
      </c>
      <c r="Q391" s="39">
        <f>(VLOOKUP($A391,'The List'!$B1:$AH727,29,FALSE)-AVERAGE('The List'!AD2:AD727))/STDEV('The List'!AD2:AD727)</f>
        <v>-0.76421831760038428</v>
      </c>
      <c r="R391" s="39">
        <f>(VLOOKUP($A391,'The List'!$B1:$AH727,30,FALSE)-AVERAGE('The List'!AE2:AE727))/STDEV('The List'!AE2:AE727)</f>
        <v>0.2848426675475576</v>
      </c>
      <c r="S391" s="39">
        <f>(VLOOKUP($A391,'The List'!$B1:$AH727,31,FALSE)-AVERAGE('The List'!AF2:AF727))/STDEV('The List'!AF2:AF727)</f>
        <v>-0.50154727068679028</v>
      </c>
      <c r="T391" s="39">
        <f>(VLOOKUP($A391,'The List'!$B1:$AH727,32,FALSE)-AVERAGE('The List'!AG2:AG727))/STDEV('The List'!AG2:AG727)</f>
        <v>-0.52224267443392336</v>
      </c>
      <c r="U391" s="39">
        <f>(VLOOKUP($A391,'The List'!$B1:$AH727,33,FALSE)-AVERAGE('The List'!AH2:AH727))/STDEV('The List'!AH2:AH727)</f>
        <v>0.69109591783353308</v>
      </c>
      <c r="V391" s="39"/>
      <c r="W391" s="41"/>
      <c r="X391" s="39"/>
      <c r="Y391" s="39"/>
      <c r="Z391" s="39"/>
      <c r="AA391" s="39"/>
      <c r="AB391" s="39"/>
      <c r="AC391" s="39"/>
      <c r="AD391" s="39"/>
      <c r="AE391" s="39"/>
    </row>
    <row r="392" spans="1:31" ht="21.25" customHeight="1" x14ac:dyDescent="0.15">
      <c r="A392" s="8" t="s">
        <v>601</v>
      </c>
      <c r="B392" s="35" t="str">
        <f>VLOOKUP(A392,'Player Data'!A1:B734,2,FALSE)</f>
        <v>CBJ</v>
      </c>
      <c r="C392" s="37">
        <f>((E392)*Settings!$C$12)+(F392*Settings!$C$2)+(G392*Settings!$C$3)+(H392*Settings!$C$4)+(I392*Settings!$C$5)+(K392*Settings!$C$9)+(N392*Settings!$C$6)+(J392*Settings!$C$8)+(O392*Settings!$C$7)+(P392*Settings!$C$14)+(Q392*Settings!$C$15)+(R392*Settings!$C$16)+(S392*Settings!$C$17)+(T392*Settings!$C$18)+(U392*Settings!$C$19)</f>
        <v>-4.2527670936842137</v>
      </c>
      <c r="D392" s="41">
        <f>IF(Settings!$E$12="YES",VLOOKUP(A392,'Player Data'!A1:E734,5,FALSE),82)</f>
        <v>78.192499999999995</v>
      </c>
      <c r="E392" s="39">
        <f>(VLOOKUP($A392,'The List'!$B1:$AH727,17,FALSE)-AVERAGE('The List'!R2:R727))/STDEV('The List'!R2:R727)</f>
        <v>-0.83306804895665676</v>
      </c>
      <c r="F392" s="39">
        <f>(VLOOKUP($A392,'The List'!$B1:$AH727,18,FALSE)-AVERAGE('The List'!S2:S727))/STDEV('The List'!S2:S727)</f>
        <v>-0.1848723382307689</v>
      </c>
      <c r="G392" s="39">
        <f>(VLOOKUP($A392,'The List'!$B1:$AH727,19,FALSE)-AVERAGE('The List'!T2:T727))/STDEV('The List'!T2:T727)</f>
        <v>-0.56729790480428732</v>
      </c>
      <c r="H392" s="39">
        <f>(VLOOKUP($A392,'The List'!$B1:$AH727,20,FALSE)-AVERAGE('The List'!U2:U727))/STDEV('The List'!U2:U727)</f>
        <v>-0.43370267511167765</v>
      </c>
      <c r="I392" s="39">
        <f>(VLOOKUP($A392,'The List'!$B1:$AH727,21,FALSE)-AVERAGE('The List'!V2:V727))/STDEV('The List'!V2:V727)</f>
        <v>-0.41542213657358018</v>
      </c>
      <c r="J392" s="39">
        <f>(VLOOKUP($A392,'The List'!$B1:$AH727,22,FALSE)-AVERAGE('The List'!W2:W727))/STDEV('The List'!W2:W727)</f>
        <v>-0.70744296368836956</v>
      </c>
      <c r="K392" s="39">
        <f>(VLOOKUP($A392,'The List'!$B1:$AH727,23,FALSE)-AVERAGE('The List'!X2:X727))/STDEV('The List'!X2:X727)</f>
        <v>-0.79673097680414062</v>
      </c>
      <c r="L392" s="39">
        <f>(VLOOKUP($A392,'The List'!$B1:$AH727,24,FALSE)-AVERAGE('The List'!Y2:Y727))/STDEV('The List'!Y2:Y727)</f>
        <v>1.097801025683123</v>
      </c>
      <c r="M392" s="39">
        <f>(VLOOKUP($A392,'The List'!$B1:$AH727,25,FALSE)-AVERAGE('The List'!Z2:Z727))/STDEV('The List'!Z2:Z727)</f>
        <v>1.646264576178577</v>
      </c>
      <c r="N392" s="39">
        <f>(VLOOKUP($A392,'The List'!$B1:$AH727,26,FALSE)-AVERAGE('The List'!AA2:AA727))/STDEV('The List'!AA2:AA727)</f>
        <v>-0.69965571374861146</v>
      </c>
      <c r="O392" s="39">
        <f>(VLOOKUP($A392,'The List'!$B1:$AH727,27,FALSE)-AVERAGE('The List'!AB2:AB727))/STDEV('The List'!AB2:AB727)</f>
        <v>0.63068394014140738</v>
      </c>
      <c r="P392" s="39">
        <f>(VLOOKUP($A392,'The List'!$B1:$AH727,28,FALSE)-AVERAGE('The List'!AC2:AC727))/STDEV('The List'!AC2:AC727)</f>
        <v>-1.5887880235228253</v>
      </c>
      <c r="Q392" s="39">
        <f>(VLOOKUP($A392,'The List'!$B1:$AH727,29,FALSE)-AVERAGE('The List'!AD2:AD727))/STDEV('The List'!AD2:AD727)</f>
        <v>-1.2117863031329061</v>
      </c>
      <c r="R392" s="39">
        <f>(VLOOKUP($A392,'The List'!$B1:$AH727,30,FALSE)-AVERAGE('The List'!AE2:AE727))/STDEV('The List'!AE2:AE727)</f>
        <v>-0.41582609786014402</v>
      </c>
      <c r="S392" s="39">
        <f>(VLOOKUP($A392,'The List'!$B1:$AH727,31,FALSE)-AVERAGE('The List'!AF2:AF727))/STDEV('The List'!AF2:AF727)</f>
        <v>-0.53429262912496001</v>
      </c>
      <c r="T392" s="39">
        <f>(VLOOKUP($A392,'The List'!$B1:$AH727,32,FALSE)-AVERAGE('The List'!AG2:AG727))/STDEV('The List'!AG2:AG727)</f>
        <v>-0.55786657663603723</v>
      </c>
      <c r="U392" s="39">
        <f>(VLOOKUP($A392,'The List'!$B1:$AH727,33,FALSE)-AVERAGE('The List'!AH2:AH727))/STDEV('The List'!AH2:AH727)</f>
        <v>0.39627360678195889</v>
      </c>
      <c r="V392" s="39"/>
      <c r="W392" s="43"/>
      <c r="X392" s="41"/>
      <c r="Y392" s="41"/>
      <c r="Z392" s="41"/>
      <c r="AA392" s="41"/>
      <c r="AB392" s="41"/>
      <c r="AC392" s="44"/>
      <c r="AD392" s="45"/>
      <c r="AE392" s="39"/>
    </row>
    <row r="393" spans="1:31" ht="21.25" customHeight="1" x14ac:dyDescent="0.15">
      <c r="A393" s="8" t="s">
        <v>704</v>
      </c>
      <c r="B393" s="35" t="str">
        <f>VLOOKUP(A393,'Player Data'!A1:B734,2,FALSE)</f>
        <v>NYR</v>
      </c>
      <c r="C393" s="37">
        <f>((E393)*Settings!$C$12)+(F393*Settings!$C$2)+(G393*Settings!$C$3)+(H393*Settings!$C$4)+(I393*Settings!$C$5)+(K393*Settings!$C$9)+(N393*Settings!$C$6)+(J393*Settings!$C$8)+(O393*Settings!$C$7)+(P393*Settings!$C$14)+(Q393*Settings!$C$15)+(R393*Settings!$C$16)+(S393*Settings!$C$17)+(T393*Settings!$C$18)+(U393*Settings!$C$19)</f>
        <v>-1.3702774275892089</v>
      </c>
      <c r="D393" s="41">
        <f>IF(Settings!$E$12="YES",VLOOKUP(A393,'Player Data'!A1:E734,5,FALSE),82)</f>
        <v>81.471071428571406</v>
      </c>
      <c r="E393" s="39">
        <f>(VLOOKUP($A393,'The List'!$B1:$AH727,17,FALSE)-AVERAGE('The List'!R2:R727))/STDEV('The List'!R2:R727)</f>
        <v>-0.76031868677796011</v>
      </c>
      <c r="F393" s="39">
        <f>(VLOOKUP($A393,'The List'!$B1:$AH727,18,FALSE)-AVERAGE('The List'!S2:S727))/STDEV('The List'!S2:S727)</f>
        <v>-0.36093953957004282</v>
      </c>
      <c r="G393" s="39">
        <f>(VLOOKUP($A393,'The List'!$B1:$AH727,19,FALSE)-AVERAGE('The List'!T2:T727))/STDEV('The List'!T2:T727)</f>
        <v>-0.36483493476238382</v>
      </c>
      <c r="H393" s="39">
        <f>(VLOOKUP($A393,'The List'!$B1:$AH727,20,FALSE)-AVERAGE('The List'!U2:U727))/STDEV('The List'!U2:U727)</f>
        <v>-0.38906472296080796</v>
      </c>
      <c r="I393" s="39">
        <f>(VLOOKUP($A393,'The List'!$B1:$AH727,21,FALSE)-AVERAGE('The List'!V2:V727))/STDEV('The List'!V2:V727)</f>
        <v>-0.67118885514712623</v>
      </c>
      <c r="J393" s="39">
        <f>(VLOOKUP($A393,'The List'!$B1:$AH727,22,FALSE)-AVERAGE('The List'!W2:W727))/STDEV('The List'!W2:W727)</f>
        <v>-0.65621363377233943</v>
      </c>
      <c r="K393" s="39">
        <f>(VLOOKUP($A393,'The List'!$B1:$AH727,23,FALSE)-AVERAGE('The List'!X2:X727))/STDEV('The List'!X2:X727)</f>
        <v>-0.76238004141334115</v>
      </c>
      <c r="L393" s="39">
        <f>(VLOOKUP($A393,'The List'!$B1:$AH727,24,FALSE)-AVERAGE('The List'!Y2:Y727))/STDEV('The List'!Y2:Y727)</f>
        <v>9.7217759014495239E-2</v>
      </c>
      <c r="M393" s="39">
        <f>(VLOOKUP($A393,'The List'!$B1:$AH727,25,FALSE)-AVERAGE('The List'!Z2:Z727))/STDEV('The List'!Z2:Z727)</f>
        <v>0.8301690227216314</v>
      </c>
      <c r="N393" s="39">
        <f>(VLOOKUP($A393,'The List'!$B1:$AH727,26,FALSE)-AVERAGE('The List'!AA2:AA727))/STDEV('The List'!AA2:AA727)</f>
        <v>-0.11092200337508483</v>
      </c>
      <c r="O393" s="39">
        <f>(VLOOKUP($A393,'The List'!$B1:$AH727,27,FALSE)-AVERAGE('The List'!AB2:AB727))/STDEV('The List'!AB2:AB727)</f>
        <v>0.53253846433530128</v>
      </c>
      <c r="P393" s="39">
        <f>(VLOOKUP($A393,'The List'!$B1:$AH727,28,FALSE)-AVERAGE('The List'!AC2:AC727))/STDEV('The List'!AC2:AC727)</f>
        <v>0.89998794667876969</v>
      </c>
      <c r="Q393" s="39">
        <f>(VLOOKUP($A393,'The List'!$B1:$AH727,29,FALSE)-AVERAGE('The List'!AD2:AD727))/STDEV('The List'!AD2:AD727)</f>
        <v>1.405555697535035</v>
      </c>
      <c r="R393" s="39">
        <f>(VLOOKUP($A393,'The List'!$B1:$AH727,30,FALSE)-AVERAGE('The List'!AE2:AE727))/STDEV('The List'!AE2:AE727)</f>
        <v>-0.15361888511879679</v>
      </c>
      <c r="S393" s="39">
        <f>(VLOOKUP($A393,'The List'!$B1:$AH727,31,FALSE)-AVERAGE('The List'!AF2:AF727))/STDEV('The List'!AF2:AF727)</f>
        <v>0.77152835121276953</v>
      </c>
      <c r="T393" s="39">
        <f>(VLOOKUP($A393,'The List'!$B1:$AH727,32,FALSE)-AVERAGE('The List'!AG2:AG727))/STDEV('The List'!AG2:AG727)</f>
        <v>0.91276443908336924</v>
      </c>
      <c r="U393" s="39">
        <f>(VLOOKUP($A393,'The List'!$B1:$AH727,33,FALSE)-AVERAGE('The List'!AH2:AH727))/STDEV('The List'!AH2:AH727)</f>
        <v>0.92943105611210552</v>
      </c>
      <c r="V393" s="39"/>
      <c r="W393" s="43"/>
      <c r="X393" s="41"/>
      <c r="Y393" s="41"/>
      <c r="Z393" s="41"/>
      <c r="AA393" s="41"/>
      <c r="AB393" s="41"/>
      <c r="AC393" s="44"/>
      <c r="AD393" s="45"/>
      <c r="AE393" s="39"/>
    </row>
    <row r="394" spans="1:31" ht="21.25" customHeight="1" x14ac:dyDescent="0.15">
      <c r="A394" s="8" t="s">
        <v>380</v>
      </c>
      <c r="B394" s="35" t="str">
        <f>VLOOKUP(A394,'Player Data'!A1:B734,2,FALSE)</f>
        <v>MIN</v>
      </c>
      <c r="C394" s="37">
        <f>((E394)*Settings!$C$12)+(F394*Settings!$C$2)+(G394*Settings!$C$3)+(H394*Settings!$C$4)+(I394*Settings!$C$5)+(K394*Settings!$C$9)+(N394*Settings!$C$6)+(J394*Settings!$C$8)+(O394*Settings!$C$7)+(P394*Settings!$C$14)+(Q394*Settings!$C$15)+(R394*Settings!$C$16)+(S394*Settings!$C$17)+(T394*Settings!$C$18)+(U394*Settings!$C$19)</f>
        <v>1.2333486968388621</v>
      </c>
      <c r="D394" s="41">
        <f>IF(Settings!$E$12="YES",VLOOKUP(A394,'Player Data'!A1:E734,5,FALSE),82)</f>
        <v>77.3</v>
      </c>
      <c r="E394" s="39">
        <f>(VLOOKUP($A394,'The List'!$B1:$AH727,17,FALSE)-AVERAGE('The List'!R2:R727))/STDEV('The List'!R2:R727)</f>
        <v>1.6434173150518041</v>
      </c>
      <c r="F394" s="39">
        <f>(VLOOKUP($A394,'The List'!$B1:$AH727,18,FALSE)-AVERAGE('The List'!S2:S727))/STDEV('The List'!S2:S727)</f>
        <v>-0.71242054513853525</v>
      </c>
      <c r="G394" s="39">
        <f>(VLOOKUP($A394,'The List'!$B1:$AH727,19,FALSE)-AVERAGE('The List'!T2:T727))/STDEV('The List'!T2:T727)</f>
        <v>-0.2133493978978547</v>
      </c>
      <c r="H394" s="39">
        <f>(VLOOKUP($A394,'The List'!$B1:$AH727,20,FALSE)-AVERAGE('The List'!U2:U727))/STDEV('The List'!U2:U727)</f>
        <v>-0.45566379221167913</v>
      </c>
      <c r="I394" s="39">
        <f>(VLOOKUP($A394,'The List'!$B1:$AH727,21,FALSE)-AVERAGE('The List'!V2:V727))/STDEV('The List'!V2:V727)</f>
        <v>-0.20945299478029797</v>
      </c>
      <c r="J394" s="39">
        <f>(VLOOKUP($A394,'The List'!$B1:$AH727,22,FALSE)-AVERAGE('The List'!W2:W727))/STDEV('The List'!W2:W727)</f>
        <v>-0.6533437188405905</v>
      </c>
      <c r="K394" s="39">
        <f>(VLOOKUP($A394,'The List'!$B1:$AH727,23,FALSE)-AVERAGE('The List'!X2:X727))/STDEV('The List'!X2:X727)</f>
        <v>-0.68025716009686521</v>
      </c>
      <c r="L394" s="39">
        <f>(VLOOKUP($A394,'The List'!$B1:$AH727,24,FALSE)-AVERAGE('The List'!Y2:Y727))/STDEV('The List'!Y2:Y727)</f>
        <v>-0.4954344103496352</v>
      </c>
      <c r="M394" s="39">
        <f>(VLOOKUP($A394,'The List'!$B1:$AH727,25,FALSE)-AVERAGE('The List'!Z2:Z727))/STDEV('The List'!Z2:Z727)</f>
        <v>0.98554983710883959</v>
      </c>
      <c r="N394" s="39">
        <f>(VLOOKUP($A394,'The List'!$B1:$AH727,26,FALSE)-AVERAGE('The List'!AA2:AA727))/STDEV('The List'!AA2:AA727)</f>
        <v>2.3683365552930256</v>
      </c>
      <c r="O394" s="39">
        <f>(VLOOKUP($A394,'The List'!$B1:$AH727,27,FALSE)-AVERAGE('The List'!AB2:AB727))/STDEV('The List'!AB2:AB727)</f>
        <v>-0.57473636669614692</v>
      </c>
      <c r="P394" s="39">
        <f>(VLOOKUP($A394,'The List'!$B1:$AH727,28,FALSE)-AVERAGE('The List'!AC2:AC727))/STDEV('The List'!AC2:AC727)</f>
        <v>0.68049223945938941</v>
      </c>
      <c r="Q394" s="39">
        <f>(VLOOKUP($A394,'The List'!$B1:$AH727,29,FALSE)-AVERAGE('The List'!AD2:AD727))/STDEV('The List'!AD2:AD727)</f>
        <v>-4.2683690810125699E-2</v>
      </c>
      <c r="R394" s="39">
        <f>(VLOOKUP($A394,'The List'!$B1:$AH727,30,FALSE)-AVERAGE('The List'!AE2:AE727))/STDEV('The List'!AE2:AE727)</f>
        <v>-0.58215363136991294</v>
      </c>
      <c r="S394" s="39">
        <f>(VLOOKUP($A394,'The List'!$B1:$AH727,31,FALSE)-AVERAGE('The List'!AF2:AF727))/STDEV('The List'!AF2:AF727)</f>
        <v>-0.55804314905918151</v>
      </c>
      <c r="T394" s="39">
        <f>(VLOOKUP($A394,'The List'!$B1:$AH727,32,FALSE)-AVERAGE('The List'!AG2:AG727))/STDEV('The List'!AG2:AG727)</f>
        <v>-0.60188453558131205</v>
      </c>
      <c r="U394" s="39">
        <f>(VLOOKUP($A394,'The List'!$B1:$AH727,33,FALSE)-AVERAGE('The List'!AH2:AH727))/STDEV('The List'!AH2:AH727)</f>
        <v>-1.2395873372913611</v>
      </c>
      <c r="V394" s="39"/>
      <c r="W394" s="43"/>
      <c r="X394" s="41"/>
      <c r="Y394" s="41"/>
      <c r="Z394" s="41"/>
      <c r="AA394" s="41"/>
      <c r="AB394" s="41"/>
      <c r="AC394" s="44"/>
      <c r="AD394" s="45"/>
      <c r="AE394" s="39"/>
    </row>
    <row r="395" spans="1:31" ht="21.25" customHeight="1" x14ac:dyDescent="0.15">
      <c r="A395" s="8" t="s">
        <v>611</v>
      </c>
      <c r="B395" s="35" t="str">
        <f>VLOOKUP(A395,'Player Data'!A1:B734,2,FALSE)</f>
        <v>PIT</v>
      </c>
      <c r="C395" s="37">
        <f>((E395)*Settings!$C$12)+(F395*Settings!$C$2)+(G395*Settings!$C$3)+(H395*Settings!$C$4)+(I395*Settings!$C$5)+(K395*Settings!$C$9)+(N395*Settings!$C$6)+(J395*Settings!$C$8)+(O395*Settings!$C$7)+(P395*Settings!$C$14)+(Q395*Settings!$C$15)+(R395*Settings!$C$16)+(S395*Settings!$C$17)+(T395*Settings!$C$18)+(U395*Settings!$C$19)</f>
        <v>-1.3004879638247664</v>
      </c>
      <c r="D395" s="41">
        <f>IF(Settings!$E$12="YES",VLOOKUP(A395,'Player Data'!A1:E734,5,FALSE),82)</f>
        <v>80.379642857142898</v>
      </c>
      <c r="E395" s="39">
        <f>(VLOOKUP($A395,'The List'!$B1:$AH727,17,FALSE)-AVERAGE('The List'!R2:R727))/STDEV('The List'!R2:R727)</f>
        <v>-0.87960919650624803</v>
      </c>
      <c r="F395" s="39">
        <f>(VLOOKUP($A395,'The List'!$B1:$AH727,18,FALSE)-AVERAGE('The List'!S2:S727))/STDEV('The List'!S2:S727)</f>
        <v>-0.16576187633540579</v>
      </c>
      <c r="G395" s="39">
        <f>(VLOOKUP($A395,'The List'!$B1:$AH727,19,FALSE)-AVERAGE('The List'!T2:T727))/STDEV('The List'!T2:T727)</f>
        <v>-0.54522385243341598</v>
      </c>
      <c r="H395" s="39">
        <f>(VLOOKUP($A395,'The List'!$B1:$AH727,20,FALSE)-AVERAGE('The List'!U2:U727))/STDEV('The List'!U2:U727)</f>
        <v>-0.41140398475895368</v>
      </c>
      <c r="I395" s="39">
        <f>(VLOOKUP($A395,'The List'!$B1:$AH727,21,FALSE)-AVERAGE('The List'!V2:V727))/STDEV('The List'!V2:V727)</f>
        <v>0.14615695536724185</v>
      </c>
      <c r="J395" s="39">
        <f>(VLOOKUP($A395,'The List'!$B1:$AH727,22,FALSE)-AVERAGE('The List'!W2:W727))/STDEV('The List'!W2:W727)</f>
        <v>-0.23568244916490691</v>
      </c>
      <c r="K395" s="39">
        <f>(VLOOKUP($A395,'The List'!$B1:$AH727,23,FALSE)-AVERAGE('The List'!X2:X727))/STDEV('The List'!X2:X727)</f>
        <v>-0.38097355937827232</v>
      </c>
      <c r="L395" s="39">
        <f>(VLOOKUP($A395,'The List'!$B1:$AH727,24,FALSE)-AVERAGE('The List'!Y2:Y727))/STDEV('The List'!Y2:Y727)</f>
        <v>-1.0246736355834913E-2</v>
      </c>
      <c r="M395" s="39">
        <f>(VLOOKUP($A395,'The List'!$B1:$AH727,25,FALSE)-AVERAGE('The List'!Z2:Z727))/STDEV('The List'!Z2:Z727)</f>
        <v>0.11216782176580696</v>
      </c>
      <c r="N395" s="39">
        <f>(VLOOKUP($A395,'The List'!$B1:$AH727,26,FALSE)-AVERAGE('The List'!AA2:AA727))/STDEV('The List'!AA2:AA727)</f>
        <v>-0.2820090197961776</v>
      </c>
      <c r="O395" s="39">
        <f>(VLOOKUP($A395,'The List'!$B1:$AH727,27,FALSE)-AVERAGE('The List'!AB2:AB727))/STDEV('The List'!AB2:AB727)</f>
        <v>-0.17631048837853638</v>
      </c>
      <c r="P395" s="39">
        <f>(VLOOKUP($A395,'The List'!$B1:$AH727,28,FALSE)-AVERAGE('The List'!AC2:AC727))/STDEV('The List'!AC2:AC727)</f>
        <v>-7.2676611248736728E-2</v>
      </c>
      <c r="Q395" s="39">
        <f>(VLOOKUP($A395,'The List'!$B1:$AH727,29,FALSE)-AVERAGE('The List'!AD2:AD727))/STDEV('The List'!AD2:AD727)</f>
        <v>-0.18317701947809278</v>
      </c>
      <c r="R395" s="39">
        <f>(VLOOKUP($A395,'The List'!$B1:$AH727,30,FALSE)-AVERAGE('The List'!AE2:AE727))/STDEV('The List'!AE2:AE727)</f>
        <v>-1.927417415291752E-2</v>
      </c>
      <c r="S395" s="39">
        <f>(VLOOKUP($A395,'The List'!$B1:$AH727,31,FALSE)-AVERAGE('The List'!AF2:AF727))/STDEV('The List'!AF2:AF727)</f>
        <v>1.8037966418152356</v>
      </c>
      <c r="T395" s="39">
        <f>(VLOOKUP($A395,'The List'!$B1:$AH727,32,FALSE)-AVERAGE('The List'!AG2:AG727))/STDEV('The List'!AG2:AG727)</f>
        <v>1.3165162917437141</v>
      </c>
      <c r="U395" s="39">
        <f>(VLOOKUP($A395,'The List'!$B1:$AH727,33,FALSE)-AVERAGE('The List'!AH2:AH727))/STDEV('The List'!AH2:AH727)</f>
        <v>1.3098382128608912</v>
      </c>
      <c r="V395" s="39"/>
      <c r="W395" s="43"/>
      <c r="X395" s="41"/>
      <c r="Y395" s="41"/>
      <c r="Z395" s="41"/>
      <c r="AA395" s="41"/>
      <c r="AB395" s="41"/>
      <c r="AC395" s="44"/>
      <c r="AD395" s="45"/>
      <c r="AE395" s="39"/>
    </row>
    <row r="396" spans="1:31" ht="21.25" customHeight="1" x14ac:dyDescent="0.15">
      <c r="A396" s="8" t="s">
        <v>571</v>
      </c>
      <c r="B396" s="35" t="str">
        <f>VLOOKUP(A396,'Player Data'!A1:B734,2,FALSE)</f>
        <v>CGY</v>
      </c>
      <c r="C396" s="37">
        <f>((E396)*Settings!$C$12)+(F396*Settings!$C$2)+(G396*Settings!$C$3)+(H396*Settings!$C$4)+(I396*Settings!$C$5)+(K396*Settings!$C$9)+(N396*Settings!$C$6)+(J396*Settings!$C$8)+(O396*Settings!$C$7)+(P396*Settings!$C$14)+(Q396*Settings!$C$15)+(R396*Settings!$C$16)+(S396*Settings!$C$17)+(T396*Settings!$C$18)+(U396*Settings!$C$19)</f>
        <v>-2.7597864899575155</v>
      </c>
      <c r="D396" s="41">
        <f>IF(Settings!$E$12="YES",VLOOKUP(A396,'Player Data'!A1:E734,5,FALSE),82)</f>
        <v>52.4</v>
      </c>
      <c r="E396" s="39">
        <f>(VLOOKUP($A396,'The List'!$B1:$AH727,17,FALSE)-AVERAGE('The List'!R2:R727))/STDEV('The List'!R2:R727)</f>
        <v>-0.19040951874106185</v>
      </c>
      <c r="F396" s="39">
        <f>(VLOOKUP($A396,'The List'!$B1:$AH727,18,FALSE)-AVERAGE('The List'!S2:S727))/STDEV('The List'!S2:S727)</f>
        <v>-0.85502096887847778</v>
      </c>
      <c r="G396" s="39">
        <f>(VLOOKUP($A396,'The List'!$B1:$AH727,19,FALSE)-AVERAGE('The List'!T2:T727))/STDEV('The List'!T2:T727)</f>
        <v>-0.7070093357970394</v>
      </c>
      <c r="H396" s="39">
        <f>(VLOOKUP($A396,'The List'!$B1:$AH727,20,FALSE)-AVERAGE('The List'!U2:U727))/STDEV('The List'!U2:U727)</f>
        <v>-0.82475370774750878</v>
      </c>
      <c r="I396" s="39">
        <f>(VLOOKUP($A396,'The List'!$B1:$AH727,21,FALSE)-AVERAGE('The List'!V2:V727))/STDEV('The List'!V2:V727)</f>
        <v>-0.91246651775474574</v>
      </c>
      <c r="J396" s="39">
        <f>(VLOOKUP($A396,'The List'!$B1:$AH727,22,FALSE)-AVERAGE('The List'!W2:W727))/STDEV('The List'!W2:W727)</f>
        <v>-0.59867082096493585</v>
      </c>
      <c r="K396" s="39">
        <f>(VLOOKUP($A396,'The List'!$B1:$AH727,23,FALSE)-AVERAGE('The List'!X2:X727))/STDEV('The List'!X2:X727)</f>
        <v>-0.61971036909820021</v>
      </c>
      <c r="L396" s="39">
        <f>(VLOOKUP($A396,'The List'!$B1:$AH727,24,FALSE)-AVERAGE('The List'!Y2:Y727))/STDEV('The List'!Y2:Y727)</f>
        <v>-0.54402834717551152</v>
      </c>
      <c r="M396" s="39">
        <f>(VLOOKUP($A396,'The List'!$B1:$AH727,25,FALSE)-AVERAGE('The List'!Z2:Z727))/STDEV('The List'!Z2:Z727)</f>
        <v>-0.72372514007823274</v>
      </c>
      <c r="N396" s="39">
        <f>(VLOOKUP($A396,'The List'!$B1:$AH727,26,FALSE)-AVERAGE('The List'!AA2:AA727))/STDEV('The List'!AA2:AA727)</f>
        <v>-0.15435188985759088</v>
      </c>
      <c r="O396" s="39">
        <f>(VLOOKUP($A396,'The List'!$B1:$AH727,27,FALSE)-AVERAGE('The List'!AB2:AB727))/STDEV('The List'!AB2:AB727)</f>
        <v>-0.98304654511374445</v>
      </c>
      <c r="P396" s="39">
        <f>(VLOOKUP($A396,'The List'!$B1:$AH727,28,FALSE)-AVERAGE('The List'!AC2:AC727))/STDEV('The List'!AC2:AC727)</f>
        <v>0.48877259142853841</v>
      </c>
      <c r="Q396" s="39">
        <f>(VLOOKUP($A396,'The List'!$B1:$AH727,29,FALSE)-AVERAGE('The List'!AD2:AD727))/STDEV('The List'!AD2:AD727)</f>
        <v>-2.2035150062588813</v>
      </c>
      <c r="R396" s="39">
        <f>(VLOOKUP($A396,'The List'!$B1:$AH727,30,FALSE)-AVERAGE('The List'!AE2:AE727))/STDEV('The List'!AE2:AE727)</f>
        <v>-0.71302771338260451</v>
      </c>
      <c r="S396" s="39">
        <f>(VLOOKUP($A396,'The List'!$B1:$AH727,31,FALSE)-AVERAGE('The List'!AF2:AF727))/STDEV('The List'!AF2:AF727)</f>
        <v>-0.55804314905918151</v>
      </c>
      <c r="T396" s="39">
        <f>(VLOOKUP($A396,'The List'!$B1:$AH727,32,FALSE)-AVERAGE('The List'!AG2:AG727))/STDEV('The List'!AG2:AG727)</f>
        <v>-0.60188453558131205</v>
      </c>
      <c r="U396" s="39">
        <f>(VLOOKUP($A396,'The List'!$B1:$AH727,33,FALSE)-AVERAGE('The List'!AH2:AH727))/STDEV('The List'!AH2:AH727)</f>
        <v>-1.2395873372913611</v>
      </c>
      <c r="V396" s="39"/>
      <c r="W396" s="43"/>
      <c r="X396" s="41"/>
      <c r="Y396" s="41"/>
      <c r="Z396" s="41"/>
      <c r="AA396" s="41"/>
      <c r="AB396" s="41"/>
      <c r="AC396" s="44"/>
      <c r="AD396" s="45"/>
      <c r="AE396" s="39"/>
    </row>
    <row r="397" spans="1:31" ht="21.25" customHeight="1" x14ac:dyDescent="0.15">
      <c r="A397" s="8" t="s">
        <v>360</v>
      </c>
      <c r="B397" s="35" t="str">
        <f>VLOOKUP(A397,'Player Data'!A1:B734,2,FALSE)</f>
        <v>CBJ</v>
      </c>
      <c r="C397" s="37">
        <f>((E397)*Settings!$C$12)+(F397*Settings!$C$2)+(G397*Settings!$C$3)+(H397*Settings!$C$4)+(I397*Settings!$C$5)+(K397*Settings!$C$9)+(N397*Settings!$C$6)+(J397*Settings!$C$8)+(O397*Settings!$C$7)+(P397*Settings!$C$14)+(Q397*Settings!$C$15)+(R397*Settings!$C$16)+(S397*Settings!$C$17)+(T397*Settings!$C$18)+(U397*Settings!$C$19)</f>
        <v>-0.77554802203825313</v>
      </c>
      <c r="D397" s="41">
        <f>IF(Settings!$E$12="YES",VLOOKUP(A397,'Player Data'!A1:E734,5,FALSE),82)</f>
        <v>81.617500000000007</v>
      </c>
      <c r="E397" s="39">
        <f>(VLOOKUP($A397,'The List'!$B1:$AH727,17,FALSE)-AVERAGE('The List'!R2:R727))/STDEV('The List'!R2:R727)</f>
        <v>1.3871107536104379</v>
      </c>
      <c r="F397" s="39">
        <f>(VLOOKUP($A397,'The List'!$B1:$AH727,18,FALSE)-AVERAGE('The List'!S2:S727))/STDEV('The List'!S2:S727)</f>
        <v>-0.58687945436990818</v>
      </c>
      <c r="G397" s="39">
        <f>(VLOOKUP($A397,'The List'!$B1:$AH727,19,FALSE)-AVERAGE('The List'!T2:T727))/STDEV('The List'!T2:T727)</f>
        <v>-0.21495592498425145</v>
      </c>
      <c r="H397" s="39">
        <f>(VLOOKUP($A397,'The List'!$B1:$AH727,20,FALSE)-AVERAGE('The List'!U2:U727))/STDEV('The List'!U2:U727)</f>
        <v>-0.39952469679116476</v>
      </c>
      <c r="I397" s="39">
        <f>(VLOOKUP($A397,'The List'!$B1:$AH727,21,FALSE)-AVERAGE('The List'!V2:V727))/STDEV('The List'!V2:V727)</f>
        <v>-0.14202431360559392</v>
      </c>
      <c r="J397" s="39">
        <f>(VLOOKUP($A397,'The List'!$B1:$AH727,22,FALSE)-AVERAGE('The List'!W2:W727))/STDEV('The List'!W2:W727)</f>
        <v>-0.65816250690894496</v>
      </c>
      <c r="K397" s="39">
        <f>(VLOOKUP($A397,'The List'!$B1:$AH727,23,FALSE)-AVERAGE('The List'!X2:X727))/STDEV('The List'!X2:X727)</f>
        <v>-0.5066682028447822</v>
      </c>
      <c r="L397" s="39">
        <f>(VLOOKUP($A397,'The List'!$B1:$AH727,24,FALSE)-AVERAGE('The List'!Y2:Y727))/STDEV('The List'!Y2:Y727)</f>
        <v>-0.5004542600771793</v>
      </c>
      <c r="M397" s="39">
        <f>(VLOOKUP($A397,'The List'!$B1:$AH727,25,FALSE)-AVERAGE('The List'!Z2:Z727))/STDEV('The List'!Z2:Z727)</f>
        <v>1.0979262420305447</v>
      </c>
      <c r="N397" s="39">
        <f>(VLOOKUP($A397,'The List'!$B1:$AH727,26,FALSE)-AVERAGE('The List'!AA2:AA727))/STDEV('The List'!AA2:AA727)</f>
        <v>2.4249275382933018</v>
      </c>
      <c r="O397" s="39">
        <f>(VLOOKUP($A397,'The List'!$B1:$AH727,27,FALSE)-AVERAGE('The List'!AB2:AB727))/STDEV('The List'!AB2:AB727)</f>
        <v>4.116106545952275E-2</v>
      </c>
      <c r="P397" s="39">
        <f>(VLOOKUP($A397,'The List'!$B1:$AH727,28,FALSE)-AVERAGE('The List'!AC2:AC727))/STDEV('The List'!AC2:AC727)</f>
        <v>-1.7499476645270191</v>
      </c>
      <c r="Q397" s="39">
        <f>(VLOOKUP($A397,'The List'!$B1:$AH727,29,FALSE)-AVERAGE('The List'!AD2:AD727))/STDEV('The List'!AD2:AD727)</f>
        <v>-6.7944474745163949E-2</v>
      </c>
      <c r="R397" s="39">
        <f>(VLOOKUP($A397,'The List'!$B1:$AH727,30,FALSE)-AVERAGE('The List'!AE2:AE727))/STDEV('The List'!AE2:AE727)</f>
        <v>-0.69721756324791073</v>
      </c>
      <c r="S397" s="39">
        <f>(VLOOKUP($A397,'The List'!$B1:$AH727,31,FALSE)-AVERAGE('The List'!AF2:AF727))/STDEV('The List'!AF2:AF727)</f>
        <v>-0.55804314905918151</v>
      </c>
      <c r="T397" s="39">
        <f>(VLOOKUP($A397,'The List'!$B1:$AH727,32,FALSE)-AVERAGE('The List'!AG2:AG727))/STDEV('The List'!AG2:AG727)</f>
        <v>-0.60188453558131205</v>
      </c>
      <c r="U397" s="39">
        <f>(VLOOKUP($A397,'The List'!$B1:$AH727,33,FALSE)-AVERAGE('The List'!AH2:AH727))/STDEV('The List'!AH2:AH727)</f>
        <v>-1.2395873372913611</v>
      </c>
      <c r="V397" s="39"/>
      <c r="W397" s="43"/>
      <c r="X397" s="41"/>
      <c r="Y397" s="41"/>
      <c r="Z397" s="41"/>
      <c r="AA397" s="41"/>
      <c r="AB397" s="41"/>
      <c r="AC397" s="44"/>
      <c r="AD397" s="45"/>
      <c r="AE397" s="39"/>
    </row>
    <row r="398" spans="1:31" ht="21.25" customHeight="1" x14ac:dyDescent="0.15">
      <c r="A398" s="8" t="s">
        <v>681</v>
      </c>
      <c r="B398" s="35" t="str">
        <f>VLOOKUP(A398,'Player Data'!A1:B734,2,FALSE)</f>
        <v>CHI</v>
      </c>
      <c r="C398" s="37">
        <f>((E398)*Settings!$C$12)+(F398*Settings!$C$2)+(G398*Settings!$C$3)+(H398*Settings!$C$4)+(I398*Settings!$C$5)+(K398*Settings!$C$9)+(N398*Settings!$C$6)+(J398*Settings!$C$8)+(O398*Settings!$C$7)+(P398*Settings!$C$14)+(Q398*Settings!$C$15)+(R398*Settings!$C$16)+(S398*Settings!$C$17)+(T398*Settings!$C$18)+(U398*Settings!$C$19)</f>
        <v>-3.7613982724994179</v>
      </c>
      <c r="D398" s="41">
        <f>IF(Settings!$E$12="YES",VLOOKUP(A398,'Player Data'!A1:E734,5,FALSE),82)</f>
        <v>77.837857142857104</v>
      </c>
      <c r="E398" s="39">
        <f>(VLOOKUP($A398,'The List'!$B1:$AH727,17,FALSE)-AVERAGE('The List'!R2:R727))/STDEV('The List'!R2:R727)</f>
        <v>-0.28918634429543449</v>
      </c>
      <c r="F398" s="39">
        <f>(VLOOKUP($A398,'The List'!$B1:$AH727,18,FALSE)-AVERAGE('The List'!S2:S727))/STDEV('The List'!S2:S727)</f>
        <v>-0.45311659852058594</v>
      </c>
      <c r="G398" s="39">
        <f>(VLOOKUP($A398,'The List'!$B1:$AH727,19,FALSE)-AVERAGE('The List'!T2:T727))/STDEV('The List'!T2:T727)</f>
        <v>-0.40639910879639746</v>
      </c>
      <c r="H398" s="39">
        <f>(VLOOKUP($A398,'The List'!$B1:$AH727,20,FALSE)-AVERAGE('The List'!U2:U727))/STDEV('The List'!U2:U727)</f>
        <v>-0.45662327964763899</v>
      </c>
      <c r="I398" s="39">
        <f>(VLOOKUP($A398,'The List'!$B1:$AH727,21,FALSE)-AVERAGE('The List'!V2:V727))/STDEV('The List'!V2:V727)</f>
        <v>-0.42732723028790282</v>
      </c>
      <c r="J398" s="39">
        <f>(VLOOKUP($A398,'The List'!$B1:$AH727,22,FALSE)-AVERAGE('The List'!W2:W727))/STDEV('The List'!W2:W727)</f>
        <v>-0.62788807402739455</v>
      </c>
      <c r="K398" s="39">
        <f>(VLOOKUP($A398,'The List'!$B1:$AH727,23,FALSE)-AVERAGE('The List'!X2:X727))/STDEV('The List'!X2:X727)</f>
        <v>-0.73726708788148476</v>
      </c>
      <c r="L398" s="39">
        <f>(VLOOKUP($A398,'The List'!$B1:$AH727,24,FALSE)-AVERAGE('The List'!Y2:Y727))/STDEV('The List'!Y2:Y727)</f>
        <v>-0.36761301813007291</v>
      </c>
      <c r="M398" s="39">
        <f>(VLOOKUP($A398,'The List'!$B1:$AH727,25,FALSE)-AVERAGE('The List'!Z2:Z727))/STDEV('The List'!Z2:Z727)</f>
        <v>2.4569619400405882</v>
      </c>
      <c r="N398" s="39">
        <f>(VLOOKUP($A398,'The List'!$B1:$AH727,26,FALSE)-AVERAGE('The List'!AA2:AA727))/STDEV('The List'!AA2:AA727)</f>
        <v>0.35901017803950225</v>
      </c>
      <c r="O398" s="39">
        <f>(VLOOKUP($A398,'The List'!$B1:$AH727,27,FALSE)-AVERAGE('The List'!AB2:AB727))/STDEV('The List'!AB2:AB727)</f>
        <v>0.45740719258720247</v>
      </c>
      <c r="P398" s="39">
        <f>(VLOOKUP($A398,'The List'!$B1:$AH727,28,FALSE)-AVERAGE('The List'!AC2:AC727))/STDEV('The List'!AC2:AC727)</f>
        <v>-2.0962984250525492</v>
      </c>
      <c r="Q398" s="39">
        <f>(VLOOKUP($A398,'The List'!$B1:$AH727,29,FALSE)-AVERAGE('The List'!AD2:AD727))/STDEV('The List'!AD2:AD727)</f>
        <v>-0.24412633923341737</v>
      </c>
      <c r="R398" s="39">
        <f>(VLOOKUP($A398,'The List'!$B1:$AH727,30,FALSE)-AVERAGE('The List'!AE2:AE727))/STDEV('The List'!AE2:AE727)</f>
        <v>-0.54852484719329897</v>
      </c>
      <c r="S398" s="39">
        <f>(VLOOKUP($A398,'The List'!$B1:$AH727,31,FALSE)-AVERAGE('The List'!AF2:AF727))/STDEV('The List'!AF2:AF727)</f>
        <v>0.97523933049754419</v>
      </c>
      <c r="T398" s="39">
        <f>(VLOOKUP($A398,'The List'!$B1:$AH727,32,FALSE)-AVERAGE('The List'!AG2:AG727))/STDEV('The List'!AG2:AG727)</f>
        <v>1.2870643421782779</v>
      </c>
      <c r="U398" s="39">
        <f>(VLOOKUP($A398,'The List'!$B1:$AH727,33,FALSE)-AVERAGE('The List'!AH2:AH727))/STDEV('The List'!AH2:AH727)</f>
        <v>0.84133558371907291</v>
      </c>
      <c r="V398" s="39"/>
      <c r="W398" s="43"/>
      <c r="X398" s="41"/>
      <c r="Y398" s="41"/>
      <c r="Z398" s="41"/>
      <c r="AA398" s="41"/>
      <c r="AB398" s="41"/>
      <c r="AC398" s="44"/>
      <c r="AD398" s="45"/>
      <c r="AE398" s="39"/>
    </row>
    <row r="399" spans="1:31" ht="21.25" customHeight="1" x14ac:dyDescent="0.15">
      <c r="A399" s="8" t="s">
        <v>730</v>
      </c>
      <c r="B399" s="35" t="str">
        <f>VLOOKUP(A399,'Player Data'!A1:B734,2,FALSE)</f>
        <v>MTL</v>
      </c>
      <c r="C399" s="37">
        <f>((E399)*Settings!$C$12)+(F399*Settings!$C$2)+(G399*Settings!$C$3)+(H399*Settings!$C$4)+(I399*Settings!$C$5)+(K399*Settings!$C$9)+(N399*Settings!$C$6)+(J399*Settings!$C$8)+(O399*Settings!$C$7)+(P399*Settings!$C$14)+(Q399*Settings!$C$15)+(R399*Settings!$C$16)+(S399*Settings!$C$17)+(T399*Settings!$C$18)+(U399*Settings!$C$19)</f>
        <v>-4.553866249360377</v>
      </c>
      <c r="D399" s="41">
        <f>IF(Settings!$E$12="YES",VLOOKUP(A399,'Player Data'!A1:E734,5,FALSE),82)</f>
        <v>74.367142857142895</v>
      </c>
      <c r="E399" s="39">
        <f>(VLOOKUP($A399,'The List'!$B1:$AH727,17,FALSE)-AVERAGE('The List'!R2:R727))/STDEV('The List'!R2:R727)</f>
        <v>-0.78850593732663987</v>
      </c>
      <c r="F399" s="39">
        <f>(VLOOKUP($A399,'The List'!$B1:$AH727,18,FALSE)-AVERAGE('The List'!S2:S727))/STDEV('The List'!S2:S727)</f>
        <v>-0.6314372462260982</v>
      </c>
      <c r="G399" s="39">
        <f>(VLOOKUP($A399,'The List'!$B1:$AH727,19,FALSE)-AVERAGE('The List'!T2:T727))/STDEV('The List'!T2:T727)</f>
        <v>-0.36045628521632289</v>
      </c>
      <c r="H399" s="39">
        <f>(VLOOKUP($A399,'The List'!$B1:$AH727,20,FALSE)-AVERAGE('The List'!U2:U727))/STDEV('The List'!U2:U727)</f>
        <v>-0.50945994208201117</v>
      </c>
      <c r="I399" s="39">
        <f>(VLOOKUP($A399,'The List'!$B1:$AH727,21,FALSE)-AVERAGE('The List'!V2:V727))/STDEV('The List'!V2:V727)</f>
        <v>-0.7432609273901275</v>
      </c>
      <c r="J399" s="39">
        <f>(VLOOKUP($A399,'The List'!$B1:$AH727,22,FALSE)-AVERAGE('The List'!W2:W727))/STDEV('The List'!W2:W727)</f>
        <v>-0.68675125401249559</v>
      </c>
      <c r="K399" s="39">
        <f>(VLOOKUP($A399,'The List'!$B1:$AH727,23,FALSE)-AVERAGE('The List'!X2:X727))/STDEV('The List'!X2:X727)</f>
        <v>-0.78385598392796363</v>
      </c>
      <c r="L399" s="39">
        <f>(VLOOKUP($A399,'The List'!$B1:$AH727,24,FALSE)-AVERAGE('The List'!Y2:Y727))/STDEV('The List'!Y2:Y727)</f>
        <v>7.5572050820635192E-3</v>
      </c>
      <c r="M399" s="39">
        <f>(VLOOKUP($A399,'The List'!$B1:$AH727,25,FALSE)-AVERAGE('The List'!Z2:Z727))/STDEV('The List'!Z2:Z727)</f>
        <v>1.7596978782246113</v>
      </c>
      <c r="N399" s="39">
        <f>(VLOOKUP($A399,'The List'!$B1:$AH727,26,FALSE)-AVERAGE('The List'!AA2:AA727))/STDEV('The List'!AA2:AA727)</f>
        <v>-0.33488835768404129</v>
      </c>
      <c r="O399" s="39">
        <f>(VLOOKUP($A399,'The List'!$B1:$AH727,27,FALSE)-AVERAGE('The List'!AB2:AB727))/STDEV('The List'!AB2:AB727)</f>
        <v>-0.63739583386702925</v>
      </c>
      <c r="P399" s="39">
        <f>(VLOOKUP($A399,'The List'!$B1:$AH727,28,FALSE)-AVERAGE('The List'!AC2:AC727))/STDEV('The List'!AC2:AC727)</f>
        <v>-1.6999674489158239</v>
      </c>
      <c r="Q399" s="39">
        <f>(VLOOKUP($A399,'The List'!$B1:$AH727,29,FALSE)-AVERAGE('The List'!AD2:AD727))/STDEV('The List'!AD2:AD727)</f>
        <v>-0.21795806819932004</v>
      </c>
      <c r="R399" s="39">
        <f>(VLOOKUP($A399,'The List'!$B1:$AH727,30,FALSE)-AVERAGE('The List'!AE2:AE727))/STDEV('The List'!AE2:AE727)</f>
        <v>-0.72316012266024299</v>
      </c>
      <c r="S399" s="39">
        <f>(VLOOKUP($A399,'The List'!$B1:$AH727,31,FALSE)-AVERAGE('The List'!AF2:AF727))/STDEV('The List'!AF2:AF727)</f>
        <v>1.4997679053669095</v>
      </c>
      <c r="T399" s="39">
        <f>(VLOOKUP($A399,'The List'!$B1:$AH727,32,FALSE)-AVERAGE('The List'!AG2:AG727))/STDEV('The List'!AG2:AG727)</f>
        <v>1.5041294801595768</v>
      </c>
      <c r="U399" s="39">
        <f>(VLOOKUP($A399,'The List'!$B1:$AH727,33,FALSE)-AVERAGE('The List'!AH2:AH727))/STDEV('The List'!AH2:AH727)</f>
        <v>1.0504298048174396</v>
      </c>
      <c r="V399" s="39"/>
      <c r="W399" s="41"/>
      <c r="X399" s="39"/>
      <c r="Y399" s="39"/>
      <c r="Z399" s="39"/>
      <c r="AA399" s="39"/>
      <c r="AB399" s="39"/>
      <c r="AC399" s="39"/>
      <c r="AD399" s="39"/>
      <c r="AE399" s="39"/>
    </row>
    <row r="400" spans="1:31" ht="21.25" customHeight="1" x14ac:dyDescent="0.15">
      <c r="A400" s="8" t="s">
        <v>687</v>
      </c>
      <c r="B400" s="35" t="str">
        <f>VLOOKUP(A400,'Player Data'!A1:B734,2,FALSE)</f>
        <v>SJS</v>
      </c>
      <c r="C400" s="37">
        <f>((E400)*Settings!$C$12)+(F400*Settings!$C$2)+(G400*Settings!$C$3)+(H400*Settings!$C$4)+(I400*Settings!$C$5)+(K400*Settings!$C$9)+(N400*Settings!$C$6)+(J400*Settings!$C$8)+(O400*Settings!$C$7)+(P400*Settings!$C$14)+(Q400*Settings!$C$15)+(R400*Settings!$C$16)+(S400*Settings!$C$17)+(T400*Settings!$C$18)+(U400*Settings!$C$19)</f>
        <v>-2.2626264116211172</v>
      </c>
      <c r="D400" s="41">
        <f>IF(Settings!$E$12="YES",VLOOKUP(A400,'Player Data'!A1:E734,5,FALSE),82)</f>
        <v>78.6314285714286</v>
      </c>
      <c r="E400" s="39">
        <f>(VLOOKUP($A400,'The List'!$B1:$AH727,17,FALSE)-AVERAGE('The List'!R2:R727))/STDEV('The List'!R2:R727)</f>
        <v>-0.7675549611325384</v>
      </c>
      <c r="F400" s="39">
        <f>(VLOOKUP($A400,'The List'!$B1:$AH727,18,FALSE)-AVERAGE('The List'!S2:S727))/STDEV('The List'!S2:S727)</f>
        <v>-1.5364210129888641E-2</v>
      </c>
      <c r="G400" s="39">
        <f>(VLOOKUP($A400,'The List'!$B1:$AH727,19,FALSE)-AVERAGE('The List'!T2:T727))/STDEV('The List'!T2:T727)</f>
        <v>-0.71696310271975805</v>
      </c>
      <c r="H400" s="39">
        <f>(VLOOKUP($A400,'The List'!$B1:$AH727,20,FALSE)-AVERAGE('The List'!U2:U727))/STDEV('The List'!U2:U727)</f>
        <v>-0.448790942686498</v>
      </c>
      <c r="I400" s="39">
        <f>(VLOOKUP($A400,'The List'!$B1:$AH727,21,FALSE)-AVERAGE('The List'!V2:V727))/STDEV('The List'!V2:V727)</f>
        <v>-0.21764691278604853</v>
      </c>
      <c r="J400" s="39">
        <f>(VLOOKUP($A400,'The List'!$B1:$AH727,22,FALSE)-AVERAGE('The List'!W2:W727))/STDEV('The List'!W2:W727)</f>
        <v>-0.64294702930461289</v>
      </c>
      <c r="K400" s="39">
        <f>(VLOOKUP($A400,'The List'!$B1:$AH727,23,FALSE)-AVERAGE('The List'!X2:X727))/STDEV('The List'!X2:X727)</f>
        <v>-0.73893375893661062</v>
      </c>
      <c r="L400" s="39">
        <f>(VLOOKUP($A400,'The List'!$B1:$AH727,24,FALSE)-AVERAGE('The List'!Y2:Y727))/STDEV('The List'!Y2:Y727)</f>
        <v>1.2295923797951138</v>
      </c>
      <c r="M400" s="39">
        <f>(VLOOKUP($A400,'The List'!$B1:$AH727,25,FALSE)-AVERAGE('The List'!Z2:Z727))/STDEV('The List'!Z2:Z727)</f>
        <v>0.48273634450425756</v>
      </c>
      <c r="N400" s="39">
        <f>(VLOOKUP($A400,'The List'!$B1:$AH727,26,FALSE)-AVERAGE('The List'!AA2:AA727))/STDEV('The List'!AA2:AA727)</f>
        <v>-0.40664376900820803</v>
      </c>
      <c r="O400" s="39">
        <f>(VLOOKUP($A400,'The List'!$B1:$AH727,27,FALSE)-AVERAGE('The List'!AB2:AB727))/STDEV('The List'!AB2:AB727)</f>
        <v>0.30888278458397839</v>
      </c>
      <c r="P400" s="39">
        <f>(VLOOKUP($A400,'The List'!$B1:$AH727,28,FALSE)-AVERAGE('The List'!AC2:AC727))/STDEV('The List'!AC2:AC727)</f>
        <v>-0.16707465804060337</v>
      </c>
      <c r="Q400" s="39">
        <f>(VLOOKUP($A400,'The List'!$B1:$AH727,29,FALSE)-AVERAGE('The List'!AD2:AD727))/STDEV('The List'!AD2:AD727)</f>
        <v>-0.54038430697316286</v>
      </c>
      <c r="R400" s="39">
        <f>(VLOOKUP($A400,'The List'!$B1:$AH727,30,FALSE)-AVERAGE('The List'!AE2:AE727))/STDEV('The List'!AE2:AE727)</f>
        <v>-0.17803254272301838</v>
      </c>
      <c r="S400" s="39">
        <f>(VLOOKUP($A400,'The List'!$B1:$AH727,31,FALSE)-AVERAGE('The List'!AF2:AF727))/STDEV('The List'!AF2:AF727)</f>
        <v>1.5657473154788266</v>
      </c>
      <c r="T400" s="39">
        <f>(VLOOKUP($A400,'The List'!$B1:$AH727,32,FALSE)-AVERAGE('The List'!AG2:AG727))/STDEV('The List'!AG2:AG727)</f>
        <v>1.2912376499283524</v>
      </c>
      <c r="U400" s="39">
        <f>(VLOOKUP($A400,'The List'!$B1:$AH727,33,FALSE)-AVERAGE('The List'!AH2:AH727))/STDEV('The List'!AH2:AH727)</f>
        <v>1.2060177824318232</v>
      </c>
      <c r="V400" s="39"/>
      <c r="W400" s="41"/>
      <c r="X400" s="39"/>
      <c r="Y400" s="39"/>
      <c r="Z400" s="39"/>
      <c r="AA400" s="39"/>
      <c r="AB400" s="39"/>
      <c r="AC400" s="39"/>
      <c r="AD400" s="39"/>
      <c r="AE400" s="39"/>
    </row>
    <row r="401" spans="1:31" ht="21.25" customHeight="1" x14ac:dyDescent="0.15">
      <c r="A401" s="8" t="s">
        <v>714</v>
      </c>
      <c r="B401" s="35" t="str">
        <f>VLOOKUP(A401,'Player Data'!A1:B734,2,FALSE)</f>
        <v>TOR</v>
      </c>
      <c r="C401" s="37">
        <f>((E401)*Settings!$C$12)+(F401*Settings!$C$2)+(G401*Settings!$C$3)+(H401*Settings!$C$4)+(I401*Settings!$C$5)+(K401*Settings!$C$9)+(N401*Settings!$C$6)+(J401*Settings!$C$8)+(O401*Settings!$C$7)+(P401*Settings!$C$14)+(Q401*Settings!$C$15)+(R401*Settings!$C$16)+(S401*Settings!$C$17)+(T401*Settings!$C$18)+(U401*Settings!$C$19)</f>
        <v>-2.4187039771152459</v>
      </c>
      <c r="D401" s="41">
        <f>IF(Settings!$E$12="YES",VLOOKUP(A401,'Player Data'!A1:E734,5,FALSE),82)</f>
        <v>73.103571428571399</v>
      </c>
      <c r="E401" s="39">
        <f>(VLOOKUP($A401,'The List'!$B1:$AH727,17,FALSE)-AVERAGE('The List'!R2:R727))/STDEV('The List'!R2:R727)</f>
        <v>-0.72913090280150594</v>
      </c>
      <c r="F401" s="39">
        <f>(VLOOKUP($A401,'The List'!$B1:$AH727,18,FALSE)-AVERAGE('The List'!S2:S727))/STDEV('The List'!S2:S727)</f>
        <v>-0.3272835189574011</v>
      </c>
      <c r="G401" s="39">
        <f>(VLOOKUP($A401,'The List'!$B1:$AH727,19,FALSE)-AVERAGE('The List'!T2:T727))/STDEV('The List'!T2:T727)</f>
        <v>-0.62182952114301571</v>
      </c>
      <c r="H401" s="39">
        <f>(VLOOKUP($A401,'The List'!$B1:$AH727,20,FALSE)-AVERAGE('The List'!U2:U727))/STDEV('The List'!U2:U727)</f>
        <v>-0.53211155802645727</v>
      </c>
      <c r="I401" s="39">
        <f>(VLOOKUP($A401,'The List'!$B1:$AH727,21,FALSE)-AVERAGE('The List'!V2:V727))/STDEV('The List'!V2:V727)</f>
        <v>-0.47184249846847687</v>
      </c>
      <c r="J401" s="39">
        <f>(VLOOKUP($A401,'The List'!$B1:$AH727,22,FALSE)-AVERAGE('The List'!W2:W727))/STDEV('The List'!W2:W727)</f>
        <v>-0.66812518275596766</v>
      </c>
      <c r="K401" s="39">
        <f>(VLOOKUP($A401,'The List'!$B1:$AH727,23,FALSE)-AVERAGE('The List'!X2:X727))/STDEV('The List'!X2:X727)</f>
        <v>-0.75813382552171371</v>
      </c>
      <c r="L401" s="39">
        <f>(VLOOKUP($A401,'The List'!$B1:$AH727,24,FALSE)-AVERAGE('The List'!Y2:Y727))/STDEV('The List'!Y2:Y727)</f>
        <v>4.0005153378781833</v>
      </c>
      <c r="M401" s="39">
        <f>(VLOOKUP($A401,'The List'!$B1:$AH727,25,FALSE)-AVERAGE('The List'!Z2:Z727))/STDEV('The List'!Z2:Z727)</f>
        <v>2.9021734417858935</v>
      </c>
      <c r="N401" s="39">
        <f>(VLOOKUP($A401,'The List'!$B1:$AH727,26,FALSE)-AVERAGE('The List'!AA2:AA727))/STDEV('The List'!AA2:AA727)</f>
        <v>-0.62168552895339857</v>
      </c>
      <c r="O401" s="39">
        <f>(VLOOKUP($A401,'The List'!$B1:$AH727,27,FALSE)-AVERAGE('The List'!AB2:AB727))/STDEV('The List'!AB2:AB727)</f>
        <v>0.92728892783552275</v>
      </c>
      <c r="P401" s="39">
        <f>(VLOOKUP($A401,'The List'!$B1:$AH727,28,FALSE)-AVERAGE('The List'!AC2:AC727))/STDEV('The List'!AC2:AC727)</f>
        <v>0.38207091592876002</v>
      </c>
      <c r="Q401" s="39">
        <f>(VLOOKUP($A401,'The List'!$B1:$AH727,29,FALSE)-AVERAGE('The List'!AD2:AD727))/STDEV('The List'!AD2:AD727)</f>
        <v>0.53680024801242909</v>
      </c>
      <c r="R401" s="39">
        <f>(VLOOKUP($A401,'The List'!$B1:$AH727,30,FALSE)-AVERAGE('The List'!AE2:AE727))/STDEV('The List'!AE2:AE727)</f>
        <v>-0.17771597698512751</v>
      </c>
      <c r="S401" s="39">
        <f>(VLOOKUP($A401,'The List'!$B1:$AH727,31,FALSE)-AVERAGE('The List'!AF2:AF727))/STDEV('The List'!AF2:AF727)</f>
        <v>0.50679362678218209</v>
      </c>
      <c r="T401" s="39">
        <f>(VLOOKUP($A401,'The List'!$B1:$AH727,32,FALSE)-AVERAGE('The List'!AG2:AG727))/STDEV('The List'!AG2:AG727)</f>
        <v>0.61985470113829921</v>
      </c>
      <c r="U401" s="39">
        <f>(VLOOKUP($A401,'The List'!$B1:$AH727,33,FALSE)-AVERAGE('The List'!AH2:AH727))/STDEV('The List'!AH2:AH727)</f>
        <v>0.9213953532747724</v>
      </c>
      <c r="V401" s="39"/>
      <c r="W401" s="43"/>
      <c r="X401" s="41"/>
      <c r="Y401" s="41"/>
      <c r="Z401" s="41"/>
      <c r="AA401" s="41"/>
      <c r="AB401" s="41"/>
      <c r="AC401" s="44"/>
      <c r="AD401" s="45"/>
      <c r="AE401" s="39"/>
    </row>
    <row r="402" spans="1:31" ht="21.25" customHeight="1" x14ac:dyDescent="0.15">
      <c r="A402" s="8" t="s">
        <v>397</v>
      </c>
      <c r="B402" s="35" t="str">
        <f>VLOOKUP(A402,'Player Data'!A1:B734,2,FALSE)</f>
        <v>TBL</v>
      </c>
      <c r="C402" s="37">
        <f>((E402)*Settings!$C$12)+(F402*Settings!$C$2)+(G402*Settings!$C$3)+(H402*Settings!$C$4)+(I402*Settings!$C$5)+(K402*Settings!$C$9)+(N402*Settings!$C$6)+(J402*Settings!$C$8)+(O402*Settings!$C$7)+(P402*Settings!$C$14)+(Q402*Settings!$C$15)+(R402*Settings!$C$16)+(S402*Settings!$C$17)+(T402*Settings!$C$18)+(U402*Settings!$C$19)</f>
        <v>-0.88776797618664172</v>
      </c>
      <c r="D402" s="41">
        <f>IF(Settings!$E$12="YES",VLOOKUP(A402,'Player Data'!A1:E734,5,FALSE),82)</f>
        <v>78.2</v>
      </c>
      <c r="E402" s="39">
        <f>(VLOOKUP($A402,'The List'!$B1:$AH727,17,FALSE)-AVERAGE('The List'!R2:R727))/STDEV('The List'!R2:R727)</f>
        <v>0.17883974046334516</v>
      </c>
      <c r="F402" s="39">
        <f>(VLOOKUP($A402,'The List'!$B1:$AH727,18,FALSE)-AVERAGE('The List'!S2:S727))/STDEV('The List'!S2:S727)</f>
        <v>-0.68805766489820686</v>
      </c>
      <c r="G402" s="39">
        <f>(VLOOKUP($A402,'The List'!$B1:$AH727,19,FALSE)-AVERAGE('The List'!T2:T727))/STDEV('The List'!T2:T727)</f>
        <v>-0.23602541294004395</v>
      </c>
      <c r="H402" s="39">
        <f>(VLOOKUP($A402,'The List'!$B1:$AH727,20,FALSE)-AVERAGE('The List'!U2:U727))/STDEV('The List'!U2:U727)</f>
        <v>-0.45855032643014715</v>
      </c>
      <c r="I402" s="39">
        <f>(VLOOKUP($A402,'The List'!$B1:$AH727,21,FALSE)-AVERAGE('The List'!V2:V727))/STDEV('The List'!V2:V727)</f>
        <v>2.156750461789653E-2</v>
      </c>
      <c r="J402" s="39">
        <f>(VLOOKUP($A402,'The List'!$B1:$AH727,22,FALSE)-AVERAGE('The List'!W2:W727))/STDEV('The List'!W2:W727)</f>
        <v>-0.70571677840616265</v>
      </c>
      <c r="K402" s="39">
        <f>(VLOOKUP($A402,'The List'!$B1:$AH727,23,FALSE)-AVERAGE('The List'!X2:X727))/STDEV('The List'!X2:X727)</f>
        <v>-0.78507023978723955</v>
      </c>
      <c r="L402" s="39">
        <f>(VLOOKUP($A402,'The List'!$B1:$AH727,24,FALSE)-AVERAGE('The List'!Y2:Y727))/STDEV('The List'!Y2:Y727)</f>
        <v>-0.53474000253855969</v>
      </c>
      <c r="M402" s="39">
        <f>(VLOOKUP($A402,'The List'!$B1:$AH727,25,FALSE)-AVERAGE('The List'!Z2:Z727))/STDEV('The List'!Z2:Z727)</f>
        <v>-0.70252838350282132</v>
      </c>
      <c r="N402" s="39">
        <f>(VLOOKUP($A402,'The List'!$B1:$AH727,26,FALSE)-AVERAGE('The List'!AA2:AA727))/STDEV('The List'!AA2:AA727)</f>
        <v>0.77571611834649379</v>
      </c>
      <c r="O402" s="39">
        <f>(VLOOKUP($A402,'The List'!$B1:$AH727,27,FALSE)-AVERAGE('The List'!AB2:AB727))/STDEV('The List'!AB2:AB727)</f>
        <v>0.14167240026159164</v>
      </c>
      <c r="P402" s="39">
        <f>(VLOOKUP($A402,'The List'!$B1:$AH727,28,FALSE)-AVERAGE('The List'!AC2:AC727))/STDEV('The List'!AC2:AC727)</f>
        <v>2.4101718474458259E-2</v>
      </c>
      <c r="Q402" s="39">
        <f>(VLOOKUP($A402,'The List'!$B1:$AH727,29,FALSE)-AVERAGE('The List'!AD2:AD727))/STDEV('The List'!AD2:AD727)</f>
        <v>-9.3823346499308513E-2</v>
      </c>
      <c r="R402" s="39">
        <f>(VLOOKUP($A402,'The List'!$B1:$AH727,30,FALSE)-AVERAGE('The List'!AE2:AE727))/STDEV('The List'!AE2:AE727)</f>
        <v>-0.57273254343962987</v>
      </c>
      <c r="S402" s="39">
        <f>(VLOOKUP($A402,'The List'!$B1:$AH727,31,FALSE)-AVERAGE('The List'!AF2:AF727))/STDEV('The List'!AF2:AF727)</f>
        <v>-0.55804314905918151</v>
      </c>
      <c r="T402" s="39">
        <f>(VLOOKUP($A402,'The List'!$B1:$AH727,32,FALSE)-AVERAGE('The List'!AG2:AG727))/STDEV('The List'!AG2:AG727)</f>
        <v>-0.60188453558131205</v>
      </c>
      <c r="U402" s="39">
        <f>(VLOOKUP($A402,'The List'!$B1:$AH727,33,FALSE)-AVERAGE('The List'!AH2:AH727))/STDEV('The List'!AH2:AH727)</f>
        <v>-1.2395873372913611</v>
      </c>
      <c r="V402" s="39"/>
      <c r="W402" s="43"/>
      <c r="X402" s="41"/>
      <c r="Y402" s="41"/>
      <c r="Z402" s="41"/>
      <c r="AA402" s="41"/>
      <c r="AB402" s="41"/>
      <c r="AC402" s="44"/>
      <c r="AD402" s="45"/>
      <c r="AE402" s="39"/>
    </row>
    <row r="403" spans="1:31" ht="21.25" customHeight="1" x14ac:dyDescent="0.15">
      <c r="A403" s="8" t="s">
        <v>428</v>
      </c>
      <c r="B403" s="35" t="str">
        <f>VLOOKUP(A403,'Player Data'!A1:B734,2,FALSE)</f>
        <v>TOR</v>
      </c>
      <c r="C403" s="37">
        <f>((E403)*Settings!$C$12)+(F403*Settings!$C$2)+(G403*Settings!$C$3)+(H403*Settings!$C$4)+(I403*Settings!$C$5)+(K403*Settings!$C$9)+(N403*Settings!$C$6)+(J403*Settings!$C$8)+(O403*Settings!$C$7)+(P403*Settings!$C$14)+(Q403*Settings!$C$15)+(R403*Settings!$C$16)+(S403*Settings!$C$17)+(T403*Settings!$C$18)+(U403*Settings!$C$19)</f>
        <v>0.60243333892615158</v>
      </c>
      <c r="D403" s="41">
        <f>IF(Settings!$E$12="YES",VLOOKUP(A403,'Player Data'!A1:E734,5,FALSE),82)</f>
        <v>74.680000000000007</v>
      </c>
      <c r="E403" s="39">
        <f>(VLOOKUP($A403,'The List'!$B1:$AH727,17,FALSE)-AVERAGE('The List'!R2:R727))/STDEV('The List'!R2:R727)</f>
        <v>0.65668472207482131</v>
      </c>
      <c r="F403" s="39">
        <f>(VLOOKUP($A403,'The List'!$B1:$AH727,18,FALSE)-AVERAGE('The List'!S2:S727))/STDEV('The List'!S2:S727)</f>
        <v>-0.66414929640697429</v>
      </c>
      <c r="G403" s="39">
        <f>(VLOOKUP($A403,'The List'!$B1:$AH727,19,FALSE)-AVERAGE('The List'!T2:T727))/STDEV('The List'!T2:T727)</f>
        <v>-0.34483944725155352</v>
      </c>
      <c r="H403" s="39">
        <f>(VLOOKUP($A403,'The List'!$B1:$AH727,20,FALSE)-AVERAGE('The List'!U2:U727))/STDEV('The List'!U2:U727)</f>
        <v>-0.51472273256264378</v>
      </c>
      <c r="I403" s="39">
        <f>(VLOOKUP($A403,'The List'!$B1:$AH727,21,FALSE)-AVERAGE('The List'!V2:V727))/STDEV('The List'!V2:V727)</f>
        <v>-0.52150689574356068</v>
      </c>
      <c r="J403" s="39">
        <f>(VLOOKUP($A403,'The List'!$B1:$AH727,22,FALSE)-AVERAGE('The List'!W2:W727))/STDEV('The List'!W2:W727)</f>
        <v>-0.65323434461305607</v>
      </c>
      <c r="K403" s="39">
        <f>(VLOOKUP($A403,'The List'!$B1:$AH727,23,FALSE)-AVERAGE('The List'!X2:X727))/STDEV('The List'!X2:X727)</f>
        <v>-0.69964403390251184</v>
      </c>
      <c r="L403" s="39">
        <f>(VLOOKUP($A403,'The List'!$B1:$AH727,24,FALSE)-AVERAGE('The List'!Y2:Y727))/STDEV('The List'!Y2:Y727)</f>
        <v>0.77486584229180566</v>
      </c>
      <c r="M403" s="39">
        <f>(VLOOKUP($A403,'The List'!$B1:$AH727,25,FALSE)-AVERAGE('The List'!Z2:Z727))/STDEV('The List'!Z2:Z727)</f>
        <v>1.0076188568772717</v>
      </c>
      <c r="N403" s="39">
        <f>(VLOOKUP($A403,'The List'!$B1:$AH727,26,FALSE)-AVERAGE('The List'!AA2:AA727))/STDEV('The List'!AA2:AA727)</f>
        <v>1.2160452909704216</v>
      </c>
      <c r="O403" s="39">
        <f>(VLOOKUP($A403,'The List'!$B1:$AH727,27,FALSE)-AVERAGE('The List'!AB2:AB727))/STDEV('The List'!AB2:AB727)</f>
        <v>0.68012643633886127</v>
      </c>
      <c r="P403" s="39">
        <f>(VLOOKUP($A403,'The List'!$B1:$AH727,28,FALSE)-AVERAGE('The List'!AC2:AC727))/STDEV('The List'!AC2:AC727)</f>
        <v>1.6165277212603304</v>
      </c>
      <c r="Q403" s="39">
        <f>(VLOOKUP($A403,'The List'!$B1:$AH727,29,FALSE)-AVERAGE('The List'!AD2:AD727))/STDEV('The List'!AD2:AD727)</f>
        <v>9.4018070870130997E-3</v>
      </c>
      <c r="R403" s="39">
        <f>(VLOOKUP($A403,'The List'!$B1:$AH727,30,FALSE)-AVERAGE('The List'!AE2:AE727))/STDEV('The List'!AE2:AE727)</f>
        <v>-0.53121970916016059</v>
      </c>
      <c r="S403" s="39">
        <f>(VLOOKUP($A403,'The List'!$B1:$AH727,31,FALSE)-AVERAGE('The List'!AF2:AF727))/STDEV('The List'!AF2:AF727)</f>
        <v>-0.55804314905918151</v>
      </c>
      <c r="T403" s="39">
        <f>(VLOOKUP($A403,'The List'!$B1:$AH727,32,FALSE)-AVERAGE('The List'!AG2:AG727))/STDEV('The List'!AG2:AG727)</f>
        <v>-0.60188453558131205</v>
      </c>
      <c r="U403" s="39">
        <f>(VLOOKUP($A403,'The List'!$B1:$AH727,33,FALSE)-AVERAGE('The List'!AH2:AH727))/STDEV('The List'!AH2:AH727)</f>
        <v>-1.2395873372913611</v>
      </c>
      <c r="V403" s="39"/>
      <c r="W403" s="43"/>
      <c r="X403" s="41"/>
      <c r="Y403" s="41"/>
      <c r="Z403" s="41"/>
      <c r="AA403" s="41"/>
      <c r="AB403" s="41"/>
      <c r="AC403" s="44"/>
      <c r="AD403" s="45"/>
      <c r="AE403" s="39"/>
    </row>
    <row r="404" spans="1:31" ht="21.25" customHeight="1" x14ac:dyDescent="0.15">
      <c r="A404" s="8" t="s">
        <v>657</v>
      </c>
      <c r="B404" s="35" t="str">
        <f>VLOOKUP(A404,'Player Data'!A1:B734,2,FALSE)</f>
        <v>NSH</v>
      </c>
      <c r="C404" s="37">
        <f>((E404)*Settings!$C$12)+(F404*Settings!$C$2)+(G404*Settings!$C$3)+(H404*Settings!$C$4)+(I404*Settings!$C$5)+(K404*Settings!$C$9)+(N404*Settings!$C$6)+(J404*Settings!$C$8)+(O404*Settings!$C$7)+(P404*Settings!$C$14)+(Q404*Settings!$C$15)+(R404*Settings!$C$16)+(S404*Settings!$C$17)+(T404*Settings!$C$18)+(U404*Settings!$C$19)</f>
        <v>-2.593182536813178</v>
      </c>
      <c r="D404" s="41">
        <f>IF(Settings!$E$12="YES",VLOOKUP(A404,'Player Data'!A1:E734,5,FALSE),82)</f>
        <v>79.256785714285698</v>
      </c>
      <c r="E404" s="39">
        <f>(VLOOKUP($A404,'The List'!$B1:$AH727,17,FALSE)-AVERAGE('The List'!R2:R727))/STDEV('The List'!R2:R727)</f>
        <v>-0.45617798879267885</v>
      </c>
      <c r="F404" s="39">
        <f>(VLOOKUP($A404,'The List'!$B1:$AH727,18,FALSE)-AVERAGE('The List'!S2:S727))/STDEV('The List'!S2:S727)</f>
        <v>8.0629144299366268E-2</v>
      </c>
      <c r="G404" s="39">
        <f>(VLOOKUP($A404,'The List'!$B1:$AH727,19,FALSE)-AVERAGE('The List'!T2:T727))/STDEV('The List'!T2:T727)</f>
        <v>-0.79001140515807711</v>
      </c>
      <c r="H404" s="39">
        <f>(VLOOKUP($A404,'The List'!$B1:$AH727,20,FALSE)-AVERAGE('The List'!U2:U727))/STDEV('The List'!U2:U727)</f>
        <v>-0.45012099609275164</v>
      </c>
      <c r="I404" s="39">
        <f>(VLOOKUP($A404,'The List'!$B1:$AH727,21,FALSE)-AVERAGE('The List'!V2:V727))/STDEV('The List'!V2:V727)</f>
        <v>9.1238128098041105E-2</v>
      </c>
      <c r="J404" s="39">
        <f>(VLOOKUP($A404,'The List'!$B1:$AH727,22,FALSE)-AVERAGE('The List'!W2:W727))/STDEV('The List'!W2:W727)</f>
        <v>-0.66108571268516625</v>
      </c>
      <c r="K404" s="39">
        <f>(VLOOKUP($A404,'The List'!$B1:$AH727,23,FALSE)-AVERAGE('The List'!X2:X727))/STDEV('The List'!X2:X727)</f>
        <v>-0.71087315125245332</v>
      </c>
      <c r="L404" s="39">
        <f>(VLOOKUP($A404,'The List'!$B1:$AH727,24,FALSE)-AVERAGE('The List'!Y2:Y727))/STDEV('The List'!Y2:Y727)</f>
        <v>1.7934790055948837</v>
      </c>
      <c r="M404" s="39">
        <f>(VLOOKUP($A404,'The List'!$B1:$AH727,25,FALSE)-AVERAGE('The List'!Z2:Z727))/STDEV('The List'!Z2:Z727)</f>
        <v>0.84467727092061606</v>
      </c>
      <c r="N404" s="39">
        <f>(VLOOKUP($A404,'The List'!$B1:$AH727,26,FALSE)-AVERAGE('The List'!AA2:AA727))/STDEV('The List'!AA2:AA727)</f>
        <v>-0.66231758748029135</v>
      </c>
      <c r="O404" s="39">
        <f>(VLOOKUP($A404,'The List'!$B1:$AH727,27,FALSE)-AVERAGE('The List'!AB2:AB727))/STDEV('The List'!AB2:AB727)</f>
        <v>1.579531755664078</v>
      </c>
      <c r="P404" s="39">
        <f>(VLOOKUP($A404,'The List'!$B1:$AH727,28,FALSE)-AVERAGE('The List'!AC2:AC727))/STDEV('The List'!AC2:AC727)</f>
        <v>-0.60184766531976353</v>
      </c>
      <c r="Q404" s="39">
        <f>(VLOOKUP($A404,'The List'!$B1:$AH727,29,FALSE)-AVERAGE('The List'!AD2:AD727))/STDEV('The List'!AD2:AD727)</f>
        <v>0.59413828281601189</v>
      </c>
      <c r="R404" s="39">
        <f>(VLOOKUP($A404,'The List'!$B1:$AH727,30,FALSE)-AVERAGE('The List'!AE2:AE727))/STDEV('The List'!AE2:AE727)</f>
        <v>0.11903435024254357</v>
      </c>
      <c r="S404" s="39">
        <f>(VLOOKUP($A404,'The List'!$B1:$AH727,31,FALSE)-AVERAGE('The List'!AF2:AF727))/STDEV('The List'!AF2:AF727)</f>
        <v>-0.4948405554735047</v>
      </c>
      <c r="T404" s="39">
        <f>(VLOOKUP($A404,'The List'!$B1:$AH727,32,FALSE)-AVERAGE('The List'!AG2:AG727))/STDEV('The List'!AG2:AG727)</f>
        <v>-0.48552349327248595</v>
      </c>
      <c r="U404" s="39">
        <f>(VLOOKUP($A404,'The List'!$B1:$AH727,33,FALSE)-AVERAGE('The List'!AH2:AH727))/STDEV('The List'!AH2:AH727)</f>
        <v>0.40320989464274565</v>
      </c>
      <c r="V404" s="39"/>
      <c r="W404" s="43"/>
      <c r="X404" s="41"/>
      <c r="Y404" s="41"/>
      <c r="Z404" s="41"/>
      <c r="AA404" s="41"/>
      <c r="AB404" s="41"/>
      <c r="AC404" s="44"/>
      <c r="AD404" s="45"/>
      <c r="AE404" s="39"/>
    </row>
    <row r="405" spans="1:31" ht="21.25" customHeight="1" x14ac:dyDescent="0.15">
      <c r="A405" s="8" t="s">
        <v>401</v>
      </c>
      <c r="B405" s="35" t="str">
        <f>VLOOKUP(A405,'Player Data'!A1:B734,2,FALSE)</f>
        <v>WSH</v>
      </c>
      <c r="C405" s="37">
        <f>((E405)*Settings!$C$12)+(F405*Settings!$C$2)+(G405*Settings!$C$3)+(H405*Settings!$C$4)+(I405*Settings!$C$5)+(K405*Settings!$C$9)+(N405*Settings!$C$6)+(J405*Settings!$C$8)+(O405*Settings!$C$7)+(P405*Settings!$C$14)+(Q405*Settings!$C$15)+(R405*Settings!$C$16)+(S405*Settings!$C$17)+(T405*Settings!$C$18)+(U405*Settings!$C$19)</f>
        <v>-0.89804054212105844</v>
      </c>
      <c r="D405" s="41">
        <f>IF(Settings!$E$12="YES",VLOOKUP(A405,'Player Data'!A1:E734,5,FALSE),82)</f>
        <v>79.55</v>
      </c>
      <c r="E405" s="39">
        <f>(VLOOKUP($A405,'The List'!$B1:$AH727,17,FALSE)-AVERAGE('The List'!R2:R727))/STDEV('The List'!R2:R727)</f>
        <v>1.1593549425273948</v>
      </c>
      <c r="F405" s="39">
        <f>(VLOOKUP($A405,'The List'!$B1:$AH727,18,FALSE)-AVERAGE('The List'!S2:S727))/STDEV('The List'!S2:S727)</f>
        <v>-0.82500762228793556</v>
      </c>
      <c r="G405" s="39">
        <f>(VLOOKUP($A405,'The List'!$B1:$AH727,19,FALSE)-AVERAGE('The List'!T2:T727))/STDEV('The List'!T2:T727)</f>
        <v>-0.13051044876094686</v>
      </c>
      <c r="H405" s="39">
        <f>(VLOOKUP($A405,'The List'!$B1:$AH727,20,FALSE)-AVERAGE('The List'!U2:U727))/STDEV('The List'!U2:U727)</f>
        <v>-0.45585183437057397</v>
      </c>
      <c r="I405" s="39">
        <f>(VLOOKUP($A405,'The List'!$B1:$AH727,21,FALSE)-AVERAGE('The List'!V2:V727))/STDEV('The List'!V2:V727)</f>
        <v>-0.35816186846990822</v>
      </c>
      <c r="J405" s="39">
        <f>(VLOOKUP($A405,'The List'!$B1:$AH727,22,FALSE)-AVERAGE('The List'!W2:W727))/STDEV('The List'!W2:W727)</f>
        <v>-0.70813032593123004</v>
      </c>
      <c r="K405" s="39">
        <f>(VLOOKUP($A405,'The List'!$B1:$AH727,23,FALSE)-AVERAGE('The List'!X2:X727))/STDEV('The List'!X2:X727)</f>
        <v>-0.79095067610875547</v>
      </c>
      <c r="L405" s="39">
        <f>(VLOOKUP($A405,'The List'!$B1:$AH727,24,FALSE)-AVERAGE('The List'!Y2:Y727))/STDEV('The List'!Y2:Y727)</f>
        <v>-0.50234913155931327</v>
      </c>
      <c r="M405" s="39">
        <f>(VLOOKUP($A405,'The List'!$B1:$AH727,25,FALSE)-AVERAGE('The List'!Z2:Z727))/STDEV('The List'!Z2:Z727)</f>
        <v>-5.2798150812783488E-2</v>
      </c>
      <c r="N405" s="39">
        <f>(VLOOKUP($A405,'The List'!$B1:$AH727,26,FALSE)-AVERAGE('The List'!AA2:AA727))/STDEV('The List'!AA2:AA727)</f>
        <v>1.7900733536147007</v>
      </c>
      <c r="O405" s="39">
        <f>(VLOOKUP($A405,'The List'!$B1:$AH727,27,FALSE)-AVERAGE('The List'!AB2:AB727))/STDEV('The List'!AB2:AB727)</f>
        <v>0.69713819721595305</v>
      </c>
      <c r="P405" s="39">
        <f>(VLOOKUP($A405,'The List'!$B1:$AH727,28,FALSE)-AVERAGE('The List'!AC2:AC727))/STDEV('The List'!AC2:AC727)</f>
        <v>-0.58348328010821304</v>
      </c>
      <c r="Q405" s="39">
        <f>(VLOOKUP($A405,'The List'!$B1:$AH727,29,FALSE)-AVERAGE('The List'!AD2:AD727))/STDEV('The List'!AD2:AD727)</f>
        <v>-0.47321714512036844</v>
      </c>
      <c r="R405" s="39">
        <f>(VLOOKUP($A405,'The List'!$B1:$AH727,30,FALSE)-AVERAGE('The List'!AE2:AE727))/STDEV('The List'!AE2:AE727)</f>
        <v>-0.81534555325974667</v>
      </c>
      <c r="S405" s="39">
        <f>(VLOOKUP($A405,'The List'!$B1:$AH727,31,FALSE)-AVERAGE('The List'!AF2:AF727))/STDEV('The List'!AF2:AF727)</f>
        <v>-0.55804314905918151</v>
      </c>
      <c r="T405" s="39">
        <f>(VLOOKUP($A405,'The List'!$B1:$AH727,32,FALSE)-AVERAGE('The List'!AG2:AG727))/STDEV('The List'!AG2:AG727)</f>
        <v>-0.60188453558131205</v>
      </c>
      <c r="U405" s="39">
        <f>(VLOOKUP($A405,'The List'!$B1:$AH727,33,FALSE)-AVERAGE('The List'!AH2:AH727))/STDEV('The List'!AH2:AH727)</f>
        <v>-1.2395873372913611</v>
      </c>
      <c r="V405" s="39"/>
      <c r="W405" s="43"/>
      <c r="X405" s="41"/>
      <c r="Y405" s="41"/>
      <c r="Z405" s="41"/>
      <c r="AA405" s="41"/>
      <c r="AB405" s="41"/>
      <c r="AC405" s="44"/>
      <c r="AD405" s="45"/>
      <c r="AE405" s="39"/>
    </row>
    <row r="406" spans="1:31" ht="21.25" customHeight="1" x14ac:dyDescent="0.15">
      <c r="A406" s="8" t="s">
        <v>740</v>
      </c>
      <c r="B406" s="35" t="str">
        <f>VLOOKUP(A406,'Player Data'!A1:B734,2,FALSE)</f>
        <v>ARI</v>
      </c>
      <c r="C406" s="37">
        <f>((E406)*Settings!$C$12)+(F406*Settings!$C$2)+(G406*Settings!$C$3)+(H406*Settings!$C$4)+(I406*Settings!$C$5)+(K406*Settings!$C$9)+(N406*Settings!$C$6)+(J406*Settings!$C$8)+(O406*Settings!$C$7)+(P406*Settings!$C$14)+(Q406*Settings!$C$15)+(R406*Settings!$C$16)+(S406*Settings!$C$17)+(T406*Settings!$C$18)+(U406*Settings!$C$19)</f>
        <v>-4.0837787972877759</v>
      </c>
      <c r="D406" s="41">
        <f>IF(Settings!$E$12="YES",VLOOKUP(A406,'Player Data'!A1:E734,5,FALSE),82)</f>
        <v>77</v>
      </c>
      <c r="E406" s="39">
        <f>(VLOOKUP($A406,'The List'!$B1:$AH727,17,FALSE)-AVERAGE('The List'!R2:R727))/STDEV('The List'!R2:R727)</f>
        <v>-0.92193176032364954</v>
      </c>
      <c r="F406" s="39">
        <f>(VLOOKUP($A406,'The List'!$B1:$AH727,18,FALSE)-AVERAGE('The List'!S2:S727))/STDEV('The List'!S2:S727)</f>
        <v>-0.15171584926564813</v>
      </c>
      <c r="G406" s="39">
        <f>(VLOOKUP($A406,'The List'!$B1:$AH727,19,FALSE)-AVERAGE('The List'!T2:T727))/STDEV('The List'!T2:T727)</f>
        <v>-0.69154589442411696</v>
      </c>
      <c r="H406" s="39">
        <f>(VLOOKUP($A406,'The List'!$B1:$AH727,20,FALSE)-AVERAGE('The List'!U2:U727))/STDEV('The List'!U2:U727)</f>
        <v>-0.49517715309060739</v>
      </c>
      <c r="I406" s="39">
        <f>(VLOOKUP($A406,'The List'!$B1:$AH727,21,FALSE)-AVERAGE('The List'!V2:V727))/STDEV('The List'!V2:V727)</f>
        <v>-0.86149468231931181</v>
      </c>
      <c r="J406" s="39">
        <f>(VLOOKUP($A406,'The List'!$B1:$AH727,22,FALSE)-AVERAGE('The List'!W2:W727))/STDEV('The List'!W2:W727)</f>
        <v>-0.68493994944750469</v>
      </c>
      <c r="K406" s="39">
        <f>(VLOOKUP($A406,'The List'!$B1:$AH727,23,FALSE)-AVERAGE('The List'!X2:X727))/STDEV('The List'!X2:X727)</f>
        <v>-0.76410595869013442</v>
      </c>
      <c r="L406" s="39">
        <f>(VLOOKUP($A406,'The List'!$B1:$AH727,24,FALSE)-AVERAGE('The List'!Y2:Y727))/STDEV('The List'!Y2:Y727)</f>
        <v>-0.21860245638204939</v>
      </c>
      <c r="M406" s="39">
        <f>(VLOOKUP($A406,'The List'!$B1:$AH727,25,FALSE)-AVERAGE('The List'!Z2:Z727))/STDEV('The List'!Z2:Z727)</f>
        <v>-0.38343017059309425</v>
      </c>
      <c r="N406" s="39">
        <f>(VLOOKUP($A406,'The List'!$B1:$AH727,26,FALSE)-AVERAGE('The List'!AA2:AA727))/STDEV('The List'!AA2:AA727)</f>
        <v>-0.3663987789822824</v>
      </c>
      <c r="O406" s="39">
        <f>(VLOOKUP($A406,'The List'!$B1:$AH727,27,FALSE)-AVERAGE('The List'!AB2:AB727))/STDEV('The List'!AB2:AB727)</f>
        <v>3.196515387240602</v>
      </c>
      <c r="P406" s="39">
        <f>(VLOOKUP($A406,'The List'!$B1:$AH727,28,FALSE)-AVERAGE('The List'!AC2:AC727))/STDEV('The List'!AC2:AC727)</f>
        <v>-1.2485176336062815</v>
      </c>
      <c r="Q406" s="39">
        <f>(VLOOKUP($A406,'The List'!$B1:$AH727,29,FALSE)-AVERAGE('The List'!AD2:AD727))/STDEV('The List'!AD2:AD727)</f>
        <v>1.0364482258133942</v>
      </c>
      <c r="R406" s="39">
        <f>(VLOOKUP($A406,'The List'!$B1:$AH727,30,FALSE)-AVERAGE('The List'!AE2:AE727))/STDEV('The List'!AE2:AE727)</f>
        <v>-0.27253777111351613</v>
      </c>
      <c r="S406" s="39">
        <f>(VLOOKUP($A406,'The List'!$B1:$AH727,31,FALSE)-AVERAGE('The List'!AF2:AF727))/STDEV('The List'!AF2:AF727)</f>
        <v>1.0033615514089187</v>
      </c>
      <c r="T406" s="39">
        <f>(VLOOKUP($A406,'The List'!$B1:$AH727,32,FALSE)-AVERAGE('The List'!AG2:AG727))/STDEV('The List'!AG2:AG727)</f>
        <v>1.5656126163467228</v>
      </c>
      <c r="U406" s="39">
        <f>(VLOOKUP($A406,'The List'!$B1:$AH727,33,FALSE)-AVERAGE('The List'!AH2:AH727))/STDEV('The List'!AH2:AH727)</f>
        <v>0.7081244616459158</v>
      </c>
      <c r="V406" s="39"/>
      <c r="W406" s="43"/>
      <c r="X406" s="41"/>
      <c r="Y406" s="41"/>
      <c r="Z406" s="41"/>
      <c r="AA406" s="41"/>
      <c r="AB406" s="41"/>
      <c r="AC406" s="44"/>
      <c r="AD406" s="45"/>
      <c r="AE406" s="39"/>
    </row>
    <row r="407" spans="1:31" ht="21.25" customHeight="1" x14ac:dyDescent="0.15">
      <c r="A407" s="8" t="s">
        <v>580</v>
      </c>
      <c r="B407" s="35" t="str">
        <f>VLOOKUP(A407,'Player Data'!A1:B734,2,FALSE)</f>
        <v>UFA</v>
      </c>
      <c r="C407" s="37">
        <f>((E407)*Settings!$C$12)+(F407*Settings!$C$2)+(G407*Settings!$C$3)+(H407*Settings!$C$4)+(I407*Settings!$C$5)+(K407*Settings!$C$9)+(N407*Settings!$C$6)+(J407*Settings!$C$8)+(O407*Settings!$C$7)+(P407*Settings!$C$14)+(Q407*Settings!$C$15)+(R407*Settings!$C$16)+(S407*Settings!$C$17)+(T407*Settings!$C$18)+(U407*Settings!$C$19)</f>
        <v>-2.5606343174084523</v>
      </c>
      <c r="D407" s="41">
        <f>IF(Settings!$E$12="YES",VLOOKUP(A407,'Player Data'!A1:E734,5,FALSE),82)</f>
        <v>70.674999999999997</v>
      </c>
      <c r="E407" s="39">
        <f>(VLOOKUP($A407,'The List'!$B1:$AH727,17,FALSE)-AVERAGE('The List'!R2:R727))/STDEV('The List'!R2:R727)</f>
        <v>-0.82176907529437015</v>
      </c>
      <c r="F407" s="39">
        <f>(VLOOKUP($A407,'The List'!$B1:$AH727,18,FALSE)-AVERAGE('The List'!S2:S727))/STDEV('The List'!S2:S727)</f>
        <v>-0.41985426877039572</v>
      </c>
      <c r="G407" s="39">
        <f>(VLOOKUP($A407,'The List'!$B1:$AH727,19,FALSE)-AVERAGE('The List'!T2:T727))/STDEV('The List'!T2:T727)</f>
        <v>-0.65223503147465067</v>
      </c>
      <c r="H407" s="39">
        <f>(VLOOKUP($A407,'The List'!$B1:$AH727,20,FALSE)-AVERAGE('The List'!U2:U727))/STDEV('The List'!U2:U727)</f>
        <v>-0.59297319736985776</v>
      </c>
      <c r="I407" s="39">
        <f>(VLOOKUP($A407,'The List'!$B1:$AH727,21,FALSE)-AVERAGE('The List'!V2:V727))/STDEV('The List'!V2:V727)</f>
        <v>-0.17218248825932214</v>
      </c>
      <c r="J407" s="39">
        <f>(VLOOKUP($A407,'The List'!$B1:$AH727,22,FALSE)-AVERAGE('The List'!W2:W727))/STDEV('The List'!W2:W727)</f>
        <v>-0.37095162035187956</v>
      </c>
      <c r="K407" s="39">
        <f>(VLOOKUP($A407,'The List'!$B1:$AH727,23,FALSE)-AVERAGE('The List'!X2:X727))/STDEV('The List'!X2:X727)</f>
        <v>-0.52441671014673552</v>
      </c>
      <c r="L407" s="39">
        <f>(VLOOKUP($A407,'The List'!$B1:$AH727,24,FALSE)-AVERAGE('The List'!Y2:Y727))/STDEV('The List'!Y2:Y727)</f>
        <v>-0.50021601566470286</v>
      </c>
      <c r="M407" s="39">
        <f>(VLOOKUP($A407,'The List'!$B1:$AH727,25,FALSE)-AVERAGE('The List'!Z2:Z727))/STDEV('The List'!Z2:Z727)</f>
        <v>-0.67494186618187813</v>
      </c>
      <c r="N407" s="39">
        <f>(VLOOKUP($A407,'The List'!$B1:$AH727,26,FALSE)-AVERAGE('The List'!AA2:AA727))/STDEV('The List'!AA2:AA727)</f>
        <v>-0.65030521269235642</v>
      </c>
      <c r="O407" s="39">
        <f>(VLOOKUP($A407,'The List'!$B1:$AH727,27,FALSE)-AVERAGE('The List'!AB2:AB727))/STDEV('The List'!AB2:AB727)</f>
        <v>-0.72255628337295108</v>
      </c>
      <c r="P407" s="39">
        <f>(VLOOKUP($A407,'The List'!$B1:$AH727,28,FALSE)-AVERAGE('The List'!AC2:AC727))/STDEV('The List'!AC2:AC727)</f>
        <v>-0.14164060606499171</v>
      </c>
      <c r="Q407" s="39">
        <f>(VLOOKUP($A407,'The List'!$B1:$AH727,29,FALSE)-AVERAGE('The List'!AD2:AD727))/STDEV('The List'!AD2:AD727)</f>
        <v>-1.2451379312632993</v>
      </c>
      <c r="R407" s="39">
        <f>(VLOOKUP($A407,'The List'!$B1:$AH727,30,FALSE)-AVERAGE('The List'!AE2:AE727))/STDEV('The List'!AE2:AE727)</f>
        <v>-1.1921764565772743</v>
      </c>
      <c r="S407" s="39">
        <f>(VLOOKUP($A407,'The List'!$B1:$AH727,31,FALSE)-AVERAGE('The List'!AF2:AF727))/STDEV('The List'!AF2:AF727)</f>
        <v>-0.53021690423153955</v>
      </c>
      <c r="T407" s="39">
        <f>(VLOOKUP($A407,'The List'!$B1:$AH727,32,FALSE)-AVERAGE('The List'!AG2:AG727))/STDEV('The List'!AG2:AG727)</f>
        <v>-0.56084493412298786</v>
      </c>
      <c r="U407" s="39">
        <f>(VLOOKUP($A407,'The List'!$B1:$AH727,33,FALSE)-AVERAGE('The List'!AH2:AH727))/STDEV('The List'!AH2:AH727)</f>
        <v>0.64130969359952916</v>
      </c>
      <c r="V407" s="39"/>
      <c r="W407" s="43"/>
      <c r="X407" s="41"/>
      <c r="Y407" s="41"/>
      <c r="Z407" s="41"/>
      <c r="AA407" s="41"/>
      <c r="AB407" s="41"/>
      <c r="AC407" s="44"/>
      <c r="AD407" s="45"/>
      <c r="AE407" s="39"/>
    </row>
    <row r="408" spans="1:31" ht="21.25" customHeight="1" x14ac:dyDescent="0.15">
      <c r="A408" s="8" t="s">
        <v>353</v>
      </c>
      <c r="B408" s="35" t="str">
        <f>VLOOKUP(A408,'Player Data'!A1:B734,2,FALSE)</f>
        <v>BOS</v>
      </c>
      <c r="C408" s="37">
        <f>((E408)*Settings!$C$12)+(F408*Settings!$C$2)+(G408*Settings!$C$3)+(H408*Settings!$C$4)+(I408*Settings!$C$5)+(K408*Settings!$C$9)+(N408*Settings!$C$6)+(J408*Settings!$C$8)+(O408*Settings!$C$7)+(P408*Settings!$C$14)+(Q408*Settings!$C$15)+(R408*Settings!$C$16)+(S408*Settings!$C$17)+(T408*Settings!$C$18)+(U408*Settings!$C$19)</f>
        <v>0.93653769774709295</v>
      </c>
      <c r="D408" s="41">
        <f>IF(Settings!$E$12="YES",VLOOKUP(A408,'Player Data'!A1:E734,5,FALSE),82)</f>
        <v>80.641071428571394</v>
      </c>
      <c r="E408" s="39">
        <f>(VLOOKUP($A408,'The List'!$B1:$AH727,17,FALSE)-AVERAGE('The List'!R2:R727))/STDEV('The List'!R2:R727)</f>
        <v>0.28699510557256047</v>
      </c>
      <c r="F408" s="39">
        <f>(VLOOKUP($A408,'The List'!$B1:$AH727,18,FALSE)-AVERAGE('The List'!S2:S727))/STDEV('The List'!S2:S727)</f>
        <v>-0.85324363259551694</v>
      </c>
      <c r="G408" s="39">
        <f>(VLOOKUP($A408,'The List'!$B1:$AH727,19,FALSE)-AVERAGE('The List'!T2:T727))/STDEV('The List'!T2:T727)</f>
        <v>-0.10412927523242549</v>
      </c>
      <c r="H408" s="39">
        <f>(VLOOKUP($A408,'The List'!$B1:$AH727,20,FALSE)-AVERAGE('The List'!U2:U727))/STDEV('The List'!U2:U727)</f>
        <v>-0.45244466392296567</v>
      </c>
      <c r="I408" s="39">
        <f>(VLOOKUP($A408,'The List'!$B1:$AH727,21,FALSE)-AVERAGE('The List'!V2:V727))/STDEV('The List'!V2:V727)</f>
        <v>8.6209281409618116E-2</v>
      </c>
      <c r="J408" s="39">
        <f>(VLOOKUP($A408,'The List'!$B1:$AH727,22,FALSE)-AVERAGE('The List'!W2:W727))/STDEV('The List'!W2:W727)</f>
        <v>-0.43697272764115042</v>
      </c>
      <c r="K408" s="39">
        <f>(VLOOKUP($A408,'The List'!$B1:$AH727,23,FALSE)-AVERAGE('The List'!X2:X727))/STDEV('The List'!X2:X727)</f>
        <v>0.18865372736352162</v>
      </c>
      <c r="L408" s="39">
        <f>(VLOOKUP($A408,'The List'!$B1:$AH727,24,FALSE)-AVERAGE('The List'!Y2:Y727))/STDEV('The List'!Y2:Y727)</f>
        <v>-0.52774457313076739</v>
      </c>
      <c r="M408" s="39">
        <f>(VLOOKUP($A408,'The List'!$B1:$AH727,25,FALSE)-AVERAGE('The List'!Z2:Z727))/STDEV('The List'!Z2:Z727)</f>
        <v>-0.68443690919069378</v>
      </c>
      <c r="N408" s="39">
        <f>(VLOOKUP($A408,'The List'!$B1:$AH727,26,FALSE)-AVERAGE('The List'!AA2:AA727))/STDEV('The List'!AA2:AA727)</f>
        <v>1.1325182367572464</v>
      </c>
      <c r="O408" s="39">
        <f>(VLOOKUP($A408,'The List'!$B1:$AH727,27,FALSE)-AVERAGE('The List'!AB2:AB727))/STDEV('The List'!AB2:AB727)</f>
        <v>-0.22590472037690629</v>
      </c>
      <c r="P408" s="39">
        <f>(VLOOKUP($A408,'The List'!$B1:$AH727,28,FALSE)-AVERAGE('The List'!AC2:AC727))/STDEV('The List'!AC2:AC727)</f>
        <v>0.48652936004464931</v>
      </c>
      <c r="Q408" s="39">
        <f>(VLOOKUP($A408,'The List'!$B1:$AH727,29,FALSE)-AVERAGE('The List'!AD2:AD727))/STDEV('The List'!AD2:AD727)</f>
        <v>0.38762430680613452</v>
      </c>
      <c r="R408" s="39">
        <f>(VLOOKUP($A408,'The List'!$B1:$AH727,30,FALSE)-AVERAGE('The List'!AE2:AE727))/STDEV('The List'!AE2:AE727)</f>
        <v>-0.70883608596739711</v>
      </c>
      <c r="S408" s="39">
        <f>(VLOOKUP($A408,'The List'!$B1:$AH727,31,FALSE)-AVERAGE('The List'!AF2:AF727))/STDEV('The List'!AF2:AF727)</f>
        <v>-0.55804314905918151</v>
      </c>
      <c r="T408" s="39">
        <f>(VLOOKUP($A408,'The List'!$B1:$AH727,32,FALSE)-AVERAGE('The List'!AG2:AG727))/STDEV('The List'!AG2:AG727)</f>
        <v>-0.6011478157193294</v>
      </c>
      <c r="U408" s="39">
        <f>(VLOOKUP($A408,'The List'!$B1:$AH727,33,FALSE)-AVERAGE('The List'!AH2:AH727))/STDEV('The List'!AH2:AH727)</f>
        <v>-1.2395873372913611</v>
      </c>
      <c r="V408" s="39"/>
      <c r="W408" s="41"/>
      <c r="X408" s="39"/>
      <c r="Y408" s="39"/>
      <c r="Z408" s="39"/>
      <c r="AA408" s="39"/>
      <c r="AB408" s="39"/>
      <c r="AC408" s="39"/>
      <c r="AD408" s="39"/>
      <c r="AE408" s="39"/>
    </row>
    <row r="409" spans="1:31" ht="21.25" customHeight="1" x14ac:dyDescent="0.15">
      <c r="A409" s="8" t="s">
        <v>432</v>
      </c>
      <c r="B409" s="35" t="str">
        <f>VLOOKUP(A409,'Player Data'!A1:B734,2,FALSE)</f>
        <v>BOS</v>
      </c>
      <c r="C409" s="37">
        <f>((E409)*Settings!$C$12)+(F409*Settings!$C$2)+(G409*Settings!$C$3)+(H409*Settings!$C$4)+(I409*Settings!$C$5)+(K409*Settings!$C$9)+(N409*Settings!$C$6)+(J409*Settings!$C$8)+(O409*Settings!$C$7)+(P409*Settings!$C$14)+(Q409*Settings!$C$15)+(R409*Settings!$C$16)+(S409*Settings!$C$17)+(T409*Settings!$C$18)+(U409*Settings!$C$19)</f>
        <v>0.23089874848523229</v>
      </c>
      <c r="D409" s="41">
        <f>IF(Settings!$E$12="YES",VLOOKUP(A409,'Player Data'!A1:E734,5,FALSE),82)</f>
        <v>76.767857142857096</v>
      </c>
      <c r="E409" s="39">
        <f>(VLOOKUP($A409,'The List'!$B1:$AH727,17,FALSE)-AVERAGE('The List'!R2:R727))/STDEV('The List'!R2:R727)</f>
        <v>0.22458616911432469</v>
      </c>
      <c r="F409" s="39">
        <f>(VLOOKUP($A409,'The List'!$B1:$AH727,18,FALSE)-AVERAGE('The List'!S2:S727))/STDEV('The List'!S2:S727)</f>
        <v>-0.84329302893603852</v>
      </c>
      <c r="G409" s="39">
        <f>(VLOOKUP($A409,'The List'!$B1:$AH727,19,FALSE)-AVERAGE('The List'!T2:T727))/STDEV('The List'!T2:T727)</f>
        <v>-0.20843587928892512</v>
      </c>
      <c r="H409" s="39">
        <f>(VLOOKUP($A409,'The List'!$B1:$AH727,20,FALSE)-AVERAGE('The List'!U2:U727))/STDEV('The List'!U2:U727)</f>
        <v>-0.51219120645276284</v>
      </c>
      <c r="I409" s="39">
        <f>(VLOOKUP($A409,'The List'!$B1:$AH727,21,FALSE)-AVERAGE('The List'!V2:V727))/STDEV('The List'!V2:V727)</f>
        <v>-0.38568302644423469</v>
      </c>
      <c r="J409" s="39">
        <f>(VLOOKUP($A409,'The List'!$B1:$AH727,22,FALSE)-AVERAGE('The List'!W2:W727))/STDEV('The List'!W2:W727)</f>
        <v>-0.66963343677773024</v>
      </c>
      <c r="K409" s="39">
        <f>(VLOOKUP($A409,'The List'!$B1:$AH727,23,FALSE)-AVERAGE('The List'!X2:X727))/STDEV('The List'!X2:X727)</f>
        <v>-0.61653921954133106</v>
      </c>
      <c r="L409" s="39">
        <f>(VLOOKUP($A409,'The List'!$B1:$AH727,24,FALSE)-AVERAGE('The List'!Y2:Y727))/STDEV('The List'!Y2:Y727)</f>
        <v>-0.52612158242335216</v>
      </c>
      <c r="M409" s="39">
        <f>(VLOOKUP($A409,'The List'!$B1:$AH727,25,FALSE)-AVERAGE('The List'!Z2:Z727))/STDEV('The List'!Z2:Z727)</f>
        <v>-0.6822852988712792</v>
      </c>
      <c r="N409" s="39">
        <f>(VLOOKUP($A409,'The List'!$B1:$AH727,26,FALSE)-AVERAGE('The List'!AA2:AA727))/STDEV('The List'!AA2:AA727)</f>
        <v>0.65422694932415371</v>
      </c>
      <c r="O409" s="39">
        <f>(VLOOKUP($A409,'The List'!$B1:$AH727,27,FALSE)-AVERAGE('The List'!AB2:AB727))/STDEV('The List'!AB2:AB727)</f>
        <v>-0.64207593256185447</v>
      </c>
      <c r="P409" s="39">
        <f>(VLOOKUP($A409,'The List'!$B1:$AH727,28,FALSE)-AVERAGE('The List'!AC2:AC727))/STDEV('The List'!AC2:AC727)</f>
        <v>1.6306229533716079</v>
      </c>
      <c r="Q409" s="39">
        <f>(VLOOKUP($A409,'The List'!$B1:$AH727,29,FALSE)-AVERAGE('The List'!AD2:AD727))/STDEV('The List'!AD2:AD727)</f>
        <v>-0.12658042357752511</v>
      </c>
      <c r="R409" s="39">
        <f>(VLOOKUP($A409,'The List'!$B1:$AH727,30,FALSE)-AVERAGE('The List'!AE2:AE727))/STDEV('The List'!AE2:AE727)</f>
        <v>-0.69792403671827719</v>
      </c>
      <c r="S409" s="39">
        <f>(VLOOKUP($A409,'The List'!$B1:$AH727,31,FALSE)-AVERAGE('The List'!AF2:AF727))/STDEV('The List'!AF2:AF727)</f>
        <v>-0.55804314905918151</v>
      </c>
      <c r="T409" s="39">
        <f>(VLOOKUP($A409,'The List'!$B1:$AH727,32,FALSE)-AVERAGE('The List'!AG2:AG727))/STDEV('The List'!AG2:AG727)</f>
        <v>-0.60188453558131205</v>
      </c>
      <c r="U409" s="39">
        <f>(VLOOKUP($A409,'The List'!$B1:$AH727,33,FALSE)-AVERAGE('The List'!AH2:AH727))/STDEV('The List'!AH2:AH727)</f>
        <v>-1.2395873372913611</v>
      </c>
      <c r="V409" s="39"/>
      <c r="W409" s="43"/>
      <c r="X409" s="41"/>
      <c r="Y409" s="41"/>
      <c r="Z409" s="41"/>
      <c r="AA409" s="41"/>
      <c r="AB409" s="41"/>
      <c r="AC409" s="44"/>
      <c r="AD409" s="45"/>
      <c r="AE409" s="39"/>
    </row>
    <row r="410" spans="1:31" ht="21.25" customHeight="1" x14ac:dyDescent="0.15">
      <c r="A410" s="8" t="s">
        <v>736</v>
      </c>
      <c r="B410" s="35" t="str">
        <f>VLOOKUP(A410,'Player Data'!A1:B734,2,FALSE)</f>
        <v>ANA</v>
      </c>
      <c r="C410" s="37">
        <f>((E410)*Settings!$C$12)+(F410*Settings!$C$2)+(G410*Settings!$C$3)+(H410*Settings!$C$4)+(I410*Settings!$C$5)+(K410*Settings!$C$9)+(N410*Settings!$C$6)+(J410*Settings!$C$8)+(O410*Settings!$C$7)+(P410*Settings!$C$14)+(Q410*Settings!$C$15)+(R410*Settings!$C$16)+(S410*Settings!$C$17)+(T410*Settings!$C$18)+(U410*Settings!$C$19)</f>
        <v>-5.0063601647237626</v>
      </c>
      <c r="D410" s="41">
        <f>IF(Settings!$E$12="YES",VLOOKUP(A410,'Player Data'!A1:E734,5,FALSE),82)</f>
        <v>75.831071428571406</v>
      </c>
      <c r="E410" s="39">
        <f>(VLOOKUP($A410,'The List'!$B1:$AH727,17,FALSE)-AVERAGE('The List'!R2:R727))/STDEV('The List'!R2:R727)</f>
        <v>-0.58017019533999115</v>
      </c>
      <c r="F410" s="39">
        <f>(VLOOKUP($A410,'The List'!$B1:$AH727,18,FALSE)-AVERAGE('The List'!S2:S727))/STDEV('The List'!S2:S727)</f>
        <v>-0.23723240541296284</v>
      </c>
      <c r="G410" s="39">
        <f>(VLOOKUP($A410,'The List'!$B1:$AH727,19,FALSE)-AVERAGE('The List'!T2:T727))/STDEV('The List'!T2:T727)</f>
        <v>-0.67855898450914054</v>
      </c>
      <c r="H410" s="39">
        <f>(VLOOKUP($A410,'The List'!$B1:$AH727,20,FALSE)-AVERAGE('The List'!U2:U727))/STDEV('The List'!U2:U727)</f>
        <v>-0.52608988398010048</v>
      </c>
      <c r="I410" s="39">
        <f>(VLOOKUP($A410,'The List'!$B1:$AH727,21,FALSE)-AVERAGE('The List'!V2:V727))/STDEV('The List'!V2:V727)</f>
        <v>-0.84680599295976255</v>
      </c>
      <c r="J410" s="39">
        <f>(VLOOKUP($A410,'The List'!$B1:$AH727,22,FALSE)-AVERAGE('The List'!W2:W727))/STDEV('The List'!W2:W727)</f>
        <v>-0.66799197577444547</v>
      </c>
      <c r="K410" s="39">
        <f>(VLOOKUP($A410,'The List'!$B1:$AH727,23,FALSE)-AVERAGE('The List'!X2:X727))/STDEV('The List'!X2:X727)</f>
        <v>-0.75839276733457406</v>
      </c>
      <c r="L410" s="39">
        <f>(VLOOKUP($A410,'The List'!$B1:$AH727,24,FALSE)-AVERAGE('The List'!Y2:Y727))/STDEV('The List'!Y2:Y727)</f>
        <v>1.608376250832847</v>
      </c>
      <c r="M410" s="39">
        <f>(VLOOKUP($A410,'The List'!$B1:$AH727,25,FALSE)-AVERAGE('The List'!Z2:Z727))/STDEV('The List'!Z2:Z727)</f>
        <v>0.72790331624658211</v>
      </c>
      <c r="N410" s="39">
        <f>(VLOOKUP($A410,'The List'!$B1:$AH727,26,FALSE)-AVERAGE('The List'!AA2:AA727))/STDEV('The List'!AA2:AA727)</f>
        <v>-0.2381712982736818</v>
      </c>
      <c r="O410" s="39">
        <f>(VLOOKUP($A410,'The List'!$B1:$AH727,27,FALSE)-AVERAGE('The List'!AB2:AB727))/STDEV('The List'!AB2:AB727)</f>
        <v>-1.0896252171116048</v>
      </c>
      <c r="P410" s="39">
        <f>(VLOOKUP($A410,'The List'!$B1:$AH727,28,FALSE)-AVERAGE('The List'!AC2:AC727))/STDEV('The List'!AC2:AC727)</f>
        <v>-2.2471987162336409</v>
      </c>
      <c r="Q410" s="39">
        <f>(VLOOKUP($A410,'The List'!$B1:$AH727,29,FALSE)-AVERAGE('The List'!AD2:AD727))/STDEV('The List'!AD2:AD727)</f>
        <v>-1.3478337796967617</v>
      </c>
      <c r="R410" s="39">
        <f>(VLOOKUP($A410,'The List'!$B1:$AH727,30,FALSE)-AVERAGE('The List'!AE2:AE727))/STDEV('The List'!AE2:AE727)</f>
        <v>-0.44383008415568792</v>
      </c>
      <c r="S410" s="39">
        <f>(VLOOKUP($A410,'The List'!$B1:$AH727,31,FALSE)-AVERAGE('The List'!AF2:AF727))/STDEV('The List'!AF2:AF727)</f>
        <v>1.1367353213036695</v>
      </c>
      <c r="T410" s="39">
        <f>(VLOOKUP($A410,'The List'!$B1:$AH727,32,FALSE)-AVERAGE('The List'!AG2:AG727))/STDEV('The List'!AG2:AG727)</f>
        <v>1.4797186298403644</v>
      </c>
      <c r="U410" s="39">
        <f>(VLOOKUP($A410,'The List'!$B1:$AH727,33,FALSE)-AVERAGE('The List'!AH2:AH727))/STDEV('The List'!AH2:AH727)</f>
        <v>0.8447295724752234</v>
      </c>
      <c r="V410" s="39"/>
      <c r="W410" s="41"/>
      <c r="X410" s="39"/>
      <c r="Y410" s="39"/>
      <c r="Z410" s="39"/>
      <c r="AA410" s="39"/>
      <c r="AB410" s="39"/>
      <c r="AC410" s="39"/>
      <c r="AD410" s="39"/>
      <c r="AE410" s="39"/>
    </row>
    <row r="411" spans="1:31" ht="21.25" customHeight="1" x14ac:dyDescent="0.15">
      <c r="A411" s="8" t="s">
        <v>612</v>
      </c>
      <c r="B411" s="35" t="str">
        <f>VLOOKUP(A411,'Player Data'!A1:B734,2,FALSE)</f>
        <v>PHI</v>
      </c>
      <c r="C411" s="37">
        <f>((E411)*Settings!$C$12)+(F411*Settings!$C$2)+(G411*Settings!$C$3)+(H411*Settings!$C$4)+(I411*Settings!$C$5)+(K411*Settings!$C$9)+(N411*Settings!$C$6)+(J411*Settings!$C$8)+(O411*Settings!$C$7)+(P411*Settings!$C$14)+(Q411*Settings!$C$15)+(R411*Settings!$C$16)+(S411*Settings!$C$17)+(T411*Settings!$C$18)+(U411*Settings!$C$19)</f>
        <v>-3.5714614997067975</v>
      </c>
      <c r="D411" s="41">
        <f>IF(Settings!$E$12="YES",VLOOKUP(A411,'Player Data'!A1:E734,5,FALSE),82)</f>
        <v>66.2</v>
      </c>
      <c r="E411" s="39">
        <f>(VLOOKUP($A411,'The List'!$B1:$AH727,17,FALSE)-AVERAGE('The List'!R2:R727))/STDEV('The List'!R2:R727)</f>
        <v>-0.95382611008476659</v>
      </c>
      <c r="F411" s="39">
        <f>(VLOOKUP($A411,'The List'!$B1:$AH727,18,FALSE)-AVERAGE('The List'!S2:S727))/STDEV('The List'!S2:S727)</f>
        <v>-0.23263328638797129</v>
      </c>
      <c r="G411" s="39">
        <f>(VLOOKUP($A411,'The List'!$B1:$AH727,19,FALSE)-AVERAGE('The List'!T2:T727))/STDEV('The List'!T2:T727)</f>
        <v>-0.90566920440497745</v>
      </c>
      <c r="H411" s="39">
        <f>(VLOOKUP($A411,'The List'!$B1:$AH727,20,FALSE)-AVERAGE('The List'!U2:U727))/STDEV('The List'!U2:U727)</f>
        <v>-0.66394440574215241</v>
      </c>
      <c r="I411" s="39">
        <f>(VLOOKUP($A411,'The List'!$B1:$AH727,21,FALSE)-AVERAGE('The List'!V2:V727))/STDEV('The List'!V2:V727)</f>
        <v>-0.52514418147993935</v>
      </c>
      <c r="J411" s="39">
        <f>(VLOOKUP($A411,'The List'!$B1:$AH727,22,FALSE)-AVERAGE('The List'!W2:W727))/STDEV('The List'!W2:W727)</f>
        <v>-0.6270223902698181</v>
      </c>
      <c r="K411" s="39">
        <f>(VLOOKUP($A411,'The List'!$B1:$AH727,23,FALSE)-AVERAGE('The List'!X2:X727))/STDEV('The List'!X2:X727)</f>
        <v>-0.73125401405656065</v>
      </c>
      <c r="L411" s="39">
        <f>(VLOOKUP($A411,'The List'!$B1:$AH727,24,FALSE)-AVERAGE('The List'!Y2:Y727))/STDEV('The List'!Y2:Y727)</f>
        <v>-0.53401678972287459</v>
      </c>
      <c r="M411" s="39">
        <f>(VLOOKUP($A411,'The List'!$B1:$AH727,25,FALSE)-AVERAGE('The List'!Z2:Z727))/STDEV('The List'!Z2:Z727)</f>
        <v>-0.71241453432486912</v>
      </c>
      <c r="N411" s="39">
        <f>(VLOOKUP($A411,'The List'!$B1:$AH727,26,FALSE)-AVERAGE('The List'!AA2:AA727))/STDEV('The List'!AA2:AA727)</f>
        <v>1.7063395408073171E-2</v>
      </c>
      <c r="O411" s="39">
        <f>(VLOOKUP($A411,'The List'!$B1:$AH727,27,FALSE)-AVERAGE('The List'!AB2:AB727))/STDEV('The List'!AB2:AB727)</f>
        <v>1.8480657736600645</v>
      </c>
      <c r="P411" s="39">
        <f>(VLOOKUP($A411,'The List'!$B1:$AH727,28,FALSE)-AVERAGE('The List'!AC2:AC727))/STDEV('The List'!AC2:AC727)</f>
        <v>-1.1938242087854221</v>
      </c>
      <c r="Q411" s="39">
        <f>(VLOOKUP($A411,'The List'!$B1:$AH727,29,FALSE)-AVERAGE('The List'!AD2:AD727))/STDEV('The List'!AD2:AD727)</f>
        <v>-0.42581030402640574</v>
      </c>
      <c r="R411" s="39">
        <f>(VLOOKUP($A411,'The List'!$B1:$AH727,30,FALSE)-AVERAGE('The List'!AE2:AE727))/STDEV('The List'!AE2:AE727)</f>
        <v>-0.3772318423219142</v>
      </c>
      <c r="S411" s="39">
        <f>(VLOOKUP($A411,'The List'!$B1:$AH727,31,FALSE)-AVERAGE('The List'!AF2:AF727))/STDEV('The List'!AF2:AF727)</f>
        <v>-0.55336923257652226</v>
      </c>
      <c r="T411" s="39">
        <f>(VLOOKUP($A411,'The List'!$B1:$AH727,32,FALSE)-AVERAGE('The List'!AG2:AG727))/STDEV('The List'!AG2:AG727)</f>
        <v>-0.57297988438504721</v>
      </c>
      <c r="U411" s="39">
        <f>(VLOOKUP($A411,'The List'!$B1:$AH727,33,FALSE)-AVERAGE('The List'!AH2:AH727))/STDEV('The List'!AH2:AH727)</f>
        <v>-0.58279325311559826</v>
      </c>
      <c r="V411" s="39"/>
      <c r="W411" s="43"/>
      <c r="X411" s="41"/>
      <c r="Y411" s="41"/>
      <c r="Z411" s="41"/>
      <c r="AA411" s="41"/>
      <c r="AB411" s="41"/>
      <c r="AC411" s="44"/>
      <c r="AD411" s="45"/>
      <c r="AE411" s="39"/>
    </row>
    <row r="412" spans="1:31" ht="21.25" customHeight="1" x14ac:dyDescent="0.15">
      <c r="A412" s="8" t="s">
        <v>419</v>
      </c>
      <c r="B412" s="35" t="str">
        <f>VLOOKUP(A412,'Player Data'!A1:B734,2,FALSE)</f>
        <v>PIT</v>
      </c>
      <c r="C412" s="37">
        <f>((E412)*Settings!$C$12)+(F412*Settings!$C$2)+(G412*Settings!$C$3)+(H412*Settings!$C$4)+(I412*Settings!$C$5)+(K412*Settings!$C$9)+(N412*Settings!$C$6)+(J412*Settings!$C$8)+(O412*Settings!$C$7)+(P412*Settings!$C$14)+(Q412*Settings!$C$15)+(R412*Settings!$C$16)+(S412*Settings!$C$17)+(T412*Settings!$C$18)+(U412*Settings!$C$19)</f>
        <v>0.1999445175287119</v>
      </c>
      <c r="D412" s="41">
        <f>IF(Settings!$E$12="YES",VLOOKUP(A412,'Player Data'!A1:E734,5,FALSE),82)</f>
        <v>76.852142857142894</v>
      </c>
      <c r="E412" s="39">
        <f>(VLOOKUP($A412,'The List'!$B1:$AH727,17,FALSE)-AVERAGE('The List'!R2:R727))/STDEV('The List'!R2:R727)</f>
        <v>0.92233718472172799</v>
      </c>
      <c r="F412" s="39">
        <f>(VLOOKUP($A412,'The List'!$B1:$AH727,18,FALSE)-AVERAGE('The List'!S2:S727))/STDEV('The List'!S2:S727)</f>
        <v>-1.0218825712414805</v>
      </c>
      <c r="G412" s="39">
        <f>(VLOOKUP($A412,'The List'!$B1:$AH727,19,FALSE)-AVERAGE('The List'!T2:T727))/STDEV('The List'!T2:T727)</f>
        <v>-8.1085532543725594E-2</v>
      </c>
      <c r="H412" s="39">
        <f>(VLOOKUP($A412,'The List'!$B1:$AH727,20,FALSE)-AVERAGE('The List'!U2:U727))/STDEV('The List'!U2:U727)</f>
        <v>-0.51498616738752367</v>
      </c>
      <c r="I412" s="39">
        <f>(VLOOKUP($A412,'The List'!$B1:$AH727,21,FALSE)-AVERAGE('The List'!V2:V727))/STDEV('The List'!V2:V727)</f>
        <v>-0.43871813630974893</v>
      </c>
      <c r="J412" s="39">
        <f>(VLOOKUP($A412,'The List'!$B1:$AH727,22,FALSE)-AVERAGE('The List'!W2:W727))/STDEV('The List'!W2:W727)</f>
        <v>-0.70294548891865105</v>
      </c>
      <c r="K412" s="39">
        <f>(VLOOKUP($A412,'The List'!$B1:$AH727,23,FALSE)-AVERAGE('The List'!X2:X727))/STDEV('The List'!X2:X727)</f>
        <v>-0.77770091122170182</v>
      </c>
      <c r="L412" s="39">
        <f>(VLOOKUP($A412,'The List'!$B1:$AH727,24,FALSE)-AVERAGE('The List'!Y2:Y727))/STDEV('The List'!Y2:Y727)</f>
        <v>-0.47386477918202574</v>
      </c>
      <c r="M412" s="39">
        <f>(VLOOKUP($A412,'The List'!$B1:$AH727,25,FALSE)-AVERAGE('The List'!Z2:Z727))/STDEV('The List'!Z2:Z727)</f>
        <v>-0.4939236234203232</v>
      </c>
      <c r="N412" s="39">
        <f>(VLOOKUP($A412,'The List'!$B1:$AH727,26,FALSE)-AVERAGE('The List'!AA2:AA727))/STDEV('The List'!AA2:AA727)</f>
        <v>1.8958436283599942</v>
      </c>
      <c r="O412" s="39">
        <f>(VLOOKUP($A412,'The List'!$B1:$AH727,27,FALSE)-AVERAGE('The List'!AB2:AB727))/STDEV('The List'!AB2:AB727)</f>
        <v>1.0946127956848877</v>
      </c>
      <c r="P412" s="39">
        <f>(VLOOKUP($A412,'The List'!$B1:$AH727,28,FALSE)-AVERAGE('The List'!AC2:AC727))/STDEV('The List'!AC2:AC727)</f>
        <v>0.62348804048537454</v>
      </c>
      <c r="Q412" s="39">
        <f>(VLOOKUP($A412,'The List'!$B1:$AH727,29,FALSE)-AVERAGE('The List'!AD2:AD727))/STDEV('The List'!AD2:AD727)</f>
        <v>1.2299894951541408</v>
      </c>
      <c r="R412" s="39">
        <f>(VLOOKUP($A412,'The List'!$B1:$AH727,30,FALSE)-AVERAGE('The List'!AE2:AE727))/STDEV('The List'!AE2:AE727)</f>
        <v>-0.90928850355723401</v>
      </c>
      <c r="S412" s="39">
        <f>(VLOOKUP($A412,'The List'!$B1:$AH727,31,FALSE)-AVERAGE('The List'!AF2:AF727))/STDEV('The List'!AF2:AF727)</f>
        <v>-0.55804314905918151</v>
      </c>
      <c r="T412" s="39">
        <f>(VLOOKUP($A412,'The List'!$B1:$AH727,32,FALSE)-AVERAGE('The List'!AG2:AG727))/STDEV('The List'!AG2:AG727)</f>
        <v>-0.60188453558131205</v>
      </c>
      <c r="U412" s="39">
        <f>(VLOOKUP($A412,'The List'!$B1:$AH727,33,FALSE)-AVERAGE('The List'!AH2:AH727))/STDEV('The List'!AH2:AH727)</f>
        <v>-1.2395873372913611</v>
      </c>
      <c r="V412" s="39"/>
      <c r="W412" s="41"/>
      <c r="X412" s="39"/>
      <c r="Y412" s="39"/>
      <c r="Z412" s="39"/>
      <c r="AA412" s="39"/>
      <c r="AB412" s="39"/>
      <c r="AC412" s="39"/>
      <c r="AD412" s="39"/>
      <c r="AE412" s="39"/>
    </row>
    <row r="413" spans="1:31" ht="21.25" customHeight="1" x14ac:dyDescent="0.15">
      <c r="A413" s="8" t="s">
        <v>404</v>
      </c>
      <c r="B413" s="35" t="str">
        <f>VLOOKUP(A413,'Player Data'!A1:B734,2,FALSE)</f>
        <v>ARI</v>
      </c>
      <c r="C413" s="37">
        <f>((E413)*Settings!$C$12)+(F413*Settings!$C$2)+(G413*Settings!$C$3)+(H413*Settings!$C$4)+(I413*Settings!$C$5)+(K413*Settings!$C$9)+(N413*Settings!$C$6)+(J413*Settings!$C$8)+(O413*Settings!$C$7)+(P413*Settings!$C$14)+(Q413*Settings!$C$15)+(R413*Settings!$C$16)+(S413*Settings!$C$17)+(T413*Settings!$C$18)+(U413*Settings!$C$19)</f>
        <v>-1.3254623001145123</v>
      </c>
      <c r="D413" s="41">
        <f>IF(Settings!$E$12="YES",VLOOKUP(A413,'Player Data'!A1:E734,5,FALSE),82)</f>
        <v>77.327857142857098</v>
      </c>
      <c r="E413" s="39">
        <f>(VLOOKUP($A413,'The List'!$B1:$AH727,17,FALSE)-AVERAGE('The List'!R2:R727))/STDEV('The List'!R2:R727)</f>
        <v>1.4038027652156644</v>
      </c>
      <c r="F413" s="39">
        <f>(VLOOKUP($A413,'The List'!$B1:$AH727,18,FALSE)-AVERAGE('The List'!S2:S727))/STDEV('The List'!S2:S727)</f>
        <v>-0.661926875508979</v>
      </c>
      <c r="G413" s="39">
        <f>(VLOOKUP($A413,'The List'!$B1:$AH727,19,FALSE)-AVERAGE('The List'!T2:T727))/STDEV('The List'!T2:T727)</f>
        <v>-0.33948804118343628</v>
      </c>
      <c r="H413" s="39">
        <f>(VLOOKUP($A413,'The List'!$B1:$AH727,20,FALSE)-AVERAGE('The List'!U2:U727))/STDEV('The List'!U2:U727)</f>
        <v>-0.51041380628851085</v>
      </c>
      <c r="I413" s="39">
        <f>(VLOOKUP($A413,'The List'!$B1:$AH727,21,FALSE)-AVERAGE('The List'!V2:V727))/STDEV('The List'!V2:V727)</f>
        <v>-0.26844229941747483</v>
      </c>
      <c r="J413" s="39">
        <f>(VLOOKUP($A413,'The List'!$B1:$AH727,22,FALSE)-AVERAGE('The List'!W2:W727))/STDEV('The List'!W2:W727)</f>
        <v>-0.6243871094890916</v>
      </c>
      <c r="K413" s="39">
        <f>(VLOOKUP($A413,'The List'!$B1:$AH727,23,FALSE)-AVERAGE('The List'!X2:X727))/STDEV('The List'!X2:X727)</f>
        <v>-0.61828528552259521</v>
      </c>
      <c r="L413" s="39">
        <f>(VLOOKUP($A413,'The List'!$B1:$AH727,24,FALSE)-AVERAGE('The List'!Y2:Y727))/STDEV('The List'!Y2:Y727)</f>
        <v>-0.49011054246552982</v>
      </c>
      <c r="M413" s="39">
        <f>(VLOOKUP($A413,'The List'!$B1:$AH727,25,FALSE)-AVERAGE('The List'!Z2:Z727))/STDEV('The List'!Z2:Z727)</f>
        <v>-0.59564498558214218</v>
      </c>
      <c r="N413" s="39">
        <f>(VLOOKUP($A413,'The List'!$B1:$AH727,26,FALSE)-AVERAGE('The List'!AA2:AA727))/STDEV('The List'!AA2:AA727)</f>
        <v>1.4505356344236138</v>
      </c>
      <c r="O413" s="39">
        <f>(VLOOKUP($A413,'The List'!$B1:$AH727,27,FALSE)-AVERAGE('The List'!AB2:AB727))/STDEV('The List'!AB2:AB727)</f>
        <v>0.38087920428324579</v>
      </c>
      <c r="P413" s="39">
        <f>(VLOOKUP($A413,'The List'!$B1:$AH727,28,FALSE)-AVERAGE('The List'!AC2:AC727))/STDEV('The List'!AC2:AC727)</f>
        <v>-0.88785543290564051</v>
      </c>
      <c r="Q413" s="39">
        <f>(VLOOKUP($A413,'The List'!$B1:$AH727,29,FALSE)-AVERAGE('The List'!AD2:AD727))/STDEV('The List'!AD2:AD727)</f>
        <v>1.9268916764063864</v>
      </c>
      <c r="R413" s="39">
        <f>(VLOOKUP($A413,'The List'!$B1:$AH727,30,FALSE)-AVERAGE('The List'!AE2:AE727))/STDEV('The List'!AE2:AE727)</f>
        <v>-0.68330316892602772</v>
      </c>
      <c r="S413" s="39">
        <f>(VLOOKUP($A413,'The List'!$B1:$AH727,31,FALSE)-AVERAGE('The List'!AF2:AF727))/STDEV('The List'!AF2:AF727)</f>
        <v>-0.55804314905918151</v>
      </c>
      <c r="T413" s="39">
        <f>(VLOOKUP($A413,'The List'!$B1:$AH727,32,FALSE)-AVERAGE('The List'!AG2:AG727))/STDEV('The List'!AG2:AG727)</f>
        <v>-0.60188453558131205</v>
      </c>
      <c r="U413" s="39">
        <f>(VLOOKUP($A413,'The List'!$B1:$AH727,33,FALSE)-AVERAGE('The List'!AH2:AH727))/STDEV('The List'!AH2:AH727)</f>
        <v>-1.2395873372913611</v>
      </c>
      <c r="V413" s="39"/>
      <c r="W413" s="43"/>
      <c r="X413" s="41"/>
      <c r="Y413" s="41"/>
      <c r="Z413" s="41"/>
      <c r="AA413" s="41"/>
      <c r="AB413" s="41"/>
      <c r="AC413" s="44"/>
      <c r="AD413" s="45"/>
      <c r="AE413" s="39"/>
    </row>
    <row r="414" spans="1:31" ht="21.25" customHeight="1" x14ac:dyDescent="0.15">
      <c r="A414" s="8" t="s">
        <v>631</v>
      </c>
      <c r="B414" s="35" t="str">
        <f>VLOOKUP(A414,'Player Data'!A1:B734,2,FALSE)</f>
        <v>CBJ</v>
      </c>
      <c r="C414" s="37">
        <f>((E414)*Settings!$C$12)+(F414*Settings!$C$2)+(G414*Settings!$C$3)+(H414*Settings!$C$4)+(I414*Settings!$C$5)+(K414*Settings!$C$9)+(N414*Settings!$C$6)+(J414*Settings!$C$8)+(O414*Settings!$C$7)+(P414*Settings!$C$14)+(Q414*Settings!$C$15)+(R414*Settings!$C$16)+(S414*Settings!$C$17)+(T414*Settings!$C$18)+(U414*Settings!$C$19)</f>
        <v>-4.3952191583586666</v>
      </c>
      <c r="D414" s="41">
        <f>IF(Settings!$E$12="YES",VLOOKUP(A414,'Player Data'!A1:E734,5,FALSE),82)</f>
        <v>68.31</v>
      </c>
      <c r="E414" s="39">
        <f>(VLOOKUP($A414,'The List'!$B1:$AH727,17,FALSE)-AVERAGE('The List'!R2:R727))/STDEV('The List'!R2:R727)</f>
        <v>-1.3973716912772465</v>
      </c>
      <c r="F414" s="39">
        <f>(VLOOKUP($A414,'The List'!$B1:$AH727,18,FALSE)-AVERAGE('The List'!S2:S727))/STDEV('The List'!S2:S727)</f>
        <v>-0.48683206308778032</v>
      </c>
      <c r="G414" s="39">
        <f>(VLOOKUP($A414,'The List'!$B1:$AH727,19,FALSE)-AVERAGE('The List'!T2:T727))/STDEV('The List'!T2:T727)</f>
        <v>-0.67752069513593494</v>
      </c>
      <c r="H414" s="39">
        <f>(VLOOKUP($A414,'The List'!$B1:$AH727,20,FALSE)-AVERAGE('The List'!U2:U727))/STDEV('The List'!U2:U727)</f>
        <v>-0.63903354378736232</v>
      </c>
      <c r="I414" s="39">
        <f>(VLOOKUP($A414,'The List'!$B1:$AH727,21,FALSE)-AVERAGE('The List'!V2:V727))/STDEV('The List'!V2:V727)</f>
        <v>-0.59091721605541481</v>
      </c>
      <c r="J414" s="39">
        <f>(VLOOKUP($A414,'The List'!$B1:$AH727,22,FALSE)-AVERAGE('The List'!W2:W727))/STDEV('The List'!W2:W727)</f>
        <v>-0.46492633083206436</v>
      </c>
      <c r="K414" s="39">
        <f>(VLOOKUP($A414,'The List'!$B1:$AH727,23,FALSE)-AVERAGE('The List'!X2:X727))/STDEV('The List'!X2:X727)</f>
        <v>-0.60801791850765152</v>
      </c>
      <c r="L414" s="39">
        <f>(VLOOKUP($A414,'The List'!$B1:$AH727,24,FALSE)-AVERAGE('The List'!Y2:Y727))/STDEV('The List'!Y2:Y727)</f>
        <v>-0.54402834717551152</v>
      </c>
      <c r="M414" s="39">
        <f>(VLOOKUP($A414,'The List'!$B1:$AH727,25,FALSE)-AVERAGE('The List'!Z2:Z727))/STDEV('The List'!Z2:Z727)</f>
        <v>-0.72372514007823274</v>
      </c>
      <c r="N414" s="39">
        <f>(VLOOKUP($A414,'The List'!$B1:$AH727,26,FALSE)-AVERAGE('The List'!AA2:AA727))/STDEV('The List'!AA2:AA727)</f>
        <v>-0.90315967034733435</v>
      </c>
      <c r="O414" s="39">
        <f>(VLOOKUP($A414,'The List'!$B1:$AH727,27,FALSE)-AVERAGE('The List'!AB2:AB727))/STDEV('The List'!AB2:AB727)</f>
        <v>-0.918678941238396</v>
      </c>
      <c r="P414" s="39">
        <f>(VLOOKUP($A414,'The List'!$B1:$AH727,28,FALSE)-AVERAGE('The List'!AC2:AC727))/STDEV('The List'!AC2:AC727)</f>
        <v>-1.1287715952245507</v>
      </c>
      <c r="Q414" s="39">
        <f>(VLOOKUP($A414,'The List'!$B1:$AH727,29,FALSE)-AVERAGE('The List'!AD2:AD727))/STDEV('The List'!AD2:AD727)</f>
        <v>-1.461673214636761</v>
      </c>
      <c r="R414" s="39">
        <f>(VLOOKUP($A414,'The List'!$B1:$AH727,30,FALSE)-AVERAGE('The List'!AE2:AE727))/STDEV('The List'!AE2:AE727)</f>
        <v>-0.62718775305082952</v>
      </c>
      <c r="S414" s="39">
        <f>(VLOOKUP($A414,'The List'!$B1:$AH727,31,FALSE)-AVERAGE('The List'!AF2:AF727))/STDEV('The List'!AF2:AF727)</f>
        <v>-0.5257769237383686</v>
      </c>
      <c r="T414" s="39">
        <f>(VLOOKUP($A414,'The List'!$B1:$AH727,32,FALSE)-AVERAGE('The List'!AG2:AG727))/STDEV('The List'!AG2:AG727)</f>
        <v>-0.54780703311080858</v>
      </c>
      <c r="U414" s="39">
        <f>(VLOOKUP($A414,'The List'!$B1:$AH727,33,FALSE)-AVERAGE('The List'!AH2:AH727))/STDEV('The List'!AH2:AH727)</f>
        <v>0.5026353439803285</v>
      </c>
      <c r="V414" s="39"/>
      <c r="W414" s="43"/>
      <c r="X414" s="41"/>
      <c r="Y414" s="41"/>
      <c r="Z414" s="41"/>
      <c r="AA414" s="41"/>
      <c r="AB414" s="41"/>
      <c r="AC414" s="44"/>
      <c r="AD414" s="45"/>
      <c r="AE414" s="39"/>
    </row>
    <row r="415" spans="1:31" ht="21.25" customHeight="1" x14ac:dyDescent="0.15">
      <c r="A415" s="8" t="s">
        <v>377</v>
      </c>
      <c r="B415" s="35" t="str">
        <f>VLOOKUP(A415,'Player Data'!A1:B734,2,FALSE)</f>
        <v>NYI</v>
      </c>
      <c r="C415" s="37">
        <f>((E415)*Settings!$C$12)+(F415*Settings!$C$2)+(G415*Settings!$C$3)+(H415*Settings!$C$4)+(I415*Settings!$C$5)+(K415*Settings!$C$9)+(N415*Settings!$C$6)+(J415*Settings!$C$8)+(O415*Settings!$C$7)+(P415*Settings!$C$14)+(Q415*Settings!$C$15)+(R415*Settings!$C$16)+(S415*Settings!$C$17)+(T415*Settings!$C$18)+(U415*Settings!$C$19)</f>
        <v>0.61646115541987412</v>
      </c>
      <c r="D415" s="41">
        <f>IF(Settings!$E$12="YES",VLOOKUP(A415,'Player Data'!A1:E734,5,FALSE),82)</f>
        <v>78.454999999999998</v>
      </c>
      <c r="E415" s="39">
        <f>(VLOOKUP($A415,'The List'!$B1:$AH727,17,FALSE)-AVERAGE('The List'!R2:R727))/STDEV('The List'!R2:R727)</f>
        <v>1.1579521513700135</v>
      </c>
      <c r="F415" s="39">
        <f>(VLOOKUP($A415,'The List'!$B1:$AH727,18,FALSE)-AVERAGE('The List'!S2:S727))/STDEV('The List'!S2:S727)</f>
        <v>-0.83376192170422547</v>
      </c>
      <c r="G415" s="39">
        <f>(VLOOKUP($A415,'The List'!$B1:$AH727,19,FALSE)-AVERAGE('The List'!T2:T727))/STDEV('The List'!T2:T727)</f>
        <v>-0.19267868420168197</v>
      </c>
      <c r="H415" s="39">
        <f>(VLOOKUP($A415,'The List'!$B1:$AH727,20,FALSE)-AVERAGE('The List'!U2:U727))/STDEV('The List'!U2:U727)</f>
        <v>-0.49814422753642257</v>
      </c>
      <c r="I415" s="39">
        <f>(VLOOKUP($A415,'The List'!$B1:$AH727,21,FALSE)-AVERAGE('The List'!V2:V727))/STDEV('The List'!V2:V727)</f>
        <v>-1.8709072676139034E-2</v>
      </c>
      <c r="J415" s="39">
        <f>(VLOOKUP($A415,'The List'!$B1:$AH727,22,FALSE)-AVERAGE('The List'!W2:W727))/STDEV('The List'!W2:W727)</f>
        <v>-0.51802674063226284</v>
      </c>
      <c r="K415" s="39">
        <f>(VLOOKUP($A415,'The List'!$B1:$AH727,23,FALSE)-AVERAGE('The List'!X2:X727))/STDEV('The List'!X2:X727)</f>
        <v>-0.46975977428023985</v>
      </c>
      <c r="L415" s="39">
        <f>(VLOOKUP($A415,'The List'!$B1:$AH727,24,FALSE)-AVERAGE('The List'!Y2:Y727))/STDEV('The List'!Y2:Y727)</f>
        <v>-0.48684957839251397</v>
      </c>
      <c r="M415" s="39">
        <f>(VLOOKUP($A415,'The List'!$B1:$AH727,25,FALSE)-AVERAGE('The List'!Z2:Z727))/STDEV('The List'!Z2:Z727)</f>
        <v>-0.27836955568514965</v>
      </c>
      <c r="N415" s="39">
        <f>(VLOOKUP($A415,'The List'!$B1:$AH727,26,FALSE)-AVERAGE('The List'!AA2:AA727))/STDEV('The List'!AA2:AA727)</f>
        <v>1.9548492102848889</v>
      </c>
      <c r="O415" s="39">
        <f>(VLOOKUP($A415,'The List'!$B1:$AH727,27,FALSE)-AVERAGE('The List'!AB2:AB727))/STDEV('The List'!AB2:AB727)</f>
        <v>0.84638028766355788</v>
      </c>
      <c r="P415" s="39">
        <f>(VLOOKUP($A415,'The List'!$B1:$AH727,28,FALSE)-AVERAGE('The List'!AC2:AC727))/STDEV('The List'!AC2:AC727)</f>
        <v>0.17652139799727137</v>
      </c>
      <c r="Q415" s="39">
        <f>(VLOOKUP($A415,'The List'!$B1:$AH727,29,FALSE)-AVERAGE('The List'!AD2:AD727))/STDEV('The List'!AD2:AD727)</f>
        <v>-1.1832161549701257</v>
      </c>
      <c r="R415" s="39">
        <f>(VLOOKUP($A415,'The List'!$B1:$AH727,30,FALSE)-AVERAGE('The List'!AE2:AE727))/STDEV('The List'!AE2:AE727)</f>
        <v>-0.7276320286442377</v>
      </c>
      <c r="S415" s="39">
        <f>(VLOOKUP($A415,'The List'!$B1:$AH727,31,FALSE)-AVERAGE('The List'!AF2:AF727))/STDEV('The List'!AF2:AF727)</f>
        <v>-0.55804314905918151</v>
      </c>
      <c r="T415" s="39">
        <f>(VLOOKUP($A415,'The List'!$B1:$AH727,32,FALSE)-AVERAGE('The List'!AG2:AG727))/STDEV('The List'!AG2:AG727)</f>
        <v>-0.60188453558131205</v>
      </c>
      <c r="U415" s="39">
        <f>(VLOOKUP($A415,'The List'!$B1:$AH727,33,FALSE)-AVERAGE('The List'!AH2:AH727))/STDEV('The List'!AH2:AH727)</f>
        <v>-1.2395873372913611</v>
      </c>
      <c r="V415" s="39"/>
      <c r="W415" s="43"/>
      <c r="X415" s="41"/>
      <c r="Y415" s="41"/>
      <c r="Z415" s="41"/>
      <c r="AA415" s="41"/>
      <c r="AB415" s="41"/>
      <c r="AC415" s="44"/>
      <c r="AD415" s="45"/>
      <c r="AE415" s="39"/>
    </row>
    <row r="416" spans="1:31" ht="21.25" customHeight="1" x14ac:dyDescent="0.15">
      <c r="A416" s="8" t="s">
        <v>660</v>
      </c>
      <c r="B416" s="35" t="str">
        <f>VLOOKUP(A416,'Player Data'!A1:B734,2,FALSE)</f>
        <v>VAN</v>
      </c>
      <c r="C416" s="37">
        <f>((E416)*Settings!$C$12)+(F416*Settings!$C$2)+(G416*Settings!$C$3)+(H416*Settings!$C$4)+(I416*Settings!$C$5)+(K416*Settings!$C$9)+(N416*Settings!$C$6)+(J416*Settings!$C$8)+(O416*Settings!$C$7)+(P416*Settings!$C$14)+(Q416*Settings!$C$15)+(R416*Settings!$C$16)+(S416*Settings!$C$17)+(T416*Settings!$C$18)+(U416*Settings!$C$19)</f>
        <v>-3.4437654327339793</v>
      </c>
      <c r="D416" s="41">
        <f>IF(Settings!$E$12="YES",VLOOKUP(A416,'Player Data'!A1:E734,5,FALSE),82)</f>
        <v>65.784999999999997</v>
      </c>
      <c r="E416" s="39">
        <f>(VLOOKUP($A416,'The List'!$B1:$AH727,17,FALSE)-AVERAGE('The List'!R2:R727))/STDEV('The List'!R2:R727)</f>
        <v>-1.0561309703242441</v>
      </c>
      <c r="F416" s="39">
        <f>(VLOOKUP($A416,'The List'!$B1:$AH727,18,FALSE)-AVERAGE('The List'!S2:S727))/STDEV('The List'!S2:S727)</f>
        <v>-0.28562070155457764</v>
      </c>
      <c r="G416" s="39">
        <f>(VLOOKUP($A416,'The List'!$B1:$AH727,19,FALSE)-AVERAGE('The List'!T2:T727))/STDEV('The List'!T2:T727)</f>
        <v>-0.88803899376215756</v>
      </c>
      <c r="H416" s="39">
        <f>(VLOOKUP($A416,'The List'!$B1:$AH727,20,FALSE)-AVERAGE('The List'!U2:U727))/STDEV('The List'!U2:U727)</f>
        <v>-0.67719309726657895</v>
      </c>
      <c r="I416" s="39">
        <f>(VLOOKUP($A416,'The List'!$B1:$AH727,21,FALSE)-AVERAGE('The List'!V2:V727))/STDEV('The List'!V2:V727)</f>
        <v>-0.77646439080397844</v>
      </c>
      <c r="J416" s="39">
        <f>(VLOOKUP($A416,'The List'!$B1:$AH727,22,FALSE)-AVERAGE('The List'!W2:W727))/STDEV('The List'!W2:W727)</f>
        <v>-0.50442014556336345</v>
      </c>
      <c r="K416" s="39">
        <f>(VLOOKUP($A416,'The List'!$B1:$AH727,23,FALSE)-AVERAGE('The List'!X2:X727))/STDEV('The List'!X2:X727)</f>
        <v>-0.6420739017382272</v>
      </c>
      <c r="L416" s="39">
        <f>(VLOOKUP($A416,'The List'!$B1:$AH727,24,FALSE)-AVERAGE('The List'!Y2:Y727))/STDEV('The List'!Y2:Y727)</f>
        <v>-0.53162444030994671</v>
      </c>
      <c r="M416" s="39">
        <f>(VLOOKUP($A416,'The List'!$B1:$AH727,25,FALSE)-AVERAGE('The List'!Z2:Z727))/STDEV('The List'!Z2:Z727)</f>
        <v>-0.70968257300259807</v>
      </c>
      <c r="N416" s="39">
        <f>(VLOOKUP($A416,'The List'!$B1:$AH727,26,FALSE)-AVERAGE('The List'!AA2:AA727))/STDEV('The List'!AA2:AA727)</f>
        <v>-0.82232142343994896</v>
      </c>
      <c r="O416" s="39">
        <f>(VLOOKUP($A416,'The List'!$B1:$AH727,27,FALSE)-AVERAGE('The List'!AB2:AB727))/STDEV('The List'!AB2:AB727)</f>
        <v>-0.15357736001228692</v>
      </c>
      <c r="P416" s="39">
        <f>(VLOOKUP($A416,'The List'!$B1:$AH727,28,FALSE)-AVERAGE('The List'!AC2:AC727))/STDEV('The List'!AC2:AC727)</f>
        <v>-2.9246021435089638E-2</v>
      </c>
      <c r="Q416" s="39">
        <f>(VLOOKUP($A416,'The List'!$B1:$AH727,29,FALSE)-AVERAGE('The List'!AD2:AD727))/STDEV('The List'!AD2:AD727)</f>
        <v>-0.80747353058095284</v>
      </c>
      <c r="R416" s="39">
        <f>(VLOOKUP($A416,'The List'!$B1:$AH727,30,FALSE)-AVERAGE('The List'!AE2:AE727))/STDEV('The List'!AE2:AE727)</f>
        <v>-0.25973957667200431</v>
      </c>
      <c r="S416" s="39">
        <f>(VLOOKUP($A416,'The List'!$B1:$AH727,31,FALSE)-AVERAGE('The List'!AF2:AF727))/STDEV('The List'!AF2:AF727)</f>
        <v>-0.50648296538625681</v>
      </c>
      <c r="T416" s="39">
        <f>(VLOOKUP($A416,'The List'!$B1:$AH727,32,FALSE)-AVERAGE('The List'!AG2:AG727))/STDEV('The List'!AG2:AG727)</f>
        <v>-0.52906692760475915</v>
      </c>
      <c r="U416" s="39">
        <f>(VLOOKUP($A416,'The List'!$B1:$AH727,33,FALSE)-AVERAGE('The List'!AH2:AH727))/STDEV('The List'!AH2:AH727)</f>
        <v>0.68906639349668686</v>
      </c>
      <c r="V416" s="39"/>
      <c r="W416" s="43"/>
      <c r="X416" s="41"/>
      <c r="Y416" s="41"/>
      <c r="Z416" s="41"/>
      <c r="AA416" s="41"/>
      <c r="AB416" s="41"/>
      <c r="AC416" s="44"/>
      <c r="AD416" s="45"/>
      <c r="AE416" s="39"/>
    </row>
    <row r="417" spans="1:31" ht="21.25" customHeight="1" x14ac:dyDescent="0.15">
      <c r="A417" s="8" t="s">
        <v>713</v>
      </c>
      <c r="B417" s="35" t="str">
        <f>VLOOKUP(A417,'Player Data'!A1:B734,2,FALSE)</f>
        <v>ARI</v>
      </c>
      <c r="C417" s="37">
        <f>((E417)*Settings!$C$12)+(F417*Settings!$C$2)+(G417*Settings!$C$3)+(H417*Settings!$C$4)+(I417*Settings!$C$5)+(K417*Settings!$C$9)+(N417*Settings!$C$6)+(J417*Settings!$C$8)+(O417*Settings!$C$7)+(P417*Settings!$C$14)+(Q417*Settings!$C$15)+(R417*Settings!$C$16)+(S417*Settings!$C$17)+(T417*Settings!$C$18)+(U417*Settings!$C$19)</f>
        <v>-4.2124463924906816</v>
      </c>
      <c r="D417" s="41">
        <f>IF(Settings!$E$12="YES",VLOOKUP(A417,'Player Data'!A1:E734,5,FALSE),82)</f>
        <v>61.64</v>
      </c>
      <c r="E417" s="39">
        <f>(VLOOKUP($A417,'The List'!$B1:$AH727,17,FALSE)-AVERAGE('The List'!R2:R727))/STDEV('The List'!R2:R727)</f>
        <v>-1.2037885828516532</v>
      </c>
      <c r="F417" s="39">
        <f>(VLOOKUP($A417,'The List'!$B1:$AH727,18,FALSE)-AVERAGE('The List'!S2:S727))/STDEV('The List'!S2:S727)</f>
        <v>-0.30812405149685101</v>
      </c>
      <c r="G417" s="39">
        <f>(VLOOKUP($A417,'The List'!$B1:$AH727,19,FALSE)-AVERAGE('The List'!T2:T727))/STDEV('The List'!T2:T727)</f>
        <v>-0.9668731369606699</v>
      </c>
      <c r="H417" s="39">
        <f>(VLOOKUP($A417,'The List'!$B1:$AH727,20,FALSE)-AVERAGE('The List'!U2:U727))/STDEV('The List'!U2:U727)</f>
        <v>-0.73601185460608876</v>
      </c>
      <c r="I417" s="39">
        <f>(VLOOKUP($A417,'The List'!$B1:$AH727,21,FALSE)-AVERAGE('The List'!V2:V727))/STDEV('The List'!V2:V727)</f>
        <v>-0.67051824167695229</v>
      </c>
      <c r="J417" s="39">
        <f>(VLOOKUP($A417,'The List'!$B1:$AH727,22,FALSE)-AVERAGE('The List'!W2:W727))/STDEV('The List'!W2:W727)</f>
        <v>-0.64984692798074029</v>
      </c>
      <c r="K417" s="39">
        <f>(VLOOKUP($A417,'The List'!$B1:$AH727,23,FALSE)-AVERAGE('The List'!X2:X727))/STDEV('The List'!X2:X727)</f>
        <v>-0.74065492739496197</v>
      </c>
      <c r="L417" s="39">
        <f>(VLOOKUP($A417,'The List'!$B1:$AH727,24,FALSE)-AVERAGE('The List'!Y2:Y727))/STDEV('The List'!Y2:Y727)</f>
        <v>-0.54180435430216056</v>
      </c>
      <c r="M417" s="39">
        <f>(VLOOKUP($A417,'The List'!$B1:$AH727,25,FALSE)-AVERAGE('The List'!Z2:Z727))/STDEV('The List'!Z2:Z727)</f>
        <v>-0.72122036689376956</v>
      </c>
      <c r="N417" s="39">
        <f>(VLOOKUP($A417,'The List'!$B1:$AH727,26,FALSE)-AVERAGE('The List'!AA2:AA727))/STDEV('The List'!AA2:AA727)</f>
        <v>-1.0169794434592541</v>
      </c>
      <c r="O417" s="39">
        <f>(VLOOKUP($A417,'The List'!$B1:$AH727,27,FALSE)-AVERAGE('The List'!AB2:AB727))/STDEV('The List'!AB2:AB727)</f>
        <v>-3.407279421976625E-2</v>
      </c>
      <c r="P417" s="39">
        <f>(VLOOKUP($A417,'The List'!$B1:$AH727,28,FALSE)-AVERAGE('The List'!AC2:AC727))/STDEV('The List'!AC2:AC727)</f>
        <v>-0.50929659150199225</v>
      </c>
      <c r="Q417" s="39">
        <f>(VLOOKUP($A417,'The List'!$B1:$AH727,29,FALSE)-AVERAGE('The List'!AD2:AD727))/STDEV('The List'!AD2:AD727)</f>
        <v>-0.60792716577156869</v>
      </c>
      <c r="R417" s="39">
        <f>(VLOOKUP($A417,'The List'!$B1:$AH727,30,FALSE)-AVERAGE('The List'!AE2:AE727))/STDEV('The List'!AE2:AE727)</f>
        <v>-0.39846032885141314</v>
      </c>
      <c r="S417" s="39">
        <f>(VLOOKUP($A417,'The List'!$B1:$AH727,31,FALSE)-AVERAGE('The List'!AF2:AF727))/STDEV('The List'!AF2:AF727)</f>
        <v>-0.55804314905918151</v>
      </c>
      <c r="T417" s="39">
        <f>(VLOOKUP($A417,'The List'!$B1:$AH727,32,FALSE)-AVERAGE('The List'!AG2:AG727))/STDEV('The List'!AG2:AG727)</f>
        <v>-0.56884206410141525</v>
      </c>
      <c r="U417" s="39">
        <f>(VLOOKUP($A417,'The List'!$B1:$AH727,33,FALSE)-AVERAGE('The List'!AH2:AH727))/STDEV('The List'!AH2:AH727)</f>
        <v>-1.2395873372913611</v>
      </c>
      <c r="V417" s="39"/>
      <c r="W417" s="43"/>
      <c r="X417" s="41"/>
      <c r="Y417" s="41"/>
      <c r="Z417" s="41"/>
      <c r="AA417" s="41"/>
      <c r="AB417" s="41"/>
      <c r="AC417" s="44"/>
      <c r="AD417" s="45"/>
      <c r="AE417" s="39"/>
    </row>
    <row r="418" spans="1:31" ht="21.25" customHeight="1" x14ac:dyDescent="0.15">
      <c r="A418" s="8" t="s">
        <v>457</v>
      </c>
      <c r="B418" s="35" t="str">
        <f>VLOOKUP(A418,'Player Data'!A1:B734,2,FALSE)</f>
        <v>CBJ</v>
      </c>
      <c r="C418" s="37">
        <f>((E418)*Settings!$C$12)+(F418*Settings!$C$2)+(G418*Settings!$C$3)+(H418*Settings!$C$4)+(I418*Settings!$C$5)+(K418*Settings!$C$9)+(N418*Settings!$C$6)+(J418*Settings!$C$8)+(O418*Settings!$C$7)+(P418*Settings!$C$14)+(Q418*Settings!$C$15)+(R418*Settings!$C$16)+(S418*Settings!$C$17)+(T418*Settings!$C$18)+(U418*Settings!$C$19)</f>
        <v>-1.7532983368594501</v>
      </c>
      <c r="D418" s="41">
        <f>IF(Settings!$E$12="YES",VLOOKUP(A418,'Player Data'!A1:E734,5,FALSE),82)</f>
        <v>72</v>
      </c>
      <c r="E418" s="39">
        <f>(VLOOKUP($A418,'The List'!$B1:$AH727,17,FALSE)-AVERAGE('The List'!R2:R727))/STDEV('The List'!R2:R727)</f>
        <v>-0.12604579591202264</v>
      </c>
      <c r="F418" s="39">
        <f>(VLOOKUP($A418,'The List'!$B1:$AH727,18,FALSE)-AVERAGE('The List'!S2:S727))/STDEV('The List'!S2:S727)</f>
        <v>-0.88421817542005154</v>
      </c>
      <c r="G418" s="39">
        <f>(VLOOKUP($A418,'The List'!$B1:$AH727,19,FALSE)-AVERAGE('The List'!T2:T727))/STDEV('The List'!T2:T727)</f>
        <v>-0.30885772222898378</v>
      </c>
      <c r="H418" s="39">
        <f>(VLOOKUP($A418,'The List'!$B1:$AH727,20,FALSE)-AVERAGE('The List'!U2:U727))/STDEV('The List'!U2:U727)</f>
        <v>-0.59269557334643796</v>
      </c>
      <c r="I418" s="39">
        <f>(VLOOKUP($A418,'The List'!$B1:$AH727,21,FALSE)-AVERAGE('The List'!V2:V727))/STDEV('The List'!V2:V727)</f>
        <v>-0.53299158216656095</v>
      </c>
      <c r="J418" s="39">
        <f>(VLOOKUP($A418,'The List'!$B1:$AH727,22,FALSE)-AVERAGE('The List'!W2:W727))/STDEV('The List'!W2:W727)</f>
        <v>-0.56850433253141219</v>
      </c>
      <c r="K418" s="39">
        <f>(VLOOKUP($A418,'The List'!$B1:$AH727,23,FALSE)-AVERAGE('The List'!X2:X727))/STDEV('The List'!X2:X727)</f>
        <v>-0.50557170776038862</v>
      </c>
      <c r="L418" s="39">
        <f>(VLOOKUP($A418,'The List'!$B1:$AH727,24,FALSE)-AVERAGE('The List'!Y2:Y727))/STDEV('The List'!Y2:Y727)</f>
        <v>-0.54402834717551152</v>
      </c>
      <c r="M418" s="39">
        <f>(VLOOKUP($A418,'The List'!$B1:$AH727,25,FALSE)-AVERAGE('The List'!Z2:Z727))/STDEV('The List'!Z2:Z727)</f>
        <v>-0.72372514007823274</v>
      </c>
      <c r="N418" s="39">
        <f>(VLOOKUP($A418,'The List'!$B1:$AH727,26,FALSE)-AVERAGE('The List'!AA2:AA727))/STDEV('The List'!AA2:AA727)</f>
        <v>0.53192484297215903</v>
      </c>
      <c r="O418" s="39">
        <f>(VLOOKUP($A418,'The List'!$B1:$AH727,27,FALSE)-AVERAGE('The List'!AB2:AB727))/STDEV('The List'!AB2:AB727)</f>
        <v>-4.6190051611352909E-2</v>
      </c>
      <c r="P418" s="39">
        <f>(VLOOKUP($A418,'The List'!$B1:$AH727,28,FALSE)-AVERAGE('The List'!AC2:AC727))/STDEV('The List'!AC2:AC727)</f>
        <v>-5.3583992255624262E-2</v>
      </c>
      <c r="Q418" s="39">
        <f>(VLOOKUP($A418,'The List'!$B1:$AH727,29,FALSE)-AVERAGE('The List'!AD2:AD727))/STDEV('The List'!AD2:AD727)</f>
        <v>-0.1242515812504945</v>
      </c>
      <c r="R418" s="39">
        <f>(VLOOKUP($A418,'The List'!$B1:$AH727,30,FALSE)-AVERAGE('The List'!AE2:AE727))/STDEV('The List'!AE2:AE727)</f>
        <v>-0.90534467113688044</v>
      </c>
      <c r="S418" s="39">
        <f>(VLOOKUP($A418,'The List'!$B1:$AH727,31,FALSE)-AVERAGE('The List'!AF2:AF727))/STDEV('The List'!AF2:AF727)</f>
        <v>-0.55804314905918151</v>
      </c>
      <c r="T418" s="39">
        <f>(VLOOKUP($A418,'The List'!$B1:$AH727,32,FALSE)-AVERAGE('The List'!AG2:AG727))/STDEV('The List'!AG2:AG727)</f>
        <v>-0.60188453558131205</v>
      </c>
      <c r="U418" s="39">
        <f>(VLOOKUP($A418,'The List'!$B1:$AH727,33,FALSE)-AVERAGE('The List'!AH2:AH727))/STDEV('The List'!AH2:AH727)</f>
        <v>-1.2395873372913611</v>
      </c>
      <c r="V418" s="39"/>
      <c r="W418" s="43"/>
      <c r="X418" s="41"/>
      <c r="Y418" s="41"/>
      <c r="Z418" s="41"/>
      <c r="AA418" s="41"/>
      <c r="AB418" s="41"/>
      <c r="AC418" s="44"/>
      <c r="AD418" s="45"/>
      <c r="AE418" s="39"/>
    </row>
    <row r="419" spans="1:31" ht="21.25" customHeight="1" x14ac:dyDescent="0.15">
      <c r="A419" s="8" t="s">
        <v>581</v>
      </c>
      <c r="B419" s="35" t="str">
        <f>VLOOKUP(A419,'Player Data'!A1:B734,2,FALSE)</f>
        <v>COL</v>
      </c>
      <c r="C419" s="37">
        <f>((E419)*Settings!$C$12)+(F419*Settings!$C$2)+(G419*Settings!$C$3)+(H419*Settings!$C$4)+(I419*Settings!$C$5)+(K419*Settings!$C$9)+(N419*Settings!$C$6)+(J419*Settings!$C$8)+(O419*Settings!$C$7)+(P419*Settings!$C$14)+(Q419*Settings!$C$15)+(R419*Settings!$C$16)+(S419*Settings!$C$17)+(T419*Settings!$C$18)+(U419*Settings!$C$19)</f>
        <v>-1.561652512172897</v>
      </c>
      <c r="D419" s="41">
        <f>IF(Settings!$E$12="YES",VLOOKUP(A419,'Player Data'!A1:E734,5,FALSE),82)</f>
        <v>76.913928571428599</v>
      </c>
      <c r="E419" s="39">
        <f>(VLOOKUP($A419,'The List'!$B1:$AH727,17,FALSE)-AVERAGE('The List'!R2:R727))/STDEV('The List'!R2:R727)</f>
        <v>-0.7079371007923666</v>
      </c>
      <c r="F419" s="39">
        <f>(VLOOKUP($A419,'The List'!$B1:$AH727,18,FALSE)-AVERAGE('The List'!S2:S727))/STDEV('The List'!S2:S727)</f>
        <v>-0.43870721670723312</v>
      </c>
      <c r="G419" s="39">
        <f>(VLOOKUP($A419,'The List'!$B1:$AH727,19,FALSE)-AVERAGE('The List'!T2:T727))/STDEV('The List'!T2:T727)</f>
        <v>-0.52735875454312731</v>
      </c>
      <c r="H419" s="39">
        <f>(VLOOKUP($A419,'The List'!$B1:$AH727,20,FALSE)-AVERAGE('The List'!U2:U727))/STDEV('The List'!U2:U727)</f>
        <v>-0.52460255673286749</v>
      </c>
      <c r="I419" s="39">
        <f>(VLOOKUP($A419,'The List'!$B1:$AH727,21,FALSE)-AVERAGE('The List'!V2:V727))/STDEV('The List'!V2:V727)</f>
        <v>-0.44783762497728286</v>
      </c>
      <c r="J419" s="39">
        <f>(VLOOKUP($A419,'The List'!$B1:$AH727,22,FALSE)-AVERAGE('The List'!W2:W727))/STDEV('The List'!W2:W727)</f>
        <v>-0.69573553733118287</v>
      </c>
      <c r="K419" s="39">
        <f>(VLOOKUP($A419,'The List'!$B1:$AH727,23,FALSE)-AVERAGE('The List'!X2:X727))/STDEV('The List'!X2:X727)</f>
        <v>-0.78523594030162314</v>
      </c>
      <c r="L419" s="39">
        <f>(VLOOKUP($A419,'The List'!$B1:$AH727,24,FALSE)-AVERAGE('The List'!Y2:Y727))/STDEV('The List'!Y2:Y727)</f>
        <v>1.8671928606265409</v>
      </c>
      <c r="M419" s="39">
        <f>(VLOOKUP($A419,'The List'!$B1:$AH727,25,FALSE)-AVERAGE('The List'!Z2:Z727))/STDEV('The List'!Z2:Z727)</f>
        <v>2.3240059786484282</v>
      </c>
      <c r="N419" s="39">
        <f>(VLOOKUP($A419,'The List'!$B1:$AH727,26,FALSE)-AVERAGE('The List'!AA2:AA727))/STDEV('The List'!AA2:AA727)</f>
        <v>-0.28743249277257549</v>
      </c>
      <c r="O419" s="39">
        <f>(VLOOKUP($A419,'The List'!$B1:$AH727,27,FALSE)-AVERAGE('The List'!AB2:AB727))/STDEV('The List'!AB2:AB727)</f>
        <v>0.27631476832573282</v>
      </c>
      <c r="P419" s="39">
        <f>(VLOOKUP($A419,'The List'!$B1:$AH727,28,FALSE)-AVERAGE('The List'!AC2:AC727))/STDEV('The List'!AC2:AC727)</f>
        <v>0.92491951712894449</v>
      </c>
      <c r="Q419" s="39">
        <f>(VLOOKUP($A419,'The List'!$B1:$AH727,29,FALSE)-AVERAGE('The List'!AD2:AD727))/STDEV('The List'!AD2:AD727)</f>
        <v>0.1046293357141372</v>
      </c>
      <c r="R419" s="39">
        <f>(VLOOKUP($A419,'The List'!$B1:$AH727,30,FALSE)-AVERAGE('The List'!AE2:AE727))/STDEV('The List'!AE2:AE727)</f>
        <v>-0.30824517839417714</v>
      </c>
      <c r="S419" s="39">
        <f>(VLOOKUP($A419,'The List'!$B1:$AH727,31,FALSE)-AVERAGE('The List'!AF2:AF727))/STDEV('The List'!AF2:AF727)</f>
        <v>-0.54464651072979198</v>
      </c>
      <c r="T419" s="39">
        <f>(VLOOKUP($A419,'The List'!$B1:$AH727,32,FALSE)-AVERAGE('The List'!AG2:AG727))/STDEV('The List'!AG2:AG727)</f>
        <v>-0.54980902858479386</v>
      </c>
      <c r="U419" s="39">
        <f>(VLOOKUP($A419,'The List'!$B1:$AH727,33,FALSE)-AVERAGE('The List'!AH2:AH727))/STDEV('The List'!AH2:AH727)</f>
        <v>-0.27734176606083599</v>
      </c>
      <c r="V419" s="39"/>
      <c r="W419" s="43"/>
      <c r="X419" s="41"/>
      <c r="Y419" s="41"/>
      <c r="Z419" s="41"/>
      <c r="AA419" s="41"/>
      <c r="AB419" s="41"/>
      <c r="AC419" s="44"/>
      <c r="AD419" s="45"/>
      <c r="AE419" s="39"/>
    </row>
    <row r="420" spans="1:31" ht="21.25" customHeight="1" x14ac:dyDescent="0.15">
      <c r="A420" s="8" t="s">
        <v>553</v>
      </c>
      <c r="B420" s="35" t="str">
        <f>VLOOKUP(A420,'Player Data'!A1:B734,2,FALSE)</f>
        <v>STL</v>
      </c>
      <c r="C420" s="37">
        <f>((E420)*Settings!$C$12)+(F420*Settings!$C$2)+(G420*Settings!$C$3)+(H420*Settings!$C$4)+(I420*Settings!$C$5)+(K420*Settings!$C$9)+(N420*Settings!$C$6)+(J420*Settings!$C$8)+(O420*Settings!$C$7)+(P420*Settings!$C$14)+(Q420*Settings!$C$15)+(R420*Settings!$C$16)+(S420*Settings!$C$17)+(T420*Settings!$C$18)+(U420*Settings!$C$19)</f>
        <v>-3.3428802591533602</v>
      </c>
      <c r="D420" s="41">
        <f>IF(Settings!$E$12="YES",VLOOKUP(A420,'Player Data'!A1:E734,5,FALSE),82)</f>
        <v>62.17</v>
      </c>
      <c r="E420" s="39">
        <f>(VLOOKUP($A420,'The List'!$B1:$AH727,17,FALSE)-AVERAGE('The List'!R2:R727))/STDEV('The List'!R2:R727)</f>
        <v>-0.26181051005795142</v>
      </c>
      <c r="F420" s="39">
        <f>(VLOOKUP($A420,'The List'!$B1:$AH727,18,FALSE)-AVERAGE('The List'!S2:S727))/STDEV('The List'!S2:S727)</f>
        <v>-0.63402088894069319</v>
      </c>
      <c r="G420" s="39">
        <f>(VLOOKUP($A420,'The List'!$B1:$AH727,19,FALSE)-AVERAGE('The List'!T2:T727))/STDEV('The List'!T2:T727)</f>
        <v>-0.71856561588830126</v>
      </c>
      <c r="H420" s="39">
        <f>(VLOOKUP($A420,'The List'!$B1:$AH727,20,FALSE)-AVERAGE('The List'!U2:U727))/STDEV('The List'!U2:U727)</f>
        <v>-0.73130592819738183</v>
      </c>
      <c r="I420" s="39">
        <f>(VLOOKUP($A420,'The List'!$B1:$AH727,21,FALSE)-AVERAGE('The List'!V2:V727))/STDEV('The List'!V2:V727)</f>
        <v>-0.95386800916397818</v>
      </c>
      <c r="J420" s="39">
        <f>(VLOOKUP($A420,'The List'!$B1:$AH727,22,FALSE)-AVERAGE('The List'!W2:W727))/STDEV('The List'!W2:W727)</f>
        <v>-0.70743633611112866</v>
      </c>
      <c r="K420" s="39">
        <f>(VLOOKUP($A420,'The List'!$B1:$AH727,23,FALSE)-AVERAGE('The List'!X2:X727))/STDEV('The List'!X2:X727)</f>
        <v>-0.78956811509270186</v>
      </c>
      <c r="L420" s="39">
        <f>(VLOOKUP($A420,'The List'!$B1:$AH727,24,FALSE)-AVERAGE('The List'!Y2:Y727))/STDEV('The List'!Y2:Y727)</f>
        <v>-0.48263229224836585</v>
      </c>
      <c r="M420" s="39">
        <f>(VLOOKUP($A420,'The List'!$B1:$AH727,25,FALSE)-AVERAGE('The List'!Z2:Z727))/STDEV('The List'!Z2:Z727)</f>
        <v>-0.58385587795433336</v>
      </c>
      <c r="N420" s="39">
        <f>(VLOOKUP($A420,'The List'!$B1:$AH727,26,FALSE)-AVERAGE('The List'!AA2:AA727))/STDEV('The List'!AA2:AA727)</f>
        <v>0.24118387356941709</v>
      </c>
      <c r="O420" s="39">
        <f>(VLOOKUP($A420,'The List'!$B1:$AH727,27,FALSE)-AVERAGE('The List'!AB2:AB727))/STDEV('The List'!AB2:AB727)</f>
        <v>-1.0249057865372551</v>
      </c>
      <c r="P420" s="39">
        <f>(VLOOKUP($A420,'The List'!$B1:$AH727,28,FALSE)-AVERAGE('The List'!AC2:AC727))/STDEV('The List'!AC2:AC727)</f>
        <v>-0.48804150363710286</v>
      </c>
      <c r="Q420" s="39">
        <f>(VLOOKUP($A420,'The List'!$B1:$AH727,29,FALSE)-AVERAGE('The List'!AD2:AD727))/STDEV('The List'!AD2:AD727)</f>
        <v>-1.0763467859231537</v>
      </c>
      <c r="R420" s="39">
        <f>(VLOOKUP($A420,'The List'!$B1:$AH727,30,FALSE)-AVERAGE('The List'!AE2:AE727))/STDEV('The List'!AE2:AE727)</f>
        <v>-0.69608916687579137</v>
      </c>
      <c r="S420" s="39">
        <f>(VLOOKUP($A420,'The List'!$B1:$AH727,31,FALSE)-AVERAGE('The List'!AF2:AF727))/STDEV('The List'!AF2:AF727)</f>
        <v>-0.55804314905918151</v>
      </c>
      <c r="T420" s="39">
        <f>(VLOOKUP($A420,'The List'!$B1:$AH727,32,FALSE)-AVERAGE('The List'!AG2:AG727))/STDEV('The List'!AG2:AG727)</f>
        <v>-0.60188453558131205</v>
      </c>
      <c r="U420" s="39">
        <f>(VLOOKUP($A420,'The List'!$B1:$AH727,33,FALSE)-AVERAGE('The List'!AH2:AH727))/STDEV('The List'!AH2:AH727)</f>
        <v>-1.2395873372913611</v>
      </c>
      <c r="V420" s="39"/>
      <c r="W420" s="43"/>
      <c r="X420" s="41"/>
      <c r="Y420" s="41"/>
      <c r="Z420" s="41"/>
      <c r="AA420" s="41"/>
      <c r="AB420" s="41"/>
      <c r="AC420" s="44"/>
      <c r="AD420" s="45"/>
      <c r="AE420" s="39"/>
    </row>
    <row r="421" spans="1:31" ht="21.25" customHeight="1" x14ac:dyDescent="0.15">
      <c r="A421" s="8" t="s">
        <v>747</v>
      </c>
      <c r="B421" s="35" t="str">
        <f>VLOOKUP(A421,'Player Data'!A1:B734,2,FALSE)</f>
        <v>WPG</v>
      </c>
      <c r="C421" s="37">
        <f>((E421)*Settings!$C$12)+(F421*Settings!$C$2)+(G421*Settings!$C$3)+(H421*Settings!$C$4)+(I421*Settings!$C$5)+(K421*Settings!$C$9)+(N421*Settings!$C$6)+(J421*Settings!$C$8)+(O421*Settings!$C$7)+(P421*Settings!$C$14)+(Q421*Settings!$C$15)+(R421*Settings!$C$16)+(S421*Settings!$C$17)+(T421*Settings!$C$18)+(U421*Settings!$C$19)</f>
        <v>-3.0123651963141422</v>
      </c>
      <c r="D421" s="41">
        <f>IF(Settings!$E$12="YES",VLOOKUP(A421,'Player Data'!A1:E734,5,FALSE),82)</f>
        <v>64.869642857142907</v>
      </c>
      <c r="E421" s="39">
        <f>(VLOOKUP($A421,'The List'!$B1:$AH727,17,FALSE)-AVERAGE('The List'!R2:R727))/STDEV('The List'!R2:R727)</f>
        <v>-0.96455584488943247</v>
      </c>
      <c r="F421" s="39">
        <f>(VLOOKUP($A421,'The List'!$B1:$AH727,18,FALSE)-AVERAGE('The List'!S2:S727))/STDEV('The List'!S2:S727)</f>
        <v>-0.50121521757972243</v>
      </c>
      <c r="G421" s="39">
        <f>(VLOOKUP($A421,'The List'!$B1:$AH727,19,FALSE)-AVERAGE('The List'!T2:T727))/STDEV('The List'!T2:T727)</f>
        <v>-0.75649468692239219</v>
      </c>
      <c r="H421" s="39">
        <f>(VLOOKUP($A421,'The List'!$B1:$AH727,20,FALSE)-AVERAGE('The List'!U2:U727))/STDEV('The List'!U2:U727)</f>
        <v>-0.69424328005232294</v>
      </c>
      <c r="I421" s="39">
        <f>(VLOOKUP($A421,'The List'!$B1:$AH727,21,FALSE)-AVERAGE('The List'!V2:V727))/STDEV('The List'!V2:V727)</f>
        <v>-0.54285852876142549</v>
      </c>
      <c r="J421" s="39">
        <f>(VLOOKUP($A421,'The List'!$B1:$AH727,22,FALSE)-AVERAGE('The List'!W2:W727))/STDEV('The List'!W2:W727)</f>
        <v>-0.69768325974979462</v>
      </c>
      <c r="K421" s="39">
        <f>(VLOOKUP($A421,'The List'!$B1:$AH727,23,FALSE)-AVERAGE('The List'!X2:X727))/STDEV('The List'!X2:X727)</f>
        <v>-0.78734746685677492</v>
      </c>
      <c r="L421" s="39">
        <f>(VLOOKUP($A421,'The List'!$B1:$AH727,24,FALSE)-AVERAGE('The List'!Y2:Y727))/STDEV('The List'!Y2:Y727)</f>
        <v>-0.31436053366650207</v>
      </c>
      <c r="M421" s="39">
        <f>(VLOOKUP($A421,'The List'!$B1:$AH727,25,FALSE)-AVERAGE('The List'!Z2:Z727))/STDEV('The List'!Z2:Z727)</f>
        <v>0.86545712846501133</v>
      </c>
      <c r="N421" s="39">
        <f>(VLOOKUP($A421,'The List'!$B1:$AH727,26,FALSE)-AVERAGE('The List'!AA2:AA727))/STDEV('The List'!AA2:AA727)</f>
        <v>-0.58480797007241625</v>
      </c>
      <c r="O421" s="39">
        <f>(VLOOKUP($A421,'The List'!$B1:$AH727,27,FALSE)-AVERAGE('The List'!AB2:AB727))/STDEV('The List'!AB2:AB727)</f>
        <v>0.37411728863004223</v>
      </c>
      <c r="P421" s="39">
        <f>(VLOOKUP($A421,'The List'!$B1:$AH727,28,FALSE)-AVERAGE('The List'!AC2:AC727))/STDEV('The List'!AC2:AC727)</f>
        <v>0.16035867387858924</v>
      </c>
      <c r="Q421" s="39">
        <f>(VLOOKUP($A421,'The List'!$B1:$AH727,29,FALSE)-AVERAGE('The List'!AD2:AD727))/STDEV('The List'!AD2:AD727)</f>
        <v>-0.41083888791124001</v>
      </c>
      <c r="R421" s="39">
        <f>(VLOOKUP($A421,'The List'!$B1:$AH727,30,FALSE)-AVERAGE('The List'!AE2:AE727))/STDEV('The List'!AE2:AE727)</f>
        <v>-0.38429994926875422</v>
      </c>
      <c r="S421" s="39">
        <f>(VLOOKUP($A421,'The List'!$B1:$AH727,31,FALSE)-AVERAGE('The List'!AF2:AF727))/STDEV('The List'!AF2:AF727)</f>
        <v>-0.47287511037923008</v>
      </c>
      <c r="T421" s="39">
        <f>(VLOOKUP($A421,'The List'!$B1:$AH727,32,FALSE)-AVERAGE('The List'!AG2:AG727))/STDEV('The List'!AG2:AG727)</f>
        <v>-0.50080384535815448</v>
      </c>
      <c r="U421" s="39">
        <f>(VLOOKUP($A421,'The List'!$B1:$AH727,33,FALSE)-AVERAGE('The List'!AH2:AH727))/STDEV('The List'!AH2:AH727)</f>
        <v>0.88327878683349803</v>
      </c>
      <c r="V421" s="39"/>
      <c r="W421" s="43"/>
      <c r="X421" s="41"/>
      <c r="Y421" s="41"/>
      <c r="Z421" s="41"/>
      <c r="AA421" s="41"/>
      <c r="AB421" s="41"/>
      <c r="AC421" s="44"/>
      <c r="AD421" s="45"/>
      <c r="AE421" s="39"/>
    </row>
    <row r="422" spans="1:31" ht="21.25" customHeight="1" x14ac:dyDescent="0.15">
      <c r="A422" s="8" t="s">
        <v>691</v>
      </c>
      <c r="B422" s="35" t="str">
        <f>VLOOKUP(A422,'Player Data'!A1:B734,2,FALSE)</f>
        <v>ARI</v>
      </c>
      <c r="C422" s="37">
        <f>((E422)*Settings!$C$12)+(F422*Settings!$C$2)+(G422*Settings!$C$3)+(H422*Settings!$C$4)+(I422*Settings!$C$5)+(K422*Settings!$C$9)+(N422*Settings!$C$6)+(J422*Settings!$C$8)+(O422*Settings!$C$7)+(P422*Settings!$C$14)+(Q422*Settings!$C$15)+(R422*Settings!$C$16)+(S422*Settings!$C$17)+(T422*Settings!$C$18)+(U422*Settings!$C$19)</f>
        <v>-2.7606714380052928</v>
      </c>
      <c r="D422" s="41">
        <f>IF(Settings!$E$12="YES",VLOOKUP(A422,'Player Data'!A1:E734,5,FALSE),82)</f>
        <v>76.125357142857098</v>
      </c>
      <c r="E422" s="39">
        <f>(VLOOKUP($A422,'The List'!$B1:$AH727,17,FALSE)-AVERAGE('The List'!R2:R727))/STDEV('The List'!R2:R727)</f>
        <v>-0.54921343743746098</v>
      </c>
      <c r="F422" s="39">
        <f>(VLOOKUP($A422,'The List'!$B1:$AH727,18,FALSE)-AVERAGE('The List'!S2:S727))/STDEV('The List'!S2:S727)</f>
        <v>-9.7429081775709109E-2</v>
      </c>
      <c r="G422" s="39">
        <f>(VLOOKUP($A422,'The List'!$B1:$AH727,19,FALSE)-AVERAGE('The List'!T2:T727))/STDEV('The List'!T2:T727)</f>
        <v>-0.8016196483268716</v>
      </c>
      <c r="H422" s="39">
        <f>(VLOOKUP($A422,'The List'!$B1:$AH727,20,FALSE)-AVERAGE('The List'!U2:U727))/STDEV('The List'!U2:U727)</f>
        <v>-0.53830173752066113</v>
      </c>
      <c r="I422" s="39">
        <f>(VLOOKUP($A422,'The List'!$B1:$AH727,21,FALSE)-AVERAGE('The List'!V2:V727))/STDEV('The List'!V2:V727)</f>
        <v>-5.0152012285622979E-2</v>
      </c>
      <c r="J422" s="39">
        <f>(VLOOKUP($A422,'The List'!$B1:$AH727,22,FALSE)-AVERAGE('The List'!W2:W727))/STDEV('The List'!W2:W727)</f>
        <v>-0.6152808085435113</v>
      </c>
      <c r="K422" s="39">
        <f>(VLOOKUP($A422,'The List'!$B1:$AH727,23,FALSE)-AVERAGE('The List'!X2:X727))/STDEV('The List'!X2:X727)</f>
        <v>-0.73688120920721034</v>
      </c>
      <c r="L422" s="39">
        <f>(VLOOKUP($A422,'The List'!$B1:$AH727,24,FALSE)-AVERAGE('The List'!Y2:Y727))/STDEV('The List'!Y2:Y727)</f>
        <v>1.0505487885272335</v>
      </c>
      <c r="M422" s="39">
        <f>(VLOOKUP($A422,'The List'!$B1:$AH727,25,FALSE)-AVERAGE('The List'!Z2:Z727))/STDEV('The List'!Z2:Z727)</f>
        <v>0.40185555879541712</v>
      </c>
      <c r="N422" s="39">
        <f>(VLOOKUP($A422,'The List'!$B1:$AH727,26,FALSE)-AVERAGE('The List'!AA2:AA727))/STDEV('The List'!AA2:AA727)</f>
        <v>-0.53315132098514362</v>
      </c>
      <c r="O422" s="39">
        <f>(VLOOKUP($A422,'The List'!$B1:$AH727,27,FALSE)-AVERAGE('The List'!AB2:AB727))/STDEV('The List'!AB2:AB727)</f>
        <v>1.1338995680625459</v>
      </c>
      <c r="P422" s="39">
        <f>(VLOOKUP($A422,'The List'!$B1:$AH727,28,FALSE)-AVERAGE('The List'!AC2:AC727))/STDEV('The List'!AC2:AC727)</f>
        <v>-0.54143816542473533</v>
      </c>
      <c r="Q422" s="39">
        <f>(VLOOKUP($A422,'The List'!$B1:$AH727,29,FALSE)-AVERAGE('The List'!AD2:AD727))/STDEV('The List'!AD2:AD727)</f>
        <v>5.4703826959420429E-3</v>
      </c>
      <c r="R422" s="39">
        <f>(VLOOKUP($A422,'The List'!$B1:$AH727,30,FALSE)-AVERAGE('The List'!AE2:AE727))/STDEV('The List'!AE2:AE727)</f>
        <v>-0.22883207974860431</v>
      </c>
      <c r="S422" s="39">
        <f>(VLOOKUP($A422,'The List'!$B1:$AH727,31,FALSE)-AVERAGE('The List'!AF2:AF727))/STDEV('The List'!AF2:AF727)</f>
        <v>1.6192687146568177</v>
      </c>
      <c r="T422" s="39">
        <f>(VLOOKUP($A422,'The List'!$B1:$AH727,32,FALSE)-AVERAGE('The List'!AG2:AG727))/STDEV('The List'!AG2:AG727)</f>
        <v>1.7473556789146314</v>
      </c>
      <c r="U422" s="39">
        <f>(VLOOKUP($A422,'The List'!$B1:$AH727,33,FALSE)-AVERAGE('The List'!AH2:AH727))/STDEV('The List'!AH2:AH727)</f>
        <v>0.99074462497479499</v>
      </c>
      <c r="V422" s="39"/>
      <c r="W422" s="43"/>
      <c r="X422" s="41"/>
      <c r="Y422" s="41"/>
      <c r="Z422" s="41"/>
      <c r="AA422" s="41"/>
      <c r="AB422" s="41"/>
      <c r="AC422" s="44"/>
      <c r="AD422" s="45"/>
      <c r="AE422" s="39"/>
    </row>
    <row r="423" spans="1:31" ht="21.25" customHeight="1" x14ac:dyDescent="0.15">
      <c r="A423" s="8" t="s">
        <v>708</v>
      </c>
      <c r="B423" s="35" t="str">
        <f>VLOOKUP(A423,'Player Data'!A1:B734,2,FALSE)</f>
        <v>TOR</v>
      </c>
      <c r="C423" s="37">
        <f>((E423)*Settings!$C$12)+(F423*Settings!$C$2)+(G423*Settings!$C$3)+(H423*Settings!$C$4)+(I423*Settings!$C$5)+(K423*Settings!$C$9)+(N423*Settings!$C$6)+(J423*Settings!$C$8)+(O423*Settings!$C$7)+(P423*Settings!$C$14)+(Q423*Settings!$C$15)+(R423*Settings!$C$16)+(S423*Settings!$C$17)+(T423*Settings!$C$18)+(U423*Settings!$C$19)</f>
        <v>-2.1305058003181618</v>
      </c>
      <c r="D423" s="41">
        <f>IF(Settings!$E$12="YES",VLOOKUP(A423,'Player Data'!A1:E734,5,FALSE),82)</f>
        <v>82.03</v>
      </c>
      <c r="E423" s="39">
        <f>(VLOOKUP($A423,'The List'!$B1:$AH727,17,FALSE)-AVERAGE('The List'!R2:R727))/STDEV('The List'!R2:R727)</f>
        <v>-0.42698750789603696</v>
      </c>
      <c r="F423" s="39">
        <f>(VLOOKUP($A423,'The List'!$B1:$AH727,18,FALSE)-AVERAGE('The List'!S2:S727))/STDEV('The List'!S2:S727)</f>
        <v>-0.52036697038376278</v>
      </c>
      <c r="G423" s="39">
        <f>(VLOOKUP($A423,'The List'!$B1:$AH727,19,FALSE)-AVERAGE('The List'!T2:T727))/STDEV('The List'!T2:T727)</f>
        <v>-0.36067614833715622</v>
      </c>
      <c r="H423" s="39">
        <f>(VLOOKUP($A423,'The List'!$B1:$AH727,20,FALSE)-AVERAGE('The List'!U2:U727))/STDEV('The List'!U2:U727)</f>
        <v>-0.4590514978799688</v>
      </c>
      <c r="I423" s="39">
        <f>(VLOOKUP($A423,'The List'!$B1:$AH727,21,FALSE)-AVERAGE('The List'!V2:V727))/STDEV('The List'!V2:V727)</f>
        <v>-0.45667911213776624</v>
      </c>
      <c r="J423" s="39">
        <f>(VLOOKUP($A423,'The List'!$B1:$AH727,22,FALSE)-AVERAGE('The List'!W2:W727))/STDEV('The List'!W2:W727)</f>
        <v>-0.69671144062675261</v>
      </c>
      <c r="K423" s="39">
        <f>(VLOOKUP($A423,'The List'!$B1:$AH727,23,FALSE)-AVERAGE('The List'!X2:X727))/STDEV('The List'!X2:X727)</f>
        <v>-0.78594679246726551</v>
      </c>
      <c r="L423" s="39">
        <f>(VLOOKUP($A423,'The List'!$B1:$AH727,24,FALSE)-AVERAGE('The List'!Y2:Y727))/STDEV('The List'!Y2:Y727)</f>
        <v>0.59697651601958712</v>
      </c>
      <c r="M423" s="39">
        <f>(VLOOKUP($A423,'The List'!$B1:$AH727,25,FALSE)-AVERAGE('The List'!Z2:Z727))/STDEV('The List'!Z2:Z727)</f>
        <v>1.8502462588132007</v>
      </c>
      <c r="N423" s="39">
        <f>(VLOOKUP($A423,'The List'!$B1:$AH727,26,FALSE)-AVERAGE('The List'!AA2:AA727))/STDEV('The List'!AA2:AA727)</f>
        <v>-0.76443359139543787</v>
      </c>
      <c r="O423" s="39">
        <f>(VLOOKUP($A423,'The List'!$B1:$AH727,27,FALSE)-AVERAGE('The List'!AB2:AB727))/STDEV('The List'!AB2:AB727)</f>
        <v>-0.33622416510190556</v>
      </c>
      <c r="P423" s="39">
        <f>(VLOOKUP($A423,'The List'!$B1:$AH727,28,FALSE)-AVERAGE('The List'!AC2:AC727))/STDEV('The List'!AC2:AC727)</f>
        <v>0.75759681440322701</v>
      </c>
      <c r="Q423" s="39">
        <f>(VLOOKUP($A423,'The List'!$B1:$AH727,29,FALSE)-AVERAGE('The List'!AD2:AD727))/STDEV('The List'!AD2:AD727)</f>
        <v>-0.90235499119548601</v>
      </c>
      <c r="R423" s="39">
        <f>(VLOOKUP($A423,'The List'!$B1:$AH727,30,FALSE)-AVERAGE('The List'!AE2:AE727))/STDEV('The List'!AE2:AE727)</f>
        <v>-0.38033590833352332</v>
      </c>
      <c r="S423" s="39">
        <f>(VLOOKUP($A423,'The List'!$B1:$AH727,31,FALSE)-AVERAGE('The List'!AF2:AF727))/STDEV('The List'!AF2:AF727)</f>
        <v>2.329666657755046</v>
      </c>
      <c r="T423" s="39">
        <f>(VLOOKUP($A423,'The List'!$B1:$AH727,32,FALSE)-AVERAGE('The List'!AG2:AG727))/STDEV('The List'!AG2:AG727)</f>
        <v>2.1746910179873802</v>
      </c>
      <c r="U423" s="39">
        <f>(VLOOKUP($A423,'The List'!$B1:$AH727,33,FALSE)-AVERAGE('The List'!AH2:AH727))/STDEV('The List'!AH2:AH727)</f>
        <v>1.1208418009475116</v>
      </c>
      <c r="V423" s="39"/>
      <c r="W423" s="43"/>
      <c r="X423" s="41"/>
      <c r="Y423" s="41"/>
      <c r="Z423" s="41"/>
      <c r="AA423" s="41"/>
      <c r="AB423" s="41"/>
      <c r="AC423" s="44"/>
      <c r="AD423" s="45"/>
      <c r="AE423" s="39"/>
    </row>
    <row r="424" spans="1:31" ht="21.25" customHeight="1" x14ac:dyDescent="0.15">
      <c r="A424" s="8" t="s">
        <v>718</v>
      </c>
      <c r="B424" s="35" t="str">
        <f>VLOOKUP(A424,'Player Data'!A1:B734,2,FALSE)</f>
        <v>NYR</v>
      </c>
      <c r="C424" s="37">
        <f>((E424)*Settings!$C$12)+(F424*Settings!$C$2)+(G424*Settings!$C$3)+(H424*Settings!$C$4)+(I424*Settings!$C$5)+(K424*Settings!$C$9)+(N424*Settings!$C$6)+(J424*Settings!$C$8)+(O424*Settings!$C$7)+(P424*Settings!$C$14)+(Q424*Settings!$C$15)+(R424*Settings!$C$16)+(S424*Settings!$C$17)+(T424*Settings!$C$18)+(U424*Settings!$C$19)</f>
        <v>-4.1193397141108035</v>
      </c>
      <c r="D424" s="41">
        <f>IF(Settings!$E$12="YES",VLOOKUP(A424,'Player Data'!A1:E734,5,FALSE),82)</f>
        <v>53</v>
      </c>
      <c r="E424" s="39">
        <f>(VLOOKUP($A424,'The List'!$B1:$AH727,17,FALSE)-AVERAGE('The List'!R2:R727))/STDEV('The List'!R2:R727)</f>
        <v>-1.1434906238980522</v>
      </c>
      <c r="F424" s="39">
        <f>(VLOOKUP($A424,'The List'!$B1:$AH727,18,FALSE)-AVERAGE('The List'!S2:S727))/STDEV('The List'!S2:S727)</f>
        <v>-0.62541034019606756</v>
      </c>
      <c r="G424" s="39">
        <f>(VLOOKUP($A424,'The List'!$B1:$AH727,19,FALSE)-AVERAGE('The List'!T2:T727))/STDEV('The List'!T2:T727)</f>
        <v>-0.94159897194287057</v>
      </c>
      <c r="H424" s="39">
        <f>(VLOOKUP($A424,'The List'!$B1:$AH727,20,FALSE)-AVERAGE('The List'!U2:U727))/STDEV('The List'!U2:U727)</f>
        <v>-0.86482279737787782</v>
      </c>
      <c r="I424" s="39">
        <f>(VLOOKUP($A424,'The List'!$B1:$AH727,21,FALSE)-AVERAGE('The List'!V2:V727))/STDEV('The List'!V2:V727)</f>
        <v>-1.0304348133820456</v>
      </c>
      <c r="J424" s="39">
        <f>(VLOOKUP($A424,'The List'!$B1:$AH727,22,FALSE)-AVERAGE('The List'!W2:W727))/STDEV('The List'!W2:W727)</f>
        <v>-0.66584620372380854</v>
      </c>
      <c r="K424" s="39">
        <f>(VLOOKUP($A424,'The List'!$B1:$AH727,23,FALSE)-AVERAGE('The List'!X2:X727))/STDEV('The List'!X2:X727)</f>
        <v>-0.75560244758374329</v>
      </c>
      <c r="L424" s="39">
        <f>(VLOOKUP($A424,'The List'!$B1:$AH727,24,FALSE)-AVERAGE('The List'!Y2:Y727))/STDEV('The List'!Y2:Y727)</f>
        <v>-0.23569787332746758</v>
      </c>
      <c r="M424" s="39">
        <f>(VLOOKUP($A424,'The List'!$B1:$AH727,25,FALSE)-AVERAGE('The List'!Z2:Z727))/STDEV('The List'!Z2:Z727)</f>
        <v>-0.3715424098318395</v>
      </c>
      <c r="N424" s="39">
        <f>(VLOOKUP($A424,'The List'!$B1:$AH727,26,FALSE)-AVERAGE('The List'!AA2:AA727))/STDEV('The List'!AA2:AA727)</f>
        <v>-0.66922883603306749</v>
      </c>
      <c r="O424" s="39">
        <f>(VLOOKUP($A424,'The List'!$B1:$AH727,27,FALSE)-AVERAGE('The List'!AB2:AB727))/STDEV('The List'!AB2:AB727)</f>
        <v>-0.56180036867207328</v>
      </c>
      <c r="P424" s="39">
        <f>(VLOOKUP($A424,'The List'!$B1:$AH727,28,FALSE)-AVERAGE('The List'!AC2:AC727))/STDEV('The List'!AC2:AC727)</f>
        <v>-9.7064304973009038E-2</v>
      </c>
      <c r="Q424" s="39">
        <f>(VLOOKUP($A424,'The List'!$B1:$AH727,29,FALSE)-AVERAGE('The List'!AD2:AD727))/STDEV('The List'!AD2:AD727)</f>
        <v>-0.86959355057009591</v>
      </c>
      <c r="R424" s="39">
        <f>(VLOOKUP($A424,'The List'!$B1:$AH727,30,FALSE)-AVERAGE('The List'!AE2:AE727))/STDEV('The List'!AE2:AE727)</f>
        <v>-0.44799302816015457</v>
      </c>
      <c r="S424" s="39">
        <f>(VLOOKUP($A424,'The List'!$B1:$AH727,31,FALSE)-AVERAGE('The List'!AF2:AF727))/STDEV('The List'!AF2:AF727)</f>
        <v>0.22508011334076963</v>
      </c>
      <c r="T424" s="39">
        <f>(VLOOKUP($A424,'The List'!$B1:$AH727,32,FALSE)-AVERAGE('The List'!AG2:AG727))/STDEV('The List'!AG2:AG727)</f>
        <v>0.30663606428003415</v>
      </c>
      <c r="U424" s="39">
        <f>(VLOOKUP($A424,'The List'!$B1:$AH727,33,FALSE)-AVERAGE('The List'!AH2:AH727))/STDEV('The List'!AH2:AH727)</f>
        <v>0.90891478875386511</v>
      </c>
      <c r="V424" s="39"/>
      <c r="W424" s="41"/>
      <c r="X424" s="39"/>
      <c r="Y424" s="39"/>
      <c r="Z424" s="39"/>
      <c r="AA424" s="39"/>
      <c r="AB424" s="39"/>
      <c r="AC424" s="39"/>
      <c r="AD424" s="39"/>
      <c r="AE424" s="39"/>
    </row>
    <row r="425" spans="1:31" ht="21.25" customHeight="1" x14ac:dyDescent="0.15">
      <c r="A425" s="8" t="s">
        <v>759</v>
      </c>
      <c r="B425" s="35" t="str">
        <f>VLOOKUP(A425,'Player Data'!A1:B734,2,FALSE)</f>
        <v>ARI</v>
      </c>
      <c r="C425" s="37">
        <f>((E425)*Settings!$C$12)+(F425*Settings!$C$2)+(G425*Settings!$C$3)+(H425*Settings!$C$4)+(I425*Settings!$C$5)+(K425*Settings!$C$9)+(N425*Settings!$C$6)+(J425*Settings!$C$8)+(O425*Settings!$C$7)+(P425*Settings!$C$14)+(Q425*Settings!$C$15)+(R425*Settings!$C$16)+(S425*Settings!$C$17)+(T425*Settings!$C$18)+(U425*Settings!$C$19)</f>
        <v>-4.369008244767282</v>
      </c>
      <c r="D425" s="41">
        <f>IF(Settings!$E$12="YES",VLOOKUP(A425,'Player Data'!A1:E734,5,FALSE),82)</f>
        <v>72.400000000000006</v>
      </c>
      <c r="E425" s="39">
        <f>(VLOOKUP($A425,'The List'!$B1:$AH727,17,FALSE)-AVERAGE('The List'!R2:R727))/STDEV('The List'!R2:R727)</f>
        <v>-0.956466526707894</v>
      </c>
      <c r="F425" s="39">
        <f>(VLOOKUP($A425,'The List'!$B1:$AH727,18,FALSE)-AVERAGE('The List'!S2:S727))/STDEV('The List'!S2:S727)</f>
        <v>-0.26953405770199623</v>
      </c>
      <c r="G425" s="39">
        <f>(VLOOKUP($A425,'The List'!$B1:$AH727,19,FALSE)-AVERAGE('The List'!T2:T727))/STDEV('The List'!T2:T727)</f>
        <v>-0.77751475421239746</v>
      </c>
      <c r="H425" s="39">
        <f>(VLOOKUP($A425,'The List'!$B1:$AH727,20,FALSE)-AVERAGE('The List'!U2:U727))/STDEV('The List'!U2:U727)</f>
        <v>-0.60176661356018668</v>
      </c>
      <c r="I425" s="39">
        <f>(VLOOKUP($A425,'The List'!$B1:$AH727,21,FALSE)-AVERAGE('The List'!V2:V727))/STDEV('The List'!V2:V727)</f>
        <v>-1.0821688080587184</v>
      </c>
      <c r="J425" s="39">
        <f>(VLOOKUP($A425,'The List'!$B1:$AH727,22,FALSE)-AVERAGE('The List'!W2:W727))/STDEV('The List'!W2:W727)</f>
        <v>-0.52589718863286516</v>
      </c>
      <c r="K425" s="39">
        <f>(VLOOKUP($A425,'The List'!$B1:$AH727,23,FALSE)-AVERAGE('The List'!X2:X727))/STDEV('The List'!X2:X727)</f>
        <v>-0.5564067112580332</v>
      </c>
      <c r="L425" s="39">
        <f>(VLOOKUP($A425,'The List'!$B1:$AH727,24,FALSE)-AVERAGE('The List'!Y2:Y727))/STDEV('The List'!Y2:Y727)</f>
        <v>-0.37608489711776427</v>
      </c>
      <c r="M425" s="39">
        <f>(VLOOKUP($A425,'The List'!$B1:$AH727,25,FALSE)-AVERAGE('The List'!Z2:Z727))/STDEV('The List'!Z2:Z727)</f>
        <v>-0.53381940758642132</v>
      </c>
      <c r="N425" s="39">
        <f>(VLOOKUP($A425,'The List'!$B1:$AH727,26,FALSE)-AVERAGE('The List'!AA2:AA727))/STDEV('The List'!AA2:AA727)</f>
        <v>-0.42983617623855153</v>
      </c>
      <c r="O425" s="39">
        <f>(VLOOKUP($A425,'The List'!$B1:$AH727,27,FALSE)-AVERAGE('The List'!AB2:AB727))/STDEV('The List'!AB2:AB727)</f>
        <v>-1.0105343702077272</v>
      </c>
      <c r="P425" s="39">
        <f>(VLOOKUP($A425,'The List'!$B1:$AH727,28,FALSE)-AVERAGE('The List'!AC2:AC727))/STDEV('The List'!AC2:AC727)</f>
        <v>-1.2535477372975852</v>
      </c>
      <c r="Q425" s="39">
        <f>(VLOOKUP($A425,'The List'!$B1:$AH727,29,FALSE)-AVERAGE('The List'!AD2:AD727))/STDEV('The List'!AD2:AD727)</f>
        <v>-0.7726208467181549</v>
      </c>
      <c r="R425" s="39">
        <f>(VLOOKUP($A425,'The List'!$B1:$AH727,30,FALSE)-AVERAGE('The List'!AE2:AE727))/STDEV('The List'!AE2:AE727)</f>
        <v>-0.36739194079747267</v>
      </c>
      <c r="S425" s="39">
        <f>(VLOOKUP($A425,'The List'!$B1:$AH727,31,FALSE)-AVERAGE('The List'!AF2:AF727))/STDEV('The List'!AF2:AF727)</f>
        <v>1.110409523100272</v>
      </c>
      <c r="T425" s="39">
        <f>(VLOOKUP($A425,'The List'!$B1:$AH727,32,FALSE)-AVERAGE('The List'!AG2:AG727))/STDEV('The List'!AG2:AG727)</f>
        <v>1.588969186775063</v>
      </c>
      <c r="U425" s="39">
        <f>(VLOOKUP($A425,'The List'!$B1:$AH727,33,FALSE)-AVERAGE('The List'!AH2:AH727))/STDEV('The List'!AH2:AH727)</f>
        <v>0.76994350407296885</v>
      </c>
      <c r="V425" s="39"/>
      <c r="W425" s="43"/>
      <c r="X425" s="41"/>
      <c r="Y425" s="41"/>
      <c r="Z425" s="41"/>
      <c r="AA425" s="41"/>
      <c r="AB425" s="41"/>
      <c r="AC425" s="44"/>
      <c r="AD425" s="45"/>
      <c r="AE425" s="39"/>
    </row>
    <row r="426" spans="1:31" ht="21.25" customHeight="1" x14ac:dyDescent="0.15">
      <c r="A426" s="8" t="s">
        <v>617</v>
      </c>
      <c r="B426" s="35" t="str">
        <f>VLOOKUP(A426,'Player Data'!A1:B734,2,FALSE)</f>
        <v>UFA</v>
      </c>
      <c r="C426" s="37">
        <f>((E426)*Settings!$C$12)+(F426*Settings!$C$2)+(G426*Settings!$C$3)+(H426*Settings!$C$4)+(I426*Settings!$C$5)+(K426*Settings!$C$9)+(N426*Settings!$C$6)+(J426*Settings!$C$8)+(O426*Settings!$C$7)+(P426*Settings!$C$14)+(Q426*Settings!$C$15)+(R426*Settings!$C$16)+(S426*Settings!$C$17)+(T426*Settings!$C$18)+(U426*Settings!$C$19)</f>
        <v>-2.8067195598726506</v>
      </c>
      <c r="D426" s="41">
        <f>IF(Settings!$E$12="YES",VLOOKUP(A426,'Player Data'!A1:E734,5,FALSE),82)</f>
        <v>77.172499999999999</v>
      </c>
      <c r="E426" s="39">
        <f>(VLOOKUP($A426,'The List'!$B1:$AH727,17,FALSE)-AVERAGE('The List'!R2:R727))/STDEV('The List'!R2:R727)</f>
        <v>-1.1991882203796476</v>
      </c>
      <c r="F426" s="39">
        <f>(VLOOKUP($A426,'The List'!$B1:$AH727,18,FALSE)-AVERAGE('The List'!S2:S727))/STDEV('The List'!S2:S727)</f>
        <v>-9.2828790598653191E-2</v>
      </c>
      <c r="G426" s="39">
        <f>(VLOOKUP($A426,'The List'!$B1:$AH727,19,FALSE)-AVERAGE('The List'!T2:T727))/STDEV('The List'!T2:T727)</f>
        <v>-0.803066925503097</v>
      </c>
      <c r="H426" s="39">
        <f>(VLOOKUP($A426,'The List'!$B1:$AH727,20,FALSE)-AVERAGE('The List'!U2:U727))/STDEV('The List'!U2:U727)</f>
        <v>-0.53710014268804929</v>
      </c>
      <c r="I426" s="39">
        <f>(VLOOKUP($A426,'The List'!$B1:$AH727,21,FALSE)-AVERAGE('The List'!V2:V727))/STDEV('The List'!V2:V727)</f>
        <v>-0.35065930717962501</v>
      </c>
      <c r="J426" s="39">
        <f>(VLOOKUP($A426,'The List'!$B1:$AH727,22,FALSE)-AVERAGE('The List'!W2:W727))/STDEV('The List'!W2:W727)</f>
        <v>-0.36765322849711246</v>
      </c>
      <c r="K426" s="39">
        <f>(VLOOKUP($A426,'The List'!$B1:$AH727,23,FALSE)-AVERAGE('The List'!X2:X727))/STDEV('The List'!X2:X727)</f>
        <v>-0.47984125606798561</v>
      </c>
      <c r="L426" s="39">
        <f>(VLOOKUP($A426,'The List'!$B1:$AH727,24,FALSE)-AVERAGE('The List'!Y2:Y727))/STDEV('The List'!Y2:Y727)</f>
        <v>-0.54402834717551152</v>
      </c>
      <c r="M426" s="39">
        <f>(VLOOKUP($A426,'The List'!$B1:$AH727,25,FALSE)-AVERAGE('The List'!Z2:Z727))/STDEV('The List'!Z2:Z727)</f>
        <v>-0.72372514007823274</v>
      </c>
      <c r="N426" s="39">
        <f>(VLOOKUP($A426,'The List'!$B1:$AH727,26,FALSE)-AVERAGE('The List'!AA2:AA727))/STDEV('The List'!AA2:AA727)</f>
        <v>-0.69996855565909533</v>
      </c>
      <c r="O426" s="39">
        <f>(VLOOKUP($A426,'The List'!$B1:$AH727,27,FALSE)-AVERAGE('The List'!AB2:AB727))/STDEV('The List'!AB2:AB727)</f>
        <v>2.2212732156272184</v>
      </c>
      <c r="P426" s="39">
        <f>(VLOOKUP($A426,'The List'!$B1:$AH727,28,FALSE)-AVERAGE('The List'!AC2:AC727))/STDEV('The List'!AC2:AC727)</f>
        <v>-0.38035472486419419</v>
      </c>
      <c r="Q426" s="39">
        <f>(VLOOKUP($A426,'The List'!$B1:$AH727,29,FALSE)-AVERAGE('The List'!AD2:AD727))/STDEV('The List'!AD2:AD727)</f>
        <v>0.83256224963264092</v>
      </c>
      <c r="R426" s="39">
        <f>(VLOOKUP($A426,'The List'!$B1:$AH727,30,FALSE)-AVERAGE('The List'!AE2:AE727))/STDEV('The List'!AE2:AE727)</f>
        <v>-1.1921764565772743</v>
      </c>
      <c r="S426" s="39">
        <f>(VLOOKUP($A426,'The List'!$B1:$AH727,31,FALSE)-AVERAGE('The List'!AF2:AF727))/STDEV('The List'!AF2:AF727)</f>
        <v>-0.55432925236682895</v>
      </c>
      <c r="T426" s="39">
        <f>(VLOOKUP($A426,'The List'!$B1:$AH727,32,FALSE)-AVERAGE('The List'!AG2:AG727))/STDEV('The List'!AG2:AG727)</f>
        <v>-0.55648118961237369</v>
      </c>
      <c r="U426" s="39">
        <f>(VLOOKUP($A426,'The List'!$B1:$AH727,33,FALSE)-AVERAGE('The List'!AH2:AH727))/STDEV('The List'!AH2:AH727)</f>
        <v>-0.8816280648821162</v>
      </c>
      <c r="V426" s="39"/>
      <c r="W426" s="41"/>
      <c r="X426" s="39"/>
      <c r="Y426" s="39"/>
      <c r="Z426" s="39"/>
      <c r="AA426" s="39"/>
      <c r="AB426" s="39"/>
      <c r="AC426" s="39"/>
      <c r="AD426" s="39"/>
      <c r="AE426" s="39"/>
    </row>
    <row r="427" spans="1:31" ht="21.25" customHeight="1" x14ac:dyDescent="0.15">
      <c r="A427" s="8" t="s">
        <v>765</v>
      </c>
      <c r="B427" s="35" t="str">
        <f>VLOOKUP(A427,'Player Data'!A1:B734,2,FALSE)</f>
        <v>PIT</v>
      </c>
      <c r="C427" s="37">
        <f>((E427)*Settings!$C$12)+(F427*Settings!$C$2)+(G427*Settings!$C$3)+(H427*Settings!$C$4)+(I427*Settings!$C$5)+(K427*Settings!$C$9)+(N427*Settings!$C$6)+(J427*Settings!$C$8)+(O427*Settings!$C$7)+(P427*Settings!$C$14)+(Q427*Settings!$C$15)+(R427*Settings!$C$16)+(S427*Settings!$C$17)+(T427*Settings!$C$18)+(U427*Settings!$C$19)</f>
        <v>-4.3625620428970278</v>
      </c>
      <c r="D427" s="41">
        <f>IF(Settings!$E$12="YES",VLOOKUP(A427,'Player Data'!A1:E734,5,FALSE),82)</f>
        <v>50</v>
      </c>
      <c r="E427" s="39">
        <f>(VLOOKUP($A427,'The List'!$B1:$AH727,17,FALSE)-AVERAGE('The List'!R2:R727))/STDEV('The List'!R2:R727)</f>
        <v>-1.2678515329369582</v>
      </c>
      <c r="F427" s="39">
        <f>(VLOOKUP($A427,'The List'!$B1:$AH727,18,FALSE)-AVERAGE('The List'!S2:S727))/STDEV('The List'!S2:S727)</f>
        <v>-0.75711163538366399</v>
      </c>
      <c r="G427" s="39">
        <f>(VLOOKUP($A427,'The List'!$B1:$AH727,19,FALSE)-AVERAGE('The List'!T2:T727))/STDEV('The List'!T2:T727)</f>
        <v>-0.91729346714093063</v>
      </c>
      <c r="H427" s="39">
        <f>(VLOOKUP($A427,'The List'!$B1:$AH727,20,FALSE)-AVERAGE('The List'!U2:U727))/STDEV('The List'!U2:U727)</f>
        <v>-0.90977785221329144</v>
      </c>
      <c r="I427" s="39">
        <f>(VLOOKUP($A427,'The List'!$B1:$AH727,21,FALSE)-AVERAGE('The List'!V2:V727))/STDEV('The List'!V2:V727)</f>
        <v>-1.1403148773157585</v>
      </c>
      <c r="J427" s="39">
        <f>(VLOOKUP($A427,'The List'!$B1:$AH727,22,FALSE)-AVERAGE('The List'!W2:W727))/STDEV('The List'!W2:W727)</f>
        <v>-0.52468443422015709</v>
      </c>
      <c r="K427" s="39">
        <f>(VLOOKUP($A427,'The List'!$B1:$AH727,23,FALSE)-AVERAGE('The List'!X2:X727))/STDEV('The List'!X2:X727)</f>
        <v>-0.6705045016352823</v>
      </c>
      <c r="L427" s="39">
        <f>(VLOOKUP($A427,'The List'!$B1:$AH727,24,FALSE)-AVERAGE('The List'!Y2:Y727))/STDEV('The List'!Y2:Y727)</f>
        <v>-0.54029022761042766</v>
      </c>
      <c r="M427" s="39">
        <f>(VLOOKUP($A427,'The List'!$B1:$AH727,25,FALSE)-AVERAGE('The List'!Z2:Z727))/STDEV('The List'!Z2:Z727)</f>
        <v>-0.71946795319995993</v>
      </c>
      <c r="N427" s="39">
        <f>(VLOOKUP($A427,'The List'!$B1:$AH727,26,FALSE)-AVERAGE('The List'!AA2:AA727))/STDEV('The List'!AA2:AA727)</f>
        <v>-1.1122763672753648</v>
      </c>
      <c r="O427" s="39">
        <f>(VLOOKUP($A427,'The List'!$B1:$AH727,27,FALSE)-AVERAGE('The List'!AB2:AB727))/STDEV('The List'!AB2:AB727)</f>
        <v>-0.97313251764585473</v>
      </c>
      <c r="P427" s="39">
        <f>(VLOOKUP($A427,'The List'!$B1:$AH727,28,FALSE)-AVERAGE('The List'!AC2:AC727))/STDEV('The List'!AC2:AC727)</f>
        <v>0.23493880585397275</v>
      </c>
      <c r="Q427" s="39">
        <f>(VLOOKUP($A427,'The List'!$B1:$AH727,29,FALSE)-AVERAGE('The List'!AD2:AD727))/STDEV('The List'!AD2:AD727)</f>
        <v>-1.0974186166205746</v>
      </c>
      <c r="R427" s="39">
        <f>(VLOOKUP($A427,'The List'!$B1:$AH727,30,FALSE)-AVERAGE('The List'!AE2:AE727))/STDEV('The List'!AE2:AE727)</f>
        <v>-0.63403534319635402</v>
      </c>
      <c r="S427" s="39">
        <f>(VLOOKUP($A427,'The List'!$B1:$AH727,31,FALSE)-AVERAGE('The List'!AF2:AF727))/STDEV('The List'!AF2:AF727)</f>
        <v>-0.51798115949929668</v>
      </c>
      <c r="T427" s="39">
        <f>(VLOOKUP($A427,'The List'!$B1:$AH727,32,FALSE)-AVERAGE('The List'!AG2:AG727))/STDEV('The List'!AG2:AG727)</f>
        <v>-0.51931284278246681</v>
      </c>
      <c r="U427" s="39">
        <f>(VLOOKUP($A427,'The List'!$B1:$AH727,33,FALSE)-AVERAGE('The List'!AH2:AH727))/STDEV('The List'!AH2:AH727)</f>
        <v>0.28710455734384649</v>
      </c>
      <c r="V427" s="39"/>
      <c r="W427" s="41"/>
      <c r="X427" s="39"/>
      <c r="Y427" s="39"/>
      <c r="Z427" s="39"/>
      <c r="AA427" s="39"/>
      <c r="AB427" s="39"/>
      <c r="AC427" s="39"/>
      <c r="AD427" s="39"/>
      <c r="AE427" s="39"/>
    </row>
    <row r="428" spans="1:31" ht="21.25" customHeight="1" x14ac:dyDescent="0.15">
      <c r="A428" s="8" t="s">
        <v>524</v>
      </c>
      <c r="B428" s="35" t="str">
        <f>VLOOKUP(A428,'Player Data'!A1:B734,2,FALSE)</f>
        <v>NYI</v>
      </c>
      <c r="C428" s="37">
        <f>((E428)*Settings!$C$12)+(F428*Settings!$C$2)+(G428*Settings!$C$3)+(H428*Settings!$C$4)+(I428*Settings!$C$5)+(K428*Settings!$C$9)+(N428*Settings!$C$6)+(J428*Settings!$C$8)+(O428*Settings!$C$7)+(P428*Settings!$C$14)+(Q428*Settings!$C$15)+(R428*Settings!$C$16)+(S428*Settings!$C$17)+(T428*Settings!$C$18)+(U428*Settings!$C$19)</f>
        <v>-2.420585351289954</v>
      </c>
      <c r="D428" s="41">
        <f>IF(Settings!$E$12="YES",VLOOKUP(A428,'Player Data'!A1:E734,5,FALSE),82)</f>
        <v>65.991785714285697</v>
      </c>
      <c r="E428" s="39">
        <f>(VLOOKUP($A428,'The List'!$B1:$AH727,17,FALSE)-AVERAGE('The List'!R2:R727))/STDEV('The List'!R2:R727)</f>
        <v>4.754494555214276E-2</v>
      </c>
      <c r="F428" s="39">
        <f>(VLOOKUP($A428,'The List'!$B1:$AH727,18,FALSE)-AVERAGE('The List'!S2:S727))/STDEV('The List'!S2:S727)</f>
        <v>-0.86290955391270663</v>
      </c>
      <c r="G428" s="39">
        <f>(VLOOKUP($A428,'The List'!$B1:$AH727,19,FALSE)-AVERAGE('The List'!T2:T727))/STDEV('The List'!T2:T727)</f>
        <v>-0.4839000810675419</v>
      </c>
      <c r="H428" s="39">
        <f>(VLOOKUP($A428,'The List'!$B1:$AH727,20,FALSE)-AVERAGE('The List'!U2:U727))/STDEV('The List'!U2:U727)</f>
        <v>-0.69086153043856258</v>
      </c>
      <c r="I428" s="39">
        <f>(VLOOKUP($A428,'The List'!$B1:$AH727,21,FALSE)-AVERAGE('The List'!V2:V727))/STDEV('The List'!V2:V727)</f>
        <v>-0.87873032547549002</v>
      </c>
      <c r="J428" s="39">
        <f>(VLOOKUP($A428,'The List'!$B1:$AH727,22,FALSE)-AVERAGE('The List'!W2:W727))/STDEV('The List'!W2:W727)</f>
        <v>-0.68720681315255083</v>
      </c>
      <c r="K428" s="39">
        <f>(VLOOKUP($A428,'The List'!$B1:$AH727,23,FALSE)-AVERAGE('The List'!X2:X727))/STDEV('The List'!X2:X727)</f>
        <v>-0.63017615244315339</v>
      </c>
      <c r="L428" s="39">
        <f>(VLOOKUP($A428,'The List'!$B1:$AH727,24,FALSE)-AVERAGE('The List'!Y2:Y727))/STDEV('The List'!Y2:Y727)</f>
        <v>-0.50105260779429073</v>
      </c>
      <c r="M428" s="39">
        <f>(VLOOKUP($A428,'The List'!$B1:$AH727,25,FALSE)-AVERAGE('The List'!Z2:Z727))/STDEV('The List'!Z2:Z727)</f>
        <v>-0.6253519601733375</v>
      </c>
      <c r="N428" s="39">
        <f>(VLOOKUP($A428,'The List'!$B1:$AH727,26,FALSE)-AVERAGE('The List'!AA2:AA727))/STDEV('The List'!AA2:AA727)</f>
        <v>0.29118138383580988</v>
      </c>
      <c r="O428" s="39">
        <f>(VLOOKUP($A428,'The List'!$B1:$AH727,27,FALSE)-AVERAGE('The List'!AB2:AB727))/STDEV('The List'!AB2:AB727)</f>
        <v>-0.81146953257526744</v>
      </c>
      <c r="P428" s="39">
        <f>(VLOOKUP($A428,'The List'!$B1:$AH727,28,FALSE)-AVERAGE('The List'!AC2:AC727))/STDEV('The List'!AC2:AC727)</f>
        <v>0.14394937777312783</v>
      </c>
      <c r="Q428" s="39">
        <f>(VLOOKUP($A428,'The List'!$B1:$AH727,29,FALSE)-AVERAGE('The List'!AD2:AD727))/STDEV('The List'!AD2:AD727)</f>
        <v>-0.63343642475664474</v>
      </c>
      <c r="R428" s="39">
        <f>(VLOOKUP($A428,'The List'!$B1:$AH727,30,FALSE)-AVERAGE('The List'!AE2:AE727))/STDEV('The List'!AE2:AE727)</f>
        <v>-0.7570525456104622</v>
      </c>
      <c r="S428" s="39">
        <f>(VLOOKUP($A428,'The List'!$B1:$AH727,31,FALSE)-AVERAGE('The List'!AF2:AF727))/STDEV('The List'!AF2:AF727)</f>
        <v>-0.55804314905918151</v>
      </c>
      <c r="T428" s="39">
        <f>(VLOOKUP($A428,'The List'!$B1:$AH727,32,FALSE)-AVERAGE('The List'!AG2:AG727))/STDEV('The List'!AG2:AG727)</f>
        <v>-0.60188453558131205</v>
      </c>
      <c r="U428" s="39">
        <f>(VLOOKUP($A428,'The List'!$B1:$AH727,33,FALSE)-AVERAGE('The List'!AH2:AH727))/STDEV('The List'!AH2:AH727)</f>
        <v>-1.2395873372913611</v>
      </c>
      <c r="V428" s="39"/>
      <c r="W428" s="43"/>
      <c r="X428" s="41"/>
      <c r="Y428" s="41"/>
      <c r="Z428" s="41"/>
      <c r="AA428" s="41"/>
      <c r="AB428" s="41"/>
      <c r="AC428" s="44"/>
      <c r="AD428" s="45"/>
      <c r="AE428" s="39"/>
    </row>
    <row r="429" spans="1:31" ht="21.25" customHeight="1" x14ac:dyDescent="0.15">
      <c r="A429" s="8" t="s">
        <v>724</v>
      </c>
      <c r="B429" s="35" t="str">
        <f>VLOOKUP(A429,'Player Data'!A1:B734,2,FALSE)</f>
        <v>FLA</v>
      </c>
      <c r="C429" s="37">
        <f>((E429)*Settings!$C$12)+(F429*Settings!$C$2)+(G429*Settings!$C$3)+(H429*Settings!$C$4)+(I429*Settings!$C$5)+(K429*Settings!$C$9)+(N429*Settings!$C$6)+(J429*Settings!$C$8)+(O429*Settings!$C$7)+(P429*Settings!$C$14)+(Q429*Settings!$C$15)+(R429*Settings!$C$16)+(S429*Settings!$C$17)+(T429*Settings!$C$18)+(U429*Settings!$C$19)</f>
        <v>-2.4120294136659468</v>
      </c>
      <c r="D429" s="41">
        <f>IF(Settings!$E$12="YES",VLOOKUP(A429,'Player Data'!A1:E734,5,FALSE),82)</f>
        <v>78.986785714285702</v>
      </c>
      <c r="E429" s="39">
        <f>(VLOOKUP($A429,'The List'!$B1:$AH727,17,FALSE)-AVERAGE('The List'!R2:R727))/STDEV('The List'!R2:R727)</f>
        <v>-1.3673061981802135</v>
      </c>
      <c r="F429" s="39">
        <f>(VLOOKUP($A429,'The List'!$B1:$AH727,18,FALSE)-AVERAGE('The List'!S2:S727))/STDEV('The List'!S2:S727)</f>
        <v>-0.49661979077005958</v>
      </c>
      <c r="G429" s="39">
        <f>(VLOOKUP($A429,'The List'!$B1:$AH727,19,FALSE)-AVERAGE('The List'!T2:T727))/STDEV('The List'!T2:T727)</f>
        <v>-0.48117933831519188</v>
      </c>
      <c r="H429" s="39">
        <f>(VLOOKUP($A429,'The List'!$B1:$AH727,20,FALSE)-AVERAGE('The List'!U2:U727))/STDEV('The List'!U2:U727)</f>
        <v>-0.52250022039298016</v>
      </c>
      <c r="I429" s="39">
        <f>(VLOOKUP($A429,'The List'!$B1:$AH727,21,FALSE)-AVERAGE('The List'!V2:V727))/STDEV('The List'!V2:V727)</f>
        <v>-0.46121202546626128</v>
      </c>
      <c r="J429" s="39">
        <f>(VLOOKUP($A429,'The List'!$B1:$AH727,22,FALSE)-AVERAGE('The List'!W2:W727))/STDEV('The List'!W2:W727)</f>
        <v>-0.69511779109816996</v>
      </c>
      <c r="K429" s="39">
        <f>(VLOOKUP($A429,'The List'!$B1:$AH727,23,FALSE)-AVERAGE('The List'!X2:X727))/STDEV('The List'!X2:X727)</f>
        <v>-0.78674299430646277</v>
      </c>
      <c r="L429" s="39">
        <f>(VLOOKUP($A429,'The List'!$B1:$AH727,24,FALSE)-AVERAGE('The List'!Y2:Y727))/STDEV('The List'!Y2:Y727)</f>
        <v>-0.5229972537749058</v>
      </c>
      <c r="M429" s="39">
        <f>(VLOOKUP($A429,'The List'!$B1:$AH727,25,FALSE)-AVERAGE('The List'!Z2:Z727))/STDEV('The List'!Z2:Z727)</f>
        <v>-0.6994194816043019</v>
      </c>
      <c r="N429" s="39">
        <f>(VLOOKUP($A429,'The List'!$B1:$AH727,26,FALSE)-AVERAGE('The List'!AA2:AA727))/STDEV('The List'!AA2:AA727)</f>
        <v>-0.60007072871491962</v>
      </c>
      <c r="O429" s="39">
        <f>(VLOOKUP($A429,'The List'!$B1:$AH727,27,FALSE)-AVERAGE('The List'!AB2:AB727))/STDEV('The List'!AB2:AB727)</f>
        <v>-3.5094037894504729E-2</v>
      </c>
      <c r="P429" s="39">
        <f>(VLOOKUP($A429,'The List'!$B1:$AH727,28,FALSE)-AVERAGE('The List'!AC2:AC727))/STDEV('The List'!AC2:AC727)</f>
        <v>0.41379546390694821</v>
      </c>
      <c r="Q429" s="39">
        <f>(VLOOKUP($A429,'The List'!$B1:$AH727,29,FALSE)-AVERAGE('The List'!AD2:AD727))/STDEV('The List'!AD2:AD727)</f>
        <v>0.20260130302599982</v>
      </c>
      <c r="R429" s="39">
        <f>(VLOOKUP($A429,'The List'!$B1:$AH727,30,FALSE)-AVERAGE('The List'!AE2:AE727))/STDEV('The List'!AE2:AE727)</f>
        <v>-0.44499054301068258</v>
      </c>
      <c r="S429" s="39">
        <f>(VLOOKUP($A429,'The List'!$B1:$AH727,31,FALSE)-AVERAGE('The List'!AF2:AF727))/STDEV('The List'!AF2:AF727)</f>
        <v>-0.26215380736175542</v>
      </c>
      <c r="T429" s="39">
        <f>(VLOOKUP($A429,'The List'!$B1:$AH727,32,FALSE)-AVERAGE('The List'!AG2:AG727))/STDEV('The List'!AG2:AG727)</f>
        <v>-0.28025859706432893</v>
      </c>
      <c r="U429" s="39">
        <f>(VLOOKUP($A429,'The List'!$B1:$AH727,33,FALSE)-AVERAGE('The List'!AH2:AH727))/STDEV('The List'!AH2:AH727)</f>
        <v>0.9823852650911713</v>
      </c>
      <c r="V429" s="39"/>
      <c r="W429" s="43"/>
      <c r="X429" s="41"/>
      <c r="Y429" s="41"/>
      <c r="Z429" s="41"/>
      <c r="AA429" s="41"/>
      <c r="AB429" s="41"/>
      <c r="AC429" s="44"/>
      <c r="AD429" s="45"/>
      <c r="AE429" s="39"/>
    </row>
    <row r="430" spans="1:31" ht="21.25" customHeight="1" x14ac:dyDescent="0.15">
      <c r="A430" s="8" t="s">
        <v>801</v>
      </c>
      <c r="B430" s="35" t="str">
        <f>VLOOKUP(A430,'Player Data'!A1:B734,2,FALSE)</f>
        <v>PIT</v>
      </c>
      <c r="C430" s="37">
        <f>((E430)*Settings!$C$12)+(F430*Settings!$C$2)+(G430*Settings!$C$3)+(H430*Settings!$C$4)+(I430*Settings!$C$5)+(K430*Settings!$C$9)+(N430*Settings!$C$6)+(J430*Settings!$C$8)+(O430*Settings!$C$7)+(P430*Settings!$C$14)+(Q430*Settings!$C$15)+(R430*Settings!$C$16)+(S430*Settings!$C$17)+(T430*Settings!$C$18)+(U430*Settings!$C$19)</f>
        <v>-4.5461614877498544</v>
      </c>
      <c r="D430" s="41">
        <f>IF(Settings!$E$12="YES",VLOOKUP(A430,'Player Data'!A1:E734,5,FALSE),82)</f>
        <v>55</v>
      </c>
      <c r="E430" s="39">
        <f>(VLOOKUP($A430,'The List'!$B1:$AH727,17,FALSE)-AVERAGE('The List'!R2:R727))/STDEV('The List'!R2:R727)</f>
        <v>-1.4687189702679802</v>
      </c>
      <c r="F430" s="39">
        <f>(VLOOKUP($A430,'The List'!$B1:$AH727,18,FALSE)-AVERAGE('The List'!S2:S727))/STDEV('The List'!S2:S727)</f>
        <v>-0.68238333032546761</v>
      </c>
      <c r="G430" s="39">
        <f>(VLOOKUP($A430,'The List'!$B1:$AH727,19,FALSE)-AVERAGE('The List'!T2:T727))/STDEV('The List'!T2:T727)</f>
        <v>-0.87476646617605469</v>
      </c>
      <c r="H430" s="39">
        <f>(VLOOKUP($A430,'The List'!$B1:$AH727,20,FALSE)-AVERAGE('The List'!U2:U727))/STDEV('The List'!U2:U727)</f>
        <v>-0.84956626760650567</v>
      </c>
      <c r="I430" s="39">
        <f>(VLOOKUP($A430,'The List'!$B1:$AH727,21,FALSE)-AVERAGE('The List'!V2:V727))/STDEV('The List'!V2:V727)</f>
        <v>-1.0727392382891532</v>
      </c>
      <c r="J430" s="39">
        <f>(VLOOKUP($A430,'The List'!$B1:$AH727,22,FALSE)-AVERAGE('The List'!W2:W727))/STDEV('The List'!W2:W727)</f>
        <v>-0.69677818432403693</v>
      </c>
      <c r="K430" s="39">
        <f>(VLOOKUP($A430,'The List'!$B1:$AH727,23,FALSE)-AVERAGE('The List'!X2:X727))/STDEV('The List'!X2:X727)</f>
        <v>-0.78947987988476742</v>
      </c>
      <c r="L430" s="39">
        <f>(VLOOKUP($A430,'The List'!$B1:$AH727,24,FALSE)-AVERAGE('The List'!Y2:Y727))/STDEV('The List'!Y2:Y727)</f>
        <v>-0.43164485324752494</v>
      </c>
      <c r="M430" s="39">
        <f>(VLOOKUP($A430,'The List'!$B1:$AH727,25,FALSE)-AVERAGE('The List'!Z2:Z727))/STDEV('The List'!Z2:Z727)</f>
        <v>-0.26281039319689825</v>
      </c>
      <c r="N430" s="39">
        <f>(VLOOKUP($A430,'The List'!$B1:$AH727,26,FALSE)-AVERAGE('The List'!AA2:AA727))/STDEV('The List'!AA2:AA727)</f>
        <v>-1.1559304404711863</v>
      </c>
      <c r="O430" s="39">
        <f>(VLOOKUP($A430,'The List'!$B1:$AH727,27,FALSE)-AVERAGE('The List'!AB2:AB727))/STDEV('The List'!AB2:AB727)</f>
        <v>-1.2843396229815893</v>
      </c>
      <c r="P430" s="39">
        <f>(VLOOKUP($A430,'The List'!$B1:$AH727,28,FALSE)-AVERAGE('The List'!AC2:AC727))/STDEV('The List'!AC2:AC727)</f>
        <v>2.9137867396775083E-2</v>
      </c>
      <c r="Q430" s="39">
        <f>(VLOOKUP($A430,'The List'!$B1:$AH727,29,FALSE)-AVERAGE('The List'!AD2:AD727))/STDEV('The List'!AD2:AD727)</f>
        <v>-1.1396525509644369</v>
      </c>
      <c r="R430" s="39">
        <f>(VLOOKUP($A430,'The List'!$B1:$AH727,30,FALSE)-AVERAGE('The List'!AE2:AE727))/STDEV('The List'!AE2:AE727)</f>
        <v>-0.55634856058541782</v>
      </c>
      <c r="S430" s="39">
        <f>(VLOOKUP($A430,'The List'!$B1:$AH727,31,FALSE)-AVERAGE('The List'!AF2:AF727))/STDEV('The List'!AF2:AF727)</f>
        <v>-0.53349330566481901</v>
      </c>
      <c r="T430" s="39">
        <f>(VLOOKUP($A430,'The List'!$B1:$AH727,32,FALSE)-AVERAGE('The List'!AG2:AG727))/STDEV('The List'!AG2:AG727)</f>
        <v>-0.55141004150173956</v>
      </c>
      <c r="U430" s="39">
        <f>(VLOOKUP($A430,'The List'!$B1:$AH727,33,FALSE)-AVERAGE('The List'!AH2:AH727))/STDEV('The List'!AH2:AH727)</f>
        <v>0.28960853552833221</v>
      </c>
      <c r="V430" s="39"/>
      <c r="W430" s="41"/>
      <c r="X430" s="39"/>
      <c r="Y430" s="39"/>
      <c r="Z430" s="39"/>
      <c r="AA430" s="39"/>
      <c r="AB430" s="39"/>
      <c r="AC430" s="39"/>
      <c r="AD430" s="39"/>
      <c r="AE430" s="39"/>
    </row>
    <row r="431" spans="1:31" ht="21.25" customHeight="1" x14ac:dyDescent="0.15">
      <c r="A431" s="8" t="s">
        <v>732</v>
      </c>
      <c r="B431" s="35" t="str">
        <f>VLOOKUP(A431,'Player Data'!A1:B734,2,FALSE)</f>
        <v>VAN</v>
      </c>
      <c r="C431" s="37">
        <f>((E431)*Settings!$C$12)+(F431*Settings!$C$2)+(G431*Settings!$C$3)+(H431*Settings!$C$4)+(I431*Settings!$C$5)+(K431*Settings!$C$9)+(N431*Settings!$C$6)+(J431*Settings!$C$8)+(O431*Settings!$C$7)+(P431*Settings!$C$14)+(Q431*Settings!$C$15)+(R431*Settings!$C$16)+(S431*Settings!$C$17)+(T431*Settings!$C$18)+(U431*Settings!$C$19)</f>
        <v>-3.035542709965926</v>
      </c>
      <c r="D431" s="41">
        <f>IF(Settings!$E$12="YES",VLOOKUP(A431,'Player Data'!A1:E734,5,FALSE),82)</f>
        <v>74.416428571428597</v>
      </c>
      <c r="E431" s="39">
        <f>(VLOOKUP($A431,'The List'!$B1:$AH727,17,FALSE)-AVERAGE('The List'!R2:R727))/STDEV('The List'!R2:R727)</f>
        <v>-0.94153279664357004</v>
      </c>
      <c r="F431" s="39">
        <f>(VLOOKUP($A431,'The List'!$B1:$AH727,18,FALSE)-AVERAGE('The List'!S2:S727))/STDEV('The List'!S2:S727)</f>
        <v>-0.62286950036635136</v>
      </c>
      <c r="G431" s="39">
        <f>(VLOOKUP($A431,'The List'!$B1:$AH727,19,FALSE)-AVERAGE('The List'!T2:T727))/STDEV('The List'!T2:T727)</f>
        <v>-0.50845873870838354</v>
      </c>
      <c r="H431" s="39">
        <f>(VLOOKUP($A431,'The List'!$B1:$AH727,20,FALSE)-AVERAGE('The List'!U2:U727))/STDEV('The List'!U2:U727)</f>
        <v>-0.59676155621535221</v>
      </c>
      <c r="I431" s="39">
        <f>(VLOOKUP($A431,'The List'!$B1:$AH727,21,FALSE)-AVERAGE('The List'!V2:V727))/STDEV('The List'!V2:V727)</f>
        <v>-0.59723450873921513</v>
      </c>
      <c r="J431" s="39">
        <f>(VLOOKUP($A431,'The List'!$B1:$AH727,22,FALSE)-AVERAGE('The List'!W2:W727))/STDEV('The List'!W2:W727)</f>
        <v>-0.69760724599641233</v>
      </c>
      <c r="K431" s="39">
        <f>(VLOOKUP($A431,'The List'!$B1:$AH727,23,FALSE)-AVERAGE('The List'!X2:X727))/STDEV('The List'!X2:X727)</f>
        <v>-0.78673276930492819</v>
      </c>
      <c r="L431" s="39">
        <f>(VLOOKUP($A431,'The List'!$B1:$AH727,24,FALSE)-AVERAGE('The List'!Y2:Y727))/STDEV('The List'!Y2:Y727)</f>
        <v>1.1546141605779607</v>
      </c>
      <c r="M431" s="39">
        <f>(VLOOKUP($A431,'The List'!$B1:$AH727,25,FALSE)-AVERAGE('The List'!Z2:Z727))/STDEV('The List'!Z2:Z727)</f>
        <v>1.4297411442076953</v>
      </c>
      <c r="N431" s="39">
        <f>(VLOOKUP($A431,'The List'!$B1:$AH727,26,FALSE)-AVERAGE('The List'!AA2:AA727))/STDEV('The List'!AA2:AA727)</f>
        <v>-0.3095865089611089</v>
      </c>
      <c r="O431" s="39">
        <f>(VLOOKUP($A431,'The List'!$B1:$AH727,27,FALSE)-AVERAGE('The List'!AB2:AB727))/STDEV('The List'!AB2:AB727)</f>
        <v>-2.9639098930141796E-2</v>
      </c>
      <c r="P431" s="39">
        <f>(VLOOKUP($A431,'The List'!$B1:$AH727,28,FALSE)-AVERAGE('The List'!AC2:AC727))/STDEV('The List'!AC2:AC727)</f>
        <v>-0.21066068388593875</v>
      </c>
      <c r="Q431" s="39">
        <f>(VLOOKUP($A431,'The List'!$B1:$AH727,29,FALSE)-AVERAGE('The List'!AD2:AD727))/STDEV('The List'!AD2:AD727)</f>
        <v>-1.0712277105949208</v>
      </c>
      <c r="R431" s="39">
        <f>(VLOOKUP($A431,'The List'!$B1:$AH727,30,FALSE)-AVERAGE('The List'!AE2:AE727))/STDEV('The List'!AE2:AE727)</f>
        <v>-0.5715904665428061</v>
      </c>
      <c r="S431" s="39">
        <f>(VLOOKUP($A431,'The List'!$B1:$AH727,31,FALSE)-AVERAGE('The List'!AF2:AF727))/STDEV('The List'!AF2:AF727)</f>
        <v>1.1590211805282404</v>
      </c>
      <c r="T431" s="39">
        <f>(VLOOKUP($A431,'The List'!$B1:$AH727,32,FALSE)-AVERAGE('The List'!AG2:AG727))/STDEV('The List'!AG2:AG727)</f>
        <v>1.0793665494378903</v>
      </c>
      <c r="U431" s="39">
        <f>(VLOOKUP($A431,'The List'!$B1:$AH727,33,FALSE)-AVERAGE('The List'!AH2:AH727))/STDEV('The List'!AH2:AH727)</f>
        <v>1.1003557588741468</v>
      </c>
      <c r="V431" s="39"/>
      <c r="W431" s="43"/>
      <c r="X431" s="41"/>
      <c r="Y431" s="41"/>
      <c r="Z431" s="41"/>
      <c r="AA431" s="41"/>
      <c r="AB431" s="41"/>
      <c r="AC431" s="44"/>
      <c r="AD431" s="45"/>
      <c r="AE431" s="39"/>
    </row>
    <row r="432" spans="1:31" ht="21.25" customHeight="1" x14ac:dyDescent="0.15">
      <c r="A432" s="8" t="s">
        <v>684</v>
      </c>
      <c r="B432" s="35" t="str">
        <f>VLOOKUP(A432,'Player Data'!A1:B734,2,FALSE)</f>
        <v>STL</v>
      </c>
      <c r="C432" s="37">
        <f>((E432)*Settings!$C$12)+(F432*Settings!$C$2)+(G432*Settings!$C$3)+(H432*Settings!$C$4)+(I432*Settings!$C$5)+(K432*Settings!$C$9)+(N432*Settings!$C$6)+(J432*Settings!$C$8)+(O432*Settings!$C$7)+(P432*Settings!$C$14)+(Q432*Settings!$C$15)+(R432*Settings!$C$16)+(S432*Settings!$C$17)+(T432*Settings!$C$18)+(U432*Settings!$C$19)</f>
        <v>-4.4706491107836559</v>
      </c>
      <c r="D432" s="41">
        <f>IF(Settings!$E$12="YES",VLOOKUP(A432,'Player Data'!A1:E734,5,FALSE),82)</f>
        <v>70.77</v>
      </c>
      <c r="E432" s="39">
        <f>(VLOOKUP($A432,'The List'!$B1:$AH727,17,FALSE)-AVERAGE('The List'!R2:R727))/STDEV('The List'!R2:R727)</f>
        <v>-1.1523741039793622</v>
      </c>
      <c r="F432" s="39">
        <f>(VLOOKUP($A432,'The List'!$B1:$AH727,18,FALSE)-AVERAGE('The List'!S2:S727))/STDEV('The List'!S2:S727)</f>
        <v>-0.24918772585125754</v>
      </c>
      <c r="G432" s="39">
        <f>(VLOOKUP($A432,'The List'!$B1:$AH727,19,FALSE)-AVERAGE('The List'!T2:T727))/STDEV('The List'!T2:T727)</f>
        <v>-0.8701903125298377</v>
      </c>
      <c r="H432" s="39">
        <f>(VLOOKUP($A432,'The List'!$B1:$AH727,20,FALSE)-AVERAGE('The List'!U2:U727))/STDEV('The List'!U2:U727)</f>
        <v>-0.64961529175390442</v>
      </c>
      <c r="I432" s="39">
        <f>(VLOOKUP($A432,'The List'!$B1:$AH727,21,FALSE)-AVERAGE('The List'!V2:V727))/STDEV('The List'!V2:V727)</f>
        <v>-0.70551399032004303</v>
      </c>
      <c r="J432" s="39">
        <f>(VLOOKUP($A432,'The List'!$B1:$AH727,22,FALSE)-AVERAGE('The List'!W2:W727))/STDEV('The List'!W2:W727)</f>
        <v>-0.40622095568952854</v>
      </c>
      <c r="K432" s="39">
        <f>(VLOOKUP($A432,'The List'!$B1:$AH727,23,FALSE)-AVERAGE('The List'!X2:X727))/STDEV('The List'!X2:X727)</f>
        <v>-0.53191090546343578</v>
      </c>
      <c r="L432" s="39">
        <f>(VLOOKUP($A432,'The List'!$B1:$AH727,24,FALSE)-AVERAGE('The List'!Y2:Y727))/STDEV('The List'!Y2:Y727)</f>
        <v>-0.43401636776268743</v>
      </c>
      <c r="M432" s="39">
        <f>(VLOOKUP($A432,'The List'!$B1:$AH727,25,FALSE)-AVERAGE('The List'!Z2:Z727))/STDEV('The List'!Z2:Z727)</f>
        <v>-0.59884487312476842</v>
      </c>
      <c r="N432" s="39">
        <f>(VLOOKUP($A432,'The List'!$B1:$AH727,26,FALSE)-AVERAGE('The List'!AA2:AA727))/STDEV('The List'!AA2:AA727)</f>
        <v>-0.68759298530443058</v>
      </c>
      <c r="O432" s="39">
        <f>(VLOOKUP($A432,'The List'!$B1:$AH727,27,FALSE)-AVERAGE('The List'!AB2:AB727))/STDEV('The List'!AB2:AB727)</f>
        <v>0.19737180410603122</v>
      </c>
      <c r="P432" s="39">
        <f>(VLOOKUP($A432,'The List'!$B1:$AH727,28,FALSE)-AVERAGE('The List'!AC2:AC727))/STDEV('The List'!AC2:AC727)</f>
        <v>-1.4262531913146521</v>
      </c>
      <c r="Q432" s="39">
        <f>(VLOOKUP($A432,'The List'!$B1:$AH727,29,FALSE)-AVERAGE('The List'!AD2:AD727))/STDEV('The List'!AD2:AD727)</f>
        <v>-0.11225287553300142</v>
      </c>
      <c r="R432" s="39">
        <f>(VLOOKUP($A432,'The List'!$B1:$AH727,30,FALSE)-AVERAGE('The List'!AE2:AE727))/STDEV('The List'!AE2:AE727)</f>
        <v>-0.40682008822453808</v>
      </c>
      <c r="S432" s="39">
        <f>(VLOOKUP($A432,'The List'!$B1:$AH727,31,FALSE)-AVERAGE('The List'!AF2:AF727))/STDEV('The List'!AF2:AF727)</f>
        <v>-0.50302711037976422</v>
      </c>
      <c r="T432" s="39">
        <f>(VLOOKUP($A432,'The List'!$B1:$AH727,32,FALSE)-AVERAGE('The List'!AG2:AG727))/STDEV('The List'!AG2:AG727)</f>
        <v>-0.50092658097056719</v>
      </c>
      <c r="U432" s="39">
        <f>(VLOOKUP($A432,'The List'!$B1:$AH727,33,FALSE)-AVERAGE('The List'!AH2:AH727))/STDEV('The List'!AH2:AH727)</f>
        <v>0.40663321830795612</v>
      </c>
      <c r="V432" s="39"/>
      <c r="W432" s="41"/>
      <c r="X432" s="39"/>
      <c r="Y432" s="39"/>
      <c r="Z432" s="39"/>
      <c r="AA432" s="39"/>
      <c r="AB432" s="39"/>
      <c r="AC432" s="39"/>
      <c r="AD432" s="39"/>
      <c r="AE432" s="39"/>
    </row>
    <row r="433" spans="1:31" ht="21.25" customHeight="1" x14ac:dyDescent="0.15">
      <c r="A433" s="8" t="s">
        <v>702</v>
      </c>
      <c r="B433" s="35" t="str">
        <f>VLOOKUP(A433,'Player Data'!A1:B734,2,FALSE)</f>
        <v>UFA</v>
      </c>
      <c r="C433" s="37">
        <f>((E433)*Settings!$C$12)+(F433*Settings!$C$2)+(G433*Settings!$C$3)+(H433*Settings!$C$4)+(I433*Settings!$C$5)+(K433*Settings!$C$9)+(N433*Settings!$C$6)+(J433*Settings!$C$8)+(O433*Settings!$C$7)+(P433*Settings!$C$14)+(Q433*Settings!$C$15)+(R433*Settings!$C$16)+(S433*Settings!$C$17)+(T433*Settings!$C$18)+(U433*Settings!$C$19)</f>
        <v>-2.5525309897151724</v>
      </c>
      <c r="D433" s="41">
        <f>IF(Settings!$E$12="YES",VLOOKUP(A433,'Player Data'!A1:E734,5,FALSE),82)</f>
        <v>71.172857142857097</v>
      </c>
      <c r="E433" s="39">
        <f>(VLOOKUP($A433,'The List'!$B1:$AH727,17,FALSE)-AVERAGE('The List'!R2:R727))/STDEV('The List'!R2:R727)</f>
        <v>-1.1501977597263593</v>
      </c>
      <c r="F433" s="39">
        <f>(VLOOKUP($A433,'The List'!$B1:$AH727,18,FALSE)-AVERAGE('The List'!S2:S727))/STDEV('The List'!S2:S727)</f>
        <v>-0.25493832323174243</v>
      </c>
      <c r="G433" s="39">
        <f>(VLOOKUP($A433,'The List'!$B1:$AH727,19,FALSE)-AVERAGE('The List'!T2:T727))/STDEV('The List'!T2:T727)</f>
        <v>-0.86451459711455303</v>
      </c>
      <c r="H433" s="39">
        <f>(VLOOKUP($A433,'The List'!$B1:$AH727,20,FALSE)-AVERAGE('The List'!U2:U727))/STDEV('The List'!U2:U727)</f>
        <v>-0.64873474531298259</v>
      </c>
      <c r="I433" s="39">
        <f>(VLOOKUP($A433,'The List'!$B1:$AH727,21,FALSE)-AVERAGE('The List'!V2:V727))/STDEV('The List'!V2:V727)</f>
        <v>9.3300266148052438E-2</v>
      </c>
      <c r="J433" s="39">
        <f>(VLOOKUP($A433,'The List'!$B1:$AH727,22,FALSE)-AVERAGE('The List'!W2:W727))/STDEV('The List'!W2:W727)</f>
        <v>-0.68914591938725189</v>
      </c>
      <c r="K433" s="39">
        <f>(VLOOKUP($A433,'The List'!$B1:$AH727,23,FALSE)-AVERAGE('The List'!X2:X727))/STDEV('The List'!X2:X727)</f>
        <v>-0.76336210471341903</v>
      </c>
      <c r="L433" s="39">
        <f>(VLOOKUP($A433,'The List'!$B1:$AH727,24,FALSE)-AVERAGE('The List'!Y2:Y727))/STDEV('The List'!Y2:Y727)</f>
        <v>-0.54402834717551152</v>
      </c>
      <c r="M433" s="39">
        <f>(VLOOKUP($A433,'The List'!$B1:$AH727,25,FALSE)-AVERAGE('The List'!Z2:Z727))/STDEV('The List'!Z2:Z727)</f>
        <v>-0.72372514007823274</v>
      </c>
      <c r="N433" s="39">
        <f>(VLOOKUP($A433,'The List'!$B1:$AH727,26,FALSE)-AVERAGE('The List'!AA2:AA727))/STDEV('The List'!AA2:AA727)</f>
        <v>-0.44572719250848047</v>
      </c>
      <c r="O433" s="39">
        <f>(VLOOKUP($A433,'The List'!$B1:$AH727,27,FALSE)-AVERAGE('The List'!AB2:AB727))/STDEV('The List'!AB2:AB727)</f>
        <v>0.48083482643616793</v>
      </c>
      <c r="P433" s="39">
        <f>(VLOOKUP($A433,'The List'!$B1:$AH727,28,FALSE)-AVERAGE('The List'!AC2:AC727))/STDEV('The List'!AC2:AC727)</f>
        <v>-0.31728903829502991</v>
      </c>
      <c r="Q433" s="39">
        <f>(VLOOKUP($A433,'The List'!$B1:$AH727,29,FALSE)-AVERAGE('The List'!AD2:AD727))/STDEV('The List'!AD2:AD727)</f>
        <v>-0.30133162320586415</v>
      </c>
      <c r="R433" s="39">
        <f>(VLOOKUP($A433,'The List'!$B1:$AH727,30,FALSE)-AVERAGE('The List'!AE2:AE727))/STDEV('The List'!AE2:AE727)</f>
        <v>-1.1921764565772743</v>
      </c>
      <c r="S433" s="39">
        <f>(VLOOKUP($A433,'The List'!$B1:$AH727,31,FALSE)-AVERAGE('The List'!AF2:AF727))/STDEV('The List'!AF2:AF727)</f>
        <v>-0.49765959033196044</v>
      </c>
      <c r="T433" s="39">
        <f>(VLOOKUP($A433,'The List'!$B1:$AH727,32,FALSE)-AVERAGE('The List'!AG2:AG727))/STDEV('The List'!AG2:AG727)</f>
        <v>-0.46690944218522618</v>
      </c>
      <c r="U433" s="39">
        <f>(VLOOKUP($A433,'The List'!$B1:$AH727,33,FALSE)-AVERAGE('The List'!AH2:AH727))/STDEV('The List'!AH2:AH727)</f>
        <v>0.20620302327378659</v>
      </c>
      <c r="V433" s="39"/>
      <c r="W433" s="43"/>
      <c r="X433" s="41"/>
      <c r="Y433" s="41"/>
      <c r="Z433" s="41"/>
      <c r="AA433" s="41"/>
      <c r="AB433" s="41"/>
      <c r="AC433" s="44"/>
      <c r="AD433" s="45"/>
      <c r="AE433" s="39"/>
    </row>
    <row r="434" spans="1:31" ht="21.25" customHeight="1" x14ac:dyDescent="0.15">
      <c r="A434" s="8" t="s">
        <v>769</v>
      </c>
      <c r="B434" s="35" t="str">
        <f>VLOOKUP(A434,'Player Data'!A1:B734,2,FALSE)</f>
        <v>WSH</v>
      </c>
      <c r="C434" s="37">
        <f>((E434)*Settings!$C$12)+(F434*Settings!$C$2)+(G434*Settings!$C$3)+(H434*Settings!$C$4)+(I434*Settings!$C$5)+(K434*Settings!$C$9)+(N434*Settings!$C$6)+(J434*Settings!$C$8)+(O434*Settings!$C$7)+(P434*Settings!$C$14)+(Q434*Settings!$C$15)+(R434*Settings!$C$16)+(S434*Settings!$C$17)+(T434*Settings!$C$18)+(U434*Settings!$C$19)</f>
        <v>-4.277071442824826</v>
      </c>
      <c r="D434" s="41">
        <f>IF(Settings!$E$12="YES",VLOOKUP(A434,'Player Data'!A1:E734,5,FALSE),82)</f>
        <v>67.432500000000005</v>
      </c>
      <c r="E434" s="39">
        <f>(VLOOKUP($A434,'The List'!$B1:$AH727,17,FALSE)-AVERAGE('The List'!R2:R727))/STDEV('The List'!R2:R727)</f>
        <v>-1.273457231265368</v>
      </c>
      <c r="F434" s="39">
        <f>(VLOOKUP($A434,'The List'!$B1:$AH727,18,FALSE)-AVERAGE('The List'!S2:S727))/STDEV('The List'!S2:S727)</f>
        <v>-0.61329281019033477</v>
      </c>
      <c r="G434" s="39">
        <f>(VLOOKUP($A434,'The List'!$B1:$AH727,19,FALSE)-AVERAGE('The List'!T2:T727))/STDEV('The List'!T2:T727)</f>
        <v>-0.68416208391455136</v>
      </c>
      <c r="H434" s="39">
        <f>(VLOOKUP($A434,'The List'!$B1:$AH727,20,FALSE)-AVERAGE('The List'!U2:U727))/STDEV('The List'!U2:U727)</f>
        <v>-0.70067358209080022</v>
      </c>
      <c r="I434" s="39">
        <f>(VLOOKUP($A434,'The List'!$B1:$AH727,21,FALSE)-AVERAGE('The List'!V2:V727))/STDEV('The List'!V2:V727)</f>
        <v>-0.66226670680433719</v>
      </c>
      <c r="J434" s="39">
        <f>(VLOOKUP($A434,'The List'!$B1:$AH727,22,FALSE)-AVERAGE('The List'!W2:W727))/STDEV('The List'!W2:W727)</f>
        <v>-0.69983583577534747</v>
      </c>
      <c r="K434" s="39">
        <f>(VLOOKUP($A434,'The List'!$B1:$AH727,23,FALSE)-AVERAGE('The List'!X2:X727))/STDEV('The List'!X2:X727)</f>
        <v>-0.7870137157268553</v>
      </c>
      <c r="L434" s="39">
        <f>(VLOOKUP($A434,'The List'!$B1:$AH727,24,FALSE)-AVERAGE('The List'!Y2:Y727))/STDEV('The List'!Y2:Y727)</f>
        <v>-0.21828607473057976</v>
      </c>
      <c r="M434" s="39">
        <f>(VLOOKUP($A434,'The List'!$B1:$AH727,25,FALSE)-AVERAGE('The List'!Z2:Z727))/STDEV('The List'!Z2:Z727)</f>
        <v>-0.36707588045968664</v>
      </c>
      <c r="N434" s="39">
        <f>(VLOOKUP($A434,'The List'!$B1:$AH727,26,FALSE)-AVERAGE('The List'!AA2:AA727))/STDEV('The List'!AA2:AA727)</f>
        <v>-0.94691594963685144</v>
      </c>
      <c r="O434" s="39">
        <f>(VLOOKUP($A434,'The List'!$B1:$AH727,27,FALSE)-AVERAGE('The List'!AB2:AB727))/STDEV('The List'!AB2:AB727)</f>
        <v>-0.79357270842380234</v>
      </c>
      <c r="P434" s="39">
        <f>(VLOOKUP($A434,'The List'!$B1:$AH727,28,FALSE)-AVERAGE('The List'!AC2:AC727))/STDEV('The List'!AC2:AC727)</f>
        <v>-0.58342017655189604</v>
      </c>
      <c r="Q434" s="39">
        <f>(VLOOKUP($A434,'The List'!$B1:$AH727,29,FALSE)-AVERAGE('The List'!AD2:AD727))/STDEV('The List'!AD2:AD727)</f>
        <v>-1.2359787109109452</v>
      </c>
      <c r="R434" s="39">
        <f>(VLOOKUP($A434,'The List'!$B1:$AH727,30,FALSE)-AVERAGE('The List'!AE2:AE727))/STDEV('The List'!AE2:AE727)</f>
        <v>-0.6452338321682235</v>
      </c>
      <c r="S434" s="39">
        <f>(VLOOKUP($A434,'The List'!$B1:$AH727,31,FALSE)-AVERAGE('The List'!AF2:AF727))/STDEV('The List'!AF2:AF727)</f>
        <v>-0.38646715905848561</v>
      </c>
      <c r="T434" s="39">
        <f>(VLOOKUP($A434,'The List'!$B1:$AH727,32,FALSE)-AVERAGE('The List'!AG2:AG727))/STDEV('The List'!AG2:AG727)</f>
        <v>-0.29092915833972188</v>
      </c>
      <c r="U434" s="39">
        <f>(VLOOKUP($A434,'The List'!$B1:$AH727,33,FALSE)-AVERAGE('The List'!AH2:AH727))/STDEV('The List'!AH2:AH727)</f>
        <v>0.41968894173444199</v>
      </c>
      <c r="V434" s="39"/>
      <c r="W434" s="41"/>
      <c r="X434" s="39"/>
      <c r="Y434" s="39"/>
      <c r="Z434" s="39"/>
      <c r="AA434" s="39"/>
      <c r="AB434" s="39"/>
      <c r="AC434" s="39"/>
      <c r="AD434" s="39"/>
      <c r="AE434" s="39"/>
    </row>
    <row r="435" spans="1:31" ht="21.25" customHeight="1" x14ac:dyDescent="0.15">
      <c r="A435" s="8" t="s">
        <v>576</v>
      </c>
      <c r="B435" s="35" t="str">
        <f>VLOOKUP(A435,'Player Data'!A1:B734,2,FALSE)</f>
        <v>BUF</v>
      </c>
      <c r="C435" s="37">
        <f>((E435)*Settings!$C$12)+(F435*Settings!$C$2)+(G435*Settings!$C$3)+(H435*Settings!$C$4)+(I435*Settings!$C$5)+(K435*Settings!$C$9)+(N435*Settings!$C$6)+(J435*Settings!$C$8)+(O435*Settings!$C$7)+(P435*Settings!$C$14)+(Q435*Settings!$C$15)+(R435*Settings!$C$16)+(S435*Settings!$C$17)+(T435*Settings!$C$18)+(U435*Settings!$C$19)</f>
        <v>-3.3596264473169137</v>
      </c>
      <c r="D435" s="41">
        <f>IF(Settings!$E$12="YES",VLOOKUP(A435,'Player Data'!A1:E734,5,FALSE),82)</f>
        <v>76.612499999999997</v>
      </c>
      <c r="E435" s="39">
        <f>(VLOOKUP($A435,'The List'!$B1:$AH727,17,FALSE)-AVERAGE('The List'!R2:R727))/STDEV('The List'!R2:R727)</f>
        <v>-1.0211276931652098</v>
      </c>
      <c r="F435" s="39">
        <f>(VLOOKUP($A435,'The List'!$B1:$AH727,18,FALSE)-AVERAGE('The List'!S2:S727))/STDEV('The List'!S2:S727)</f>
        <v>-0.39304017584154616</v>
      </c>
      <c r="G435" s="39">
        <f>(VLOOKUP($A435,'The List'!$B1:$AH727,19,FALSE)-AVERAGE('The List'!T2:T727))/STDEV('The List'!T2:T727)</f>
        <v>-0.6510920115285892</v>
      </c>
      <c r="H435" s="39">
        <f>(VLOOKUP($A435,'The List'!$B1:$AH727,20,FALSE)-AVERAGE('The List'!U2:U727))/STDEV('The List'!U2:U727)</f>
        <v>-0.58006676774334898</v>
      </c>
      <c r="I435" s="39">
        <f>(VLOOKUP($A435,'The List'!$B1:$AH727,21,FALSE)-AVERAGE('The List'!V2:V727))/STDEV('The List'!V2:V727)</f>
        <v>-8.8357982244735289E-2</v>
      </c>
      <c r="J435" s="39">
        <f>(VLOOKUP($A435,'The List'!$B1:$AH727,22,FALSE)-AVERAGE('The List'!W2:W727))/STDEV('The List'!W2:W727)</f>
        <v>-0.58441341444681338</v>
      </c>
      <c r="K435" s="39">
        <f>(VLOOKUP($A435,'The List'!$B1:$AH727,23,FALSE)-AVERAGE('The List'!X2:X727))/STDEV('The List'!X2:X727)</f>
        <v>-0.67805108008280546</v>
      </c>
      <c r="L435" s="39">
        <f>(VLOOKUP($A435,'The List'!$B1:$AH727,24,FALSE)-AVERAGE('The List'!Y2:Y727))/STDEV('The List'!Y2:Y727)</f>
        <v>1.4337540283464714</v>
      </c>
      <c r="M435" s="39">
        <f>(VLOOKUP($A435,'The List'!$B1:$AH727,25,FALSE)-AVERAGE('The List'!Z2:Z727))/STDEV('The List'!Z2:Z727)</f>
        <v>0.77800949180330103</v>
      </c>
      <c r="N435" s="39">
        <f>(VLOOKUP($A435,'The List'!$B1:$AH727,26,FALSE)-AVERAGE('The List'!AA2:AA727))/STDEV('The List'!AA2:AA727)</f>
        <v>-0.91954868693382819</v>
      </c>
      <c r="O435" s="39">
        <f>(VLOOKUP($A435,'The List'!$B1:$AH727,27,FALSE)-AVERAGE('The List'!AB2:AB727))/STDEV('The List'!AB2:AB727)</f>
        <v>-0.46106134922823844</v>
      </c>
      <c r="P435" s="39">
        <f>(VLOOKUP($A435,'The List'!$B1:$AH727,28,FALSE)-AVERAGE('The List'!AC2:AC727))/STDEV('The List'!AC2:AC727)</f>
        <v>-0.62953651068540928</v>
      </c>
      <c r="Q435" s="39">
        <f>(VLOOKUP($A435,'The List'!$B1:$AH727,29,FALSE)-AVERAGE('The List'!AD2:AD727))/STDEV('The List'!AD2:AD727)</f>
        <v>-0.24103828421321749</v>
      </c>
      <c r="R435" s="39">
        <f>(VLOOKUP($A435,'The List'!$B1:$AH727,30,FALSE)-AVERAGE('The List'!AE2:AE727))/STDEV('The List'!AE2:AE727)</f>
        <v>-0.433760397346653</v>
      </c>
      <c r="S435" s="39">
        <f>(VLOOKUP($A435,'The List'!$B1:$AH727,31,FALSE)-AVERAGE('The List'!AF2:AF727))/STDEV('The List'!AF2:AF727)</f>
        <v>8.1549653203505948E-2</v>
      </c>
      <c r="T435" s="39">
        <f>(VLOOKUP($A435,'The List'!$B1:$AH727,32,FALSE)-AVERAGE('The List'!AG2:AG727))/STDEV('The List'!AG2:AG727)</f>
        <v>9.9912735378230172E-2</v>
      </c>
      <c r="U435" s="39">
        <f>(VLOOKUP($A435,'The List'!$B1:$AH727,33,FALSE)-AVERAGE('The List'!AH2:AH727))/STDEV('The List'!AH2:AH727)</f>
        <v>0.97176161550190499</v>
      </c>
      <c r="V435" s="39"/>
      <c r="W435" s="41"/>
      <c r="X435" s="39"/>
      <c r="Y435" s="39"/>
      <c r="Z435" s="39"/>
      <c r="AA435" s="39"/>
      <c r="AB435" s="39"/>
      <c r="AC435" s="39"/>
      <c r="AD435" s="39"/>
      <c r="AE435" s="39"/>
    </row>
    <row r="436" spans="1:31" ht="21.25" customHeight="1" x14ac:dyDescent="0.15">
      <c r="A436" s="8" t="s">
        <v>526</v>
      </c>
      <c r="B436" s="35" t="str">
        <f>VLOOKUP(A436,'Player Data'!A1:B734,2,FALSE)</f>
        <v>CHI</v>
      </c>
      <c r="C436" s="37">
        <f>((E436)*Settings!$C$12)+(F436*Settings!$C$2)+(G436*Settings!$C$3)+(H436*Settings!$C$4)+(I436*Settings!$C$5)+(K436*Settings!$C$9)+(N436*Settings!$C$6)+(J436*Settings!$C$8)+(O436*Settings!$C$7)+(P436*Settings!$C$14)+(Q436*Settings!$C$15)+(R436*Settings!$C$16)+(S436*Settings!$C$17)+(T436*Settings!$C$18)+(U436*Settings!$C$19)</f>
        <v>-3.1295753177254131</v>
      </c>
      <c r="D436" s="41">
        <f>IF(Settings!$E$12="YES",VLOOKUP(A436,'Player Data'!A1:E734,5,FALSE),82)</f>
        <v>61.64</v>
      </c>
      <c r="E436" s="39">
        <f>(VLOOKUP($A436,'The List'!$B1:$AH727,17,FALSE)-AVERAGE('The List'!R2:R727))/STDEV('The List'!R2:R727)</f>
        <v>1.1651498073832143</v>
      </c>
      <c r="F436" s="39">
        <f>(VLOOKUP($A436,'The List'!$B1:$AH727,18,FALSE)-AVERAGE('The List'!S2:S727))/STDEV('The List'!S2:S727)</f>
        <v>-0.86118143647241197</v>
      </c>
      <c r="G436" s="39">
        <f>(VLOOKUP($A436,'The List'!$B1:$AH727,19,FALSE)-AVERAGE('The List'!T2:T727))/STDEV('The List'!T2:T727)</f>
        <v>-0.62724313854846303</v>
      </c>
      <c r="H436" s="39">
        <f>(VLOOKUP($A436,'The List'!$B1:$AH727,20,FALSE)-AVERAGE('The List'!U2:U727))/STDEV('The List'!U2:U727)</f>
        <v>-0.77840444077633852</v>
      </c>
      <c r="I436" s="39">
        <f>(VLOOKUP($A436,'The List'!$B1:$AH727,21,FALSE)-AVERAGE('The List'!V2:V727))/STDEV('The List'!V2:V727)</f>
        <v>-0.87948289184269934</v>
      </c>
      <c r="J436" s="39">
        <f>(VLOOKUP($A436,'The List'!$B1:$AH727,22,FALSE)-AVERAGE('The List'!W2:W727))/STDEV('The List'!W2:W727)</f>
        <v>-0.70564657135430808</v>
      </c>
      <c r="K436" s="39">
        <f>(VLOOKUP($A436,'The List'!$B1:$AH727,23,FALSE)-AVERAGE('The List'!X2:X727))/STDEV('The List'!X2:X727)</f>
        <v>-0.78487060535623598</v>
      </c>
      <c r="L436" s="39">
        <f>(VLOOKUP($A436,'The List'!$B1:$AH727,24,FALSE)-AVERAGE('The List'!Y2:Y727))/STDEV('The List'!Y2:Y727)</f>
        <v>-0.36661445968030959</v>
      </c>
      <c r="M436" s="39">
        <f>(VLOOKUP($A436,'The List'!$B1:$AH727,25,FALSE)-AVERAGE('The List'!Z2:Z727))/STDEV('The List'!Z2:Z727)</f>
        <v>-0.14584671176677799</v>
      </c>
      <c r="N436" s="39">
        <f>(VLOOKUP($A436,'The List'!$B1:$AH727,26,FALSE)-AVERAGE('The List'!AA2:AA727))/STDEV('The List'!AA2:AA727)</f>
        <v>1.2012947249515253</v>
      </c>
      <c r="O436" s="39">
        <f>(VLOOKUP($A436,'The List'!$B1:$AH727,27,FALSE)-AVERAGE('The List'!AB2:AB727))/STDEV('The List'!AB2:AB727)</f>
        <v>1.9319233680507447E-2</v>
      </c>
      <c r="P436" s="39">
        <f>(VLOOKUP($A436,'The List'!$B1:$AH727,28,FALSE)-AVERAGE('The List'!AC2:AC727))/STDEV('The List'!AC2:AC727)</f>
        <v>-1.1780919704571284</v>
      </c>
      <c r="Q436" s="39">
        <f>(VLOOKUP($A436,'The List'!$B1:$AH727,29,FALSE)-AVERAGE('The List'!AD2:AD727))/STDEV('The List'!AD2:AD727)</f>
        <v>-0.50966348863781008</v>
      </c>
      <c r="R436" s="39">
        <f>(VLOOKUP($A436,'The List'!$B1:$AH727,30,FALSE)-AVERAGE('The List'!AE2:AE727))/STDEV('The List'!AE2:AE727)</f>
        <v>-0.86087773022061609</v>
      </c>
      <c r="S436" s="39">
        <f>(VLOOKUP($A436,'The List'!$B1:$AH727,31,FALSE)-AVERAGE('The List'!AF2:AF727))/STDEV('The List'!AF2:AF727)</f>
        <v>-0.55804314905918151</v>
      </c>
      <c r="T436" s="39">
        <f>(VLOOKUP($A436,'The List'!$B1:$AH727,32,FALSE)-AVERAGE('The List'!AG2:AG727))/STDEV('The List'!AG2:AG727)</f>
        <v>-0.60188453558131205</v>
      </c>
      <c r="U436" s="39">
        <f>(VLOOKUP($A436,'The List'!$B1:$AH727,33,FALSE)-AVERAGE('The List'!AH2:AH727))/STDEV('The List'!AH2:AH727)</f>
        <v>-1.2395873372913611</v>
      </c>
      <c r="V436" s="39"/>
      <c r="W436" s="43"/>
      <c r="X436" s="41"/>
      <c r="Y436" s="41"/>
      <c r="Z436" s="41"/>
      <c r="AA436" s="41"/>
      <c r="AB436" s="41"/>
      <c r="AC436" s="44"/>
      <c r="AD436" s="45"/>
      <c r="AE436" s="39"/>
    </row>
    <row r="437" spans="1:31" ht="21.25" customHeight="1" x14ac:dyDescent="0.15">
      <c r="A437" s="8" t="s">
        <v>738</v>
      </c>
      <c r="B437" s="35" t="str">
        <f>VLOOKUP(A437,'Player Data'!A1:B734,2,FALSE)</f>
        <v>WSH</v>
      </c>
      <c r="C437" s="37">
        <f>((E437)*Settings!$C$12)+(F437*Settings!$C$2)+(G437*Settings!$C$3)+(H437*Settings!$C$4)+(I437*Settings!$C$5)+(K437*Settings!$C$9)+(N437*Settings!$C$6)+(J437*Settings!$C$8)+(O437*Settings!$C$7)+(P437*Settings!$C$14)+(Q437*Settings!$C$15)+(R437*Settings!$C$16)+(S437*Settings!$C$17)+(T437*Settings!$C$18)+(U437*Settings!$C$19)</f>
        <v>-3.0759262024895202</v>
      </c>
      <c r="D437" s="41">
        <f>IF(Settings!$E$12="YES",VLOOKUP(A437,'Player Data'!A1:E734,5,FALSE),82)</f>
        <v>76.537499999999994</v>
      </c>
      <c r="E437" s="39">
        <f>(VLOOKUP($A437,'The List'!$B1:$AH727,17,FALSE)-AVERAGE('The List'!R2:R727))/STDEV('The List'!R2:R727)</f>
        <v>-0.83159334231827708</v>
      </c>
      <c r="F437" s="39">
        <f>(VLOOKUP($A437,'The List'!$B1:$AH727,18,FALSE)-AVERAGE('The List'!S2:S727))/STDEV('The List'!S2:S727)</f>
        <v>-0.20864837236623007</v>
      </c>
      <c r="G437" s="39">
        <f>(VLOOKUP($A437,'The List'!$B1:$AH727,19,FALSE)-AVERAGE('The List'!T2:T727))/STDEV('The List'!T2:T727)</f>
        <v>-0.7897388765047787</v>
      </c>
      <c r="H437" s="39">
        <f>(VLOOKUP($A437,'The List'!$B1:$AH727,20,FALSE)-AVERAGE('The List'!U2:U727))/STDEV('The List'!U2:U727)</f>
        <v>-0.58159243344339551</v>
      </c>
      <c r="I437" s="39">
        <f>(VLOOKUP($A437,'The List'!$B1:$AH727,21,FALSE)-AVERAGE('The List'!V2:V727))/STDEV('The List'!V2:V727)</f>
        <v>-0.80572544357065523</v>
      </c>
      <c r="J437" s="39">
        <f>(VLOOKUP($A437,'The List'!$B1:$AH727,22,FALSE)-AVERAGE('The List'!W2:W727))/STDEV('The List'!W2:W727)</f>
        <v>-0.7052570411027318</v>
      </c>
      <c r="K437" s="39">
        <f>(VLOOKUP($A437,'The List'!$B1:$AH727,23,FALSE)-AVERAGE('The List'!X2:X727))/STDEV('The List'!X2:X727)</f>
        <v>-0.79310427834370034</v>
      </c>
      <c r="L437" s="39">
        <f>(VLOOKUP($A437,'The List'!$B1:$AH727,24,FALSE)-AVERAGE('The List'!Y2:Y727))/STDEV('The List'!Y2:Y727)</f>
        <v>0.16091828599561722</v>
      </c>
      <c r="M437" s="39">
        <f>(VLOOKUP($A437,'The List'!$B1:$AH727,25,FALSE)-AVERAGE('The List'!Z2:Z727))/STDEV('The List'!Z2:Z727)</f>
        <v>0.41701678932780978</v>
      </c>
      <c r="N437" s="39">
        <f>(VLOOKUP($A437,'The List'!$B1:$AH727,26,FALSE)-AVERAGE('The List'!AA2:AA727))/STDEV('The List'!AA2:AA727)</f>
        <v>0.15718850494319267</v>
      </c>
      <c r="O437" s="39">
        <f>(VLOOKUP($A437,'The List'!$B1:$AH727,27,FALSE)-AVERAGE('The List'!AB2:AB727))/STDEV('The List'!AB2:AB727)</f>
        <v>1.3135457606762875</v>
      </c>
      <c r="P437" s="39">
        <f>(VLOOKUP($A437,'The List'!$B1:$AH727,28,FALSE)-AVERAGE('The List'!AC2:AC727))/STDEV('The List'!AC2:AC727)</f>
        <v>-0.63589773664734839</v>
      </c>
      <c r="Q437" s="39">
        <f>(VLOOKUP($A437,'The List'!$B1:$AH727,29,FALSE)-AVERAGE('The List'!AD2:AD727))/STDEV('The List'!AD2:AD727)</f>
        <v>0.3459195943557215</v>
      </c>
      <c r="R437" s="39">
        <f>(VLOOKUP($A437,'The List'!$B1:$AH727,30,FALSE)-AVERAGE('The List'!AE2:AE727))/STDEV('The List'!AE2:AE727)</f>
        <v>-0.32010418693283532</v>
      </c>
      <c r="S437" s="39">
        <f>(VLOOKUP($A437,'The List'!$B1:$AH727,31,FALSE)-AVERAGE('The List'!AF2:AF727))/STDEV('The List'!AF2:AF727)</f>
        <v>2.0794651902085266</v>
      </c>
      <c r="T437" s="39">
        <f>(VLOOKUP($A437,'The List'!$B1:$AH727,32,FALSE)-AVERAGE('The List'!AG2:AG727))/STDEV('The List'!AG2:AG727)</f>
        <v>1.8517308403971418</v>
      </c>
      <c r="U437" s="39">
        <f>(VLOOKUP($A437,'The List'!$B1:$AH727,33,FALSE)-AVERAGE('The List'!AH2:AH727))/STDEV('The List'!AH2:AH727)</f>
        <v>1.1580381153690318</v>
      </c>
      <c r="V437" s="39"/>
      <c r="W437" s="43"/>
      <c r="X437" s="41"/>
      <c r="Y437" s="41"/>
      <c r="Z437" s="41"/>
      <c r="AA437" s="41"/>
      <c r="AB437" s="41"/>
      <c r="AC437" s="44"/>
      <c r="AD437" s="45"/>
      <c r="AE437" s="39"/>
    </row>
    <row r="438" spans="1:31" ht="21.25" customHeight="1" x14ac:dyDescent="0.15">
      <c r="A438" s="8" t="s">
        <v>743</v>
      </c>
      <c r="B438" s="35" t="str">
        <f>VLOOKUP(A438,'Player Data'!A1:B734,2,FALSE)</f>
        <v>NJD</v>
      </c>
      <c r="C438" s="37">
        <f>((E438)*Settings!$C$12)+(F438*Settings!$C$2)+(G438*Settings!$C$3)+(H438*Settings!$C$4)+(I438*Settings!$C$5)+(K438*Settings!$C$9)+(N438*Settings!$C$6)+(J438*Settings!$C$8)+(O438*Settings!$C$7)+(P438*Settings!$C$14)+(Q438*Settings!$C$15)+(R438*Settings!$C$16)+(S438*Settings!$C$17)+(T438*Settings!$C$18)+(U438*Settings!$C$19)</f>
        <v>-3.3186122886160163</v>
      </c>
      <c r="D438" s="41">
        <f>IF(Settings!$E$12="YES",VLOOKUP(A438,'Player Data'!A1:E734,5,FALSE),82)</f>
        <v>78</v>
      </c>
      <c r="E438" s="39">
        <f>(VLOOKUP($A438,'The List'!$B1:$AH727,17,FALSE)-AVERAGE('The List'!R2:R727))/STDEV('The List'!R2:R727)</f>
        <v>-1.1372180879762508</v>
      </c>
      <c r="F438" s="39">
        <f>(VLOOKUP($A438,'The List'!$B1:$AH727,18,FALSE)-AVERAGE('The List'!S2:S727))/STDEV('The List'!S2:S727)</f>
        <v>-0.67237518218533476</v>
      </c>
      <c r="G438" s="39">
        <f>(VLOOKUP($A438,'The List'!$B1:$AH727,19,FALSE)-AVERAGE('The List'!T2:T727))/STDEV('The List'!T2:T727)</f>
        <v>-0.42289337389965825</v>
      </c>
      <c r="H438" s="39">
        <f>(VLOOKUP($A438,'The List'!$B1:$AH727,20,FALSE)-AVERAGE('The List'!U2:U727))/STDEV('The List'!U2:U727)</f>
        <v>-0.56656357365332766</v>
      </c>
      <c r="I438" s="39">
        <f>(VLOOKUP($A438,'The List'!$B1:$AH727,21,FALSE)-AVERAGE('The List'!V2:V727))/STDEV('The List'!V2:V727)</f>
        <v>-0.77912664522077568</v>
      </c>
      <c r="J438" s="39">
        <f>(VLOOKUP($A438,'The List'!$B1:$AH727,22,FALSE)-AVERAGE('The List'!W2:W727))/STDEV('The List'!W2:W727)</f>
        <v>-0.69816040730960616</v>
      </c>
      <c r="K438" s="39">
        <f>(VLOOKUP($A438,'The List'!$B1:$AH727,23,FALSE)-AVERAGE('The List'!X2:X727))/STDEV('The List'!X2:X727)</f>
        <v>-0.78794018600755678</v>
      </c>
      <c r="L438" s="39">
        <f>(VLOOKUP($A438,'The List'!$B1:$AH727,24,FALSE)-AVERAGE('The List'!Y2:Y727))/STDEV('The List'!Y2:Y727)</f>
        <v>-0.38938930330485544</v>
      </c>
      <c r="M438" s="39">
        <f>(VLOOKUP($A438,'The List'!$B1:$AH727,25,FALSE)-AVERAGE('The List'!Z2:Z727))/STDEV('The List'!Z2:Z727)</f>
        <v>0.14534370299462124</v>
      </c>
      <c r="N438" s="39">
        <f>(VLOOKUP($A438,'The List'!$B1:$AH727,26,FALSE)-AVERAGE('The List'!AA2:AA727))/STDEV('The List'!AA2:AA727)</f>
        <v>-0.4142198925257401</v>
      </c>
      <c r="O438" s="39">
        <f>(VLOOKUP($A438,'The List'!$B1:$AH727,27,FALSE)-AVERAGE('The List'!AB2:AB727))/STDEV('The List'!AB2:AB727)</f>
        <v>0.8157081857390982</v>
      </c>
      <c r="P438" s="39">
        <f>(VLOOKUP($A438,'The List'!$B1:$AH727,28,FALSE)-AVERAGE('The List'!AC2:AC727))/STDEV('The List'!AC2:AC727)</f>
        <v>-0.24205700877695085</v>
      </c>
      <c r="Q438" s="39">
        <f>(VLOOKUP($A438,'The List'!$B1:$AH727,29,FALSE)-AVERAGE('The List'!AD2:AD727))/STDEV('The List'!AD2:AD727)</f>
        <v>0.52787744822372062</v>
      </c>
      <c r="R438" s="39">
        <f>(VLOOKUP($A438,'The List'!$B1:$AH727,30,FALSE)-AVERAGE('The List'!AE2:AE727))/STDEV('The List'!AE2:AE727)</f>
        <v>-0.59450320266460055</v>
      </c>
      <c r="S438" s="39">
        <f>(VLOOKUP($A438,'The List'!$B1:$AH727,31,FALSE)-AVERAGE('The List'!AF2:AF727))/STDEV('The List'!AF2:AF727)</f>
        <v>2.1039714397301332</v>
      </c>
      <c r="T438" s="39">
        <f>(VLOOKUP($A438,'The List'!$B1:$AH727,32,FALSE)-AVERAGE('The List'!AG2:AG727))/STDEV('The List'!AG2:AG727)</f>
        <v>1.4555361526446366</v>
      </c>
      <c r="U438" s="39">
        <f>(VLOOKUP($A438,'The List'!$B1:$AH727,33,FALSE)-AVERAGE('The List'!AH2:AH727))/STDEV('The List'!AH2:AH727)</f>
        <v>1.3648365688191615</v>
      </c>
      <c r="V438" s="39"/>
      <c r="W438" s="43"/>
      <c r="X438" s="41"/>
      <c r="Y438" s="41"/>
      <c r="Z438" s="41"/>
      <c r="AA438" s="41"/>
      <c r="AB438" s="41"/>
      <c r="AC438" s="44"/>
      <c r="AD438" s="45"/>
      <c r="AE438" s="39"/>
    </row>
    <row r="439" spans="1:31" ht="21.25" customHeight="1" x14ac:dyDescent="0.15">
      <c r="A439" s="8" t="s">
        <v>398</v>
      </c>
      <c r="B439" s="35" t="str">
        <f>VLOOKUP(A439,'Player Data'!A1:B734,2,FALSE)</f>
        <v>PHI</v>
      </c>
      <c r="C439" s="37">
        <f>((E439)*Settings!$C$12)+(F439*Settings!$C$2)+(G439*Settings!$C$3)+(H439*Settings!$C$4)+(I439*Settings!$C$5)+(K439*Settings!$C$9)+(N439*Settings!$C$6)+(J439*Settings!$C$8)+(O439*Settings!$C$7)+(P439*Settings!$C$14)+(Q439*Settings!$C$15)+(R439*Settings!$C$16)+(S439*Settings!$C$17)+(T439*Settings!$C$18)+(U439*Settings!$C$19)</f>
        <v>-1.2832683589060274</v>
      </c>
      <c r="D439" s="41">
        <f>IF(Settings!$E$12="YES",VLOOKUP(A439,'Player Data'!A1:E734,5,FALSE),82)</f>
        <v>77.385000000000005</v>
      </c>
      <c r="E439" s="39">
        <f>(VLOOKUP($A439,'The List'!$B1:$AH727,17,FALSE)-AVERAGE('The List'!R2:R727))/STDEV('The List'!R2:R727)</f>
        <v>1.1510446200007831</v>
      </c>
      <c r="F439" s="39">
        <f>(VLOOKUP($A439,'The List'!$B1:$AH727,18,FALSE)-AVERAGE('The List'!S2:S727))/STDEV('The List'!S2:S727)</f>
        <v>-0.90816038147600797</v>
      </c>
      <c r="G439" s="39">
        <f>(VLOOKUP($A439,'The List'!$B1:$AH727,19,FALSE)-AVERAGE('The List'!T2:T727))/STDEV('The List'!T2:T727)</f>
        <v>-0.26740491091185525</v>
      </c>
      <c r="H439" s="39">
        <f>(VLOOKUP($A439,'The List'!$B1:$AH727,20,FALSE)-AVERAGE('The List'!U2:U727))/STDEV('The List'!U2:U727)</f>
        <v>-0.57804717128980243</v>
      </c>
      <c r="I439" s="39">
        <f>(VLOOKUP($A439,'The List'!$B1:$AH727,21,FALSE)-AVERAGE('The List'!V2:V727))/STDEV('The List'!V2:V727)</f>
        <v>-0.44375063950684673</v>
      </c>
      <c r="J439" s="39">
        <f>(VLOOKUP($A439,'The List'!$B1:$AH727,22,FALSE)-AVERAGE('The List'!W2:W727))/STDEV('The List'!W2:W727)</f>
        <v>-0.5367552002435233</v>
      </c>
      <c r="K439" s="39">
        <f>(VLOOKUP($A439,'The List'!$B1:$AH727,23,FALSE)-AVERAGE('The List'!X2:X727))/STDEV('The List'!X2:X727)</f>
        <v>-0.37160382015774496</v>
      </c>
      <c r="L439" s="39">
        <f>(VLOOKUP($A439,'The List'!$B1:$AH727,24,FALSE)-AVERAGE('The List'!Y2:Y727))/STDEV('The List'!Y2:Y727)</f>
        <v>0.30321299132949486</v>
      </c>
      <c r="M439" s="39">
        <f>(VLOOKUP($A439,'The List'!$B1:$AH727,25,FALSE)-AVERAGE('The List'!Z2:Z727))/STDEV('The List'!Z2:Z727)</f>
        <v>0.90326416543890298</v>
      </c>
      <c r="N439" s="39">
        <f>(VLOOKUP($A439,'The List'!$B1:$AH727,26,FALSE)-AVERAGE('The List'!AA2:AA727))/STDEV('The List'!AA2:AA727)</f>
        <v>2.2256089498603067</v>
      </c>
      <c r="O439" s="39">
        <f>(VLOOKUP($A439,'The List'!$B1:$AH727,27,FALSE)-AVERAGE('The List'!AB2:AB727))/STDEV('The List'!AB2:AB727)</f>
        <v>2.1506770545486491</v>
      </c>
      <c r="P439" s="39">
        <f>(VLOOKUP($A439,'The List'!$B1:$AH727,28,FALSE)-AVERAGE('The List'!AC2:AC727))/STDEV('The List'!AC2:AC727)</f>
        <v>-1.5179575567138792</v>
      </c>
      <c r="Q439" s="39">
        <f>(VLOOKUP($A439,'The List'!$B1:$AH727,29,FALSE)-AVERAGE('The List'!AD2:AD727))/STDEV('The List'!AD2:AD727)</f>
        <v>0.75770284457945913</v>
      </c>
      <c r="R439" s="39">
        <f>(VLOOKUP($A439,'The List'!$B1:$AH727,30,FALSE)-AVERAGE('The List'!AE2:AE727))/STDEV('The List'!AE2:AE727)</f>
        <v>-0.89592008768864395</v>
      </c>
      <c r="S439" s="39">
        <f>(VLOOKUP($A439,'The List'!$B1:$AH727,31,FALSE)-AVERAGE('The List'!AF2:AF727))/STDEV('The List'!AF2:AF727)</f>
        <v>-0.55804314905918151</v>
      </c>
      <c r="T439" s="39">
        <f>(VLOOKUP($A439,'The List'!$B1:$AH727,32,FALSE)-AVERAGE('The List'!AG2:AG727))/STDEV('The List'!AG2:AG727)</f>
        <v>-0.60188453558131205</v>
      </c>
      <c r="U439" s="39">
        <f>(VLOOKUP($A439,'The List'!$B1:$AH727,33,FALSE)-AVERAGE('The List'!AH2:AH727))/STDEV('The List'!AH2:AH727)</f>
        <v>-1.2395873372913611</v>
      </c>
      <c r="V439" s="39"/>
      <c r="W439" s="41"/>
      <c r="X439" s="39"/>
      <c r="Y439" s="39"/>
      <c r="Z439" s="39"/>
      <c r="AA439" s="39"/>
      <c r="AB439" s="39"/>
      <c r="AC439" s="39"/>
      <c r="AD439" s="39"/>
      <c r="AE439" s="39"/>
    </row>
    <row r="440" spans="1:31" ht="21.25" customHeight="1" x14ac:dyDescent="0.15">
      <c r="A440" s="8" t="s">
        <v>480</v>
      </c>
      <c r="B440" s="35" t="str">
        <f>VLOOKUP(A440,'Player Data'!A1:B734,2,FALSE)</f>
        <v>CBJ</v>
      </c>
      <c r="C440" s="37">
        <f>((E440)*Settings!$C$12)+(F440*Settings!$C$2)+(G440*Settings!$C$3)+(H440*Settings!$C$4)+(I440*Settings!$C$5)+(K440*Settings!$C$9)+(N440*Settings!$C$6)+(J440*Settings!$C$8)+(O440*Settings!$C$7)+(P440*Settings!$C$14)+(Q440*Settings!$C$15)+(R440*Settings!$C$16)+(S440*Settings!$C$17)+(T440*Settings!$C$18)+(U440*Settings!$C$19)</f>
        <v>-3.1566838834610125</v>
      </c>
      <c r="D440" s="41">
        <f>IF(Settings!$E$12="YES",VLOOKUP(A440,'Player Data'!A1:E734,5,FALSE),82)</f>
        <v>74.3</v>
      </c>
      <c r="E440" s="39">
        <f>(VLOOKUP($A440,'The List'!$B1:$AH727,17,FALSE)-AVERAGE('The List'!R2:R727))/STDEV('The List'!R2:R727)</f>
        <v>0.33227892481458565</v>
      </c>
      <c r="F440" s="39">
        <f>(VLOOKUP($A440,'The List'!$B1:$AH727,18,FALSE)-AVERAGE('The List'!S2:S727))/STDEV('The List'!S2:S727)</f>
        <v>-0.82360259831419624</v>
      </c>
      <c r="G440" s="39">
        <f>(VLOOKUP($A440,'The List'!$B1:$AH727,19,FALSE)-AVERAGE('The List'!T2:T727))/STDEV('The List'!T2:T727)</f>
        <v>-0.39654821655924388</v>
      </c>
      <c r="H440" s="39">
        <f>(VLOOKUP($A440,'The List'!$B1:$AH727,20,FALSE)-AVERAGE('The List'!U2:U727))/STDEV('The List'!U2:U727)</f>
        <v>-0.61914738271536418</v>
      </c>
      <c r="I440" s="39">
        <f>(VLOOKUP($A440,'The List'!$B1:$AH727,21,FALSE)-AVERAGE('The List'!V2:V727))/STDEV('The List'!V2:V727)</f>
        <v>-0.68836887409950998</v>
      </c>
      <c r="J440" s="39">
        <f>(VLOOKUP($A440,'The List'!$B1:$AH727,22,FALSE)-AVERAGE('The List'!W2:W727))/STDEV('The List'!W2:W727)</f>
        <v>-0.64299758290247533</v>
      </c>
      <c r="K440" s="39">
        <f>(VLOOKUP($A440,'The List'!$B1:$AH727,23,FALSE)-AVERAGE('The List'!X2:X727))/STDEV('The List'!X2:X727)</f>
        <v>-0.66367789108142561</v>
      </c>
      <c r="L440" s="39">
        <f>(VLOOKUP($A440,'The List'!$B1:$AH727,24,FALSE)-AVERAGE('The List'!Y2:Y727))/STDEV('The List'!Y2:Y727)</f>
        <v>-0.49228078050991247</v>
      </c>
      <c r="M440" s="39">
        <f>(VLOOKUP($A440,'The List'!$B1:$AH727,25,FALSE)-AVERAGE('The List'!Z2:Z727))/STDEV('The List'!Z2:Z727)</f>
        <v>-0.32807254149612952</v>
      </c>
      <c r="N440" s="39">
        <f>(VLOOKUP($A440,'The List'!$B1:$AH727,26,FALSE)-AVERAGE('The List'!AA2:AA727))/STDEV('The List'!AA2:AA727)</f>
        <v>0.79429019070853901</v>
      </c>
      <c r="O440" s="39">
        <f>(VLOOKUP($A440,'The List'!$B1:$AH727,27,FALSE)-AVERAGE('The List'!AB2:AB727))/STDEV('The List'!AB2:AB727)</f>
        <v>-0.37653588493383638</v>
      </c>
      <c r="P440" s="39">
        <f>(VLOOKUP($A440,'The List'!$B1:$AH727,28,FALSE)-AVERAGE('The List'!AC2:AC727))/STDEV('The List'!AC2:AC727)</f>
        <v>-1.3787764941151757</v>
      </c>
      <c r="Q440" s="39">
        <f>(VLOOKUP($A440,'The List'!$B1:$AH727,29,FALSE)-AVERAGE('The List'!AD2:AD727))/STDEV('The List'!AD2:AD727)</f>
        <v>-0.25131656992854995</v>
      </c>
      <c r="R440" s="39">
        <f>(VLOOKUP($A440,'The List'!$B1:$AH727,30,FALSE)-AVERAGE('The List'!AE2:AE727))/STDEV('The List'!AE2:AE727)</f>
        <v>-0.8629158051233784</v>
      </c>
      <c r="S440" s="39">
        <f>(VLOOKUP($A440,'The List'!$B1:$AH727,31,FALSE)-AVERAGE('The List'!AF2:AF727))/STDEV('The List'!AF2:AF727)</f>
        <v>-0.55804314905918151</v>
      </c>
      <c r="T440" s="39">
        <f>(VLOOKUP($A440,'The List'!$B1:$AH727,32,FALSE)-AVERAGE('The List'!AG2:AG727))/STDEV('The List'!AG2:AG727)</f>
        <v>-0.60188453558131205</v>
      </c>
      <c r="U440" s="39">
        <f>(VLOOKUP($A440,'The List'!$B1:$AH727,33,FALSE)-AVERAGE('The List'!AH2:AH727))/STDEV('The List'!AH2:AH727)</f>
        <v>-1.2395873372913611</v>
      </c>
      <c r="V440" s="39"/>
      <c r="W440" s="43"/>
      <c r="X440" s="41"/>
      <c r="Y440" s="41"/>
      <c r="Z440" s="41"/>
      <c r="AA440" s="41"/>
      <c r="AB440" s="41"/>
      <c r="AC440" s="44"/>
      <c r="AD440" s="45"/>
      <c r="AE440" s="39"/>
    </row>
    <row r="441" spans="1:31" ht="21.25" customHeight="1" x14ac:dyDescent="0.15">
      <c r="A441" s="8" t="s">
        <v>438</v>
      </c>
      <c r="B441" s="35" t="str">
        <f>VLOOKUP(A441,'Player Data'!A1:B734,2,FALSE)</f>
        <v>TBL</v>
      </c>
      <c r="C441" s="37">
        <f>((E441)*Settings!$C$12)+(F441*Settings!$C$2)+(G441*Settings!$C$3)+(H441*Settings!$C$4)+(I441*Settings!$C$5)+(K441*Settings!$C$9)+(N441*Settings!$C$6)+(J441*Settings!$C$8)+(O441*Settings!$C$7)+(P441*Settings!$C$14)+(Q441*Settings!$C$15)+(R441*Settings!$C$16)+(S441*Settings!$C$17)+(T441*Settings!$C$18)+(U441*Settings!$C$19)</f>
        <v>-1.0530787227701903</v>
      </c>
      <c r="D441" s="41">
        <f>IF(Settings!$E$12="YES",VLOOKUP(A441,'Player Data'!A1:E734,5,FALSE),82)</f>
        <v>75.3</v>
      </c>
      <c r="E441" s="39">
        <f>(VLOOKUP($A441,'The List'!$B1:$AH727,17,FALSE)-AVERAGE('The List'!R2:R727))/STDEV('The List'!R2:R727)</f>
        <v>0.97702529094781154</v>
      </c>
      <c r="F441" s="39">
        <f>(VLOOKUP($A441,'The List'!$B1:$AH727,18,FALSE)-AVERAGE('The List'!S2:S727))/STDEV('The List'!S2:S727)</f>
        <v>-0.92379828697461608</v>
      </c>
      <c r="G441" s="39">
        <f>(VLOOKUP($A441,'The List'!$B1:$AH727,19,FALSE)-AVERAGE('The List'!T2:T727))/STDEV('The List'!T2:T727)</f>
        <v>-0.30287987690057278</v>
      </c>
      <c r="H441" s="39">
        <f>(VLOOKUP($A441,'The List'!$B1:$AH727,20,FALSE)-AVERAGE('The List'!U2:U727))/STDEV('The List'!U2:U727)</f>
        <v>-0.60702339754804613</v>
      </c>
      <c r="I441" s="39">
        <f>(VLOOKUP($A441,'The List'!$B1:$AH727,21,FALSE)-AVERAGE('The List'!V2:V727))/STDEV('The List'!V2:V727)</f>
        <v>-0.37936273615175536</v>
      </c>
      <c r="J441" s="39">
        <f>(VLOOKUP($A441,'The List'!$B1:$AH727,22,FALSE)-AVERAGE('The List'!W2:W727))/STDEV('The List'!W2:W727)</f>
        <v>-0.70614071924509969</v>
      </c>
      <c r="K441" s="39">
        <f>(VLOOKUP($A441,'The List'!$B1:$AH727,23,FALSE)-AVERAGE('The List'!X2:X727))/STDEV('The List'!X2:X727)</f>
        <v>-0.78618496352902512</v>
      </c>
      <c r="L441" s="39">
        <f>(VLOOKUP($A441,'The List'!$B1:$AH727,24,FALSE)-AVERAGE('The List'!Y2:Y727))/STDEV('The List'!Y2:Y727)</f>
        <v>-0.49446651648323087</v>
      </c>
      <c r="M441" s="39">
        <f>(VLOOKUP($A441,'The List'!$B1:$AH727,25,FALSE)-AVERAGE('The List'!Z2:Z727))/STDEV('The List'!Z2:Z727)</f>
        <v>4.1544038806212942E-2</v>
      </c>
      <c r="N441" s="39">
        <f>(VLOOKUP($A441,'The List'!$B1:$AH727,26,FALSE)-AVERAGE('The List'!AA2:AA727))/STDEV('The List'!AA2:AA727)</f>
        <v>1.4135427447239017</v>
      </c>
      <c r="O441" s="39">
        <f>(VLOOKUP($A441,'The List'!$B1:$AH727,27,FALSE)-AVERAGE('The List'!AB2:AB727))/STDEV('The List'!AB2:AB727)</f>
        <v>2.4458730308298899</v>
      </c>
      <c r="P441" s="39">
        <f>(VLOOKUP($A441,'The List'!$B1:$AH727,28,FALSE)-AVERAGE('The List'!AC2:AC727))/STDEV('The List'!AC2:AC727)</f>
        <v>-7.4395603938122737E-2</v>
      </c>
      <c r="Q441" s="39">
        <f>(VLOOKUP($A441,'The List'!$B1:$AH727,29,FALSE)-AVERAGE('The List'!AD2:AD727))/STDEV('The List'!AD2:AD727)</f>
        <v>1.5622722202332489</v>
      </c>
      <c r="R441" s="39">
        <f>(VLOOKUP($A441,'The List'!$B1:$AH727,30,FALSE)-AVERAGE('The List'!AE2:AE727))/STDEV('The List'!AE2:AE727)</f>
        <v>-0.8137269008965301</v>
      </c>
      <c r="S441" s="39">
        <f>(VLOOKUP($A441,'The List'!$B1:$AH727,31,FALSE)-AVERAGE('The List'!AF2:AF727))/STDEV('The List'!AF2:AF727)</f>
        <v>-0.55804314905918151</v>
      </c>
      <c r="T441" s="39">
        <f>(VLOOKUP($A441,'The List'!$B1:$AH727,32,FALSE)-AVERAGE('The List'!AG2:AG727))/STDEV('The List'!AG2:AG727)</f>
        <v>-0.60188453558131205</v>
      </c>
      <c r="U441" s="39">
        <f>(VLOOKUP($A441,'The List'!$B1:$AH727,33,FALSE)-AVERAGE('The List'!AH2:AH727))/STDEV('The List'!AH2:AH727)</f>
        <v>-1.2395873372913611</v>
      </c>
      <c r="V441" s="39"/>
      <c r="W441" s="41"/>
      <c r="X441" s="39"/>
      <c r="Y441" s="39"/>
      <c r="Z441" s="39"/>
      <c r="AA441" s="39"/>
      <c r="AB441" s="39"/>
      <c r="AC441" s="39"/>
      <c r="AD441" s="39"/>
      <c r="AE441" s="39"/>
    </row>
    <row r="442" spans="1:31" ht="21.25" customHeight="1" x14ac:dyDescent="0.15">
      <c r="A442" s="8" t="s">
        <v>502</v>
      </c>
      <c r="B442" s="35" t="str">
        <f>VLOOKUP(A442,'Player Data'!A1:B734,2,FALSE)</f>
        <v>PIT</v>
      </c>
      <c r="C442" s="37">
        <f>((E442)*Settings!$C$12)+(F442*Settings!$C$2)+(G442*Settings!$C$3)+(H442*Settings!$C$4)+(I442*Settings!$C$5)+(K442*Settings!$C$9)+(N442*Settings!$C$6)+(J442*Settings!$C$8)+(O442*Settings!$C$7)+(P442*Settings!$C$14)+(Q442*Settings!$C$15)+(R442*Settings!$C$16)+(S442*Settings!$C$17)+(T442*Settings!$C$18)+(U442*Settings!$C$19)</f>
        <v>-1.994852996301673</v>
      </c>
      <c r="D442" s="41">
        <f>IF(Settings!$E$12="YES",VLOOKUP(A442,'Player Data'!A1:E734,5,FALSE),82)</f>
        <v>68.330357142857096</v>
      </c>
      <c r="E442" s="39">
        <f>(VLOOKUP($A442,'The List'!$B1:$AH727,17,FALSE)-AVERAGE('The List'!R2:R727))/STDEV('The List'!R2:R727)</f>
        <v>0.11647949507431204</v>
      </c>
      <c r="F442" s="39">
        <f>(VLOOKUP($A442,'The List'!$B1:$AH727,18,FALSE)-AVERAGE('The List'!S2:S727))/STDEV('The List'!S2:S727)</f>
        <v>-0.8570721207154679</v>
      </c>
      <c r="G442" s="39">
        <f>(VLOOKUP($A442,'The List'!$B1:$AH727,19,FALSE)-AVERAGE('The List'!T2:T727))/STDEV('The List'!T2:T727)</f>
        <v>-0.50138460330911905</v>
      </c>
      <c r="H442" s="39">
        <f>(VLOOKUP($A442,'The List'!$B1:$AH727,20,FALSE)-AVERAGE('The List'!U2:U727))/STDEV('The List'!U2:U727)</f>
        <v>-0.6989792566500056</v>
      </c>
      <c r="I442" s="39">
        <f>(VLOOKUP($A442,'The List'!$B1:$AH727,21,FALSE)-AVERAGE('The List'!V2:V727))/STDEV('The List'!V2:V727)</f>
        <v>-0.48392604805081274</v>
      </c>
      <c r="J442" s="39">
        <f>(VLOOKUP($A442,'The List'!$B1:$AH727,22,FALSE)-AVERAGE('The List'!W2:W727))/STDEV('The List'!W2:W727)</f>
        <v>-0.5929235177589619</v>
      </c>
      <c r="K442" s="39">
        <f>(VLOOKUP($A442,'The List'!$B1:$AH727,23,FALSE)-AVERAGE('The List'!X2:X727))/STDEV('The List'!X2:X727)</f>
        <v>-0.6233400205459475</v>
      </c>
      <c r="L442" s="39">
        <f>(VLOOKUP($A442,'The List'!$B1:$AH727,24,FALSE)-AVERAGE('The List'!Y2:Y727))/STDEV('The List'!Y2:Y727)</f>
        <v>-0.52516611950390113</v>
      </c>
      <c r="M442" s="39">
        <f>(VLOOKUP($A442,'The List'!$B1:$AH727,25,FALSE)-AVERAGE('The List'!Z2:Z727))/STDEV('The List'!Z2:Z727)</f>
        <v>-0.6807977258511474</v>
      </c>
      <c r="N442" s="39">
        <f>(VLOOKUP($A442,'The List'!$B1:$AH727,26,FALSE)-AVERAGE('The List'!AA2:AA727))/STDEV('The List'!AA2:AA727)</f>
        <v>-0.17824258366484513</v>
      </c>
      <c r="O442" s="39">
        <f>(VLOOKUP($A442,'The List'!$B1:$AH727,27,FALSE)-AVERAGE('The List'!AB2:AB727))/STDEV('The List'!AB2:AB727)</f>
        <v>-3.0113568576795501E-2</v>
      </c>
      <c r="P442" s="39">
        <f>(VLOOKUP($A442,'The List'!$B1:$AH727,28,FALSE)-AVERAGE('The List'!AC2:AC727))/STDEV('The List'!AC2:AC727)</f>
        <v>0.64911237998451909</v>
      </c>
      <c r="Q442" s="39">
        <f>(VLOOKUP($A442,'The List'!$B1:$AH727,29,FALSE)-AVERAGE('The List'!AD2:AD727))/STDEV('The List'!AD2:AD727)</f>
        <v>0.49030988028298927</v>
      </c>
      <c r="R442" s="39">
        <f>(VLOOKUP($A442,'The List'!$B1:$AH727,30,FALSE)-AVERAGE('The List'!AE2:AE727))/STDEV('The List'!AE2:AE727)</f>
        <v>-0.7379532426804648</v>
      </c>
      <c r="S442" s="39">
        <f>(VLOOKUP($A442,'The List'!$B1:$AH727,31,FALSE)-AVERAGE('The List'!AF2:AF727))/STDEV('The List'!AF2:AF727)</f>
        <v>-0.55804314905918151</v>
      </c>
      <c r="T442" s="39">
        <f>(VLOOKUP($A442,'The List'!$B1:$AH727,32,FALSE)-AVERAGE('The List'!AG2:AG727))/STDEV('The List'!AG2:AG727)</f>
        <v>-0.60188453558131205</v>
      </c>
      <c r="U442" s="39">
        <f>(VLOOKUP($A442,'The List'!$B1:$AH727,33,FALSE)-AVERAGE('The List'!AH2:AH727))/STDEV('The List'!AH2:AH727)</f>
        <v>-1.2395873372913611</v>
      </c>
      <c r="V442" s="39"/>
      <c r="W442" s="43"/>
      <c r="X442" s="41"/>
      <c r="Y442" s="41"/>
      <c r="Z442" s="41"/>
      <c r="AA442" s="41"/>
      <c r="AB442" s="41"/>
      <c r="AC442" s="44"/>
      <c r="AD442" s="45"/>
      <c r="AE442" s="39"/>
    </row>
    <row r="443" spans="1:31" ht="21.25" customHeight="1" x14ac:dyDescent="0.15">
      <c r="A443" s="8" t="s">
        <v>661</v>
      </c>
      <c r="B443" s="35" t="str">
        <f>VLOOKUP(A443,'Player Data'!A1:B734,2,FALSE)</f>
        <v>UFA</v>
      </c>
      <c r="C443" s="37">
        <f>((E443)*Settings!$C$12)+(F443*Settings!$C$2)+(G443*Settings!$C$3)+(H443*Settings!$C$4)+(I443*Settings!$C$5)+(K443*Settings!$C$9)+(N443*Settings!$C$6)+(J443*Settings!$C$8)+(O443*Settings!$C$7)+(P443*Settings!$C$14)+(Q443*Settings!$C$15)+(R443*Settings!$C$16)+(S443*Settings!$C$17)+(T443*Settings!$C$18)+(U443*Settings!$C$19)</f>
        <v>-2.9807296565128429</v>
      </c>
      <c r="D443" s="41">
        <f>IF(Settings!$E$12="YES",VLOOKUP(A443,'Player Data'!A1:E734,5,FALSE),82)</f>
        <v>76.283928571428604</v>
      </c>
      <c r="E443" s="39">
        <f>(VLOOKUP($A443,'The List'!$B1:$AH727,17,FALSE)-AVERAGE('The List'!R2:R727))/STDEV('The List'!R2:R727)</f>
        <v>-1.6814288866554274</v>
      </c>
      <c r="F443" s="39">
        <f>(VLOOKUP($A443,'The List'!$B1:$AH727,18,FALSE)-AVERAGE('The List'!S2:S727))/STDEV('The List'!S2:S727)</f>
        <v>-0.34227677867305334</v>
      </c>
      <c r="G443" s="39">
        <f>(VLOOKUP($A443,'The List'!$B1:$AH727,19,FALSE)-AVERAGE('The List'!T2:T727))/STDEV('The List'!T2:T727)</f>
        <v>-0.71454828849622565</v>
      </c>
      <c r="H443" s="39">
        <f>(VLOOKUP($A443,'The List'!$B1:$AH727,20,FALSE)-AVERAGE('The List'!U2:U727))/STDEV('The List'!U2:U727)</f>
        <v>-0.59606858761151615</v>
      </c>
      <c r="I443" s="39">
        <f>(VLOOKUP($A443,'The List'!$B1:$AH727,21,FALSE)-AVERAGE('The List'!V2:V727))/STDEV('The List'!V2:V727)</f>
        <v>-0.47859260706636736</v>
      </c>
      <c r="J443" s="39">
        <f>(VLOOKUP($A443,'The List'!$B1:$AH727,22,FALSE)-AVERAGE('The List'!W2:W727))/STDEV('The List'!W2:W727)</f>
        <v>-0.5936224500427929</v>
      </c>
      <c r="K443" s="39">
        <f>(VLOOKUP($A443,'The List'!$B1:$AH727,23,FALSE)-AVERAGE('The List'!X2:X727))/STDEV('The List'!X2:X727)</f>
        <v>-0.72034576676535444</v>
      </c>
      <c r="L443" s="39">
        <f>(VLOOKUP($A443,'The List'!$B1:$AH727,24,FALSE)-AVERAGE('The List'!Y2:Y727))/STDEV('The List'!Y2:Y727)</f>
        <v>-0.54402834717551152</v>
      </c>
      <c r="M443" s="39">
        <f>(VLOOKUP($A443,'The List'!$B1:$AH727,25,FALSE)-AVERAGE('The List'!Z2:Z727))/STDEV('The List'!Z2:Z727)</f>
        <v>-0.72372514007823274</v>
      </c>
      <c r="N443" s="39">
        <f>(VLOOKUP($A443,'The List'!$B1:$AH727,26,FALSE)-AVERAGE('The List'!AA2:AA727))/STDEV('The List'!AA2:AA727)</f>
        <v>-0.7397488024584824</v>
      </c>
      <c r="O443" s="39">
        <f>(VLOOKUP($A443,'The List'!$B1:$AH727,27,FALSE)-AVERAGE('The List'!AB2:AB727))/STDEV('The List'!AB2:AB727)</f>
        <v>-0.18391706880042644</v>
      </c>
      <c r="P443" s="39">
        <f>(VLOOKUP($A443,'The List'!$B1:$AH727,28,FALSE)-AVERAGE('The List'!AC2:AC727))/STDEV('The List'!AC2:AC727)</f>
        <v>1.4782586946639888E-2</v>
      </c>
      <c r="Q443" s="39">
        <f>(VLOOKUP($A443,'The List'!$B1:$AH727,29,FALSE)-AVERAGE('The List'!AD2:AD727))/STDEV('The List'!AD2:AD727)</f>
        <v>-1.311576637890892</v>
      </c>
      <c r="R443" s="39">
        <f>(VLOOKUP($A443,'The List'!$B1:$AH727,30,FALSE)-AVERAGE('The List'!AE2:AE727))/STDEV('The List'!AE2:AE727)</f>
        <v>-1.1921764565772743</v>
      </c>
      <c r="S443" s="39">
        <f>(VLOOKUP($A443,'The List'!$B1:$AH727,31,FALSE)-AVERAGE('The List'!AF2:AF727))/STDEV('The List'!AF2:AF727)</f>
        <v>-0.5532274616806655</v>
      </c>
      <c r="T443" s="39">
        <f>(VLOOKUP($A443,'The List'!$B1:$AH727,32,FALSE)-AVERAGE('The List'!AG2:AG727))/STDEV('The List'!AG2:AG727)</f>
        <v>-0.57844350215631757</v>
      </c>
      <c r="U443" s="39">
        <f>(VLOOKUP($A443,'The List'!$B1:$AH727,33,FALSE)-AVERAGE('The List'!AH2:AH727))/STDEV('The List'!AH2:AH727)</f>
        <v>-0.43671306090296191</v>
      </c>
      <c r="V443" s="39"/>
      <c r="W443" s="43"/>
      <c r="X443" s="41"/>
      <c r="Y443" s="41"/>
      <c r="Z443" s="41"/>
      <c r="AA443" s="41"/>
      <c r="AB443" s="41"/>
      <c r="AC443" s="44"/>
      <c r="AD443" s="45"/>
      <c r="AE443" s="39"/>
    </row>
    <row r="444" spans="1:31" ht="21.25" customHeight="1" x14ac:dyDescent="0.15">
      <c r="A444" s="8" t="s">
        <v>817</v>
      </c>
      <c r="B444" s="35" t="str">
        <f>VLOOKUP(A444,'Player Data'!A1:B734,2,FALSE)</f>
        <v>BOS</v>
      </c>
      <c r="C444" s="37">
        <f>((E444)*Settings!$C$12)+(F444*Settings!$C$2)+(G444*Settings!$C$3)+(H444*Settings!$C$4)+(I444*Settings!$C$5)+(K444*Settings!$C$9)+(N444*Settings!$C$6)+(J444*Settings!$C$8)+(O444*Settings!$C$7)+(P444*Settings!$C$14)+(Q444*Settings!$C$15)+(R444*Settings!$C$16)+(S444*Settings!$C$17)+(T444*Settings!$C$18)+(U444*Settings!$C$19)</f>
        <v>-4.4037162693080028</v>
      </c>
      <c r="D444" s="41">
        <f>IF(Settings!$E$12="YES",VLOOKUP(A444,'Player Data'!A1:E734,5,FALSE),82)</f>
        <v>52.082500000000003</v>
      </c>
      <c r="E444" s="39">
        <f>(VLOOKUP($A444,'The List'!$B1:$AH727,17,FALSE)-AVERAGE('The List'!R2:R727))/STDEV('The List'!R2:R727)</f>
        <v>-1.6088228778672082</v>
      </c>
      <c r="F444" s="39">
        <f>(VLOOKUP($A444,'The List'!$B1:$AH727,18,FALSE)-AVERAGE('The List'!S2:S727))/STDEV('The List'!S2:S727)</f>
        <v>-0.54594452857678766</v>
      </c>
      <c r="G444" s="39">
        <f>(VLOOKUP($A444,'The List'!$B1:$AH727,19,FALSE)-AVERAGE('The List'!T2:T727))/STDEV('The List'!T2:T727)</f>
        <v>-1.0799074896314971</v>
      </c>
      <c r="H444" s="39">
        <f>(VLOOKUP($A444,'The List'!$B1:$AH727,20,FALSE)-AVERAGE('The List'!U2:U727))/STDEV('The List'!U2:U727)</f>
        <v>-0.91388786254475507</v>
      </c>
      <c r="I444" s="39">
        <f>(VLOOKUP($A444,'The List'!$B1:$AH727,21,FALSE)-AVERAGE('The List'!V2:V727))/STDEV('The List'!V2:V727)</f>
        <v>-1.3423332545671671</v>
      </c>
      <c r="J444" s="39">
        <f>(VLOOKUP($A444,'The List'!$B1:$AH727,22,FALSE)-AVERAGE('The List'!W2:W727))/STDEV('The List'!W2:W727)</f>
        <v>-0.70900179312375977</v>
      </c>
      <c r="K444" s="39">
        <f>(VLOOKUP($A444,'The List'!$B1:$AH727,23,FALSE)-AVERAGE('The List'!X2:X727))/STDEV('The List'!X2:X727)</f>
        <v>-0.79826527665023228</v>
      </c>
      <c r="L444" s="39">
        <f>(VLOOKUP($A444,'The List'!$B1:$AH727,24,FALSE)-AVERAGE('The List'!Y2:Y727))/STDEV('The List'!Y2:Y727)</f>
        <v>-0.37662647692580514</v>
      </c>
      <c r="M444" s="39">
        <f>(VLOOKUP($A444,'The List'!$B1:$AH727,25,FALSE)-AVERAGE('The List'!Z2:Z727))/STDEV('The List'!Z2:Z727)</f>
        <v>-0.5348044387408083</v>
      </c>
      <c r="N444" s="39">
        <f>(VLOOKUP($A444,'The List'!$B1:$AH727,26,FALSE)-AVERAGE('The List'!AA2:AA727))/STDEV('The List'!AA2:AA727)</f>
        <v>-1.0251341692517322</v>
      </c>
      <c r="O444" s="39">
        <f>(VLOOKUP($A444,'The List'!$B1:$AH727,27,FALSE)-AVERAGE('The List'!AB2:AB727))/STDEV('The List'!AB2:AB727)</f>
        <v>0.17158231591068462</v>
      </c>
      <c r="P444" s="39">
        <f>(VLOOKUP($A444,'The List'!$B1:$AH727,28,FALSE)-AVERAGE('The List'!AC2:AC727))/STDEV('The List'!AC2:AC727)</f>
        <v>0.387868449369414</v>
      </c>
      <c r="Q444" s="39">
        <f>(VLOOKUP($A444,'The List'!$B1:$AH727,29,FALSE)-AVERAGE('The List'!AD2:AD727))/STDEV('The List'!AD2:AD727)</f>
        <v>-0.93105879947474246</v>
      </c>
      <c r="R444" s="39">
        <f>(VLOOKUP($A444,'The List'!$B1:$AH727,30,FALSE)-AVERAGE('The List'!AE2:AE727))/STDEV('The List'!AE2:AE727)</f>
        <v>-0.37184517847923759</v>
      </c>
      <c r="S444" s="39">
        <f>(VLOOKUP($A444,'The List'!$B1:$AH727,31,FALSE)-AVERAGE('The List'!AF2:AF727))/STDEV('The List'!AF2:AF727)</f>
        <v>-0.55804314905918151</v>
      </c>
      <c r="T444" s="39">
        <f>(VLOOKUP($A444,'The List'!$B1:$AH727,32,FALSE)-AVERAGE('The List'!AG2:AG727))/STDEV('The List'!AG2:AG727)</f>
        <v>-0.54636195634961615</v>
      </c>
      <c r="U444" s="39">
        <f>(VLOOKUP($A444,'The List'!$B1:$AH727,33,FALSE)-AVERAGE('The List'!AH2:AH727))/STDEV('The List'!AH2:AH727)</f>
        <v>-1.2395873372913611</v>
      </c>
      <c r="V444" s="39"/>
      <c r="W444" s="43"/>
      <c r="X444" s="41"/>
      <c r="Y444" s="41"/>
      <c r="Z444" s="41"/>
      <c r="AA444" s="41"/>
      <c r="AB444" s="41"/>
      <c r="AC444" s="44"/>
      <c r="AD444" s="45"/>
      <c r="AE444" s="39"/>
    </row>
    <row r="445" spans="1:31" ht="21.25" customHeight="1" x14ac:dyDescent="0.15">
      <c r="A445" s="8" t="s">
        <v>459</v>
      </c>
      <c r="B445" s="35" t="str">
        <f>VLOOKUP(A445,'Player Data'!A1:B734,2,FALSE)</f>
        <v>NJD</v>
      </c>
      <c r="C445" s="37">
        <f>((E445)*Settings!$C$12)+(F445*Settings!$C$2)+(G445*Settings!$C$3)+(H445*Settings!$C$4)+(I445*Settings!$C$5)+(K445*Settings!$C$9)+(N445*Settings!$C$6)+(J445*Settings!$C$8)+(O445*Settings!$C$7)+(P445*Settings!$C$14)+(Q445*Settings!$C$15)+(R445*Settings!$C$16)+(S445*Settings!$C$17)+(T445*Settings!$C$18)+(U445*Settings!$C$19)</f>
        <v>-1.6015183873324252</v>
      </c>
      <c r="D445" s="41">
        <f>IF(Settings!$E$12="YES",VLOOKUP(A445,'Player Data'!A1:E734,5,FALSE),82)</f>
        <v>78.111785714285702</v>
      </c>
      <c r="E445" s="39">
        <f>(VLOOKUP($A445,'The List'!$B1:$AH727,17,FALSE)-AVERAGE('The List'!R2:R727))/STDEV('The List'!R2:R727)</f>
        <v>1.2460420487906534</v>
      </c>
      <c r="F445" s="39">
        <f>(VLOOKUP($A445,'The List'!$B1:$AH727,18,FALSE)-AVERAGE('The List'!S2:S727))/STDEV('The List'!S2:S727)</f>
        <v>-0.9492203404673214</v>
      </c>
      <c r="G445" s="39">
        <f>(VLOOKUP($A445,'The List'!$B1:$AH727,19,FALSE)-AVERAGE('The List'!T2:T727))/STDEV('The List'!T2:T727)</f>
        <v>-0.23374956957215878</v>
      </c>
      <c r="H445" s="39">
        <f>(VLOOKUP($A445,'The List'!$B1:$AH727,20,FALSE)-AVERAGE('The List'!U2:U727))/STDEV('The List'!U2:U727)</f>
        <v>-0.57599329078402839</v>
      </c>
      <c r="I445" s="39">
        <f>(VLOOKUP($A445,'The List'!$B1:$AH727,21,FALSE)-AVERAGE('The List'!V2:V727))/STDEV('The List'!V2:V727)</f>
        <v>-0.74336380146816139</v>
      </c>
      <c r="J445" s="39">
        <f>(VLOOKUP($A445,'The List'!$B1:$AH727,22,FALSE)-AVERAGE('The List'!W2:W727))/STDEV('The List'!W2:W727)</f>
        <v>-0.68399289146907793</v>
      </c>
      <c r="K445" s="39">
        <f>(VLOOKUP($A445,'The List'!$B1:$AH727,23,FALSE)-AVERAGE('The List'!X2:X727))/STDEV('The List'!X2:X727)</f>
        <v>-0.72882903535155774</v>
      </c>
      <c r="L445" s="39">
        <f>(VLOOKUP($A445,'The List'!$B1:$AH727,24,FALSE)-AVERAGE('The List'!Y2:Y727))/STDEV('The List'!Y2:Y727)</f>
        <v>-0.48842195144813849</v>
      </c>
      <c r="M445" s="39">
        <f>(VLOOKUP($A445,'The List'!$B1:$AH727,25,FALSE)-AVERAGE('The List'!Z2:Z727))/STDEV('The List'!Z2:Z727)</f>
        <v>1.1418900392345421</v>
      </c>
      <c r="N445" s="39">
        <f>(VLOOKUP($A445,'The List'!$B1:$AH727,26,FALSE)-AVERAGE('The List'!AA2:AA727))/STDEV('The List'!AA2:AA727)</f>
        <v>1.2121307405285704</v>
      </c>
      <c r="O445" s="39">
        <f>(VLOOKUP($A445,'The List'!$B1:$AH727,27,FALSE)-AVERAGE('The List'!AB2:AB727))/STDEV('The List'!AB2:AB727)</f>
        <v>-0.32741990151312833</v>
      </c>
      <c r="P445" s="39">
        <f>(VLOOKUP($A445,'The List'!$B1:$AH727,28,FALSE)-AVERAGE('The List'!AC2:AC727))/STDEV('The List'!AC2:AC727)</f>
        <v>-0.15848638100179638</v>
      </c>
      <c r="Q445" s="39">
        <f>(VLOOKUP($A445,'The List'!$B1:$AH727,29,FALSE)-AVERAGE('The List'!AD2:AD727))/STDEV('The List'!AD2:AD727)</f>
        <v>-0.48001573351619653</v>
      </c>
      <c r="R445" s="39">
        <f>(VLOOKUP($A445,'The List'!$B1:$AH727,30,FALSE)-AVERAGE('The List'!AE2:AE727))/STDEV('The List'!AE2:AE727)</f>
        <v>-0.86068240562468745</v>
      </c>
      <c r="S445" s="39">
        <f>(VLOOKUP($A445,'The List'!$B1:$AH727,31,FALSE)-AVERAGE('The List'!AF2:AF727))/STDEV('The List'!AF2:AF727)</f>
        <v>-0.55804314905918151</v>
      </c>
      <c r="T445" s="39">
        <f>(VLOOKUP($A445,'The List'!$B1:$AH727,32,FALSE)-AVERAGE('The List'!AG2:AG727))/STDEV('The List'!AG2:AG727)</f>
        <v>-0.60188453558131205</v>
      </c>
      <c r="U445" s="39">
        <f>(VLOOKUP($A445,'The List'!$B1:$AH727,33,FALSE)-AVERAGE('The List'!AH2:AH727))/STDEV('The List'!AH2:AH727)</f>
        <v>-1.2395873372913611</v>
      </c>
      <c r="V445" s="39"/>
      <c r="W445" s="41"/>
      <c r="X445" s="39"/>
      <c r="Y445" s="39"/>
      <c r="Z445" s="39"/>
      <c r="AA445" s="39"/>
      <c r="AB445" s="39"/>
      <c r="AC445" s="39"/>
      <c r="AD445" s="39"/>
      <c r="AE445" s="39"/>
    </row>
    <row r="446" spans="1:31" ht="21.25" customHeight="1" x14ac:dyDescent="0.15">
      <c r="A446" s="8" t="s">
        <v>737</v>
      </c>
      <c r="B446" s="35" t="str">
        <f>VLOOKUP(A446,'Player Data'!A1:B734,2,FALSE)</f>
        <v>BUF</v>
      </c>
      <c r="C446" s="37">
        <f>((E446)*Settings!$C$12)+(F446*Settings!$C$2)+(G446*Settings!$C$3)+(H446*Settings!$C$4)+(I446*Settings!$C$5)+(K446*Settings!$C$9)+(N446*Settings!$C$6)+(J446*Settings!$C$8)+(O446*Settings!$C$7)+(P446*Settings!$C$14)+(Q446*Settings!$C$15)+(R446*Settings!$C$16)+(S446*Settings!$C$17)+(T446*Settings!$C$18)+(U446*Settings!$C$19)</f>
        <v>-3.7844274493999555</v>
      </c>
      <c r="D446" s="41">
        <f>IF(Settings!$E$12="YES",VLOOKUP(A446,'Player Data'!A1:E734,5,FALSE),82)</f>
        <v>78.2</v>
      </c>
      <c r="E446" s="39">
        <f>(VLOOKUP($A446,'The List'!$B1:$AH727,17,FALSE)-AVERAGE('The List'!R2:R727))/STDEV('The List'!R2:R727)</f>
        <v>-1.2560702758779898</v>
      </c>
      <c r="F446" s="39">
        <f>(VLOOKUP($A446,'The List'!$B1:$AH727,18,FALSE)-AVERAGE('The List'!S2:S727))/STDEV('The List'!S2:S727)</f>
        <v>-0.50894267202687038</v>
      </c>
      <c r="G446" s="39">
        <f>(VLOOKUP($A446,'The List'!$B1:$AH727,19,FALSE)-AVERAGE('The List'!T2:T727))/STDEV('The List'!T2:T727)</f>
        <v>-0.5594550289694441</v>
      </c>
      <c r="H446" s="39">
        <f>(VLOOKUP($A446,'The List'!$B1:$AH727,20,FALSE)-AVERAGE('The List'!U2:U727))/STDEV('The List'!U2:U727)</f>
        <v>-0.57634210382398909</v>
      </c>
      <c r="I446" s="39">
        <f>(VLOOKUP($A446,'The List'!$B1:$AH727,21,FALSE)-AVERAGE('The List'!V2:V727))/STDEV('The List'!V2:V727)</f>
        <v>-0.54755672105706199</v>
      </c>
      <c r="J446" s="39">
        <f>(VLOOKUP($A446,'The List'!$B1:$AH727,22,FALSE)-AVERAGE('The List'!W2:W727))/STDEV('The List'!W2:W727)</f>
        <v>-0.69971016181921597</v>
      </c>
      <c r="K446" s="39">
        <f>(VLOOKUP($A446,'The List'!$B1:$AH727,23,FALSE)-AVERAGE('The List'!X2:X727))/STDEV('The List'!X2:X727)</f>
        <v>-0.78931396233659279</v>
      </c>
      <c r="L446" s="39">
        <f>(VLOOKUP($A446,'The List'!$B1:$AH727,24,FALSE)-AVERAGE('The List'!Y2:Y727))/STDEV('The List'!Y2:Y727)</f>
        <v>-0.41992983105369758</v>
      </c>
      <c r="M446" s="39">
        <f>(VLOOKUP($A446,'The List'!$B1:$AH727,25,FALSE)-AVERAGE('The List'!Z2:Z727))/STDEV('The List'!Z2:Z727)</f>
        <v>-0.37947519860441609</v>
      </c>
      <c r="N446" s="39">
        <f>(VLOOKUP($A446,'The List'!$B1:$AH727,26,FALSE)-AVERAGE('The List'!AA2:AA727))/STDEV('The List'!AA2:AA727)</f>
        <v>-0.68578462424602105</v>
      </c>
      <c r="O446" s="39">
        <f>(VLOOKUP($A446,'The List'!$B1:$AH727,27,FALSE)-AVERAGE('The List'!AB2:AB727))/STDEV('The List'!AB2:AB727)</f>
        <v>-0.46962462723734932</v>
      </c>
      <c r="P446" s="39">
        <f>(VLOOKUP($A446,'The List'!$B1:$AH727,28,FALSE)-AVERAGE('The List'!AC2:AC727))/STDEV('The List'!AC2:AC727)</f>
        <v>-0.69337444076396548</v>
      </c>
      <c r="Q446" s="39">
        <f>(VLOOKUP($A446,'The List'!$B1:$AH727,29,FALSE)-AVERAGE('The List'!AD2:AD727))/STDEV('The List'!AD2:AD727)</f>
        <v>-9.6812118021483012E-2</v>
      </c>
      <c r="R446" s="39">
        <f>(VLOOKUP($A446,'The List'!$B1:$AH727,30,FALSE)-AVERAGE('The List'!AE2:AE727))/STDEV('The List'!AE2:AE727)</f>
        <v>-0.53132585035207558</v>
      </c>
      <c r="S446" s="39">
        <f>(VLOOKUP($A446,'The List'!$B1:$AH727,31,FALSE)-AVERAGE('The List'!AF2:AF727))/STDEV('The List'!AF2:AF727)</f>
        <v>0.31041924636416629</v>
      </c>
      <c r="T446" s="39">
        <f>(VLOOKUP($A446,'The List'!$B1:$AH727,32,FALSE)-AVERAGE('The List'!AG2:AG727))/STDEV('The List'!AG2:AG727)</f>
        <v>0.71252512936062129</v>
      </c>
      <c r="U446" s="39">
        <f>(VLOOKUP($A446,'The List'!$B1:$AH727,33,FALSE)-AVERAGE('The List'!AH2:AH727))/STDEV('The List'!AH2:AH727)</f>
        <v>0.61298169543931402</v>
      </c>
      <c r="V446" s="39"/>
      <c r="W446" s="43"/>
      <c r="X446" s="41"/>
      <c r="Y446" s="41"/>
      <c r="Z446" s="41"/>
      <c r="AA446" s="41"/>
      <c r="AB446" s="41"/>
      <c r="AC446" s="44"/>
      <c r="AD446" s="45"/>
      <c r="AE446" s="39"/>
    </row>
    <row r="447" spans="1:31" ht="21.25" customHeight="1" x14ac:dyDescent="0.15">
      <c r="A447" s="8" t="s">
        <v>772</v>
      </c>
      <c r="B447" s="35" t="str">
        <f>VLOOKUP(A447,'Player Data'!A1:B734,2,FALSE)</f>
        <v>DAL</v>
      </c>
      <c r="C447" s="37">
        <f>((E447)*Settings!$C$12)+(F447*Settings!$C$2)+(G447*Settings!$C$3)+(H447*Settings!$C$4)+(I447*Settings!$C$5)+(K447*Settings!$C$9)+(N447*Settings!$C$6)+(J447*Settings!$C$8)+(O447*Settings!$C$7)+(P447*Settings!$C$14)+(Q447*Settings!$C$15)+(R447*Settings!$C$16)+(S447*Settings!$C$17)+(T447*Settings!$C$18)+(U447*Settings!$C$19)</f>
        <v>-2.9168618580227705</v>
      </c>
      <c r="D447" s="41">
        <f>IF(Settings!$E$12="YES",VLOOKUP(A447,'Player Data'!A1:E734,5,FALSE),82)</f>
        <v>75.037499999999994</v>
      </c>
      <c r="E447" s="39">
        <f>(VLOOKUP($A447,'The List'!$B1:$AH727,17,FALSE)-AVERAGE('The List'!R2:R727))/STDEV('The List'!R2:R727)</f>
        <v>-1.2619014749219595</v>
      </c>
      <c r="F447" s="39">
        <f>(VLOOKUP($A447,'The List'!$B1:$AH727,18,FALSE)-AVERAGE('The List'!S2:S727))/STDEV('The List'!S2:S727)</f>
        <v>-0.43564534890950102</v>
      </c>
      <c r="G447" s="39">
        <f>(VLOOKUP($A447,'The List'!$B1:$AH727,19,FALSE)-AVERAGE('The List'!T2:T727))/STDEV('The List'!T2:T727)</f>
        <v>-0.68128992909196728</v>
      </c>
      <c r="H447" s="39">
        <f>(VLOOKUP($A447,'The List'!$B1:$AH727,20,FALSE)-AVERAGE('The List'!U2:U727))/STDEV('The List'!U2:U727)</f>
        <v>-0.61806302242864941</v>
      </c>
      <c r="I447" s="39">
        <f>(VLOOKUP($A447,'The List'!$B1:$AH727,21,FALSE)-AVERAGE('The List'!V2:V727))/STDEV('The List'!V2:V727)</f>
        <v>-0.92674073196194251</v>
      </c>
      <c r="J447" s="39">
        <f>(VLOOKUP($A447,'The List'!$B1:$AH727,22,FALSE)-AVERAGE('The List'!W2:W727))/STDEV('The List'!W2:W727)</f>
        <v>-0.69857764543193124</v>
      </c>
      <c r="K447" s="39">
        <f>(VLOOKUP($A447,'The List'!$B1:$AH727,23,FALSE)-AVERAGE('The List'!X2:X727))/STDEV('The List'!X2:X727)</f>
        <v>-0.76336443740803084</v>
      </c>
      <c r="L447" s="39">
        <f>(VLOOKUP($A447,'The List'!$B1:$AH727,24,FALSE)-AVERAGE('The List'!Y2:Y727))/STDEV('The List'!Y2:Y727)</f>
        <v>0.79710050299187551</v>
      </c>
      <c r="M447" s="39">
        <f>(VLOOKUP($A447,'The List'!$B1:$AH727,25,FALSE)-AVERAGE('The List'!Z2:Z727))/STDEV('The List'!Z2:Z727)</f>
        <v>0.22374949724355384</v>
      </c>
      <c r="N447" s="39">
        <f>(VLOOKUP($A447,'The List'!$B1:$AH727,26,FALSE)-AVERAGE('The List'!AA2:AA727))/STDEV('The List'!AA2:AA727)</f>
        <v>-0.97058193451433461</v>
      </c>
      <c r="O447" s="39">
        <f>(VLOOKUP($A447,'The List'!$B1:$AH727,27,FALSE)-AVERAGE('The List'!AB2:AB727))/STDEV('The List'!AB2:AB727)</f>
        <v>-0.76008211878565179</v>
      </c>
      <c r="P447" s="39">
        <f>(VLOOKUP($A447,'The List'!$B1:$AH727,28,FALSE)-AVERAGE('The List'!AC2:AC727))/STDEV('The List'!AC2:AC727)</f>
        <v>0.86076052386300572</v>
      </c>
      <c r="Q447" s="39">
        <f>(VLOOKUP($A447,'The List'!$B1:$AH727,29,FALSE)-AVERAGE('The List'!AD2:AD727))/STDEV('The List'!AD2:AD727)</f>
        <v>-0.9916577512910677</v>
      </c>
      <c r="R447" s="39">
        <f>(VLOOKUP($A447,'The List'!$B1:$AH727,30,FALSE)-AVERAGE('The List'!AE2:AE727))/STDEV('The List'!AE2:AE727)</f>
        <v>-0.29511258800180151</v>
      </c>
      <c r="S447" s="39">
        <f>(VLOOKUP($A447,'The List'!$B1:$AH727,31,FALSE)-AVERAGE('The List'!AF2:AF727))/STDEV('The List'!AF2:AF727)</f>
        <v>0.81858992499946071</v>
      </c>
      <c r="T447" s="39">
        <f>(VLOOKUP($A447,'The List'!$B1:$AH727,32,FALSE)-AVERAGE('The List'!AG2:AG727))/STDEV('The List'!AG2:AG727)</f>
        <v>0.86974104792183637</v>
      </c>
      <c r="U447" s="39">
        <f>(VLOOKUP($A447,'The List'!$B1:$AH727,33,FALSE)-AVERAGE('The List'!AH2:AH727))/STDEV('The List'!AH2:AH727)</f>
        <v>1.0012182035762933</v>
      </c>
      <c r="V447" s="39"/>
      <c r="W447" s="43"/>
      <c r="X447" s="41"/>
      <c r="Y447" s="41"/>
      <c r="Z447" s="41"/>
      <c r="AA447" s="41"/>
      <c r="AB447" s="41"/>
      <c r="AC447" s="44"/>
      <c r="AD447" s="45"/>
      <c r="AE447" s="39"/>
    </row>
    <row r="448" spans="1:31" ht="21.25" customHeight="1" x14ac:dyDescent="0.15">
      <c r="A448" s="8" t="s">
        <v>725</v>
      </c>
      <c r="B448" s="35" t="str">
        <f>VLOOKUP(A448,'Player Data'!A1:B734,2,FALSE)</f>
        <v>WPG</v>
      </c>
      <c r="C448" s="37">
        <f>((E448)*Settings!$C$12)+(F448*Settings!$C$2)+(G448*Settings!$C$3)+(H448*Settings!$C$4)+(I448*Settings!$C$5)+(K448*Settings!$C$9)+(N448*Settings!$C$6)+(J448*Settings!$C$8)+(O448*Settings!$C$7)+(P448*Settings!$C$14)+(Q448*Settings!$C$15)+(R448*Settings!$C$16)+(S448*Settings!$C$17)+(T448*Settings!$C$18)+(U448*Settings!$C$19)</f>
        <v>-2.2752699274193677</v>
      </c>
      <c r="D448" s="41">
        <f>IF(Settings!$E$12="YES",VLOOKUP(A448,'Player Data'!A1:E734,5,FALSE),82)</f>
        <v>79.740714285714304</v>
      </c>
      <c r="E448" s="39">
        <f>(VLOOKUP($A448,'The List'!$B1:$AH727,17,FALSE)-AVERAGE('The List'!R2:R727))/STDEV('The List'!R2:R727)</f>
        <v>-1.219382993962234</v>
      </c>
      <c r="F448" s="39">
        <f>(VLOOKUP($A448,'The List'!$B1:$AH727,18,FALSE)-AVERAGE('The List'!S2:S727))/STDEV('The List'!S2:S727)</f>
        <v>-0.34608138011496803</v>
      </c>
      <c r="G448" s="39">
        <f>(VLOOKUP($A448,'The List'!$B1:$AH727,19,FALSE)-AVERAGE('The List'!T2:T727))/STDEV('The List'!T2:T727)</f>
        <v>-0.65929506306334029</v>
      </c>
      <c r="H448" s="39">
        <f>(VLOOKUP($A448,'The List'!$B1:$AH727,20,FALSE)-AVERAGE('The List'!U2:U727))/STDEV('The List'!U2:U727)</f>
        <v>-0.56375237306618087</v>
      </c>
      <c r="I448" s="39">
        <f>(VLOOKUP($A448,'The List'!$B1:$AH727,21,FALSE)-AVERAGE('The List'!V2:V727))/STDEV('The List'!V2:V727)</f>
        <v>-0.48898254532560631</v>
      </c>
      <c r="J448" s="39">
        <f>(VLOOKUP($A448,'The List'!$B1:$AH727,22,FALSE)-AVERAGE('The List'!W2:W727))/STDEV('The List'!W2:W727)</f>
        <v>-0.64422151779069881</v>
      </c>
      <c r="K448" s="39">
        <f>(VLOOKUP($A448,'The List'!$B1:$AH727,23,FALSE)-AVERAGE('The List'!X2:X727))/STDEV('The List'!X2:X727)</f>
        <v>-0.66431119733919719</v>
      </c>
      <c r="L448" s="39">
        <f>(VLOOKUP($A448,'The List'!$B1:$AH727,24,FALSE)-AVERAGE('The List'!Y2:Y727))/STDEV('The List'!Y2:Y727)</f>
        <v>-0.29367586638102822</v>
      </c>
      <c r="M448" s="39">
        <f>(VLOOKUP($A448,'The List'!$B1:$AH727,25,FALSE)-AVERAGE('The List'!Z2:Z727))/STDEV('The List'!Z2:Z727)</f>
        <v>-0.41703492141619986</v>
      </c>
      <c r="N448" s="39">
        <f>(VLOOKUP($A448,'The List'!$B1:$AH727,26,FALSE)-AVERAGE('The List'!AA2:AA727))/STDEV('The List'!AA2:AA727)</f>
        <v>-0.56346336030399724</v>
      </c>
      <c r="O448" s="39">
        <f>(VLOOKUP($A448,'The List'!$B1:$AH727,27,FALSE)-AVERAGE('The List'!AB2:AB727))/STDEV('The List'!AB2:AB727)</f>
        <v>0.17327532171838947</v>
      </c>
      <c r="P448" s="39">
        <f>(VLOOKUP($A448,'The List'!$B1:$AH727,28,FALSE)-AVERAGE('The List'!AC2:AC727))/STDEV('The List'!AC2:AC727)</f>
        <v>0.44686361872774161</v>
      </c>
      <c r="Q448" s="39">
        <f>(VLOOKUP($A448,'The List'!$B1:$AH727,29,FALSE)-AVERAGE('The List'!AD2:AD727))/STDEV('The List'!AD2:AD727)</f>
        <v>0.12325039326181865</v>
      </c>
      <c r="R448" s="39">
        <f>(VLOOKUP($A448,'The List'!$B1:$AH727,30,FALSE)-AVERAGE('The List'!AE2:AE727))/STDEV('The List'!AE2:AE727)</f>
        <v>-0.22621244208269703</v>
      </c>
      <c r="S448" s="39">
        <f>(VLOOKUP($A448,'The List'!$B1:$AH727,31,FALSE)-AVERAGE('The List'!AF2:AF727))/STDEV('The List'!AF2:AF727)</f>
        <v>-0.15608899261756937</v>
      </c>
      <c r="T448" s="39">
        <f>(VLOOKUP($A448,'The List'!$B1:$AH727,32,FALSE)-AVERAGE('The List'!AG2:AG727))/STDEV('The List'!AG2:AG727)</f>
        <v>7.4392286744776118E-3</v>
      </c>
      <c r="U448" s="39">
        <f>(VLOOKUP($A448,'The List'!$B1:$AH727,33,FALSE)-AVERAGE('The List'!AH2:AH727))/STDEV('The List'!AH2:AH727)</f>
        <v>0.6112408385779502</v>
      </c>
      <c r="V448" s="39"/>
      <c r="W448" s="43"/>
      <c r="X448" s="41"/>
      <c r="Y448" s="41"/>
      <c r="Z448" s="41"/>
      <c r="AA448" s="41"/>
      <c r="AB448" s="41"/>
      <c r="AC448" s="44"/>
      <c r="AD448" s="45"/>
      <c r="AE448" s="39"/>
    </row>
    <row r="449" spans="1:31" ht="21.25" customHeight="1" x14ac:dyDescent="0.15">
      <c r="A449" s="8" t="s">
        <v>511</v>
      </c>
      <c r="B449" s="35" t="str">
        <f>VLOOKUP(A449,'Player Data'!A1:B734,2,FALSE)</f>
        <v>NSH</v>
      </c>
      <c r="C449" s="37">
        <f>((E449)*Settings!$C$12)+(F449*Settings!$C$2)+(G449*Settings!$C$3)+(H449*Settings!$C$4)+(I449*Settings!$C$5)+(K449*Settings!$C$9)+(N449*Settings!$C$6)+(J449*Settings!$C$8)+(O449*Settings!$C$7)+(P449*Settings!$C$14)+(Q449*Settings!$C$15)+(R449*Settings!$C$16)+(S449*Settings!$C$17)+(T449*Settings!$C$18)+(U449*Settings!$C$19)</f>
        <v>-2.127488257073725</v>
      </c>
      <c r="D449" s="41">
        <f>IF(Settings!$E$12="YES",VLOOKUP(A449,'Player Data'!A1:E734,5,FALSE),82)</f>
        <v>69.0021428571429</v>
      </c>
      <c r="E449" s="39">
        <f>(VLOOKUP($A449,'The List'!$B1:$AH727,17,FALSE)-AVERAGE('The List'!R2:R727))/STDEV('The List'!R2:R727)</f>
        <v>0.49621042754674632</v>
      </c>
      <c r="F449" s="39">
        <f>(VLOOKUP($A449,'The List'!$B1:$AH727,18,FALSE)-AVERAGE('The List'!S2:S727))/STDEV('The List'!S2:S727)</f>
        <v>-0.99708213976386395</v>
      </c>
      <c r="G449" s="39">
        <f>(VLOOKUP($A449,'The List'!$B1:$AH727,19,FALSE)-AVERAGE('The List'!T2:T727))/STDEV('The List'!T2:T727)</f>
        <v>-0.41354140542188506</v>
      </c>
      <c r="H449" s="39">
        <f>(VLOOKUP($A449,'The List'!$B1:$AH727,20,FALSE)-AVERAGE('The List'!U2:U727))/STDEV('The List'!U2:U727)</f>
        <v>-0.70856278924205029</v>
      </c>
      <c r="I449" s="39">
        <f>(VLOOKUP($A449,'The List'!$B1:$AH727,21,FALSE)-AVERAGE('The List'!V2:V727))/STDEV('The List'!V2:V727)</f>
        <v>-0.82987708236339153</v>
      </c>
      <c r="J449" s="39">
        <f>(VLOOKUP($A449,'The List'!$B1:$AH727,22,FALSE)-AVERAGE('The List'!W2:W727))/STDEV('The List'!W2:W727)</f>
        <v>-0.6352474852450658</v>
      </c>
      <c r="K449" s="39">
        <f>(VLOOKUP($A449,'The List'!$B1:$AH727,23,FALSE)-AVERAGE('The List'!X2:X727))/STDEV('The List'!X2:X727)</f>
        <v>-0.65808296241259423</v>
      </c>
      <c r="L449" s="39">
        <f>(VLOOKUP($A449,'The List'!$B1:$AH727,24,FALSE)-AVERAGE('The List'!Y2:Y727))/STDEV('The List'!Y2:Y727)</f>
        <v>-0.49853979547607835</v>
      </c>
      <c r="M449" s="39">
        <f>(VLOOKUP($A449,'The List'!$B1:$AH727,25,FALSE)-AVERAGE('The List'!Z2:Z727))/STDEV('The List'!Z2:Z727)</f>
        <v>-0.37487068208785379</v>
      </c>
      <c r="N449" s="39">
        <f>(VLOOKUP($A449,'The List'!$B1:$AH727,26,FALSE)-AVERAGE('The List'!AA2:AA727))/STDEV('The List'!AA2:AA727)</f>
        <v>1.0398005832231081</v>
      </c>
      <c r="O449" s="39">
        <f>(VLOOKUP($A449,'The List'!$B1:$AH727,27,FALSE)-AVERAGE('The List'!AB2:AB727))/STDEV('The List'!AB2:AB727)</f>
        <v>-1.1653253125062791E-2</v>
      </c>
      <c r="P449" s="39">
        <f>(VLOOKUP($A449,'The List'!$B1:$AH727,28,FALSE)-AVERAGE('The List'!AC2:AC727))/STDEV('The List'!AC2:AC727)</f>
        <v>-0.26870525033509834</v>
      </c>
      <c r="Q449" s="39">
        <f>(VLOOKUP($A449,'The List'!$B1:$AH727,29,FALSE)-AVERAGE('The List'!AD2:AD727))/STDEV('The List'!AD2:AD727)</f>
        <v>0.53720745367091161</v>
      </c>
      <c r="R449" s="39">
        <f>(VLOOKUP($A449,'The List'!$B1:$AH727,30,FALSE)-AVERAGE('The List'!AE2:AE727))/STDEV('The List'!AE2:AE727)</f>
        <v>-0.90895869505936333</v>
      </c>
      <c r="S449" s="39">
        <f>(VLOOKUP($A449,'The List'!$B1:$AH727,31,FALSE)-AVERAGE('The List'!AF2:AF727))/STDEV('The List'!AF2:AF727)</f>
        <v>-0.55804314905918151</v>
      </c>
      <c r="T449" s="39">
        <f>(VLOOKUP($A449,'The List'!$B1:$AH727,32,FALSE)-AVERAGE('The List'!AG2:AG727))/STDEV('The List'!AG2:AG727)</f>
        <v>-0.60074261689159647</v>
      </c>
      <c r="U449" s="39">
        <f>(VLOOKUP($A449,'The List'!$B1:$AH727,33,FALSE)-AVERAGE('The List'!AH2:AH727))/STDEV('The List'!AH2:AH727)</f>
        <v>-1.2395873372913611</v>
      </c>
      <c r="V449" s="39"/>
      <c r="W449" s="41"/>
      <c r="X449" s="39"/>
      <c r="Y449" s="39"/>
      <c r="Z449" s="39"/>
      <c r="AA449" s="39"/>
      <c r="AB449" s="39"/>
      <c r="AC449" s="39"/>
      <c r="AD449" s="39"/>
      <c r="AE449" s="39"/>
    </row>
    <row r="450" spans="1:31" ht="21.25" customHeight="1" x14ac:dyDescent="0.15">
      <c r="A450" s="8" t="s">
        <v>753</v>
      </c>
      <c r="B450" s="35" t="str">
        <f>VLOOKUP(A450,'Player Data'!A1:B734,2,FALSE)</f>
        <v>TOR</v>
      </c>
      <c r="C450" s="37">
        <f>((E450)*Settings!$C$12)+(F450*Settings!$C$2)+(G450*Settings!$C$3)+(H450*Settings!$C$4)+(I450*Settings!$C$5)+(K450*Settings!$C$9)+(N450*Settings!$C$6)+(J450*Settings!$C$8)+(O450*Settings!$C$7)+(P450*Settings!$C$14)+(Q450*Settings!$C$15)+(R450*Settings!$C$16)+(S450*Settings!$C$17)+(T450*Settings!$C$18)+(U450*Settings!$C$19)</f>
        <v>-4.1259879214715447</v>
      </c>
      <c r="D450" s="41">
        <f>IF(Settings!$E$12="YES",VLOOKUP(A450,'Player Data'!A1:E734,5,FALSE),82)</f>
        <v>54.567500000000003</v>
      </c>
      <c r="E450" s="39">
        <f>(VLOOKUP($A450,'The List'!$B1:$AH727,17,FALSE)-AVERAGE('The List'!R2:R727))/STDEV('The List'!R2:R727)</f>
        <v>-1.7069832015484354</v>
      </c>
      <c r="F450" s="39">
        <f>(VLOOKUP($A450,'The List'!$B1:$AH727,18,FALSE)-AVERAGE('The List'!S2:S727))/STDEV('The List'!S2:S727)</f>
        <v>-0.71352643856849374</v>
      </c>
      <c r="G450" s="39">
        <f>(VLOOKUP($A450,'The List'!$B1:$AH727,19,FALSE)-AVERAGE('The List'!T2:T727))/STDEV('The List'!T2:T727)</f>
        <v>-0.92513204479247535</v>
      </c>
      <c r="H450" s="39">
        <f>(VLOOKUP($A450,'The List'!$B1:$AH727,20,FALSE)-AVERAGE('The List'!U2:U727))/STDEV('The List'!U2:U727)</f>
        <v>-0.894774063985465</v>
      </c>
      <c r="I450" s="39">
        <f>(VLOOKUP($A450,'The List'!$B1:$AH727,21,FALSE)-AVERAGE('The List'!V2:V727))/STDEV('The List'!V2:V727)</f>
        <v>-1.4323046154678141</v>
      </c>
      <c r="J450" s="39">
        <f>(VLOOKUP($A450,'The List'!$B1:$AH727,22,FALSE)-AVERAGE('The List'!W2:W727))/STDEV('The List'!W2:W727)</f>
        <v>-0.69172978999465096</v>
      </c>
      <c r="K450" s="39">
        <f>(VLOOKUP($A450,'The List'!$B1:$AH727,23,FALSE)-AVERAGE('The List'!X2:X727))/STDEV('The List'!X2:X727)</f>
        <v>-0.78756392810707365</v>
      </c>
      <c r="L450" s="39">
        <f>(VLOOKUP($A450,'The List'!$B1:$AH727,24,FALSE)-AVERAGE('The List'!Y2:Y727))/STDEV('The List'!Y2:Y727)</f>
        <v>-0.37987206271839669</v>
      </c>
      <c r="M450" s="39">
        <f>(VLOOKUP($A450,'The List'!$B1:$AH727,25,FALSE)-AVERAGE('The List'!Z2:Z727))/STDEV('The List'!Z2:Z727)</f>
        <v>-0.54081329974371706</v>
      </c>
      <c r="N450" s="39">
        <f>(VLOOKUP($A450,'The List'!$B1:$AH727,26,FALSE)-AVERAGE('The List'!AA2:AA727))/STDEV('The List'!AA2:AA727)</f>
        <v>-0.87197254154862325</v>
      </c>
      <c r="O450" s="39">
        <f>(VLOOKUP($A450,'The List'!$B1:$AH727,27,FALSE)-AVERAGE('The List'!AB2:AB727))/STDEV('The List'!AB2:AB727)</f>
        <v>-0.82440091235067947</v>
      </c>
      <c r="P450" s="39">
        <f>(VLOOKUP($A450,'The List'!$B1:$AH727,28,FALSE)-AVERAGE('The List'!AC2:AC727))/STDEV('The List'!AC2:AC727)</f>
        <v>0.60451164701293569</v>
      </c>
      <c r="Q450" s="39">
        <f>(VLOOKUP($A450,'The List'!$B1:$AH727,29,FALSE)-AVERAGE('The List'!AD2:AD727))/STDEV('The List'!AD2:AD727)</f>
        <v>-0.87469962928411416</v>
      </c>
      <c r="R450" s="39">
        <f>(VLOOKUP($A450,'The List'!$B1:$AH727,30,FALSE)-AVERAGE('The List'!AE2:AE727))/STDEV('The List'!AE2:AE727)</f>
        <v>-0.58303561094272849</v>
      </c>
      <c r="S450" s="39">
        <f>(VLOOKUP($A450,'The List'!$B1:$AH727,31,FALSE)-AVERAGE('The List'!AF2:AF727))/STDEV('The List'!AF2:AF727)</f>
        <v>9.8040562451510854E-2</v>
      </c>
      <c r="T450" s="39">
        <f>(VLOOKUP($A450,'The List'!$B1:$AH727,32,FALSE)-AVERAGE('The List'!AG2:AG727))/STDEV('The List'!AG2:AG727)</f>
        <v>0.33320694620325408</v>
      </c>
      <c r="U450" s="39">
        <f>(VLOOKUP($A450,'The List'!$B1:$AH727,33,FALSE)-AVERAGE('The List'!AH2:AH727))/STDEV('The List'!AH2:AH727)</f>
        <v>0.67896181388002941</v>
      </c>
      <c r="V450" s="39"/>
      <c r="W450" s="43"/>
      <c r="X450" s="41"/>
      <c r="Y450" s="41"/>
      <c r="Z450" s="41"/>
      <c r="AA450" s="41"/>
      <c r="AB450" s="41"/>
      <c r="AC450" s="44"/>
      <c r="AD450" s="45"/>
      <c r="AE450" s="39"/>
    </row>
    <row r="451" spans="1:31" ht="21.25" customHeight="1" x14ac:dyDescent="0.15">
      <c r="A451" s="8" t="s">
        <v>705</v>
      </c>
      <c r="B451" s="35" t="str">
        <f>VLOOKUP(A451,'Player Data'!A1:B734,2,FALSE)</f>
        <v>ARI</v>
      </c>
      <c r="C451" s="37">
        <f>((E451)*Settings!$C$12)+(F451*Settings!$C$2)+(G451*Settings!$C$3)+(H451*Settings!$C$4)+(I451*Settings!$C$5)+(K451*Settings!$C$9)+(N451*Settings!$C$6)+(J451*Settings!$C$8)+(O451*Settings!$C$7)+(P451*Settings!$C$14)+(Q451*Settings!$C$15)+(R451*Settings!$C$16)+(S451*Settings!$C$17)+(T451*Settings!$C$18)+(U451*Settings!$C$19)</f>
        <v>-3.1151372104672208</v>
      </c>
      <c r="D451" s="41">
        <f>IF(Settings!$E$12="YES",VLOOKUP(A451,'Player Data'!A1:E734,5,FALSE),82)</f>
        <v>62</v>
      </c>
      <c r="E451" s="39">
        <f>(VLOOKUP($A451,'The List'!$B1:$AH727,17,FALSE)-AVERAGE('The List'!R2:R727))/STDEV('The List'!R2:R727)</f>
        <v>-0.79696363682474503</v>
      </c>
      <c r="F451" s="39">
        <f>(VLOOKUP($A451,'The List'!$B1:$AH727,18,FALSE)-AVERAGE('The List'!S2:S727))/STDEV('The List'!S2:S727)</f>
        <v>-0.46368885535518134</v>
      </c>
      <c r="G451" s="39">
        <f>(VLOOKUP($A451,'The List'!$B1:$AH727,19,FALSE)-AVERAGE('The List'!T2:T727))/STDEV('The List'!T2:T727)</f>
        <v>-0.96042995976295276</v>
      </c>
      <c r="H451" s="39">
        <f>(VLOOKUP($A451,'The List'!$B1:$AH727,20,FALSE)-AVERAGE('The List'!U2:U727))/STDEV('The List'!U2:U727)</f>
        <v>-0.8028332299229054</v>
      </c>
      <c r="I451" s="39">
        <f>(VLOOKUP($A451,'The List'!$B1:$AH727,21,FALSE)-AVERAGE('The List'!V2:V727))/STDEV('The List'!V2:V727)</f>
        <v>-0.82144672090263493</v>
      </c>
      <c r="J451" s="39">
        <f>(VLOOKUP($A451,'The List'!$B1:$AH727,22,FALSE)-AVERAGE('The List'!W2:W727))/STDEV('The List'!W2:W727)</f>
        <v>-0.28280951892951517</v>
      </c>
      <c r="K451" s="39">
        <f>(VLOOKUP($A451,'The List'!$B1:$AH727,23,FALSE)-AVERAGE('The List'!X2:X727))/STDEV('The List'!X2:X727)</f>
        <v>-0.45586416572278848</v>
      </c>
      <c r="L451" s="39">
        <f>(VLOOKUP($A451,'The List'!$B1:$AH727,24,FALSE)-AVERAGE('The List'!Y2:Y727))/STDEV('The List'!Y2:Y727)</f>
        <v>-0.46939526715765495</v>
      </c>
      <c r="M451" s="39">
        <f>(VLOOKUP($A451,'The List'!$B1:$AH727,25,FALSE)-AVERAGE('The List'!Z2:Z727))/STDEV('The List'!Z2:Z727)</f>
        <v>-0.56330819470678228</v>
      </c>
      <c r="N451" s="39">
        <f>(VLOOKUP($A451,'The List'!$B1:$AH727,26,FALSE)-AVERAGE('The List'!AA2:AA727))/STDEV('The List'!AA2:AA727)</f>
        <v>-0.22183830741020366</v>
      </c>
      <c r="O451" s="39">
        <f>(VLOOKUP($A451,'The List'!$B1:$AH727,27,FALSE)-AVERAGE('The List'!AB2:AB727))/STDEV('The List'!AB2:AB727)</f>
        <v>0.23815246333261433</v>
      </c>
      <c r="P451" s="39">
        <f>(VLOOKUP($A451,'The List'!$B1:$AH727,28,FALSE)-AVERAGE('The List'!AC2:AC727))/STDEV('The List'!AC2:AC727)</f>
        <v>-0.1918692013134598</v>
      </c>
      <c r="Q451" s="39">
        <f>(VLOOKUP($A451,'The List'!$B1:$AH727,29,FALSE)-AVERAGE('The List'!AD2:AD727))/STDEV('The List'!AD2:AD727)</f>
        <v>-0.2181454099572078</v>
      </c>
      <c r="R451" s="39">
        <f>(VLOOKUP($A451,'The List'!$B1:$AH727,30,FALSE)-AVERAGE('The List'!AE2:AE727))/STDEV('The List'!AE2:AE727)</f>
        <v>-0.52370387565006526</v>
      </c>
      <c r="S451" s="39">
        <f>(VLOOKUP($A451,'The List'!$B1:$AH727,31,FALSE)-AVERAGE('The List'!AF2:AF727))/STDEV('The List'!AF2:AF727)</f>
        <v>-0.50071554311697508</v>
      </c>
      <c r="T451" s="39">
        <f>(VLOOKUP($A451,'The List'!$B1:$AH727,32,FALSE)-AVERAGE('The List'!AG2:AG727))/STDEV('The List'!AG2:AG727)</f>
        <v>-0.43829139923884997</v>
      </c>
      <c r="U451" s="39">
        <f>(VLOOKUP($A451,'The List'!$B1:$AH727,33,FALSE)-AVERAGE('The List'!AH2:AH727))/STDEV('The List'!AH2:AH727)</f>
        <v>-2.2701335118789485E-2</v>
      </c>
      <c r="V451" s="39"/>
      <c r="W451" s="43"/>
      <c r="X451" s="41"/>
      <c r="Y451" s="41"/>
      <c r="Z451" s="41"/>
      <c r="AA451" s="41"/>
      <c r="AB451" s="41"/>
      <c r="AC451" s="44"/>
      <c r="AD451" s="45"/>
      <c r="AE451" s="39"/>
    </row>
    <row r="452" spans="1:31" ht="21.25" customHeight="1" x14ac:dyDescent="0.15">
      <c r="A452" s="8" t="s">
        <v>678</v>
      </c>
      <c r="B452" s="35" t="str">
        <f>VLOOKUP(A452,'Player Data'!A1:B734,2,FALSE)</f>
        <v>BUF</v>
      </c>
      <c r="C452" s="37">
        <f>((E452)*Settings!$C$12)+(F452*Settings!$C$2)+(G452*Settings!$C$3)+(H452*Settings!$C$4)+(I452*Settings!$C$5)+(K452*Settings!$C$9)+(N452*Settings!$C$6)+(J452*Settings!$C$8)+(O452*Settings!$C$7)+(P452*Settings!$C$14)+(Q452*Settings!$C$15)+(R452*Settings!$C$16)+(S452*Settings!$C$17)+(T452*Settings!$C$18)+(U452*Settings!$C$19)</f>
        <v>-3.4607516593607706</v>
      </c>
      <c r="D452" s="41">
        <f>IF(Settings!$E$12="YES",VLOOKUP(A452,'Player Data'!A1:E734,5,FALSE),82)</f>
        <v>75.73</v>
      </c>
      <c r="E452" s="39">
        <f>(VLOOKUP($A452,'The List'!$B1:$AH727,17,FALSE)-AVERAGE('The List'!R2:R727))/STDEV('The List'!R2:R727)</f>
        <v>-1.3326304637475987</v>
      </c>
      <c r="F452" s="39">
        <f>(VLOOKUP($A452,'The List'!$B1:$AH727,18,FALSE)-AVERAGE('The List'!S2:S727))/STDEV('The List'!S2:S727)</f>
        <v>-0.50557601651700734</v>
      </c>
      <c r="G452" s="39">
        <f>(VLOOKUP($A452,'The List'!$B1:$AH727,19,FALSE)-AVERAGE('The List'!T2:T727))/STDEV('The List'!T2:T727)</f>
        <v>-0.64832666322717347</v>
      </c>
      <c r="H452" s="39">
        <f>(VLOOKUP($A452,'The List'!$B1:$AH727,20,FALSE)-AVERAGE('The List'!U2:U727))/STDEV('The List'!U2:U727)</f>
        <v>-0.62957358424725174</v>
      </c>
      <c r="I452" s="39">
        <f>(VLOOKUP($A452,'The List'!$B1:$AH727,21,FALSE)-AVERAGE('The List'!V2:V727))/STDEV('The List'!V2:V727)</f>
        <v>-0.54322408372218134</v>
      </c>
      <c r="J452" s="39">
        <f>(VLOOKUP($A452,'The List'!$B1:$AH727,22,FALSE)-AVERAGE('The List'!W2:W727))/STDEV('The List'!W2:W727)</f>
        <v>-0.68442985179736204</v>
      </c>
      <c r="K452" s="39">
        <f>(VLOOKUP($A452,'The List'!$B1:$AH727,23,FALSE)-AVERAGE('The List'!X2:X727))/STDEV('The List'!X2:X727)</f>
        <v>-0.77397029866887024</v>
      </c>
      <c r="L452" s="39">
        <f>(VLOOKUP($A452,'The List'!$B1:$AH727,24,FALSE)-AVERAGE('The List'!Y2:Y727))/STDEV('The List'!Y2:Y727)</f>
        <v>-0.49526896087509065</v>
      </c>
      <c r="M452" s="39">
        <f>(VLOOKUP($A452,'The List'!$B1:$AH727,25,FALSE)-AVERAGE('The List'!Z2:Z727))/STDEV('The List'!Z2:Z727)</f>
        <v>-0.66883298477581565</v>
      </c>
      <c r="N452" s="39">
        <f>(VLOOKUP($A452,'The List'!$B1:$AH727,26,FALSE)-AVERAGE('The List'!AA2:AA727))/STDEV('The List'!AA2:AA727)</f>
        <v>-0.61593737096060164</v>
      </c>
      <c r="O452" s="39">
        <f>(VLOOKUP($A452,'The List'!$B1:$AH727,27,FALSE)-AVERAGE('The List'!AB2:AB727))/STDEV('The List'!AB2:AB727)</f>
        <v>0.64544481561228684</v>
      </c>
      <c r="P452" s="39">
        <f>(VLOOKUP($A452,'The List'!$B1:$AH727,28,FALSE)-AVERAGE('The List'!AC2:AC727))/STDEV('The List'!AC2:AC727)</f>
        <v>-0.37371722626493653</v>
      </c>
      <c r="Q452" s="39">
        <f>(VLOOKUP($A452,'The List'!$B1:$AH727,29,FALSE)-AVERAGE('The List'!AD2:AD727))/STDEV('The List'!AD2:AD727)</f>
        <v>0.69575600662117043</v>
      </c>
      <c r="R452" s="39">
        <f>(VLOOKUP($A452,'The List'!$B1:$AH727,30,FALSE)-AVERAGE('The List'!AE2:AE727))/STDEV('The List'!AE2:AE727)</f>
        <v>-0.52849183658408971</v>
      </c>
      <c r="S452" s="39">
        <f>(VLOOKUP($A452,'The List'!$B1:$AH727,31,FALSE)-AVERAGE('The List'!AF2:AF727))/STDEV('The List'!AF2:AF727)</f>
        <v>-0.52425433160932033</v>
      </c>
      <c r="T452" s="39">
        <f>(VLOOKUP($A452,'The List'!$B1:$AH727,32,FALSE)-AVERAGE('The List'!AG2:AG727))/STDEV('The List'!AG2:AG727)</f>
        <v>-0.52169919835858825</v>
      </c>
      <c r="U452" s="39">
        <f>(VLOOKUP($A452,'The List'!$B1:$AH727,33,FALSE)-AVERAGE('The List'!AH2:AH727))/STDEV('The List'!AH2:AH727)</f>
        <v>0.14802000604323051</v>
      </c>
      <c r="V452" s="39"/>
      <c r="W452" s="43"/>
      <c r="X452" s="41"/>
      <c r="Y452" s="41"/>
      <c r="Z452" s="41"/>
      <c r="AA452" s="41"/>
      <c r="AB452" s="41"/>
      <c r="AC452" s="44"/>
      <c r="AD452" s="45"/>
      <c r="AE452" s="39"/>
    </row>
    <row r="453" spans="1:31" ht="21.25" customHeight="1" x14ac:dyDescent="0.15">
      <c r="A453" s="8" t="s">
        <v>544</v>
      </c>
      <c r="B453" s="35" t="str">
        <f>VLOOKUP(A453,'Player Data'!A1:B734,2,FALSE)</f>
        <v>ANA</v>
      </c>
      <c r="C453" s="37">
        <f>((E453)*Settings!$C$12)+(F453*Settings!$C$2)+(G453*Settings!$C$3)+(H453*Settings!$C$4)+(I453*Settings!$C$5)+(K453*Settings!$C$9)+(N453*Settings!$C$6)+(J453*Settings!$C$8)+(O453*Settings!$C$7)+(P453*Settings!$C$14)+(Q453*Settings!$C$15)+(R453*Settings!$C$16)+(S453*Settings!$C$17)+(T453*Settings!$C$18)+(U453*Settings!$C$19)</f>
        <v>-4.1401941393742865</v>
      </c>
      <c r="D453" s="41">
        <f>IF(Settings!$E$12="YES",VLOOKUP(A453,'Player Data'!A1:E734,5,FALSE),82)</f>
        <v>76.547142857142902</v>
      </c>
      <c r="E453" s="39">
        <f>(VLOOKUP($A453,'The List'!$B1:$AH727,17,FALSE)-AVERAGE('The List'!R2:R727))/STDEV('The List'!R2:R727)</f>
        <v>-0.4322450445329083</v>
      </c>
      <c r="F453" s="39">
        <f>(VLOOKUP($A453,'The List'!$B1:$AH727,18,FALSE)-AVERAGE('The List'!S2:S727))/STDEV('The List'!S2:S727)</f>
        <v>-0.55160195355470987</v>
      </c>
      <c r="G453" s="39">
        <f>(VLOOKUP($A453,'The List'!$B1:$AH727,19,FALSE)-AVERAGE('The List'!T2:T727))/STDEV('The List'!T2:T727)</f>
        <v>-0.59913888520061731</v>
      </c>
      <c r="H453" s="39">
        <f>(VLOOKUP($A453,'The List'!$B1:$AH727,20,FALSE)-AVERAGE('The List'!U2:U727))/STDEV('The List'!U2:U727)</f>
        <v>-0.62020830399739035</v>
      </c>
      <c r="I453" s="39">
        <f>(VLOOKUP($A453,'The List'!$B1:$AH727,21,FALSE)-AVERAGE('The List'!V2:V727))/STDEV('The List'!V2:V727)</f>
        <v>-2.2448863382347525E-2</v>
      </c>
      <c r="J453" s="39">
        <f>(VLOOKUP($A453,'The List'!$B1:$AH727,22,FALSE)-AVERAGE('The List'!W2:W727))/STDEV('The List'!W2:W727)</f>
        <v>-0.19054381208410373</v>
      </c>
      <c r="K453" s="39">
        <f>(VLOOKUP($A453,'The List'!$B1:$AH727,23,FALSE)-AVERAGE('The List'!X2:X727))/STDEV('The List'!X2:X727)</f>
        <v>-0.3130820137509765</v>
      </c>
      <c r="L453" s="39">
        <f>(VLOOKUP($A453,'The List'!$B1:$AH727,24,FALSE)-AVERAGE('The List'!Y2:Y727))/STDEV('The List'!Y2:Y727)</f>
        <v>-0.10788661166380996</v>
      </c>
      <c r="M453" s="39">
        <f>(VLOOKUP($A453,'The List'!$B1:$AH727,25,FALSE)-AVERAGE('The List'!Z2:Z727))/STDEV('The List'!Z2:Z727)</f>
        <v>-0.34985049622950848</v>
      </c>
      <c r="N453" s="39">
        <f>(VLOOKUP($A453,'The List'!$B1:$AH727,26,FALSE)-AVERAGE('The List'!AA2:AA727))/STDEV('The List'!AA2:AA727)</f>
        <v>-0.29970875891770882</v>
      </c>
      <c r="O453" s="39">
        <f>(VLOOKUP($A453,'The List'!$B1:$AH727,27,FALSE)-AVERAGE('The List'!AB2:AB727))/STDEV('The List'!AB2:AB727)</f>
        <v>-1.3077350499898515</v>
      </c>
      <c r="P453" s="39">
        <f>(VLOOKUP($A453,'The List'!$B1:$AH727,28,FALSE)-AVERAGE('The List'!AC2:AC727))/STDEV('The List'!AC2:AC727)</f>
        <v>-2.3542136645679266</v>
      </c>
      <c r="Q453" s="39">
        <f>(VLOOKUP($A453,'The List'!$B1:$AH727,29,FALSE)-AVERAGE('The List'!AD2:AD727))/STDEV('The List'!AD2:AD727)</f>
        <v>-3.5883099156391023E-3</v>
      </c>
      <c r="R453" s="39">
        <f>(VLOOKUP($A453,'The List'!$B1:$AH727,30,FALSE)-AVERAGE('The List'!AE2:AE727))/STDEV('The List'!AE2:AE727)</f>
        <v>-0.66645032481349575</v>
      </c>
      <c r="S453" s="39">
        <f>(VLOOKUP($A453,'The List'!$B1:$AH727,31,FALSE)-AVERAGE('The List'!AF2:AF727))/STDEV('The List'!AF2:AF727)</f>
        <v>-0.48080075035197034</v>
      </c>
      <c r="T453" s="39">
        <f>(VLOOKUP($A453,'The List'!$B1:$AH727,32,FALSE)-AVERAGE('The List'!AG2:AG727))/STDEV('The List'!AG2:AG727)</f>
        <v>-0.45378165707635543</v>
      </c>
      <c r="U453" s="39">
        <f>(VLOOKUP($A453,'The List'!$B1:$AH727,33,FALSE)-AVERAGE('The List'!AH2:AH727))/STDEV('The List'!AH2:AH727)</f>
        <v>0.36099810132120586</v>
      </c>
      <c r="V453" s="39"/>
      <c r="W453" s="43"/>
      <c r="X453" s="41"/>
      <c r="Y453" s="41"/>
      <c r="Z453" s="41"/>
      <c r="AA453" s="41"/>
      <c r="AB453" s="41"/>
      <c r="AC453" s="44"/>
      <c r="AD453" s="45"/>
      <c r="AE453" s="39"/>
    </row>
    <row r="454" spans="1:31" ht="21.25" customHeight="1" x14ac:dyDescent="0.15">
      <c r="A454" s="8" t="s">
        <v>644</v>
      </c>
      <c r="B454" s="35" t="str">
        <f>VLOOKUP(A454,'Player Data'!A1:B734,2,FALSE)</f>
        <v>WSH</v>
      </c>
      <c r="C454" s="37">
        <f>((E454)*Settings!$C$12)+(F454*Settings!$C$2)+(G454*Settings!$C$3)+(H454*Settings!$C$4)+(I454*Settings!$C$5)+(K454*Settings!$C$9)+(N454*Settings!$C$6)+(J454*Settings!$C$8)+(O454*Settings!$C$7)+(P454*Settings!$C$14)+(Q454*Settings!$C$15)+(R454*Settings!$C$16)+(S454*Settings!$C$17)+(T454*Settings!$C$18)+(U454*Settings!$C$19)</f>
        <v>-4.1872475223862216</v>
      </c>
      <c r="D454" s="41">
        <f>IF(Settings!$E$12="YES",VLOOKUP(A454,'Player Data'!A1:E734,5,FALSE),82)</f>
        <v>74.903928571428594</v>
      </c>
      <c r="E454" s="39">
        <f>(VLOOKUP($A454,'The List'!$B1:$AH727,17,FALSE)-AVERAGE('The List'!R2:R727))/STDEV('The List'!R2:R727)</f>
        <v>-1.2938216459275091</v>
      </c>
      <c r="F454" s="39">
        <f>(VLOOKUP($A454,'The List'!$B1:$AH727,18,FALSE)-AVERAGE('The List'!S2:S727))/STDEV('The List'!S2:S727)</f>
        <v>-0.46623147066925358</v>
      </c>
      <c r="G454" s="39">
        <f>(VLOOKUP($A454,'The List'!$B1:$AH727,19,FALSE)-AVERAGE('The List'!T2:T727))/STDEV('The List'!T2:T727)</f>
        <v>-0.69650432716875232</v>
      </c>
      <c r="H454" s="39">
        <f>(VLOOKUP($A454,'The List'!$B1:$AH727,20,FALSE)-AVERAGE('The List'!U2:U727))/STDEV('The List'!U2:U727)</f>
        <v>-0.64135687398544416</v>
      </c>
      <c r="I454" s="39">
        <f>(VLOOKUP($A454,'The List'!$B1:$AH727,21,FALSE)-AVERAGE('The List'!V2:V727))/STDEV('The List'!V2:V727)</f>
        <v>-0.59018282841888892</v>
      </c>
      <c r="J454" s="39">
        <f>(VLOOKUP($A454,'The List'!$B1:$AH727,22,FALSE)-AVERAGE('The List'!W2:W727))/STDEV('The List'!W2:W727)</f>
        <v>-0.70555965901822248</v>
      </c>
      <c r="K454" s="39">
        <f>(VLOOKUP($A454,'The List'!$B1:$AH727,23,FALSE)-AVERAGE('The List'!X2:X727))/STDEV('The List'!X2:X727)</f>
        <v>-0.79489097837935563</v>
      </c>
      <c r="L454" s="39">
        <f>(VLOOKUP($A454,'The List'!$B1:$AH727,24,FALSE)-AVERAGE('The List'!Y2:Y727))/STDEV('The List'!Y2:Y727)</f>
        <v>-0.21226667464461024</v>
      </c>
      <c r="M454" s="39">
        <f>(VLOOKUP($A454,'The List'!$B1:$AH727,25,FALSE)-AVERAGE('The List'!Z2:Z727))/STDEV('The List'!Z2:Z727)</f>
        <v>-0.34840990483842382</v>
      </c>
      <c r="N454" s="39">
        <f>(VLOOKUP($A454,'The List'!$B1:$AH727,26,FALSE)-AVERAGE('The List'!AA2:AA727))/STDEV('The List'!AA2:AA727)</f>
        <v>-1.0063534451665348</v>
      </c>
      <c r="O454" s="39">
        <f>(VLOOKUP($A454,'The List'!$B1:$AH727,27,FALSE)-AVERAGE('The List'!AB2:AB727))/STDEV('The List'!AB2:AB727)</f>
        <v>1.3414031326193581</v>
      </c>
      <c r="P454" s="39">
        <f>(VLOOKUP($A454,'The List'!$B1:$AH727,28,FALSE)-AVERAGE('The List'!AC2:AC727))/STDEV('The List'!AC2:AC727)</f>
        <v>-0.63308447258343636</v>
      </c>
      <c r="Q454" s="39">
        <f>(VLOOKUP($A454,'The List'!$B1:$AH727,29,FALSE)-AVERAGE('The List'!AD2:AD727))/STDEV('The List'!AD2:AD727)</f>
        <v>1.2904132607067755</v>
      </c>
      <c r="R454" s="39">
        <f>(VLOOKUP($A454,'The List'!$B1:$AH727,30,FALSE)-AVERAGE('The List'!AE2:AE727))/STDEV('The List'!AE2:AE727)</f>
        <v>-0.52707083108153785</v>
      </c>
      <c r="S454" s="39">
        <f>(VLOOKUP($A454,'The List'!$B1:$AH727,31,FALSE)-AVERAGE('The List'!AF2:AF727))/STDEV('The List'!AF2:AF727)</f>
        <v>-0.52596350366341393</v>
      </c>
      <c r="T454" s="39">
        <f>(VLOOKUP($A454,'The List'!$B1:$AH727,32,FALSE)-AVERAGE('The List'!AG2:AG727))/STDEV('The List'!AG2:AG727)</f>
        <v>-0.54532459335827377</v>
      </c>
      <c r="U454" s="39">
        <f>(VLOOKUP($A454,'The List'!$B1:$AH727,33,FALSE)-AVERAGE('The List'!AH2:AH727))/STDEV('The List'!AH2:AH727)</f>
        <v>0.44871085274873862</v>
      </c>
      <c r="V454" s="39"/>
      <c r="W454" s="43"/>
      <c r="X454" s="41"/>
      <c r="Y454" s="41"/>
      <c r="Z454" s="41"/>
      <c r="AA454" s="41"/>
      <c r="AB454" s="41"/>
      <c r="AC454" s="44"/>
      <c r="AD454" s="45"/>
      <c r="AE454" s="39"/>
    </row>
    <row r="455" spans="1:31" ht="21.25" customHeight="1" x14ac:dyDescent="0.15">
      <c r="A455" s="8" t="s">
        <v>427</v>
      </c>
      <c r="B455" s="35" t="str">
        <f>VLOOKUP(A455,'Player Data'!A1:B734,2,FALSE)</f>
        <v>WPG</v>
      </c>
      <c r="C455" s="37">
        <f>((E455)*Settings!$C$12)+(F455*Settings!$C$2)+(G455*Settings!$C$3)+(H455*Settings!$C$4)+(I455*Settings!$C$5)+(K455*Settings!$C$9)+(N455*Settings!$C$6)+(J455*Settings!$C$8)+(O455*Settings!$C$7)+(P455*Settings!$C$14)+(Q455*Settings!$C$15)+(R455*Settings!$C$16)+(S455*Settings!$C$17)+(T455*Settings!$C$18)+(U455*Settings!$C$19)</f>
        <v>-0.56606287021222623</v>
      </c>
      <c r="D455" s="41">
        <f>IF(Settings!$E$12="YES",VLOOKUP(A455,'Player Data'!A1:E734,5,FALSE),82)</f>
        <v>79.097142857142899</v>
      </c>
      <c r="E455" s="39">
        <f>(VLOOKUP($A455,'The List'!$B1:$AH727,17,FALSE)-AVERAGE('The List'!R2:R727))/STDEV('The List'!R2:R727)</f>
        <v>0.35666236704037152</v>
      </c>
      <c r="F455" s="39">
        <f>(VLOOKUP($A455,'The List'!$B1:$AH727,18,FALSE)-AVERAGE('The List'!S2:S727))/STDEV('The List'!S2:S727)</f>
        <v>-0.78231749316427268</v>
      </c>
      <c r="G455" s="39">
        <f>(VLOOKUP($A455,'The List'!$B1:$AH727,19,FALSE)-AVERAGE('The List'!T2:T727))/STDEV('The List'!T2:T727)</f>
        <v>-0.38159387890949675</v>
      </c>
      <c r="H455" s="39">
        <f>(VLOOKUP($A455,'The List'!$B1:$AH727,20,FALSE)-AVERAGE('The List'!U2:U727))/STDEV('The List'!U2:U727)</f>
        <v>-0.59114507584238751</v>
      </c>
      <c r="I455" s="39">
        <f>(VLOOKUP($A455,'The List'!$B1:$AH727,21,FALSE)-AVERAGE('The List'!V2:V727))/STDEV('The List'!V2:V727)</f>
        <v>-0.42139885627696916</v>
      </c>
      <c r="J455" s="39">
        <f>(VLOOKUP($A455,'The List'!$B1:$AH727,22,FALSE)-AVERAGE('The List'!W2:W727))/STDEV('The List'!W2:W727)</f>
        <v>-0.41070889969633517</v>
      </c>
      <c r="K455" s="39">
        <f>(VLOOKUP($A455,'The List'!$B1:$AH727,23,FALSE)-AVERAGE('The List'!X2:X727))/STDEV('The List'!X2:X727)</f>
        <v>-0.26590912505026421</v>
      </c>
      <c r="L455" s="39">
        <f>(VLOOKUP($A455,'The List'!$B1:$AH727,24,FALSE)-AVERAGE('The List'!Y2:Y727))/STDEV('The List'!Y2:Y727)</f>
        <v>-0.51224142581824095</v>
      </c>
      <c r="M455" s="39">
        <f>(VLOOKUP($A455,'The List'!$B1:$AH727,25,FALSE)-AVERAGE('The List'!Z2:Z727))/STDEV('The List'!Z2:Z727)</f>
        <v>-0.47522775424023445</v>
      </c>
      <c r="N455" s="39">
        <f>(VLOOKUP($A455,'The List'!$B1:$AH727,26,FALSE)-AVERAGE('The List'!AA2:AA727))/STDEV('The List'!AA2:AA727)</f>
        <v>0.88846937081146193</v>
      </c>
      <c r="O455" s="39">
        <f>(VLOOKUP($A455,'The List'!$B1:$AH727,27,FALSE)-AVERAGE('The List'!AB2:AB727))/STDEV('The List'!AB2:AB727)</f>
        <v>-0.70850555134851079</v>
      </c>
      <c r="P455" s="39">
        <f>(VLOOKUP($A455,'The List'!$B1:$AH727,28,FALSE)-AVERAGE('The List'!AC2:AC727))/STDEV('The List'!AC2:AC727)</f>
        <v>0.39668711237731447</v>
      </c>
      <c r="Q455" s="39">
        <f>(VLOOKUP($A455,'The List'!$B1:$AH727,29,FALSE)-AVERAGE('The List'!AD2:AD727))/STDEV('The List'!AD2:AD727)</f>
        <v>-1.3356830474528976</v>
      </c>
      <c r="R455" s="39">
        <f>(VLOOKUP($A455,'The List'!$B1:$AH727,30,FALSE)-AVERAGE('The List'!AE2:AE727))/STDEV('The List'!AE2:AE727)</f>
        <v>-0.67075426985878162</v>
      </c>
      <c r="S455" s="39">
        <f>(VLOOKUP($A455,'The List'!$B1:$AH727,31,FALSE)-AVERAGE('The List'!AF2:AF727))/STDEV('The List'!AF2:AF727)</f>
        <v>-0.55804314905918151</v>
      </c>
      <c r="T455" s="39">
        <f>(VLOOKUP($A455,'The List'!$B1:$AH727,32,FALSE)-AVERAGE('The List'!AG2:AG727))/STDEV('The List'!AG2:AG727)</f>
        <v>-0.60188453558131205</v>
      </c>
      <c r="U455" s="39">
        <f>(VLOOKUP($A455,'The List'!$B1:$AH727,33,FALSE)-AVERAGE('The List'!AH2:AH727))/STDEV('The List'!AH2:AH727)</f>
        <v>-1.2395873372913611</v>
      </c>
      <c r="V455" s="39"/>
      <c r="W455" s="41"/>
      <c r="X455" s="39"/>
      <c r="Y455" s="39"/>
      <c r="Z455" s="39"/>
      <c r="AA455" s="39"/>
      <c r="AB455" s="39"/>
      <c r="AC455" s="39"/>
      <c r="AD455" s="39"/>
      <c r="AE455" s="39"/>
    </row>
    <row r="456" spans="1:31" ht="21.25" customHeight="1" x14ac:dyDescent="0.15">
      <c r="A456" s="8" t="s">
        <v>579</v>
      </c>
      <c r="B456" s="35" t="str">
        <f>VLOOKUP(A456,'Player Data'!A1:B734,2,FALSE)</f>
        <v>CHI</v>
      </c>
      <c r="C456" s="37">
        <f>((E456)*Settings!$C$12)+(F456*Settings!$C$2)+(G456*Settings!$C$3)+(H456*Settings!$C$4)+(I456*Settings!$C$5)+(K456*Settings!$C$9)+(N456*Settings!$C$6)+(J456*Settings!$C$8)+(O456*Settings!$C$7)+(P456*Settings!$C$14)+(Q456*Settings!$C$15)+(R456*Settings!$C$16)+(S456*Settings!$C$17)+(T456*Settings!$C$18)+(U456*Settings!$C$19)</f>
        <v>-3.9185835215663434</v>
      </c>
      <c r="D456" s="41">
        <f>IF(Settings!$E$12="YES",VLOOKUP(A456,'Player Data'!A1:E734,5,FALSE),82)</f>
        <v>80.827500000000001</v>
      </c>
      <c r="E456" s="39">
        <f>(VLOOKUP($A456,'The List'!$B1:$AH727,17,FALSE)-AVERAGE('The List'!R2:R727))/STDEV('The List'!R2:R727)</f>
        <v>-1.212454406415274</v>
      </c>
      <c r="F456" s="39">
        <f>(VLOOKUP($A456,'The List'!$B1:$AH727,18,FALSE)-AVERAGE('The List'!S2:S727))/STDEV('The List'!S2:S727)</f>
        <v>-0.29098617548466232</v>
      </c>
      <c r="G456" s="39">
        <f>(VLOOKUP($A456,'The List'!$B1:$AH727,19,FALSE)-AVERAGE('The List'!T2:T727))/STDEV('The List'!T2:T727)</f>
        <v>-0.71699670313123653</v>
      </c>
      <c r="H456" s="39">
        <f>(VLOOKUP($A456,'The List'!$B1:$AH727,20,FALSE)-AVERAGE('The List'!U2:U727))/STDEV('The List'!U2:U727)</f>
        <v>-0.57423688922458305</v>
      </c>
      <c r="I456" s="39">
        <f>(VLOOKUP($A456,'The List'!$B1:$AH727,21,FALSE)-AVERAGE('The List'!V2:V727))/STDEV('The List'!V2:V727)</f>
        <v>-0.29682883820946299</v>
      </c>
      <c r="J456" s="39">
        <f>(VLOOKUP($A456,'The List'!$B1:$AH727,22,FALSE)-AVERAGE('The List'!W2:W727))/STDEV('The List'!W2:W727)</f>
        <v>-0.12602325736303138</v>
      </c>
      <c r="K456" s="39">
        <f>(VLOOKUP($A456,'The List'!$B1:$AH727,23,FALSE)-AVERAGE('The List'!X2:X727))/STDEV('The List'!X2:X727)</f>
        <v>-0.33159718638635</v>
      </c>
      <c r="L456" s="39">
        <f>(VLOOKUP($A456,'The List'!$B1:$AH727,24,FALSE)-AVERAGE('The List'!Y2:Y727))/STDEV('The List'!Y2:Y727)</f>
        <v>-0.54157952351861594</v>
      </c>
      <c r="M456" s="39">
        <f>(VLOOKUP($A456,'The List'!$B1:$AH727,25,FALSE)-AVERAGE('The List'!Z2:Z727))/STDEV('The List'!Z2:Z727)</f>
        <v>-0.72094738312229545</v>
      </c>
      <c r="N456" s="39">
        <f>(VLOOKUP($A456,'The List'!$B1:$AH727,26,FALSE)-AVERAGE('The List'!AA2:AA727))/STDEV('The List'!AA2:AA727)</f>
        <v>-0.79194742360725889</v>
      </c>
      <c r="O456" s="39">
        <f>(VLOOKUP($A456,'The List'!$B1:$AH727,27,FALSE)-AVERAGE('The List'!AB2:AB727))/STDEV('The List'!AB2:AB727)</f>
        <v>-0.44990604678543283</v>
      </c>
      <c r="P456" s="39">
        <f>(VLOOKUP($A456,'The List'!$B1:$AH727,28,FALSE)-AVERAGE('The List'!AC2:AC727))/STDEV('The List'!AC2:AC727)</f>
        <v>-1.4902271947473724</v>
      </c>
      <c r="Q456" s="39">
        <f>(VLOOKUP($A456,'The List'!$B1:$AH727,29,FALSE)-AVERAGE('The List'!AD2:AD727))/STDEV('The List'!AD2:AD727)</f>
        <v>1.5226225368388111</v>
      </c>
      <c r="R456" s="39">
        <f>(VLOOKUP($A456,'The List'!$B1:$AH727,30,FALSE)-AVERAGE('The List'!AE2:AE727))/STDEV('The List'!AE2:AE727)</f>
        <v>-0.42442225282155205</v>
      </c>
      <c r="S456" s="39">
        <f>(VLOOKUP($A456,'The List'!$B1:$AH727,31,FALSE)-AVERAGE('The List'!AF2:AF727))/STDEV('The List'!AF2:AF727)</f>
        <v>-0.55650837959809207</v>
      </c>
      <c r="T456" s="39">
        <f>(VLOOKUP($A456,'The List'!$B1:$AH727,32,FALSE)-AVERAGE('The List'!AG2:AG727))/STDEV('The List'!AG2:AG727)</f>
        <v>-0.5955879913436134</v>
      </c>
      <c r="U456" s="39">
        <f>(VLOOKUP($A456,'The List'!$B1:$AH727,33,FALSE)-AVERAGE('The List'!AH2:AH727))/STDEV('The List'!AH2:AH727)</f>
        <v>-0.31755073744491552</v>
      </c>
      <c r="V456" s="39"/>
      <c r="W456" s="43"/>
      <c r="X456" s="41"/>
      <c r="Y456" s="41"/>
      <c r="Z456" s="41"/>
      <c r="AA456" s="41"/>
      <c r="AB456" s="41"/>
      <c r="AC456" s="44"/>
      <c r="AD456" s="45"/>
      <c r="AE456" s="39"/>
    </row>
    <row r="457" spans="1:31" ht="21.25" customHeight="1" x14ac:dyDescent="0.15">
      <c r="A457" s="8" t="s">
        <v>385</v>
      </c>
      <c r="B457" s="35" t="str">
        <f>VLOOKUP(A457,'Player Data'!A1:B734,2,FALSE)</f>
        <v>DAL</v>
      </c>
      <c r="C457" s="37">
        <f>((E457)*Settings!$C$12)+(F457*Settings!$C$2)+(G457*Settings!$C$3)+(H457*Settings!$C$4)+(I457*Settings!$C$5)+(K457*Settings!$C$9)+(N457*Settings!$C$6)+(J457*Settings!$C$8)+(O457*Settings!$C$7)+(P457*Settings!$C$14)+(Q457*Settings!$C$15)+(R457*Settings!$C$16)+(S457*Settings!$C$17)+(T457*Settings!$C$18)+(U457*Settings!$C$19)</f>
        <v>1.5213378807718234</v>
      </c>
      <c r="D457" s="41">
        <f>IF(Settings!$E$12="YES",VLOOKUP(A457,'Player Data'!A1:E734,5,FALSE),82)</f>
        <v>81.204999999999998</v>
      </c>
      <c r="E457" s="39">
        <f>(VLOOKUP($A457,'The List'!$B1:$AH727,17,FALSE)-AVERAGE('The List'!R2:R727))/STDEV('The List'!R2:R727)</f>
        <v>1.1754163438733727</v>
      </c>
      <c r="F457" s="39">
        <f>(VLOOKUP($A457,'The List'!$B1:$AH727,18,FALSE)-AVERAGE('The List'!S2:S727))/STDEV('The List'!S2:S727)</f>
        <v>-0.71567168132477799</v>
      </c>
      <c r="G457" s="39">
        <f>(VLOOKUP($A457,'The List'!$B1:$AH727,19,FALSE)-AVERAGE('The List'!T2:T727))/STDEV('The List'!T2:T727)</f>
        <v>-0.40712753706723787</v>
      </c>
      <c r="H457" s="39">
        <f>(VLOOKUP($A457,'The List'!$B1:$AH727,20,FALSE)-AVERAGE('The List'!U2:U727))/STDEV('The List'!U2:U727)</f>
        <v>-0.57655113627215593</v>
      </c>
      <c r="I457" s="39">
        <f>(VLOOKUP($A457,'The List'!$B1:$AH727,21,FALSE)-AVERAGE('The List'!V2:V727))/STDEV('The List'!V2:V727)</f>
        <v>-0.14256410712704021</v>
      </c>
      <c r="J457" s="39">
        <f>(VLOOKUP($A457,'The List'!$B1:$AH727,22,FALSE)-AVERAGE('The List'!W2:W727))/STDEV('The List'!W2:W727)</f>
        <v>-0.70939846613032786</v>
      </c>
      <c r="K457" s="39">
        <f>(VLOOKUP($A457,'The List'!$B1:$AH727,23,FALSE)-AVERAGE('The List'!X2:X727))/STDEV('The List'!X2:X727)</f>
        <v>-0.78482241224033111</v>
      </c>
      <c r="L457" s="39">
        <f>(VLOOKUP($A457,'The List'!$B1:$AH727,24,FALSE)-AVERAGE('The List'!Y2:Y727))/STDEV('The List'!Y2:Y727)</f>
        <v>0.36399675577882951</v>
      </c>
      <c r="M457" s="39">
        <f>(VLOOKUP($A457,'The List'!$B1:$AH727,25,FALSE)-AVERAGE('The List'!Z2:Z727))/STDEV('The List'!Z2:Z727)</f>
        <v>1.8162992342580058</v>
      </c>
      <c r="N457" s="39">
        <f>(VLOOKUP($A457,'The List'!$B1:$AH727,26,FALSE)-AVERAGE('The List'!AA2:AA727))/STDEV('The List'!AA2:AA727)</f>
        <v>2.3936275086223113</v>
      </c>
      <c r="O457" s="39">
        <f>(VLOOKUP($A457,'The List'!$B1:$AH727,27,FALSE)-AVERAGE('The List'!AB2:AB727))/STDEV('The List'!AB2:AB727)</f>
        <v>0.31805143508082045</v>
      </c>
      <c r="P457" s="39">
        <f>(VLOOKUP($A457,'The List'!$B1:$AH727,28,FALSE)-AVERAGE('The List'!AC2:AC727))/STDEV('The List'!AC2:AC727)</f>
        <v>1.1778961099088994</v>
      </c>
      <c r="Q457" s="39">
        <f>(VLOOKUP($A457,'The List'!$B1:$AH727,29,FALSE)-AVERAGE('The List'!AD2:AD727))/STDEV('The List'!AD2:AD727)</f>
        <v>-0.94279955395683979</v>
      </c>
      <c r="R457" s="39">
        <f>(VLOOKUP($A457,'The List'!$B1:$AH727,30,FALSE)-AVERAGE('The List'!AE2:AE727))/STDEV('The List'!AE2:AE727)</f>
        <v>-0.58776810231139853</v>
      </c>
      <c r="S457" s="39">
        <f>(VLOOKUP($A457,'The List'!$B1:$AH727,31,FALSE)-AVERAGE('The List'!AF2:AF727))/STDEV('The List'!AF2:AF727)</f>
        <v>-0.55804314905918151</v>
      </c>
      <c r="T457" s="39">
        <f>(VLOOKUP($A457,'The List'!$B1:$AH727,32,FALSE)-AVERAGE('The List'!AG2:AG727))/STDEV('The List'!AG2:AG727)</f>
        <v>-0.60108079516898261</v>
      </c>
      <c r="U457" s="39">
        <f>(VLOOKUP($A457,'The List'!$B1:$AH727,33,FALSE)-AVERAGE('The List'!AH2:AH727))/STDEV('The List'!AH2:AH727)</f>
        <v>-1.2395873372913611</v>
      </c>
      <c r="V457" s="39"/>
      <c r="W457" s="41"/>
      <c r="X457" s="41"/>
      <c r="Y457" s="41"/>
      <c r="Z457" s="41"/>
      <c r="AA457" s="41"/>
      <c r="AB457" s="41"/>
      <c r="AC457" s="44"/>
      <c r="AD457" s="45"/>
      <c r="AE457" s="39"/>
    </row>
    <row r="458" spans="1:31" ht="21.25" customHeight="1" x14ac:dyDescent="0.15">
      <c r="A458" s="8" t="s">
        <v>394</v>
      </c>
      <c r="B458" s="35" t="str">
        <f>VLOOKUP(A458,'Player Data'!A1:B734,2,FALSE)</f>
        <v>DET</v>
      </c>
      <c r="C458" s="37">
        <f>((E458)*Settings!$C$12)+(F458*Settings!$C$2)+(G458*Settings!$C$3)+(H458*Settings!$C$4)+(I458*Settings!$C$5)+(K458*Settings!$C$9)+(N458*Settings!$C$6)+(J458*Settings!$C$8)+(O458*Settings!$C$7)+(P458*Settings!$C$14)+(Q458*Settings!$C$15)+(R458*Settings!$C$16)+(S458*Settings!$C$17)+(T458*Settings!$C$18)+(U458*Settings!$C$19)</f>
        <v>-0.18749410271694233</v>
      </c>
      <c r="D458" s="41">
        <f>IF(Settings!$E$12="YES",VLOOKUP(A458,'Player Data'!A1:E734,5,FALSE),82)</f>
        <v>69.709285714285699</v>
      </c>
      <c r="E458" s="39">
        <f>(VLOOKUP($A458,'The List'!$B1:$AH727,17,FALSE)-AVERAGE('The List'!R2:R727))/STDEV('The List'!R2:R727)</f>
        <v>0.98582752872744439</v>
      </c>
      <c r="F458" s="39">
        <f>(VLOOKUP($A458,'The List'!$B1:$AH727,18,FALSE)-AVERAGE('The List'!S2:S727))/STDEV('The List'!S2:S727)</f>
        <v>-0.56330255491623493</v>
      </c>
      <c r="G458" s="39">
        <f>(VLOOKUP($A458,'The List'!$B1:$AH727,19,FALSE)-AVERAGE('The List'!T2:T727))/STDEV('The List'!T2:T727)</f>
        <v>-0.75464762362883697</v>
      </c>
      <c r="H458" s="39">
        <f>(VLOOKUP($A458,'The List'!$B1:$AH727,20,FALSE)-AVERAGE('The List'!U2:U727))/STDEV('The List'!U2:U727)</f>
        <v>-0.72135872633075571</v>
      </c>
      <c r="I458" s="39">
        <f>(VLOOKUP($A458,'The List'!$B1:$AH727,21,FALSE)-AVERAGE('The List'!V2:V727))/STDEV('The List'!V2:V727)</f>
        <v>0.31095100704808065</v>
      </c>
      <c r="J458" s="39">
        <f>(VLOOKUP($A458,'The List'!$B1:$AH727,22,FALSE)-AVERAGE('The List'!W2:W727))/STDEV('The List'!W2:W727)</f>
        <v>-0.69095558453992434</v>
      </c>
      <c r="K458" s="39">
        <f>(VLOOKUP($A458,'The List'!$B1:$AH727,23,FALSE)-AVERAGE('The List'!X2:X727))/STDEV('The List'!X2:X727)</f>
        <v>-0.67413560409350493</v>
      </c>
      <c r="L458" s="39">
        <f>(VLOOKUP($A458,'The List'!$B1:$AH727,24,FALSE)-AVERAGE('The List'!Y2:Y727))/STDEV('The List'!Y2:Y727)</f>
        <v>-0.46992676250413906</v>
      </c>
      <c r="M458" s="39">
        <f>(VLOOKUP($A458,'The List'!$B1:$AH727,25,FALSE)-AVERAGE('The List'!Z2:Z727))/STDEV('The List'!Z2:Z727)</f>
        <v>-0.54802328517068222</v>
      </c>
      <c r="N458" s="39">
        <f>(VLOOKUP($A458,'The List'!$B1:$AH727,26,FALSE)-AVERAGE('The List'!AA2:AA727))/STDEV('The List'!AA2:AA727)</f>
        <v>1.7977094761567216</v>
      </c>
      <c r="O458" s="39">
        <f>(VLOOKUP($A458,'The List'!$B1:$AH727,27,FALSE)-AVERAGE('The List'!AB2:AB727))/STDEV('The List'!AB2:AB727)</f>
        <v>-0.31624885667932034</v>
      </c>
      <c r="P458" s="39">
        <f>(VLOOKUP($A458,'The List'!$B1:$AH727,28,FALSE)-AVERAGE('The List'!AC2:AC727))/STDEV('The List'!AC2:AC727)</f>
        <v>-0.30406880328316777</v>
      </c>
      <c r="Q458" s="39">
        <f>(VLOOKUP($A458,'The List'!$B1:$AH727,29,FALSE)-AVERAGE('The List'!AD2:AD727))/STDEV('The List'!AD2:AD727)</f>
        <v>0.5923899946752933</v>
      </c>
      <c r="R458" s="39">
        <f>(VLOOKUP($A458,'The List'!$B1:$AH727,30,FALSE)-AVERAGE('The List'!AE2:AE727))/STDEV('The List'!AE2:AE727)</f>
        <v>-0.57592540240338963</v>
      </c>
      <c r="S458" s="39">
        <f>(VLOOKUP($A458,'The List'!$B1:$AH727,31,FALSE)-AVERAGE('The List'!AF2:AF727))/STDEV('The List'!AF2:AF727)</f>
        <v>-0.55804314905918151</v>
      </c>
      <c r="T458" s="39">
        <f>(VLOOKUP($A458,'The List'!$B1:$AH727,32,FALSE)-AVERAGE('The List'!AG2:AG727))/STDEV('The List'!AG2:AG727)</f>
        <v>-0.60188453558131205</v>
      </c>
      <c r="U458" s="39">
        <f>(VLOOKUP($A458,'The List'!$B1:$AH727,33,FALSE)-AVERAGE('The List'!AH2:AH727))/STDEV('The List'!AH2:AH727)</f>
        <v>-1.2395873372913611</v>
      </c>
      <c r="V458" s="39"/>
      <c r="W458" s="41"/>
      <c r="X458" s="39"/>
      <c r="Y458" s="39"/>
      <c r="Z458" s="39"/>
      <c r="AA458" s="39"/>
      <c r="AB458" s="39"/>
      <c r="AC458" s="39"/>
      <c r="AD458" s="39"/>
      <c r="AE458" s="39"/>
    </row>
    <row r="459" spans="1:31" ht="21.25" customHeight="1" x14ac:dyDescent="0.15">
      <c r="A459" s="8" t="s">
        <v>664</v>
      </c>
      <c r="B459" s="35" t="str">
        <f>VLOOKUP(A459,'Player Data'!A1:B734,2,FALSE)</f>
        <v>VGK</v>
      </c>
      <c r="C459" s="37">
        <f>((E459)*Settings!$C$12)+(F459*Settings!$C$2)+(G459*Settings!$C$3)+(H459*Settings!$C$4)+(I459*Settings!$C$5)+(K459*Settings!$C$9)+(N459*Settings!$C$6)+(J459*Settings!$C$8)+(O459*Settings!$C$7)+(P459*Settings!$C$14)+(Q459*Settings!$C$15)+(R459*Settings!$C$16)+(S459*Settings!$C$17)+(T459*Settings!$C$18)+(U459*Settings!$C$19)</f>
        <v>-2.4548027118172997</v>
      </c>
      <c r="D459" s="41">
        <f>IF(Settings!$E$12="YES",VLOOKUP(A459,'Player Data'!A1:E734,5,FALSE),82)</f>
        <v>78.165357142857104</v>
      </c>
      <c r="E459" s="39">
        <f>(VLOOKUP($A459,'The List'!$B1:$AH727,17,FALSE)-AVERAGE('The List'!R2:R727))/STDEV('The List'!R2:R727)</f>
        <v>-1.3391841377769826</v>
      </c>
      <c r="F459" s="39">
        <f>(VLOOKUP($A459,'The List'!$B1:$AH727,18,FALSE)-AVERAGE('The List'!S2:S727))/STDEV('The List'!S2:S727)</f>
        <v>-0.53616322247832549</v>
      </c>
      <c r="G459" s="39">
        <f>(VLOOKUP($A459,'The List'!$B1:$AH727,19,FALSE)-AVERAGE('The List'!T2:T727))/STDEV('The List'!T2:T727)</f>
        <v>-0.60422092413193251</v>
      </c>
      <c r="H459" s="39">
        <f>(VLOOKUP($A459,'The List'!$B1:$AH727,20,FALSE)-AVERAGE('The List'!U2:U727))/STDEV('The List'!U2:U727)</f>
        <v>-0.61631431444260465</v>
      </c>
      <c r="I459" s="39">
        <f>(VLOOKUP($A459,'The List'!$B1:$AH727,21,FALSE)-AVERAGE('The List'!V2:V727))/STDEV('The List'!V2:V727)</f>
        <v>-0.91201900059875118</v>
      </c>
      <c r="J459" s="39">
        <f>(VLOOKUP($A459,'The List'!$B1:$AH727,22,FALSE)-AVERAGE('The List'!W2:W727))/STDEV('The List'!W2:W727)</f>
        <v>-0.70064034308074252</v>
      </c>
      <c r="K459" s="39">
        <f>(VLOOKUP($A459,'The List'!$B1:$AH727,23,FALSE)-AVERAGE('The List'!X2:X727))/STDEV('The List'!X2:X727)</f>
        <v>-0.7925602432185731</v>
      </c>
      <c r="L459" s="39">
        <f>(VLOOKUP($A459,'The List'!$B1:$AH727,24,FALSE)-AVERAGE('The List'!Y2:Y727))/STDEV('The List'!Y2:Y727)</f>
        <v>-0.36473711242424267</v>
      </c>
      <c r="M459" s="39">
        <f>(VLOOKUP($A459,'The List'!$B1:$AH727,25,FALSE)-AVERAGE('The List'!Z2:Z727))/STDEV('The List'!Z2:Z727)</f>
        <v>-0.58798329278046391</v>
      </c>
      <c r="N459" s="39">
        <f>(VLOOKUP($A459,'The List'!$B1:$AH727,26,FALSE)-AVERAGE('The List'!AA2:AA727))/STDEV('The List'!AA2:AA727)</f>
        <v>-0.60395817026428178</v>
      </c>
      <c r="O459" s="39">
        <f>(VLOOKUP($A459,'The List'!$B1:$AH727,27,FALSE)-AVERAGE('The List'!AB2:AB727))/STDEV('The List'!AB2:AB727)</f>
        <v>3.451791340095856</v>
      </c>
      <c r="P459" s="39">
        <f>(VLOOKUP($A459,'The List'!$B1:$AH727,28,FALSE)-AVERAGE('The List'!AC2:AC727))/STDEV('The List'!AC2:AC727)</f>
        <v>0.99411884887456481</v>
      </c>
      <c r="Q459" s="39">
        <f>(VLOOKUP($A459,'The List'!$B1:$AH727,29,FALSE)-AVERAGE('The List'!AD2:AD727))/STDEV('The List'!AD2:AD727)</f>
        <v>1.536950502047844</v>
      </c>
      <c r="R459" s="39">
        <f>(VLOOKUP($A459,'The List'!$B1:$AH727,30,FALSE)-AVERAGE('The List'!AE2:AE727))/STDEV('The List'!AE2:AE727)</f>
        <v>-0.3831626406520196</v>
      </c>
      <c r="S459" s="39">
        <f>(VLOOKUP($A459,'The List'!$B1:$AH727,31,FALSE)-AVERAGE('The List'!AF2:AF727))/STDEV('The List'!AF2:AF727)</f>
        <v>-0.42425825361253705</v>
      </c>
      <c r="T459" s="39">
        <f>(VLOOKUP($A459,'The List'!$B1:$AH727,32,FALSE)-AVERAGE('The List'!AG2:AG727))/STDEV('The List'!AG2:AG727)</f>
        <v>-0.37203076147801306</v>
      </c>
      <c r="U459" s="39">
        <f>(VLOOKUP($A459,'The List'!$B1:$AH727,33,FALSE)-AVERAGE('The List'!AH2:AH727))/STDEV('The List'!AH2:AH727)</f>
        <v>0.47615287483984725</v>
      </c>
      <c r="V459" s="39"/>
      <c r="W459" s="41"/>
      <c r="X459" s="39"/>
      <c r="Y459" s="39"/>
      <c r="Z459" s="39"/>
      <c r="AA459" s="39"/>
      <c r="AB459" s="39"/>
      <c r="AC459" s="39"/>
      <c r="AD459" s="39"/>
      <c r="AE459" s="39"/>
    </row>
    <row r="460" spans="1:31" ht="21.25" customHeight="1" x14ac:dyDescent="0.15">
      <c r="A460" s="8" t="s">
        <v>448</v>
      </c>
      <c r="B460" s="35" t="str">
        <f>VLOOKUP(A460,'Player Data'!A1:B734,2,FALSE)</f>
        <v>VAN</v>
      </c>
      <c r="C460" s="37">
        <f>((E460)*Settings!$C$12)+(F460*Settings!$C$2)+(G460*Settings!$C$3)+(H460*Settings!$C$4)+(I460*Settings!$C$5)+(K460*Settings!$C$9)+(N460*Settings!$C$6)+(J460*Settings!$C$8)+(O460*Settings!$C$7)+(P460*Settings!$C$14)+(Q460*Settings!$C$15)+(R460*Settings!$C$16)+(S460*Settings!$C$17)+(T460*Settings!$C$18)+(U460*Settings!$C$19)</f>
        <v>-0.82019224784026901</v>
      </c>
      <c r="D460" s="41">
        <f>IF(Settings!$E$12="YES",VLOOKUP(A460,'Player Data'!A1:E734,5,FALSE),82)</f>
        <v>77.966428571428594</v>
      </c>
      <c r="E460" s="39">
        <f>(VLOOKUP($A460,'The List'!$B1:$AH727,17,FALSE)-AVERAGE('The List'!R2:R727))/STDEV('The List'!R2:R727)</f>
        <v>0.62834145891587589</v>
      </c>
      <c r="F460" s="39">
        <f>(VLOOKUP($A460,'The List'!$B1:$AH727,18,FALSE)-AVERAGE('The List'!S2:S727))/STDEV('The List'!S2:S727)</f>
        <v>-0.70796810430469159</v>
      </c>
      <c r="G460" s="39">
        <f>(VLOOKUP($A460,'The List'!$B1:$AH727,19,FALSE)-AVERAGE('The List'!T2:T727))/STDEV('The List'!T2:T727)</f>
        <v>-0.48271466680582054</v>
      </c>
      <c r="H460" s="39">
        <f>(VLOOKUP($A460,'The List'!$B1:$AH727,20,FALSE)-AVERAGE('The List'!U2:U727))/STDEV('The List'!U2:U727)</f>
        <v>-0.61962301201204528</v>
      </c>
      <c r="I460" s="39">
        <f>(VLOOKUP($A460,'The List'!$B1:$AH727,21,FALSE)-AVERAGE('The List'!V2:V727))/STDEV('The List'!V2:V727)</f>
        <v>-0.51319821663653131</v>
      </c>
      <c r="J460" s="39">
        <f>(VLOOKUP($A460,'The List'!$B1:$AH727,22,FALSE)-AVERAGE('The List'!W2:W727))/STDEV('The List'!W2:W727)</f>
        <v>-0.70106789022709615</v>
      </c>
      <c r="K460" s="39">
        <f>(VLOOKUP($A460,'The List'!$B1:$AH727,23,FALSE)-AVERAGE('The List'!X2:X727))/STDEV('The List'!X2:X727)</f>
        <v>-0.75368088668839617</v>
      </c>
      <c r="L460" s="39">
        <f>(VLOOKUP($A460,'The List'!$B1:$AH727,24,FALSE)-AVERAGE('The List'!Y2:Y727))/STDEV('The List'!Y2:Y727)</f>
        <v>0.20198657460291558</v>
      </c>
      <c r="M460" s="39">
        <f>(VLOOKUP($A460,'The List'!$B1:$AH727,25,FALSE)-AVERAGE('The List'!Z2:Z727))/STDEV('The List'!Z2:Z727)</f>
        <v>0.33117622749359937</v>
      </c>
      <c r="N460" s="39">
        <f>(VLOOKUP($A460,'The List'!$B1:$AH727,26,FALSE)-AVERAGE('The List'!AA2:AA727))/STDEV('The List'!AA2:AA727)</f>
        <v>1.3652086437171884</v>
      </c>
      <c r="O460" s="39">
        <f>(VLOOKUP($A460,'The List'!$B1:$AH727,27,FALSE)-AVERAGE('The List'!AB2:AB727))/STDEV('The List'!AB2:AB727)</f>
        <v>1.2547446895634684</v>
      </c>
      <c r="P460" s="39">
        <f>(VLOOKUP($A460,'The List'!$B1:$AH727,28,FALSE)-AVERAGE('The List'!AC2:AC727))/STDEV('The List'!AC2:AC727)</f>
        <v>0.27216098287798224</v>
      </c>
      <c r="Q460" s="39">
        <f>(VLOOKUP($A460,'The List'!$B1:$AH727,29,FALSE)-AVERAGE('The List'!AD2:AD727))/STDEV('The List'!AD2:AD727)</f>
        <v>2.3514868745505662</v>
      </c>
      <c r="R460" s="39">
        <f>(VLOOKUP($A460,'The List'!$B1:$AH727,30,FALSE)-AVERAGE('The List'!AE2:AE727))/STDEV('The List'!AE2:AE727)</f>
        <v>-0.65028036983804705</v>
      </c>
      <c r="S460" s="39">
        <f>(VLOOKUP($A460,'The List'!$B1:$AH727,31,FALSE)-AVERAGE('The List'!AF2:AF727))/STDEV('The List'!AF2:AF727)</f>
        <v>-0.55804314905918151</v>
      </c>
      <c r="T460" s="39">
        <f>(VLOOKUP($A460,'The List'!$B1:$AH727,32,FALSE)-AVERAGE('The List'!AG2:AG727))/STDEV('The List'!AG2:AG727)</f>
        <v>-0.60188453558131205</v>
      </c>
      <c r="U460" s="39">
        <f>(VLOOKUP($A460,'The List'!$B1:$AH727,33,FALSE)-AVERAGE('The List'!AH2:AH727))/STDEV('The List'!AH2:AH727)</f>
        <v>-1.2395873372913611</v>
      </c>
      <c r="V460" s="39"/>
      <c r="W460" s="41"/>
      <c r="X460" s="39"/>
      <c r="Y460" s="39"/>
      <c r="Z460" s="39"/>
      <c r="AA460" s="39"/>
      <c r="AB460" s="39"/>
      <c r="AC460" s="39"/>
      <c r="AD460" s="39"/>
      <c r="AE460" s="39"/>
    </row>
    <row r="461" spans="1:31" ht="21.25" customHeight="1" x14ac:dyDescent="0.15">
      <c r="A461" s="8" t="s">
        <v>467</v>
      </c>
      <c r="B461" s="35" t="str">
        <f>VLOOKUP(A461,'Player Data'!A1:B734,2,FALSE)</f>
        <v>TOR</v>
      </c>
      <c r="C461" s="37">
        <f>((E461)*Settings!$C$12)+(F461*Settings!$C$2)+(G461*Settings!$C$3)+(H461*Settings!$C$4)+(I461*Settings!$C$5)+(K461*Settings!$C$9)+(N461*Settings!$C$6)+(J461*Settings!$C$8)+(O461*Settings!$C$7)+(P461*Settings!$C$14)+(Q461*Settings!$C$15)+(R461*Settings!$C$16)+(S461*Settings!$C$17)+(T461*Settings!$C$18)+(U461*Settings!$C$19)</f>
        <v>0.59371066456006805</v>
      </c>
      <c r="D461" s="41">
        <f>IF(Settings!$E$12="YES",VLOOKUP(A461,'Player Data'!A1:E734,5,FALSE),82)</f>
        <v>73.706071428571406</v>
      </c>
      <c r="E461" s="39">
        <f>(VLOOKUP($A461,'The List'!$B1:$AH727,17,FALSE)-AVERAGE('The List'!R2:R727))/STDEV('The List'!R2:R727)</f>
        <v>0.7690976125258554</v>
      </c>
      <c r="F461" s="39">
        <f>(VLOOKUP($A461,'The List'!$B1:$AH727,18,FALSE)-AVERAGE('The List'!S2:S727))/STDEV('The List'!S2:S727)</f>
        <v>-0.9688819369458076</v>
      </c>
      <c r="G461" s="39">
        <f>(VLOOKUP($A461,'The List'!$B1:$AH727,19,FALSE)-AVERAGE('The List'!T2:T727))/STDEV('The List'!T2:T727)</f>
        <v>-0.37722670553767707</v>
      </c>
      <c r="H461" s="39">
        <f>(VLOOKUP($A461,'The List'!$B1:$AH727,20,FALSE)-AVERAGE('The List'!U2:U727))/STDEV('The List'!U2:U727)</f>
        <v>-0.67335247984203495</v>
      </c>
      <c r="I461" s="39">
        <f>(VLOOKUP($A461,'The List'!$B1:$AH727,21,FALSE)-AVERAGE('The List'!V2:V727))/STDEV('The List'!V2:V727)</f>
        <v>-0.73956116571697206</v>
      </c>
      <c r="J461" s="39">
        <f>(VLOOKUP($A461,'The List'!$B1:$AH727,22,FALSE)-AVERAGE('The List'!W2:W727))/STDEV('The List'!W2:W727)</f>
        <v>-0.70655908712120796</v>
      </c>
      <c r="K461" s="39">
        <f>(VLOOKUP($A461,'The List'!$B1:$AH727,23,FALSE)-AVERAGE('The List'!X2:X727))/STDEV('The List'!X2:X727)</f>
        <v>-0.78688186764465573</v>
      </c>
      <c r="L461" s="39">
        <f>(VLOOKUP($A461,'The List'!$B1:$AH727,24,FALSE)-AVERAGE('The List'!Y2:Y727))/STDEV('The List'!Y2:Y727)</f>
        <v>-0.4900432048520571</v>
      </c>
      <c r="M461" s="39">
        <f>(VLOOKUP($A461,'The List'!$B1:$AH727,25,FALSE)-AVERAGE('The List'!Z2:Z727))/STDEV('The List'!Z2:Z727)</f>
        <v>-0.54319831569240418</v>
      </c>
      <c r="N461" s="39">
        <f>(VLOOKUP($A461,'The List'!$B1:$AH727,26,FALSE)-AVERAGE('The List'!AA2:AA727))/STDEV('The List'!AA2:AA727)</f>
        <v>2.2417563019541196</v>
      </c>
      <c r="O461" s="39">
        <f>(VLOOKUP($A461,'The List'!$B1:$AH727,27,FALSE)-AVERAGE('The List'!AB2:AB727))/STDEV('The List'!AB2:AB727)</f>
        <v>1.1811260852658536</v>
      </c>
      <c r="P461" s="39">
        <f>(VLOOKUP($A461,'The List'!$B1:$AH727,28,FALSE)-AVERAGE('The List'!AC2:AC727))/STDEV('The List'!AC2:AC727)</f>
        <v>1.2245060384510613</v>
      </c>
      <c r="Q461" s="39">
        <f>(VLOOKUP($A461,'The List'!$B1:$AH727,29,FALSE)-AVERAGE('The List'!AD2:AD727))/STDEV('The List'!AD2:AD727)</f>
        <v>0.53180149540758226</v>
      </c>
      <c r="R461" s="39">
        <f>(VLOOKUP($A461,'The List'!$B1:$AH727,30,FALSE)-AVERAGE('The List'!AE2:AE727))/STDEV('The List'!AE2:AE727)</f>
        <v>-0.85100323410476719</v>
      </c>
      <c r="S461" s="39">
        <f>(VLOOKUP($A461,'The List'!$B1:$AH727,31,FALSE)-AVERAGE('The List'!AF2:AF727))/STDEV('The List'!AF2:AF727)</f>
        <v>-0.55804314905918151</v>
      </c>
      <c r="T461" s="39">
        <f>(VLOOKUP($A461,'The List'!$B1:$AH727,32,FALSE)-AVERAGE('The List'!AG2:AG727))/STDEV('The List'!AG2:AG727)</f>
        <v>-0.60188453558131205</v>
      </c>
      <c r="U461" s="39">
        <f>(VLOOKUP($A461,'The List'!$B1:$AH727,33,FALSE)-AVERAGE('The List'!AH2:AH727))/STDEV('The List'!AH2:AH727)</f>
        <v>-1.2395873372913611</v>
      </c>
      <c r="V461" s="39"/>
      <c r="W461" s="41"/>
      <c r="X461" s="41"/>
      <c r="Y461" s="41"/>
      <c r="Z461" s="41"/>
      <c r="AA461" s="41"/>
      <c r="AB461" s="41"/>
      <c r="AC461" s="44"/>
      <c r="AD461" s="45"/>
      <c r="AE461" s="39"/>
    </row>
    <row r="462" spans="1:31" ht="21.25" customHeight="1" x14ac:dyDescent="0.15">
      <c r="A462" s="8" t="s">
        <v>643</v>
      </c>
      <c r="B462" s="35" t="str">
        <f>VLOOKUP(A462,'Player Data'!A1:B734,2,FALSE)</f>
        <v>LAK</v>
      </c>
      <c r="C462" s="37">
        <f>((E462)*Settings!$C$12)+(F462*Settings!$C$2)+(G462*Settings!$C$3)+(H462*Settings!$C$4)+(I462*Settings!$C$5)+(K462*Settings!$C$9)+(N462*Settings!$C$6)+(J462*Settings!$C$8)+(O462*Settings!$C$7)+(P462*Settings!$C$14)+(Q462*Settings!$C$15)+(R462*Settings!$C$16)+(S462*Settings!$C$17)+(T462*Settings!$C$18)+(U462*Settings!$C$19)</f>
        <v>-3.3840748943558956</v>
      </c>
      <c r="D462" s="41">
        <f>IF(Settings!$E$12="YES",VLOOKUP(A462,'Player Data'!A1:E734,5,FALSE),82)</f>
        <v>72.424642857142899</v>
      </c>
      <c r="E462" s="39">
        <f>(VLOOKUP($A462,'The List'!$B1:$AH727,17,FALSE)-AVERAGE('The List'!R2:R727))/STDEV('The List'!R2:R727)</f>
        <v>-1.553569424759903</v>
      </c>
      <c r="F462" s="39">
        <f>(VLOOKUP($A462,'The List'!$B1:$AH727,18,FALSE)-AVERAGE('The List'!S2:S727))/STDEV('The List'!S2:S727)</f>
        <v>-0.16544473994117556</v>
      </c>
      <c r="G462" s="39">
        <f>(VLOOKUP($A462,'The List'!$B1:$AH727,19,FALSE)-AVERAGE('The List'!T2:T727))/STDEV('The List'!T2:T727)</f>
        <v>-1.0038349500318857</v>
      </c>
      <c r="H462" s="39">
        <f>(VLOOKUP($A462,'The List'!$B1:$AH727,20,FALSE)-AVERAGE('The List'!U2:U727))/STDEV('The List'!U2:U727)</f>
        <v>-0.69386004905283161</v>
      </c>
      <c r="I462" s="39">
        <f>(VLOOKUP($A462,'The List'!$B1:$AH727,21,FALSE)-AVERAGE('The List'!V2:V727))/STDEV('The List'!V2:V727)</f>
        <v>-0.48946614800775257</v>
      </c>
      <c r="J462" s="39">
        <f>(VLOOKUP($A462,'The List'!$B1:$AH727,22,FALSE)-AVERAGE('The List'!W2:W727))/STDEV('The List'!W2:W727)</f>
        <v>-0.68927891117404816</v>
      </c>
      <c r="K462" s="39">
        <f>(VLOOKUP($A462,'The List'!$B1:$AH727,23,FALSE)-AVERAGE('The List'!X2:X727))/STDEV('The List'!X2:X727)</f>
        <v>-0.78260787169694845</v>
      </c>
      <c r="L462" s="39">
        <f>(VLOOKUP($A462,'The List'!$B1:$AH727,24,FALSE)-AVERAGE('The List'!Y2:Y727))/STDEV('The List'!Y2:Y727)</f>
        <v>-0.29016256233488635</v>
      </c>
      <c r="M462" s="39">
        <f>(VLOOKUP($A462,'The List'!$B1:$AH727,25,FALSE)-AVERAGE('The List'!Z2:Z727))/STDEV('The List'!Z2:Z727)</f>
        <v>-0.43664803985352385</v>
      </c>
      <c r="N462" s="39">
        <f>(VLOOKUP($A462,'The List'!$B1:$AH727,26,FALSE)-AVERAGE('The List'!AA2:AA727))/STDEV('The List'!AA2:AA727)</f>
        <v>-0.8713190235641749</v>
      </c>
      <c r="O462" s="39">
        <f>(VLOOKUP($A462,'The List'!$B1:$AH727,27,FALSE)-AVERAGE('The List'!AB2:AB727))/STDEV('The List'!AB2:AB727)</f>
        <v>1.5785310389292564</v>
      </c>
      <c r="P462" s="39">
        <f>(VLOOKUP($A462,'The List'!$B1:$AH727,28,FALSE)-AVERAGE('The List'!AC2:AC727))/STDEV('The List'!AC2:AC727)</f>
        <v>-7.140216111395839E-2</v>
      </c>
      <c r="Q462" s="39">
        <f>(VLOOKUP($A462,'The List'!$B1:$AH727,29,FALSE)-AVERAGE('The List'!AD2:AD727))/STDEV('The List'!AD2:AD727)</f>
        <v>-0.55858684718859042</v>
      </c>
      <c r="R462" s="39">
        <f>(VLOOKUP($A462,'The List'!$B1:$AH727,30,FALSE)-AVERAGE('The List'!AE2:AE727))/STDEV('The List'!AE2:AE727)</f>
        <v>-9.7717073684073785E-2</v>
      </c>
      <c r="S462" s="39">
        <f>(VLOOKUP($A462,'The List'!$B1:$AH727,31,FALSE)-AVERAGE('The List'!AF2:AF727))/STDEV('The List'!AF2:AF727)</f>
        <v>-0.53260656213080271</v>
      </c>
      <c r="T462" s="39">
        <f>(VLOOKUP($A462,'The List'!$B1:$AH727,32,FALSE)-AVERAGE('The List'!AG2:AG727))/STDEV('The List'!AG2:AG727)</f>
        <v>-0.56128320133386012</v>
      </c>
      <c r="U462" s="39">
        <f>(VLOOKUP($A462,'The List'!$B1:$AH727,33,FALSE)-AVERAGE('The List'!AH2:AH727))/STDEV('The List'!AH2:AH727)</f>
        <v>0.55513577464811303</v>
      </c>
      <c r="V462" s="39"/>
      <c r="W462" s="43"/>
      <c r="X462" s="41"/>
      <c r="Y462" s="41"/>
      <c r="Z462" s="41"/>
      <c r="AA462" s="41"/>
      <c r="AB462" s="41"/>
      <c r="AC462" s="44"/>
      <c r="AD462" s="45"/>
      <c r="AE462" s="39"/>
    </row>
    <row r="463" spans="1:31" ht="21.25" customHeight="1" x14ac:dyDescent="0.15">
      <c r="A463" s="8" t="s">
        <v>420</v>
      </c>
      <c r="B463" s="35" t="str">
        <f>VLOOKUP(A463,'Player Data'!A1:B734,2,FALSE)</f>
        <v>NYI</v>
      </c>
      <c r="C463" s="37">
        <f>((E463)*Settings!$C$12)+(F463*Settings!$C$2)+(G463*Settings!$C$3)+(H463*Settings!$C$4)+(I463*Settings!$C$5)+(K463*Settings!$C$9)+(N463*Settings!$C$6)+(J463*Settings!$C$8)+(O463*Settings!$C$7)+(P463*Settings!$C$14)+(Q463*Settings!$C$15)+(R463*Settings!$C$16)+(S463*Settings!$C$17)+(T463*Settings!$C$18)+(U463*Settings!$C$19)</f>
        <v>9.5119829812901693E-3</v>
      </c>
      <c r="D463" s="41">
        <f>IF(Settings!$E$12="YES",VLOOKUP(A463,'Player Data'!A1:E734,5,FALSE),82)</f>
        <v>79.142499999999998</v>
      </c>
      <c r="E463" s="39">
        <f>(VLOOKUP($A463,'The List'!$B1:$AH727,17,FALSE)-AVERAGE('The List'!R2:R727))/STDEV('The List'!R2:R727)</f>
        <v>0.99805324349709612</v>
      </c>
      <c r="F463" s="39">
        <f>(VLOOKUP($A463,'The List'!$B1:$AH727,18,FALSE)-AVERAGE('The List'!S2:S727))/STDEV('The List'!S2:S727)</f>
        <v>-0.86596753091011103</v>
      </c>
      <c r="G463" s="39">
        <f>(VLOOKUP($A463,'The List'!$B1:$AH727,19,FALSE)-AVERAGE('The List'!T2:T727))/STDEV('The List'!T2:T727)</f>
        <v>-0.35202992339806072</v>
      </c>
      <c r="H463" s="39">
        <f>(VLOOKUP($A463,'The List'!$B1:$AH727,20,FALSE)-AVERAGE('The List'!U2:U727))/STDEV('The List'!U2:U727)</f>
        <v>-0.61099349592249219</v>
      </c>
      <c r="I463" s="39">
        <f>(VLOOKUP($A463,'The List'!$B1:$AH727,21,FALSE)-AVERAGE('The List'!V2:V727))/STDEV('The List'!V2:V727)</f>
        <v>-0.37900068497955236</v>
      </c>
      <c r="J463" s="39">
        <f>(VLOOKUP($A463,'The List'!$B1:$AH727,22,FALSE)-AVERAGE('The List'!W2:W727))/STDEV('The List'!W2:W727)</f>
        <v>-0.70671153093144135</v>
      </c>
      <c r="K463" s="39">
        <f>(VLOOKUP($A463,'The List'!$B1:$AH727,23,FALSE)-AVERAGE('The List'!X2:X727))/STDEV('The List'!X2:X727)</f>
        <v>-0.78730267001721688</v>
      </c>
      <c r="L463" s="39">
        <f>(VLOOKUP($A463,'The List'!$B1:$AH727,24,FALSE)-AVERAGE('The List'!Y2:Y727))/STDEV('The List'!Y2:Y727)</f>
        <v>-0.49662289893764899</v>
      </c>
      <c r="M463" s="39">
        <f>(VLOOKUP($A463,'The List'!$B1:$AH727,25,FALSE)-AVERAGE('The List'!Z2:Z727))/STDEV('The List'!Z2:Z727)</f>
        <v>-0.22608048682066548</v>
      </c>
      <c r="N463" s="39">
        <f>(VLOOKUP($A463,'The List'!$B1:$AH727,26,FALSE)-AVERAGE('The List'!AA2:AA727))/STDEV('The List'!AA2:AA727)</f>
        <v>2.4275204224364333</v>
      </c>
      <c r="O463" s="39">
        <f>(VLOOKUP($A463,'The List'!$B1:$AH727,27,FALSE)-AVERAGE('The List'!AB2:AB727))/STDEV('The List'!AB2:AB727)</f>
        <v>0.28914887872839912</v>
      </c>
      <c r="P463" s="39">
        <f>(VLOOKUP($A463,'The List'!$B1:$AH727,28,FALSE)-AVERAGE('The List'!AC2:AC727))/STDEV('The List'!AC2:AC727)</f>
        <v>-3.3707630150202193E-2</v>
      </c>
      <c r="Q463" s="39">
        <f>(VLOOKUP($A463,'The List'!$B1:$AH727,29,FALSE)-AVERAGE('The List'!AD2:AD727))/STDEV('The List'!AD2:AD727)</f>
        <v>1.5521774361822926</v>
      </c>
      <c r="R463" s="39">
        <f>(VLOOKUP($A463,'The List'!$B1:$AH727,30,FALSE)-AVERAGE('The List'!AE2:AE727))/STDEV('The List'!AE2:AE727)</f>
        <v>-0.76013915187374326</v>
      </c>
      <c r="S463" s="39">
        <f>(VLOOKUP($A463,'The List'!$B1:$AH727,31,FALSE)-AVERAGE('The List'!AF2:AF727))/STDEV('The List'!AF2:AF727)</f>
        <v>-0.55804314905918151</v>
      </c>
      <c r="T463" s="39">
        <f>(VLOOKUP($A463,'The List'!$B1:$AH727,32,FALSE)-AVERAGE('The List'!AG2:AG727))/STDEV('The List'!AG2:AG727)</f>
        <v>-0.60188453558131205</v>
      </c>
      <c r="U463" s="39">
        <f>(VLOOKUP($A463,'The List'!$B1:$AH727,33,FALSE)-AVERAGE('The List'!AH2:AH727))/STDEV('The List'!AH2:AH727)</f>
        <v>-1.2395873372913611</v>
      </c>
      <c r="V463" s="39"/>
      <c r="W463" s="43"/>
      <c r="X463" s="41"/>
      <c r="Y463" s="41"/>
      <c r="Z463" s="41"/>
      <c r="AA463" s="41"/>
      <c r="AB463" s="41"/>
      <c r="AC463" s="44"/>
      <c r="AD463" s="45"/>
      <c r="AE463" s="39"/>
    </row>
    <row r="464" spans="1:31" ht="21.25" customHeight="1" x14ac:dyDescent="0.15">
      <c r="A464" s="8" t="s">
        <v>439</v>
      </c>
      <c r="B464" s="35" t="str">
        <f>VLOOKUP(A464,'Player Data'!A1:B734,2,FALSE)</f>
        <v>NSH</v>
      </c>
      <c r="C464" s="37">
        <f>((E464)*Settings!$C$12)+(F464*Settings!$C$2)+(G464*Settings!$C$3)+(H464*Settings!$C$4)+(I464*Settings!$C$5)+(K464*Settings!$C$9)+(N464*Settings!$C$6)+(J464*Settings!$C$8)+(O464*Settings!$C$7)+(P464*Settings!$C$14)+(Q464*Settings!$C$15)+(R464*Settings!$C$16)+(S464*Settings!$C$17)+(T464*Settings!$C$18)+(U464*Settings!$C$19)</f>
        <v>-0.26199553509793927</v>
      </c>
      <c r="D464" s="41">
        <f>IF(Settings!$E$12="YES",VLOOKUP(A464,'Player Data'!A1:E734,5,FALSE),82)</f>
        <v>77.686428571428607</v>
      </c>
      <c r="E464" s="39">
        <f>(VLOOKUP($A464,'The List'!$B1:$AH727,17,FALSE)-AVERAGE('The List'!R2:R727))/STDEV('The List'!R2:R727)</f>
        <v>1.2710776294612565</v>
      </c>
      <c r="F464" s="39">
        <f>(VLOOKUP($A464,'The List'!$B1:$AH727,18,FALSE)-AVERAGE('The List'!S2:S727))/STDEV('The List'!S2:S727)</f>
        <v>-0.95971583764318114</v>
      </c>
      <c r="G464" s="39">
        <f>(VLOOKUP($A464,'The List'!$B1:$AH727,19,FALSE)-AVERAGE('The List'!T2:T727))/STDEV('The List'!T2:T727)</f>
        <v>-0.31355124306906884</v>
      </c>
      <c r="H464" s="39">
        <f>(VLOOKUP($A464,'The List'!$B1:$AH727,20,FALSE)-AVERAGE('The List'!U2:U727))/STDEV('The List'!U2:U727)</f>
        <v>-0.62994392478595163</v>
      </c>
      <c r="I464" s="39">
        <f>(VLOOKUP($A464,'The List'!$B1:$AH727,21,FALSE)-AVERAGE('The List'!V2:V727))/STDEV('The List'!V2:V727)</f>
        <v>-0.62923282692442428</v>
      </c>
      <c r="J464" s="39">
        <f>(VLOOKUP($A464,'The List'!$B1:$AH727,22,FALSE)-AVERAGE('The List'!W2:W727))/STDEV('The List'!W2:W727)</f>
        <v>-0.70858900893534116</v>
      </c>
      <c r="K464" s="39">
        <f>(VLOOKUP($A464,'The List'!$B1:$AH727,23,FALSE)-AVERAGE('The List'!X2:X727))/STDEV('The List'!X2:X727)</f>
        <v>-0.78854490064802074</v>
      </c>
      <c r="L464" s="39">
        <f>(VLOOKUP($A464,'The List'!$B1:$AH727,24,FALSE)-AVERAGE('The List'!Y2:Y727))/STDEV('The List'!Y2:Y727)</f>
        <v>-0.50822504959780157</v>
      </c>
      <c r="M464" s="39">
        <f>(VLOOKUP($A464,'The List'!$B1:$AH727,25,FALSE)-AVERAGE('The List'!Z2:Z727))/STDEV('The List'!Z2:Z727)</f>
        <v>-0.59555394523948635</v>
      </c>
      <c r="N464" s="39">
        <f>(VLOOKUP($A464,'The List'!$B1:$AH727,26,FALSE)-AVERAGE('The List'!AA2:AA727))/STDEV('The List'!AA2:AA727)</f>
        <v>2.6303215790581471</v>
      </c>
      <c r="O464" s="39">
        <f>(VLOOKUP($A464,'The List'!$B1:$AH727,27,FALSE)-AVERAGE('The List'!AB2:AB727))/STDEV('The List'!AB2:AB727)</f>
        <v>-2.9834923822833974E-2</v>
      </c>
      <c r="P464" s="39">
        <f>(VLOOKUP($A464,'The List'!$B1:$AH727,28,FALSE)-AVERAGE('The List'!AC2:AC727))/STDEV('The List'!AC2:AC727)</f>
        <v>-0.20127230587139144</v>
      </c>
      <c r="Q464" s="39">
        <f>(VLOOKUP($A464,'The List'!$B1:$AH727,29,FALSE)-AVERAGE('The List'!AD2:AD727))/STDEV('The List'!AD2:AD727)</f>
        <v>-0.52727710157648433</v>
      </c>
      <c r="R464" s="39">
        <f>(VLOOKUP($A464,'The List'!$B1:$AH727,30,FALSE)-AVERAGE('The List'!AE2:AE727))/STDEV('The List'!AE2:AE727)</f>
        <v>-0.8733162189372905</v>
      </c>
      <c r="S464" s="39">
        <f>(VLOOKUP($A464,'The List'!$B1:$AH727,31,FALSE)-AVERAGE('The List'!AF2:AF727))/STDEV('The List'!AF2:AF727)</f>
        <v>-0.55804314905918151</v>
      </c>
      <c r="T464" s="39">
        <f>(VLOOKUP($A464,'The List'!$B1:$AH727,32,FALSE)-AVERAGE('The List'!AG2:AG727))/STDEV('The List'!AG2:AG727)</f>
        <v>-0.60104081115446539</v>
      </c>
      <c r="U464" s="39">
        <f>(VLOOKUP($A464,'The List'!$B1:$AH727,33,FALSE)-AVERAGE('The List'!AH2:AH727))/STDEV('The List'!AH2:AH727)</f>
        <v>-1.2395873372913611</v>
      </c>
      <c r="V464" s="39"/>
      <c r="W464" s="43"/>
      <c r="X464" s="41"/>
      <c r="Y464" s="41"/>
      <c r="Z464" s="41"/>
      <c r="AA464" s="41"/>
      <c r="AB464" s="41"/>
      <c r="AC464" s="44"/>
      <c r="AD464" s="45"/>
      <c r="AE464" s="39"/>
    </row>
    <row r="465" spans="1:31" ht="21.25" customHeight="1" x14ac:dyDescent="0.15">
      <c r="A465" s="8" t="s">
        <v>806</v>
      </c>
      <c r="B465" s="35" t="str">
        <f>VLOOKUP(A465,'Player Data'!A1:B734,2,FALSE)</f>
        <v>VAN</v>
      </c>
      <c r="C465" s="37">
        <f>((E465)*Settings!$C$12)+(F465*Settings!$C$2)+(G465*Settings!$C$3)+(H465*Settings!$C$4)+(I465*Settings!$C$5)+(K465*Settings!$C$9)+(N465*Settings!$C$6)+(J465*Settings!$C$8)+(O465*Settings!$C$7)+(P465*Settings!$C$14)+(Q465*Settings!$C$15)+(R465*Settings!$C$16)+(S465*Settings!$C$17)+(T465*Settings!$C$18)+(U465*Settings!$C$19)</f>
        <v>-4.7526929144899235</v>
      </c>
      <c r="D465" s="41">
        <f>IF(Settings!$E$12="YES",VLOOKUP(A465,'Player Data'!A1:E734,5,FALSE),82)</f>
        <v>60.07</v>
      </c>
      <c r="E465" s="39">
        <f>(VLOOKUP($A465,'The List'!$B1:$AH727,17,FALSE)-AVERAGE('The List'!R2:R727))/STDEV('The List'!R2:R727)</f>
        <v>-1.08789639526899</v>
      </c>
      <c r="F465" s="39">
        <f>(VLOOKUP($A465,'The List'!$B1:$AH727,18,FALSE)-AVERAGE('The List'!S2:S727))/STDEV('The List'!S2:S727)</f>
        <v>-0.75660771800174964</v>
      </c>
      <c r="G465" s="39">
        <f>(VLOOKUP($A465,'The List'!$B1:$AH727,19,FALSE)-AVERAGE('The List'!T2:T727))/STDEV('The List'!T2:T727)</f>
        <v>-0.82064960365107475</v>
      </c>
      <c r="H465" s="39">
        <f>(VLOOKUP($A465,'The List'!$B1:$AH727,20,FALSE)-AVERAGE('The List'!U2:U727))/STDEV('The List'!U2:U727)</f>
        <v>-0.84999569969894651</v>
      </c>
      <c r="I465" s="39">
        <f>(VLOOKUP($A465,'The List'!$B1:$AH727,21,FALSE)-AVERAGE('The List'!V2:V727))/STDEV('The List'!V2:V727)</f>
        <v>-1.3461071271517735</v>
      </c>
      <c r="J465" s="39">
        <f>(VLOOKUP($A465,'The List'!$B1:$AH727,22,FALSE)-AVERAGE('The List'!W2:W727))/STDEV('The List'!W2:W727)</f>
        <v>-0.69748821242842229</v>
      </c>
      <c r="K465" s="39">
        <f>(VLOOKUP($A465,'The List'!$B1:$AH727,23,FALSE)-AVERAGE('The List'!X2:X727))/STDEV('The List'!X2:X727)</f>
        <v>-0.78745757338824307</v>
      </c>
      <c r="L465" s="39">
        <f>(VLOOKUP($A465,'The List'!$B1:$AH727,24,FALSE)-AVERAGE('The List'!Y2:Y727))/STDEV('The List'!Y2:Y727)</f>
        <v>-0.32814265860032399</v>
      </c>
      <c r="M465" s="39">
        <f>(VLOOKUP($A465,'The List'!$B1:$AH727,25,FALSE)-AVERAGE('The List'!Z2:Z727))/STDEV('The List'!Z2:Z727)</f>
        <v>0.73796340003380734</v>
      </c>
      <c r="N465" s="39">
        <f>(VLOOKUP($A465,'The List'!$B1:$AH727,26,FALSE)-AVERAGE('The List'!AA2:AA727))/STDEV('The List'!AA2:AA727)</f>
        <v>-0.6598669830543944</v>
      </c>
      <c r="O465" s="39">
        <f>(VLOOKUP($A465,'The List'!$B1:$AH727,27,FALSE)-AVERAGE('The List'!AB2:AB727))/STDEV('The List'!AB2:AB727)</f>
        <v>-0.93446918855913941</v>
      </c>
      <c r="P465" s="39">
        <f>(VLOOKUP($A465,'The List'!$B1:$AH727,28,FALSE)-AVERAGE('The List'!AC2:AC727))/STDEV('The List'!AC2:AC727)</f>
        <v>-0.38200390924268851</v>
      </c>
      <c r="Q465" s="39">
        <f>(VLOOKUP($A465,'The List'!$B1:$AH727,29,FALSE)-AVERAGE('The List'!AD2:AD727))/STDEV('The List'!AD2:AD727)</f>
        <v>-1.0126150442084223</v>
      </c>
      <c r="R465" s="39">
        <f>(VLOOKUP($A465,'The List'!$B1:$AH727,30,FALSE)-AVERAGE('The List'!AE2:AE727))/STDEV('The List'!AE2:AE727)</f>
        <v>-0.69525697722061364</v>
      </c>
      <c r="S465" s="39">
        <f>(VLOOKUP($A465,'The List'!$B1:$AH727,31,FALSE)-AVERAGE('The List'!AF2:AF727))/STDEV('The List'!AF2:AF727)</f>
        <v>0.21198863509514906</v>
      </c>
      <c r="T465" s="39">
        <f>(VLOOKUP($A465,'The List'!$B1:$AH727,32,FALSE)-AVERAGE('The List'!AG2:AG727))/STDEV('The List'!AG2:AG727)</f>
        <v>0.70942417371452238</v>
      </c>
      <c r="U465" s="39">
        <f>(VLOOKUP($A465,'The List'!$B1:$AH727,33,FALSE)-AVERAGE('The List'!AH2:AH727))/STDEV('The List'!AH2:AH727)</f>
        <v>0.48559232341556646</v>
      </c>
      <c r="V465" s="39"/>
      <c r="W465" s="43"/>
      <c r="X465" s="41"/>
      <c r="Y465" s="41"/>
      <c r="Z465" s="41"/>
      <c r="AA465" s="41"/>
      <c r="AB465" s="41"/>
      <c r="AC465" s="44"/>
      <c r="AD465" s="45"/>
      <c r="AE465" s="39"/>
    </row>
    <row r="466" spans="1:31" ht="21.25" customHeight="1" x14ac:dyDescent="0.15">
      <c r="A466" s="8" t="s">
        <v>639</v>
      </c>
      <c r="B466" s="35" t="str">
        <f>VLOOKUP(A466,'Player Data'!A1:B734,2,FALSE)</f>
        <v>NJD</v>
      </c>
      <c r="C466" s="37">
        <f>((E466)*Settings!$C$12)+(F466*Settings!$C$2)+(G466*Settings!$C$3)+(H466*Settings!$C$4)+(I466*Settings!$C$5)+(K466*Settings!$C$9)+(N466*Settings!$C$6)+(J466*Settings!$C$8)+(O466*Settings!$C$7)+(P466*Settings!$C$14)+(Q466*Settings!$C$15)+(R466*Settings!$C$16)+(S466*Settings!$C$17)+(T466*Settings!$C$18)+(U466*Settings!$C$19)</f>
        <v>-2.7259629739765923</v>
      </c>
      <c r="D466" s="41">
        <f>IF(Settings!$E$12="YES",VLOOKUP(A466,'Player Data'!A1:E734,5,FALSE),82)</f>
        <v>72</v>
      </c>
      <c r="E466" s="39">
        <f>(VLOOKUP($A466,'The List'!$B1:$AH727,17,FALSE)-AVERAGE('The List'!R2:R727))/STDEV('The List'!R2:R727)</f>
        <v>-1.2092374953059895</v>
      </c>
      <c r="F466" s="39">
        <f>(VLOOKUP($A466,'The List'!$B1:$AH727,18,FALSE)-AVERAGE('The List'!S2:S727))/STDEV('The List'!S2:S727)</f>
        <v>-0.37068681833349798</v>
      </c>
      <c r="G466" s="39">
        <f>(VLOOKUP($A466,'The List'!$B1:$AH727,19,FALSE)-AVERAGE('The List'!T2:T727))/STDEV('The List'!T2:T727)</f>
        <v>-0.86811701996487101</v>
      </c>
      <c r="H466" s="39">
        <f>(VLOOKUP($A466,'The List'!$B1:$AH727,20,FALSE)-AVERAGE('The List'!U2:U727))/STDEV('The List'!U2:U727)</f>
        <v>-0.70362739983474387</v>
      </c>
      <c r="I466" s="39">
        <f>(VLOOKUP($A466,'The List'!$B1:$AH727,21,FALSE)-AVERAGE('The List'!V2:V727))/STDEV('The List'!V2:V727)</f>
        <v>-0.66428922028638882</v>
      </c>
      <c r="J466" s="39">
        <f>(VLOOKUP($A466,'The List'!$B1:$AH727,22,FALSE)-AVERAGE('The List'!W2:W727))/STDEV('The List'!W2:W727)</f>
        <v>-0.58968547128304161</v>
      </c>
      <c r="K466" s="39">
        <f>(VLOOKUP($A466,'The List'!$B1:$AH727,23,FALSE)-AVERAGE('The List'!X2:X727))/STDEV('The List'!X2:X727)</f>
        <v>-0.71750155706691476</v>
      </c>
      <c r="L466" s="39">
        <f>(VLOOKUP($A466,'The List'!$B1:$AH727,24,FALSE)-AVERAGE('The List'!Y2:Y727))/STDEV('The List'!Y2:Y727)</f>
        <v>-0.20146763105091353</v>
      </c>
      <c r="M466" s="39">
        <f>(VLOOKUP($A466,'The List'!$B1:$AH727,25,FALSE)-AVERAGE('The List'!Z2:Z727))/STDEV('The List'!Z2:Z727)</f>
        <v>-0.33734468292231512</v>
      </c>
      <c r="N466" s="39">
        <f>(VLOOKUP($A466,'The List'!$B1:$AH727,26,FALSE)-AVERAGE('The List'!AA2:AA727))/STDEV('The List'!AA2:AA727)</f>
        <v>-0.14939985623113783</v>
      </c>
      <c r="O466" s="39">
        <f>(VLOOKUP($A466,'The List'!$B1:$AH727,27,FALSE)-AVERAGE('The List'!AB2:AB727))/STDEV('The List'!AB2:AB727)</f>
        <v>1.7108678542824081</v>
      </c>
      <c r="P466" s="39">
        <f>(VLOOKUP($A466,'The List'!$B1:$AH727,28,FALSE)-AVERAGE('The List'!AC2:AC727))/STDEV('The List'!AC2:AC727)</f>
        <v>4.4031497906217999E-2</v>
      </c>
      <c r="Q466" s="39">
        <f>(VLOOKUP($A466,'The List'!$B1:$AH727,29,FALSE)-AVERAGE('The List'!AD2:AD727))/STDEV('The List'!AD2:AD727)</f>
        <v>0.51673892970146884</v>
      </c>
      <c r="R466" s="39">
        <f>(VLOOKUP($A466,'The List'!$B1:$AH727,30,FALSE)-AVERAGE('The List'!AE2:AE727))/STDEV('The List'!AE2:AE727)</f>
        <v>-0.30443792310273199</v>
      </c>
      <c r="S466" s="39">
        <f>(VLOOKUP($A466,'The List'!$B1:$AH727,31,FALSE)-AVERAGE('The List'!AF2:AF727))/STDEV('The List'!AF2:AF727)</f>
        <v>-0.44834817226984436</v>
      </c>
      <c r="T466" s="39">
        <f>(VLOOKUP($A466,'The List'!$B1:$AH727,32,FALSE)-AVERAGE('The List'!AG2:AG727))/STDEV('The List'!AG2:AG727)</f>
        <v>-0.42420136284068977</v>
      </c>
      <c r="U466" s="39">
        <f>(VLOOKUP($A466,'The List'!$B1:$AH727,33,FALSE)-AVERAGE('The List'!AH2:AH727))/STDEV('The List'!AH2:AH727)</f>
        <v>0.53927301206679534</v>
      </c>
      <c r="V466" s="39"/>
      <c r="W466" s="41"/>
      <c r="X466" s="39"/>
      <c r="Y466" s="39"/>
      <c r="Z466" s="39"/>
      <c r="AA466" s="39"/>
      <c r="AB466" s="39"/>
      <c r="AC466" s="39"/>
      <c r="AD466" s="39"/>
      <c r="AE466" s="39"/>
    </row>
    <row r="467" spans="1:31" ht="21.25" customHeight="1" x14ac:dyDescent="0.15">
      <c r="A467" s="8" t="s">
        <v>745</v>
      </c>
      <c r="B467" s="35" t="str">
        <f>VLOOKUP(A467,'Player Data'!A1:B734,2,FALSE)</f>
        <v>PIT</v>
      </c>
      <c r="C467" s="37">
        <f>((E467)*Settings!$C$12)+(F467*Settings!$C$2)+(G467*Settings!$C$3)+(H467*Settings!$C$4)+(I467*Settings!$C$5)+(K467*Settings!$C$9)+(N467*Settings!$C$6)+(J467*Settings!$C$8)+(O467*Settings!$C$7)+(P467*Settings!$C$14)+(Q467*Settings!$C$15)+(R467*Settings!$C$16)+(S467*Settings!$C$17)+(T467*Settings!$C$18)+(U467*Settings!$C$19)</f>
        <v>-2.3316790992212191</v>
      </c>
      <c r="D467" s="41">
        <f>IF(Settings!$E$12="YES",VLOOKUP(A467,'Player Data'!A1:E734,5,FALSE),82)</f>
        <v>70.421071428571395</v>
      </c>
      <c r="E467" s="39">
        <f>(VLOOKUP($A467,'The List'!$B1:$AH727,17,FALSE)-AVERAGE('The List'!R2:R727))/STDEV('The List'!R2:R727)</f>
        <v>-0.74244481399202977</v>
      </c>
      <c r="F467" s="39">
        <f>(VLOOKUP($A467,'The List'!$B1:$AH727,18,FALSE)-AVERAGE('The List'!S2:S727))/STDEV('The List'!S2:S727)</f>
        <v>-0.34584584770392696</v>
      </c>
      <c r="G467" s="39">
        <f>(VLOOKUP($A467,'The List'!$B1:$AH727,19,FALSE)-AVERAGE('The List'!T2:T727))/STDEV('The List'!T2:T727)</f>
        <v>-0.92549941668603786</v>
      </c>
      <c r="H467" s="39">
        <f>(VLOOKUP($A467,'The List'!$B1:$AH727,20,FALSE)-AVERAGE('The List'!U2:U727))/STDEV('The List'!U2:U727)</f>
        <v>-0.72768276497342721</v>
      </c>
      <c r="I467" s="39">
        <f>(VLOOKUP($A467,'The List'!$B1:$AH727,21,FALSE)-AVERAGE('The List'!V2:V727))/STDEV('The List'!V2:V727)</f>
        <v>-0.67518057877526849</v>
      </c>
      <c r="J467" s="39">
        <f>(VLOOKUP($A467,'The List'!$B1:$AH727,22,FALSE)-AVERAGE('The List'!W2:W727))/STDEV('The List'!W2:W727)</f>
        <v>-0.69592422836653856</v>
      </c>
      <c r="K467" s="39">
        <f>(VLOOKUP($A467,'The List'!$B1:$AH727,23,FALSE)-AVERAGE('The List'!X2:X727))/STDEV('The List'!X2:X727)</f>
        <v>-0.78632277414596752</v>
      </c>
      <c r="L467" s="39">
        <f>(VLOOKUP($A467,'The List'!$B1:$AH727,24,FALSE)-AVERAGE('The List'!Y2:Y727))/STDEV('The List'!Y2:Y727)</f>
        <v>-0.37346286532391276</v>
      </c>
      <c r="M467" s="39">
        <f>(VLOOKUP($A467,'The List'!$B1:$AH727,25,FALSE)-AVERAGE('The List'!Z2:Z727))/STDEV('The List'!Z2:Z727)</f>
        <v>1.1409274747207172</v>
      </c>
      <c r="N467" s="39">
        <f>(VLOOKUP($A467,'The List'!$B1:$AH727,26,FALSE)-AVERAGE('The List'!AA2:AA727))/STDEV('The List'!AA2:AA727)</f>
        <v>0.23663352960811665</v>
      </c>
      <c r="O467" s="39">
        <f>(VLOOKUP($A467,'The List'!$B1:$AH727,27,FALSE)-AVERAGE('The List'!AB2:AB727))/STDEV('The List'!AB2:AB727)</f>
        <v>2.0601629430942712</v>
      </c>
      <c r="P467" s="39">
        <f>(VLOOKUP($A467,'The List'!$B1:$AH727,28,FALSE)-AVERAGE('The List'!AC2:AC727))/STDEV('The List'!AC2:AC727)</f>
        <v>0.16453598848186532</v>
      </c>
      <c r="Q467" s="39">
        <f>(VLOOKUP($A467,'The List'!$B1:$AH727,29,FALSE)-AVERAGE('The List'!AD2:AD727))/STDEV('The List'!AD2:AD727)</f>
        <v>-0.70650373178202408</v>
      </c>
      <c r="R467" s="39">
        <f>(VLOOKUP($A467,'The List'!$B1:$AH727,30,FALSE)-AVERAGE('The List'!AE2:AE727))/STDEV('The List'!AE2:AE727)</f>
        <v>-0.20648763128305245</v>
      </c>
      <c r="S467" s="39">
        <f>(VLOOKUP($A467,'The List'!$B1:$AH727,31,FALSE)-AVERAGE('The List'!AF2:AF727))/STDEV('The List'!AF2:AF727)</f>
        <v>0.95372291654705454</v>
      </c>
      <c r="T467" s="39">
        <f>(VLOOKUP($A467,'The List'!$B1:$AH727,32,FALSE)-AVERAGE('The List'!AG2:AG727))/STDEV('The List'!AG2:AG727)</f>
        <v>0.80089950417391709</v>
      </c>
      <c r="U467" s="39">
        <f>(VLOOKUP($A467,'The List'!$B1:$AH727,33,FALSE)-AVERAGE('The List'!AH2:AH727))/STDEV('The List'!AH2:AH727)</f>
        <v>1.1609045058030425</v>
      </c>
      <c r="V467" s="39"/>
      <c r="W467" s="43"/>
      <c r="X467" s="41"/>
      <c r="Y467" s="41"/>
      <c r="Z467" s="41"/>
      <c r="AA467" s="41"/>
      <c r="AB467" s="41"/>
      <c r="AC467" s="44"/>
      <c r="AD467" s="45"/>
      <c r="AE467" s="39"/>
    </row>
    <row r="468" spans="1:31" ht="21.25" customHeight="1" x14ac:dyDescent="0.15">
      <c r="A468" s="8" t="s">
        <v>399</v>
      </c>
      <c r="B468" s="35" t="str">
        <f>VLOOKUP(A468,'Player Data'!A1:B734,2,FALSE)</f>
        <v>LAK</v>
      </c>
      <c r="C468" s="37">
        <f>((E468)*Settings!$C$12)+(F468*Settings!$C$2)+(G468*Settings!$C$3)+(H468*Settings!$C$4)+(I468*Settings!$C$5)+(K468*Settings!$C$9)+(N468*Settings!$C$6)+(J468*Settings!$C$8)+(O468*Settings!$C$7)+(P468*Settings!$C$14)+(Q468*Settings!$C$15)+(R468*Settings!$C$16)+(S468*Settings!$C$17)+(T468*Settings!$C$18)+(U468*Settings!$C$19)</f>
        <v>-0.16996769023977962</v>
      </c>
      <c r="D468" s="41">
        <f>IF(Settings!$E$12="YES",VLOOKUP(A468,'Player Data'!A1:E734,5,FALSE),82)</f>
        <v>78.210357142857106</v>
      </c>
      <c r="E468" s="39">
        <f>(VLOOKUP($A468,'The List'!$B1:$AH727,17,FALSE)-AVERAGE('The List'!R2:R727))/STDEV('The List'!R2:R727)</f>
        <v>0.61521590471028187</v>
      </c>
      <c r="F468" s="39">
        <f>(VLOOKUP($A468,'The List'!$B1:$AH727,18,FALSE)-AVERAGE('The List'!S2:S727))/STDEV('The List'!S2:S727)</f>
        <v>-0.7885115438344602</v>
      </c>
      <c r="G468" s="39">
        <f>(VLOOKUP($A468,'The List'!$B1:$AH727,19,FALSE)-AVERAGE('The List'!T2:T727))/STDEV('The List'!T2:T727)</f>
        <v>-0.45294346762744542</v>
      </c>
      <c r="H468" s="39">
        <f>(VLOOKUP($A468,'The List'!$B1:$AH727,20,FALSE)-AVERAGE('The List'!U2:U727))/STDEV('The List'!U2:U727)</f>
        <v>-0.63793003004838378</v>
      </c>
      <c r="I468" s="39">
        <f>(VLOOKUP($A468,'The List'!$B1:$AH727,21,FALSE)-AVERAGE('The List'!V2:V727))/STDEV('The List'!V2:V727)</f>
        <v>-3.175384921028155E-2</v>
      </c>
      <c r="J468" s="39">
        <f>(VLOOKUP($A468,'The List'!$B1:$AH727,22,FALSE)-AVERAGE('The List'!W2:W727))/STDEV('The List'!W2:W727)</f>
        <v>-0.70832800332490597</v>
      </c>
      <c r="K468" s="39">
        <f>(VLOOKUP($A468,'The List'!$B1:$AH727,23,FALSE)-AVERAGE('The List'!X2:X727))/STDEV('The List'!X2:X727)</f>
        <v>-0.78322847194898881</v>
      </c>
      <c r="L468" s="39">
        <f>(VLOOKUP($A468,'The List'!$B1:$AH727,24,FALSE)-AVERAGE('The List'!Y2:Y727))/STDEV('The List'!Y2:Y727)</f>
        <v>0.32705008173127575</v>
      </c>
      <c r="M468" s="39">
        <f>(VLOOKUP($A468,'The List'!$B1:$AH727,25,FALSE)-AVERAGE('The List'!Z2:Z727))/STDEV('The List'!Z2:Z727)</f>
        <v>1.1872668502597723</v>
      </c>
      <c r="N468" s="39">
        <f>(VLOOKUP($A468,'The List'!$B1:$AH727,26,FALSE)-AVERAGE('The List'!AA2:AA727))/STDEV('The List'!AA2:AA727)</f>
        <v>1.8471857444200863</v>
      </c>
      <c r="O468" s="39">
        <f>(VLOOKUP($A468,'The List'!$B1:$AH727,27,FALSE)-AVERAGE('The List'!AB2:AB727))/STDEV('The List'!AB2:AB727)</f>
        <v>0.57789706895969206</v>
      </c>
      <c r="P468" s="39">
        <f>(VLOOKUP($A468,'The List'!$B1:$AH727,28,FALSE)-AVERAGE('The List'!AC2:AC727))/STDEV('The List'!AC2:AC727)</f>
        <v>3.9283897961309842E-2</v>
      </c>
      <c r="Q468" s="39">
        <f>(VLOOKUP($A468,'The List'!$B1:$AH727,29,FALSE)-AVERAGE('The List'!AD2:AD727))/STDEV('The List'!AD2:AD727)</f>
        <v>-0.45053713364924658</v>
      </c>
      <c r="R468" s="39">
        <f>(VLOOKUP($A468,'The List'!$B1:$AH727,30,FALSE)-AVERAGE('The List'!AE2:AE727))/STDEV('The List'!AE2:AE727)</f>
        <v>-0.70196111367839964</v>
      </c>
      <c r="S468" s="39">
        <f>(VLOOKUP($A468,'The List'!$B1:$AH727,31,FALSE)-AVERAGE('The List'!AF2:AF727))/STDEV('The List'!AF2:AF727)</f>
        <v>-0.55804314905918151</v>
      </c>
      <c r="T468" s="39">
        <f>(VLOOKUP($A468,'The List'!$B1:$AH727,32,FALSE)-AVERAGE('The List'!AG2:AG727))/STDEV('The List'!AG2:AG727)</f>
        <v>-0.60188453558131205</v>
      </c>
      <c r="U468" s="39">
        <f>(VLOOKUP($A468,'The List'!$B1:$AH727,33,FALSE)-AVERAGE('The List'!AH2:AH727))/STDEV('The List'!AH2:AH727)</f>
        <v>-1.2395873372913611</v>
      </c>
      <c r="V468" s="39"/>
      <c r="W468" s="41"/>
      <c r="X468" s="41"/>
      <c r="Y468" s="41"/>
      <c r="Z468" s="41"/>
      <c r="AA468" s="41"/>
      <c r="AB468" s="41"/>
      <c r="AC468" s="44"/>
      <c r="AD468" s="45"/>
      <c r="AE468" s="39"/>
    </row>
    <row r="469" spans="1:31" ht="21.25" customHeight="1" x14ac:dyDescent="0.15">
      <c r="A469" s="8" t="s">
        <v>719</v>
      </c>
      <c r="B469" s="35" t="str">
        <f>VLOOKUP(A469,'Player Data'!A1:B734,2,FALSE)</f>
        <v>PIT</v>
      </c>
      <c r="C469" s="37">
        <f>((E469)*Settings!$C$12)+(F469*Settings!$C$2)+(G469*Settings!$C$3)+(H469*Settings!$C$4)+(I469*Settings!$C$5)+(K469*Settings!$C$9)+(N469*Settings!$C$6)+(J469*Settings!$C$8)+(O469*Settings!$C$7)+(P469*Settings!$C$14)+(Q469*Settings!$C$15)+(R469*Settings!$C$16)+(S469*Settings!$C$17)+(T469*Settings!$C$18)+(U469*Settings!$C$19)</f>
        <v>-2.393163718691997</v>
      </c>
      <c r="D469" s="41">
        <f>IF(Settings!$E$12="YES",VLOOKUP(A469,'Player Data'!A1:E734,5,FALSE),82)</f>
        <v>79.252857142857096</v>
      </c>
      <c r="E469" s="39">
        <f>(VLOOKUP($A469,'The List'!$B1:$AH727,17,FALSE)-AVERAGE('The List'!R2:R727))/STDEV('The List'!R2:R727)</f>
        <v>-0.65823282749769829</v>
      </c>
      <c r="F469" s="39">
        <f>(VLOOKUP($A469,'The List'!$B1:$AH727,18,FALSE)-AVERAGE('The List'!S2:S727))/STDEV('The List'!S2:S727)</f>
        <v>-0.38905011335138751</v>
      </c>
      <c r="G469" s="39">
        <f>(VLOOKUP($A469,'The List'!$B1:$AH727,19,FALSE)-AVERAGE('The List'!T2:T727))/STDEV('The List'!T2:T727)</f>
        <v>-0.72950605355875497</v>
      </c>
      <c r="H469" s="39">
        <f>(VLOOKUP($A469,'The List'!$B1:$AH727,20,FALSE)-AVERAGE('The List'!U2:U727))/STDEV('The List'!U2:U727)</f>
        <v>-0.6265704943566498</v>
      </c>
      <c r="I469" s="39">
        <f>(VLOOKUP($A469,'The List'!$B1:$AH727,21,FALSE)-AVERAGE('The List'!V2:V727))/STDEV('The List'!V2:V727)</f>
        <v>-0.2038453146944032</v>
      </c>
      <c r="J469" s="39">
        <f>(VLOOKUP($A469,'The List'!$B1:$AH727,22,FALSE)-AVERAGE('The List'!W2:W727))/STDEV('The List'!W2:W727)</f>
        <v>-0.70462743643932979</v>
      </c>
      <c r="K469" s="39">
        <f>(VLOOKUP($A469,'The List'!$B1:$AH727,23,FALSE)-AVERAGE('The List'!X2:X727))/STDEV('The List'!X2:X727)</f>
        <v>-0.78640222663733228</v>
      </c>
      <c r="L469" s="39">
        <f>(VLOOKUP($A469,'The List'!$B1:$AH727,24,FALSE)-AVERAGE('The List'!Y2:Y727))/STDEV('The List'!Y2:Y727)</f>
        <v>0.47077296085733672</v>
      </c>
      <c r="M469" s="39">
        <f>(VLOOKUP($A469,'The List'!$B1:$AH727,25,FALSE)-AVERAGE('The List'!Z2:Z727))/STDEV('The List'!Z2:Z727)</f>
        <v>1.0192338010311136E-2</v>
      </c>
      <c r="N469" s="39">
        <f>(VLOOKUP($A469,'The List'!$B1:$AH727,26,FALSE)-AVERAGE('The List'!AA2:AA727))/STDEV('The List'!AA2:AA727)</f>
        <v>-0.53495052383607677</v>
      </c>
      <c r="O469" s="39">
        <f>(VLOOKUP($A469,'The List'!$B1:$AH727,27,FALSE)-AVERAGE('The List'!AB2:AB727))/STDEV('The List'!AB2:AB727)</f>
        <v>-5.2183621008244883E-2</v>
      </c>
      <c r="P469" s="39">
        <f>(VLOOKUP($A469,'The List'!$B1:$AH727,28,FALSE)-AVERAGE('The List'!AC2:AC727))/STDEV('The List'!AC2:AC727)</f>
        <v>0.25059051338595745</v>
      </c>
      <c r="Q469" s="39">
        <f>(VLOOKUP($A469,'The List'!$B1:$AH727,29,FALSE)-AVERAGE('The List'!AD2:AD727))/STDEV('The List'!AD2:AD727)</f>
        <v>0.3973974383169</v>
      </c>
      <c r="R469" s="39">
        <f>(VLOOKUP($A469,'The List'!$B1:$AH727,30,FALSE)-AVERAGE('The List'!AE2:AE727))/STDEV('The List'!AE2:AE727)</f>
        <v>-0.25140234453133803</v>
      </c>
      <c r="S469" s="39">
        <f>(VLOOKUP($A469,'The List'!$B1:$AH727,31,FALSE)-AVERAGE('The List'!AF2:AF727))/STDEV('The List'!AF2:AF727)</f>
        <v>1.817059276398145</v>
      </c>
      <c r="T469" s="39">
        <f>(VLOOKUP($A469,'The List'!$B1:$AH727,32,FALSE)-AVERAGE('The List'!AG2:AG727))/STDEV('The List'!AG2:AG727)</f>
        <v>1.7418655709167441</v>
      </c>
      <c r="U469" s="39">
        <f>(VLOOKUP($A469,'The List'!$B1:$AH727,33,FALSE)-AVERAGE('The List'!AH2:AH727))/STDEV('The List'!AH2:AH727)</f>
        <v>1.0915678604945862</v>
      </c>
      <c r="V469" s="39"/>
      <c r="W469" s="41"/>
      <c r="X469" s="39"/>
      <c r="Y469" s="39"/>
      <c r="Z469" s="39"/>
      <c r="AA469" s="39"/>
      <c r="AB469" s="39"/>
      <c r="AC469" s="39"/>
      <c r="AD469" s="39"/>
      <c r="AE469" s="39"/>
    </row>
    <row r="470" spans="1:31" ht="21.25" customHeight="1" x14ac:dyDescent="0.15">
      <c r="A470" s="8" t="s">
        <v>669</v>
      </c>
      <c r="B470" s="35" t="str">
        <f>VLOOKUP(A470,'Player Data'!A1:B734,2,FALSE)</f>
        <v>DET</v>
      </c>
      <c r="C470" s="37">
        <f>((E470)*Settings!$C$12)+(F470*Settings!$C$2)+(G470*Settings!$C$3)+(H470*Settings!$C$4)+(I470*Settings!$C$5)+(K470*Settings!$C$9)+(N470*Settings!$C$6)+(J470*Settings!$C$8)+(O470*Settings!$C$7)+(P470*Settings!$C$14)+(Q470*Settings!$C$15)+(R470*Settings!$C$16)+(S470*Settings!$C$17)+(T470*Settings!$C$18)+(U470*Settings!$C$19)</f>
        <v>-4.2995589108067716</v>
      </c>
      <c r="D470" s="41">
        <f>IF(Settings!$E$12="YES",VLOOKUP(A470,'Player Data'!A1:E734,5,FALSE),82)</f>
        <v>70</v>
      </c>
      <c r="E470" s="39">
        <f>(VLOOKUP($A470,'The List'!$B1:$AH727,17,FALSE)-AVERAGE('The List'!R2:R727))/STDEV('The List'!R2:R727)</f>
        <v>-1.0611533362585217</v>
      </c>
      <c r="F470" s="39">
        <f>(VLOOKUP($A470,'The List'!$B1:$AH727,18,FALSE)-AVERAGE('The List'!S2:S727))/STDEV('The List'!S2:S727)</f>
        <v>-0.44838710651058117</v>
      </c>
      <c r="G470" s="39">
        <f>(VLOOKUP($A470,'The List'!$B1:$AH727,19,FALSE)-AVERAGE('The List'!T2:T727))/STDEV('The List'!T2:T727)</f>
        <v>-0.86944239376597043</v>
      </c>
      <c r="H470" s="39">
        <f>(VLOOKUP($A470,'The List'!$B1:$AH727,20,FALSE)-AVERAGE('The List'!U2:U727))/STDEV('The List'!U2:U727)</f>
        <v>-0.73980260069653536</v>
      </c>
      <c r="I470" s="39">
        <f>(VLOOKUP($A470,'The List'!$B1:$AH727,21,FALSE)-AVERAGE('The List'!V2:V727))/STDEV('The List'!V2:V727)</f>
        <v>-0.63824918530864561</v>
      </c>
      <c r="J470" s="39">
        <f>(VLOOKUP($A470,'The List'!$B1:$AH727,22,FALSE)-AVERAGE('The List'!W2:W727))/STDEV('The List'!W2:W727)</f>
        <v>-0.68583103873246221</v>
      </c>
      <c r="K470" s="39">
        <f>(VLOOKUP($A470,'The List'!$B1:$AH727,23,FALSE)-AVERAGE('The List'!X2:X727))/STDEV('The List'!X2:X727)</f>
        <v>-0.77247358157519874</v>
      </c>
      <c r="L470" s="39">
        <f>(VLOOKUP($A470,'The List'!$B1:$AH727,24,FALSE)-AVERAGE('The List'!Y2:Y727))/STDEV('The List'!Y2:Y727)</f>
        <v>2.1006993642656971E-2</v>
      </c>
      <c r="M470" s="39">
        <f>(VLOOKUP($A470,'The List'!$B1:$AH727,25,FALSE)-AVERAGE('The List'!Z2:Z727))/STDEV('The List'!Z2:Z727)</f>
        <v>-0.32201067356503443</v>
      </c>
      <c r="N470" s="39">
        <f>(VLOOKUP($A470,'The List'!$B1:$AH727,26,FALSE)-AVERAGE('The List'!AA2:AA727))/STDEV('The List'!AA2:AA727)</f>
        <v>-0.79749213714429201</v>
      </c>
      <c r="O470" s="39">
        <f>(VLOOKUP($A470,'The List'!$B1:$AH727,27,FALSE)-AVERAGE('The List'!AB2:AB727))/STDEV('The List'!AB2:AB727)</f>
        <v>0.33755987533606296</v>
      </c>
      <c r="P470" s="39">
        <f>(VLOOKUP($A470,'The List'!$B1:$AH727,28,FALSE)-AVERAGE('The List'!AC2:AC727))/STDEV('The List'!AC2:AC727)</f>
        <v>-0.77351450650208387</v>
      </c>
      <c r="Q470" s="39">
        <f>(VLOOKUP($A470,'The List'!$B1:$AH727,29,FALSE)-AVERAGE('The List'!AD2:AD727))/STDEV('The List'!AD2:AD727)</f>
        <v>-1.081308968889074</v>
      </c>
      <c r="R470" s="39">
        <f>(VLOOKUP($A470,'The List'!$B1:$AH727,30,FALSE)-AVERAGE('The List'!AE2:AE727))/STDEV('The List'!AE2:AE727)</f>
        <v>-0.47900840333507733</v>
      </c>
      <c r="S470" s="39">
        <f>(VLOOKUP($A470,'The List'!$B1:$AH727,31,FALSE)-AVERAGE('The List'!AF2:AF727))/STDEV('The List'!AF2:AF727)</f>
        <v>-0.47490176504157955</v>
      </c>
      <c r="T470" s="39">
        <f>(VLOOKUP($A470,'The List'!$B1:$AH727,32,FALSE)-AVERAGE('The List'!AG2:AG727))/STDEV('The List'!AG2:AG727)</f>
        <v>-0.38028591686679003</v>
      </c>
      <c r="U470" s="39">
        <f>(VLOOKUP($A470,'The List'!$B1:$AH727,33,FALSE)-AVERAGE('The List'!AH2:AH727))/STDEV('The List'!AH2:AH727)</f>
        <v>3.8950199555393923E-2</v>
      </c>
      <c r="V470" s="39"/>
      <c r="W470" s="41"/>
      <c r="X470" s="41"/>
      <c r="Y470" s="41"/>
      <c r="Z470" s="41"/>
      <c r="AA470" s="41"/>
      <c r="AB470" s="41"/>
      <c r="AC470" s="44"/>
      <c r="AD470" s="45"/>
      <c r="AE470" s="39"/>
    </row>
    <row r="471" spans="1:31" ht="21.25" customHeight="1" x14ac:dyDescent="0.15">
      <c r="A471" s="8" t="s">
        <v>716</v>
      </c>
      <c r="B471" s="35" t="str">
        <f>VLOOKUP(A471,'Player Data'!A1:B734,2,FALSE)</f>
        <v>ANA</v>
      </c>
      <c r="C471" s="37">
        <f>((E471)*Settings!$C$12)+(F471*Settings!$C$2)+(G471*Settings!$C$3)+(H471*Settings!$C$4)+(I471*Settings!$C$5)+(K471*Settings!$C$9)+(N471*Settings!$C$6)+(J471*Settings!$C$8)+(O471*Settings!$C$7)+(P471*Settings!$C$14)+(Q471*Settings!$C$15)+(R471*Settings!$C$16)+(S471*Settings!$C$17)+(T471*Settings!$C$18)+(U471*Settings!$C$19)</f>
        <v>-5.8164850045080181</v>
      </c>
      <c r="D471" s="41">
        <f>IF(Settings!$E$12="YES",VLOOKUP(A471,'Player Data'!A1:E734,5,FALSE),82)</f>
        <v>67.258214285714303</v>
      </c>
      <c r="E471" s="39">
        <f>(VLOOKUP($A471,'The List'!$B1:$AH727,17,FALSE)-AVERAGE('The List'!R2:R727))/STDEV('The List'!R2:R727)</f>
        <v>-1.3041923476778505</v>
      </c>
      <c r="F471" s="39">
        <f>(VLOOKUP($A471,'The List'!$B1:$AH727,18,FALSE)-AVERAGE('The List'!S2:S727))/STDEV('The List'!S2:S727)</f>
        <v>-0.45826806913007656</v>
      </c>
      <c r="G471" s="39">
        <f>(VLOOKUP($A471,'The List'!$B1:$AH727,19,FALSE)-AVERAGE('The List'!T2:T727))/STDEV('The List'!T2:T727)</f>
        <v>-0.92344582604876568</v>
      </c>
      <c r="H471" s="39">
        <f>(VLOOKUP($A471,'The List'!$B1:$AH727,20,FALSE)-AVERAGE('The List'!U2:U727))/STDEV('The List'!U2:U727)</f>
        <v>-0.77757646923547363</v>
      </c>
      <c r="I471" s="39">
        <f>(VLOOKUP($A471,'The List'!$B1:$AH727,21,FALSE)-AVERAGE('The List'!V2:V727))/STDEV('The List'!V2:V727)</f>
        <v>-0.6270918342758306</v>
      </c>
      <c r="J471" s="39">
        <f>(VLOOKUP($A471,'The List'!$B1:$AH727,22,FALSE)-AVERAGE('The List'!W2:W727))/STDEV('The List'!W2:W727)</f>
        <v>-0.59853872877304115</v>
      </c>
      <c r="K471" s="39">
        <f>(VLOOKUP($A471,'The List'!$B1:$AH727,23,FALSE)-AVERAGE('The List'!X2:X727))/STDEV('The List'!X2:X727)</f>
        <v>-0.71820839644716361</v>
      </c>
      <c r="L471" s="39">
        <f>(VLOOKUP($A471,'The List'!$B1:$AH727,24,FALSE)-AVERAGE('The List'!Y2:Y727))/STDEV('The List'!Y2:Y727)</f>
        <v>-0.48977240978158099</v>
      </c>
      <c r="M471" s="39">
        <f>(VLOOKUP($A471,'The List'!$B1:$AH727,25,FALSE)-AVERAGE('The List'!Z2:Z727))/STDEV('The List'!Z2:Z727)</f>
        <v>-0.66255901185123867</v>
      </c>
      <c r="N471" s="39">
        <f>(VLOOKUP($A471,'The List'!$B1:$AH727,26,FALSE)-AVERAGE('The List'!AA2:AA727))/STDEV('The List'!AA2:AA727)</f>
        <v>-1.0528061405674529</v>
      </c>
      <c r="O471" s="39">
        <f>(VLOOKUP($A471,'The List'!$B1:$AH727,27,FALSE)-AVERAGE('The List'!AB2:AB727))/STDEV('The List'!AB2:AB727)</f>
        <v>0.13029286145604219</v>
      </c>
      <c r="P471" s="39">
        <f>(VLOOKUP($A471,'The List'!$B1:$AH727,28,FALSE)-AVERAGE('The List'!AC2:AC727))/STDEV('The List'!AC2:AC727)</f>
        <v>-2.0366647380387288</v>
      </c>
      <c r="Q471" s="39">
        <f>(VLOOKUP($A471,'The List'!$B1:$AH727,29,FALSE)-AVERAGE('The List'!AD2:AD727))/STDEV('The List'!AD2:AD727)</f>
        <v>0.99020332524065313</v>
      </c>
      <c r="R471" s="39">
        <f>(VLOOKUP($A471,'The List'!$B1:$AH727,30,FALSE)-AVERAGE('The List'!AE2:AE727))/STDEV('The List'!AE2:AE727)</f>
        <v>-0.60035609929146116</v>
      </c>
      <c r="S471" s="39">
        <f>(VLOOKUP($A471,'The List'!$B1:$AH727,31,FALSE)-AVERAGE('The List'!AF2:AF727))/STDEV('The List'!AF2:AF727)</f>
        <v>-0.51457348234840794</v>
      </c>
      <c r="T471" s="39">
        <f>(VLOOKUP($A471,'The List'!$B1:$AH727,32,FALSE)-AVERAGE('The List'!AG2:AG727))/STDEV('The List'!AG2:AG727)</f>
        <v>-0.55006353466206703</v>
      </c>
      <c r="U471" s="39">
        <f>(VLOOKUP($A471,'The List'!$B1:$AH727,33,FALSE)-AVERAGE('The List'!AH2:AH727))/STDEV('The List'!AH2:AH727)</f>
        <v>0.87828368336030649</v>
      </c>
      <c r="V471" s="39"/>
      <c r="W471" s="43"/>
      <c r="X471" s="41"/>
      <c r="Y471" s="41"/>
      <c r="Z471" s="41"/>
      <c r="AA471" s="41"/>
      <c r="AB471" s="41"/>
      <c r="AC471" s="44"/>
      <c r="AD471" s="45"/>
      <c r="AE471" s="39"/>
    </row>
    <row r="472" spans="1:31" ht="21.25" customHeight="1" x14ac:dyDescent="0.15">
      <c r="A472" s="8" t="s">
        <v>789</v>
      </c>
      <c r="B472" s="35" t="str">
        <f>VLOOKUP(A472,'Player Data'!A1:B734,2,FALSE)</f>
        <v>VAN</v>
      </c>
      <c r="C472" s="37">
        <f>((E472)*Settings!$C$12)+(F472*Settings!$C$2)+(G472*Settings!$C$3)+(H472*Settings!$C$4)+(I472*Settings!$C$5)+(K472*Settings!$C$9)+(N472*Settings!$C$6)+(J472*Settings!$C$8)+(O472*Settings!$C$7)+(P472*Settings!$C$14)+(Q472*Settings!$C$15)+(R472*Settings!$C$16)+(S472*Settings!$C$17)+(T472*Settings!$C$18)+(U472*Settings!$C$19)</f>
        <v>-4.2498894537438119</v>
      </c>
      <c r="D472" s="41">
        <f>IF(Settings!$E$12="YES",VLOOKUP(A472,'Player Data'!A1:E734,5,FALSE),82)</f>
        <v>67.904642857142903</v>
      </c>
      <c r="E472" s="39">
        <f>(VLOOKUP($A472,'The List'!$B1:$AH727,17,FALSE)-AVERAGE('The List'!R2:R727))/STDEV('The List'!R2:R727)</f>
        <v>-1.4044040707214116</v>
      </c>
      <c r="F472" s="39">
        <f>(VLOOKUP($A472,'The List'!$B1:$AH727,18,FALSE)-AVERAGE('The List'!S2:S727))/STDEV('The List'!S2:S727)</f>
        <v>-0.49509753443027898</v>
      </c>
      <c r="G472" s="39">
        <f>(VLOOKUP($A472,'The List'!$B1:$AH727,19,FALSE)-AVERAGE('The List'!T2:T727))/STDEV('The List'!T2:T727)</f>
        <v>-0.88596753607743828</v>
      </c>
      <c r="H472" s="39">
        <f>(VLOOKUP($A472,'The List'!$B1:$AH727,20,FALSE)-AVERAGE('The List'!U2:U727))/STDEV('The List'!U2:U727)</f>
        <v>-0.77124171322310753</v>
      </c>
      <c r="I472" s="39">
        <f>(VLOOKUP($A472,'The List'!$B1:$AH727,21,FALSE)-AVERAGE('The List'!V2:V727))/STDEV('The List'!V2:V727)</f>
        <v>-1.1018888615377156</v>
      </c>
      <c r="J472" s="39">
        <f>(VLOOKUP($A472,'The List'!$B1:$AH727,22,FALSE)-AVERAGE('The List'!W2:W727))/STDEV('The List'!W2:W727)</f>
        <v>-0.6573095508885417</v>
      </c>
      <c r="K472" s="39">
        <f>(VLOOKUP($A472,'The List'!$B1:$AH727,23,FALSE)-AVERAGE('The List'!X2:X727))/STDEV('The List'!X2:X727)</f>
        <v>-0.76399517538026063</v>
      </c>
      <c r="L472" s="39">
        <f>(VLOOKUP($A472,'The List'!$B1:$AH727,24,FALSE)-AVERAGE('The List'!Y2:Y727))/STDEV('The List'!Y2:Y727)</f>
        <v>0.41889196506054316</v>
      </c>
      <c r="M472" s="39">
        <f>(VLOOKUP($A472,'The List'!$B1:$AH727,25,FALSE)-AVERAGE('The List'!Z2:Z727))/STDEV('The List'!Z2:Z727)</f>
        <v>-3.8790096108134352E-2</v>
      </c>
      <c r="N472" s="39">
        <f>(VLOOKUP($A472,'The List'!$B1:$AH727,26,FALSE)-AVERAGE('The List'!AA2:AA727))/STDEV('The List'!AA2:AA727)</f>
        <v>-0.83326046382444618</v>
      </c>
      <c r="O472" s="39">
        <f>(VLOOKUP($A472,'The List'!$B1:$AH727,27,FALSE)-AVERAGE('The List'!AB2:AB727))/STDEV('The List'!AB2:AB727)</f>
        <v>1.8372553440477888</v>
      </c>
      <c r="P472" s="39">
        <f>(VLOOKUP($A472,'The List'!$B1:$AH727,28,FALSE)-AVERAGE('The List'!AC2:AC727))/STDEV('The List'!AC2:AC727)</f>
        <v>-0.169679882493672</v>
      </c>
      <c r="Q472" s="39">
        <f>(VLOOKUP($A472,'The List'!$B1:$AH727,29,FALSE)-AVERAGE('The List'!AD2:AD727))/STDEV('The List'!AD2:AD727)</f>
        <v>0.30796479009860928</v>
      </c>
      <c r="R472" s="39">
        <f>(VLOOKUP($A472,'The List'!$B1:$AH727,30,FALSE)-AVERAGE('The List'!AE2:AE727))/STDEV('The List'!AE2:AE727)</f>
        <v>-0.45344089442247565</v>
      </c>
      <c r="S472" s="39">
        <f>(VLOOKUP($A472,'The List'!$B1:$AH727,31,FALSE)-AVERAGE('The List'!AF2:AF727))/STDEV('The List'!AF2:AF727)</f>
        <v>-0.41120595276667393</v>
      </c>
      <c r="T472" s="39">
        <f>(VLOOKUP($A472,'The List'!$B1:$AH727,32,FALSE)-AVERAGE('The List'!AG2:AG727))/STDEV('The List'!AG2:AG727)</f>
        <v>-0.46865698548851209</v>
      </c>
      <c r="U472" s="39">
        <f>(VLOOKUP($A472,'The List'!$B1:$AH727,33,FALSE)-AVERAGE('The List'!AH2:AH727))/STDEV('The List'!AH2:AH727)</f>
        <v>1.1861384317055899</v>
      </c>
      <c r="V472" s="39"/>
      <c r="W472" s="41"/>
      <c r="X472" s="39"/>
      <c r="Y472" s="39"/>
      <c r="Z472" s="39"/>
      <c r="AA472" s="39"/>
      <c r="AB472" s="39"/>
      <c r="AC472" s="39"/>
      <c r="AD472" s="39"/>
      <c r="AE472" s="39"/>
    </row>
    <row r="473" spans="1:31" ht="21.25" customHeight="1" x14ac:dyDescent="0.15">
      <c r="A473" s="8" t="s">
        <v>494</v>
      </c>
      <c r="B473" s="35" t="str">
        <f>VLOOKUP(A473,'Player Data'!A1:B734,2,FALSE)</f>
        <v>BUF</v>
      </c>
      <c r="C473" s="37">
        <f>((E473)*Settings!$C$12)+(F473*Settings!$C$2)+(G473*Settings!$C$3)+(H473*Settings!$C$4)+(I473*Settings!$C$5)+(K473*Settings!$C$9)+(N473*Settings!$C$6)+(J473*Settings!$C$8)+(O473*Settings!$C$7)+(P473*Settings!$C$14)+(Q473*Settings!$C$15)+(R473*Settings!$C$16)+(S473*Settings!$C$17)+(T473*Settings!$C$18)+(U473*Settings!$C$19)</f>
        <v>-1.9394881924668739</v>
      </c>
      <c r="D473" s="41">
        <f>IF(Settings!$E$12="YES",VLOOKUP(A473,'Player Data'!A1:E734,5,FALSE),82)</f>
        <v>68.4375</v>
      </c>
      <c r="E473" s="39">
        <f>(VLOOKUP($A473,'The List'!$B1:$AH727,17,FALSE)-AVERAGE('The List'!R2:R727))/STDEV('The List'!R2:R727)</f>
        <v>1.5408663476835349</v>
      </c>
      <c r="F473" s="39">
        <f>(VLOOKUP($A473,'The List'!$B1:$AH727,18,FALSE)-AVERAGE('The List'!S2:S727))/STDEV('The List'!S2:S727)</f>
        <v>-0.99958995242899817</v>
      </c>
      <c r="G473" s="39">
        <f>(VLOOKUP($A473,'The List'!$B1:$AH727,19,FALSE)-AVERAGE('The List'!T2:T727))/STDEV('The List'!T2:T727)</f>
        <v>-0.50759477496702354</v>
      </c>
      <c r="H473" s="39">
        <f>(VLOOKUP($A473,'The List'!$B1:$AH727,20,FALSE)-AVERAGE('The List'!U2:U727))/STDEV('The List'!U2:U727)</f>
        <v>-0.76766055328491001</v>
      </c>
      <c r="I473" s="39">
        <f>(VLOOKUP($A473,'The List'!$B1:$AH727,21,FALSE)-AVERAGE('The List'!V2:V727))/STDEV('The List'!V2:V727)</f>
        <v>-0.59263867395372904</v>
      </c>
      <c r="J473" s="39">
        <f>(VLOOKUP($A473,'The List'!$B1:$AH727,22,FALSE)-AVERAGE('The List'!W2:W727))/STDEV('The List'!W2:W727)</f>
        <v>-0.70533637155390427</v>
      </c>
      <c r="K473" s="39">
        <f>(VLOOKUP($A473,'The List'!$B1:$AH727,23,FALSE)-AVERAGE('The List'!X2:X727))/STDEV('The List'!X2:X727)</f>
        <v>-0.7844745113098599</v>
      </c>
      <c r="L473" s="39">
        <f>(VLOOKUP($A473,'The List'!$B1:$AH727,24,FALSE)-AVERAGE('The List'!Y2:Y727))/STDEV('The List'!Y2:Y727)</f>
        <v>-0.47536098425896678</v>
      </c>
      <c r="M473" s="39">
        <f>(VLOOKUP($A473,'The List'!$B1:$AH727,25,FALSE)-AVERAGE('The List'!Z2:Z727))/STDEV('The List'!Z2:Z727)</f>
        <v>0.31261374186075463</v>
      </c>
      <c r="N473" s="39">
        <f>(VLOOKUP($A473,'The List'!$B1:$AH727,26,FALSE)-AVERAGE('The List'!AA2:AA727))/STDEV('The List'!AA2:AA727)</f>
        <v>1.4163859978178559</v>
      </c>
      <c r="O473" s="39">
        <f>(VLOOKUP($A473,'The List'!$B1:$AH727,27,FALSE)-AVERAGE('The List'!AB2:AB727))/STDEV('The List'!AB2:AB727)</f>
        <v>0.77314933563690047</v>
      </c>
      <c r="P473" s="39">
        <f>(VLOOKUP($A473,'The List'!$B1:$AH727,28,FALSE)-AVERAGE('The List'!AC2:AC727))/STDEV('The List'!AC2:AC727)</f>
        <v>-0.47157627762511967</v>
      </c>
      <c r="Q473" s="39">
        <f>(VLOOKUP($A473,'The List'!$B1:$AH727,29,FALSE)-AVERAGE('The List'!AD2:AD727))/STDEV('The List'!AD2:AD727)</f>
        <v>-0.15065161255603093</v>
      </c>
      <c r="R473" s="39">
        <f>(VLOOKUP($A473,'The List'!$B1:$AH727,30,FALSE)-AVERAGE('The List'!AE2:AE727))/STDEV('The List'!AE2:AE727)</f>
        <v>-0.94434736200070879</v>
      </c>
      <c r="S473" s="39">
        <f>(VLOOKUP($A473,'The List'!$B1:$AH727,31,FALSE)-AVERAGE('The List'!AF2:AF727))/STDEV('The List'!AF2:AF727)</f>
        <v>-0.55804314905918151</v>
      </c>
      <c r="T473" s="39">
        <f>(VLOOKUP($A473,'The List'!$B1:$AH727,32,FALSE)-AVERAGE('The List'!AG2:AG727))/STDEV('The List'!AG2:AG727)</f>
        <v>-0.60188453558131205</v>
      </c>
      <c r="U473" s="39">
        <f>(VLOOKUP($A473,'The List'!$B1:$AH727,33,FALSE)-AVERAGE('The List'!AH2:AH727))/STDEV('The List'!AH2:AH727)</f>
        <v>-1.2395873372913611</v>
      </c>
      <c r="V473" s="39"/>
      <c r="W473" s="43"/>
      <c r="X473" s="41"/>
      <c r="Y473" s="41"/>
      <c r="Z473" s="41"/>
      <c r="AA473" s="41"/>
      <c r="AB473" s="41"/>
      <c r="AC473" s="44"/>
      <c r="AD473" s="45"/>
      <c r="AE473" s="39"/>
    </row>
    <row r="474" spans="1:31" ht="21.25" customHeight="1" x14ac:dyDescent="0.15">
      <c r="A474" s="8" t="s">
        <v>731</v>
      </c>
      <c r="B474" s="35" t="str">
        <f>VLOOKUP(A474,'Player Data'!A1:B734,2,FALSE)</f>
        <v>DAL</v>
      </c>
      <c r="C474" s="37">
        <f>((E474)*Settings!$C$12)+(F474*Settings!$C$2)+(G474*Settings!$C$3)+(H474*Settings!$C$4)+(I474*Settings!$C$5)+(K474*Settings!$C$9)+(N474*Settings!$C$6)+(J474*Settings!$C$8)+(O474*Settings!$C$7)+(P474*Settings!$C$14)+(Q474*Settings!$C$15)+(R474*Settings!$C$16)+(S474*Settings!$C$17)+(T474*Settings!$C$18)+(U474*Settings!$C$19)</f>
        <v>-1.8725021853058845</v>
      </c>
      <c r="D474" s="41">
        <f>IF(Settings!$E$12="YES",VLOOKUP(A474,'Player Data'!A1:E734,5,FALSE),82)</f>
        <v>77.442142857142898</v>
      </c>
      <c r="E474" s="39">
        <f>(VLOOKUP($A474,'The List'!$B1:$AH727,17,FALSE)-AVERAGE('The List'!R2:R727))/STDEV('The List'!R2:R727)</f>
        <v>-1.5449311574634268</v>
      </c>
      <c r="F474" s="39">
        <f>(VLOOKUP($A474,'The List'!$B1:$AH727,18,FALSE)-AVERAGE('The List'!S2:S727))/STDEV('The List'!S2:S727)</f>
        <v>-0.28666997299459324</v>
      </c>
      <c r="G474" s="39">
        <f>(VLOOKUP($A474,'The List'!$B1:$AH727,19,FALSE)-AVERAGE('The List'!T2:T727))/STDEV('The List'!T2:T727)</f>
        <v>-0.88141260595815552</v>
      </c>
      <c r="H474" s="39">
        <f>(VLOOKUP($A474,'The List'!$B1:$AH727,20,FALSE)-AVERAGE('The List'!U2:U727))/STDEV('The List'!U2:U727)</f>
        <v>-0.67358734025123812</v>
      </c>
      <c r="I474" s="39">
        <f>(VLOOKUP($A474,'The List'!$B1:$AH727,21,FALSE)-AVERAGE('The List'!V2:V727))/STDEV('The List'!V2:V727)</f>
        <v>-0.13646759348426471</v>
      </c>
      <c r="J474" s="39">
        <f>(VLOOKUP($A474,'The List'!$B1:$AH727,22,FALSE)-AVERAGE('The List'!W2:W727))/STDEV('The List'!W2:W727)</f>
        <v>-0.69888221561464947</v>
      </c>
      <c r="K474" s="39">
        <f>(VLOOKUP($A474,'The List'!$B1:$AH727,23,FALSE)-AVERAGE('The List'!X2:X727))/STDEV('The List'!X2:X727)</f>
        <v>-0.78441901637952993</v>
      </c>
      <c r="L474" s="39">
        <f>(VLOOKUP($A474,'The List'!$B1:$AH727,24,FALSE)-AVERAGE('The List'!Y2:Y727))/STDEV('The List'!Y2:Y727)</f>
        <v>-0.54181816986375297</v>
      </c>
      <c r="M474" s="39">
        <f>(VLOOKUP($A474,'The List'!$B1:$AH727,25,FALSE)-AVERAGE('The List'!Z2:Z727))/STDEV('The List'!Z2:Z727)</f>
        <v>-0.72123808926344124</v>
      </c>
      <c r="N474" s="39">
        <f>(VLOOKUP($A474,'The List'!$B1:$AH727,26,FALSE)-AVERAGE('The List'!AA2:AA727))/STDEV('The List'!AA2:AA727)</f>
        <v>-0.86460189824504496</v>
      </c>
      <c r="O474" s="39">
        <f>(VLOOKUP($A474,'The List'!$B1:$AH727,27,FALSE)-AVERAGE('The List'!AB2:AB727))/STDEV('The List'!AB2:AB727)</f>
        <v>-0.3226108491310396</v>
      </c>
      <c r="P474" s="39">
        <f>(VLOOKUP($A474,'The List'!$B1:$AH727,28,FALSE)-AVERAGE('The List'!AC2:AC727))/STDEV('The List'!AC2:AC727)</f>
        <v>1.0810689017557038</v>
      </c>
      <c r="Q474" s="39">
        <f>(VLOOKUP($A474,'The List'!$B1:$AH727,29,FALSE)-AVERAGE('The List'!AD2:AD727))/STDEV('The List'!AD2:AD727)</f>
        <v>-0.68125222122709495</v>
      </c>
      <c r="R474" s="39">
        <f>(VLOOKUP($A474,'The List'!$B1:$AH727,30,FALSE)-AVERAGE('The List'!AE2:AE727))/STDEV('The List'!AE2:AE727)</f>
        <v>-0.13941842566427945</v>
      </c>
      <c r="S474" s="39">
        <f>(VLOOKUP($A474,'The List'!$B1:$AH727,31,FALSE)-AVERAGE('The List'!AF2:AF727))/STDEV('The List'!AF2:AF727)</f>
        <v>-0.53863823045346226</v>
      </c>
      <c r="T474" s="39">
        <f>(VLOOKUP($A474,'The List'!$B1:$AH727,32,FALSE)-AVERAGE('The List'!AG2:AG727))/STDEV('The List'!AG2:AG727)</f>
        <v>-0.55823985949529809</v>
      </c>
      <c r="U474" s="39">
        <f>(VLOOKUP($A474,'The List'!$B1:$AH727,33,FALSE)-AVERAGE('The List'!AH2:AH727))/STDEV('The List'!AH2:AH727)</f>
        <v>0.2001328392697615</v>
      </c>
      <c r="V474" s="39"/>
      <c r="W474" s="43"/>
      <c r="X474" s="41"/>
      <c r="Y474" s="41"/>
      <c r="Z474" s="41"/>
      <c r="AA474" s="41"/>
      <c r="AB474" s="41"/>
      <c r="AC474" s="44"/>
      <c r="AD474" s="45"/>
      <c r="AE474" s="39"/>
    </row>
    <row r="475" spans="1:31" ht="21.25" customHeight="1" x14ac:dyDescent="0.15">
      <c r="A475" s="8" t="s">
        <v>814</v>
      </c>
      <c r="B475" s="35" t="str">
        <f>VLOOKUP(A475,'Player Data'!A1:B734,2,FALSE)</f>
        <v>MIN</v>
      </c>
      <c r="C475" s="37">
        <f>((E475)*Settings!$C$12)+(F475*Settings!$C$2)+(G475*Settings!$C$3)+(H475*Settings!$C$4)+(I475*Settings!$C$5)+(K475*Settings!$C$9)+(N475*Settings!$C$6)+(J475*Settings!$C$8)+(O475*Settings!$C$7)+(P475*Settings!$C$14)+(Q475*Settings!$C$15)+(R475*Settings!$C$16)+(S475*Settings!$C$17)+(T475*Settings!$C$18)+(U475*Settings!$C$19)</f>
        <v>-4.6394339102182034</v>
      </c>
      <c r="D475" s="41">
        <f>IF(Settings!$E$12="YES",VLOOKUP(A475,'Player Data'!A1:E734,5,FALSE),82)</f>
        <v>51.647500000000001</v>
      </c>
      <c r="E475" s="39">
        <f>(VLOOKUP($A475,'The List'!$B1:$AH727,17,FALSE)-AVERAGE('The List'!R2:R727))/STDEV('The List'!R2:R727)</f>
        <v>-0.96363984680715509</v>
      </c>
      <c r="F475" s="39">
        <f>(VLOOKUP($A475,'The List'!$B1:$AH727,18,FALSE)-AVERAGE('The List'!S2:S727))/STDEV('The List'!S2:S727)</f>
        <v>-0.76247017678288842</v>
      </c>
      <c r="G475" s="39">
        <f>(VLOOKUP($A475,'The List'!$B1:$AH727,19,FALSE)-AVERAGE('The List'!T2:T727))/STDEV('The List'!T2:T727)</f>
        <v>-1.0283646623633071</v>
      </c>
      <c r="H475" s="39">
        <f>(VLOOKUP($A475,'The List'!$B1:$AH727,20,FALSE)-AVERAGE('The List'!U2:U727))/STDEV('The List'!U2:U727)</f>
        <v>-0.9806594170996239</v>
      </c>
      <c r="I475" s="39">
        <f>(VLOOKUP($A475,'The List'!$B1:$AH727,21,FALSE)-AVERAGE('The List'!V2:V727))/STDEV('The List'!V2:V727)</f>
        <v>-1.2547718881988132</v>
      </c>
      <c r="J475" s="39">
        <f>(VLOOKUP($A475,'The List'!$B1:$AH727,22,FALSE)-AVERAGE('The List'!W2:W727))/STDEV('The List'!W2:W727)</f>
        <v>-0.52661255399264528</v>
      </c>
      <c r="K475" s="39">
        <f>(VLOOKUP($A475,'The List'!$B1:$AH727,23,FALSE)-AVERAGE('The List'!X2:X727))/STDEV('The List'!X2:X727)</f>
        <v>-0.62404712746605029</v>
      </c>
      <c r="L475" s="39">
        <f>(VLOOKUP($A475,'The List'!$B1:$AH727,24,FALSE)-AVERAGE('The List'!Y2:Y727))/STDEV('The List'!Y2:Y727)</f>
        <v>-0.4390870468417486</v>
      </c>
      <c r="M475" s="39">
        <f>(VLOOKUP($A475,'The List'!$B1:$AH727,25,FALSE)-AVERAGE('The List'!Z2:Z727))/STDEV('The List'!Z2:Z727)</f>
        <v>-0.60777581503326705</v>
      </c>
      <c r="N475" s="39">
        <f>(VLOOKUP($A475,'The List'!$B1:$AH727,26,FALSE)-AVERAGE('The List'!AA2:AA727))/STDEV('The List'!AA2:AA727)</f>
        <v>-0.92368511962780109</v>
      </c>
      <c r="O475" s="39">
        <f>(VLOOKUP($A475,'The List'!$B1:$AH727,27,FALSE)-AVERAGE('The List'!AB2:AB727))/STDEV('The List'!AB2:AB727)</f>
        <v>-1.017650566605288</v>
      </c>
      <c r="P475" s="39">
        <f>(VLOOKUP($A475,'The List'!$B1:$AH727,28,FALSE)-AVERAGE('The List'!AC2:AC727))/STDEV('The List'!AC2:AC727)</f>
        <v>-4.6094935779343676E-2</v>
      </c>
      <c r="Q475" s="39">
        <f>(VLOOKUP($A475,'The List'!$B1:$AH727,29,FALSE)-AVERAGE('The List'!AD2:AD727))/STDEV('The List'!AD2:AD727)</f>
        <v>-0.76699546642456484</v>
      </c>
      <c r="R475" s="39">
        <f>(VLOOKUP($A475,'The List'!$B1:$AH727,30,FALSE)-AVERAGE('The List'!AE2:AE727))/STDEV('The List'!AE2:AE727)</f>
        <v>-0.63465126694849794</v>
      </c>
      <c r="S475" s="39">
        <f>(VLOOKUP($A475,'The List'!$B1:$AH727,31,FALSE)-AVERAGE('The List'!AF2:AF727))/STDEV('The List'!AF2:AF727)</f>
        <v>0.36538319946524411</v>
      </c>
      <c r="T475" s="39">
        <f>(VLOOKUP($A475,'The List'!$B1:$AH727,32,FALSE)-AVERAGE('The List'!AG2:AG727))/STDEV('The List'!AG2:AG727)</f>
        <v>0.55016844649516394</v>
      </c>
      <c r="U475" s="39">
        <f>(VLOOKUP($A475,'The List'!$B1:$AH727,33,FALSE)-AVERAGE('The List'!AH2:AH727))/STDEV('The List'!AH2:AH727)</f>
        <v>0.82719973934074909</v>
      </c>
      <c r="V475" s="39"/>
      <c r="W475" s="43"/>
      <c r="X475" s="41"/>
      <c r="Y475" s="41"/>
      <c r="Z475" s="41"/>
      <c r="AA475" s="41"/>
      <c r="AB475" s="41"/>
      <c r="AC475" s="44"/>
      <c r="AD475" s="45"/>
      <c r="AE475" s="39"/>
    </row>
    <row r="476" spans="1:31" ht="21.25" customHeight="1" x14ac:dyDescent="0.15">
      <c r="A476" s="8" t="s">
        <v>442</v>
      </c>
      <c r="B476" s="35" t="str">
        <f>VLOOKUP(A476,'Player Data'!A1:B734,2,FALSE)</f>
        <v>WSH</v>
      </c>
      <c r="C476" s="37">
        <f>((E476)*Settings!$C$12)+(F476*Settings!$C$2)+(G476*Settings!$C$3)+(H476*Settings!$C$4)+(I476*Settings!$C$5)+(K476*Settings!$C$9)+(N476*Settings!$C$6)+(J476*Settings!$C$8)+(O476*Settings!$C$7)+(P476*Settings!$C$14)+(Q476*Settings!$C$15)+(R476*Settings!$C$16)+(S476*Settings!$C$17)+(T476*Settings!$C$18)+(U476*Settings!$C$19)</f>
        <v>-1.6373771482128763</v>
      </c>
      <c r="D476" s="41">
        <f>IF(Settings!$E$12="YES",VLOOKUP(A476,'Player Data'!A1:E734,5,FALSE),82)</f>
        <v>77.454999999999998</v>
      </c>
      <c r="E476" s="39">
        <f>(VLOOKUP($A476,'The List'!$B1:$AH727,17,FALSE)-AVERAGE('The List'!R2:R727))/STDEV('The List'!R2:R727)</f>
        <v>1.022961752473049</v>
      </c>
      <c r="F476" s="39">
        <f>(VLOOKUP($A476,'The List'!$B1:$AH727,18,FALSE)-AVERAGE('The List'!S2:S727))/STDEV('The List'!S2:S727)</f>
        <v>-0.57101411250904566</v>
      </c>
      <c r="G476" s="39">
        <f>(VLOOKUP($A476,'The List'!$B1:$AH727,19,FALSE)-AVERAGE('The List'!T2:T727))/STDEV('The List'!T2:T727)</f>
        <v>-0.6785003718361059</v>
      </c>
      <c r="H476" s="39">
        <f>(VLOOKUP($A476,'The List'!$B1:$AH727,20,FALSE)-AVERAGE('The List'!U2:U727))/STDEV('The List'!U2:U727)</f>
        <v>-0.67794532988352096</v>
      </c>
      <c r="I476" s="39">
        <f>(VLOOKUP($A476,'The List'!$B1:$AH727,21,FALSE)-AVERAGE('The List'!V2:V727))/STDEV('The List'!V2:V727)</f>
        <v>-0.45171605140519644</v>
      </c>
      <c r="J476" s="39">
        <f>(VLOOKUP($A476,'The List'!$B1:$AH727,22,FALSE)-AVERAGE('The List'!W2:W727))/STDEV('The List'!W2:W727)</f>
        <v>-0.70520035192926267</v>
      </c>
      <c r="K476" s="39">
        <f>(VLOOKUP($A476,'The List'!$B1:$AH727,23,FALSE)-AVERAGE('The List'!X2:X727))/STDEV('The List'!X2:X727)</f>
        <v>-0.78339423056331126</v>
      </c>
      <c r="L476" s="39">
        <f>(VLOOKUP($A476,'The List'!$B1:$AH727,24,FALSE)-AVERAGE('The List'!Y2:Y727))/STDEV('The List'!Y2:Y727)</f>
        <v>0.15008445608591242</v>
      </c>
      <c r="M476" s="39">
        <f>(VLOOKUP($A476,'The List'!$B1:$AH727,25,FALSE)-AVERAGE('The List'!Z2:Z727))/STDEV('The List'!Z2:Z727)</f>
        <v>0.23526595843565762</v>
      </c>
      <c r="N476" s="39">
        <f>(VLOOKUP($A476,'The List'!$B1:$AH727,26,FALSE)-AVERAGE('The List'!AA2:AA727))/STDEV('The List'!AA2:AA727)</f>
        <v>2.0493839013645894</v>
      </c>
      <c r="O476" s="39">
        <f>(VLOOKUP($A476,'The List'!$B1:$AH727,27,FALSE)-AVERAGE('The List'!AB2:AB727))/STDEV('The List'!AB2:AB727)</f>
        <v>2.8494207828987328</v>
      </c>
      <c r="P476" s="39">
        <f>(VLOOKUP($A476,'The List'!$B1:$AH727,28,FALSE)-AVERAGE('The List'!AC2:AC727))/STDEV('The List'!AC2:AC727)</f>
        <v>-1.2021362832638067</v>
      </c>
      <c r="Q476" s="39">
        <f>(VLOOKUP($A476,'The List'!$B1:$AH727,29,FALSE)-AVERAGE('The List'!AD2:AD727))/STDEV('The List'!AD2:AD727)</f>
        <v>0.1445088688142048</v>
      </c>
      <c r="R476" s="39">
        <f>(VLOOKUP($A476,'The List'!$B1:$AH727,30,FALSE)-AVERAGE('The List'!AE2:AE727))/STDEV('The List'!AE2:AE727)</f>
        <v>-0.61126312432395136</v>
      </c>
      <c r="S476" s="39">
        <f>(VLOOKUP($A476,'The List'!$B1:$AH727,31,FALSE)-AVERAGE('The List'!AF2:AF727))/STDEV('The List'!AF2:AF727)</f>
        <v>-0.55804314905918151</v>
      </c>
      <c r="T476" s="39">
        <f>(VLOOKUP($A476,'The List'!$B1:$AH727,32,FALSE)-AVERAGE('The List'!AG2:AG727))/STDEV('The List'!AG2:AG727)</f>
        <v>-0.60188453558131205</v>
      </c>
      <c r="U476" s="39">
        <f>(VLOOKUP($A476,'The List'!$B1:$AH727,33,FALSE)-AVERAGE('The List'!AH2:AH727))/STDEV('The List'!AH2:AH727)</f>
        <v>-1.2395873372913611</v>
      </c>
      <c r="V476" s="39"/>
      <c r="W476" s="43"/>
      <c r="X476" s="41"/>
      <c r="Y476" s="41"/>
      <c r="Z476" s="41"/>
      <c r="AA476" s="41"/>
      <c r="AB476" s="41"/>
      <c r="AC476" s="44"/>
      <c r="AD476" s="45"/>
      <c r="AE476" s="39"/>
    </row>
    <row r="477" spans="1:31" ht="21.25" customHeight="1" x14ac:dyDescent="0.15">
      <c r="A477" s="8" t="s">
        <v>766</v>
      </c>
      <c r="B477" s="35" t="str">
        <f>VLOOKUP(A477,'Player Data'!A1:B734,2,FALSE)</f>
        <v>PHI</v>
      </c>
      <c r="C477" s="37">
        <f>((E477)*Settings!$C$12)+(F477*Settings!$C$2)+(G477*Settings!$C$3)+(H477*Settings!$C$4)+(I477*Settings!$C$5)+(K477*Settings!$C$9)+(N477*Settings!$C$6)+(J477*Settings!$C$8)+(O477*Settings!$C$7)+(P477*Settings!$C$14)+(Q477*Settings!$C$15)+(R477*Settings!$C$16)+(S477*Settings!$C$17)+(T477*Settings!$C$18)+(U477*Settings!$C$19)</f>
        <v>-4.6809801436107108</v>
      </c>
      <c r="D477" s="41">
        <f>IF(Settings!$E$12="YES",VLOOKUP(A477,'Player Data'!A1:E734,5,FALSE),82)</f>
        <v>70.545000000000002</v>
      </c>
      <c r="E477" s="39">
        <f>(VLOOKUP($A477,'The List'!$B1:$AH727,17,FALSE)-AVERAGE('The List'!R2:R727))/STDEV('The List'!R2:R727)</f>
        <v>-1.4619775101159891</v>
      </c>
      <c r="F477" s="39">
        <f>(VLOOKUP($A477,'The List'!$B1:$AH727,18,FALSE)-AVERAGE('The List'!S2:S727))/STDEV('The List'!S2:S727)</f>
        <v>-0.41779093936024864</v>
      </c>
      <c r="G477" s="39">
        <f>(VLOOKUP($A477,'The List'!$B1:$AH727,19,FALSE)-AVERAGE('The List'!T2:T727))/STDEV('The List'!T2:T727)</f>
        <v>-0.92952840008155069</v>
      </c>
      <c r="H477" s="39">
        <f>(VLOOKUP($A477,'The List'!$B1:$AH727,20,FALSE)-AVERAGE('The List'!U2:U727))/STDEV('The List'!U2:U727)</f>
        <v>-0.76290498040575772</v>
      </c>
      <c r="I477" s="39">
        <f>(VLOOKUP($A477,'The List'!$B1:$AH727,21,FALSE)-AVERAGE('The List'!V2:V727))/STDEV('The List'!V2:V727)</f>
        <v>-0.78790775870971796</v>
      </c>
      <c r="J477" s="39">
        <f>(VLOOKUP($A477,'The List'!$B1:$AH727,22,FALSE)-AVERAGE('The List'!W2:W727))/STDEV('The List'!W2:W727)</f>
        <v>-0.68872062615427398</v>
      </c>
      <c r="K477" s="39">
        <f>(VLOOKUP($A477,'The List'!$B1:$AH727,23,FALSE)-AVERAGE('The List'!X2:X727))/STDEV('The List'!X2:X727)</f>
        <v>-0.78580973565314804</v>
      </c>
      <c r="L477" s="39">
        <f>(VLOOKUP($A477,'The List'!$B1:$AH727,24,FALSE)-AVERAGE('The List'!Y2:Y727))/STDEV('The List'!Y2:Y727)</f>
        <v>2.4940927771816548</v>
      </c>
      <c r="M477" s="39">
        <f>(VLOOKUP($A477,'The List'!$B1:$AH727,25,FALSE)-AVERAGE('The List'!Z2:Z727))/STDEV('The List'!Z2:Z727)</f>
        <v>2.1477629991940916</v>
      </c>
      <c r="N477" s="39">
        <f>(VLOOKUP($A477,'The List'!$B1:$AH727,26,FALSE)-AVERAGE('The List'!AA2:AA727))/STDEV('The List'!AA2:AA727)</f>
        <v>-0.38158511732348288</v>
      </c>
      <c r="O477" s="39">
        <f>(VLOOKUP($A477,'The List'!$B1:$AH727,27,FALSE)-AVERAGE('The List'!AB2:AB727))/STDEV('The List'!AB2:AB727)</f>
        <v>-0.37352519671564394</v>
      </c>
      <c r="P477" s="39">
        <f>(VLOOKUP($A477,'The List'!$B1:$AH727,28,FALSE)-AVERAGE('The List'!AC2:AC727))/STDEV('The List'!AC2:AC727)</f>
        <v>-1.378358192482563</v>
      </c>
      <c r="Q477" s="39">
        <f>(VLOOKUP($A477,'The List'!$B1:$AH727,29,FALSE)-AVERAGE('The List'!AD2:AD727))/STDEV('The List'!AD2:AD727)</f>
        <v>-1.3403385473810752</v>
      </c>
      <c r="R477" s="39">
        <f>(VLOOKUP($A477,'The List'!$B1:$AH727,30,FALSE)-AVERAGE('The List'!AE2:AE727))/STDEV('The List'!AE2:AE727)</f>
        <v>-0.51940097045125533</v>
      </c>
      <c r="S477" s="39">
        <f>(VLOOKUP($A477,'The List'!$B1:$AH727,31,FALSE)-AVERAGE('The List'!AF2:AF727))/STDEV('The List'!AF2:AF727)</f>
        <v>0.6133744397907126</v>
      </c>
      <c r="T477" s="39">
        <f>(VLOOKUP($A477,'The List'!$B1:$AH727,32,FALSE)-AVERAGE('The List'!AG2:AG727))/STDEV('The List'!AG2:AG727)</f>
        <v>0.85553021792502826</v>
      </c>
      <c r="U477" s="39">
        <f>(VLOOKUP($A477,'The List'!$B1:$AH727,33,FALSE)-AVERAGE('The List'!AH2:AH727))/STDEV('The List'!AH2:AH727)</f>
        <v>0.83029517868391267</v>
      </c>
      <c r="V477" s="39"/>
      <c r="W477" s="41"/>
      <c r="X477" s="39"/>
      <c r="Y477" s="39"/>
      <c r="Z477" s="39"/>
      <c r="AA477" s="39"/>
      <c r="AB477" s="39"/>
      <c r="AC477" s="39"/>
      <c r="AD477" s="39"/>
      <c r="AE477" s="39"/>
    </row>
    <row r="478" spans="1:31" ht="21.25" customHeight="1" x14ac:dyDescent="0.15">
      <c r="A478" s="8" t="s">
        <v>507</v>
      </c>
      <c r="B478" s="35" t="str">
        <f>VLOOKUP(A478,'Player Data'!A1:B734,2,FALSE)</f>
        <v>OTT</v>
      </c>
      <c r="C478" s="37">
        <f>((E478)*Settings!$C$12)+(F478*Settings!$C$2)+(G478*Settings!$C$3)+(H478*Settings!$C$4)+(I478*Settings!$C$5)+(K478*Settings!$C$9)+(N478*Settings!$C$6)+(J478*Settings!$C$8)+(O478*Settings!$C$7)+(P478*Settings!$C$14)+(Q478*Settings!$C$15)+(R478*Settings!$C$16)+(S478*Settings!$C$17)+(T478*Settings!$C$18)+(U478*Settings!$C$19)</f>
        <v>-1.5600152265430398</v>
      </c>
      <c r="D478" s="41">
        <f>IF(Settings!$E$12="YES",VLOOKUP(A478,'Player Data'!A1:E734,5,FALSE),82)</f>
        <v>72.815357142857096</v>
      </c>
      <c r="E478" s="39">
        <f>(VLOOKUP($A478,'The List'!$B1:$AH727,17,FALSE)-AVERAGE('The List'!R2:R727))/STDEV('The List'!R2:R727)</f>
        <v>0.28448752231140856</v>
      </c>
      <c r="F478" s="39">
        <f>(VLOOKUP($A478,'The List'!$B1:$AH727,18,FALSE)-AVERAGE('The List'!S2:S727))/STDEV('The List'!S2:S727)</f>
        <v>-1.0643744056523756</v>
      </c>
      <c r="G478" s="39">
        <f>(VLOOKUP($A478,'The List'!$B1:$AH727,19,FALSE)-AVERAGE('The List'!T2:T727))/STDEV('The List'!T2:T727)</f>
        <v>-0.4143503320824744</v>
      </c>
      <c r="H478" s="39">
        <f>(VLOOKUP($A478,'The List'!$B1:$AH727,20,FALSE)-AVERAGE('The List'!U2:U727))/STDEV('The List'!U2:U727)</f>
        <v>-0.73968344918302442</v>
      </c>
      <c r="I478" s="39">
        <f>(VLOOKUP($A478,'The List'!$B1:$AH727,21,FALSE)-AVERAGE('The List'!V2:V727))/STDEV('The List'!V2:V727)</f>
        <v>-0.69662105362019533</v>
      </c>
      <c r="J478" s="39">
        <f>(VLOOKUP($A478,'The List'!$B1:$AH727,22,FALSE)-AVERAGE('The List'!W2:W727))/STDEV('The List'!W2:W727)</f>
        <v>-0.68357351179723103</v>
      </c>
      <c r="K478" s="39">
        <f>(VLOOKUP($A478,'The List'!$B1:$AH727,23,FALSE)-AVERAGE('The List'!X2:X727))/STDEV('The List'!X2:X727)</f>
        <v>-0.68886454777508477</v>
      </c>
      <c r="L478" s="39">
        <f>(VLOOKUP($A478,'The List'!$B1:$AH727,24,FALSE)-AVERAGE('The List'!Y2:Y727))/STDEV('The List'!Y2:Y727)</f>
        <v>-0.48226212267136848</v>
      </c>
      <c r="M478" s="39">
        <f>(VLOOKUP($A478,'The List'!$B1:$AH727,25,FALSE)-AVERAGE('The List'!Z2:Z727))/STDEV('The List'!Z2:Z727)</f>
        <v>-0.58867661908731095</v>
      </c>
      <c r="N478" s="39">
        <f>(VLOOKUP($A478,'The List'!$B1:$AH727,26,FALSE)-AVERAGE('The List'!AA2:AA727))/STDEV('The List'!AA2:AA727)</f>
        <v>1.052132437363865</v>
      </c>
      <c r="O478" s="39">
        <f>(VLOOKUP($A478,'The List'!$B1:$AH727,27,FALSE)-AVERAGE('The List'!AB2:AB727))/STDEV('The List'!AB2:AB727)</f>
        <v>-0.54057570113880149</v>
      </c>
      <c r="P478" s="39">
        <f>(VLOOKUP($A478,'The List'!$B1:$AH727,28,FALSE)-AVERAGE('The List'!AC2:AC727))/STDEV('The List'!AC2:AC727)</f>
        <v>0.25206267522322529</v>
      </c>
      <c r="Q478" s="39">
        <f>(VLOOKUP($A478,'The List'!$B1:$AH727,29,FALSE)-AVERAGE('The List'!AD2:AD727))/STDEV('The List'!AD2:AD727)</f>
        <v>0.6504497204183407</v>
      </c>
      <c r="R478" s="39">
        <f>(VLOOKUP($A478,'The List'!$B1:$AH727,30,FALSE)-AVERAGE('The List'!AE2:AE727))/STDEV('The List'!AE2:AE727)</f>
        <v>-0.98383392175648965</v>
      </c>
      <c r="S478" s="39">
        <f>(VLOOKUP($A478,'The List'!$B1:$AH727,31,FALSE)-AVERAGE('The List'!AF2:AF727))/STDEV('The List'!AF2:AF727)</f>
        <v>-0.55804314905918151</v>
      </c>
      <c r="T478" s="39">
        <f>(VLOOKUP($A478,'The List'!$B1:$AH727,32,FALSE)-AVERAGE('The List'!AG2:AG727))/STDEV('The List'!AG2:AG727)</f>
        <v>-0.60188453558131205</v>
      </c>
      <c r="U478" s="39">
        <f>(VLOOKUP($A478,'The List'!$B1:$AH727,33,FALSE)-AVERAGE('The List'!AH2:AH727))/STDEV('The List'!AH2:AH727)</f>
        <v>-1.2395873372913611</v>
      </c>
      <c r="V478" s="39"/>
      <c r="W478" s="43"/>
      <c r="X478" s="41"/>
      <c r="Y478" s="41"/>
      <c r="Z478" s="41"/>
      <c r="AA478" s="41"/>
      <c r="AB478" s="41"/>
      <c r="AC478" s="44"/>
      <c r="AD478" s="45"/>
      <c r="AE478" s="39"/>
    </row>
    <row r="479" spans="1:31" ht="21.25" customHeight="1" x14ac:dyDescent="0.15">
      <c r="A479" s="8" t="s">
        <v>490</v>
      </c>
      <c r="B479" s="35" t="str">
        <f>VLOOKUP(A479,'Player Data'!A1:B734,2,FALSE)</f>
        <v>TOR</v>
      </c>
      <c r="C479" s="37">
        <f>((E479)*Settings!$C$12)+(F479*Settings!$C$2)+(G479*Settings!$C$3)+(H479*Settings!$C$4)+(I479*Settings!$C$5)+(K479*Settings!$C$9)+(N479*Settings!$C$6)+(J479*Settings!$C$8)+(O479*Settings!$C$7)+(P479*Settings!$C$14)+(Q479*Settings!$C$15)+(R479*Settings!$C$16)+(S479*Settings!$C$17)+(T479*Settings!$C$18)+(U479*Settings!$C$19)</f>
        <v>0.32985546749372108</v>
      </c>
      <c r="D479" s="41">
        <f>IF(Settings!$E$12="YES",VLOOKUP(A479,'Player Data'!A1:E734,5,FALSE),82)</f>
        <v>77.77</v>
      </c>
      <c r="E479" s="39">
        <f>(VLOOKUP($A479,'The List'!$B1:$AH727,17,FALSE)-AVERAGE('The List'!R2:R727))/STDEV('The List'!R2:R727)</f>
        <v>1.2989239777641008</v>
      </c>
      <c r="F479" s="39">
        <f>(VLOOKUP($A479,'The List'!$B1:$AH727,18,FALSE)-AVERAGE('The List'!S2:S727))/STDEV('The List'!S2:S727)</f>
        <v>-1.0214485948858008</v>
      </c>
      <c r="G479" s="39">
        <f>(VLOOKUP($A479,'The List'!$B1:$AH727,19,FALSE)-AVERAGE('The List'!T2:T727))/STDEV('The List'!T2:T727)</f>
        <v>-0.36346939466884337</v>
      </c>
      <c r="H479" s="39">
        <f>(VLOOKUP($A479,'The List'!$B1:$AH727,20,FALSE)-AVERAGE('The List'!U2:U727))/STDEV('The List'!U2:U727)</f>
        <v>-0.68879621700101312</v>
      </c>
      <c r="I479" s="39">
        <f>(VLOOKUP($A479,'The List'!$B1:$AH727,21,FALSE)-AVERAGE('The List'!V2:V727))/STDEV('The List'!V2:V727)</f>
        <v>-0.89931819969158544</v>
      </c>
      <c r="J479" s="39">
        <f>(VLOOKUP($A479,'The List'!$B1:$AH727,22,FALSE)-AVERAGE('The List'!W2:W727))/STDEV('The List'!W2:W727)</f>
        <v>-0.70847242378229391</v>
      </c>
      <c r="K479" s="39">
        <f>(VLOOKUP($A479,'The List'!$B1:$AH727,23,FALSE)-AVERAGE('The List'!X2:X727))/STDEV('The List'!X2:X727)</f>
        <v>-0.78047850015051989</v>
      </c>
      <c r="L479" s="39">
        <f>(VLOOKUP($A479,'The List'!$B1:$AH727,24,FALSE)-AVERAGE('The List'!Y2:Y727))/STDEV('The List'!Y2:Y727)</f>
        <v>-0.49714820728258829</v>
      </c>
      <c r="M479" s="39">
        <f>(VLOOKUP($A479,'The List'!$B1:$AH727,25,FALSE)-AVERAGE('The List'!Z2:Z727))/STDEV('The List'!Z2:Z727)</f>
        <v>0.8184180756936652</v>
      </c>
      <c r="N479" s="39">
        <f>(VLOOKUP($A479,'The List'!$B1:$AH727,26,FALSE)-AVERAGE('The List'!AA2:AA727))/STDEV('The List'!AA2:AA727)</f>
        <v>1.9506364397554314</v>
      </c>
      <c r="O479" s="39">
        <f>(VLOOKUP($A479,'The List'!$B1:$AH727,27,FALSE)-AVERAGE('The List'!AB2:AB727))/STDEV('The List'!AB2:AB727)</f>
        <v>-0.35965349587113793</v>
      </c>
      <c r="P479" s="39">
        <f>(VLOOKUP($A479,'The List'!$B1:$AH727,28,FALSE)-AVERAGE('The List'!AC2:AC727))/STDEV('The List'!AC2:AC727)</f>
        <v>1.4439337171350395</v>
      </c>
      <c r="Q479" s="39">
        <f>(VLOOKUP($A479,'The List'!$B1:$AH727,29,FALSE)-AVERAGE('The List'!AD2:AD727))/STDEV('The List'!AD2:AD727)</f>
        <v>-0.28132688522359683</v>
      </c>
      <c r="R479" s="39">
        <f>(VLOOKUP($A479,'The List'!$B1:$AH727,30,FALSE)-AVERAGE('The List'!AE2:AE727))/STDEV('The List'!AE2:AE727)</f>
        <v>-0.90616618330799237</v>
      </c>
      <c r="S479" s="39">
        <f>(VLOOKUP($A479,'The List'!$B1:$AH727,31,FALSE)-AVERAGE('The List'!AF2:AF727))/STDEV('The List'!AF2:AF727)</f>
        <v>-0.55804314905918151</v>
      </c>
      <c r="T479" s="39">
        <f>(VLOOKUP($A479,'The List'!$B1:$AH727,32,FALSE)-AVERAGE('The List'!AG2:AG727))/STDEV('The List'!AG2:AG727)</f>
        <v>-0.60188453558131205</v>
      </c>
      <c r="U479" s="39">
        <f>(VLOOKUP($A479,'The List'!$B1:$AH727,33,FALSE)-AVERAGE('The List'!AH2:AH727))/STDEV('The List'!AH2:AH727)</f>
        <v>-1.2395873372913611</v>
      </c>
      <c r="V479" s="39"/>
      <c r="W479" s="43"/>
      <c r="X479" s="41"/>
      <c r="Y479" s="41"/>
      <c r="Z479" s="41"/>
      <c r="AA479" s="41"/>
      <c r="AB479" s="41"/>
      <c r="AC479" s="44"/>
      <c r="AD479" s="45"/>
      <c r="AE479" s="39"/>
    </row>
    <row r="480" spans="1:31" ht="21.25" customHeight="1" x14ac:dyDescent="0.15">
      <c r="A480" s="8" t="s">
        <v>503</v>
      </c>
      <c r="B480" s="35" t="str">
        <f>VLOOKUP(A480,'Player Data'!A1:B734,2,FALSE)</f>
        <v>NYR</v>
      </c>
      <c r="C480" s="37">
        <f>((E480)*Settings!$C$12)+(F480*Settings!$C$2)+(G480*Settings!$C$3)+(H480*Settings!$C$4)+(I480*Settings!$C$5)+(K480*Settings!$C$9)+(N480*Settings!$C$6)+(J480*Settings!$C$8)+(O480*Settings!$C$7)+(P480*Settings!$C$14)+(Q480*Settings!$C$15)+(R480*Settings!$C$16)+(S480*Settings!$C$17)+(T480*Settings!$C$18)+(U480*Settings!$C$19)</f>
        <v>-2.8715748060410995E-2</v>
      </c>
      <c r="D480" s="41">
        <f>IF(Settings!$E$12="YES",VLOOKUP(A480,'Player Data'!A1:E734,5,FALSE),82)</f>
        <v>75.23</v>
      </c>
      <c r="E480" s="39">
        <f>(VLOOKUP($A480,'The List'!$B1:$AH727,17,FALSE)-AVERAGE('The List'!R2:R727))/STDEV('The List'!R2:R727)</f>
        <v>0.66800497514514512</v>
      </c>
      <c r="F480" s="39">
        <f>(VLOOKUP($A480,'The List'!$B1:$AH727,18,FALSE)-AVERAGE('The List'!S2:S727))/STDEV('The List'!S2:S727)</f>
        <v>-1.0335964611208661</v>
      </c>
      <c r="G480" s="39">
        <f>(VLOOKUP($A480,'The List'!$B1:$AH727,19,FALSE)-AVERAGE('The List'!T2:T727))/STDEV('The List'!T2:T727)</f>
        <v>-0.40567947260310439</v>
      </c>
      <c r="H480" s="39">
        <f>(VLOOKUP($A480,'The List'!$B1:$AH727,20,FALSE)-AVERAGE('The List'!U2:U727))/STDEV('The List'!U2:U727)</f>
        <v>-0.72033449499767421</v>
      </c>
      <c r="I480" s="39">
        <f>(VLOOKUP($A480,'The List'!$B1:$AH727,21,FALSE)-AVERAGE('The List'!V2:V727))/STDEV('The List'!V2:V727)</f>
        <v>-0.78698348079158109</v>
      </c>
      <c r="J480" s="39">
        <f>(VLOOKUP($A480,'The List'!$B1:$AH727,22,FALSE)-AVERAGE('The List'!W2:W727))/STDEV('The List'!W2:W727)</f>
        <v>-0.70814093613389306</v>
      </c>
      <c r="K480" s="39">
        <f>(VLOOKUP($A480,'The List'!$B1:$AH727,23,FALSE)-AVERAGE('The List'!X2:X727))/STDEV('The List'!X2:X727)</f>
        <v>-0.79154847037322273</v>
      </c>
      <c r="L480" s="39">
        <f>(VLOOKUP($A480,'The List'!$B1:$AH727,24,FALSE)-AVERAGE('The List'!Y2:Y727))/STDEV('The List'!Y2:Y727)</f>
        <v>-0.49811828198331376</v>
      </c>
      <c r="M480" s="39">
        <f>(VLOOKUP($A480,'The List'!$B1:$AH727,25,FALSE)-AVERAGE('The List'!Z2:Z727))/STDEV('The List'!Z2:Z727)</f>
        <v>-2.6463305610147116E-2</v>
      </c>
      <c r="N480" s="39">
        <f>(VLOOKUP($A480,'The List'!$B1:$AH727,26,FALSE)-AVERAGE('The List'!AA2:AA727))/STDEV('The List'!AA2:AA727)</f>
        <v>1.4332838071548364</v>
      </c>
      <c r="O480" s="39">
        <f>(VLOOKUP($A480,'The List'!$B1:$AH727,27,FALSE)-AVERAGE('The List'!AB2:AB727))/STDEV('The List'!AB2:AB727)</f>
        <v>0.19610567583322999</v>
      </c>
      <c r="P480" s="39">
        <f>(VLOOKUP($A480,'The List'!$B1:$AH727,28,FALSE)-AVERAGE('The List'!AC2:AC727))/STDEV('The List'!AC2:AC727)</f>
        <v>1.5558083296735268</v>
      </c>
      <c r="Q480" s="39">
        <f>(VLOOKUP($A480,'The List'!$B1:$AH727,29,FALSE)-AVERAGE('The List'!AD2:AD727))/STDEV('The List'!AD2:AD727)</f>
        <v>1.1107986109383801</v>
      </c>
      <c r="R480" s="39">
        <f>(VLOOKUP($A480,'The List'!$B1:$AH727,30,FALSE)-AVERAGE('The List'!AE2:AE727))/STDEV('The List'!AE2:AE727)</f>
        <v>-0.90233218115619718</v>
      </c>
      <c r="S480" s="39">
        <f>(VLOOKUP($A480,'The List'!$B1:$AH727,31,FALSE)-AVERAGE('The List'!AF2:AF727))/STDEV('The List'!AF2:AF727)</f>
        <v>-0.55804314905918151</v>
      </c>
      <c r="T480" s="39">
        <f>(VLOOKUP($A480,'The List'!$B1:$AH727,32,FALSE)-AVERAGE('The List'!AG2:AG727))/STDEV('The List'!AG2:AG727)</f>
        <v>-0.60188453558131205</v>
      </c>
      <c r="U480" s="39">
        <f>(VLOOKUP($A480,'The List'!$B1:$AH727,33,FALSE)-AVERAGE('The List'!AH2:AH727))/STDEV('The List'!AH2:AH727)</f>
        <v>-1.2395873372913611</v>
      </c>
      <c r="V480" s="39"/>
      <c r="W480" s="43"/>
      <c r="X480" s="41"/>
      <c r="Y480" s="41"/>
      <c r="Z480" s="41"/>
      <c r="AA480" s="41"/>
      <c r="AB480" s="41"/>
      <c r="AC480" s="44"/>
      <c r="AD480" s="45"/>
      <c r="AE480" s="39"/>
    </row>
    <row r="481" spans="1:31" ht="21.25" customHeight="1" x14ac:dyDescent="0.15">
      <c r="A481" s="8" t="s">
        <v>468</v>
      </c>
      <c r="B481" s="35" t="str">
        <f>VLOOKUP(A481,'Player Data'!A1:B734,2,FALSE)</f>
        <v>WPG</v>
      </c>
      <c r="C481" s="37">
        <f>((E481)*Settings!$C$12)+(F481*Settings!$C$2)+(G481*Settings!$C$3)+(H481*Settings!$C$4)+(I481*Settings!$C$5)+(K481*Settings!$C$9)+(N481*Settings!$C$6)+(J481*Settings!$C$8)+(O481*Settings!$C$7)+(P481*Settings!$C$14)+(Q481*Settings!$C$15)+(R481*Settings!$C$16)+(S481*Settings!$C$17)+(T481*Settings!$C$18)+(U481*Settings!$C$19)</f>
        <v>-0.87595723958384075</v>
      </c>
      <c r="D481" s="41">
        <f>IF(Settings!$E$12="YES",VLOOKUP(A481,'Player Data'!A1:E734,5,FALSE),82)</f>
        <v>78.599999999999994</v>
      </c>
      <c r="E481" s="39">
        <f>(VLOOKUP($A481,'The List'!$B1:$AH727,17,FALSE)-AVERAGE('The List'!R2:R727))/STDEV('The List'!R2:R727)</f>
        <v>0.78323719395462776</v>
      </c>
      <c r="F481" s="39">
        <f>(VLOOKUP($A481,'The List'!$B1:$AH727,18,FALSE)-AVERAGE('The List'!S2:S727))/STDEV('The List'!S2:S727)</f>
        <v>-1.0229947033163422</v>
      </c>
      <c r="G481" s="39">
        <f>(VLOOKUP($A481,'The List'!$B1:$AH727,19,FALSE)-AVERAGE('The List'!T2:T727))/STDEV('The List'!T2:T727)</f>
        <v>-0.35054822879411657</v>
      </c>
      <c r="H481" s="39">
        <f>(VLOOKUP($A481,'The List'!$B1:$AH727,20,FALSE)-AVERAGE('The List'!U2:U727))/STDEV('The List'!U2:U727)</f>
        <v>-0.68153765169756242</v>
      </c>
      <c r="I481" s="39">
        <f>(VLOOKUP($A481,'The List'!$B1:$AH727,21,FALSE)-AVERAGE('The List'!V2:V727))/STDEV('The List'!V2:V727)</f>
        <v>-0.64120357737248945</v>
      </c>
      <c r="J481" s="39">
        <f>(VLOOKUP($A481,'The List'!$B1:$AH727,22,FALSE)-AVERAGE('The List'!W2:W727))/STDEV('The List'!W2:W727)</f>
        <v>-0.70583142127090659</v>
      </c>
      <c r="K481" s="39">
        <f>(VLOOKUP($A481,'The List'!$B1:$AH727,23,FALSE)-AVERAGE('The List'!X2:X727))/STDEV('The List'!X2:X727)</f>
        <v>-0.78446574934399216</v>
      </c>
      <c r="L481" s="39">
        <f>(VLOOKUP($A481,'The List'!$B1:$AH727,24,FALSE)-AVERAGE('The List'!Y2:Y727))/STDEV('The List'!Y2:Y727)</f>
        <v>0.68402483044923235</v>
      </c>
      <c r="M481" s="39">
        <f>(VLOOKUP($A481,'The List'!$B1:$AH727,25,FALSE)-AVERAGE('The List'!Z2:Z727))/STDEV('The List'!Z2:Z727)</f>
        <v>1.6366076247126857</v>
      </c>
      <c r="N481" s="39">
        <f>(VLOOKUP($A481,'The List'!$B1:$AH727,26,FALSE)-AVERAGE('The List'!AA2:AA727))/STDEV('The List'!AA2:AA727)</f>
        <v>1.3500939704961512</v>
      </c>
      <c r="O481" s="39">
        <f>(VLOOKUP($A481,'The List'!$B1:$AH727,27,FALSE)-AVERAGE('The List'!AB2:AB727))/STDEV('The List'!AB2:AB727)</f>
        <v>0.70379702558240786</v>
      </c>
      <c r="P481" s="39">
        <f>(VLOOKUP($A481,'The List'!$B1:$AH727,28,FALSE)-AVERAGE('The List'!AC2:AC727))/STDEV('The List'!AC2:AC727)</f>
        <v>0.57316104874694862</v>
      </c>
      <c r="Q481" s="39">
        <f>(VLOOKUP($A481,'The List'!$B1:$AH727,29,FALSE)-AVERAGE('The List'!AD2:AD727))/STDEV('The List'!AD2:AD727)</f>
        <v>0.70408605547624492</v>
      </c>
      <c r="R481" s="39">
        <f>(VLOOKUP($A481,'The List'!$B1:$AH727,30,FALSE)-AVERAGE('The List'!AE2:AE727))/STDEV('The List'!AE2:AE727)</f>
        <v>-0.91601385223764509</v>
      </c>
      <c r="S481" s="39">
        <f>(VLOOKUP($A481,'The List'!$B1:$AH727,31,FALSE)-AVERAGE('The List'!AF2:AF727))/STDEV('The List'!AF2:AF727)</f>
        <v>-0.55804314905918151</v>
      </c>
      <c r="T481" s="39">
        <f>(VLOOKUP($A481,'The List'!$B1:$AH727,32,FALSE)-AVERAGE('The List'!AG2:AG727))/STDEV('The List'!AG2:AG727)</f>
        <v>-0.60188453558131205</v>
      </c>
      <c r="U481" s="39">
        <f>(VLOOKUP($A481,'The List'!$B1:$AH727,33,FALSE)-AVERAGE('The List'!AH2:AH727))/STDEV('The List'!AH2:AH727)</f>
        <v>-1.2395873372913611</v>
      </c>
      <c r="V481" s="39"/>
      <c r="W481" s="43"/>
      <c r="X481" s="41"/>
      <c r="Y481" s="41"/>
      <c r="Z481" s="41"/>
      <c r="AA481" s="41"/>
      <c r="AB481" s="41"/>
      <c r="AC481" s="44"/>
      <c r="AD481" s="45"/>
      <c r="AE481" s="39"/>
    </row>
    <row r="482" spans="1:31" ht="21.25" customHeight="1" x14ac:dyDescent="0.15">
      <c r="A482" s="8" t="s">
        <v>685</v>
      </c>
      <c r="B482" s="35" t="str">
        <f>VLOOKUP(A482,'Player Data'!A1:B734,2,FALSE)</f>
        <v>UFA</v>
      </c>
      <c r="C482" s="37">
        <f>((E482)*Settings!$C$12)+(F482*Settings!$C$2)+(G482*Settings!$C$3)+(H482*Settings!$C$4)+(I482*Settings!$C$5)+(K482*Settings!$C$9)+(N482*Settings!$C$6)+(J482*Settings!$C$8)+(O482*Settings!$C$7)+(P482*Settings!$C$14)+(Q482*Settings!$C$15)+(R482*Settings!$C$16)+(S482*Settings!$C$17)+(T482*Settings!$C$18)+(U482*Settings!$C$19)</f>
        <v>-2.8563407082757339</v>
      </c>
      <c r="D482" s="41">
        <f>IF(Settings!$E$12="YES",VLOOKUP(A482,'Player Data'!A1:E734,5,FALSE),82)</f>
        <v>70.494285714285695</v>
      </c>
      <c r="E482" s="39">
        <f>(VLOOKUP($A482,'The List'!$B1:$AH727,17,FALSE)-AVERAGE('The List'!R2:R727))/STDEV('The List'!R2:R727)</f>
        <v>-1.5106147938653081</v>
      </c>
      <c r="F482" s="39">
        <f>(VLOOKUP($A482,'The List'!$B1:$AH727,18,FALSE)-AVERAGE('The List'!S2:S727))/STDEV('The List'!S2:S727)</f>
        <v>-0.52730282485308355</v>
      </c>
      <c r="G482" s="39">
        <f>(VLOOKUP($A482,'The List'!$B1:$AH727,19,FALSE)-AVERAGE('The List'!T2:T727))/STDEV('The List'!T2:T727)</f>
        <v>-0.87057723721204694</v>
      </c>
      <c r="H482" s="39">
        <f>(VLOOKUP($A482,'The List'!$B1:$AH727,20,FALSE)-AVERAGE('The List'!U2:U727))/STDEV('The List'!U2:U727)</f>
        <v>-0.77641349178163033</v>
      </c>
      <c r="I482" s="39">
        <f>(VLOOKUP($A482,'The List'!$B1:$AH727,21,FALSE)-AVERAGE('The List'!V2:V727))/STDEV('The List'!V2:V727)</f>
        <v>-0.38316122256769142</v>
      </c>
      <c r="J482" s="39">
        <f>(VLOOKUP($A482,'The List'!$B1:$AH727,22,FALSE)-AVERAGE('The List'!W2:W727))/STDEV('The List'!W2:W727)</f>
        <v>-0.7002372859641931</v>
      </c>
      <c r="K482" s="39">
        <f>(VLOOKUP($A482,'The List'!$B1:$AH727,23,FALSE)-AVERAGE('The List'!X2:X727))/STDEV('The List'!X2:X727)</f>
        <v>-0.78966277985509892</v>
      </c>
      <c r="L482" s="39">
        <f>(VLOOKUP($A482,'The List'!$B1:$AH727,24,FALSE)-AVERAGE('The List'!Y2:Y727))/STDEV('The List'!Y2:Y727)</f>
        <v>-0.54402834717551152</v>
      </c>
      <c r="M482" s="39">
        <f>(VLOOKUP($A482,'The List'!$B1:$AH727,25,FALSE)-AVERAGE('The List'!Z2:Z727))/STDEV('The List'!Z2:Z727)</f>
        <v>-0.72372514007823274</v>
      </c>
      <c r="N482" s="39">
        <f>(VLOOKUP($A482,'The List'!$B1:$AH727,26,FALSE)-AVERAGE('The List'!AA2:AA727))/STDEV('The List'!AA2:AA727)</f>
        <v>-0.17490052051581717</v>
      </c>
      <c r="O482" s="39">
        <f>(VLOOKUP($A482,'The List'!$B1:$AH727,27,FALSE)-AVERAGE('The List'!AB2:AB727))/STDEV('The List'!AB2:AB727)</f>
        <v>0.91592618656335623</v>
      </c>
      <c r="P482" s="39">
        <f>(VLOOKUP($A482,'The List'!$B1:$AH727,28,FALSE)-AVERAGE('The List'!AC2:AC727))/STDEV('The List'!AC2:AC727)</f>
        <v>-0.11073612327199581</v>
      </c>
      <c r="Q482" s="39">
        <f>(VLOOKUP($A482,'The List'!$B1:$AH727,29,FALSE)-AVERAGE('The List'!AD2:AD727))/STDEV('The List'!AD2:AD727)</f>
        <v>-1.0921225058442598</v>
      </c>
      <c r="R482" s="39">
        <f>(VLOOKUP($A482,'The List'!$B1:$AH727,30,FALSE)-AVERAGE('The List'!AE2:AE727))/STDEV('The List'!AE2:AE727)</f>
        <v>-1.1921764565772743</v>
      </c>
      <c r="S482" s="39">
        <f>(VLOOKUP($A482,'The List'!$B1:$AH727,31,FALSE)-AVERAGE('The List'!AF2:AF727))/STDEV('The List'!AF2:AF727)</f>
        <v>-0.4510089753847043</v>
      </c>
      <c r="T482" s="39">
        <f>(VLOOKUP($A482,'The List'!$B1:$AH727,32,FALSE)-AVERAGE('The List'!AG2:AG727))/STDEV('The List'!AG2:AG727)</f>
        <v>-0.47612569277062372</v>
      </c>
      <c r="U482" s="39">
        <f>(VLOOKUP($A482,'The List'!$B1:$AH727,33,FALSE)-AVERAGE('The List'!AH2:AH727))/STDEV('The List'!AH2:AH727)</f>
        <v>0.89462014387918365</v>
      </c>
      <c r="V482" s="39"/>
      <c r="W482" s="41"/>
      <c r="X482" s="39"/>
      <c r="Y482" s="39"/>
      <c r="Z482" s="39"/>
      <c r="AA482" s="39"/>
      <c r="AB482" s="39"/>
      <c r="AC482" s="39"/>
      <c r="AD482" s="39"/>
      <c r="AE482" s="39"/>
    </row>
    <row r="483" spans="1:31" ht="21.25" customHeight="1" x14ac:dyDescent="0.15">
      <c r="A483" s="8" t="s">
        <v>739</v>
      </c>
      <c r="B483" s="35" t="str">
        <f>VLOOKUP(A483,'Player Data'!A1:B734,2,FALSE)</f>
        <v>CBJ</v>
      </c>
      <c r="C483" s="37">
        <f>((E483)*Settings!$C$12)+(F483*Settings!$C$2)+(G483*Settings!$C$3)+(H483*Settings!$C$4)+(I483*Settings!$C$5)+(K483*Settings!$C$9)+(N483*Settings!$C$6)+(J483*Settings!$C$8)+(O483*Settings!$C$7)+(P483*Settings!$C$14)+(Q483*Settings!$C$15)+(R483*Settings!$C$16)+(S483*Settings!$C$17)+(T483*Settings!$C$18)+(U483*Settings!$C$19)</f>
        <v>-4.6081411099150547</v>
      </c>
      <c r="D483" s="41">
        <f>IF(Settings!$E$12="YES",VLOOKUP(A483,'Player Data'!A1:E734,5,FALSE),82)</f>
        <v>78.072142857142893</v>
      </c>
      <c r="E483" s="39">
        <f>(VLOOKUP($A483,'The List'!$B1:$AH727,17,FALSE)-AVERAGE('The List'!R2:R727))/STDEV('The List'!R2:R727)</f>
        <v>-0.77433002396459449</v>
      </c>
      <c r="F483" s="39">
        <f>(VLOOKUP($A483,'The List'!$B1:$AH727,18,FALSE)-AVERAGE('The List'!S2:S727))/STDEV('The List'!S2:S727)</f>
        <v>-0.34965088914196224</v>
      </c>
      <c r="G483" s="39">
        <f>(VLOOKUP($A483,'The List'!$B1:$AH727,19,FALSE)-AVERAGE('The List'!T2:T727))/STDEV('The List'!T2:T727)</f>
        <v>-0.86165990506264911</v>
      </c>
      <c r="H483" s="39">
        <f>(VLOOKUP($A483,'The List'!$B1:$AH727,20,FALSE)-AVERAGE('The List'!U2:U727))/STDEV('The List'!U2:U727)</f>
        <v>-0.69007580204136032</v>
      </c>
      <c r="I483" s="39">
        <f>(VLOOKUP($A483,'The List'!$B1:$AH727,21,FALSE)-AVERAGE('The List'!V2:V727))/STDEV('The List'!V2:V727)</f>
        <v>-0.45016994887058842</v>
      </c>
      <c r="J483" s="39">
        <f>(VLOOKUP($A483,'The List'!$B1:$AH727,22,FALSE)-AVERAGE('The List'!W2:W727))/STDEV('The List'!W2:W727)</f>
        <v>-0.68750318788993769</v>
      </c>
      <c r="K483" s="39">
        <f>(VLOOKUP($A483,'The List'!$B1:$AH727,23,FALSE)-AVERAGE('The List'!X2:X727))/STDEV('The List'!X2:X727)</f>
        <v>-0.78443343214437489</v>
      </c>
      <c r="L483" s="39">
        <f>(VLOOKUP($A483,'The List'!$B1:$AH727,24,FALSE)-AVERAGE('The List'!Y2:Y727))/STDEV('The List'!Y2:Y727)</f>
        <v>0.45994155727774266</v>
      </c>
      <c r="M483" s="39">
        <f>(VLOOKUP($A483,'The List'!$B1:$AH727,25,FALSE)-AVERAGE('The List'!Z2:Z727))/STDEV('The List'!Z2:Z727)</f>
        <v>0.30102512305011125</v>
      </c>
      <c r="N483" s="39">
        <f>(VLOOKUP($A483,'The List'!$B1:$AH727,26,FALSE)-AVERAGE('The List'!AA2:AA727))/STDEV('The List'!AA2:AA727)</f>
        <v>-0.37015378823346057</v>
      </c>
      <c r="O483" s="39">
        <f>(VLOOKUP($A483,'The List'!$B1:$AH727,27,FALSE)-AVERAGE('The List'!AB2:AB727))/STDEV('The List'!AB2:AB727)</f>
        <v>1.8740687258761897</v>
      </c>
      <c r="P483" s="39">
        <f>(VLOOKUP($A483,'The List'!$B1:$AH727,28,FALSE)-AVERAGE('The List'!AC2:AC727))/STDEV('The List'!AC2:AC727)</f>
        <v>-1.7920731464620194</v>
      </c>
      <c r="Q483" s="39">
        <f>(VLOOKUP($A483,'The List'!$B1:$AH727,29,FALSE)-AVERAGE('The List'!AD2:AD727))/STDEV('The List'!AD2:AD727)</f>
        <v>0.66228190912509655</v>
      </c>
      <c r="R483" s="39">
        <f>(VLOOKUP($A483,'The List'!$B1:$AH727,30,FALSE)-AVERAGE('The List'!AE2:AE727))/STDEV('The List'!AE2:AE727)</f>
        <v>-0.53116554346668199</v>
      </c>
      <c r="S483" s="39">
        <f>(VLOOKUP($A483,'The List'!$B1:$AH727,31,FALSE)-AVERAGE('The List'!AF2:AF727))/STDEV('The List'!AF2:AF727)</f>
        <v>2.1459090038671516</v>
      </c>
      <c r="T483" s="39">
        <f>(VLOOKUP($A483,'The List'!$B1:$AH727,32,FALSE)-AVERAGE('The List'!AG2:AG727))/STDEV('The List'!AG2:AG727)</f>
        <v>2.1547445543107857</v>
      </c>
      <c r="U483" s="39">
        <f>(VLOOKUP($A483,'The List'!$B1:$AH727,33,FALSE)-AVERAGE('The List'!AH2:AH727))/STDEV('The List'!AH2:AH727)</f>
        <v>1.054788742057621</v>
      </c>
      <c r="V483" s="39"/>
      <c r="W483" s="43"/>
      <c r="X483" s="41"/>
      <c r="Y483" s="41"/>
      <c r="Z483" s="41"/>
      <c r="AA483" s="41"/>
      <c r="AB483" s="41"/>
      <c r="AC483" s="44"/>
      <c r="AD483" s="45"/>
      <c r="AE483" s="39"/>
    </row>
    <row r="484" spans="1:31" ht="21.25" customHeight="1" x14ac:dyDescent="0.15">
      <c r="A484" s="8" t="s">
        <v>472</v>
      </c>
      <c r="B484" s="35" t="str">
        <f>VLOOKUP(A484,'Player Data'!A1:B734,2,FALSE)</f>
        <v>LAK</v>
      </c>
      <c r="C484" s="37">
        <f>((E484)*Settings!$C$12)+(F484*Settings!$C$2)+(G484*Settings!$C$3)+(H484*Settings!$C$4)+(I484*Settings!$C$5)+(K484*Settings!$C$9)+(N484*Settings!$C$6)+(J484*Settings!$C$8)+(O484*Settings!$C$7)+(P484*Settings!$C$14)+(Q484*Settings!$C$15)+(R484*Settings!$C$16)+(S484*Settings!$C$17)+(T484*Settings!$C$18)+(U484*Settings!$C$19)</f>
        <v>-1.0880712404816362</v>
      </c>
      <c r="D484" s="41">
        <f>IF(Settings!$E$12="YES",VLOOKUP(A484,'Player Data'!A1:E734,5,FALSE),82)</f>
        <v>77.412142857142896</v>
      </c>
      <c r="E484" s="39">
        <f>(VLOOKUP($A484,'The List'!$B1:$AH727,17,FALSE)-AVERAGE('The List'!R2:R727))/STDEV('The List'!R2:R727)</f>
        <v>1.3745262959244831</v>
      </c>
      <c r="F484" s="39">
        <f>(VLOOKUP($A484,'The List'!$B1:$AH727,18,FALSE)-AVERAGE('The List'!S2:S727))/STDEV('The List'!S2:S727)</f>
        <v>-0.88168588167783646</v>
      </c>
      <c r="G484" s="39">
        <f>(VLOOKUP($A484,'The List'!$B1:$AH727,19,FALSE)-AVERAGE('The List'!T2:T727))/STDEV('The List'!T2:T727)</f>
        <v>-0.48467433880363336</v>
      </c>
      <c r="H484" s="39">
        <f>(VLOOKUP($A484,'The List'!$B1:$AH727,20,FALSE)-AVERAGE('The List'!U2:U727))/STDEV('The List'!U2:U727)</f>
        <v>-0.69988303927219042</v>
      </c>
      <c r="I484" s="39">
        <f>(VLOOKUP($A484,'The List'!$B1:$AH727,21,FALSE)-AVERAGE('The List'!V2:V727))/STDEV('The List'!V2:V727)</f>
        <v>-0.64767631483425137</v>
      </c>
      <c r="J484" s="39">
        <f>(VLOOKUP($A484,'The List'!$B1:$AH727,22,FALSE)-AVERAGE('The List'!W2:W727))/STDEV('The List'!W2:W727)</f>
        <v>-0.68694620904227044</v>
      </c>
      <c r="K484" s="39">
        <f>(VLOOKUP($A484,'The List'!$B1:$AH727,23,FALSE)-AVERAGE('The List'!X2:X727))/STDEV('The List'!X2:X727)</f>
        <v>-0.77858033402069327</v>
      </c>
      <c r="L484" s="39">
        <f>(VLOOKUP($A484,'The List'!$B1:$AH727,24,FALSE)-AVERAGE('The List'!Y2:Y727))/STDEV('The List'!Y2:Y727)</f>
        <v>-0.4943250427205928</v>
      </c>
      <c r="M484" s="39">
        <f>(VLOOKUP($A484,'The List'!$B1:$AH727,25,FALSE)-AVERAGE('The List'!Z2:Z727))/STDEV('The List'!Z2:Z727)</f>
        <v>0.46245365737910016</v>
      </c>
      <c r="N484" s="39">
        <f>(VLOOKUP($A484,'The List'!$B1:$AH727,26,FALSE)-AVERAGE('The List'!AA2:AA727))/STDEV('The List'!AA2:AA727)</f>
        <v>1.6730628504658862</v>
      </c>
      <c r="O484" s="39">
        <f>(VLOOKUP($A484,'The List'!$B1:$AH727,27,FALSE)-AVERAGE('The List'!AB2:AB727))/STDEV('The List'!AB2:AB727)</f>
        <v>1.2638629044868896</v>
      </c>
      <c r="P484" s="39">
        <f>(VLOOKUP($A484,'The List'!$B1:$AH727,28,FALSE)-AVERAGE('The List'!AC2:AC727))/STDEV('The List'!AC2:AC727)</f>
        <v>3.1482778388891769E-2</v>
      </c>
      <c r="Q484" s="39">
        <f>(VLOOKUP($A484,'The List'!$B1:$AH727,29,FALSE)-AVERAGE('The List'!AD2:AD727))/STDEV('The List'!AD2:AD727)</f>
        <v>-6.5242051496250064E-2</v>
      </c>
      <c r="R484" s="39">
        <f>(VLOOKUP($A484,'The List'!$B1:$AH727,30,FALSE)-AVERAGE('The List'!AE2:AE727))/STDEV('The List'!AE2:AE727)</f>
        <v>-0.79232066737389761</v>
      </c>
      <c r="S484" s="39">
        <f>(VLOOKUP($A484,'The List'!$B1:$AH727,31,FALSE)-AVERAGE('The List'!AF2:AF727))/STDEV('The List'!AF2:AF727)</f>
        <v>-0.55804314905918151</v>
      </c>
      <c r="T484" s="39">
        <f>(VLOOKUP($A484,'The List'!$B1:$AH727,32,FALSE)-AVERAGE('The List'!AG2:AG727))/STDEV('The List'!AG2:AG727)</f>
        <v>-0.60188453558131205</v>
      </c>
      <c r="U484" s="39">
        <f>(VLOOKUP($A484,'The List'!$B1:$AH727,33,FALSE)-AVERAGE('The List'!AH2:AH727))/STDEV('The List'!AH2:AH727)</f>
        <v>-1.2395873372913611</v>
      </c>
      <c r="V484" s="39"/>
      <c r="W484" s="43"/>
      <c r="X484" s="41"/>
      <c r="Y484" s="41"/>
      <c r="Z484" s="41"/>
      <c r="AA484" s="41"/>
      <c r="AB484" s="41"/>
      <c r="AC484" s="44"/>
      <c r="AD484" s="45"/>
      <c r="AE484" s="39"/>
    </row>
    <row r="485" spans="1:31" ht="21.25" customHeight="1" x14ac:dyDescent="0.15">
      <c r="A485" s="8" t="s">
        <v>533</v>
      </c>
      <c r="B485" s="35" t="str">
        <f>VLOOKUP(A485,'Player Data'!A1:B734,2,FALSE)</f>
        <v>OTT</v>
      </c>
      <c r="C485" s="37">
        <f>((E485)*Settings!$C$12)+(F485*Settings!$C$2)+(G485*Settings!$C$3)+(H485*Settings!$C$4)+(I485*Settings!$C$5)+(K485*Settings!$C$9)+(N485*Settings!$C$6)+(J485*Settings!$C$8)+(O485*Settings!$C$7)+(P485*Settings!$C$14)+(Q485*Settings!$C$15)+(R485*Settings!$C$16)+(S485*Settings!$C$17)+(T485*Settings!$C$18)+(U485*Settings!$C$19)</f>
        <v>-1.7706550195897264</v>
      </c>
      <c r="D485" s="41">
        <f>IF(Settings!$E$12="YES",VLOOKUP(A485,'Player Data'!A1:E734,5,FALSE),82)</f>
        <v>75.427142857142897</v>
      </c>
      <c r="E485" s="39">
        <f>(VLOOKUP($A485,'The List'!$B1:$AH727,17,FALSE)-AVERAGE('The List'!R2:R727))/STDEV('The List'!R2:R727)</f>
        <v>0.70970172823504085</v>
      </c>
      <c r="F485" s="39">
        <f>(VLOOKUP($A485,'The List'!$B1:$AH727,18,FALSE)-AVERAGE('The List'!S2:S727))/STDEV('The List'!S2:S727)</f>
        <v>-0.8073794138408914</v>
      </c>
      <c r="G485" s="39">
        <f>(VLOOKUP($A485,'The List'!$B1:$AH727,19,FALSE)-AVERAGE('The List'!T2:T727))/STDEV('The List'!T2:T727)</f>
        <v>-0.57749401790560173</v>
      </c>
      <c r="H485" s="39">
        <f>(VLOOKUP($A485,'The List'!$B1:$AH727,20,FALSE)-AVERAGE('The List'!U2:U727))/STDEV('The List'!U2:U727)</f>
        <v>-0.72326528751788854</v>
      </c>
      <c r="I485" s="39">
        <f>(VLOOKUP($A485,'The List'!$B1:$AH727,21,FALSE)-AVERAGE('The List'!V2:V727))/STDEV('The List'!V2:V727)</f>
        <v>-1.0057004780923344</v>
      </c>
      <c r="J485" s="39">
        <f>(VLOOKUP($A485,'The List'!$B1:$AH727,22,FALSE)-AVERAGE('The List'!W2:W727))/STDEV('The List'!W2:W727)</f>
        <v>-0.70658434170532713</v>
      </c>
      <c r="K485" s="39">
        <f>(VLOOKUP($A485,'The List'!$B1:$AH727,23,FALSE)-AVERAGE('The List'!X2:X727))/STDEV('The List'!X2:X727)</f>
        <v>-0.78722548378856694</v>
      </c>
      <c r="L485" s="39">
        <f>(VLOOKUP($A485,'The List'!$B1:$AH727,24,FALSE)-AVERAGE('The List'!Y2:Y727))/STDEV('The List'!Y2:Y727)</f>
        <v>-0.49784820771401206</v>
      </c>
      <c r="M485" s="39">
        <f>(VLOOKUP($A485,'The List'!$B1:$AH727,25,FALSE)-AVERAGE('The List'!Z2:Z727))/STDEV('The List'!Z2:Z727)</f>
        <v>-0.61753886909830513</v>
      </c>
      <c r="N485" s="39">
        <f>(VLOOKUP($A485,'The List'!$B1:$AH727,26,FALSE)-AVERAGE('The List'!AA2:AA727))/STDEV('The List'!AA2:AA727)</f>
        <v>1.0851435053226073</v>
      </c>
      <c r="O485" s="39">
        <f>(VLOOKUP($A485,'The List'!$B1:$AH727,27,FALSE)-AVERAGE('The List'!AB2:AB727))/STDEV('The List'!AB2:AB727)</f>
        <v>1.2342944916811562</v>
      </c>
      <c r="P485" s="39">
        <f>(VLOOKUP($A485,'The List'!$B1:$AH727,28,FALSE)-AVERAGE('The List'!AC2:AC727))/STDEV('The List'!AC2:AC727)</f>
        <v>0.3220008687150604</v>
      </c>
      <c r="Q485" s="39">
        <f>(VLOOKUP($A485,'The List'!$B1:$AH727,29,FALSE)-AVERAGE('The List'!AD2:AD727))/STDEV('The List'!AD2:AD727)</f>
        <v>1.1746919079986855</v>
      </c>
      <c r="R485" s="39">
        <f>(VLOOKUP($A485,'The List'!$B1:$AH727,30,FALSE)-AVERAGE('The List'!AE2:AE727))/STDEV('The List'!AE2:AE727)</f>
        <v>-0.75065626002486641</v>
      </c>
      <c r="S485" s="39">
        <f>(VLOOKUP($A485,'The List'!$B1:$AH727,31,FALSE)-AVERAGE('The List'!AF2:AF727))/STDEV('The List'!AF2:AF727)</f>
        <v>-0.55804314905918151</v>
      </c>
      <c r="T485" s="39">
        <f>(VLOOKUP($A485,'The List'!$B1:$AH727,32,FALSE)-AVERAGE('The List'!AG2:AG727))/STDEV('The List'!AG2:AG727)</f>
        <v>-0.60188453558131205</v>
      </c>
      <c r="U485" s="39">
        <f>(VLOOKUP($A485,'The List'!$B1:$AH727,33,FALSE)-AVERAGE('The List'!AH2:AH727))/STDEV('The List'!AH2:AH727)</f>
        <v>-1.2395873372913611</v>
      </c>
      <c r="V485" s="39"/>
      <c r="W485" s="43"/>
      <c r="X485" s="41"/>
      <c r="Y485" s="41"/>
      <c r="Z485" s="41"/>
      <c r="AA485" s="41"/>
      <c r="AB485" s="41"/>
      <c r="AC485" s="44"/>
      <c r="AD485" s="45"/>
      <c r="AE485" s="39"/>
    </row>
    <row r="486" spans="1:31" ht="21.25" customHeight="1" x14ac:dyDescent="0.15">
      <c r="A486" s="8" t="s">
        <v>488</v>
      </c>
      <c r="B486" s="35" t="str">
        <f>VLOOKUP(A486,'Player Data'!A1:B734,2,FALSE)</f>
        <v>FLA</v>
      </c>
      <c r="C486" s="37">
        <f>((E486)*Settings!$C$12)+(F486*Settings!$C$2)+(G486*Settings!$C$3)+(H486*Settings!$C$4)+(I486*Settings!$C$5)+(K486*Settings!$C$9)+(N486*Settings!$C$6)+(J486*Settings!$C$8)+(O486*Settings!$C$7)+(P486*Settings!$C$14)+(Q486*Settings!$C$15)+(R486*Settings!$C$16)+(S486*Settings!$C$17)+(T486*Settings!$C$18)+(U486*Settings!$C$19)</f>
        <v>-2.3847894598010559</v>
      </c>
      <c r="D486" s="41">
        <f>IF(Settings!$E$12="YES",VLOOKUP(A486,'Player Data'!A1:E734,5,FALSE),82)</f>
        <v>75.1832142857143</v>
      </c>
      <c r="E486" s="39">
        <f>(VLOOKUP($A486,'The List'!$B1:$AH727,17,FALSE)-AVERAGE('The List'!R2:R727))/STDEV('The List'!R2:R727)</f>
        <v>0.17038062990979358</v>
      </c>
      <c r="F486" s="39">
        <f>(VLOOKUP($A486,'The List'!$B1:$AH727,18,FALSE)-AVERAGE('The List'!S2:S727))/STDEV('The List'!S2:S727)</f>
        <v>-1.0617414472093361</v>
      </c>
      <c r="G486" s="39">
        <f>(VLOOKUP($A486,'The List'!$B1:$AH727,19,FALSE)-AVERAGE('The List'!T2:T727))/STDEV('The List'!T2:T727)</f>
        <v>-0.3961406537682472</v>
      </c>
      <c r="H486" s="39">
        <f>(VLOOKUP($A486,'The List'!$B1:$AH727,20,FALSE)-AVERAGE('The List'!U2:U727))/STDEV('The List'!U2:U727)</f>
        <v>-0.72726431687984427</v>
      </c>
      <c r="I486" s="39">
        <f>(VLOOKUP($A486,'The List'!$B1:$AH727,21,FALSE)-AVERAGE('The List'!V2:V727))/STDEV('The List'!V2:V727)</f>
        <v>-0.41623643795682369</v>
      </c>
      <c r="J486" s="39">
        <f>(VLOOKUP($A486,'The List'!$B1:$AH727,22,FALSE)-AVERAGE('The List'!W2:W727))/STDEV('The List'!W2:W727)</f>
        <v>-0.59827289982840925</v>
      </c>
      <c r="K486" s="39">
        <f>(VLOOKUP($A486,'The List'!$B1:$AH727,23,FALSE)-AVERAGE('The List'!X2:X727))/STDEV('The List'!X2:X727)</f>
        <v>-0.51512320133839906</v>
      </c>
      <c r="L486" s="39">
        <f>(VLOOKUP($A486,'The List'!$B1:$AH727,24,FALSE)-AVERAGE('The List'!Y2:Y727))/STDEV('The List'!Y2:Y727)</f>
        <v>-0.518278254900848</v>
      </c>
      <c r="M486" s="39">
        <f>(VLOOKUP($A486,'The List'!$B1:$AH727,25,FALSE)-AVERAGE('The List'!Z2:Z727))/STDEV('The List'!Z2:Z727)</f>
        <v>-0.39367118685934516</v>
      </c>
      <c r="N486" s="39">
        <f>(VLOOKUP($A486,'The List'!$B1:$AH727,26,FALSE)-AVERAGE('The List'!AA2:AA727))/STDEV('The List'!AA2:AA727)</f>
        <v>9.440537138049139E-2</v>
      </c>
      <c r="O486" s="39">
        <f>(VLOOKUP($A486,'The List'!$B1:$AH727,27,FALSE)-AVERAGE('The List'!AB2:AB727))/STDEV('The List'!AB2:AB727)</f>
        <v>-0.17655827101474603</v>
      </c>
      <c r="P486" s="39">
        <f>(VLOOKUP($A486,'The List'!$B1:$AH727,28,FALSE)-AVERAGE('The List'!AC2:AC727))/STDEV('The List'!AC2:AC727)</f>
        <v>-8.9953090908741526E-2</v>
      </c>
      <c r="Q486" s="39">
        <f>(VLOOKUP($A486,'The List'!$B1:$AH727,29,FALSE)-AVERAGE('The List'!AD2:AD727))/STDEV('The List'!AD2:AD727)</f>
        <v>0.2058161768087588</v>
      </c>
      <c r="R486" s="39">
        <f>(VLOOKUP($A486,'The List'!$B1:$AH727,30,FALSE)-AVERAGE('The List'!AE2:AE727))/STDEV('The List'!AE2:AE727)</f>
        <v>-0.97453997665160796</v>
      </c>
      <c r="S486" s="39">
        <f>(VLOOKUP($A486,'The List'!$B1:$AH727,31,FALSE)-AVERAGE('The List'!AF2:AF727))/STDEV('The List'!AF2:AF727)</f>
        <v>-0.55804314905918151</v>
      </c>
      <c r="T486" s="39">
        <f>(VLOOKUP($A486,'The List'!$B1:$AH727,32,FALSE)-AVERAGE('The List'!AG2:AG727))/STDEV('The List'!AG2:AG727)</f>
        <v>-0.60188453558131205</v>
      </c>
      <c r="U486" s="39">
        <f>(VLOOKUP($A486,'The List'!$B1:$AH727,33,FALSE)-AVERAGE('The List'!AH2:AH727))/STDEV('The List'!AH2:AH727)</f>
        <v>-1.2395873372913611</v>
      </c>
      <c r="V486" s="39"/>
      <c r="W486" s="43"/>
      <c r="X486" s="41"/>
      <c r="Y486" s="41"/>
      <c r="Z486" s="41"/>
      <c r="AA486" s="41"/>
      <c r="AB486" s="41"/>
      <c r="AC486" s="44"/>
      <c r="AD486" s="45"/>
      <c r="AE486" s="39"/>
    </row>
    <row r="487" spans="1:31" ht="21.25" customHeight="1" x14ac:dyDescent="0.15">
      <c r="A487" s="8" t="s">
        <v>686</v>
      </c>
      <c r="B487" s="35" t="str">
        <f>VLOOKUP(A487,'Player Data'!A1:B734,2,FALSE)</f>
        <v>ANA</v>
      </c>
      <c r="C487" s="37">
        <f>((E487)*Settings!$C$12)+(F487*Settings!$C$2)+(G487*Settings!$C$3)+(H487*Settings!$C$4)+(I487*Settings!$C$5)+(K487*Settings!$C$9)+(N487*Settings!$C$6)+(J487*Settings!$C$8)+(O487*Settings!$C$7)+(P487*Settings!$C$14)+(Q487*Settings!$C$15)+(R487*Settings!$C$16)+(S487*Settings!$C$17)+(T487*Settings!$C$18)+(U487*Settings!$C$19)</f>
        <v>-4.9508319733734716</v>
      </c>
      <c r="D487" s="41">
        <f>IF(Settings!$E$12="YES",VLOOKUP(A487,'Player Data'!A1:E734,5,FALSE),82)</f>
        <v>75.530357142857099</v>
      </c>
      <c r="E487" s="39">
        <f>(VLOOKUP($A487,'The List'!$B1:$AH727,17,FALSE)-AVERAGE('The List'!R2:R727))/STDEV('The List'!R2:R727)</f>
        <v>-0.87384575625147121</v>
      </c>
      <c r="F487" s="39">
        <f>(VLOOKUP($A487,'The List'!$B1:$AH727,18,FALSE)-AVERAGE('The List'!S2:S727))/STDEV('The List'!S2:S727)</f>
        <v>-0.19160457330794162</v>
      </c>
      <c r="G487" s="39">
        <f>(VLOOKUP($A487,'The List'!$B1:$AH727,19,FALSE)-AVERAGE('The List'!T2:T727))/STDEV('The List'!T2:T727)</f>
        <v>-1.0324767119474416</v>
      </c>
      <c r="H487" s="39">
        <f>(VLOOKUP($A487,'The List'!$B1:$AH727,20,FALSE)-AVERAGE('The List'!U2:U727))/STDEV('The List'!U2:U727)</f>
        <v>-0.72341372764547174</v>
      </c>
      <c r="I487" s="39">
        <f>(VLOOKUP($A487,'The List'!$B1:$AH727,21,FALSE)-AVERAGE('The List'!V2:V727))/STDEV('The List'!V2:V727)</f>
        <v>-0.58001648827920271</v>
      </c>
      <c r="J487" s="39">
        <f>(VLOOKUP($A487,'The List'!$B1:$AH727,22,FALSE)-AVERAGE('The List'!W2:W727))/STDEV('The List'!W2:W727)</f>
        <v>-0.70734739940754154</v>
      </c>
      <c r="K487" s="39">
        <f>(VLOOKUP($A487,'The List'!$B1:$AH727,23,FALSE)-AVERAGE('The List'!X2:X727))/STDEV('The List'!X2:X727)</f>
        <v>-0.79667675289907758</v>
      </c>
      <c r="L487" s="39">
        <f>(VLOOKUP($A487,'The List'!$B1:$AH727,24,FALSE)-AVERAGE('The List'!Y2:Y727))/STDEV('The List'!Y2:Y727)</f>
        <v>2.0944213434717964</v>
      </c>
      <c r="M487" s="39">
        <f>(VLOOKUP($A487,'The List'!$B1:$AH727,25,FALSE)-AVERAGE('The List'!Z2:Z727))/STDEV('The List'!Z2:Z727)</f>
        <v>1.009575269792822</v>
      </c>
      <c r="N487" s="39">
        <f>(VLOOKUP($A487,'The List'!$B1:$AH727,26,FALSE)-AVERAGE('The List'!AA2:AA727))/STDEV('The List'!AA2:AA727)</f>
        <v>-0.32482815366305262</v>
      </c>
      <c r="O487" s="39">
        <f>(VLOOKUP($A487,'The List'!$B1:$AH727,27,FALSE)-AVERAGE('The List'!AB2:AB727))/STDEV('The List'!AB2:AB727)</f>
        <v>2.6927456719313052E-2</v>
      </c>
      <c r="P487" s="39">
        <f>(VLOOKUP($A487,'The List'!$B1:$AH727,28,FALSE)-AVERAGE('The List'!AC2:AC727))/STDEV('The List'!AC2:AC727)</f>
        <v>-2.0252292932767557</v>
      </c>
      <c r="Q487" s="39">
        <f>(VLOOKUP($A487,'The List'!$B1:$AH727,29,FALSE)-AVERAGE('The List'!AD2:AD727))/STDEV('The List'!AD2:AD727)</f>
        <v>-0.85649121100132442</v>
      </c>
      <c r="R487" s="39">
        <f>(VLOOKUP($A487,'The List'!$B1:$AH727,30,FALSE)-AVERAGE('The List'!AE2:AE727))/STDEV('The List'!AE2:AE727)</f>
        <v>-0.41151881538312979</v>
      </c>
      <c r="S487" s="39">
        <f>(VLOOKUP($A487,'The List'!$B1:$AH727,31,FALSE)-AVERAGE('The List'!AF2:AF727))/STDEV('The List'!AF2:AF727)</f>
        <v>-0.52795472814319633</v>
      </c>
      <c r="T487" s="39">
        <f>(VLOOKUP($A487,'The List'!$B1:$AH727,32,FALSE)-AVERAGE('The List'!AG2:AG727))/STDEV('The List'!AG2:AG727)</f>
        <v>-0.52947166108423382</v>
      </c>
      <c r="U487" s="39">
        <f>(VLOOKUP($A487,'The List'!$B1:$AH727,33,FALSE)-AVERAGE('The List'!AH2:AH727))/STDEV('The List'!AH2:AH727)</f>
        <v>0.13456508179138188</v>
      </c>
      <c r="V487" s="39"/>
      <c r="W487" s="43"/>
      <c r="X487" s="41"/>
      <c r="Y487" s="41"/>
      <c r="Z487" s="41"/>
      <c r="AA487" s="41"/>
      <c r="AB487" s="41"/>
      <c r="AC487" s="44"/>
      <c r="AD487" s="45"/>
      <c r="AE487" s="39"/>
    </row>
    <row r="488" spans="1:31" ht="21.25" customHeight="1" x14ac:dyDescent="0.15">
      <c r="A488" s="8" t="s">
        <v>463</v>
      </c>
      <c r="B488" s="35" t="str">
        <f>VLOOKUP(A488,'Player Data'!A1:B734,2,FALSE)</f>
        <v>BUF</v>
      </c>
      <c r="C488" s="37">
        <f>((E488)*Settings!$C$12)+(F488*Settings!$C$2)+(G488*Settings!$C$3)+(H488*Settings!$C$4)+(I488*Settings!$C$5)+(K488*Settings!$C$9)+(N488*Settings!$C$6)+(J488*Settings!$C$8)+(O488*Settings!$C$7)+(P488*Settings!$C$14)+(Q488*Settings!$C$15)+(R488*Settings!$C$16)+(S488*Settings!$C$17)+(T488*Settings!$C$18)+(U488*Settings!$C$19)</f>
        <v>-1.5879367984441108</v>
      </c>
      <c r="D488" s="41">
        <f>IF(Settings!$E$12="YES",VLOOKUP(A488,'Player Data'!A1:E734,5,FALSE),82)</f>
        <v>77.48</v>
      </c>
      <c r="E488" s="39">
        <f>(VLOOKUP($A488,'The List'!$B1:$AH727,17,FALSE)-AVERAGE('The List'!R2:R727))/STDEV('The List'!R2:R727)</f>
        <v>0.58920663943152096</v>
      </c>
      <c r="F488" s="39">
        <f>(VLOOKUP($A488,'The List'!$B1:$AH727,18,FALSE)-AVERAGE('The List'!S2:S727))/STDEV('The List'!S2:S727)</f>
        <v>-0.88762529649850741</v>
      </c>
      <c r="G488" s="39">
        <f>(VLOOKUP($A488,'The List'!$B1:$AH727,19,FALSE)-AVERAGE('The List'!T2:T727))/STDEV('The List'!T2:T727)</f>
        <v>-0.48217835748740595</v>
      </c>
      <c r="H488" s="39">
        <f>(VLOOKUP($A488,'The List'!$B1:$AH727,20,FALSE)-AVERAGE('The List'!U2:U727))/STDEV('The List'!U2:U727)</f>
        <v>-0.70104779801266515</v>
      </c>
      <c r="I488" s="39">
        <f>(VLOOKUP($A488,'The List'!$B1:$AH727,21,FALSE)-AVERAGE('The List'!V2:V727))/STDEV('The List'!V2:V727)</f>
        <v>-0.47435339630560497</v>
      </c>
      <c r="J488" s="39">
        <f>(VLOOKUP($A488,'The List'!$B1:$AH727,22,FALSE)-AVERAGE('The List'!W2:W727))/STDEV('The List'!W2:W727)</f>
        <v>-0.70588371552139084</v>
      </c>
      <c r="K488" s="39">
        <f>(VLOOKUP($A488,'The List'!$B1:$AH727,23,FALSE)-AVERAGE('The List'!X2:X727))/STDEV('The List'!X2:X727)</f>
        <v>-0.78531047820950706</v>
      </c>
      <c r="L488" s="39">
        <f>(VLOOKUP($A488,'The List'!$B1:$AH727,24,FALSE)-AVERAGE('The List'!Y2:Y727))/STDEV('The List'!Y2:Y727)</f>
        <v>0.20628126313718381</v>
      </c>
      <c r="M488" s="39">
        <f>(VLOOKUP($A488,'The List'!$B1:$AH727,25,FALSE)-AVERAGE('The List'!Z2:Z727))/STDEV('The List'!Z2:Z727)</f>
        <v>-2.1467495950514972E-2</v>
      </c>
      <c r="N488" s="39">
        <f>(VLOOKUP($A488,'The List'!$B1:$AH727,26,FALSE)-AVERAGE('The List'!AA2:AA727))/STDEV('The List'!AA2:AA727)</f>
        <v>1.4881308091519925</v>
      </c>
      <c r="O488" s="39">
        <f>(VLOOKUP($A488,'The List'!$B1:$AH727,27,FALSE)-AVERAGE('The List'!AB2:AB727))/STDEV('The List'!AB2:AB727)</f>
        <v>2.2077671418291929</v>
      </c>
      <c r="P488" s="39">
        <f>(VLOOKUP($A488,'The List'!$B1:$AH727,28,FALSE)-AVERAGE('The List'!AC2:AC727))/STDEV('The List'!AC2:AC727)</f>
        <v>-0.44660007909507821</v>
      </c>
      <c r="Q488" s="39">
        <f>(VLOOKUP($A488,'The List'!$B1:$AH727,29,FALSE)-AVERAGE('The List'!AD2:AD727))/STDEV('The List'!AD2:AD727)</f>
        <v>1.7132943772948017</v>
      </c>
      <c r="R488" s="39">
        <f>(VLOOKUP($A488,'The List'!$B1:$AH727,30,FALSE)-AVERAGE('The List'!AE2:AE727))/STDEV('The List'!AE2:AE727)</f>
        <v>-0.85009673983129752</v>
      </c>
      <c r="S488" s="39">
        <f>(VLOOKUP($A488,'The List'!$B1:$AH727,31,FALSE)-AVERAGE('The List'!AF2:AF727))/STDEV('The List'!AF2:AF727)</f>
        <v>-0.55804314905918151</v>
      </c>
      <c r="T488" s="39">
        <f>(VLOOKUP($A488,'The List'!$B1:$AH727,32,FALSE)-AVERAGE('The List'!AG2:AG727))/STDEV('The List'!AG2:AG727)</f>
        <v>-0.60188453558131205</v>
      </c>
      <c r="U488" s="39">
        <f>(VLOOKUP($A488,'The List'!$B1:$AH727,33,FALSE)-AVERAGE('The List'!AH2:AH727))/STDEV('The List'!AH2:AH727)</f>
        <v>-1.2395873372913611</v>
      </c>
      <c r="V488" s="39"/>
      <c r="W488" s="43"/>
      <c r="X488" s="41"/>
      <c r="Y488" s="41"/>
      <c r="Z488" s="41"/>
      <c r="AA488" s="41"/>
      <c r="AB488" s="41"/>
      <c r="AC488" s="44"/>
      <c r="AD488" s="45"/>
      <c r="AE488" s="39"/>
    </row>
    <row r="489" spans="1:31" ht="21.25" customHeight="1" x14ac:dyDescent="0.15">
      <c r="A489" s="8" t="s">
        <v>650</v>
      </c>
      <c r="B489" s="35" t="str">
        <f>VLOOKUP(A489,'Player Data'!A1:B734,2,FALSE)</f>
        <v>MTL</v>
      </c>
      <c r="C489" s="37">
        <f>((E489)*Settings!$C$12)+(F489*Settings!$C$2)+(G489*Settings!$C$3)+(H489*Settings!$C$4)+(I489*Settings!$C$5)+(K489*Settings!$C$9)+(N489*Settings!$C$6)+(J489*Settings!$C$8)+(O489*Settings!$C$7)+(P489*Settings!$C$14)+(Q489*Settings!$C$15)+(R489*Settings!$C$16)+(S489*Settings!$C$17)+(T489*Settings!$C$18)+(U489*Settings!$C$19)</f>
        <v>-5.0554533880954828</v>
      </c>
      <c r="D489" s="41">
        <f>IF(Settings!$E$12="YES",VLOOKUP(A489,'Player Data'!A1:E734,5,FALSE),82)</f>
        <v>69.886071428571398</v>
      </c>
      <c r="E489" s="39">
        <f>(VLOOKUP($A489,'The List'!$B1:$AH727,17,FALSE)-AVERAGE('The List'!R2:R727))/STDEV('The List'!R2:R727)</f>
        <v>-0.88159356603323014</v>
      </c>
      <c r="F489" s="39">
        <f>(VLOOKUP($A489,'The List'!$B1:$AH727,18,FALSE)-AVERAGE('The List'!S2:S727))/STDEV('The List'!S2:S727)</f>
        <v>-0.46776527525718986</v>
      </c>
      <c r="G489" s="39">
        <f>(VLOOKUP($A489,'The List'!$B1:$AH727,19,FALSE)-AVERAGE('The List'!T2:T727))/STDEV('The List'!T2:T727)</f>
        <v>-0.94396339865896806</v>
      </c>
      <c r="H489" s="39">
        <f>(VLOOKUP($A489,'The List'!$B1:$AH727,20,FALSE)-AVERAGE('The List'!U2:U727))/STDEV('The List'!U2:U727)</f>
        <v>-0.79454140949063257</v>
      </c>
      <c r="I489" s="39">
        <f>(VLOOKUP($A489,'The List'!$B1:$AH727,21,FALSE)-AVERAGE('The List'!V2:V727))/STDEV('The List'!V2:V727)</f>
        <v>-0.48849322934049488</v>
      </c>
      <c r="J489" s="39">
        <f>(VLOOKUP($A489,'The List'!$B1:$AH727,22,FALSE)-AVERAGE('The List'!W2:W727))/STDEV('The List'!W2:W727)</f>
        <v>-0.652325432024909</v>
      </c>
      <c r="K489" s="39">
        <f>(VLOOKUP($A489,'The List'!$B1:$AH727,23,FALSE)-AVERAGE('The List'!X2:X727))/STDEV('The List'!X2:X727)</f>
        <v>-0.73331619160812478</v>
      </c>
      <c r="L489" s="39">
        <f>(VLOOKUP($A489,'The List'!$B1:$AH727,24,FALSE)-AVERAGE('The List'!Y2:Y727))/STDEV('The List'!Y2:Y727)</f>
        <v>1.5220101600428908</v>
      </c>
      <c r="M489" s="39">
        <f>(VLOOKUP($A489,'The List'!$B1:$AH727,25,FALSE)-AVERAGE('The List'!Z2:Z727))/STDEV('The List'!Z2:Z727)</f>
        <v>0.87858057026911518</v>
      </c>
      <c r="N489" s="39">
        <f>(VLOOKUP($A489,'The List'!$B1:$AH727,26,FALSE)-AVERAGE('The List'!AA2:AA727))/STDEV('The List'!AA2:AA727)</f>
        <v>-0.62601441680839143</v>
      </c>
      <c r="O489" s="39">
        <f>(VLOOKUP($A489,'The List'!$B1:$AH727,27,FALSE)-AVERAGE('The List'!AB2:AB727))/STDEV('The List'!AB2:AB727)</f>
        <v>-0.15313569174843109</v>
      </c>
      <c r="P489" s="39">
        <f>(VLOOKUP($A489,'The List'!$B1:$AH727,28,FALSE)-AVERAGE('The List'!AC2:AC727))/STDEV('The List'!AC2:AC727)</f>
        <v>-1.7959008764223137</v>
      </c>
      <c r="Q489" s="39">
        <f>(VLOOKUP($A489,'The List'!$B1:$AH727,29,FALSE)-AVERAGE('The List'!AD2:AD727))/STDEV('The List'!AD2:AD727)</f>
        <v>-0.62382217961891462</v>
      </c>
      <c r="R489" s="39">
        <f>(VLOOKUP($A489,'The List'!$B1:$AH727,30,FALSE)-AVERAGE('The List'!AE2:AE727))/STDEV('The List'!AE2:AE727)</f>
        <v>-0.60729923078951942</v>
      </c>
      <c r="S489" s="39">
        <f>(VLOOKUP($A489,'The List'!$B1:$AH727,31,FALSE)-AVERAGE('The List'!AF2:AF727))/STDEV('The List'!AF2:AF727)</f>
        <v>-0.53684424694004884</v>
      </c>
      <c r="T489" s="39">
        <f>(VLOOKUP($A489,'The List'!$B1:$AH727,32,FALSE)-AVERAGE('The List'!AG2:AG727))/STDEV('The List'!AG2:AG727)</f>
        <v>-0.53734025827445864</v>
      </c>
      <c r="U489" s="39">
        <f>(VLOOKUP($A489,'The List'!$B1:$AH727,33,FALSE)-AVERAGE('The List'!AH2:AH727))/STDEV('The List'!AH2:AH727)</f>
        <v>-7.9449842391619147E-2</v>
      </c>
      <c r="V489" s="39"/>
      <c r="W489" s="43"/>
      <c r="X489" s="41"/>
      <c r="Y489" s="41"/>
      <c r="Z489" s="41"/>
      <c r="AA489" s="41"/>
      <c r="AB489" s="41"/>
      <c r="AC489" s="44"/>
      <c r="AD489" s="45"/>
      <c r="AE489" s="39"/>
    </row>
    <row r="490" spans="1:31" ht="21.25" customHeight="1" x14ac:dyDescent="0.15">
      <c r="A490" s="8" t="s">
        <v>485</v>
      </c>
      <c r="B490" s="35" t="str">
        <f>VLOOKUP(A490,'Player Data'!A1:B734,2,FALSE)</f>
        <v>SEA</v>
      </c>
      <c r="C490" s="37">
        <f>((E490)*Settings!$C$12)+(F490*Settings!$C$2)+(G490*Settings!$C$3)+(H490*Settings!$C$4)+(I490*Settings!$C$5)+(K490*Settings!$C$9)+(N490*Settings!$C$6)+(J490*Settings!$C$8)+(O490*Settings!$C$7)+(P490*Settings!$C$14)+(Q490*Settings!$C$15)+(R490*Settings!$C$16)+(S490*Settings!$C$17)+(T490*Settings!$C$18)+(U490*Settings!$C$19)</f>
        <v>-1.3494366641223672</v>
      </c>
      <c r="D490" s="41">
        <f>IF(Settings!$E$12="YES",VLOOKUP(A490,'Player Data'!A1:E734,5,FALSE),82)</f>
        <v>79.412499999999994</v>
      </c>
      <c r="E490" s="39">
        <f>(VLOOKUP($A490,'The List'!$B1:$AH727,17,FALSE)-AVERAGE('The List'!R2:R727))/STDEV('The List'!R2:R727)</f>
        <v>0.72906556427886393</v>
      </c>
      <c r="F490" s="39">
        <f>(VLOOKUP($A490,'The List'!$B1:$AH727,18,FALSE)-AVERAGE('The List'!S2:S727))/STDEV('The List'!S2:S727)</f>
        <v>-0.77413348368042323</v>
      </c>
      <c r="G490" s="39">
        <f>(VLOOKUP($A490,'The List'!$B1:$AH727,19,FALSE)-AVERAGE('The List'!T2:T727))/STDEV('The List'!T2:T727)</f>
        <v>-0.54538662059328524</v>
      </c>
      <c r="H490" s="39">
        <f>(VLOOKUP($A490,'The List'!$B1:$AH727,20,FALSE)-AVERAGE('The List'!U2:U727))/STDEV('The List'!U2:U727)</f>
        <v>-0.68835143501917806</v>
      </c>
      <c r="I490" s="39">
        <f>(VLOOKUP($A490,'The List'!$B1:$AH727,21,FALSE)-AVERAGE('The List'!V2:V727))/STDEV('The List'!V2:V727)</f>
        <v>-0.68959165301629566</v>
      </c>
      <c r="J490" s="39">
        <f>(VLOOKUP($A490,'The List'!$B1:$AH727,22,FALSE)-AVERAGE('The List'!W2:W727))/STDEV('The List'!W2:W727)</f>
        <v>-0.70647024309447959</v>
      </c>
      <c r="K490" s="39">
        <f>(VLOOKUP($A490,'The List'!$B1:$AH727,23,FALSE)-AVERAGE('The List'!X2:X727))/STDEV('The List'!X2:X727)</f>
        <v>-0.78685817012096593</v>
      </c>
      <c r="L490" s="39">
        <f>(VLOOKUP($A490,'The List'!$B1:$AH727,24,FALSE)-AVERAGE('The List'!Y2:Y727))/STDEV('The List'!Y2:Y727)</f>
        <v>-0.49348288450099786</v>
      </c>
      <c r="M490" s="39">
        <f>(VLOOKUP($A490,'The List'!$B1:$AH727,25,FALSE)-AVERAGE('The List'!Z2:Z727))/STDEV('The List'!Z2:Z727)</f>
        <v>-0.20051754900164467</v>
      </c>
      <c r="N490" s="39">
        <f>(VLOOKUP($A490,'The List'!$B1:$AH727,26,FALSE)-AVERAGE('The List'!AA2:AA727))/STDEV('The List'!AA2:AA727)</f>
        <v>1.530647019228675</v>
      </c>
      <c r="O490" s="39">
        <f>(VLOOKUP($A490,'The List'!$B1:$AH727,27,FALSE)-AVERAGE('The List'!AB2:AB727))/STDEV('The List'!AB2:AB727)</f>
        <v>1.1796326750512622</v>
      </c>
      <c r="P490" s="39">
        <f>(VLOOKUP($A490,'The List'!$B1:$AH727,28,FALSE)-AVERAGE('The List'!AC2:AC727))/STDEV('The List'!AC2:AC727)</f>
        <v>-8.411375594007188E-2</v>
      </c>
      <c r="Q490" s="39">
        <f>(VLOOKUP($A490,'The List'!$B1:$AH727,29,FALSE)-AVERAGE('The List'!AD2:AD727))/STDEV('The List'!AD2:AD727)</f>
        <v>1.5545776804155464</v>
      </c>
      <c r="R490" s="39">
        <f>(VLOOKUP($A490,'The List'!$B1:$AH727,30,FALSE)-AVERAGE('The List'!AE2:AE727))/STDEV('The List'!AE2:AE727)</f>
        <v>-0.71485422347136418</v>
      </c>
      <c r="S490" s="39">
        <f>(VLOOKUP($A490,'The List'!$B1:$AH727,31,FALSE)-AVERAGE('The List'!AF2:AF727))/STDEV('The List'!AF2:AF727)</f>
        <v>-0.55804314905918151</v>
      </c>
      <c r="T490" s="39">
        <f>(VLOOKUP($A490,'The List'!$B1:$AH727,32,FALSE)-AVERAGE('The List'!AG2:AG727))/STDEV('The List'!AG2:AG727)</f>
        <v>-0.60188453558131205</v>
      </c>
      <c r="U490" s="39">
        <f>(VLOOKUP($A490,'The List'!$B1:$AH727,33,FALSE)-AVERAGE('The List'!AH2:AH727))/STDEV('The List'!AH2:AH727)</f>
        <v>-1.2395873372913611</v>
      </c>
      <c r="V490" s="39"/>
      <c r="W490" s="43"/>
      <c r="X490" s="41"/>
      <c r="Y490" s="41"/>
      <c r="Z490" s="41"/>
      <c r="AA490" s="41"/>
      <c r="AB490" s="41"/>
      <c r="AC490" s="44"/>
      <c r="AD490" s="45"/>
      <c r="AE490" s="39"/>
    </row>
    <row r="491" spans="1:31" ht="21.25" customHeight="1" x14ac:dyDescent="0.15">
      <c r="A491" s="8" t="s">
        <v>487</v>
      </c>
      <c r="B491" s="35" t="str">
        <f>VLOOKUP(A491,'Player Data'!A1:B734,2,FALSE)</f>
        <v>EDM</v>
      </c>
      <c r="C491" s="37">
        <f>((E491)*Settings!$C$12)+(F491*Settings!$C$2)+(G491*Settings!$C$3)+(H491*Settings!$C$4)+(I491*Settings!$C$5)+(K491*Settings!$C$9)+(N491*Settings!$C$6)+(J491*Settings!$C$8)+(O491*Settings!$C$7)+(P491*Settings!$C$14)+(Q491*Settings!$C$15)+(R491*Settings!$C$16)+(S491*Settings!$C$17)+(T491*Settings!$C$18)+(U491*Settings!$C$19)</f>
        <v>-0.49055737224589469</v>
      </c>
      <c r="D491" s="41">
        <f>IF(Settings!$E$12="YES",VLOOKUP(A491,'Player Data'!A1:E734,5,FALSE),82)</f>
        <v>80.685714285714297</v>
      </c>
      <c r="E491" s="39">
        <f>(VLOOKUP($A491,'The List'!$B1:$AH727,17,FALSE)-AVERAGE('The List'!R2:R727))/STDEV('The List'!R2:R727)</f>
        <v>0.66205362109502086</v>
      </c>
      <c r="F491" s="39">
        <f>(VLOOKUP($A491,'The List'!$B1:$AH727,18,FALSE)-AVERAGE('The List'!S2:S727))/STDEV('The List'!S2:S727)</f>
        <v>-0.96454793566690933</v>
      </c>
      <c r="G491" s="39">
        <f>(VLOOKUP($A491,'The List'!$B1:$AH727,19,FALSE)-AVERAGE('The List'!T2:T727))/STDEV('The List'!T2:T727)</f>
        <v>-0.38434951318421395</v>
      </c>
      <c r="H491" s="39">
        <f>(VLOOKUP($A491,'The List'!$B1:$AH727,20,FALSE)-AVERAGE('The List'!U2:U727))/STDEV('The List'!U2:U727)</f>
        <v>-0.6757693777122229</v>
      </c>
      <c r="I491" s="39">
        <f>(VLOOKUP($A491,'The List'!$B1:$AH727,21,FALSE)-AVERAGE('The List'!V2:V727))/STDEV('The List'!V2:V727)</f>
        <v>-0.70376453418661067</v>
      </c>
      <c r="J491" s="39">
        <f>(VLOOKUP($A491,'The List'!$B1:$AH727,22,FALSE)-AVERAGE('The List'!W2:W727))/STDEV('The List'!W2:W727)</f>
        <v>-0.7057986601386087</v>
      </c>
      <c r="K491" s="39">
        <f>(VLOOKUP($A491,'The List'!$B1:$AH727,23,FALSE)-AVERAGE('The List'!X2:X727))/STDEV('The List'!X2:X727)</f>
        <v>-0.78481565383495921</v>
      </c>
      <c r="L491" s="39">
        <f>(VLOOKUP($A491,'The List'!$B1:$AH727,24,FALSE)-AVERAGE('The List'!Y2:Y727))/STDEV('The List'!Y2:Y727)</f>
        <v>-0.5039188787724912</v>
      </c>
      <c r="M491" s="39">
        <f>(VLOOKUP($A491,'The List'!$B1:$AH727,25,FALSE)-AVERAGE('The List'!Z2:Z727))/STDEV('The List'!Z2:Z727)</f>
        <v>0.27427079160446988</v>
      </c>
      <c r="N491" s="39">
        <f>(VLOOKUP($A491,'The List'!$B1:$AH727,26,FALSE)-AVERAGE('The List'!AA2:AA727))/STDEV('The List'!AA2:AA727)</f>
        <v>1.3277989084402986</v>
      </c>
      <c r="O491" s="39">
        <f>(VLOOKUP($A491,'The List'!$B1:$AH727,27,FALSE)-AVERAGE('The List'!AB2:AB727))/STDEV('The List'!AB2:AB727)</f>
        <v>0.70894874216268788</v>
      </c>
      <c r="P491" s="39">
        <f>(VLOOKUP($A491,'The List'!$B1:$AH727,28,FALSE)-AVERAGE('The List'!AC2:AC727))/STDEV('The List'!AC2:AC727)</f>
        <v>1.0191213561864998</v>
      </c>
      <c r="Q491" s="39">
        <f>(VLOOKUP($A491,'The List'!$B1:$AH727,29,FALSE)-AVERAGE('The List'!AD2:AD727))/STDEV('The List'!AD2:AD727)</f>
        <v>-0.68261262632541531</v>
      </c>
      <c r="R491" s="39">
        <f>(VLOOKUP($A491,'The List'!$B1:$AH727,30,FALSE)-AVERAGE('The List'!AE2:AE727))/STDEV('The List'!AE2:AE727)</f>
        <v>-0.85153495046328154</v>
      </c>
      <c r="S491" s="39">
        <f>(VLOOKUP($A491,'The List'!$B1:$AH727,31,FALSE)-AVERAGE('The List'!AF2:AF727))/STDEV('The List'!AF2:AF727)</f>
        <v>-0.55804314905918151</v>
      </c>
      <c r="T491" s="39">
        <f>(VLOOKUP($A491,'The List'!$B1:$AH727,32,FALSE)-AVERAGE('The List'!AG2:AG727))/STDEV('The List'!AG2:AG727)</f>
        <v>-0.60188453558131205</v>
      </c>
      <c r="U491" s="39">
        <f>(VLOOKUP($A491,'The List'!$B1:$AH727,33,FALSE)-AVERAGE('The List'!AH2:AH727))/STDEV('The List'!AH2:AH727)</f>
        <v>-1.2395873372913611</v>
      </c>
      <c r="V491" s="39"/>
      <c r="W491" s="43"/>
      <c r="X491" s="41"/>
      <c r="Y491" s="41"/>
      <c r="Z491" s="41"/>
      <c r="AA491" s="41"/>
      <c r="AB491" s="41"/>
      <c r="AC491" s="44"/>
      <c r="AD491" s="45"/>
      <c r="AE491" s="39"/>
    </row>
    <row r="492" spans="1:31" ht="21.25" customHeight="1" x14ac:dyDescent="0.15">
      <c r="A492" s="8" t="s">
        <v>620</v>
      </c>
      <c r="B492" s="35" t="str">
        <f>VLOOKUP(A492,'Player Data'!A1:B734,2,FALSE)</f>
        <v>PHI</v>
      </c>
      <c r="C492" s="37">
        <f>((E492)*Settings!$C$12)+(F492*Settings!$C$2)+(G492*Settings!$C$3)+(H492*Settings!$C$4)+(I492*Settings!$C$5)+(K492*Settings!$C$9)+(N492*Settings!$C$6)+(J492*Settings!$C$8)+(O492*Settings!$C$7)+(P492*Settings!$C$14)+(Q492*Settings!$C$15)+(R492*Settings!$C$16)+(S492*Settings!$C$17)+(T492*Settings!$C$18)+(U492*Settings!$C$19)</f>
        <v>-3.5611329654919439</v>
      </c>
      <c r="D492" s="41">
        <f>IF(Settings!$E$12="YES",VLOOKUP(A492,'Player Data'!A1:E734,5,FALSE),82)</f>
        <v>81.56</v>
      </c>
      <c r="E492" s="39">
        <f>(VLOOKUP($A492,'The List'!$B1:$AH727,17,FALSE)-AVERAGE('The List'!R2:R727))/STDEV('The List'!R2:R727)</f>
        <v>-1.259440499359725</v>
      </c>
      <c r="F492" s="39">
        <f>(VLOOKUP($A492,'The List'!$B1:$AH727,18,FALSE)-AVERAGE('The List'!S2:S727))/STDEV('The List'!S2:S727)</f>
        <v>-0.26196188523379221</v>
      </c>
      <c r="G492" s="39">
        <f>(VLOOKUP($A492,'The List'!$B1:$AH727,19,FALSE)-AVERAGE('The List'!T2:T727))/STDEV('The List'!T2:T727)</f>
        <v>-0.90222782064978579</v>
      </c>
      <c r="H492" s="39">
        <f>(VLOOKUP($A492,'The List'!$B1:$AH727,20,FALSE)-AVERAGE('The List'!U2:U727))/STDEV('The List'!U2:U727)</f>
        <v>-0.67517014113593021</v>
      </c>
      <c r="I492" s="39">
        <f>(VLOOKUP($A492,'The List'!$B1:$AH727,21,FALSE)-AVERAGE('The List'!V2:V727))/STDEV('The List'!V2:V727)</f>
        <v>-0.64826576506232181</v>
      </c>
      <c r="J492" s="39">
        <f>(VLOOKUP($A492,'The List'!$B1:$AH727,22,FALSE)-AVERAGE('The List'!W2:W727))/STDEV('The List'!W2:W727)</f>
        <v>-0.70939784691183649</v>
      </c>
      <c r="K492" s="39">
        <f>(VLOOKUP($A492,'The List'!$B1:$AH727,23,FALSE)-AVERAGE('The List'!X2:X727))/STDEV('The List'!X2:X727)</f>
        <v>-0.79865747181110391</v>
      </c>
      <c r="L492" s="39">
        <f>(VLOOKUP($A492,'The List'!$B1:$AH727,24,FALSE)-AVERAGE('The List'!Y2:Y727))/STDEV('The List'!Y2:Y727)</f>
        <v>-0.36253847862789834</v>
      </c>
      <c r="M492" s="39">
        <f>(VLOOKUP($A492,'The List'!$B1:$AH727,25,FALSE)-AVERAGE('The List'!Z2:Z727))/STDEV('The List'!Z2:Z727)</f>
        <v>0.49762141174718827</v>
      </c>
      <c r="N492" s="39">
        <f>(VLOOKUP($A492,'The List'!$B1:$AH727,26,FALSE)-AVERAGE('The List'!AA2:AA727))/STDEV('The List'!AA2:AA727)</f>
        <v>0.26687805754709426</v>
      </c>
      <c r="O492" s="39">
        <f>(VLOOKUP($A492,'The List'!$B1:$AH727,27,FALSE)-AVERAGE('The List'!AB2:AB727))/STDEV('The List'!AB2:AB727)</f>
        <v>3.0633316972257636</v>
      </c>
      <c r="P492" s="39">
        <f>(VLOOKUP($A492,'The List'!$B1:$AH727,28,FALSE)-AVERAGE('The List'!AC2:AC727))/STDEV('The List'!AC2:AC727)</f>
        <v>-1.2168980802820346</v>
      </c>
      <c r="Q492" s="39">
        <f>(VLOOKUP($A492,'The List'!$B1:$AH727,29,FALSE)-AVERAGE('The List'!AD2:AD727))/STDEV('The List'!AD2:AD727)</f>
        <v>1.367611282170345</v>
      </c>
      <c r="R492" s="39">
        <f>(VLOOKUP($A492,'The List'!$B1:$AH727,30,FALSE)-AVERAGE('The List'!AE2:AE727))/STDEV('The List'!AE2:AE727)</f>
        <v>-0.39975114552235541</v>
      </c>
      <c r="S492" s="39">
        <f>(VLOOKUP($A492,'The List'!$B1:$AH727,31,FALSE)-AVERAGE('The List'!AF2:AF727))/STDEV('The List'!AF2:AF727)</f>
        <v>-0.53195935751386514</v>
      </c>
      <c r="T492" s="39">
        <f>(VLOOKUP($A492,'The List'!$B1:$AH727,32,FALSE)-AVERAGE('The List'!AG2:AG727))/STDEV('The List'!AG2:AG727)</f>
        <v>-0.54138864192552616</v>
      </c>
      <c r="U492" s="39">
        <f>(VLOOKUP($A492,'The List'!$B1:$AH727,33,FALSE)-AVERAGE('The List'!AH2:AH727))/STDEV('The List'!AH2:AH727)</f>
        <v>0.17018115213605797</v>
      </c>
      <c r="V492" s="39"/>
      <c r="W492" s="43"/>
      <c r="X492" s="41"/>
      <c r="Y492" s="41"/>
      <c r="Z492" s="41"/>
      <c r="AA492" s="41"/>
      <c r="AB492" s="41"/>
      <c r="AC492" s="44"/>
      <c r="AD492" s="45"/>
      <c r="AE492" s="39"/>
    </row>
    <row r="493" spans="1:31" ht="21.25" customHeight="1" x14ac:dyDescent="0.15">
      <c r="A493" s="8" t="s">
        <v>470</v>
      </c>
      <c r="B493" s="35" t="str">
        <f>VLOOKUP(A493,'Player Data'!A1:B734,2,FALSE)</f>
        <v>VGK</v>
      </c>
      <c r="C493" s="37">
        <f>((E493)*Settings!$C$12)+(F493*Settings!$C$2)+(G493*Settings!$C$3)+(H493*Settings!$C$4)+(I493*Settings!$C$5)+(K493*Settings!$C$9)+(N493*Settings!$C$6)+(J493*Settings!$C$8)+(O493*Settings!$C$7)+(P493*Settings!$C$14)+(Q493*Settings!$C$15)+(R493*Settings!$C$16)+(S493*Settings!$C$17)+(T493*Settings!$C$18)+(U493*Settings!$C$19)</f>
        <v>-0.31187983064586056</v>
      </c>
      <c r="D493" s="41">
        <f>IF(Settings!$E$12="YES",VLOOKUP(A493,'Player Data'!A1:E734,5,FALSE),82)</f>
        <v>77.141785714285703</v>
      </c>
      <c r="E493" s="39">
        <f>(VLOOKUP($A493,'The List'!$B1:$AH727,17,FALSE)-AVERAGE('The List'!R2:R727))/STDEV('The List'!R2:R727)</f>
        <v>0.21024014536315411</v>
      </c>
      <c r="F493" s="39">
        <f>(VLOOKUP($A493,'The List'!$B1:$AH727,18,FALSE)-AVERAGE('The List'!S2:S727))/STDEV('The List'!S2:S727)</f>
        <v>-0.85742333536793613</v>
      </c>
      <c r="G493" s="39">
        <f>(VLOOKUP($A493,'The List'!$B1:$AH727,19,FALSE)-AVERAGE('The List'!T2:T727))/STDEV('The List'!T2:T727)</f>
        <v>-0.5447910115361646</v>
      </c>
      <c r="H493" s="39">
        <f>(VLOOKUP($A493,'The List'!$B1:$AH727,20,FALSE)-AVERAGE('The List'!U2:U727))/STDEV('The List'!U2:U727)</f>
        <v>-0.72588650972723257</v>
      </c>
      <c r="I493" s="39">
        <f>(VLOOKUP($A493,'The List'!$B1:$AH727,21,FALSE)-AVERAGE('The List'!V2:V727))/STDEV('The List'!V2:V727)</f>
        <v>-0.43198878962092446</v>
      </c>
      <c r="J493" s="39">
        <f>(VLOOKUP($A493,'The List'!$B1:$AH727,22,FALSE)-AVERAGE('The List'!W2:W727))/STDEV('The List'!W2:W727)</f>
        <v>-0.70745671661289267</v>
      </c>
      <c r="K493" s="39">
        <f>(VLOOKUP($A493,'The List'!$B1:$AH727,23,FALSE)-AVERAGE('The List'!X2:X727))/STDEV('The List'!X2:X727)</f>
        <v>-0.78960310961491675</v>
      </c>
      <c r="L493" s="39">
        <f>(VLOOKUP($A493,'The List'!$B1:$AH727,24,FALSE)-AVERAGE('The List'!Y2:Y727))/STDEV('The List'!Y2:Y727)</f>
        <v>-0.50004495326653819</v>
      </c>
      <c r="M493" s="39">
        <f>(VLOOKUP($A493,'The List'!$B1:$AH727,25,FALSE)-AVERAGE('The List'!Z2:Z727))/STDEV('The List'!Z2:Z727)</f>
        <v>-0.62336672809037641</v>
      </c>
      <c r="N493" s="39">
        <f>(VLOOKUP($A493,'The List'!$B1:$AH727,26,FALSE)-AVERAGE('The List'!AA2:AA727))/STDEV('The List'!AA2:AA727)</f>
        <v>1.3951602308577127</v>
      </c>
      <c r="O493" s="39">
        <f>(VLOOKUP($A493,'The List'!$B1:$AH727,27,FALSE)-AVERAGE('The List'!AB2:AB727))/STDEV('The List'!AB2:AB727)</f>
        <v>0.27764238016689186</v>
      </c>
      <c r="P493" s="39">
        <f>(VLOOKUP($A493,'The List'!$B1:$AH727,28,FALSE)-AVERAGE('The List'!AC2:AC727))/STDEV('The List'!AC2:AC727)</f>
        <v>0.91676618463636905</v>
      </c>
      <c r="Q493" s="39">
        <f>(VLOOKUP($A493,'The List'!$B1:$AH727,29,FALSE)-AVERAGE('The List'!AD2:AD727))/STDEV('The List'!AD2:AD727)</f>
        <v>0.45317601877351427</v>
      </c>
      <c r="R493" s="39">
        <f>(VLOOKUP($A493,'The List'!$B1:$AH727,30,FALSE)-AVERAGE('The List'!AE2:AE727))/STDEV('The List'!AE2:AE727)</f>
        <v>-0.72611869340840507</v>
      </c>
      <c r="S493" s="39">
        <f>(VLOOKUP($A493,'The List'!$B1:$AH727,31,FALSE)-AVERAGE('The List'!AF2:AF727))/STDEV('The List'!AF2:AF727)</f>
        <v>-0.55804314905918151</v>
      </c>
      <c r="T493" s="39">
        <f>(VLOOKUP($A493,'The List'!$B1:$AH727,32,FALSE)-AVERAGE('The List'!AG2:AG727))/STDEV('The List'!AG2:AG727)</f>
        <v>-0.60188453558131205</v>
      </c>
      <c r="U493" s="39">
        <f>(VLOOKUP($A493,'The List'!$B1:$AH727,33,FALSE)-AVERAGE('The List'!AH2:AH727))/STDEV('The List'!AH2:AH727)</f>
        <v>-1.2395873372913611</v>
      </c>
      <c r="V493" s="39"/>
      <c r="W493" s="43"/>
      <c r="X493" s="41"/>
      <c r="Y493" s="41"/>
      <c r="Z493" s="41"/>
      <c r="AA493" s="41"/>
      <c r="AB493" s="41"/>
      <c r="AC493" s="44"/>
      <c r="AD493" s="45"/>
      <c r="AE493" s="39"/>
    </row>
    <row r="494" spans="1:31" ht="21.25" customHeight="1" x14ac:dyDescent="0.15">
      <c r="A494" s="8" t="s">
        <v>519</v>
      </c>
      <c r="B494" s="35" t="str">
        <f>VLOOKUP(A494,'Player Data'!A1:B734,2,FALSE)</f>
        <v>DET</v>
      </c>
      <c r="C494" s="37">
        <f>((E494)*Settings!$C$12)+(F494*Settings!$C$2)+(G494*Settings!$C$3)+(H494*Settings!$C$4)+(I494*Settings!$C$5)+(K494*Settings!$C$9)+(N494*Settings!$C$6)+(J494*Settings!$C$8)+(O494*Settings!$C$7)+(P494*Settings!$C$14)+(Q494*Settings!$C$15)+(R494*Settings!$C$16)+(S494*Settings!$C$17)+(T494*Settings!$C$18)+(U494*Settings!$C$19)</f>
        <v>-2.2133536303695864</v>
      </c>
      <c r="D494" s="41">
        <f>IF(Settings!$E$12="YES",VLOOKUP(A494,'Player Data'!A1:E734,5,FALSE),82)</f>
        <v>79.741071428571402</v>
      </c>
      <c r="E494" s="39">
        <f>(VLOOKUP($A494,'The List'!$B1:$AH727,17,FALSE)-AVERAGE('The List'!R2:R727))/STDEV('The List'!R2:R727)</f>
        <v>0.57051982638111942</v>
      </c>
      <c r="F494" s="39">
        <f>(VLOOKUP($A494,'The List'!$B1:$AH727,18,FALSE)-AVERAGE('The List'!S2:S727))/STDEV('The List'!S2:S727)</f>
        <v>-1.0612574979116247</v>
      </c>
      <c r="G494" s="39">
        <f>(VLOOKUP($A494,'The List'!$B1:$AH727,19,FALSE)-AVERAGE('The List'!T2:T727))/STDEV('The List'!T2:T727)</f>
        <v>-0.34728778080021894</v>
      </c>
      <c r="H494" s="39">
        <f>(VLOOKUP($A494,'The List'!$B1:$AH727,20,FALSE)-AVERAGE('The List'!U2:U727))/STDEV('The List'!U2:U727)</f>
        <v>-0.69694049950892811</v>
      </c>
      <c r="I494" s="39">
        <f>(VLOOKUP($A494,'The List'!$B1:$AH727,21,FALSE)-AVERAGE('The List'!V2:V727))/STDEV('The List'!V2:V727)</f>
        <v>-1.0886246945554385</v>
      </c>
      <c r="J494" s="39">
        <f>(VLOOKUP($A494,'The List'!$B1:$AH727,22,FALSE)-AVERAGE('The List'!W2:W727))/STDEV('The List'!W2:W727)</f>
        <v>-0.70639877515136407</v>
      </c>
      <c r="K494" s="39">
        <f>(VLOOKUP($A494,'The List'!$B1:$AH727,23,FALSE)-AVERAGE('The List'!X2:X727))/STDEV('The List'!X2:X727)</f>
        <v>-0.78553502212171811</v>
      </c>
      <c r="L494" s="39">
        <f>(VLOOKUP($A494,'The List'!$B1:$AH727,24,FALSE)-AVERAGE('The List'!Y2:Y727))/STDEV('The List'!Y2:Y727)</f>
        <v>-0.16065902726991818</v>
      </c>
      <c r="M494" s="39">
        <f>(VLOOKUP($A494,'The List'!$B1:$AH727,25,FALSE)-AVERAGE('The List'!Z2:Z727))/STDEV('The List'!Z2:Z727)</f>
        <v>0.2473516385462155</v>
      </c>
      <c r="N494" s="39">
        <f>(VLOOKUP($A494,'The List'!$B1:$AH727,26,FALSE)-AVERAGE('The List'!AA2:AA727))/STDEV('The List'!AA2:AA727)</f>
        <v>1.5735031019344718</v>
      </c>
      <c r="O494" s="39">
        <f>(VLOOKUP($A494,'The List'!$B1:$AH727,27,FALSE)-AVERAGE('The List'!AB2:AB727))/STDEV('The List'!AB2:AB727)</f>
        <v>0.89498696240594544</v>
      </c>
      <c r="P494" s="39">
        <f>(VLOOKUP($A494,'The List'!$B1:$AH727,28,FALSE)-AVERAGE('The List'!AC2:AC727))/STDEV('The List'!AC2:AC727)</f>
        <v>-0.50415173691505766</v>
      </c>
      <c r="Q494" s="39">
        <f>(VLOOKUP($A494,'The List'!$B1:$AH727,29,FALSE)-AVERAGE('The List'!AD2:AD727))/STDEV('The List'!AD2:AD727)</f>
        <v>0.43787784280638092</v>
      </c>
      <c r="R494" s="39">
        <f>(VLOOKUP($A494,'The List'!$B1:$AH727,30,FALSE)-AVERAGE('The List'!AE2:AE727))/STDEV('The List'!AE2:AE727)</f>
        <v>-0.9958889444328678</v>
      </c>
      <c r="S494" s="39">
        <f>(VLOOKUP($A494,'The List'!$B1:$AH727,31,FALSE)-AVERAGE('The List'!AF2:AF727))/STDEV('The List'!AF2:AF727)</f>
        <v>-0.55804314905918151</v>
      </c>
      <c r="T494" s="39">
        <f>(VLOOKUP($A494,'The List'!$B1:$AH727,32,FALSE)-AVERAGE('The List'!AG2:AG727))/STDEV('The List'!AG2:AG727)</f>
        <v>-0.60188453558131205</v>
      </c>
      <c r="U494" s="39">
        <f>(VLOOKUP($A494,'The List'!$B1:$AH727,33,FALSE)-AVERAGE('The List'!AH2:AH727))/STDEV('The List'!AH2:AH727)</f>
        <v>-1.2395873372913611</v>
      </c>
      <c r="V494" s="39"/>
      <c r="W494" s="43"/>
      <c r="X494" s="41"/>
      <c r="Y494" s="41"/>
      <c r="Z494" s="41"/>
      <c r="AA494" s="41"/>
      <c r="AB494" s="41"/>
      <c r="AC494" s="44"/>
      <c r="AD494" s="45"/>
      <c r="AE494" s="39"/>
    </row>
    <row r="495" spans="1:31" ht="21.25" customHeight="1" x14ac:dyDescent="0.15">
      <c r="A495" s="8" t="s">
        <v>706</v>
      </c>
      <c r="B495" s="35" t="str">
        <f>VLOOKUP(A495,'Player Data'!A1:B734,2,FALSE)</f>
        <v>CHI</v>
      </c>
      <c r="C495" s="37">
        <f>((E495)*Settings!$C$12)+(F495*Settings!$C$2)+(G495*Settings!$C$3)+(H495*Settings!$C$4)+(I495*Settings!$C$5)+(K495*Settings!$C$9)+(N495*Settings!$C$6)+(J495*Settings!$C$8)+(O495*Settings!$C$7)+(P495*Settings!$C$14)+(Q495*Settings!$C$15)+(R495*Settings!$C$16)+(S495*Settings!$C$17)+(T495*Settings!$C$18)+(U495*Settings!$C$19)</f>
        <v>-4.7958781620452093</v>
      </c>
      <c r="D495" s="41">
        <f>IF(Settings!$E$12="YES",VLOOKUP(A495,'Player Data'!A1:E734,5,FALSE),82)</f>
        <v>74.625</v>
      </c>
      <c r="E495" s="39">
        <f>(VLOOKUP($A495,'The List'!$B1:$AH727,17,FALSE)-AVERAGE('The List'!R2:R727))/STDEV('The List'!R2:R727)</f>
        <v>-1.2218283547171613</v>
      </c>
      <c r="F495" s="39">
        <f>(VLOOKUP($A495,'The List'!$B1:$AH727,18,FALSE)-AVERAGE('The List'!S2:S727))/STDEV('The List'!S2:S727)</f>
        <v>-0.72393487747674901</v>
      </c>
      <c r="G495" s="39">
        <f>(VLOOKUP($A495,'The List'!$B1:$AH727,19,FALSE)-AVERAGE('The List'!T2:T727))/STDEV('The List'!T2:T727)</f>
        <v>-0.69252879462831962</v>
      </c>
      <c r="H495" s="39">
        <f>(VLOOKUP($A495,'The List'!$B1:$AH727,20,FALSE)-AVERAGE('The List'!U2:U727))/STDEV('The List'!U2:U727)</f>
        <v>-0.75617829046560836</v>
      </c>
      <c r="I495" s="39">
        <f>(VLOOKUP($A495,'The List'!$B1:$AH727,21,FALSE)-AVERAGE('The List'!V2:V727))/STDEV('The List'!V2:V727)</f>
        <v>-0.75182434901072259</v>
      </c>
      <c r="J495" s="39">
        <f>(VLOOKUP($A495,'The List'!$B1:$AH727,22,FALSE)-AVERAGE('The List'!W2:W727))/STDEV('The List'!W2:W727)</f>
        <v>-0.67499244280146065</v>
      </c>
      <c r="K495" s="39">
        <f>(VLOOKUP($A495,'The List'!$B1:$AH727,23,FALSE)-AVERAGE('The List'!X2:X727))/STDEV('The List'!X2:X727)</f>
        <v>-0.76052743485122132</v>
      </c>
      <c r="L495" s="39">
        <f>(VLOOKUP($A495,'The List'!$B1:$AH727,24,FALSE)-AVERAGE('The List'!Y2:Y727))/STDEV('The List'!Y2:Y727)</f>
        <v>-0.27369171859151498</v>
      </c>
      <c r="M495" s="39">
        <f>(VLOOKUP($A495,'The List'!$B1:$AH727,25,FALSE)-AVERAGE('The List'!Z2:Z727))/STDEV('The List'!Z2:Z727)</f>
        <v>0.4934351491651035</v>
      </c>
      <c r="N495" s="39">
        <f>(VLOOKUP($A495,'The List'!$B1:$AH727,26,FALSE)-AVERAGE('The List'!AA2:AA727))/STDEV('The List'!AA2:AA727)</f>
        <v>-0.50330504426947875</v>
      </c>
      <c r="O495" s="39">
        <f>(VLOOKUP($A495,'The List'!$B1:$AH727,27,FALSE)-AVERAGE('The List'!AB2:AB727))/STDEV('The List'!AB2:AB727)</f>
        <v>1.7498700422701061</v>
      </c>
      <c r="P495" s="39">
        <f>(VLOOKUP($A495,'The List'!$B1:$AH727,28,FALSE)-AVERAGE('The List'!AC2:AC727))/STDEV('The List'!AC2:AC727)</f>
        <v>-1.3637576618087177</v>
      </c>
      <c r="Q495" s="39">
        <f>(VLOOKUP($A495,'The List'!$B1:$AH727,29,FALSE)-AVERAGE('The List'!AD2:AD727))/STDEV('The List'!AD2:AD727)</f>
        <v>1.013147381457415</v>
      </c>
      <c r="R495" s="39">
        <f>(VLOOKUP($A495,'The List'!$B1:$AH727,30,FALSE)-AVERAGE('The List'!AE2:AE727))/STDEV('The List'!AE2:AE727)</f>
        <v>-0.7558224684072109</v>
      </c>
      <c r="S495" s="39">
        <f>(VLOOKUP($A495,'The List'!$B1:$AH727,31,FALSE)-AVERAGE('The List'!AF2:AF727))/STDEV('The List'!AF2:AF727)</f>
        <v>-0.27186970219704687</v>
      </c>
      <c r="T495" s="39">
        <f>(VLOOKUP($A495,'The List'!$B1:$AH727,32,FALSE)-AVERAGE('The List'!AG2:AG727))/STDEV('The List'!AG2:AG727)</f>
        <v>-0.33473016111649606</v>
      </c>
      <c r="U495" s="39">
        <f>(VLOOKUP($A495,'The List'!$B1:$AH727,33,FALSE)-AVERAGE('The List'!AH2:AH727))/STDEV('The List'!AH2:AH727)</f>
        <v>1.1540987279021484</v>
      </c>
      <c r="V495" s="39"/>
      <c r="W495" s="41"/>
      <c r="X495" s="39"/>
      <c r="Y495" s="39"/>
      <c r="Z495" s="39"/>
      <c r="AA495" s="39"/>
      <c r="AB495" s="39"/>
      <c r="AC495" s="39"/>
      <c r="AD495" s="39"/>
      <c r="AE495" s="39"/>
    </row>
    <row r="496" spans="1:31" ht="21.25" customHeight="1" x14ac:dyDescent="0.15">
      <c r="A496" s="8" t="s">
        <v>493</v>
      </c>
      <c r="B496" s="35" t="str">
        <f>VLOOKUP(A496,'Player Data'!A1:B734,2,FALSE)</f>
        <v>CGY</v>
      </c>
      <c r="C496" s="37">
        <f>((E496)*Settings!$C$12)+(F496*Settings!$C$2)+(G496*Settings!$C$3)+(H496*Settings!$C$4)+(I496*Settings!$C$5)+(K496*Settings!$C$9)+(N496*Settings!$C$6)+(J496*Settings!$C$8)+(O496*Settings!$C$7)+(P496*Settings!$C$14)+(Q496*Settings!$C$15)+(R496*Settings!$C$16)+(S496*Settings!$C$17)+(T496*Settings!$C$18)+(U496*Settings!$C$19)</f>
        <v>5.8053195465710972E-2</v>
      </c>
      <c r="D496" s="41">
        <f>IF(Settings!$E$12="YES",VLOOKUP(A496,'Player Data'!A1:E734,5,FALSE),82)</f>
        <v>74.900000000000006</v>
      </c>
      <c r="E496" s="39">
        <f>(VLOOKUP($A496,'The List'!$B1:$AH727,17,FALSE)-AVERAGE('The List'!R2:R727))/STDEV('The List'!R2:R727)</f>
        <v>0.91750728193273678</v>
      </c>
      <c r="F496" s="39">
        <f>(VLOOKUP($A496,'The List'!$B1:$AH727,18,FALSE)-AVERAGE('The List'!S2:S727))/STDEV('The List'!S2:S727)</f>
        <v>-0.98510938920176017</v>
      </c>
      <c r="G496" s="39">
        <f>(VLOOKUP($A496,'The List'!$B1:$AH727,19,FALSE)-AVERAGE('The List'!T2:T727))/STDEV('The List'!T2:T727)</f>
        <v>-0.4961883220757215</v>
      </c>
      <c r="H496" s="39">
        <f>(VLOOKUP($A496,'The List'!$B1:$AH727,20,FALSE)-AVERAGE('The List'!U2:U727))/STDEV('The List'!U2:U727)</f>
        <v>-0.75404222957418521</v>
      </c>
      <c r="I496" s="39">
        <f>(VLOOKUP($A496,'The List'!$B1:$AH727,21,FALSE)-AVERAGE('The List'!V2:V727))/STDEV('The List'!V2:V727)</f>
        <v>-0.74699996076938935</v>
      </c>
      <c r="J496" s="39">
        <f>(VLOOKUP($A496,'The List'!$B1:$AH727,22,FALSE)-AVERAGE('The List'!W2:W727))/STDEV('The List'!W2:W727)</f>
        <v>-0.69504171941405579</v>
      </c>
      <c r="K496" s="39">
        <f>(VLOOKUP($A496,'The List'!$B1:$AH727,23,FALSE)-AVERAGE('The List'!X2:X727))/STDEV('The List'!X2:X727)</f>
        <v>-0.73062943515251655</v>
      </c>
      <c r="L496" s="39">
        <f>(VLOOKUP($A496,'The List'!$B1:$AH727,24,FALSE)-AVERAGE('The List'!Y2:Y727))/STDEV('The List'!Y2:Y727)</f>
        <v>-0.50986183952701802</v>
      </c>
      <c r="M496" s="39">
        <f>(VLOOKUP($A496,'The List'!$B1:$AH727,25,FALSE)-AVERAGE('The List'!Z2:Z727))/STDEV('The List'!Z2:Z727)</f>
        <v>-0.60368573565280925</v>
      </c>
      <c r="N496" s="39">
        <f>(VLOOKUP($A496,'The List'!$B1:$AH727,26,FALSE)-AVERAGE('The List'!AA2:AA727))/STDEV('The List'!AA2:AA727)</f>
        <v>2.0829591756862653</v>
      </c>
      <c r="O496" s="39">
        <f>(VLOOKUP($A496,'The List'!$B1:$AH727,27,FALSE)-AVERAGE('The List'!AB2:AB727))/STDEV('The List'!AB2:AB727)</f>
        <v>-0.50641058979763898</v>
      </c>
      <c r="P496" s="39">
        <f>(VLOOKUP($A496,'The List'!$B1:$AH727,28,FALSE)-AVERAGE('The List'!AC2:AC727))/STDEV('The List'!AC2:AC727)</f>
        <v>0.93402112697883333</v>
      </c>
      <c r="Q496" s="39">
        <f>(VLOOKUP($A496,'The List'!$B1:$AH727,29,FALSE)-AVERAGE('The List'!AD2:AD727))/STDEV('The List'!AD2:AD727)</f>
        <v>-0.63396706170761197</v>
      </c>
      <c r="R496" s="39">
        <f>(VLOOKUP($A496,'The List'!$B1:$AH727,30,FALSE)-AVERAGE('The List'!AE2:AE727))/STDEV('The List'!AE2:AE727)</f>
        <v>-0.8550209442068718</v>
      </c>
      <c r="S496" s="39">
        <f>(VLOOKUP($A496,'The List'!$B1:$AH727,31,FALSE)-AVERAGE('The List'!AF2:AF727))/STDEV('The List'!AF2:AF727)</f>
        <v>-0.55804314905918151</v>
      </c>
      <c r="T496" s="39">
        <f>(VLOOKUP($A496,'The List'!$B1:$AH727,32,FALSE)-AVERAGE('The List'!AG2:AG727))/STDEV('The List'!AG2:AG727)</f>
        <v>-0.60188453558131205</v>
      </c>
      <c r="U496" s="39">
        <f>(VLOOKUP($A496,'The List'!$B1:$AH727,33,FALSE)-AVERAGE('The List'!AH2:AH727))/STDEV('The List'!AH2:AH727)</f>
        <v>-1.2395873372913611</v>
      </c>
      <c r="V496" s="39"/>
      <c r="W496" s="43"/>
      <c r="X496" s="41"/>
      <c r="Y496" s="41"/>
      <c r="Z496" s="41"/>
      <c r="AA496" s="41"/>
      <c r="AB496" s="41"/>
      <c r="AC496" s="44"/>
      <c r="AD496" s="45"/>
      <c r="AE496" s="39"/>
    </row>
    <row r="497" spans="1:31" ht="21.25" customHeight="1" x14ac:dyDescent="0.15">
      <c r="A497" s="8" t="s">
        <v>683</v>
      </c>
      <c r="B497" s="35" t="str">
        <f>VLOOKUP(A497,'Player Data'!A1:B734,2,FALSE)</f>
        <v>STL</v>
      </c>
      <c r="C497" s="37">
        <f>((E497)*Settings!$C$12)+(F497*Settings!$C$2)+(G497*Settings!$C$3)+(H497*Settings!$C$4)+(I497*Settings!$C$5)+(K497*Settings!$C$9)+(N497*Settings!$C$6)+(J497*Settings!$C$8)+(O497*Settings!$C$7)+(P497*Settings!$C$14)+(Q497*Settings!$C$15)+(R497*Settings!$C$16)+(S497*Settings!$C$17)+(T497*Settings!$C$18)+(U497*Settings!$C$19)</f>
        <v>-4.2921667313106271</v>
      </c>
      <c r="D497" s="41">
        <f>IF(Settings!$E$12="YES",VLOOKUP(A497,'Player Data'!A1:E734,5,FALSE),82)</f>
        <v>68.997500000000002</v>
      </c>
      <c r="E497" s="39">
        <f>(VLOOKUP($A497,'The List'!$B1:$AH727,17,FALSE)-AVERAGE('The List'!R2:R727))/STDEV('The List'!R2:R727)</f>
        <v>-1.2384909215264945</v>
      </c>
      <c r="F497" s="39">
        <f>(VLOOKUP($A497,'The List'!$B1:$AH727,18,FALSE)-AVERAGE('The List'!S2:S727))/STDEV('The List'!S2:S727)</f>
        <v>-0.40968620449890902</v>
      </c>
      <c r="G497" s="39">
        <f>(VLOOKUP($A497,'The List'!$B1:$AH727,19,FALSE)-AVERAGE('The List'!T2:T727))/STDEV('The List'!T2:T727)</f>
        <v>-1.0302890914086718</v>
      </c>
      <c r="H497" s="39">
        <f>(VLOOKUP($A497,'The List'!$B1:$AH727,20,FALSE)-AVERAGE('The List'!U2:U727))/STDEV('The List'!U2:U727)</f>
        <v>-0.82130648467209943</v>
      </c>
      <c r="I497" s="39">
        <f>(VLOOKUP($A497,'The List'!$B1:$AH727,21,FALSE)-AVERAGE('The List'!V2:V727))/STDEV('The List'!V2:V727)</f>
        <v>-0.73564455119114092</v>
      </c>
      <c r="J497" s="39">
        <f>(VLOOKUP($A497,'The List'!$B1:$AH727,22,FALSE)-AVERAGE('The List'!W2:W727))/STDEV('The List'!W2:W727)</f>
        <v>-0.69702796465695471</v>
      </c>
      <c r="K497" s="39">
        <f>(VLOOKUP($A497,'The List'!$B1:$AH727,23,FALSE)-AVERAGE('The List'!X2:X727))/STDEV('The List'!X2:X727)</f>
        <v>-0.78650405368052256</v>
      </c>
      <c r="L497" s="39">
        <f>(VLOOKUP($A497,'The List'!$B1:$AH727,24,FALSE)-AVERAGE('The List'!Y2:Y727))/STDEV('The List'!Y2:Y727)</f>
        <v>0.8313978518050108</v>
      </c>
      <c r="M497" s="39">
        <f>(VLOOKUP($A497,'The List'!$B1:$AH727,25,FALSE)-AVERAGE('The List'!Z2:Z727))/STDEV('The List'!Z2:Z727)</f>
        <v>0.25873809728428604</v>
      </c>
      <c r="N497" s="39">
        <f>(VLOOKUP($A497,'The List'!$B1:$AH727,26,FALSE)-AVERAGE('The List'!AA2:AA727))/STDEV('The List'!AA2:AA727)</f>
        <v>-0.38969526773818258</v>
      </c>
      <c r="O497" s="39">
        <f>(VLOOKUP($A497,'The List'!$B1:$AH727,27,FALSE)-AVERAGE('The List'!AB2:AB727))/STDEV('The List'!AB2:AB727)</f>
        <v>0.76190447038753906</v>
      </c>
      <c r="P497" s="39">
        <f>(VLOOKUP($A497,'The List'!$B1:$AH727,28,FALSE)-AVERAGE('The List'!AC2:AC727))/STDEV('The List'!AC2:AC727)</f>
        <v>-0.94034756279320064</v>
      </c>
      <c r="Q497" s="39">
        <f>(VLOOKUP($A497,'The List'!$B1:$AH727,29,FALSE)-AVERAGE('The List'!AD2:AD727))/STDEV('The List'!AD2:AD727)</f>
        <v>-0.874631984734623</v>
      </c>
      <c r="R497" s="39">
        <f>(VLOOKUP($A497,'The List'!$B1:$AH727,30,FALSE)-AVERAGE('The List'!AE2:AE727))/STDEV('The List'!AE2:AE727)</f>
        <v>-0.52746261983646348</v>
      </c>
      <c r="S497" s="39">
        <f>(VLOOKUP($A497,'The List'!$B1:$AH727,31,FALSE)-AVERAGE('The List'!AF2:AF727))/STDEV('The List'!AF2:AF727)</f>
        <v>-0.54759759593295609</v>
      </c>
      <c r="T497" s="39">
        <f>(VLOOKUP($A497,'The List'!$B1:$AH727,32,FALSE)-AVERAGE('The List'!AG2:AG727))/STDEV('The List'!AG2:AG727)</f>
        <v>-0.57204990773756181</v>
      </c>
      <c r="U497" s="39">
        <f>(VLOOKUP($A497,'The List'!$B1:$AH727,33,FALSE)-AVERAGE('The List'!AH2:AH727))/STDEV('The List'!AH2:AH727)</f>
        <v>-2.3495327648922131E-2</v>
      </c>
      <c r="V497" s="39"/>
      <c r="W497" s="41"/>
      <c r="X497" s="39"/>
      <c r="Y497" s="39"/>
      <c r="Z497" s="39"/>
      <c r="AA497" s="39"/>
      <c r="AB497" s="39"/>
      <c r="AC497" s="39"/>
      <c r="AD497" s="39"/>
      <c r="AE497" s="39"/>
    </row>
    <row r="498" spans="1:31" ht="21.25" customHeight="1" x14ac:dyDescent="0.15">
      <c r="A498" s="8" t="s">
        <v>696</v>
      </c>
      <c r="B498" s="35" t="str">
        <f>VLOOKUP(A498,'Player Data'!A1:B734,2,FALSE)</f>
        <v>FLA</v>
      </c>
      <c r="C498" s="37">
        <f>((E498)*Settings!$C$12)+(F498*Settings!$C$2)+(G498*Settings!$C$3)+(H498*Settings!$C$4)+(I498*Settings!$C$5)+(K498*Settings!$C$9)+(N498*Settings!$C$6)+(J498*Settings!$C$8)+(O498*Settings!$C$7)+(P498*Settings!$C$14)+(Q498*Settings!$C$15)+(R498*Settings!$C$16)+(S498*Settings!$C$17)+(T498*Settings!$C$18)+(U498*Settings!$C$19)</f>
        <v>-2.9190266702151355</v>
      </c>
      <c r="D498" s="41">
        <f>IF(Settings!$E$12="YES",VLOOKUP(A498,'Player Data'!A1:E734,5,FALSE),82)</f>
        <v>72</v>
      </c>
      <c r="E498" s="39">
        <f>(VLOOKUP($A498,'The List'!$B1:$AH727,17,FALSE)-AVERAGE('The List'!R2:R727))/STDEV('The List'!R2:R727)</f>
        <v>-1.415741849817354</v>
      </c>
      <c r="F498" s="39">
        <f>(VLOOKUP($A498,'The List'!$B1:$AH727,18,FALSE)-AVERAGE('The List'!S2:S727))/STDEV('The List'!S2:S727)</f>
        <v>-0.34302511667132068</v>
      </c>
      <c r="G498" s="39">
        <f>(VLOOKUP($A498,'The List'!$B1:$AH727,19,FALSE)-AVERAGE('The List'!T2:T727))/STDEV('The List'!T2:T727)</f>
        <v>-1.0253592368887474</v>
      </c>
      <c r="H498" s="39">
        <f>(VLOOKUP($A498,'The List'!$B1:$AH727,20,FALSE)-AVERAGE('The List'!U2:U727))/STDEV('The List'!U2:U727)</f>
        <v>-0.78793369655353729</v>
      </c>
      <c r="I498" s="39">
        <f>(VLOOKUP($A498,'The List'!$B1:$AH727,21,FALSE)-AVERAGE('The List'!V2:V727))/STDEV('The List'!V2:V727)</f>
        <v>-0.30083070399143313</v>
      </c>
      <c r="J498" s="39">
        <f>(VLOOKUP($A498,'The List'!$B1:$AH727,22,FALSE)-AVERAGE('The List'!W2:W727))/STDEV('The List'!W2:W727)</f>
        <v>-0.69775917189048708</v>
      </c>
      <c r="K498" s="39">
        <f>(VLOOKUP($A498,'The List'!$B1:$AH727,23,FALSE)-AVERAGE('The List'!X2:X727))/STDEV('The List'!X2:X727)</f>
        <v>-0.78732261148233706</v>
      </c>
      <c r="L498" s="39">
        <f>(VLOOKUP($A498,'The List'!$B1:$AH727,24,FALSE)-AVERAGE('The List'!Y2:Y727))/STDEV('The List'!Y2:Y727)</f>
        <v>-0.45634575847387454</v>
      </c>
      <c r="M498" s="39">
        <f>(VLOOKUP($A498,'The List'!$B1:$AH727,25,FALSE)-AVERAGE('The List'!Z2:Z727))/STDEV('The List'!Z2:Z727)</f>
        <v>-0.47859902062828708</v>
      </c>
      <c r="N498" s="39">
        <f>(VLOOKUP($A498,'The List'!$B1:$AH727,26,FALSE)-AVERAGE('The List'!AA2:AA727))/STDEV('The List'!AA2:AA727)</f>
        <v>-1.0105140449576353</v>
      </c>
      <c r="O498" s="39">
        <f>(VLOOKUP($A498,'The List'!$B1:$AH727,27,FALSE)-AVERAGE('The List'!AB2:AB727))/STDEV('The List'!AB2:AB727)</f>
        <v>0.95662771222645127</v>
      </c>
      <c r="P498" s="39">
        <f>(VLOOKUP($A498,'The List'!$B1:$AH727,28,FALSE)-AVERAGE('The List'!AC2:AC727))/STDEV('The List'!AC2:AC727)</f>
        <v>0.54802504377633809</v>
      </c>
      <c r="Q498" s="39">
        <f>(VLOOKUP($A498,'The List'!$B1:$AH727,29,FALSE)-AVERAGE('The List'!AD2:AD727))/STDEV('The List'!AD2:AD727)</f>
        <v>1.7348196470592843</v>
      </c>
      <c r="R498" s="39">
        <f>(VLOOKUP($A498,'The List'!$B1:$AH727,30,FALSE)-AVERAGE('The List'!AE2:AE727))/STDEV('The List'!AE2:AE727)</f>
        <v>-0.3010640596553385</v>
      </c>
      <c r="S498" s="39">
        <f>(VLOOKUP($A498,'The List'!$B1:$AH727,31,FALSE)-AVERAGE('The List'!AF2:AF727))/STDEV('The List'!AF2:AF727)</f>
        <v>-0.52141089735726764</v>
      </c>
      <c r="T498" s="39">
        <f>(VLOOKUP($A498,'The List'!$B1:$AH727,32,FALSE)-AVERAGE('The List'!AG2:AG727))/STDEV('The List'!AG2:AG727)</f>
        <v>-0.52281158724752153</v>
      </c>
      <c r="U498" s="39">
        <f>(VLOOKUP($A498,'The List'!$B1:$AH727,33,FALSE)-AVERAGE('The List'!AH2:AH727))/STDEV('The List'!AH2:AH727)</f>
        <v>0.24075856807756513</v>
      </c>
      <c r="V498" s="39"/>
      <c r="W498" s="43"/>
      <c r="X498" s="41"/>
      <c r="Y498" s="41"/>
      <c r="Z498" s="41"/>
      <c r="AA498" s="41"/>
      <c r="AB498" s="41"/>
      <c r="AC498" s="44"/>
      <c r="AD498" s="45"/>
      <c r="AE498" s="39"/>
    </row>
    <row r="499" spans="1:31" ht="21.25" customHeight="1" x14ac:dyDescent="0.15">
      <c r="A499" s="8" t="s">
        <v>504</v>
      </c>
      <c r="B499" s="35" t="str">
        <f>VLOOKUP(A499,'Player Data'!A1:B734,2,FALSE)</f>
        <v>VGK</v>
      </c>
      <c r="C499" s="37">
        <f>((E499)*Settings!$C$12)+(F499*Settings!$C$2)+(G499*Settings!$C$3)+(H499*Settings!$C$4)+(I499*Settings!$C$5)+(K499*Settings!$C$9)+(N499*Settings!$C$6)+(J499*Settings!$C$8)+(O499*Settings!$C$7)+(P499*Settings!$C$14)+(Q499*Settings!$C$15)+(R499*Settings!$C$16)+(S499*Settings!$C$17)+(T499*Settings!$C$18)+(U499*Settings!$C$19)</f>
        <v>-0.30655609675951512</v>
      </c>
      <c r="D499" s="41">
        <f>IF(Settings!$E$12="YES",VLOOKUP(A499,'Player Data'!A1:E734,5,FALSE),82)</f>
        <v>74.052857142857107</v>
      </c>
      <c r="E499" s="39">
        <f>(VLOOKUP($A499,'The List'!$B1:$AH727,17,FALSE)-AVERAGE('The List'!R2:R727))/STDEV('The List'!R2:R727)</f>
        <v>0.24179023813833006</v>
      </c>
      <c r="F499" s="39">
        <f>(VLOOKUP($A499,'The List'!$B1:$AH727,18,FALSE)-AVERAGE('The List'!S2:S727))/STDEV('The List'!S2:S727)</f>
        <v>-0.69654678186559582</v>
      </c>
      <c r="G499" s="39">
        <f>(VLOOKUP($A499,'The List'!$B1:$AH727,19,FALSE)-AVERAGE('The List'!T2:T727))/STDEV('The List'!T2:T727)</f>
        <v>-0.72804869666502037</v>
      </c>
      <c r="H499" s="39">
        <f>(VLOOKUP($A499,'The List'!$B1:$AH727,20,FALSE)-AVERAGE('The List'!U2:U727))/STDEV('The List'!U2:U727)</f>
        <v>-0.76560268381500596</v>
      </c>
      <c r="I499" s="39">
        <f>(VLOOKUP($A499,'The List'!$B1:$AH727,21,FALSE)-AVERAGE('The List'!V2:V727))/STDEV('The List'!V2:V727)</f>
        <v>-0.7159021278963269</v>
      </c>
      <c r="J499" s="39">
        <f>(VLOOKUP($A499,'The List'!$B1:$AH727,22,FALSE)-AVERAGE('The List'!W2:W727))/STDEV('The List'!W2:W727)</f>
        <v>-0.70980674216911332</v>
      </c>
      <c r="K499" s="39">
        <f>(VLOOKUP($A499,'The List'!$B1:$AH727,23,FALSE)-AVERAGE('The List'!X2:X727))/STDEV('The List'!X2:X727)</f>
        <v>-0.79567866511008789</v>
      </c>
      <c r="L499" s="39">
        <f>(VLOOKUP($A499,'The List'!$B1:$AH727,24,FALSE)-AVERAGE('The List'!Y2:Y727))/STDEV('The List'!Y2:Y727)</f>
        <v>4.8033941732528077E-2</v>
      </c>
      <c r="M499" s="39">
        <f>(VLOOKUP($A499,'The List'!$B1:$AH727,25,FALSE)-AVERAGE('The List'!Z2:Z727))/STDEV('The List'!Z2:Z727)</f>
        <v>-0.24607682633875663</v>
      </c>
      <c r="N499" s="39">
        <f>(VLOOKUP($A499,'The List'!$B1:$AH727,26,FALSE)-AVERAGE('The List'!AA2:AA727))/STDEV('The List'!AA2:AA727)</f>
        <v>1.5509271933540056</v>
      </c>
      <c r="O499" s="39">
        <f>(VLOOKUP($A499,'The List'!$B1:$AH727,27,FALSE)-AVERAGE('The List'!AB2:AB727))/STDEV('The List'!AB2:AB727)</f>
        <v>0.43823575680659005</v>
      </c>
      <c r="P499" s="39">
        <f>(VLOOKUP($A499,'The List'!$B1:$AH727,28,FALSE)-AVERAGE('The List'!AC2:AC727))/STDEV('The List'!AC2:AC727)</f>
        <v>1.0786929814235104</v>
      </c>
      <c r="Q499" s="39">
        <f>(VLOOKUP($A499,'The List'!$B1:$AH727,29,FALSE)-AVERAGE('The List'!AD2:AD727))/STDEV('The List'!AD2:AD727)</f>
        <v>0.10418059769442034</v>
      </c>
      <c r="R499" s="39">
        <f>(VLOOKUP($A499,'The List'!$B1:$AH727,30,FALSE)-AVERAGE('The List'!AE2:AE727))/STDEV('The List'!AE2:AE727)</f>
        <v>-0.55437752307154553</v>
      </c>
      <c r="S499" s="39">
        <f>(VLOOKUP($A499,'The List'!$B1:$AH727,31,FALSE)-AVERAGE('The List'!AF2:AF727))/STDEV('The List'!AF2:AF727)</f>
        <v>-0.55804314905918151</v>
      </c>
      <c r="T499" s="39">
        <f>(VLOOKUP($A499,'The List'!$B1:$AH727,32,FALSE)-AVERAGE('The List'!AG2:AG727))/STDEV('The List'!AG2:AG727)</f>
        <v>-0.60188453558131205</v>
      </c>
      <c r="U499" s="39">
        <f>(VLOOKUP($A499,'The List'!$B1:$AH727,33,FALSE)-AVERAGE('The List'!AH2:AH727))/STDEV('The List'!AH2:AH727)</f>
        <v>-1.2395873372913611</v>
      </c>
      <c r="V499" s="39"/>
      <c r="W499" s="43"/>
      <c r="X499" s="41"/>
      <c r="Y499" s="41"/>
      <c r="Z499" s="41"/>
      <c r="AA499" s="41"/>
      <c r="AB499" s="41"/>
      <c r="AC499" s="44"/>
      <c r="AD499" s="45"/>
      <c r="AE499" s="39"/>
    </row>
    <row r="500" spans="1:31" ht="21.25" customHeight="1" x14ac:dyDescent="0.15">
      <c r="A500" s="8" t="s">
        <v>722</v>
      </c>
      <c r="B500" s="35" t="str">
        <f>VLOOKUP(A500,'Player Data'!A1:B734,2,FALSE)</f>
        <v>CHI</v>
      </c>
      <c r="C500" s="37">
        <f>((E500)*Settings!$C$12)+(F500*Settings!$C$2)+(G500*Settings!$C$3)+(H500*Settings!$C$4)+(I500*Settings!$C$5)+(K500*Settings!$C$9)+(N500*Settings!$C$6)+(J500*Settings!$C$8)+(O500*Settings!$C$7)+(P500*Settings!$C$14)+(Q500*Settings!$C$15)+(R500*Settings!$C$16)+(S500*Settings!$C$17)+(T500*Settings!$C$18)+(U500*Settings!$C$19)</f>
        <v>-5.5912471136089241</v>
      </c>
      <c r="D500" s="41">
        <f>IF(Settings!$E$12="YES",VLOOKUP(A500,'Player Data'!A1:E734,5,FALSE),82)</f>
        <v>72.207499999999996</v>
      </c>
      <c r="E500" s="39">
        <f>(VLOOKUP($A500,'The List'!$B1:$AH727,17,FALSE)-AVERAGE('The List'!R2:R727))/STDEV('The List'!R2:R727)</f>
        <v>-1.1275225430518609</v>
      </c>
      <c r="F500" s="39">
        <f>(VLOOKUP($A500,'The List'!$B1:$AH727,18,FALSE)-AVERAGE('The List'!S2:S727))/STDEV('The List'!S2:S727)</f>
        <v>-0.65494346467651599</v>
      </c>
      <c r="G500" s="39">
        <f>(VLOOKUP($A500,'The List'!$B1:$AH727,19,FALSE)-AVERAGE('The List'!T2:T727))/STDEV('The List'!T2:T727)</f>
        <v>-0.79798081092149786</v>
      </c>
      <c r="H500" s="39">
        <f>(VLOOKUP($A500,'The List'!$B1:$AH727,20,FALSE)-AVERAGE('The List'!U2:U727))/STDEV('The List'!U2:U727)</f>
        <v>-0.78976338384468059</v>
      </c>
      <c r="I500" s="39">
        <f>(VLOOKUP($A500,'The List'!$B1:$AH727,21,FALSE)-AVERAGE('The List'!V2:V727))/STDEV('The List'!V2:V727)</f>
        <v>-0.84504315204771019</v>
      </c>
      <c r="J500" s="39">
        <f>(VLOOKUP($A500,'The List'!$B1:$AH727,22,FALSE)-AVERAGE('The List'!W2:W727))/STDEV('The List'!W2:W727)</f>
        <v>-0.65584741489258502</v>
      </c>
      <c r="K500" s="39">
        <f>(VLOOKUP($A500,'The List'!$B1:$AH727,23,FALSE)-AVERAGE('The List'!X2:X727))/STDEV('The List'!X2:X727)</f>
        <v>-0.74682208536726113</v>
      </c>
      <c r="L500" s="39">
        <f>(VLOOKUP($A500,'The List'!$B1:$AH727,24,FALSE)-AVERAGE('The List'!Y2:Y727))/STDEV('The List'!Y2:Y727)</f>
        <v>-0.17045122456599324</v>
      </c>
      <c r="M500" s="39">
        <f>(VLOOKUP($A500,'The List'!$B1:$AH727,25,FALSE)-AVERAGE('The List'!Z2:Z727))/STDEV('The List'!Z2:Z727)</f>
        <v>0.77967047643527954</v>
      </c>
      <c r="N500" s="39">
        <f>(VLOOKUP($A500,'The List'!$B1:$AH727,26,FALSE)-AVERAGE('The List'!AA2:AA727))/STDEV('The List'!AA2:AA727)</f>
        <v>-0.8528524631548462</v>
      </c>
      <c r="O500" s="39">
        <f>(VLOOKUP($A500,'The List'!$B1:$AH727,27,FALSE)-AVERAGE('The List'!AB2:AB727))/STDEV('The List'!AB2:AB727)</f>
        <v>0.82336232658199171</v>
      </c>
      <c r="P500" s="39">
        <f>(VLOOKUP($A500,'The List'!$B1:$AH727,28,FALSE)-AVERAGE('The List'!AC2:AC727))/STDEV('The List'!AC2:AC727)</f>
        <v>-1.6936051374410928</v>
      </c>
      <c r="Q500" s="39">
        <f>(VLOOKUP($A500,'The List'!$B1:$AH727,29,FALSE)-AVERAGE('The List'!AD2:AD727))/STDEV('The List'!AD2:AD727)</f>
        <v>-0.16045802045659438</v>
      </c>
      <c r="R500" s="39">
        <f>(VLOOKUP($A500,'The List'!$B1:$AH727,30,FALSE)-AVERAGE('The List'!AE2:AE727))/STDEV('The List'!AE2:AE727)</f>
        <v>-0.7030130501773928</v>
      </c>
      <c r="S500" s="39">
        <f>(VLOOKUP($A500,'The List'!$B1:$AH727,31,FALSE)-AVERAGE('The List'!AF2:AF727))/STDEV('The List'!AF2:AF727)</f>
        <v>-0.53102973277306453</v>
      </c>
      <c r="T500" s="39">
        <f>(VLOOKUP($A500,'The List'!$B1:$AH727,32,FALSE)-AVERAGE('The List'!AG2:AG727))/STDEV('The List'!AG2:AG727)</f>
        <v>-0.52462196519402926</v>
      </c>
      <c r="U500" s="39">
        <f>(VLOOKUP($A500,'The List'!$B1:$AH727,33,FALSE)-AVERAGE('The List'!AH2:AH727))/STDEV('The List'!AH2:AH727)</f>
        <v>-2.4723730062873418E-2</v>
      </c>
      <c r="V500" s="39"/>
      <c r="W500" s="43"/>
      <c r="X500" s="41"/>
      <c r="Y500" s="41"/>
      <c r="Z500" s="41"/>
      <c r="AA500" s="41"/>
      <c r="AB500" s="41"/>
      <c r="AC500" s="44"/>
      <c r="AD500" s="45"/>
      <c r="AE500" s="39"/>
    </row>
    <row r="501" spans="1:31" ht="21.25" customHeight="1" x14ac:dyDescent="0.15">
      <c r="A501" s="8" t="s">
        <v>541</v>
      </c>
      <c r="B501" s="35" t="str">
        <f>VLOOKUP(A501,'Player Data'!A1:B734,2,FALSE)</f>
        <v>COL</v>
      </c>
      <c r="C501" s="37">
        <f>((E501)*Settings!$C$12)+(F501*Settings!$C$2)+(G501*Settings!$C$3)+(H501*Settings!$C$4)+(I501*Settings!$C$5)+(K501*Settings!$C$9)+(N501*Settings!$C$6)+(J501*Settings!$C$8)+(O501*Settings!$C$7)+(P501*Settings!$C$14)+(Q501*Settings!$C$15)+(R501*Settings!$C$16)+(S501*Settings!$C$17)+(T501*Settings!$C$18)+(U501*Settings!$C$19)</f>
        <v>-1.6365213789159898</v>
      </c>
      <c r="D501" s="41">
        <f>IF(Settings!$E$12="YES",VLOOKUP(A501,'Player Data'!A1:E734,5,FALSE),82)</f>
        <v>67.680357142857105</v>
      </c>
      <c r="E501" s="39">
        <f>(VLOOKUP($A501,'The List'!$B1:$AH727,17,FALSE)-AVERAGE('The List'!R2:R727))/STDEV('The List'!R2:R727)</f>
        <v>0.27430821979392944</v>
      </c>
      <c r="F501" s="39">
        <f>(VLOOKUP($A501,'The List'!$B1:$AH727,18,FALSE)-AVERAGE('The List'!S2:S727))/STDEV('The List'!S2:S727)</f>
        <v>-0.86407146804795765</v>
      </c>
      <c r="G501" s="39">
        <f>(VLOOKUP($A501,'The List'!$B1:$AH727,19,FALSE)-AVERAGE('The List'!T2:T727))/STDEV('The List'!T2:T727)</f>
        <v>-0.72555908308819261</v>
      </c>
      <c r="H501" s="39">
        <f>(VLOOKUP($A501,'The List'!$B1:$AH727,20,FALSE)-AVERAGE('The List'!U2:U727))/STDEV('The List'!U2:U727)</f>
        <v>-0.84030277630245664</v>
      </c>
      <c r="I501" s="39">
        <f>(VLOOKUP($A501,'The List'!$B1:$AH727,21,FALSE)-AVERAGE('The List'!V2:V727))/STDEV('The List'!V2:V727)</f>
        <v>-0.72231881025137401</v>
      </c>
      <c r="J501" s="39">
        <f>(VLOOKUP($A501,'The List'!$B1:$AH727,22,FALSE)-AVERAGE('The List'!W2:W727))/STDEV('The List'!W2:W727)</f>
        <v>-0.70965364042463985</v>
      </c>
      <c r="K501" s="39">
        <f>(VLOOKUP($A501,'The List'!$B1:$AH727,23,FALSE)-AVERAGE('The List'!X2:X727))/STDEV('The List'!X2:X727)</f>
        <v>-0.79524534977578887</v>
      </c>
      <c r="L501" s="39">
        <f>(VLOOKUP($A501,'The List'!$B1:$AH727,24,FALSE)-AVERAGE('The List'!Y2:Y727))/STDEV('The List'!Y2:Y727)</f>
        <v>-0.47838432853242802</v>
      </c>
      <c r="M501" s="39">
        <f>(VLOOKUP($A501,'The List'!$B1:$AH727,25,FALSE)-AVERAGE('The List'!Z2:Z727))/STDEV('The List'!Z2:Z727)</f>
        <v>-0.56701121496547513</v>
      </c>
      <c r="N501" s="39">
        <f>(VLOOKUP($A501,'The List'!$B1:$AH727,26,FALSE)-AVERAGE('The List'!AA2:AA727))/STDEV('The List'!AA2:AA727)</f>
        <v>0.71327939269805329</v>
      </c>
      <c r="O501" s="39">
        <f>(VLOOKUP($A501,'The List'!$B1:$AH727,27,FALSE)-AVERAGE('The List'!AB2:AB727))/STDEV('The List'!AB2:AB727)</f>
        <v>1.0144487160091136</v>
      </c>
      <c r="P501" s="39">
        <f>(VLOOKUP($A501,'The List'!$B1:$AH727,28,FALSE)-AVERAGE('The List'!AC2:AC727))/STDEV('The List'!AC2:AC727)</f>
        <v>0.75739393954927003</v>
      </c>
      <c r="Q501" s="39">
        <f>(VLOOKUP($A501,'The List'!$B1:$AH727,29,FALSE)-AVERAGE('The List'!AD2:AD727))/STDEV('The List'!AD2:AD727)</f>
        <v>2.4483595480448321</v>
      </c>
      <c r="R501" s="39">
        <f>(VLOOKUP($A501,'The List'!$B1:$AH727,30,FALSE)-AVERAGE('The List'!AE2:AE727))/STDEV('The List'!AE2:AE727)</f>
        <v>-0.7478535212679549</v>
      </c>
      <c r="S501" s="39">
        <f>(VLOOKUP($A501,'The List'!$B1:$AH727,31,FALSE)-AVERAGE('The List'!AF2:AF727))/STDEV('The List'!AF2:AF727)</f>
        <v>-0.55804314905918151</v>
      </c>
      <c r="T501" s="39">
        <f>(VLOOKUP($A501,'The List'!$B1:$AH727,32,FALSE)-AVERAGE('The List'!AG2:AG727))/STDEV('The List'!AG2:AG727)</f>
        <v>-0.60188453558131205</v>
      </c>
      <c r="U501" s="39">
        <f>(VLOOKUP($A501,'The List'!$B1:$AH727,33,FALSE)-AVERAGE('The List'!AH2:AH727))/STDEV('The List'!AH2:AH727)</f>
        <v>-1.2395873372913611</v>
      </c>
      <c r="V501" s="39"/>
      <c r="W501" s="41"/>
      <c r="X501" s="39"/>
      <c r="Y501" s="39"/>
      <c r="Z501" s="39"/>
      <c r="AA501" s="39"/>
      <c r="AB501" s="39"/>
      <c r="AC501" s="39"/>
      <c r="AD501" s="39"/>
      <c r="AE501" s="39"/>
    </row>
    <row r="502" spans="1:31" ht="21.25" customHeight="1" x14ac:dyDescent="0.15">
      <c r="A502" s="8" t="s">
        <v>465</v>
      </c>
      <c r="B502" s="35" t="str">
        <f>VLOOKUP(A502,'Player Data'!A1:B734,2,FALSE)</f>
        <v>CGY</v>
      </c>
      <c r="C502" s="37">
        <f>((E502)*Settings!$C$12)+(F502*Settings!$C$2)+(G502*Settings!$C$3)+(H502*Settings!$C$4)+(I502*Settings!$C$5)+(K502*Settings!$C$9)+(N502*Settings!$C$6)+(J502*Settings!$C$8)+(O502*Settings!$C$7)+(P502*Settings!$C$14)+(Q502*Settings!$C$15)+(R502*Settings!$C$16)+(S502*Settings!$C$17)+(T502*Settings!$C$18)+(U502*Settings!$C$19)</f>
        <v>-1.0864343299168588</v>
      </c>
      <c r="D502" s="41">
        <f>IF(Settings!$E$12="YES",VLOOKUP(A502,'Player Data'!A1:E734,5,FALSE),82)</f>
        <v>80.783571428571406</v>
      </c>
      <c r="E502" s="39">
        <f>(VLOOKUP($A502,'The List'!$B1:$AH727,17,FALSE)-AVERAGE('The List'!R2:R727))/STDEV('The List'!R2:R727)</f>
        <v>0.53885699263911135</v>
      </c>
      <c r="F502" s="39">
        <f>(VLOOKUP($A502,'The List'!$B1:$AH727,18,FALSE)-AVERAGE('The List'!S2:S727))/STDEV('The List'!S2:S727)</f>
        <v>-0.58972140220670177</v>
      </c>
      <c r="G502" s="39">
        <f>(VLOOKUP($A502,'The List'!$B1:$AH727,19,FALSE)-AVERAGE('The List'!T2:T727))/STDEV('The List'!T2:T727)</f>
        <v>-0.70137929424290002</v>
      </c>
      <c r="H502" s="39">
        <f>(VLOOKUP($A502,'The List'!$B1:$AH727,20,FALSE)-AVERAGE('The List'!U2:U727))/STDEV('The List'!U2:U727)</f>
        <v>-0.70055651998456214</v>
      </c>
      <c r="I502" s="39">
        <f>(VLOOKUP($A502,'The List'!$B1:$AH727,21,FALSE)-AVERAGE('The List'!V2:V727))/STDEV('The List'!V2:V727)</f>
        <v>-0.24322491216655734</v>
      </c>
      <c r="J502" s="39">
        <f>(VLOOKUP($A502,'The List'!$B1:$AH727,22,FALSE)-AVERAGE('The List'!W2:W727))/STDEV('The List'!W2:W727)</f>
        <v>-0.7024756531637687</v>
      </c>
      <c r="K502" s="39">
        <f>(VLOOKUP($A502,'The List'!$B1:$AH727,23,FALSE)-AVERAGE('The List'!X2:X727))/STDEV('The List'!X2:X727)</f>
        <v>-0.76451152009508305</v>
      </c>
      <c r="L502" s="39">
        <f>(VLOOKUP($A502,'The List'!$B1:$AH727,24,FALSE)-AVERAGE('The List'!Y2:Y727))/STDEV('The List'!Y2:Y727)</f>
        <v>-0.49495562811869181</v>
      </c>
      <c r="M502" s="39">
        <f>(VLOOKUP($A502,'The List'!$B1:$AH727,25,FALSE)-AVERAGE('The List'!Z2:Z727))/STDEV('The List'!Z2:Z727)</f>
        <v>-0.56334770539189938</v>
      </c>
      <c r="N502" s="39">
        <f>(VLOOKUP($A502,'The List'!$B1:$AH727,26,FALSE)-AVERAGE('The List'!AA2:AA727))/STDEV('The List'!AA2:AA727)</f>
        <v>0.61294577131082817</v>
      </c>
      <c r="O502" s="39">
        <f>(VLOOKUP($A502,'The List'!$B1:$AH727,27,FALSE)-AVERAGE('The List'!AB2:AB727))/STDEV('The List'!AB2:AB727)</f>
        <v>1.7085330484976025</v>
      </c>
      <c r="P502" s="39">
        <f>(VLOOKUP($A502,'The List'!$B1:$AH727,28,FALSE)-AVERAGE('The List'!AC2:AC727))/STDEV('The List'!AC2:AC727)</f>
        <v>0.59945702748355489</v>
      </c>
      <c r="Q502" s="39">
        <f>(VLOOKUP($A502,'The List'!$B1:$AH727,29,FALSE)-AVERAGE('The List'!AD2:AD727))/STDEV('The List'!AD2:AD727)</f>
        <v>2.2828506587190298</v>
      </c>
      <c r="R502" s="39">
        <f>(VLOOKUP($A502,'The List'!$B1:$AH727,30,FALSE)-AVERAGE('The List'!AE2:AE727))/STDEV('The List'!AE2:AE727)</f>
        <v>-0.42344972854437496</v>
      </c>
      <c r="S502" s="39">
        <f>(VLOOKUP($A502,'The List'!$B1:$AH727,31,FALSE)-AVERAGE('The List'!AF2:AF727))/STDEV('The List'!AF2:AF727)</f>
        <v>-0.55804314905918151</v>
      </c>
      <c r="T502" s="39">
        <f>(VLOOKUP($A502,'The List'!$B1:$AH727,32,FALSE)-AVERAGE('The List'!AG2:AG727))/STDEV('The List'!AG2:AG727)</f>
        <v>-0.60188453558131205</v>
      </c>
      <c r="U502" s="39">
        <f>(VLOOKUP($A502,'The List'!$B1:$AH727,33,FALSE)-AVERAGE('The List'!AH2:AH727))/STDEV('The List'!AH2:AH727)</f>
        <v>-1.2395873372913611</v>
      </c>
      <c r="V502" s="39"/>
      <c r="W502" s="43"/>
      <c r="X502" s="41"/>
      <c r="Y502" s="41"/>
      <c r="Z502" s="41"/>
      <c r="AA502" s="41"/>
      <c r="AB502" s="41"/>
      <c r="AC502" s="44"/>
      <c r="AD502" s="45"/>
      <c r="AE502" s="39"/>
    </row>
    <row r="503" spans="1:31" ht="21.25" customHeight="1" x14ac:dyDescent="0.15">
      <c r="A503" s="8" t="s">
        <v>514</v>
      </c>
      <c r="B503" s="35" t="str">
        <f>VLOOKUP(A503,'Player Data'!A1:B734,2,FALSE)</f>
        <v>PHI</v>
      </c>
      <c r="C503" s="37">
        <f>((E503)*Settings!$C$12)+(F503*Settings!$C$2)+(G503*Settings!$C$3)+(H503*Settings!$C$4)+(I503*Settings!$C$5)+(K503*Settings!$C$9)+(N503*Settings!$C$6)+(J503*Settings!$C$8)+(O503*Settings!$C$7)+(P503*Settings!$C$14)+(Q503*Settings!$C$15)+(R503*Settings!$C$16)+(S503*Settings!$C$17)+(T503*Settings!$C$18)+(U503*Settings!$C$19)</f>
        <v>-3.1292656960550573</v>
      </c>
      <c r="D503" s="41">
        <f>IF(Settings!$E$12="YES",VLOOKUP(A503,'Player Data'!A1:E734,5,FALSE),82)</f>
        <v>68.132142857142895</v>
      </c>
      <c r="E503" s="39">
        <f>(VLOOKUP($A503,'The List'!$B1:$AH727,17,FALSE)-AVERAGE('The List'!R2:R727))/STDEV('The List'!R2:R727)</f>
        <v>-6.4280945502948619E-2</v>
      </c>
      <c r="F503" s="39">
        <f>(VLOOKUP($A503,'The List'!$B1:$AH727,18,FALSE)-AVERAGE('The List'!S2:S727))/STDEV('The List'!S2:S727)</f>
        <v>-0.89172274030825882</v>
      </c>
      <c r="G503" s="39">
        <f>(VLOOKUP($A503,'The List'!$B1:$AH727,19,FALSE)-AVERAGE('The List'!T2:T727))/STDEV('The List'!T2:T727)</f>
        <v>-0.70708919550100957</v>
      </c>
      <c r="H503" s="39">
        <f>(VLOOKUP($A503,'The List'!$B1:$AH727,20,FALSE)-AVERAGE('The List'!U2:U727))/STDEV('The List'!U2:U727)</f>
        <v>-0.84150452069616866</v>
      </c>
      <c r="I503" s="39">
        <f>(VLOOKUP($A503,'The List'!$B1:$AH727,21,FALSE)-AVERAGE('The List'!V2:V727))/STDEV('The List'!V2:V727)</f>
        <v>-0.47091079093739469</v>
      </c>
      <c r="J503" s="39">
        <f>(VLOOKUP($A503,'The List'!$B1:$AH727,22,FALSE)-AVERAGE('The List'!W2:W727))/STDEV('The List'!W2:W727)</f>
        <v>-0.7066370259527649</v>
      </c>
      <c r="K503" s="39">
        <f>(VLOOKUP($A503,'The List'!$B1:$AH727,23,FALSE)-AVERAGE('The List'!X2:X727))/STDEV('The List'!X2:X727)</f>
        <v>-0.77261784896047048</v>
      </c>
      <c r="L503" s="39">
        <f>(VLOOKUP($A503,'The List'!$B1:$AH727,24,FALSE)-AVERAGE('The List'!Y2:Y727))/STDEV('The List'!Y2:Y727)</f>
        <v>-0.51918887531620783</v>
      </c>
      <c r="M503" s="39">
        <f>(VLOOKUP($A503,'The List'!$B1:$AH727,25,FALSE)-AVERAGE('The List'!Z2:Z727))/STDEV('The List'!Z2:Z727)</f>
        <v>-0.66660320533956141</v>
      </c>
      <c r="N503" s="39">
        <f>(VLOOKUP($A503,'The List'!$B1:$AH727,26,FALSE)-AVERAGE('The List'!AA2:AA727))/STDEV('The List'!AA2:AA727)</f>
        <v>0.97605331173099452</v>
      </c>
      <c r="O503" s="39">
        <f>(VLOOKUP($A503,'The List'!$B1:$AH727,27,FALSE)-AVERAGE('The List'!AB2:AB727))/STDEV('The List'!AB2:AB727)</f>
        <v>-0.19433380600196368</v>
      </c>
      <c r="P503" s="39">
        <f>(VLOOKUP($A503,'The List'!$B1:$AH727,28,FALSE)-AVERAGE('The List'!AC2:AC727))/STDEV('The List'!AC2:AC727)</f>
        <v>-1.2629784320789181</v>
      </c>
      <c r="Q503" s="39">
        <f>(VLOOKUP($A503,'The List'!$B1:$AH727,29,FALSE)-AVERAGE('The List'!AD2:AD727))/STDEV('The List'!AD2:AD727)</f>
        <v>7.9323657116018756E-2</v>
      </c>
      <c r="R503" s="39">
        <f>(VLOOKUP($A503,'The List'!$B1:$AH727,30,FALSE)-AVERAGE('The List'!AE2:AE727))/STDEV('The List'!AE2:AE727)</f>
        <v>-0.88329881562233803</v>
      </c>
      <c r="S503" s="39">
        <f>(VLOOKUP($A503,'The List'!$B1:$AH727,31,FALSE)-AVERAGE('The List'!AF2:AF727))/STDEV('The List'!AF2:AF727)</f>
        <v>-0.55804314905918151</v>
      </c>
      <c r="T503" s="39">
        <f>(VLOOKUP($A503,'The List'!$B1:$AH727,32,FALSE)-AVERAGE('The List'!AG2:AG727))/STDEV('The List'!AG2:AG727)</f>
        <v>-0.60188453558131205</v>
      </c>
      <c r="U503" s="39">
        <f>(VLOOKUP($A503,'The List'!$B1:$AH727,33,FALSE)-AVERAGE('The List'!AH2:AH727))/STDEV('The List'!AH2:AH727)</f>
        <v>-1.2395873372913611</v>
      </c>
      <c r="V503" s="39"/>
      <c r="W503" s="43"/>
      <c r="X503" s="41"/>
      <c r="Y503" s="41"/>
      <c r="Z503" s="41"/>
      <c r="AA503" s="41"/>
      <c r="AB503" s="41"/>
      <c r="AC503" s="44"/>
      <c r="AD503" s="45"/>
      <c r="AE503" s="39"/>
    </row>
    <row r="504" spans="1:31" ht="21.25" customHeight="1" x14ac:dyDescent="0.15">
      <c r="A504" s="8" t="s">
        <v>506</v>
      </c>
      <c r="B504" s="35" t="str">
        <f>VLOOKUP(A504,'Player Data'!A1:B734,2,FALSE)</f>
        <v>WPG</v>
      </c>
      <c r="C504" s="37">
        <f>((E504)*Settings!$C$12)+(F504*Settings!$C$2)+(G504*Settings!$C$3)+(H504*Settings!$C$4)+(I504*Settings!$C$5)+(K504*Settings!$C$9)+(N504*Settings!$C$6)+(J504*Settings!$C$8)+(O504*Settings!$C$7)+(P504*Settings!$C$14)+(Q504*Settings!$C$15)+(R504*Settings!$C$16)+(S504*Settings!$C$17)+(T504*Settings!$C$18)+(U504*Settings!$C$19)</f>
        <v>-1.524433807575247</v>
      </c>
      <c r="D504" s="41">
        <f>IF(Settings!$E$12="YES",VLOOKUP(A504,'Player Data'!A1:E734,5,FALSE),82)</f>
        <v>81.617500000000007</v>
      </c>
      <c r="E504" s="39">
        <f>(VLOOKUP($A504,'The List'!$B1:$AH727,17,FALSE)-AVERAGE('The List'!R2:R727))/STDEV('The List'!R2:R727)</f>
        <v>0.56120479101313536</v>
      </c>
      <c r="F504" s="39">
        <f>(VLOOKUP($A504,'The List'!$B1:$AH727,18,FALSE)-AVERAGE('The List'!S2:S727))/STDEV('The List'!S2:S727)</f>
        <v>-1.0653981730265893</v>
      </c>
      <c r="G504" s="39">
        <f>(VLOOKUP($A504,'The List'!$B1:$AH727,19,FALSE)-AVERAGE('The List'!T2:T727))/STDEV('The List'!T2:T727)</f>
        <v>-0.33755442071325098</v>
      </c>
      <c r="H504" s="39">
        <f>(VLOOKUP($A504,'The List'!$B1:$AH727,20,FALSE)-AVERAGE('The List'!U2:U727))/STDEV('The List'!U2:U727)</f>
        <v>-0.69282697968492846</v>
      </c>
      <c r="I504" s="39">
        <f>(VLOOKUP($A504,'The List'!$B1:$AH727,21,FALSE)-AVERAGE('The List'!V2:V727))/STDEV('The List'!V2:V727)</f>
        <v>-0.8435194682618038</v>
      </c>
      <c r="J504" s="39">
        <f>(VLOOKUP($A504,'The List'!$B1:$AH727,22,FALSE)-AVERAGE('The List'!W2:W727))/STDEV('The List'!W2:W727)</f>
        <v>-0.70655756400521963</v>
      </c>
      <c r="K504" s="39">
        <f>(VLOOKUP($A504,'The List'!$B1:$AH727,23,FALSE)-AVERAGE('The List'!X2:X727))/STDEV('The List'!X2:X727)</f>
        <v>-0.78172666677517189</v>
      </c>
      <c r="L504" s="39">
        <f>(VLOOKUP($A504,'The List'!$B1:$AH727,24,FALSE)-AVERAGE('The List'!Y2:Y727))/STDEV('The List'!Y2:Y727)</f>
        <v>-0.50448444636705914</v>
      </c>
      <c r="M504" s="39">
        <f>(VLOOKUP($A504,'The List'!$B1:$AH727,25,FALSE)-AVERAGE('The List'!Z2:Z727))/STDEV('The List'!Z2:Z727)</f>
        <v>0.14866102542608281</v>
      </c>
      <c r="N504" s="39">
        <f>(VLOOKUP($A504,'The List'!$B1:$AH727,26,FALSE)-AVERAGE('The List'!AA2:AA727))/STDEV('The List'!AA2:AA727)</f>
        <v>1.279091745999378</v>
      </c>
      <c r="O504" s="39">
        <f>(VLOOKUP($A504,'The List'!$B1:$AH727,27,FALSE)-AVERAGE('The List'!AB2:AB727))/STDEV('The List'!AB2:AB727)</f>
        <v>1.8934125259272196</v>
      </c>
      <c r="P504" s="39">
        <f>(VLOOKUP($A504,'The List'!$B1:$AH727,28,FALSE)-AVERAGE('The List'!AC2:AC727))/STDEV('The List'!AC2:AC727)</f>
        <v>0.22467317520219096</v>
      </c>
      <c r="Q504" s="39">
        <f>(VLOOKUP($A504,'The List'!$B1:$AH727,29,FALSE)-AVERAGE('The List'!AD2:AD727))/STDEV('The List'!AD2:AD727)</f>
        <v>2.1967715815608013</v>
      </c>
      <c r="R504" s="39">
        <f>(VLOOKUP($A504,'The List'!$B1:$AH727,30,FALSE)-AVERAGE('The List'!AE2:AE727))/STDEV('The List'!AE2:AE727)</f>
        <v>-0.95922466254236294</v>
      </c>
      <c r="S504" s="39">
        <f>(VLOOKUP($A504,'The List'!$B1:$AH727,31,FALSE)-AVERAGE('The List'!AF2:AF727))/STDEV('The List'!AF2:AF727)</f>
        <v>-0.55804314905918151</v>
      </c>
      <c r="T504" s="39">
        <f>(VLOOKUP($A504,'The List'!$B1:$AH727,32,FALSE)-AVERAGE('The List'!AG2:AG727))/STDEV('The List'!AG2:AG727)</f>
        <v>-0.60188453558131205</v>
      </c>
      <c r="U504" s="39">
        <f>(VLOOKUP($A504,'The List'!$B1:$AH727,33,FALSE)-AVERAGE('The List'!AH2:AH727))/STDEV('The List'!AH2:AH727)</f>
        <v>-1.2395873372913611</v>
      </c>
      <c r="V504" s="39"/>
      <c r="W504" s="41"/>
      <c r="X504" s="41"/>
      <c r="Y504" s="41"/>
      <c r="Z504" s="41"/>
      <c r="AA504" s="41"/>
      <c r="AB504" s="41"/>
      <c r="AC504" s="44"/>
      <c r="AD504" s="45"/>
      <c r="AE504" s="39"/>
    </row>
    <row r="505" spans="1:31" ht="21.25" customHeight="1" x14ac:dyDescent="0.15">
      <c r="A505" s="8" t="s">
        <v>537</v>
      </c>
      <c r="B505" s="35" t="str">
        <f>VLOOKUP(A505,'Player Data'!A1:B734,2,FALSE)</f>
        <v>FLA</v>
      </c>
      <c r="C505" s="37">
        <f>((E505)*Settings!$C$12)+(F505*Settings!$C$2)+(G505*Settings!$C$3)+(H505*Settings!$C$4)+(I505*Settings!$C$5)+(K505*Settings!$C$9)+(N505*Settings!$C$6)+(J505*Settings!$C$8)+(O505*Settings!$C$7)+(P505*Settings!$C$14)+(Q505*Settings!$C$15)+(R505*Settings!$C$16)+(S505*Settings!$C$17)+(T505*Settings!$C$18)+(U505*Settings!$C$19)</f>
        <v>-2.3344105764763259</v>
      </c>
      <c r="D505" s="41">
        <f>IF(Settings!$E$12="YES",VLOOKUP(A505,'Player Data'!A1:E734,5,FALSE),82)</f>
        <v>67.453571428571394</v>
      </c>
      <c r="E505" s="39">
        <f>(VLOOKUP($A505,'The List'!$B1:$AH727,17,FALSE)-AVERAGE('The List'!R2:R727))/STDEV('The List'!R2:R727)</f>
        <v>-8.4915302771983475E-2</v>
      </c>
      <c r="F505" s="39">
        <f>(VLOOKUP($A505,'The List'!$B1:$AH727,18,FALSE)-AVERAGE('The List'!S2:S727))/STDEV('The List'!S2:S727)</f>
        <v>-1.102597402305912</v>
      </c>
      <c r="G505" s="39">
        <f>(VLOOKUP($A505,'The List'!$B1:$AH727,19,FALSE)-AVERAGE('The List'!T2:T727))/STDEV('The List'!T2:T727)</f>
        <v>-0.56668371000016982</v>
      </c>
      <c r="H505" s="39">
        <f>(VLOOKUP($A505,'The List'!$B1:$AH727,20,FALSE)-AVERAGE('The List'!U2:U727))/STDEV('The List'!U2:U727)</f>
        <v>-0.85094653466407377</v>
      </c>
      <c r="I505" s="39">
        <f>(VLOOKUP($A505,'The List'!$B1:$AH727,21,FALSE)-AVERAGE('The List'!V2:V727))/STDEV('The List'!V2:V727)</f>
        <v>-0.58922212429060006</v>
      </c>
      <c r="J505" s="39">
        <f>(VLOOKUP($A505,'The List'!$B1:$AH727,22,FALSE)-AVERAGE('The List'!W2:W727))/STDEV('The List'!W2:W727)</f>
        <v>-0.69386305436137652</v>
      </c>
      <c r="K505" s="39">
        <f>(VLOOKUP($A505,'The List'!$B1:$AH727,23,FALSE)-AVERAGE('The List'!X2:X727))/STDEV('The List'!X2:X727)</f>
        <v>-0.65109458636896722</v>
      </c>
      <c r="L505" s="39">
        <f>(VLOOKUP($A505,'The List'!$B1:$AH727,24,FALSE)-AVERAGE('The List'!Y2:Y727))/STDEV('The List'!Y2:Y727)</f>
        <v>-0.40833053480380271</v>
      </c>
      <c r="M505" s="39">
        <f>(VLOOKUP($A505,'The List'!$B1:$AH727,25,FALSE)-AVERAGE('The List'!Z2:Z727))/STDEV('The List'!Z2:Z727)</f>
        <v>-0.60959075600211576</v>
      </c>
      <c r="N505" s="39">
        <f>(VLOOKUP($A505,'The List'!$B1:$AH727,26,FALSE)-AVERAGE('The List'!AA2:AA727))/STDEV('The List'!AA2:AA727)</f>
        <v>3.7361892642245098E-2</v>
      </c>
      <c r="O505" s="39">
        <f>(VLOOKUP($A505,'The List'!$B1:$AH727,27,FALSE)-AVERAGE('The List'!AB2:AB727))/STDEV('The List'!AB2:AB727)</f>
        <v>-4.2309734645071616E-2</v>
      </c>
      <c r="P505" s="39">
        <f>(VLOOKUP($A505,'The List'!$B1:$AH727,28,FALSE)-AVERAGE('The List'!AC2:AC727))/STDEV('The List'!AC2:AC727)</f>
        <v>0.53782535384707808</v>
      </c>
      <c r="Q505" s="39">
        <f>(VLOOKUP($A505,'The List'!$B1:$AH727,29,FALSE)-AVERAGE('The List'!AD2:AD727))/STDEV('The List'!AD2:AD727)</f>
        <v>-0.41429975870807068</v>
      </c>
      <c r="R505" s="39">
        <f>(VLOOKUP($A505,'The List'!$B1:$AH727,30,FALSE)-AVERAGE('The List'!AE2:AE727))/STDEV('The List'!AE2:AE727)</f>
        <v>-1.0128242073756089</v>
      </c>
      <c r="S505" s="39">
        <f>(VLOOKUP($A505,'The List'!$B1:$AH727,31,FALSE)-AVERAGE('The List'!AF2:AF727))/STDEV('The List'!AF2:AF727)</f>
        <v>-0.55804314905918151</v>
      </c>
      <c r="T505" s="39">
        <f>(VLOOKUP($A505,'The List'!$B1:$AH727,32,FALSE)-AVERAGE('The List'!AG2:AG727))/STDEV('The List'!AG2:AG727)</f>
        <v>-0.60188453558131205</v>
      </c>
      <c r="U505" s="39">
        <f>(VLOOKUP($A505,'The List'!$B1:$AH727,33,FALSE)-AVERAGE('The List'!AH2:AH727))/STDEV('The List'!AH2:AH727)</f>
        <v>-1.2395873372913611</v>
      </c>
      <c r="V505" s="39"/>
      <c r="W505" s="43"/>
      <c r="X505" s="41"/>
      <c r="Y505" s="41"/>
      <c r="Z505" s="41"/>
      <c r="AA505" s="41"/>
      <c r="AB505" s="41"/>
      <c r="AC505" s="44"/>
      <c r="AD505" s="45"/>
      <c r="AE505" s="39"/>
    </row>
    <row r="506" spans="1:31" ht="21.25" customHeight="1" x14ac:dyDescent="0.15">
      <c r="A506" s="8" t="s">
        <v>703</v>
      </c>
      <c r="B506" s="35" t="str">
        <f>VLOOKUP(A506,'Player Data'!A1:B734,2,FALSE)</f>
        <v>SJS</v>
      </c>
      <c r="C506" s="37">
        <f>((E506)*Settings!$C$12)+(F506*Settings!$C$2)+(G506*Settings!$C$3)+(H506*Settings!$C$4)+(I506*Settings!$C$5)+(K506*Settings!$C$9)+(N506*Settings!$C$6)+(J506*Settings!$C$8)+(O506*Settings!$C$7)+(P506*Settings!$C$14)+(Q506*Settings!$C$15)+(R506*Settings!$C$16)+(S506*Settings!$C$17)+(T506*Settings!$C$18)+(U506*Settings!$C$19)</f>
        <v>-3.7085094473295781</v>
      </c>
      <c r="D506" s="41">
        <f>IF(Settings!$E$12="YES",VLOOKUP(A506,'Player Data'!A1:E734,5,FALSE),82)</f>
        <v>79.141428571428605</v>
      </c>
      <c r="E506" s="39">
        <f>(VLOOKUP($A506,'The List'!$B1:$AH727,17,FALSE)-AVERAGE('The List'!R2:R727))/STDEV('The List'!R2:R727)</f>
        <v>-1.4089535826753099</v>
      </c>
      <c r="F506" s="39">
        <f>(VLOOKUP($A506,'The List'!$B1:$AH727,18,FALSE)-AVERAGE('The List'!S2:S727))/STDEV('The List'!S2:S727)</f>
        <v>-0.41742684147628295</v>
      </c>
      <c r="G506" s="39">
        <f>(VLOOKUP($A506,'The List'!$B1:$AH727,19,FALSE)-AVERAGE('The List'!T2:T727))/STDEV('The List'!T2:T727)</f>
        <v>-0.86381868611643031</v>
      </c>
      <c r="H506" s="39">
        <f>(VLOOKUP($A506,'The List'!$B1:$AH727,20,FALSE)-AVERAGE('The List'!U2:U727))/STDEV('The List'!U2:U727)</f>
        <v>-0.72224836228896139</v>
      </c>
      <c r="I506" s="39">
        <f>(VLOOKUP($A506,'The List'!$B1:$AH727,21,FALSE)-AVERAGE('The List'!V2:V727))/STDEV('The List'!V2:V727)</f>
        <v>-0.66755508126023932</v>
      </c>
      <c r="J506" s="39">
        <f>(VLOOKUP($A506,'The List'!$B1:$AH727,22,FALSE)-AVERAGE('The List'!W2:W727))/STDEV('The List'!W2:W727)</f>
        <v>-0.68738507420839634</v>
      </c>
      <c r="K506" s="39">
        <f>(VLOOKUP($A506,'The List'!$B1:$AH727,23,FALSE)-AVERAGE('The List'!X2:X727))/STDEV('The List'!X2:X727)</f>
        <v>-0.76176709502803797</v>
      </c>
      <c r="L506" s="39">
        <f>(VLOOKUP($A506,'The List'!$B1:$AH727,24,FALSE)-AVERAGE('The List'!Y2:Y727))/STDEV('The List'!Y2:Y727)</f>
        <v>-0.44200396722972568</v>
      </c>
      <c r="M506" s="39">
        <f>(VLOOKUP($A506,'The List'!$B1:$AH727,25,FALSE)-AVERAGE('The List'!Z2:Z727))/STDEV('The List'!Z2:Z727)</f>
        <v>-0.6083711215574511</v>
      </c>
      <c r="N506" s="39">
        <f>(VLOOKUP($A506,'The List'!$B1:$AH727,26,FALSE)-AVERAGE('The List'!AA2:AA727))/STDEV('The List'!AA2:AA727)</f>
        <v>-0.66606079705343302</v>
      </c>
      <c r="O506" s="39">
        <f>(VLOOKUP($A506,'The List'!$B1:$AH727,27,FALSE)-AVERAGE('The List'!AB2:AB727))/STDEV('The List'!AB2:AB727)</f>
        <v>-0.18424187176860674</v>
      </c>
      <c r="P506" s="39">
        <f>(VLOOKUP($A506,'The List'!$B1:$AH727,28,FALSE)-AVERAGE('The List'!AC2:AC727))/STDEV('The List'!AC2:AC727)</f>
        <v>-0.33188094639515464</v>
      </c>
      <c r="Q506" s="39">
        <f>(VLOOKUP($A506,'The List'!$B1:$AH727,29,FALSE)-AVERAGE('The List'!AD2:AD727))/STDEV('The List'!AD2:AD727)</f>
        <v>-0.86653916477454629</v>
      </c>
      <c r="R506" s="39">
        <f>(VLOOKUP($A506,'The List'!$B1:$AH727,30,FALSE)-AVERAGE('The List'!AE2:AE727))/STDEV('The List'!AE2:AE727)</f>
        <v>-0.49692722319645344</v>
      </c>
      <c r="S506" s="39">
        <f>(VLOOKUP($A506,'The List'!$B1:$AH727,31,FALSE)-AVERAGE('The List'!AF2:AF727))/STDEV('The List'!AF2:AF727)</f>
        <v>-0.51539813494700537</v>
      </c>
      <c r="T506" s="39">
        <f>(VLOOKUP($A506,'The List'!$B1:$AH727,32,FALSE)-AVERAGE('The List'!AG2:AG727))/STDEV('The List'!AG2:AG727)</f>
        <v>-0.54687465561572179</v>
      </c>
      <c r="U506" s="39">
        <f>(VLOOKUP($A506,'The List'!$B1:$AH727,33,FALSE)-AVERAGE('The List'!AH2:AH727))/STDEV('The List'!AH2:AH727)</f>
        <v>0.78981325877652486</v>
      </c>
      <c r="V506" s="39"/>
      <c r="W506" s="43"/>
      <c r="X506" s="41"/>
      <c r="Y506" s="41"/>
      <c r="Z506" s="41"/>
      <c r="AA506" s="41"/>
      <c r="AB506" s="41"/>
      <c r="AC506" s="44"/>
      <c r="AD506" s="45"/>
      <c r="AE506" s="39"/>
    </row>
    <row r="507" spans="1:31" ht="21.25" customHeight="1" x14ac:dyDescent="0.15">
      <c r="A507" s="8" t="s">
        <v>464</v>
      </c>
      <c r="B507" s="35" t="str">
        <f>VLOOKUP(A507,'Player Data'!A1:B734,2,FALSE)</f>
        <v>VGK</v>
      </c>
      <c r="C507" s="37">
        <f>((E507)*Settings!$C$12)+(F507*Settings!$C$2)+(G507*Settings!$C$3)+(H507*Settings!$C$4)+(I507*Settings!$C$5)+(K507*Settings!$C$9)+(N507*Settings!$C$6)+(J507*Settings!$C$8)+(O507*Settings!$C$7)+(P507*Settings!$C$14)+(Q507*Settings!$C$15)+(R507*Settings!$C$16)+(S507*Settings!$C$17)+(T507*Settings!$C$18)+(U507*Settings!$C$19)</f>
        <v>1.9408565269461051</v>
      </c>
      <c r="D507" s="41">
        <f>IF(Settings!$E$12="YES",VLOOKUP(A507,'Player Data'!A1:E734,5,FALSE),82)</f>
        <v>73.003214285714293</v>
      </c>
      <c r="E507" s="39">
        <f>(VLOOKUP($A507,'The List'!$B1:$AH727,17,FALSE)-AVERAGE('The List'!R2:R727))/STDEV('The List'!R2:R727)</f>
        <v>0.82618585985434889</v>
      </c>
      <c r="F507" s="39">
        <f>(VLOOKUP($A507,'The List'!$B1:$AH727,18,FALSE)-AVERAGE('The List'!S2:S727))/STDEV('The List'!S2:S727)</f>
        <v>-0.85735333834427896</v>
      </c>
      <c r="G507" s="39">
        <f>(VLOOKUP($A507,'The List'!$B1:$AH727,19,FALSE)-AVERAGE('The List'!T2:T727))/STDEV('The List'!T2:T727)</f>
        <v>-0.64896926270694277</v>
      </c>
      <c r="H507" s="39">
        <f>(VLOOKUP($A507,'The List'!$B1:$AH727,20,FALSE)-AVERAGE('The List'!U2:U727))/STDEV('The List'!U2:U727)</f>
        <v>-0.7900502543386585</v>
      </c>
      <c r="I507" s="39">
        <f>(VLOOKUP($A507,'The List'!$B1:$AH727,21,FALSE)-AVERAGE('The List'!V2:V727))/STDEV('The List'!V2:V727)</f>
        <v>-0.82845117524741763</v>
      </c>
      <c r="J507" s="39">
        <f>(VLOOKUP($A507,'The List'!$B1:$AH727,22,FALSE)-AVERAGE('The List'!W2:W727))/STDEV('The List'!W2:W727)</f>
        <v>-0.68404885408399918</v>
      </c>
      <c r="K507" s="39">
        <f>(VLOOKUP($A507,'The List'!$B1:$AH727,23,FALSE)-AVERAGE('The List'!X2:X727))/STDEV('The List'!X2:X727)</f>
        <v>-0.76044259599858299</v>
      </c>
      <c r="L507" s="39">
        <f>(VLOOKUP($A507,'The List'!$B1:$AH727,24,FALSE)-AVERAGE('The List'!Y2:Y727))/STDEV('The List'!Y2:Y727)</f>
        <v>-0.48552535218932907</v>
      </c>
      <c r="M507" s="39">
        <f>(VLOOKUP($A507,'The List'!$B1:$AH727,25,FALSE)-AVERAGE('The List'!Z2:Z727))/STDEV('The List'!Z2:Z727)</f>
        <v>-0.5800524820041062</v>
      </c>
      <c r="N507" s="39">
        <f>(VLOOKUP($A507,'The List'!$B1:$AH727,26,FALSE)-AVERAGE('The List'!AA2:AA727))/STDEV('The List'!AA2:AA727)</f>
        <v>3.6919372352375057</v>
      </c>
      <c r="O507" s="39">
        <f>(VLOOKUP($A507,'The List'!$B1:$AH727,27,FALSE)-AVERAGE('The List'!AB2:AB727))/STDEV('The List'!AB2:AB727)</f>
        <v>-0.54433069222951369</v>
      </c>
      <c r="P507" s="39">
        <f>(VLOOKUP($A507,'The List'!$B1:$AH727,28,FALSE)-AVERAGE('The List'!AC2:AC727))/STDEV('The List'!AC2:AC727)</f>
        <v>1.3441356640058215</v>
      </c>
      <c r="Q507" s="39">
        <f>(VLOOKUP($A507,'The List'!$B1:$AH727,29,FALSE)-AVERAGE('The List'!AD2:AD727))/STDEV('The List'!AD2:AD727)</f>
        <v>-0.4819519235083774</v>
      </c>
      <c r="R507" s="39">
        <f>(VLOOKUP($A507,'The List'!$B1:$AH727,30,FALSE)-AVERAGE('The List'!AE2:AE727))/STDEV('The List'!AE2:AE727)</f>
        <v>-0.72604396921459713</v>
      </c>
      <c r="S507" s="39">
        <f>(VLOOKUP($A507,'The List'!$B1:$AH727,31,FALSE)-AVERAGE('The List'!AF2:AF727))/STDEV('The List'!AF2:AF727)</f>
        <v>-0.55804314905918151</v>
      </c>
      <c r="T507" s="39">
        <f>(VLOOKUP($A507,'The List'!$B1:$AH727,32,FALSE)-AVERAGE('The List'!AG2:AG727))/STDEV('The List'!AG2:AG727)</f>
        <v>-0.60188453558131205</v>
      </c>
      <c r="U507" s="39">
        <f>(VLOOKUP($A507,'The List'!$B1:$AH727,33,FALSE)-AVERAGE('The List'!AH2:AH727))/STDEV('The List'!AH2:AH727)</f>
        <v>-1.2395873372913611</v>
      </c>
      <c r="V507" s="39"/>
      <c r="W507" s="43"/>
      <c r="X507" s="41"/>
      <c r="Y507" s="41"/>
      <c r="Z507" s="41"/>
      <c r="AA507" s="41"/>
      <c r="AB507" s="41"/>
      <c r="AC507" s="44"/>
      <c r="AD507" s="45"/>
      <c r="AE507" s="39"/>
    </row>
    <row r="508" spans="1:31" ht="21.25" customHeight="1" x14ac:dyDescent="0.15">
      <c r="A508" s="8" t="s">
        <v>813</v>
      </c>
      <c r="B508" s="35" t="str">
        <f>VLOOKUP(A508,'Player Data'!A1:B734,2,FALSE)</f>
        <v>STL</v>
      </c>
      <c r="C508" s="37">
        <f>((E508)*Settings!$C$12)+(F508*Settings!$C$2)+(G508*Settings!$C$3)+(H508*Settings!$C$4)+(I508*Settings!$C$5)+(K508*Settings!$C$9)+(N508*Settings!$C$6)+(J508*Settings!$C$8)+(O508*Settings!$C$7)+(P508*Settings!$C$14)+(Q508*Settings!$C$15)+(R508*Settings!$C$16)+(S508*Settings!$C$17)+(T508*Settings!$C$18)+(U508*Settings!$C$19)</f>
        <v>-5.2796544356195376</v>
      </c>
      <c r="D508" s="41">
        <f>IF(Settings!$E$12="YES",VLOOKUP(A508,'Player Data'!A1:E734,5,FALSE),82)</f>
        <v>59.62</v>
      </c>
      <c r="E508" s="39">
        <f>(VLOOKUP($A508,'The List'!$B1:$AH727,17,FALSE)-AVERAGE('The List'!R2:R727))/STDEV('The List'!R2:R727)</f>
        <v>-1.8409356003974091</v>
      </c>
      <c r="F508" s="39">
        <f>(VLOOKUP($A508,'The List'!$B1:$AH727,18,FALSE)-AVERAGE('The List'!S2:S727))/STDEV('The List'!S2:S727)</f>
        <v>-0.66855174873926904</v>
      </c>
      <c r="G508" s="39">
        <f>(VLOOKUP($A508,'The List'!$B1:$AH727,19,FALSE)-AVERAGE('The List'!T2:T727))/STDEV('The List'!T2:T727)</f>
        <v>-1.0295150242040239</v>
      </c>
      <c r="H508" s="39">
        <f>(VLOOKUP($A508,'The List'!$B1:$AH727,20,FALSE)-AVERAGE('The List'!U2:U727))/STDEV('The List'!U2:U727)</f>
        <v>-0.93862951882531998</v>
      </c>
      <c r="I508" s="39">
        <f>(VLOOKUP($A508,'The List'!$B1:$AH727,21,FALSE)-AVERAGE('The List'!V2:V727))/STDEV('The List'!V2:V727)</f>
        <v>-1.2178312537962803</v>
      </c>
      <c r="J508" s="39">
        <f>(VLOOKUP($A508,'The List'!$B1:$AH727,22,FALSE)-AVERAGE('The List'!W2:W727))/STDEV('The List'!W2:W727)</f>
        <v>-0.69864935381146864</v>
      </c>
      <c r="K508" s="39">
        <f>(VLOOKUP($A508,'The List'!$B1:$AH727,23,FALSE)-AVERAGE('The List'!X2:X727))/STDEV('The List'!X2:X727)</f>
        <v>-0.7882706463810828</v>
      </c>
      <c r="L508" s="39">
        <f>(VLOOKUP($A508,'The List'!$B1:$AH727,24,FALSE)-AVERAGE('The List'!Y2:Y727))/STDEV('The List'!Y2:Y727)</f>
        <v>-0.4726239310710304</v>
      </c>
      <c r="M508" s="39">
        <f>(VLOOKUP($A508,'The List'!$B1:$AH727,25,FALSE)-AVERAGE('The List'!Z2:Z727))/STDEV('The List'!Z2:Z727)</f>
        <v>-0.64382397523218182</v>
      </c>
      <c r="N508" s="39">
        <f>(VLOOKUP($A508,'The List'!$B1:$AH727,26,FALSE)-AVERAGE('The List'!AA2:AA727))/STDEV('The List'!AA2:AA727)</f>
        <v>-0.86345623856592324</v>
      </c>
      <c r="O508" s="39">
        <f>(VLOOKUP($A508,'The List'!$B1:$AH727,27,FALSE)-AVERAGE('The List'!AB2:AB727))/STDEV('The List'!AB2:AB727)</f>
        <v>-0.42548482626927975</v>
      </c>
      <c r="P508" s="39">
        <f>(VLOOKUP($A508,'The List'!$B1:$AH727,28,FALSE)-AVERAGE('The List'!AC2:AC727))/STDEV('The List'!AC2:AC727)</f>
        <v>-0.7120295239329586</v>
      </c>
      <c r="Q508" s="39">
        <f>(VLOOKUP($A508,'The List'!$B1:$AH727,29,FALSE)-AVERAGE('The List'!AD2:AD727))/STDEV('The List'!AD2:AD727)</f>
        <v>-1.1271955324662339</v>
      </c>
      <c r="R508" s="39">
        <f>(VLOOKUP($A508,'The List'!$B1:$AH727,30,FALSE)-AVERAGE('The List'!AE2:AE727))/STDEV('The List'!AE2:AE727)</f>
        <v>-0.72204511599093502</v>
      </c>
      <c r="S508" s="39">
        <f>(VLOOKUP($A508,'The List'!$B1:$AH727,31,FALSE)-AVERAGE('The List'!AF2:AF727))/STDEV('The List'!AF2:AF727)</f>
        <v>-1.3046107213213016E-2</v>
      </c>
      <c r="T508" s="39">
        <f>(VLOOKUP($A508,'The List'!$B1:$AH727,32,FALSE)-AVERAGE('The List'!AG2:AG727))/STDEV('The List'!AG2:AG727)</f>
        <v>0.44740963032954489</v>
      </c>
      <c r="U508" s="39">
        <f>(VLOOKUP($A508,'The List'!$B1:$AH727,33,FALSE)-AVERAGE('The List'!AH2:AH727))/STDEV('The List'!AH2:AH727)</f>
        <v>0.35672807472629686</v>
      </c>
      <c r="V508" s="39"/>
      <c r="W508" s="43"/>
      <c r="X508" s="41"/>
      <c r="Y508" s="41"/>
      <c r="Z508" s="41"/>
      <c r="AA508" s="41"/>
      <c r="AB508" s="41"/>
      <c r="AC508" s="44"/>
      <c r="AD508" s="45"/>
      <c r="AE508" s="39"/>
    </row>
    <row r="509" spans="1:31" ht="21.25" customHeight="1" x14ac:dyDescent="0.15">
      <c r="A509" s="8" t="s">
        <v>478</v>
      </c>
      <c r="B509" s="35" t="str">
        <f>VLOOKUP(A509,'Player Data'!A1:B734,2,FALSE)</f>
        <v>TOR</v>
      </c>
      <c r="C509" s="37">
        <f>((E509)*Settings!$C$12)+(F509*Settings!$C$2)+(G509*Settings!$C$3)+(H509*Settings!$C$4)+(I509*Settings!$C$5)+(K509*Settings!$C$9)+(N509*Settings!$C$6)+(J509*Settings!$C$8)+(O509*Settings!$C$7)+(P509*Settings!$C$14)+(Q509*Settings!$C$15)+(R509*Settings!$C$16)+(S509*Settings!$C$17)+(T509*Settings!$C$18)+(U509*Settings!$C$19)</f>
        <v>0.22550029684523043</v>
      </c>
      <c r="D509" s="41">
        <f>IF(Settings!$E$12="YES",VLOOKUP(A509,'Player Data'!A1:E734,5,FALSE),82)</f>
        <v>74</v>
      </c>
      <c r="E509" s="39">
        <f>(VLOOKUP($A509,'The List'!$B1:$AH727,17,FALSE)-AVERAGE('The List'!R2:R727))/STDEV('The List'!R2:R727)</f>
        <v>0.25657285078298353</v>
      </c>
      <c r="F509" s="39">
        <f>(VLOOKUP($A509,'The List'!$B1:$AH727,18,FALSE)-AVERAGE('The List'!S2:S727))/STDEV('The List'!S2:S727)</f>
        <v>-0.87668632372058308</v>
      </c>
      <c r="G509" s="39">
        <f>(VLOOKUP($A509,'The List'!$B1:$AH727,19,FALSE)-AVERAGE('The List'!T2:T727))/STDEV('The List'!T2:T727)</f>
        <v>-0.62100294057513461</v>
      </c>
      <c r="H509" s="39">
        <f>(VLOOKUP($A509,'The List'!$B1:$AH727,20,FALSE)-AVERAGE('The List'!U2:U727))/STDEV('The List'!U2:U727)</f>
        <v>-0.78161486726316498</v>
      </c>
      <c r="I509" s="39">
        <f>(VLOOKUP($A509,'The List'!$B1:$AH727,21,FALSE)-AVERAGE('The List'!V2:V727))/STDEV('The List'!V2:V727)</f>
        <v>-0.52517377550244904</v>
      </c>
      <c r="J509" s="39">
        <f>(VLOOKUP($A509,'The List'!$B1:$AH727,22,FALSE)-AVERAGE('The List'!W2:W727))/STDEV('The List'!W2:W727)</f>
        <v>-0.69827778658891793</v>
      </c>
      <c r="K509" s="39">
        <f>(VLOOKUP($A509,'The List'!$B1:$AH727,23,FALSE)-AVERAGE('The List'!X2:X727))/STDEV('The List'!X2:X727)</f>
        <v>-0.76832792865578292</v>
      </c>
      <c r="L509" s="39">
        <f>(VLOOKUP($A509,'The List'!$B1:$AH727,24,FALSE)-AVERAGE('The List'!Y2:Y727))/STDEV('The List'!Y2:Y727)</f>
        <v>0.89318565205536737</v>
      </c>
      <c r="M509" s="39">
        <f>(VLOOKUP($A509,'The List'!$B1:$AH727,25,FALSE)-AVERAGE('The List'!Z2:Z727))/STDEV('The List'!Z2:Z727)</f>
        <v>0.31900490729926617</v>
      </c>
      <c r="N509" s="39">
        <f>(VLOOKUP($A509,'The List'!$B1:$AH727,26,FALSE)-AVERAGE('The List'!AA2:AA727))/STDEV('The List'!AA2:AA727)</f>
        <v>1.6922900025396983</v>
      </c>
      <c r="O509" s="39">
        <f>(VLOOKUP($A509,'The List'!$B1:$AH727,27,FALSE)-AVERAGE('The List'!AB2:AB727))/STDEV('The List'!AB2:AB727)</f>
        <v>-0.52301065693890592</v>
      </c>
      <c r="P509" s="39">
        <f>(VLOOKUP($A509,'The List'!$B1:$AH727,28,FALSE)-AVERAGE('The List'!AC2:AC727))/STDEV('The List'!AC2:AC727)</f>
        <v>1.3244012627594814</v>
      </c>
      <c r="Q509" s="39">
        <f>(VLOOKUP($A509,'The List'!$B1:$AH727,29,FALSE)-AVERAGE('The List'!AD2:AD727))/STDEV('The List'!AD2:AD727)</f>
        <v>0.33807839638974208</v>
      </c>
      <c r="R509" s="39">
        <f>(VLOOKUP($A509,'The List'!$B1:$AH727,30,FALSE)-AVERAGE('The List'!AE2:AE727))/STDEV('The List'!AE2:AE727)</f>
        <v>-0.75425403740086283</v>
      </c>
      <c r="S509" s="39">
        <f>(VLOOKUP($A509,'The List'!$B1:$AH727,31,FALSE)-AVERAGE('The List'!AF2:AF727))/STDEV('The List'!AF2:AF727)</f>
        <v>-0.55804314905918151</v>
      </c>
      <c r="T509" s="39">
        <f>(VLOOKUP($A509,'The List'!$B1:$AH727,32,FALSE)-AVERAGE('The List'!AG2:AG727))/STDEV('The List'!AG2:AG727)</f>
        <v>-0.60188453558131205</v>
      </c>
      <c r="U509" s="39">
        <f>(VLOOKUP($A509,'The List'!$B1:$AH727,33,FALSE)-AVERAGE('The List'!AH2:AH727))/STDEV('The List'!AH2:AH727)</f>
        <v>-1.2395873372913611</v>
      </c>
      <c r="V509" s="39"/>
      <c r="W509" s="43"/>
      <c r="X509" s="41"/>
      <c r="Y509" s="41"/>
      <c r="Z509" s="41"/>
      <c r="AA509" s="41"/>
      <c r="AB509" s="41"/>
      <c r="AC509" s="44"/>
      <c r="AD509" s="45"/>
      <c r="AE509" s="39"/>
    </row>
    <row r="510" spans="1:31" ht="21.25" customHeight="1" x14ac:dyDescent="0.15">
      <c r="A510" s="8" t="s">
        <v>469</v>
      </c>
      <c r="B510" s="35" t="str">
        <f>VLOOKUP(A510,'Player Data'!A1:B734,2,FALSE)</f>
        <v>NJD</v>
      </c>
      <c r="C510" s="37">
        <f>((E510)*Settings!$C$12)+(F510*Settings!$C$2)+(G510*Settings!$C$3)+(H510*Settings!$C$4)+(I510*Settings!$C$5)+(K510*Settings!$C$9)+(N510*Settings!$C$6)+(J510*Settings!$C$8)+(O510*Settings!$C$7)+(P510*Settings!$C$14)+(Q510*Settings!$C$15)+(R510*Settings!$C$16)+(S510*Settings!$C$17)+(T510*Settings!$C$18)+(U510*Settings!$C$19)</f>
        <v>-0.62501004897133383</v>
      </c>
      <c r="D510" s="41">
        <f>IF(Settings!$E$12="YES",VLOOKUP(A510,'Player Data'!A1:E734,5,FALSE),82)</f>
        <v>78.825000000000003</v>
      </c>
      <c r="E510" s="39">
        <f>(VLOOKUP($A510,'The List'!$B1:$AH727,17,FALSE)-AVERAGE('The List'!R2:R727))/STDEV('The List'!R2:R727)</f>
        <v>1.080377491170172</v>
      </c>
      <c r="F510" s="39">
        <f>(VLOOKUP($A510,'The List'!$B1:$AH727,18,FALSE)-AVERAGE('The List'!S2:S727))/STDEV('The List'!S2:S727)</f>
        <v>-1.0021164757652552</v>
      </c>
      <c r="G510" s="39">
        <f>(VLOOKUP($A510,'The List'!$B1:$AH727,19,FALSE)-AVERAGE('The List'!T2:T727))/STDEV('The List'!T2:T727)</f>
        <v>-0.44459307226289535</v>
      </c>
      <c r="H510" s="39">
        <f>(VLOOKUP($A510,'The List'!$B1:$AH727,20,FALSE)-AVERAGE('The List'!U2:U727))/STDEV('The List'!U2:U727)</f>
        <v>-0.72998805018206114</v>
      </c>
      <c r="I510" s="39">
        <f>(VLOOKUP($A510,'The List'!$B1:$AH727,21,FALSE)-AVERAGE('The List'!V2:V727))/STDEV('The List'!V2:V727)</f>
        <v>-0.65761311942925105</v>
      </c>
      <c r="J510" s="39">
        <f>(VLOOKUP($A510,'The List'!$B1:$AH727,22,FALSE)-AVERAGE('The List'!W2:W727))/STDEV('The List'!W2:W727)</f>
        <v>-0.66031920537644506</v>
      </c>
      <c r="K510" s="39">
        <f>(VLOOKUP($A510,'The List'!$B1:$AH727,23,FALSE)-AVERAGE('The List'!X2:X727))/STDEV('The List'!X2:X727)</f>
        <v>-0.75451003223938218</v>
      </c>
      <c r="L510" s="39">
        <f>(VLOOKUP($A510,'The List'!$B1:$AH727,24,FALSE)-AVERAGE('The List'!Y2:Y727))/STDEV('The List'!Y2:Y727)</f>
        <v>-0.49001410832666686</v>
      </c>
      <c r="M510" s="39">
        <f>(VLOOKUP($A510,'The List'!$B1:$AH727,25,FALSE)-AVERAGE('The List'!Z2:Z727))/STDEV('The List'!Z2:Z727)</f>
        <v>-0.17203913305668589</v>
      </c>
      <c r="N510" s="39">
        <f>(VLOOKUP($A510,'The List'!$B1:$AH727,26,FALSE)-AVERAGE('The List'!AA2:AA727))/STDEV('The List'!AA2:AA727)</f>
        <v>2.1477897317286931</v>
      </c>
      <c r="O510" s="39">
        <f>(VLOOKUP($A510,'The List'!$B1:$AH727,27,FALSE)-AVERAGE('The List'!AB2:AB727))/STDEV('The List'!AB2:AB727)</f>
        <v>0.37809486227418643</v>
      </c>
      <c r="P510" s="39">
        <f>(VLOOKUP($A510,'The List'!$B1:$AH727,28,FALSE)-AVERAGE('The List'!AC2:AC727))/STDEV('The List'!AC2:AC727)</f>
        <v>8.6032918996756719E-2</v>
      </c>
      <c r="Q510" s="39">
        <f>(VLOOKUP($A510,'The List'!$B1:$AH727,29,FALSE)-AVERAGE('The List'!AD2:AD727))/STDEV('The List'!AD2:AD727)</f>
        <v>0.89295317529666463</v>
      </c>
      <c r="R510" s="39">
        <f>(VLOOKUP($A510,'The List'!$B1:$AH727,30,FALSE)-AVERAGE('The List'!AE2:AE727))/STDEV('The List'!AE2:AE727)</f>
        <v>-0.91154062261734814</v>
      </c>
      <c r="S510" s="39">
        <f>(VLOOKUP($A510,'The List'!$B1:$AH727,31,FALSE)-AVERAGE('The List'!AF2:AF727))/STDEV('The List'!AF2:AF727)</f>
        <v>-0.55804314905918151</v>
      </c>
      <c r="T510" s="39">
        <f>(VLOOKUP($A510,'The List'!$B1:$AH727,32,FALSE)-AVERAGE('The List'!AG2:AG727))/STDEV('The List'!AG2:AG727)</f>
        <v>-0.60188453558131205</v>
      </c>
      <c r="U510" s="39">
        <f>(VLOOKUP($A510,'The List'!$B1:$AH727,33,FALSE)-AVERAGE('The List'!AH2:AH727))/STDEV('The List'!AH2:AH727)</f>
        <v>-1.2395873372913611</v>
      </c>
      <c r="V510" s="39"/>
      <c r="W510" s="43"/>
      <c r="X510" s="41"/>
      <c r="Y510" s="41"/>
      <c r="Z510" s="41"/>
      <c r="AA510" s="41"/>
      <c r="AB510" s="41"/>
      <c r="AC510" s="44"/>
      <c r="AD510" s="45"/>
      <c r="AE510" s="39"/>
    </row>
    <row r="511" spans="1:31" ht="21.25" customHeight="1" x14ac:dyDescent="0.15">
      <c r="A511" s="8" t="s">
        <v>413</v>
      </c>
      <c r="B511" s="35" t="str">
        <f>VLOOKUP(A511,'Player Data'!A1:B734,2,FALSE)</f>
        <v>ANA</v>
      </c>
      <c r="C511" s="37">
        <f>((E511)*Settings!$C$12)+(F511*Settings!$C$2)+(G511*Settings!$C$3)+(H511*Settings!$C$4)+(I511*Settings!$C$5)+(K511*Settings!$C$9)+(N511*Settings!$C$6)+(J511*Settings!$C$8)+(O511*Settings!$C$7)+(P511*Settings!$C$14)+(Q511*Settings!$C$15)+(R511*Settings!$C$16)+(S511*Settings!$C$17)+(T511*Settings!$C$18)+(U511*Settings!$C$19)</f>
        <v>-1.1357673032868829</v>
      </c>
      <c r="D511" s="41">
        <f>IF(Settings!$E$12="YES",VLOOKUP(A511,'Player Data'!A1:E734,5,FALSE),82)</f>
        <v>79.274642857142894</v>
      </c>
      <c r="E511" s="39">
        <f>(VLOOKUP($A511,'The List'!$B1:$AH727,17,FALSE)-AVERAGE('The List'!R2:R727))/STDEV('The List'!R2:R727)</f>
        <v>0.95150427083721589</v>
      </c>
      <c r="F511" s="39">
        <f>(VLOOKUP($A511,'The List'!$B1:$AH727,18,FALSE)-AVERAGE('The List'!S2:S727))/STDEV('The List'!S2:S727)</f>
        <v>-1.0027334330197903</v>
      </c>
      <c r="G511" s="39">
        <f>(VLOOKUP($A511,'The List'!$B1:$AH727,19,FALSE)-AVERAGE('The List'!T2:T727))/STDEV('The List'!T2:T727)</f>
        <v>-0.43973259338921872</v>
      </c>
      <c r="H511" s="39">
        <f>(VLOOKUP($A511,'The List'!$B1:$AH727,20,FALSE)-AVERAGE('The List'!U2:U727))/STDEV('The List'!U2:U727)</f>
        <v>-0.72727373250290961</v>
      </c>
      <c r="I511" s="39">
        <f>(VLOOKUP($A511,'The List'!$B1:$AH727,21,FALSE)-AVERAGE('The List'!V2:V727))/STDEV('The List'!V2:V727)</f>
        <v>-8.3826079702568751E-3</v>
      </c>
      <c r="J511" s="39">
        <f>(VLOOKUP($A511,'The List'!$B1:$AH727,22,FALSE)-AVERAGE('The List'!W2:W727))/STDEV('The List'!W2:W727)</f>
        <v>-0.69808164985011101</v>
      </c>
      <c r="K511" s="39">
        <f>(VLOOKUP($A511,'The List'!$B1:$AH727,23,FALSE)-AVERAGE('The List'!X2:X727))/STDEV('The List'!X2:X727)</f>
        <v>-0.7616693153231815</v>
      </c>
      <c r="L511" s="39">
        <f>(VLOOKUP($A511,'The List'!$B1:$AH727,24,FALSE)-AVERAGE('The List'!Y2:Y727))/STDEV('The List'!Y2:Y727)</f>
        <v>-9.3129593712180894E-2</v>
      </c>
      <c r="M511" s="39">
        <f>(VLOOKUP($A511,'The List'!$B1:$AH727,25,FALSE)-AVERAGE('The List'!Z2:Z727))/STDEV('The List'!Z2:Z727)</f>
        <v>-0.31033885981712611</v>
      </c>
      <c r="N511" s="39">
        <f>(VLOOKUP($A511,'The List'!$B1:$AH727,26,FALSE)-AVERAGE('The List'!AA2:AA727))/STDEV('The List'!AA2:AA727)</f>
        <v>2.2446213446290093</v>
      </c>
      <c r="O511" s="39">
        <f>(VLOOKUP($A511,'The List'!$B1:$AH727,27,FALSE)-AVERAGE('The List'!AB2:AB727))/STDEV('The List'!AB2:AB727)</f>
        <v>5.2550596351901575</v>
      </c>
      <c r="P511" s="39">
        <f>(VLOOKUP($A511,'The List'!$B1:$AH727,28,FALSE)-AVERAGE('The List'!AC2:AC727))/STDEV('The List'!AC2:AC727)</f>
        <v>-1.1678706982134448</v>
      </c>
      <c r="Q511" s="39">
        <f>(VLOOKUP($A511,'The List'!$B1:$AH727,29,FALSE)-AVERAGE('The List'!AD2:AD727))/STDEV('The List'!AD2:AD727)</f>
        <v>3.9662706893662816</v>
      </c>
      <c r="R511" s="39">
        <f>(VLOOKUP($A511,'The List'!$B1:$AH727,30,FALSE)-AVERAGE('The List'!AE2:AE727))/STDEV('The List'!AE2:AE727)</f>
        <v>-0.98591828575463702</v>
      </c>
      <c r="S511" s="39">
        <f>(VLOOKUP($A511,'The List'!$B1:$AH727,31,FALSE)-AVERAGE('The List'!AF2:AF727))/STDEV('The List'!AF2:AF727)</f>
        <v>-0.55804314905918151</v>
      </c>
      <c r="T511" s="39">
        <f>(VLOOKUP($A511,'The List'!$B1:$AH727,32,FALSE)-AVERAGE('The List'!AG2:AG727))/STDEV('The List'!AG2:AG727)</f>
        <v>-0.60188453558131205</v>
      </c>
      <c r="U511" s="39">
        <f>(VLOOKUP($A511,'The List'!$B1:$AH727,33,FALSE)-AVERAGE('The List'!AH2:AH727))/STDEV('The List'!AH2:AH727)</f>
        <v>-1.2395873372913611</v>
      </c>
      <c r="V511" s="39"/>
      <c r="W511" s="43"/>
      <c r="X511" s="41"/>
      <c r="Y511" s="41"/>
      <c r="Z511" s="41"/>
      <c r="AA511" s="41"/>
      <c r="AB511" s="41"/>
      <c r="AC511" s="44"/>
      <c r="AD511" s="45"/>
      <c r="AE511" s="39"/>
    </row>
    <row r="512" spans="1:31" ht="21.25" customHeight="1" x14ac:dyDescent="0.15">
      <c r="A512" s="8" t="s">
        <v>800</v>
      </c>
      <c r="B512" s="35" t="str">
        <f>VLOOKUP(A512,'Player Data'!A1:B734,2,FALSE)</f>
        <v>CAR</v>
      </c>
      <c r="C512" s="37">
        <f>((E512)*Settings!$C$12)+(F512*Settings!$C$2)+(G512*Settings!$C$3)+(H512*Settings!$C$4)+(I512*Settings!$C$5)+(K512*Settings!$C$9)+(N512*Settings!$C$6)+(J512*Settings!$C$8)+(O512*Settings!$C$7)+(P512*Settings!$C$14)+(Q512*Settings!$C$15)+(R512*Settings!$C$16)+(S512*Settings!$C$17)+(T512*Settings!$C$18)+(U512*Settings!$C$19)</f>
        <v>-3.1709599740051591</v>
      </c>
      <c r="D512" s="41">
        <f>IF(Settings!$E$12="YES",VLOOKUP(A512,'Player Data'!A1:E734,5,FALSE),82)</f>
        <v>55.02</v>
      </c>
      <c r="E512" s="39">
        <f>(VLOOKUP($A512,'The List'!$B1:$AH727,17,FALSE)-AVERAGE('The List'!R2:R727))/STDEV('The List'!R2:R727)</f>
        <v>-1.6404457900482834</v>
      </c>
      <c r="F512" s="39">
        <f>(VLOOKUP($A512,'The List'!$B1:$AH727,18,FALSE)-AVERAGE('The List'!S2:S727))/STDEV('The List'!S2:S727)</f>
        <v>-0.74568436962296136</v>
      </c>
      <c r="G512" s="39">
        <f>(VLOOKUP($A512,'The List'!$B1:$AH727,19,FALSE)-AVERAGE('The List'!T2:T727))/STDEV('The List'!T2:T727)</f>
        <v>-1.061137551484105</v>
      </c>
      <c r="H512" s="39">
        <f>(VLOOKUP($A512,'The List'!$B1:$AH727,20,FALSE)-AVERAGE('The List'!U2:U727))/STDEV('The List'!U2:U727)</f>
        <v>-0.99321578049384662</v>
      </c>
      <c r="I512" s="39">
        <f>(VLOOKUP($A512,'The List'!$B1:$AH727,21,FALSE)-AVERAGE('The List'!V2:V727))/STDEV('The List'!V2:V727)</f>
        <v>-0.77538569855920625</v>
      </c>
      <c r="J512" s="39">
        <f>(VLOOKUP($A512,'The List'!$B1:$AH727,22,FALSE)-AVERAGE('The List'!W2:W727))/STDEV('The List'!W2:W727)</f>
        <v>-0.64084637219936402</v>
      </c>
      <c r="K512" s="39">
        <f>(VLOOKUP($A512,'The List'!$B1:$AH727,23,FALSE)-AVERAGE('The List'!X2:X727))/STDEV('The List'!X2:X727)</f>
        <v>-0.70442134509811571</v>
      </c>
      <c r="L512" s="39">
        <f>(VLOOKUP($A512,'The List'!$B1:$AH727,24,FALSE)-AVERAGE('The List'!Y2:Y727))/STDEV('The List'!Y2:Y727)</f>
        <v>-0.41200217777430098</v>
      </c>
      <c r="M512" s="39">
        <f>(VLOOKUP($A512,'The List'!$B1:$AH727,25,FALSE)-AVERAGE('The List'!Z2:Z727))/STDEV('The List'!Z2:Z727)</f>
        <v>-0.57622539946814089</v>
      </c>
      <c r="N512" s="39">
        <f>(VLOOKUP($A512,'The List'!$B1:$AH727,26,FALSE)-AVERAGE('The List'!AA2:AA727))/STDEV('The List'!AA2:AA727)</f>
        <v>-0.92730579301517035</v>
      </c>
      <c r="O512" s="39">
        <f>(VLOOKUP($A512,'The List'!$B1:$AH727,27,FALSE)-AVERAGE('The List'!AB2:AB727))/STDEV('The List'!AB2:AB727)</f>
        <v>-1.0570721526234923</v>
      </c>
      <c r="P512" s="39">
        <f>(VLOOKUP($A512,'The List'!$B1:$AH727,28,FALSE)-AVERAGE('The List'!AC2:AC727))/STDEV('The List'!AC2:AC727)</f>
        <v>1.0429747837743992</v>
      </c>
      <c r="Q512" s="39">
        <f>(VLOOKUP($A512,'The List'!$B1:$AH727,29,FALSE)-AVERAGE('The List'!AD2:AD727))/STDEV('The List'!AD2:AD727)</f>
        <v>-1.0008171823418583</v>
      </c>
      <c r="R512" s="39">
        <f>(VLOOKUP($A512,'The List'!$B1:$AH727,30,FALSE)-AVERAGE('The List'!AE2:AE727))/STDEV('The List'!AE2:AE727)</f>
        <v>-0.54954433932213864</v>
      </c>
      <c r="S512" s="39">
        <f>(VLOOKUP($A512,'The List'!$B1:$AH727,31,FALSE)-AVERAGE('The List'!AF2:AF727))/STDEV('The List'!AF2:AF727)</f>
        <v>-8.075703507664457E-2</v>
      </c>
      <c r="T512" s="39">
        <f>(VLOOKUP($A512,'The List'!$B1:$AH727,32,FALSE)-AVERAGE('The List'!AG2:AG727))/STDEV('The List'!AG2:AG727)</f>
        <v>-0.18778794672725602</v>
      </c>
      <c r="U512" s="39">
        <f>(VLOOKUP($A512,'The List'!$B1:$AH727,33,FALSE)-AVERAGE('The List'!AH2:AH727))/STDEV('The List'!AH2:AH727)</f>
        <v>1.2363164301256857</v>
      </c>
      <c r="V512" s="39"/>
      <c r="W512" s="43"/>
      <c r="X512" s="41"/>
      <c r="Y512" s="41"/>
      <c r="Z512" s="41"/>
      <c r="AA512" s="41"/>
      <c r="AB512" s="41"/>
      <c r="AC512" s="44"/>
      <c r="AD512" s="45"/>
      <c r="AE512" s="39"/>
    </row>
    <row r="513" spans="1:31" ht="21.25" customHeight="1" x14ac:dyDescent="0.15">
      <c r="A513" s="8" t="s">
        <v>534</v>
      </c>
      <c r="B513" s="35" t="str">
        <f>VLOOKUP(A513,'Player Data'!A1:B734,2,FALSE)</f>
        <v>MTL</v>
      </c>
      <c r="C513" s="37">
        <f>((E513)*Settings!$C$12)+(F513*Settings!$C$2)+(G513*Settings!$C$3)+(H513*Settings!$C$4)+(I513*Settings!$C$5)+(K513*Settings!$C$9)+(N513*Settings!$C$6)+(J513*Settings!$C$8)+(O513*Settings!$C$7)+(P513*Settings!$C$14)+(Q513*Settings!$C$15)+(R513*Settings!$C$16)+(S513*Settings!$C$17)+(T513*Settings!$C$18)+(U513*Settings!$C$19)</f>
        <v>-3.7265877609953098</v>
      </c>
      <c r="D513" s="41">
        <f>IF(Settings!$E$12="YES",VLOOKUP(A513,'Player Data'!A1:E734,5,FALSE),82)</f>
        <v>74.974999999999994</v>
      </c>
      <c r="E513" s="39">
        <f>(VLOOKUP($A513,'The List'!$B1:$AH727,17,FALSE)-AVERAGE('The List'!R2:R727))/STDEV('The List'!R2:R727)</f>
        <v>0.1993489316790962</v>
      </c>
      <c r="F513" s="39">
        <f>(VLOOKUP($A513,'The List'!$B1:$AH727,18,FALSE)-AVERAGE('The List'!S2:S727))/STDEV('The List'!S2:S727)</f>
        <v>-0.83405255370740661</v>
      </c>
      <c r="G513" s="39">
        <f>(VLOOKUP($A513,'The List'!$B1:$AH727,19,FALSE)-AVERAGE('The List'!T2:T727))/STDEV('The List'!T2:T727)</f>
        <v>-0.64855890771188018</v>
      </c>
      <c r="H513" s="39">
        <f>(VLOOKUP($A513,'The List'!$B1:$AH727,20,FALSE)-AVERAGE('The List'!U2:U727))/STDEV('The List'!U2:U727)</f>
        <v>-0.77919407472416835</v>
      </c>
      <c r="I513" s="39">
        <f>(VLOOKUP($A513,'The List'!$B1:$AH727,21,FALSE)-AVERAGE('The List'!V2:V727))/STDEV('The List'!V2:V727)</f>
        <v>-0.87834573247926728</v>
      </c>
      <c r="J513" s="39">
        <f>(VLOOKUP($A513,'The List'!$B1:$AH727,22,FALSE)-AVERAGE('The List'!W2:W727))/STDEV('The List'!W2:W727)</f>
        <v>-0.70533573237164493</v>
      </c>
      <c r="K513" s="39">
        <f>(VLOOKUP($A513,'The List'!$B1:$AH727,23,FALSE)-AVERAGE('The List'!X2:X727))/STDEV('The List'!X2:X727)</f>
        <v>-0.77565918208478724</v>
      </c>
      <c r="L513" s="39">
        <f>(VLOOKUP($A513,'The List'!$B1:$AH727,24,FALSE)-AVERAGE('The List'!Y2:Y727))/STDEV('The List'!Y2:Y727)</f>
        <v>-0.49464041122923358</v>
      </c>
      <c r="M513" s="39">
        <f>(VLOOKUP($A513,'The List'!$B1:$AH727,25,FALSE)-AVERAGE('The List'!Z2:Z727))/STDEV('The List'!Z2:Z727)</f>
        <v>-0.61053521475107475</v>
      </c>
      <c r="N513" s="39">
        <f>(VLOOKUP($A513,'The List'!$B1:$AH727,26,FALSE)-AVERAGE('The List'!AA2:AA727))/STDEV('The List'!AA2:AA727)</f>
        <v>1.0261705647089399</v>
      </c>
      <c r="O513" s="39">
        <f>(VLOOKUP($A513,'The List'!$B1:$AH727,27,FALSE)-AVERAGE('The List'!AB2:AB727))/STDEV('The List'!AB2:AB727)</f>
        <v>-0.43370827958929337</v>
      </c>
      <c r="P513" s="39">
        <f>(VLOOKUP($A513,'The List'!$B1:$AH727,28,FALSE)-AVERAGE('The List'!AC2:AC727))/STDEV('The List'!AC2:AC727)</f>
        <v>-1.616141949720908</v>
      </c>
      <c r="Q513" s="39">
        <f>(VLOOKUP($A513,'The List'!$B1:$AH727,29,FALSE)-AVERAGE('The List'!AD2:AD727))/STDEV('The List'!AD2:AD727)</f>
        <v>1.2787344622824572E-2</v>
      </c>
      <c r="R513" s="39">
        <f>(VLOOKUP($A513,'The List'!$B1:$AH727,30,FALSE)-AVERAGE('The List'!AE2:AE727))/STDEV('The List'!AE2:AE727)</f>
        <v>-0.86658840847165075</v>
      </c>
      <c r="S513" s="39">
        <f>(VLOOKUP($A513,'The List'!$B1:$AH727,31,FALSE)-AVERAGE('The List'!AF2:AF727))/STDEV('The List'!AF2:AF727)</f>
        <v>-0.55804314905918151</v>
      </c>
      <c r="T513" s="39">
        <f>(VLOOKUP($A513,'The List'!$B1:$AH727,32,FALSE)-AVERAGE('The List'!AG2:AG727))/STDEV('The List'!AG2:AG727)</f>
        <v>-0.60188453558131205</v>
      </c>
      <c r="U513" s="39">
        <f>(VLOOKUP($A513,'The List'!$B1:$AH727,33,FALSE)-AVERAGE('The List'!AH2:AH727))/STDEV('The List'!AH2:AH727)</f>
        <v>-1.2395873372913611</v>
      </c>
      <c r="V513" s="39"/>
      <c r="W513" s="41"/>
      <c r="X513" s="39"/>
      <c r="Y513" s="39"/>
      <c r="Z513" s="39"/>
      <c r="AA513" s="39"/>
      <c r="AB513" s="39"/>
      <c r="AC513" s="39"/>
      <c r="AD513" s="39"/>
      <c r="AE513" s="39"/>
    </row>
    <row r="514" spans="1:31" ht="21.25" customHeight="1" x14ac:dyDescent="0.15">
      <c r="A514" s="8" t="s">
        <v>515</v>
      </c>
      <c r="B514" s="35" t="str">
        <f>VLOOKUP(A514,'Player Data'!A1:B734,2,FALSE)</f>
        <v>NJD</v>
      </c>
      <c r="C514" s="37">
        <f>((E514)*Settings!$C$12)+(F514*Settings!$C$2)+(G514*Settings!$C$3)+(H514*Settings!$C$4)+(I514*Settings!$C$5)+(K514*Settings!$C$9)+(N514*Settings!$C$6)+(J514*Settings!$C$8)+(O514*Settings!$C$7)+(P514*Settings!$C$14)+(Q514*Settings!$C$15)+(R514*Settings!$C$16)+(S514*Settings!$C$17)+(T514*Settings!$C$18)+(U514*Settings!$C$19)</f>
        <v>-2.2033319668559193</v>
      </c>
      <c r="D514" s="41">
        <f>IF(Settings!$E$12="YES",VLOOKUP(A514,'Player Data'!A1:E734,5,FALSE),82)</f>
        <v>78.676071428571404</v>
      </c>
      <c r="E514" s="39">
        <f>(VLOOKUP($A514,'The List'!$B1:$AH727,17,FALSE)-AVERAGE('The List'!R2:R727))/STDEV('The List'!R2:R727)</f>
        <v>7.8983638777749082E-2</v>
      </c>
      <c r="F514" s="39">
        <f>(VLOOKUP($A514,'The List'!$B1:$AH727,18,FALSE)-AVERAGE('The List'!S2:S727))/STDEV('The List'!S2:S727)</f>
        <v>-0.84849380984966349</v>
      </c>
      <c r="G514" s="39">
        <f>(VLOOKUP($A514,'The List'!$B1:$AH727,19,FALSE)-AVERAGE('The List'!T2:T727))/STDEV('The List'!T2:T727)</f>
        <v>-0.57807311329148325</v>
      </c>
      <c r="H514" s="39">
        <f>(VLOOKUP($A514,'The List'!$B1:$AH727,20,FALSE)-AVERAGE('The List'!U2:U727))/STDEV('The List'!U2:U727)</f>
        <v>-0.74233175440008425</v>
      </c>
      <c r="I514" s="39">
        <f>(VLOOKUP($A514,'The List'!$B1:$AH727,21,FALSE)-AVERAGE('The List'!V2:V727))/STDEV('The List'!V2:V727)</f>
        <v>-0.60201229068439921</v>
      </c>
      <c r="J514" s="39">
        <f>(VLOOKUP($A514,'The List'!$B1:$AH727,22,FALSE)-AVERAGE('The List'!W2:W727))/STDEV('The List'!W2:W727)</f>
        <v>-0.66862123694109832</v>
      </c>
      <c r="K514" s="39">
        <f>(VLOOKUP($A514,'The List'!$B1:$AH727,23,FALSE)-AVERAGE('The List'!X2:X727))/STDEV('The List'!X2:X727)</f>
        <v>-0.73403411268657648</v>
      </c>
      <c r="L514" s="39">
        <f>(VLOOKUP($A514,'The List'!$B1:$AH727,24,FALSE)-AVERAGE('The List'!Y2:Y727))/STDEV('The List'!Y2:Y727)</f>
        <v>-0.51206945119041813</v>
      </c>
      <c r="M514" s="39">
        <f>(VLOOKUP($A514,'The List'!$B1:$AH727,25,FALSE)-AVERAGE('The List'!Z2:Z727))/STDEV('The List'!Z2:Z727)</f>
        <v>-0.64969132368025106</v>
      </c>
      <c r="N514" s="39">
        <f>(VLOOKUP($A514,'The List'!$B1:$AH727,26,FALSE)-AVERAGE('The List'!AA2:AA727))/STDEV('The List'!AA2:AA727)</f>
        <v>0.46992704537135577</v>
      </c>
      <c r="O514" s="39">
        <f>(VLOOKUP($A514,'The List'!$B1:$AH727,27,FALSE)-AVERAGE('The List'!AB2:AB727))/STDEV('The List'!AB2:AB727)</f>
        <v>0.33687601944712048</v>
      </c>
      <c r="P514" s="39">
        <f>(VLOOKUP($A514,'The List'!$B1:$AH727,28,FALSE)-AVERAGE('The List'!AC2:AC727))/STDEV('The List'!AC2:AC727)</f>
        <v>8.9354314284847483E-2</v>
      </c>
      <c r="Q514" s="39">
        <f>(VLOOKUP($A514,'The List'!$B1:$AH727,29,FALSE)-AVERAGE('The List'!AD2:AD727))/STDEV('The List'!AD2:AD727)</f>
        <v>0.42617517839105529</v>
      </c>
      <c r="R514" s="39">
        <f>(VLOOKUP($A514,'The List'!$B1:$AH727,30,FALSE)-AVERAGE('The List'!AE2:AE727))/STDEV('The List'!AE2:AE727)</f>
        <v>-0.76383654491639319</v>
      </c>
      <c r="S514" s="39">
        <f>(VLOOKUP($A514,'The List'!$B1:$AH727,31,FALSE)-AVERAGE('The List'!AF2:AF727))/STDEV('The List'!AF2:AF727)</f>
        <v>-0.55804314905918151</v>
      </c>
      <c r="T514" s="39">
        <f>(VLOOKUP($A514,'The List'!$B1:$AH727,32,FALSE)-AVERAGE('The List'!AG2:AG727))/STDEV('The List'!AG2:AG727)</f>
        <v>-0.60188453558131205</v>
      </c>
      <c r="U514" s="39">
        <f>(VLOOKUP($A514,'The List'!$B1:$AH727,33,FALSE)-AVERAGE('The List'!AH2:AH727))/STDEV('The List'!AH2:AH727)</f>
        <v>-1.2395873372913611</v>
      </c>
      <c r="V514" s="39"/>
      <c r="W514" s="43"/>
      <c r="X514" s="41"/>
      <c r="Y514" s="41"/>
      <c r="Z514" s="41"/>
      <c r="AA514" s="41"/>
      <c r="AB514" s="41"/>
      <c r="AC514" s="44"/>
      <c r="AD514" s="45"/>
      <c r="AE514" s="39"/>
    </row>
    <row r="515" spans="1:31" ht="21.25" customHeight="1" x14ac:dyDescent="0.15">
      <c r="A515" s="8" t="s">
        <v>518</v>
      </c>
      <c r="B515" s="35" t="str">
        <f>VLOOKUP(A515,'Player Data'!A1:B734,2,FALSE)</f>
        <v>NSH</v>
      </c>
      <c r="C515" s="37">
        <f>((E515)*Settings!$C$12)+(F515*Settings!$C$2)+(G515*Settings!$C$3)+(H515*Settings!$C$4)+(I515*Settings!$C$5)+(K515*Settings!$C$9)+(N515*Settings!$C$6)+(J515*Settings!$C$8)+(O515*Settings!$C$7)+(P515*Settings!$C$14)+(Q515*Settings!$C$15)+(R515*Settings!$C$16)+(S515*Settings!$C$17)+(T515*Settings!$C$18)+(U515*Settings!$C$19)</f>
        <v>-2.1193505245169653</v>
      </c>
      <c r="D515" s="41">
        <f>IF(Settings!$E$12="YES",VLOOKUP(A515,'Player Data'!A1:E734,5,FALSE),82)</f>
        <v>75.064285714285703</v>
      </c>
      <c r="E515" s="39">
        <f>(VLOOKUP($A515,'The List'!$B1:$AH727,17,FALSE)-AVERAGE('The List'!R2:R727))/STDEV('The List'!R2:R727)</f>
        <v>4.6998404707572612E-2</v>
      </c>
      <c r="F515" s="39">
        <f>(VLOOKUP($A515,'The List'!$B1:$AH727,18,FALSE)-AVERAGE('The List'!S2:S727))/STDEV('The List'!S2:S727)</f>
        <v>-0.88001097132503003</v>
      </c>
      <c r="G515" s="39">
        <f>(VLOOKUP($A515,'The List'!$B1:$AH727,19,FALSE)-AVERAGE('The List'!T2:T727))/STDEV('The List'!T2:T727)</f>
        <v>-0.61995077911185936</v>
      </c>
      <c r="H515" s="39">
        <f>(VLOOKUP($A515,'The List'!$B1:$AH727,20,FALSE)-AVERAGE('The List'!U2:U727))/STDEV('The List'!U2:U727)</f>
        <v>-0.7824794383856285</v>
      </c>
      <c r="I515" s="39">
        <f>(VLOOKUP($A515,'The List'!$B1:$AH727,21,FALSE)-AVERAGE('The List'!V2:V727))/STDEV('The List'!V2:V727)</f>
        <v>-0.72115966662371656</v>
      </c>
      <c r="J515" s="39">
        <f>(VLOOKUP($A515,'The List'!$B1:$AH727,22,FALSE)-AVERAGE('The List'!W2:W727))/STDEV('The List'!W2:W727)</f>
        <v>-0.70616609969175392</v>
      </c>
      <c r="K515" s="39">
        <f>(VLOOKUP($A515,'The List'!$B1:$AH727,23,FALSE)-AVERAGE('The List'!X2:X727))/STDEV('The List'!X2:X727)</f>
        <v>-0.78580751194789455</v>
      </c>
      <c r="L515" s="39">
        <f>(VLOOKUP($A515,'The List'!$B1:$AH727,24,FALSE)-AVERAGE('The List'!Y2:Y727))/STDEV('The List'!Y2:Y727)</f>
        <v>-0.48412781014801576</v>
      </c>
      <c r="M515" s="39">
        <f>(VLOOKUP($A515,'The List'!$B1:$AH727,25,FALSE)-AVERAGE('The List'!Z2:Z727))/STDEV('The List'!Z2:Z727)</f>
        <v>-0.57850155461184793</v>
      </c>
      <c r="N515" s="39">
        <f>(VLOOKUP($A515,'The List'!$B1:$AH727,26,FALSE)-AVERAGE('The List'!AA2:AA727))/STDEV('The List'!AA2:AA727)</f>
        <v>1.1734050361391872</v>
      </c>
      <c r="O515" s="39">
        <f>(VLOOKUP($A515,'The List'!$B1:$AH727,27,FALSE)-AVERAGE('The List'!AB2:AB727))/STDEV('The List'!AB2:AB727)</f>
        <v>3.8501027715850191</v>
      </c>
      <c r="P515" s="39">
        <f>(VLOOKUP($A515,'The List'!$B1:$AH727,28,FALSE)-AVERAGE('The List'!AC2:AC727))/STDEV('The List'!AC2:AC727)</f>
        <v>-0.28582663164765237</v>
      </c>
      <c r="Q515" s="39">
        <f>(VLOOKUP($A515,'The List'!$B1:$AH727,29,FALSE)-AVERAGE('The List'!AD2:AD727))/STDEV('The List'!AD2:AD727)</f>
        <v>2.8732002007893693</v>
      </c>
      <c r="R515" s="39">
        <f>(VLOOKUP($A515,'The List'!$B1:$AH727,30,FALSE)-AVERAGE('The List'!AE2:AE727))/STDEV('The List'!AE2:AE727)</f>
        <v>-0.79728839083210556</v>
      </c>
      <c r="S515" s="39">
        <f>(VLOOKUP($A515,'The List'!$B1:$AH727,31,FALSE)-AVERAGE('The List'!AF2:AF727))/STDEV('The List'!AF2:AF727)</f>
        <v>-0.55804314905918151</v>
      </c>
      <c r="T515" s="39">
        <f>(VLOOKUP($A515,'The List'!$B1:$AH727,32,FALSE)-AVERAGE('The List'!AG2:AG727))/STDEV('The List'!AG2:AG727)</f>
        <v>-0.60188453558131205</v>
      </c>
      <c r="U515" s="39">
        <f>(VLOOKUP($A515,'The List'!$B1:$AH727,33,FALSE)-AVERAGE('The List'!AH2:AH727))/STDEV('The List'!AH2:AH727)</f>
        <v>-1.2395873372913611</v>
      </c>
      <c r="V515" s="39"/>
      <c r="W515" s="43"/>
      <c r="X515" s="41"/>
      <c r="Y515" s="41"/>
      <c r="Z515" s="41"/>
      <c r="AA515" s="41"/>
      <c r="AB515" s="41"/>
      <c r="AC515" s="44"/>
      <c r="AD515" s="45"/>
      <c r="AE515" s="39"/>
    </row>
    <row r="516" spans="1:31" ht="21.25" customHeight="1" x14ac:dyDescent="0.15">
      <c r="A516" s="8" t="s">
        <v>798</v>
      </c>
      <c r="B516" s="35" t="str">
        <f>VLOOKUP(A516,'Player Data'!A1:B734,2,FALSE)</f>
        <v>OTT</v>
      </c>
      <c r="C516" s="37">
        <f>((E516)*Settings!$C$12)+(F516*Settings!$C$2)+(G516*Settings!$C$3)+(H516*Settings!$C$4)+(I516*Settings!$C$5)+(K516*Settings!$C$9)+(N516*Settings!$C$6)+(J516*Settings!$C$8)+(O516*Settings!$C$7)+(P516*Settings!$C$14)+(Q516*Settings!$C$15)+(R516*Settings!$C$16)+(S516*Settings!$C$17)+(T516*Settings!$C$18)+(U516*Settings!$C$19)</f>
        <v>-4.0413933223631089</v>
      </c>
      <c r="D516" s="41">
        <f>IF(Settings!$E$12="YES",VLOOKUP(A516,'Player Data'!A1:E734,5,FALSE),82)</f>
        <v>60.83</v>
      </c>
      <c r="E516" s="39">
        <f>(VLOOKUP($A516,'The List'!$B1:$AH727,17,FALSE)-AVERAGE('The List'!R2:R727))/STDEV('The List'!R2:R727)</f>
        <v>-1.5383864183329425</v>
      </c>
      <c r="F516" s="39">
        <f>(VLOOKUP($A516,'The List'!$B1:$AH727,18,FALSE)-AVERAGE('The List'!S2:S727))/STDEV('The List'!S2:S727)</f>
        <v>-0.67989823724359866</v>
      </c>
      <c r="G516" s="39">
        <f>(VLOOKUP($A516,'The List'!$B1:$AH727,19,FALSE)-AVERAGE('The List'!T2:T727))/STDEV('The List'!T2:T727)</f>
        <v>-1.0178465558721248</v>
      </c>
      <c r="H516" s="39">
        <f>(VLOOKUP($A516,'The List'!$B1:$AH727,20,FALSE)-AVERAGE('The List'!U2:U727))/STDEV('The List'!U2:U727)</f>
        <v>-0.936602663488173</v>
      </c>
      <c r="I516" s="39">
        <f>(VLOOKUP($A516,'The List'!$B1:$AH727,21,FALSE)-AVERAGE('The List'!V2:V727))/STDEV('The List'!V2:V727)</f>
        <v>-1.0397078372192956</v>
      </c>
      <c r="J516" s="39">
        <f>(VLOOKUP($A516,'The List'!$B1:$AH727,22,FALSE)-AVERAGE('The List'!W2:W727))/STDEV('The List'!W2:W727)</f>
        <v>-0.26067641002642744</v>
      </c>
      <c r="K516" s="39">
        <f>(VLOOKUP($A516,'The List'!$B1:$AH727,23,FALSE)-AVERAGE('The List'!X2:X727))/STDEV('The List'!X2:X727)</f>
        <v>-0.45772058662111492</v>
      </c>
      <c r="L516" s="39">
        <f>(VLOOKUP($A516,'The List'!$B1:$AH727,24,FALSE)-AVERAGE('The List'!Y2:Y727))/STDEV('The List'!Y2:Y727)</f>
        <v>-0.54402834717551152</v>
      </c>
      <c r="M516" s="39">
        <f>(VLOOKUP($A516,'The List'!$B1:$AH727,25,FALSE)-AVERAGE('The List'!Z2:Z727))/STDEV('The List'!Z2:Z727)</f>
        <v>-0.72372514007823274</v>
      </c>
      <c r="N516" s="39">
        <f>(VLOOKUP($A516,'The List'!$B1:$AH727,26,FALSE)-AVERAGE('The List'!AA2:AA727))/STDEV('The List'!AA2:AA727)</f>
        <v>-0.75324720673311163</v>
      </c>
      <c r="O516" s="39">
        <f>(VLOOKUP($A516,'The List'!$B1:$AH727,27,FALSE)-AVERAGE('The List'!AB2:AB727))/STDEV('The List'!AB2:AB727)</f>
        <v>-0.47905466234279992</v>
      </c>
      <c r="P516" s="39">
        <f>(VLOOKUP($A516,'The List'!$B1:$AH727,28,FALSE)-AVERAGE('The List'!AC2:AC727))/STDEV('The List'!AC2:AC727)</f>
        <v>-9.2972898673862978E-2</v>
      </c>
      <c r="Q516" s="39">
        <f>(VLOOKUP($A516,'The List'!$B1:$AH727,29,FALSE)-AVERAGE('The List'!AD2:AD727))/STDEV('The List'!AD2:AD727)</f>
        <v>-1.1660013203026887</v>
      </c>
      <c r="R516" s="39">
        <f>(VLOOKUP($A516,'The List'!$B1:$AH727,30,FALSE)-AVERAGE('The List'!AE2:AE727))/STDEV('The List'!AE2:AE727)</f>
        <v>-0.63498955981322136</v>
      </c>
      <c r="S516" s="39">
        <f>(VLOOKUP($A516,'The List'!$B1:$AH727,31,FALSE)-AVERAGE('The List'!AF2:AF727))/STDEV('The List'!AF2:AF727)</f>
        <v>-0.53784901911447358</v>
      </c>
      <c r="T516" s="39">
        <f>(VLOOKUP($A516,'The List'!$B1:$AH727,32,FALSE)-AVERAGE('The List'!AG2:AG727))/STDEV('The List'!AG2:AG727)</f>
        <v>-0.57132963412591353</v>
      </c>
      <c r="U516" s="39">
        <f>(VLOOKUP($A516,'The List'!$B1:$AH727,33,FALSE)-AVERAGE('The List'!AH2:AH727))/STDEV('The List'!AH2:AH727)</f>
        <v>0.61329371548072553</v>
      </c>
      <c r="V516" s="39"/>
      <c r="W516" s="43"/>
      <c r="X516" s="41"/>
      <c r="Y516" s="41"/>
      <c r="Z516" s="41"/>
      <c r="AA516" s="41"/>
      <c r="AB516" s="41"/>
      <c r="AC516" s="44"/>
      <c r="AD516" s="45"/>
      <c r="AE516" s="39"/>
    </row>
    <row r="517" spans="1:31" ht="21.25" customHeight="1" x14ac:dyDescent="0.15">
      <c r="A517" s="8" t="s">
        <v>636</v>
      </c>
      <c r="B517" s="35" t="str">
        <f>VLOOKUP(A517,'Player Data'!A1:B734,2,FALSE)</f>
        <v>CHI</v>
      </c>
      <c r="C517" s="37">
        <f>((E517)*Settings!$C$12)+(F517*Settings!$C$2)+(G517*Settings!$C$3)+(H517*Settings!$C$4)+(I517*Settings!$C$5)+(K517*Settings!$C$9)+(N517*Settings!$C$6)+(J517*Settings!$C$8)+(O517*Settings!$C$7)+(P517*Settings!$C$14)+(Q517*Settings!$C$15)+(R517*Settings!$C$16)+(S517*Settings!$C$17)+(T517*Settings!$C$18)+(U517*Settings!$C$19)</f>
        <v>-4.8229828739273781</v>
      </c>
      <c r="D517" s="41">
        <f>IF(Settings!$E$12="YES",VLOOKUP(A517,'Player Data'!A1:E734,5,FALSE),82)</f>
        <v>51.017499999999998</v>
      </c>
      <c r="E517" s="39">
        <f>(VLOOKUP($A517,'The List'!$B1:$AH727,17,FALSE)-AVERAGE('The List'!R2:R727))/STDEV('The List'!R2:R727)</f>
        <v>-7.3540800599389708E-2</v>
      </c>
      <c r="F517" s="39">
        <f>(VLOOKUP($A517,'The List'!$B1:$AH727,18,FALSE)-AVERAGE('The List'!S2:S727))/STDEV('The List'!S2:S727)</f>
        <v>-1.0033242360658359</v>
      </c>
      <c r="G517" s="39">
        <f>(VLOOKUP($A517,'The List'!$B1:$AH727,19,FALSE)-AVERAGE('The List'!T2:T727))/STDEV('The List'!T2:T727)</f>
        <v>-0.95250525603021141</v>
      </c>
      <c r="H517" s="39">
        <f>(VLOOKUP($A517,'The List'!$B1:$AH727,20,FALSE)-AVERAGE('The List'!U2:U727))/STDEV('The List'!U2:U727)</f>
        <v>-1.0435178211526914</v>
      </c>
      <c r="I517" s="39">
        <f>(VLOOKUP($A517,'The List'!$B1:$AH727,21,FALSE)-AVERAGE('The List'!V2:V727))/STDEV('The List'!V2:V727)</f>
        <v>-1.2083817468647657</v>
      </c>
      <c r="J517" s="39">
        <f>(VLOOKUP($A517,'The List'!$B1:$AH727,22,FALSE)-AVERAGE('The List'!W2:W727))/STDEV('The List'!W2:W727)</f>
        <v>-0.65599431241786121</v>
      </c>
      <c r="K517" s="39">
        <f>(VLOOKUP($A517,'The List'!$B1:$AH727,23,FALSE)-AVERAGE('The List'!X2:X727))/STDEV('The List'!X2:X727)</f>
        <v>-0.6553824676410468</v>
      </c>
      <c r="L517" s="39">
        <f>(VLOOKUP($A517,'The List'!$B1:$AH727,24,FALSE)-AVERAGE('The List'!Y2:Y727))/STDEV('The List'!Y2:Y727)</f>
        <v>-0.50083059370806393</v>
      </c>
      <c r="M517" s="39">
        <f>(VLOOKUP($A517,'The List'!$B1:$AH727,25,FALSE)-AVERAGE('The List'!Z2:Z727))/STDEV('The List'!Z2:Z727)</f>
        <v>-0.62500811863080141</v>
      </c>
      <c r="N517" s="39">
        <f>(VLOOKUP($A517,'The List'!$B1:$AH727,26,FALSE)-AVERAGE('The List'!AA2:AA727))/STDEV('The List'!AA2:AA727)</f>
        <v>-9.2321929510790054E-4</v>
      </c>
      <c r="O517" s="39">
        <f>(VLOOKUP($A517,'The List'!$B1:$AH727,27,FALSE)-AVERAGE('The List'!AB2:AB727))/STDEV('The List'!AB2:AB727)</f>
        <v>-0.72396085118496711</v>
      </c>
      <c r="P517" s="39">
        <f>(VLOOKUP($A517,'The List'!$B1:$AH727,28,FALSE)-AVERAGE('The List'!AC2:AC727))/STDEV('The List'!AC2:AC727)</f>
        <v>-1.0024659480304101</v>
      </c>
      <c r="Q517" s="39">
        <f>(VLOOKUP($A517,'The List'!$B1:$AH727,29,FALSE)-AVERAGE('The List'!AD2:AD727))/STDEV('The List'!AD2:AD727)</f>
        <v>-0.93642965681214219</v>
      </c>
      <c r="R517" s="39">
        <f>(VLOOKUP($A517,'The List'!$B1:$AH727,30,FALSE)-AVERAGE('The List'!AE2:AE727))/STDEV('The List'!AE2:AE727)</f>
        <v>-0.96968081523383975</v>
      </c>
      <c r="S517" s="39">
        <f>(VLOOKUP($A517,'The List'!$B1:$AH727,31,FALSE)-AVERAGE('The List'!AF2:AF727))/STDEV('The List'!AF2:AF727)</f>
        <v>-0.55804314905918151</v>
      </c>
      <c r="T517" s="39">
        <f>(VLOOKUP($A517,'The List'!$B1:$AH727,32,FALSE)-AVERAGE('The List'!AG2:AG727))/STDEV('The List'!AG2:AG727)</f>
        <v>-0.60188453558131205</v>
      </c>
      <c r="U517" s="39">
        <f>(VLOOKUP($A517,'The List'!$B1:$AH727,33,FALSE)-AVERAGE('The List'!AH2:AH727))/STDEV('The List'!AH2:AH727)</f>
        <v>-1.2395873372913611</v>
      </c>
      <c r="V517" s="39"/>
      <c r="W517" s="43"/>
      <c r="X517" s="41"/>
      <c r="Y517" s="41"/>
      <c r="Z517" s="41"/>
      <c r="AA517" s="41"/>
      <c r="AB517" s="41"/>
      <c r="AC517" s="44"/>
      <c r="AD517" s="45"/>
      <c r="AE517" s="39"/>
    </row>
    <row r="518" spans="1:31" ht="21.25" customHeight="1" x14ac:dyDescent="0.15">
      <c r="A518" s="8" t="s">
        <v>804</v>
      </c>
      <c r="B518" s="35" t="str">
        <f>VLOOKUP(A518,'Player Data'!A1:B734,2,FALSE)</f>
        <v>LAK</v>
      </c>
      <c r="C518" s="37">
        <f>((E518)*Settings!$C$12)+(F518*Settings!$C$2)+(G518*Settings!$C$3)+(H518*Settings!$C$4)+(I518*Settings!$C$5)+(K518*Settings!$C$9)+(N518*Settings!$C$6)+(J518*Settings!$C$8)+(O518*Settings!$C$7)+(P518*Settings!$C$14)+(Q518*Settings!$C$15)+(R518*Settings!$C$16)+(S518*Settings!$C$17)+(T518*Settings!$C$18)+(U518*Settings!$C$19)</f>
        <v>-4.3489057135030675</v>
      </c>
      <c r="D518" s="41">
        <f>IF(Settings!$E$12="YES",VLOOKUP(A518,'Player Data'!A1:E734,5,FALSE),82)</f>
        <v>62.106071428571397</v>
      </c>
      <c r="E518" s="39">
        <f>(VLOOKUP($A518,'The List'!$B1:$AH727,17,FALSE)-AVERAGE('The List'!R2:R727))/STDEV('The List'!R2:R727)</f>
        <v>-1.6313556833612401</v>
      </c>
      <c r="F518" s="39">
        <f>(VLOOKUP($A518,'The List'!$B1:$AH727,18,FALSE)-AVERAGE('The List'!S2:S727))/STDEV('The List'!S2:S727)</f>
        <v>-0.48847227603681165</v>
      </c>
      <c r="G518" s="39">
        <f>(VLOOKUP($A518,'The List'!$B1:$AH727,19,FALSE)-AVERAGE('The List'!T2:T727))/STDEV('The List'!T2:T727)</f>
        <v>-1.1394367484872203</v>
      </c>
      <c r="H518" s="39">
        <f>(VLOOKUP($A518,'The List'!$B1:$AH727,20,FALSE)-AVERAGE('The List'!U2:U727))/STDEV('The List'!U2:U727)</f>
        <v>-0.92441686868289918</v>
      </c>
      <c r="I518" s="39">
        <f>(VLOOKUP($A518,'The List'!$B1:$AH727,21,FALSE)-AVERAGE('The List'!V2:V727))/STDEV('The List'!V2:V727)</f>
        <v>-1.0710947222832683</v>
      </c>
      <c r="J518" s="39">
        <f>(VLOOKUP($A518,'The List'!$B1:$AH727,22,FALSE)-AVERAGE('The List'!W2:W727))/STDEV('The List'!W2:W727)</f>
        <v>-0.67126808036521446</v>
      </c>
      <c r="K518" s="39">
        <f>(VLOOKUP($A518,'The List'!$B1:$AH727,23,FALSE)-AVERAGE('The List'!X2:X727))/STDEV('The List'!X2:X727)</f>
        <v>-0.75538496471147254</v>
      </c>
      <c r="L518" s="39">
        <f>(VLOOKUP($A518,'The List'!$B1:$AH727,24,FALSE)-AVERAGE('The List'!Y2:Y727))/STDEV('The List'!Y2:Y727)</f>
        <v>-0.46450392226859288</v>
      </c>
      <c r="M518" s="39">
        <f>(VLOOKUP($A518,'The List'!$B1:$AH727,25,FALSE)-AVERAGE('The List'!Z2:Z727))/STDEV('The List'!Z2:Z727)</f>
        <v>-0.63323659447473613</v>
      </c>
      <c r="N518" s="39">
        <f>(VLOOKUP($A518,'The List'!$B1:$AH727,26,FALSE)-AVERAGE('The List'!AA2:AA727))/STDEV('The List'!AA2:AA727)</f>
        <v>-0.64362125886891619</v>
      </c>
      <c r="O518" s="39">
        <f>(VLOOKUP($A518,'The List'!$B1:$AH727,27,FALSE)-AVERAGE('The List'!AB2:AB727))/STDEV('The List'!AB2:AB727)</f>
        <v>-0.1053916287442868</v>
      </c>
      <c r="P518" s="39">
        <f>(VLOOKUP($A518,'The List'!$B1:$AH727,28,FALSE)-AVERAGE('The List'!AC2:AC727))/STDEV('The List'!AC2:AC727)</f>
        <v>-0.25089574311537871</v>
      </c>
      <c r="Q518" s="39">
        <f>(VLOOKUP($A518,'The List'!$B1:$AH727,29,FALSE)-AVERAGE('The List'!AD2:AD727))/STDEV('The List'!AD2:AD727)</f>
        <v>-1.4619145571964431</v>
      </c>
      <c r="R518" s="39">
        <f>(VLOOKUP($A518,'The List'!$B1:$AH727,30,FALSE)-AVERAGE('The List'!AE2:AE727))/STDEV('The List'!AE2:AE727)</f>
        <v>-0.41098599159174515</v>
      </c>
      <c r="S518" s="39">
        <f>(VLOOKUP($A518,'The List'!$B1:$AH727,31,FALSE)-AVERAGE('The List'!AF2:AF727))/STDEV('The List'!AF2:AF727)</f>
        <v>-0.26144296706412745</v>
      </c>
      <c r="T518" s="39">
        <f>(VLOOKUP($A518,'The List'!$B1:$AH727,32,FALSE)-AVERAGE('The List'!AG2:AG727))/STDEV('The List'!AG2:AG727)</f>
        <v>-0.33390140624764708</v>
      </c>
      <c r="U518" s="39">
        <f>(VLOOKUP($A518,'The List'!$B1:$AH727,33,FALSE)-AVERAGE('The List'!AH2:AH727))/STDEV('The List'!AH2:AH727)</f>
        <v>1.190850118964601</v>
      </c>
      <c r="V518" s="39"/>
      <c r="W518" s="41"/>
      <c r="X518" s="39"/>
      <c r="Y518" s="39"/>
      <c r="Z518" s="39"/>
      <c r="AA518" s="39"/>
      <c r="AB518" s="39"/>
      <c r="AC518" s="39"/>
      <c r="AD518" s="39"/>
      <c r="AE518" s="39"/>
    </row>
    <row r="519" spans="1:31" ht="21.25" customHeight="1" x14ac:dyDescent="0.15">
      <c r="A519" s="8" t="s">
        <v>558</v>
      </c>
      <c r="B519" s="35" t="str">
        <f>VLOOKUP(A519,'Player Data'!A1:B734,2,FALSE)</f>
        <v>NYR</v>
      </c>
      <c r="C519" s="37">
        <f>((E519)*Settings!$C$12)+(F519*Settings!$C$2)+(G519*Settings!$C$3)+(H519*Settings!$C$4)+(I519*Settings!$C$5)+(K519*Settings!$C$9)+(N519*Settings!$C$6)+(J519*Settings!$C$8)+(O519*Settings!$C$7)+(P519*Settings!$C$14)+(Q519*Settings!$C$15)+(R519*Settings!$C$16)+(S519*Settings!$C$17)+(T519*Settings!$C$18)+(U519*Settings!$C$19)</f>
        <v>-1.5203209964740125</v>
      </c>
      <c r="D519" s="41">
        <f>IF(Settings!$E$12="YES",VLOOKUP(A519,'Player Data'!A1:E734,5,FALSE),82)</f>
        <v>72.290000000000006</v>
      </c>
      <c r="E519" s="39">
        <f>(VLOOKUP($A519,'The List'!$B1:$AH727,17,FALSE)-AVERAGE('The List'!R2:R727))/STDEV('The List'!R2:R727)</f>
        <v>-0.19041479235917982</v>
      </c>
      <c r="F519" s="39">
        <f>(VLOOKUP($A519,'The List'!$B1:$AH727,18,FALSE)-AVERAGE('The List'!S2:S727))/STDEV('The List'!S2:S727)</f>
        <v>-0.87516533200775382</v>
      </c>
      <c r="G519" s="39">
        <f>(VLOOKUP($A519,'The List'!$B1:$AH727,19,FALSE)-AVERAGE('The List'!T2:T727))/STDEV('The List'!T2:T727)</f>
        <v>-0.67723618350138703</v>
      </c>
      <c r="H519" s="39">
        <f>(VLOOKUP($A519,'The List'!$B1:$AH727,20,FALSE)-AVERAGE('The List'!U2:U727))/STDEV('The List'!U2:U727)</f>
        <v>-0.81557416293855778</v>
      </c>
      <c r="I519" s="39">
        <f>(VLOOKUP($A519,'The List'!$B1:$AH727,21,FALSE)-AVERAGE('The List'!V2:V727))/STDEV('The List'!V2:V727)</f>
        <v>-1.0599085698615176</v>
      </c>
      <c r="J519" s="39">
        <f>(VLOOKUP($A519,'The List'!$B1:$AH727,22,FALSE)-AVERAGE('The List'!W2:W727))/STDEV('The List'!W2:W727)</f>
        <v>-0.70553239316282346</v>
      </c>
      <c r="K519" s="39">
        <f>(VLOOKUP($A519,'The List'!$B1:$AH727,23,FALSE)-AVERAGE('The List'!X2:X727))/STDEV('The List'!X2:X727)</f>
        <v>-0.77901629683983276</v>
      </c>
      <c r="L519" s="39">
        <f>(VLOOKUP($A519,'The List'!$B1:$AH727,24,FALSE)-AVERAGE('The List'!Y2:Y727))/STDEV('The List'!Y2:Y727)</f>
        <v>-0.49306583744918631</v>
      </c>
      <c r="M519" s="39">
        <f>(VLOOKUP($A519,'The List'!$B1:$AH727,25,FALSE)-AVERAGE('The List'!Z2:Z727))/STDEV('The List'!Z2:Z727)</f>
        <v>-0.60731065498574588</v>
      </c>
      <c r="N519" s="39">
        <f>(VLOOKUP($A519,'The List'!$B1:$AH727,26,FALSE)-AVERAGE('The List'!AA2:AA727))/STDEV('The List'!AA2:AA727)</f>
        <v>1.1719155548456317</v>
      </c>
      <c r="O519" s="39">
        <f>(VLOOKUP($A519,'The List'!$B1:$AH727,27,FALSE)-AVERAGE('The List'!AB2:AB727))/STDEV('The List'!AB2:AB727)</f>
        <v>0.55762152987792657</v>
      </c>
      <c r="P519" s="39">
        <f>(VLOOKUP($A519,'The List'!$B1:$AH727,28,FALSE)-AVERAGE('The List'!AC2:AC727))/STDEV('The List'!AC2:AC727)</f>
        <v>0.69908983089084675</v>
      </c>
      <c r="Q519" s="39">
        <f>(VLOOKUP($A519,'The List'!$B1:$AH727,29,FALSE)-AVERAGE('The List'!AD2:AD727))/STDEV('The List'!AD2:AD727)</f>
        <v>-0.80865553895021436</v>
      </c>
      <c r="R519" s="39">
        <f>(VLOOKUP($A519,'The List'!$B1:$AH727,30,FALSE)-AVERAGE('The List'!AE2:AE727))/STDEV('The List'!AE2:AE727)</f>
        <v>-0.7259874665285313</v>
      </c>
      <c r="S519" s="39">
        <f>(VLOOKUP($A519,'The List'!$B1:$AH727,31,FALSE)-AVERAGE('The List'!AF2:AF727))/STDEV('The List'!AF2:AF727)</f>
        <v>-0.55804314905918151</v>
      </c>
      <c r="T519" s="39">
        <f>(VLOOKUP($A519,'The List'!$B1:$AH727,32,FALSE)-AVERAGE('The List'!AG2:AG727))/STDEV('The List'!AG2:AG727)</f>
        <v>-0.60188453558131205</v>
      </c>
      <c r="U519" s="39">
        <f>(VLOOKUP($A519,'The List'!$B1:$AH727,33,FALSE)-AVERAGE('The List'!AH2:AH727))/STDEV('The List'!AH2:AH727)</f>
        <v>-1.2395873372913611</v>
      </c>
      <c r="V519" s="39"/>
      <c r="W519" s="43"/>
      <c r="X519" s="41"/>
      <c r="Y519" s="41"/>
      <c r="Z519" s="41"/>
      <c r="AA519" s="41"/>
      <c r="AB519" s="41"/>
      <c r="AC519" s="44"/>
      <c r="AD519" s="45"/>
      <c r="AE519" s="39"/>
    </row>
    <row r="520" spans="1:31" ht="21.25" customHeight="1" x14ac:dyDescent="0.15">
      <c r="A520" s="8" t="s">
        <v>598</v>
      </c>
      <c r="B520" s="35" t="str">
        <f>VLOOKUP(A520,'Player Data'!A1:B734,2,FALSE)</f>
        <v>UFA</v>
      </c>
      <c r="C520" s="37">
        <f>((E520)*Settings!$C$12)+(F520*Settings!$C$2)+(G520*Settings!$C$3)+(H520*Settings!$C$4)+(I520*Settings!$C$5)+(K520*Settings!$C$9)+(N520*Settings!$C$6)+(J520*Settings!$C$8)+(O520*Settings!$C$7)+(P520*Settings!$C$14)+(Q520*Settings!$C$15)+(R520*Settings!$C$16)+(S520*Settings!$C$17)+(T520*Settings!$C$18)+(U520*Settings!$C$19)</f>
        <v>-3.5189953679760353</v>
      </c>
      <c r="D520" s="41">
        <f>IF(Settings!$E$12="YES",VLOOKUP(A520,'Player Data'!A1:E734,5,FALSE),82)</f>
        <v>60</v>
      </c>
      <c r="E520" s="39">
        <f>(VLOOKUP($A520,'The List'!$B1:$AH727,17,FALSE)-AVERAGE('The List'!R2:R727))/STDEV('The List'!R2:R727)</f>
        <v>-0.17113592913879758</v>
      </c>
      <c r="F520" s="39">
        <f>(VLOOKUP($A520,'The List'!$B1:$AH727,18,FALSE)-AVERAGE('The List'!S2:S727))/STDEV('The List'!S2:S727)</f>
        <v>-0.93421765314233107</v>
      </c>
      <c r="G520" s="39">
        <f>(VLOOKUP($A520,'The List'!$B1:$AH727,19,FALSE)-AVERAGE('The List'!T2:T727))/STDEV('The List'!T2:T727)</f>
        <v>-0.85356846891061988</v>
      </c>
      <c r="H520" s="39">
        <f>(VLOOKUP($A520,'The List'!$B1:$AH727,20,FALSE)-AVERAGE('The List'!U2:U727))/STDEV('The List'!U2:U727)</f>
        <v>-0.95110424225825796</v>
      </c>
      <c r="I520" s="39">
        <f>(VLOOKUP($A520,'The List'!$B1:$AH727,21,FALSE)-AVERAGE('The List'!V2:V727))/STDEV('The List'!V2:V727)</f>
        <v>-0.94864322734132334</v>
      </c>
      <c r="J520" s="39">
        <f>(VLOOKUP($A520,'The List'!$B1:$AH727,22,FALSE)-AVERAGE('The List'!W2:W727))/STDEV('The List'!W2:W727)</f>
        <v>-0.70890599596617376</v>
      </c>
      <c r="K520" s="39">
        <f>(VLOOKUP($A520,'The List'!$B1:$AH727,23,FALSE)-AVERAGE('The List'!X2:X727))/STDEV('The List'!X2:X727)</f>
        <v>-0.79074084068598427</v>
      </c>
      <c r="L520" s="39">
        <f>(VLOOKUP($A520,'The List'!$B1:$AH727,24,FALSE)-AVERAGE('The List'!Y2:Y727))/STDEV('The List'!Y2:Y727)</f>
        <v>-0.54402834717551152</v>
      </c>
      <c r="M520" s="39">
        <f>(VLOOKUP($A520,'The List'!$B1:$AH727,25,FALSE)-AVERAGE('The List'!Z2:Z727))/STDEV('The List'!Z2:Z727)</f>
        <v>-0.72372514007823274</v>
      </c>
      <c r="N520" s="39">
        <f>(VLOOKUP($A520,'The List'!$B1:$AH727,26,FALSE)-AVERAGE('The List'!AA2:AA727))/STDEV('The List'!AA2:AA727)</f>
        <v>1.4595312872332308E-2</v>
      </c>
      <c r="O520" s="39">
        <f>(VLOOKUP($A520,'The List'!$B1:$AH727,27,FALSE)-AVERAGE('The List'!AB2:AB727))/STDEV('The List'!AB2:AB727)</f>
        <v>-0.87212411996610695</v>
      </c>
      <c r="P520" s="39">
        <f>(VLOOKUP($A520,'The List'!$B1:$AH727,28,FALSE)-AVERAGE('The List'!AC2:AC727))/STDEV('The List'!AC2:AC727)</f>
        <v>-6.4204907681090634E-3</v>
      </c>
      <c r="Q520" s="39">
        <f>(VLOOKUP($A520,'The List'!$B1:$AH727,29,FALSE)-AVERAGE('The List'!AD2:AD727))/STDEV('The List'!AD2:AD727)</f>
        <v>-0.68226226936192624</v>
      </c>
      <c r="R520" s="39">
        <f>(VLOOKUP($A520,'The List'!$B1:$AH727,30,FALSE)-AVERAGE('The List'!AE2:AE727))/STDEV('The List'!AE2:AE727)</f>
        <v>-1.1921764565772743</v>
      </c>
      <c r="S520" s="39">
        <f>(VLOOKUP($A520,'The List'!$B1:$AH727,31,FALSE)-AVERAGE('The List'!AF2:AF727))/STDEV('The List'!AF2:AF727)</f>
        <v>-0.55804314905918151</v>
      </c>
      <c r="T520" s="39">
        <f>(VLOOKUP($A520,'The List'!$B1:$AH727,32,FALSE)-AVERAGE('The List'!AG2:AG727))/STDEV('The List'!AG2:AG727)</f>
        <v>-0.60188453558131205</v>
      </c>
      <c r="U520" s="39">
        <f>(VLOOKUP($A520,'The List'!$B1:$AH727,33,FALSE)-AVERAGE('The List'!AH2:AH727))/STDEV('The List'!AH2:AH727)</f>
        <v>-1.2395873372913611</v>
      </c>
      <c r="V520" s="39"/>
      <c r="W520" s="43"/>
      <c r="X520" s="41"/>
      <c r="Y520" s="41"/>
      <c r="Z520" s="41"/>
      <c r="AA520" s="41"/>
      <c r="AB520" s="41"/>
      <c r="AC520" s="44"/>
      <c r="AD520" s="45"/>
      <c r="AE520" s="39"/>
    </row>
    <row r="521" spans="1:31" ht="21.25" customHeight="1" x14ac:dyDescent="0.15">
      <c r="A521" s="8" t="s">
        <v>735</v>
      </c>
      <c r="B521" s="35" t="str">
        <f>VLOOKUP(A521,'Player Data'!A1:B734,2,FALSE)</f>
        <v>NJD</v>
      </c>
      <c r="C521" s="37">
        <f>((E521)*Settings!$C$12)+(F521*Settings!$C$2)+(G521*Settings!$C$3)+(H521*Settings!$C$4)+(I521*Settings!$C$5)+(K521*Settings!$C$9)+(N521*Settings!$C$6)+(J521*Settings!$C$8)+(O521*Settings!$C$7)+(P521*Settings!$C$14)+(Q521*Settings!$C$15)+(R521*Settings!$C$16)+(S521*Settings!$C$17)+(T521*Settings!$C$18)+(U521*Settings!$C$19)</f>
        <v>-4.0610007275177304</v>
      </c>
      <c r="D521" s="41">
        <f>IF(Settings!$E$12="YES",VLOOKUP(A521,'Player Data'!A1:E734,5,FALSE),82)</f>
        <v>70</v>
      </c>
      <c r="E521" s="39">
        <f>(VLOOKUP($A521,'The List'!$B1:$AH727,17,FALSE)-AVERAGE('The List'!R2:R727))/STDEV('The List'!R2:R727)</f>
        <v>-1.0532178633927785</v>
      </c>
      <c r="F521" s="39">
        <f>(VLOOKUP($A521,'The List'!$B1:$AH727,18,FALSE)-AVERAGE('The List'!S2:S727))/STDEV('The List'!S2:S727)</f>
        <v>-0.7239244224299084</v>
      </c>
      <c r="G521" s="39">
        <f>(VLOOKUP($A521,'The List'!$B1:$AH727,19,FALSE)-AVERAGE('The List'!T2:T727))/STDEV('The List'!T2:T727)</f>
        <v>-0.83861927793055413</v>
      </c>
      <c r="H521" s="39">
        <f>(VLOOKUP($A521,'The List'!$B1:$AH727,20,FALSE)-AVERAGE('The List'!U2:U727))/STDEV('The List'!U2:U727)</f>
        <v>-0.84619583376665697</v>
      </c>
      <c r="I521" s="39">
        <f>(VLOOKUP($A521,'The List'!$B1:$AH727,21,FALSE)-AVERAGE('The List'!V2:V727))/STDEV('The List'!V2:V727)</f>
        <v>-0.90492088120411762</v>
      </c>
      <c r="J521" s="39">
        <f>(VLOOKUP($A521,'The List'!$B1:$AH727,22,FALSE)-AVERAGE('The List'!W2:W727))/STDEV('The List'!W2:W727)</f>
        <v>-0.70275862019512192</v>
      </c>
      <c r="K521" s="39">
        <f>(VLOOKUP($A521,'The List'!$B1:$AH727,23,FALSE)-AVERAGE('The List'!X2:X727))/STDEV('The List'!X2:X727)</f>
        <v>-0.79055606242539567</v>
      </c>
      <c r="L521" s="39">
        <f>(VLOOKUP($A521,'The List'!$B1:$AH727,24,FALSE)-AVERAGE('The List'!Y2:Y727))/STDEV('The List'!Y2:Y727)</f>
        <v>0.57142741232695649</v>
      </c>
      <c r="M521" s="39">
        <f>(VLOOKUP($A521,'The List'!$B1:$AH727,25,FALSE)-AVERAGE('The List'!Z2:Z727))/STDEV('The List'!Z2:Z727)</f>
        <v>0.44875974249329487</v>
      </c>
      <c r="N521" s="39">
        <f>(VLOOKUP($A521,'The List'!$B1:$AH727,26,FALSE)-AVERAGE('The List'!AA2:AA727))/STDEV('The List'!AA2:AA727)</f>
        <v>-0.66449928087301302</v>
      </c>
      <c r="O521" s="39">
        <f>(VLOOKUP($A521,'The List'!$B1:$AH727,27,FALSE)-AVERAGE('The List'!AB2:AB727))/STDEV('The List'!AB2:AB727)</f>
        <v>-0.23733106899713824</v>
      </c>
      <c r="P521" s="39">
        <f>(VLOOKUP($A521,'The List'!$B1:$AH727,28,FALSE)-AVERAGE('The List'!AC2:AC727))/STDEV('The List'!AC2:AC727)</f>
        <v>-0.13848080265474141</v>
      </c>
      <c r="Q521" s="39">
        <f>(VLOOKUP($A521,'The List'!$B1:$AH727,29,FALSE)-AVERAGE('The List'!AD2:AD727))/STDEV('The List'!AD2:AD727)</f>
        <v>-0.10342068252151751</v>
      </c>
      <c r="R521" s="39">
        <f>(VLOOKUP($A521,'The List'!$B1:$AH727,30,FALSE)-AVERAGE('The List'!AE2:AE727))/STDEV('The List'!AE2:AE727)</f>
        <v>-0.64406641614699789</v>
      </c>
      <c r="S521" s="39">
        <f>(VLOOKUP($A521,'The List'!$B1:$AH727,31,FALSE)-AVERAGE('The List'!AF2:AF727))/STDEV('The List'!AF2:AF727)</f>
        <v>1.1721435736904426</v>
      </c>
      <c r="T521" s="39">
        <f>(VLOOKUP($A521,'The List'!$B1:$AH727,32,FALSE)-AVERAGE('The List'!AG2:AG727))/STDEV('The List'!AG2:AG727)</f>
        <v>0.83582130531982424</v>
      </c>
      <c r="U521" s="39">
        <f>(VLOOKUP($A521,'The List'!$B1:$AH727,33,FALSE)-AVERAGE('The List'!AH2:AH727))/STDEV('The List'!AH2:AH727)</f>
        <v>1.2845114209524624</v>
      </c>
      <c r="V521" s="39"/>
      <c r="W521" s="41"/>
      <c r="X521" s="39"/>
      <c r="Y521" s="39"/>
      <c r="Z521" s="39"/>
      <c r="AA521" s="39"/>
      <c r="AB521" s="39"/>
      <c r="AC521" s="39"/>
      <c r="AD521" s="39"/>
      <c r="AE521" s="39"/>
    </row>
    <row r="522" spans="1:31" ht="21.25" customHeight="1" x14ac:dyDescent="0.15">
      <c r="A522" s="8" t="s">
        <v>489</v>
      </c>
      <c r="B522" s="35" t="str">
        <f>VLOOKUP(A522,'Player Data'!A1:B734,2,FALSE)</f>
        <v>NSH</v>
      </c>
      <c r="C522" s="37">
        <f>((E522)*Settings!$C$12)+(F522*Settings!$C$2)+(G522*Settings!$C$3)+(H522*Settings!$C$4)+(I522*Settings!$C$5)+(K522*Settings!$C$9)+(N522*Settings!$C$6)+(J522*Settings!$C$8)+(O522*Settings!$C$7)+(P522*Settings!$C$14)+(Q522*Settings!$C$15)+(R522*Settings!$C$16)+(S522*Settings!$C$17)+(T522*Settings!$C$18)+(U522*Settings!$C$19)</f>
        <v>-1.6325746229817992</v>
      </c>
      <c r="D522" s="41">
        <f>IF(Settings!$E$12="YES",VLOOKUP(A522,'Player Data'!A1:E734,5,FALSE),82)</f>
        <v>76.9546428571429</v>
      </c>
      <c r="E522" s="39">
        <f>(VLOOKUP($A522,'The List'!$B1:$AH727,17,FALSE)-AVERAGE('The List'!R2:R727))/STDEV('The List'!R2:R727)</f>
        <v>0.36684720117334146</v>
      </c>
      <c r="F522" s="39">
        <f>(VLOOKUP($A522,'The List'!$B1:$AH727,18,FALSE)-AVERAGE('The List'!S2:S727))/STDEV('The List'!S2:S727)</f>
        <v>-1.0039492081482562</v>
      </c>
      <c r="G522" s="39">
        <f>(VLOOKUP($A522,'The List'!$B1:$AH727,19,FALSE)-AVERAGE('The List'!T2:T727))/STDEV('The List'!T2:T727)</f>
        <v>-0.5149078584768545</v>
      </c>
      <c r="H522" s="39">
        <f>(VLOOKUP($A522,'The List'!$B1:$AH727,20,FALSE)-AVERAGE('The List'!U2:U727))/STDEV('The List'!U2:U727)</f>
        <v>-0.77415067682062788</v>
      </c>
      <c r="I522" s="39">
        <f>(VLOOKUP($A522,'The List'!$B1:$AH727,21,FALSE)-AVERAGE('The List'!V2:V727))/STDEV('The List'!V2:V727)</f>
        <v>-0.52694744229443025</v>
      </c>
      <c r="J522" s="39">
        <f>(VLOOKUP($A522,'The List'!$B1:$AH727,22,FALSE)-AVERAGE('The List'!W2:W727))/STDEV('The List'!W2:W727)</f>
        <v>-0.67873072431710246</v>
      </c>
      <c r="K522" s="39">
        <f>(VLOOKUP($A522,'The List'!$B1:$AH727,23,FALSE)-AVERAGE('The List'!X2:X727))/STDEV('The List'!X2:X727)</f>
        <v>-0.74563030533188701</v>
      </c>
      <c r="L522" s="39">
        <f>(VLOOKUP($A522,'The List'!$B1:$AH727,24,FALSE)-AVERAGE('The List'!Y2:Y727))/STDEV('The List'!Y2:Y727)</f>
        <v>-0.49620122738303701</v>
      </c>
      <c r="M522" s="39">
        <f>(VLOOKUP($A522,'The List'!$B1:$AH727,25,FALSE)-AVERAGE('The List'!Z2:Z727))/STDEV('The List'!Z2:Z727)</f>
        <v>-0.61562414588425685</v>
      </c>
      <c r="N522" s="39">
        <f>(VLOOKUP($A522,'The List'!$B1:$AH727,26,FALSE)-AVERAGE('The List'!AA2:AA727))/STDEV('The List'!AA2:AA727)</f>
        <v>1.4980304779548614</v>
      </c>
      <c r="O522" s="39">
        <f>(VLOOKUP($A522,'The List'!$B1:$AH727,27,FALSE)-AVERAGE('The List'!AB2:AB727))/STDEV('The List'!AB2:AB727)</f>
        <v>0.26349017131042873</v>
      </c>
      <c r="P522" s="39">
        <f>(VLOOKUP($A522,'The List'!$B1:$AH727,28,FALSE)-AVERAGE('The List'!AC2:AC727))/STDEV('The List'!AC2:AC727)</f>
        <v>-0.3391702866852328</v>
      </c>
      <c r="Q522" s="39">
        <f>(VLOOKUP($A522,'The List'!$B1:$AH727,29,FALSE)-AVERAGE('The List'!AD2:AD727))/STDEV('The List'!AD2:AD727)</f>
        <v>0.58917694868203496</v>
      </c>
      <c r="R522" s="39">
        <f>(VLOOKUP($A522,'The List'!$B1:$AH727,30,FALSE)-AVERAGE('The List'!AE2:AE727))/STDEV('The List'!AE2:AE727)</f>
        <v>-0.91550896380495173</v>
      </c>
      <c r="S522" s="39">
        <f>(VLOOKUP($A522,'The List'!$B1:$AH727,31,FALSE)-AVERAGE('The List'!AF2:AF727))/STDEV('The List'!AF2:AF727)</f>
        <v>-0.55804314905918151</v>
      </c>
      <c r="T522" s="39">
        <f>(VLOOKUP($A522,'The List'!$B1:$AH727,32,FALSE)-AVERAGE('The List'!AG2:AG727))/STDEV('The List'!AG2:AG727)</f>
        <v>-0.60188453558131205</v>
      </c>
      <c r="U522" s="39">
        <f>(VLOOKUP($A522,'The List'!$B1:$AH727,33,FALSE)-AVERAGE('The List'!AH2:AH727))/STDEV('The List'!AH2:AH727)</f>
        <v>-1.2395873372913611</v>
      </c>
      <c r="V522" s="39"/>
      <c r="W522" s="43"/>
      <c r="X522" s="41"/>
      <c r="Y522" s="41"/>
      <c r="Z522" s="41"/>
      <c r="AA522" s="41"/>
      <c r="AB522" s="41"/>
      <c r="AC522" s="44"/>
      <c r="AD522" s="45"/>
      <c r="AE522" s="39"/>
    </row>
    <row r="523" spans="1:31" ht="21.25" customHeight="1" x14ac:dyDescent="0.15">
      <c r="A523" s="8" t="s">
        <v>698</v>
      </c>
      <c r="B523" s="35" t="str">
        <f>VLOOKUP(A523,'Player Data'!A1:B734,2,FALSE)</f>
        <v>PIT</v>
      </c>
      <c r="C523" s="37">
        <f>((E523)*Settings!$C$12)+(F523*Settings!$C$2)+(G523*Settings!$C$3)+(H523*Settings!$C$4)+(I523*Settings!$C$5)+(K523*Settings!$C$9)+(N523*Settings!$C$6)+(J523*Settings!$C$8)+(O523*Settings!$C$7)+(P523*Settings!$C$14)+(Q523*Settings!$C$15)+(R523*Settings!$C$16)+(S523*Settings!$C$17)+(T523*Settings!$C$18)+(U523*Settings!$C$19)</f>
        <v>-3.1608158210472976</v>
      </c>
      <c r="D523" s="41">
        <f>IF(Settings!$E$12="YES",VLOOKUP(A523,'Player Data'!A1:E734,5,FALSE),82)</f>
        <v>76.102500000000006</v>
      </c>
      <c r="E523" s="39">
        <f>(VLOOKUP($A523,'The List'!$B1:$AH727,17,FALSE)-AVERAGE('The List'!R2:R727))/STDEV('The List'!R2:R727)</f>
        <v>-0.90554650495455014</v>
      </c>
      <c r="F523" s="39">
        <f>(VLOOKUP($A523,'The List'!$B1:$AH727,18,FALSE)-AVERAGE('The List'!S2:S727))/STDEV('The List'!S2:S727)</f>
        <v>-0.47352434446463393</v>
      </c>
      <c r="G523" s="39">
        <f>(VLOOKUP($A523,'The List'!$B1:$AH727,19,FALSE)-AVERAGE('The List'!T2:T727))/STDEV('The List'!T2:T727)</f>
        <v>-0.92279884148010871</v>
      </c>
      <c r="H523" s="39">
        <f>(VLOOKUP($A523,'The List'!$B1:$AH727,20,FALSE)-AVERAGE('The List'!U2:U727))/STDEV('The List'!U2:U727)</f>
        <v>-0.78412035134624691</v>
      </c>
      <c r="I523" s="39">
        <f>(VLOOKUP($A523,'The List'!$B1:$AH727,21,FALSE)-AVERAGE('The List'!V2:V727))/STDEV('The List'!V2:V727)</f>
        <v>-0.52546320526617007</v>
      </c>
      <c r="J523" s="39">
        <f>(VLOOKUP($A523,'The List'!$B1:$AH727,22,FALSE)-AVERAGE('The List'!W2:W727))/STDEV('The List'!W2:W727)</f>
        <v>-0.65898346705210042</v>
      </c>
      <c r="K523" s="39">
        <f>(VLOOKUP($A523,'The List'!$B1:$AH727,23,FALSE)-AVERAGE('The List'!X2:X727))/STDEV('The List'!X2:X727)</f>
        <v>-0.72772573151029718</v>
      </c>
      <c r="L523" s="39">
        <f>(VLOOKUP($A523,'The List'!$B1:$AH727,24,FALSE)-AVERAGE('The List'!Y2:Y727))/STDEV('The List'!Y2:Y727)</f>
        <v>-0.40343690917082242</v>
      </c>
      <c r="M523" s="39">
        <f>(VLOOKUP($A523,'The List'!$B1:$AH727,25,FALSE)-AVERAGE('The List'!Z2:Z727))/STDEV('The List'!Z2:Z727)</f>
        <v>-0.5440233578415119</v>
      </c>
      <c r="N523" s="39">
        <f>(VLOOKUP($A523,'The List'!$B1:$AH727,26,FALSE)-AVERAGE('The List'!AA2:AA727))/STDEV('The List'!AA2:AA727)</f>
        <v>-0.60663960483888502</v>
      </c>
      <c r="O523" s="39">
        <f>(VLOOKUP($A523,'The List'!$B1:$AH727,27,FALSE)-AVERAGE('The List'!AB2:AB727))/STDEV('The List'!AB2:AB727)</f>
        <v>-0.57568470379577485</v>
      </c>
      <c r="P523" s="39">
        <f>(VLOOKUP($A523,'The List'!$B1:$AH727,28,FALSE)-AVERAGE('The List'!AC2:AC727))/STDEV('The List'!AC2:AC727)</f>
        <v>9.5335906512797428E-2</v>
      </c>
      <c r="Q523" s="39">
        <f>(VLOOKUP($A523,'The List'!$B1:$AH727,29,FALSE)-AVERAGE('The List'!AD2:AD727))/STDEV('The List'!AD2:AD727)</f>
        <v>-0.95763148504704743</v>
      </c>
      <c r="R523" s="39">
        <f>(VLOOKUP($A523,'The List'!$B1:$AH727,30,FALSE)-AVERAGE('The List'!AE2:AE727))/STDEV('The List'!AE2:AE727)</f>
        <v>-0.33922089231734875</v>
      </c>
      <c r="S523" s="39">
        <f>(VLOOKUP($A523,'The List'!$B1:$AH727,31,FALSE)-AVERAGE('The List'!AF2:AF727))/STDEV('The List'!AF2:AF727)</f>
        <v>-0.52872273462415842</v>
      </c>
      <c r="T523" s="39">
        <f>(VLOOKUP($A523,'The List'!$B1:$AH727,32,FALSE)-AVERAGE('The List'!AG2:AG727))/STDEV('The List'!AG2:AG727)</f>
        <v>-0.55020420914904133</v>
      </c>
      <c r="U523" s="39">
        <f>(VLOOKUP($A523,'The List'!$B1:$AH727,33,FALSE)-AVERAGE('The List'!AH2:AH727))/STDEV('The List'!AH2:AH727)</f>
        <v>0.44901339098539927</v>
      </c>
      <c r="V523" s="39"/>
      <c r="W523" s="43"/>
      <c r="X523" s="41"/>
      <c r="Y523" s="41"/>
      <c r="Z523" s="41"/>
      <c r="AA523" s="41"/>
      <c r="AB523" s="41"/>
      <c r="AC523" s="44"/>
      <c r="AD523" s="45"/>
      <c r="AE523" s="39"/>
    </row>
    <row r="524" spans="1:31" ht="21.25" customHeight="1" x14ac:dyDescent="0.15">
      <c r="A524" s="8" t="s">
        <v>499</v>
      </c>
      <c r="B524" s="35" t="str">
        <f>VLOOKUP(A524,'Player Data'!A1:B734,2,FALSE)</f>
        <v>WSH</v>
      </c>
      <c r="C524" s="37">
        <f>((E524)*Settings!$C$12)+(F524*Settings!$C$2)+(G524*Settings!$C$3)+(H524*Settings!$C$4)+(I524*Settings!$C$5)+(K524*Settings!$C$9)+(N524*Settings!$C$6)+(J524*Settings!$C$8)+(O524*Settings!$C$7)+(P524*Settings!$C$14)+(Q524*Settings!$C$15)+(R524*Settings!$C$16)+(S524*Settings!$C$17)+(T524*Settings!$C$18)+(U524*Settings!$C$19)</f>
        <v>-1.5064083543668039</v>
      </c>
      <c r="D524" s="41">
        <f>IF(Settings!$E$12="YES",VLOOKUP(A524,'Player Data'!A1:E734,5,FALSE),82)</f>
        <v>74.141071428571394</v>
      </c>
      <c r="E524" s="39">
        <f>(VLOOKUP($A524,'The List'!$B1:$AH727,17,FALSE)-AVERAGE('The List'!R2:R727))/STDEV('The List'!R2:R727)</f>
        <v>0.44334475316845878</v>
      </c>
      <c r="F524" s="39">
        <f>(VLOOKUP($A524,'The List'!$B1:$AH727,18,FALSE)-AVERAGE('The List'!S2:S727))/STDEV('The List'!S2:S727)</f>
        <v>-0.94143970636750041</v>
      </c>
      <c r="G524" s="39">
        <f>(VLOOKUP($A524,'The List'!$B1:$AH727,19,FALSE)-AVERAGE('The List'!T2:T727))/STDEV('The List'!T2:T727)</f>
        <v>-0.61354025098645326</v>
      </c>
      <c r="H524" s="39">
        <f>(VLOOKUP($A524,'The List'!$B1:$AH727,20,FALSE)-AVERAGE('The List'!U2:U727))/STDEV('The List'!U2:U727)</f>
        <v>-0.80648313035789376</v>
      </c>
      <c r="I524" s="39">
        <f>(VLOOKUP($A524,'The List'!$B1:$AH727,21,FALSE)-AVERAGE('The List'!V2:V727))/STDEV('The List'!V2:V727)</f>
        <v>-0.72299237938730065</v>
      </c>
      <c r="J524" s="39">
        <f>(VLOOKUP($A524,'The List'!$B1:$AH727,22,FALSE)-AVERAGE('The List'!W2:W727))/STDEV('The List'!W2:W727)</f>
        <v>-0.70082171464007748</v>
      </c>
      <c r="K524" s="39">
        <f>(VLOOKUP($A524,'The List'!$B1:$AH727,23,FALSE)-AVERAGE('The List'!X2:X727))/STDEV('The List'!X2:X727)</f>
        <v>-0.74900977742007524</v>
      </c>
      <c r="L524" s="39">
        <f>(VLOOKUP($A524,'The List'!$B1:$AH727,24,FALSE)-AVERAGE('The List'!Y2:Y727))/STDEV('The List'!Y2:Y727)</f>
        <v>-0.50167160639704955</v>
      </c>
      <c r="M524" s="39">
        <f>(VLOOKUP($A524,'The List'!$B1:$AH727,25,FALSE)-AVERAGE('The List'!Z2:Z727))/STDEV('The List'!Z2:Z727)</f>
        <v>-0.27286041290735408</v>
      </c>
      <c r="N524" s="39">
        <f>(VLOOKUP($A524,'The List'!$B1:$AH727,26,FALSE)-AVERAGE('The List'!AA2:AA727))/STDEV('The List'!AA2:AA727)</f>
        <v>2.063106701930844</v>
      </c>
      <c r="O524" s="39">
        <f>(VLOOKUP($A524,'The List'!$B1:$AH727,27,FALSE)-AVERAGE('The List'!AB2:AB727))/STDEV('The List'!AB2:AB727)</f>
        <v>-1.0625484534252538</v>
      </c>
      <c r="P524" s="39">
        <f>(VLOOKUP($A524,'The List'!$B1:$AH727,28,FALSE)-AVERAGE('The List'!AC2:AC727))/STDEV('The List'!AC2:AC727)</f>
        <v>-0.5425329421363182</v>
      </c>
      <c r="Q524" s="39">
        <f>(VLOOKUP($A524,'The List'!$B1:$AH727,29,FALSE)-AVERAGE('The List'!AD2:AD727))/STDEV('The List'!AD2:AD727)</f>
        <v>-0.61062125753499086</v>
      </c>
      <c r="R524" s="39">
        <f>(VLOOKUP($A524,'The List'!$B1:$AH727,30,FALSE)-AVERAGE('The List'!AE2:AE727))/STDEV('The List'!AE2:AE727)</f>
        <v>-0.90889811114085106</v>
      </c>
      <c r="S524" s="39">
        <f>(VLOOKUP($A524,'The List'!$B1:$AH727,31,FALSE)-AVERAGE('The List'!AF2:AF727))/STDEV('The List'!AF2:AF727)</f>
        <v>-0.55804314905918151</v>
      </c>
      <c r="T524" s="39">
        <f>(VLOOKUP($A524,'The List'!$B1:$AH727,32,FALSE)-AVERAGE('The List'!AG2:AG727))/STDEV('The List'!AG2:AG727)</f>
        <v>-0.60188453558131205</v>
      </c>
      <c r="U524" s="39">
        <f>(VLOOKUP($A524,'The List'!$B1:$AH727,33,FALSE)-AVERAGE('The List'!AH2:AH727))/STDEV('The List'!AH2:AH727)</f>
        <v>-1.2395873372913611</v>
      </c>
      <c r="V524" s="39"/>
      <c r="W524" s="43"/>
      <c r="X524" s="41"/>
      <c r="Y524" s="41"/>
      <c r="Z524" s="41"/>
      <c r="AA524" s="41"/>
      <c r="AB524" s="41"/>
      <c r="AC524" s="44"/>
      <c r="AD524" s="45"/>
      <c r="AE524" s="39"/>
    </row>
    <row r="525" spans="1:31" ht="21.25" customHeight="1" x14ac:dyDescent="0.15">
      <c r="A525" s="8" t="s">
        <v>605</v>
      </c>
      <c r="B525" s="35" t="str">
        <f>VLOOKUP(A525,'Player Data'!A1:B734,2,FALSE)</f>
        <v>NYI</v>
      </c>
      <c r="C525" s="37">
        <f>((E525)*Settings!$C$12)+(F525*Settings!$C$2)+(G525*Settings!$C$3)+(H525*Settings!$C$4)+(I525*Settings!$C$5)+(K525*Settings!$C$9)+(N525*Settings!$C$6)+(J525*Settings!$C$8)+(O525*Settings!$C$7)+(P525*Settings!$C$14)+(Q525*Settings!$C$15)+(R525*Settings!$C$16)+(S525*Settings!$C$17)+(T525*Settings!$C$18)+(U525*Settings!$C$19)</f>
        <v>-3.5271534810786997</v>
      </c>
      <c r="D525" s="41">
        <f>IF(Settings!$E$12="YES",VLOOKUP(A525,'Player Data'!A1:E734,5,FALSE),82)</f>
        <v>55.055</v>
      </c>
      <c r="E525" s="39">
        <f>(VLOOKUP($A525,'The List'!$B1:$AH727,17,FALSE)-AVERAGE('The List'!R2:R727))/STDEV('The List'!R2:R727)</f>
        <v>-0.53078142819399299</v>
      </c>
      <c r="F525" s="39">
        <f>(VLOOKUP($A525,'The List'!$B1:$AH727,18,FALSE)-AVERAGE('The List'!S2:S727))/STDEV('The List'!S2:S727)</f>
        <v>-0.89045644718432782</v>
      </c>
      <c r="G525" s="39">
        <f>(VLOOKUP($A525,'The List'!$B1:$AH727,19,FALSE)-AVERAGE('The List'!T2:T727))/STDEV('The List'!T2:T727)</f>
        <v>-0.98338367898300283</v>
      </c>
      <c r="H525" s="39">
        <f>(VLOOKUP($A525,'The List'!$B1:$AH727,20,FALSE)-AVERAGE('The List'!U2:U727))/STDEV('The List'!U2:U727)</f>
        <v>-1.011183482906294</v>
      </c>
      <c r="I525" s="39">
        <f>(VLOOKUP($A525,'The List'!$B1:$AH727,21,FALSE)-AVERAGE('The List'!V2:V727))/STDEV('The List'!V2:V727)</f>
        <v>-1.1483455044058366</v>
      </c>
      <c r="J525" s="39">
        <f>(VLOOKUP($A525,'The List'!$B1:$AH727,22,FALSE)-AVERAGE('The List'!W2:W727))/STDEV('The List'!W2:W727)</f>
        <v>-0.52385971245540408</v>
      </c>
      <c r="K525" s="39">
        <f>(VLOOKUP($A525,'The List'!$B1:$AH727,23,FALSE)-AVERAGE('The List'!X2:X727))/STDEV('The List'!X2:X727)</f>
        <v>-0.40445061008598338</v>
      </c>
      <c r="L525" s="39">
        <f>(VLOOKUP($A525,'The List'!$B1:$AH727,24,FALSE)-AVERAGE('The List'!Y2:Y727))/STDEV('The List'!Y2:Y727)</f>
        <v>-0.54103135410152248</v>
      </c>
      <c r="M525" s="39">
        <f>(VLOOKUP($A525,'The List'!$B1:$AH727,25,FALSE)-AVERAGE('The List'!Z2:Z727))/STDEV('The List'!Z2:Z727)</f>
        <v>-0.71681587267549496</v>
      </c>
      <c r="N525" s="39">
        <f>(VLOOKUP($A525,'The List'!$B1:$AH727,26,FALSE)-AVERAGE('The List'!AA2:AA727))/STDEV('The List'!AA2:AA727)</f>
        <v>-0.13778865346506936</v>
      </c>
      <c r="O525" s="39">
        <f>(VLOOKUP($A525,'The List'!$B1:$AH727,27,FALSE)-AVERAGE('The List'!AB2:AB727))/STDEV('The List'!AB2:AB727)</f>
        <v>-0.33419643769774493</v>
      </c>
      <c r="P525" s="39">
        <f>(VLOOKUP($A525,'The List'!$B1:$AH727,28,FALSE)-AVERAGE('The List'!AC2:AC727))/STDEV('The List'!AC2:AC727)</f>
        <v>3.7271413045519994E-2</v>
      </c>
      <c r="Q525" s="39">
        <f>(VLOOKUP($A525,'The List'!$B1:$AH727,29,FALSE)-AVERAGE('The List'!AD2:AD727))/STDEV('The List'!AD2:AD727)</f>
        <v>-1.0732017022197675</v>
      </c>
      <c r="R525" s="39">
        <f>(VLOOKUP($A525,'The List'!$B1:$AH727,30,FALSE)-AVERAGE('The List'!AE2:AE727))/STDEV('The List'!AE2:AE727)</f>
        <v>-0.78485733726790385</v>
      </c>
      <c r="S525" s="39">
        <f>(VLOOKUP($A525,'The List'!$B1:$AH727,31,FALSE)-AVERAGE('The List'!AF2:AF727))/STDEV('The List'!AF2:AF727)</f>
        <v>-0.55804314905918151</v>
      </c>
      <c r="T525" s="39">
        <f>(VLOOKUP($A525,'The List'!$B1:$AH727,32,FALSE)-AVERAGE('The List'!AG2:AG727))/STDEV('The List'!AG2:AG727)</f>
        <v>-0.60188453558131205</v>
      </c>
      <c r="U525" s="39">
        <f>(VLOOKUP($A525,'The List'!$B1:$AH727,33,FALSE)-AVERAGE('The List'!AH2:AH727))/STDEV('The List'!AH2:AH727)</f>
        <v>-1.2395873372913611</v>
      </c>
      <c r="V525" s="39"/>
      <c r="W525" s="41"/>
      <c r="X525" s="39"/>
      <c r="Y525" s="39"/>
      <c r="Z525" s="39"/>
      <c r="AA525" s="39"/>
      <c r="AB525" s="39"/>
      <c r="AC525" s="39"/>
      <c r="AD525" s="39"/>
      <c r="AE525" s="39"/>
    </row>
    <row r="526" spans="1:31" ht="21.25" customHeight="1" x14ac:dyDescent="0.15">
      <c r="A526" s="8" t="s">
        <v>697</v>
      </c>
      <c r="B526" s="35" t="str">
        <f>VLOOKUP(A526,'Player Data'!A1:B734,2,FALSE)</f>
        <v>NJD</v>
      </c>
      <c r="C526" s="37">
        <f>((E526)*Settings!$C$12)+(F526*Settings!$C$2)+(G526*Settings!$C$3)+(H526*Settings!$C$4)+(I526*Settings!$C$5)+(K526*Settings!$C$9)+(N526*Settings!$C$6)+(J526*Settings!$C$8)+(O526*Settings!$C$7)+(P526*Settings!$C$14)+(Q526*Settings!$C$15)+(R526*Settings!$C$16)+(S526*Settings!$C$17)+(T526*Settings!$C$18)+(U526*Settings!$C$19)</f>
        <v>-5.2352433739829181</v>
      </c>
      <c r="D526" s="41">
        <f>IF(Settings!$E$12="YES",VLOOKUP(A526,'Player Data'!A1:E734,5,FALSE),82)</f>
        <v>50</v>
      </c>
      <c r="E526" s="39">
        <f>(VLOOKUP($A526,'The List'!$B1:$AH727,17,FALSE)-AVERAGE('The List'!R2:R727))/STDEV('The List'!R2:R727)</f>
        <v>-2.1758645252494695</v>
      </c>
      <c r="F526" s="39">
        <f>(VLOOKUP($A526,'The List'!$B1:$AH727,18,FALSE)-AVERAGE('The List'!S2:S727))/STDEV('The List'!S2:S727)</f>
        <v>-0.64445729974358967</v>
      </c>
      <c r="G526" s="39">
        <f>(VLOOKUP($A526,'The List'!$B1:$AH727,19,FALSE)-AVERAGE('The List'!T2:T727))/STDEV('The List'!T2:T727)</f>
        <v>-1.2538703854112443</v>
      </c>
      <c r="H526" s="39">
        <f>(VLOOKUP($A526,'The List'!$B1:$AH727,20,FALSE)-AVERAGE('The List'!U2:U727))/STDEV('The List'!U2:U727)</f>
        <v>-1.0659148762134973</v>
      </c>
      <c r="I526" s="39">
        <f>(VLOOKUP($A526,'The List'!$B1:$AH727,21,FALSE)-AVERAGE('The List'!V2:V727))/STDEV('The List'!V2:V727)</f>
        <v>-1.4463288046454643</v>
      </c>
      <c r="J526" s="39">
        <f>(VLOOKUP($A526,'The List'!$B1:$AH727,22,FALSE)-AVERAGE('The List'!W2:W727))/STDEV('The List'!W2:W727)</f>
        <v>-0.71085732240898392</v>
      </c>
      <c r="K526" s="39">
        <f>(VLOOKUP($A526,'The List'!$B1:$AH727,23,FALSE)-AVERAGE('The List'!X2:X727))/STDEV('The List'!X2:X727)</f>
        <v>-0.80006852474771717</v>
      </c>
      <c r="L526" s="39">
        <f>(VLOOKUP($A526,'The List'!$B1:$AH727,24,FALSE)-AVERAGE('The List'!Y2:Y727))/STDEV('The List'!Y2:Y727)</f>
        <v>-0.54402834717551152</v>
      </c>
      <c r="M526" s="39">
        <f>(VLOOKUP($A526,'The List'!$B1:$AH727,25,FALSE)-AVERAGE('The List'!Z2:Z727))/STDEV('The List'!Z2:Z727)</f>
        <v>-0.72372514007823274</v>
      </c>
      <c r="N526" s="39">
        <f>(VLOOKUP($A526,'The List'!$B1:$AH727,26,FALSE)-AVERAGE('The List'!AA2:AA727))/STDEV('The List'!AA2:AA727)</f>
        <v>-1.0802076699371634</v>
      </c>
      <c r="O526" s="39">
        <f>(VLOOKUP($A526,'The List'!$B1:$AH727,27,FALSE)-AVERAGE('The List'!AB2:AB727))/STDEV('The List'!AB2:AB727)</f>
        <v>-0.68910695397830413</v>
      </c>
      <c r="P526" s="39">
        <f>(VLOOKUP($A526,'The List'!$B1:$AH727,28,FALSE)-AVERAGE('The List'!AC2:AC727))/STDEV('The List'!AC2:AC727)</f>
        <v>-1.0310689497739304E-2</v>
      </c>
      <c r="Q526" s="39">
        <f>(VLOOKUP($A526,'The List'!$B1:$AH727,29,FALSE)-AVERAGE('The List'!AD2:AD727))/STDEV('The List'!AD2:AD727)</f>
        <v>-1.5967582990600255</v>
      </c>
      <c r="R526" s="39">
        <f>(VLOOKUP($A526,'The List'!$B1:$AH727,30,FALSE)-AVERAGE('The List'!AE2:AE727))/STDEV('The List'!AE2:AE727)</f>
        <v>-0.56766090662159541</v>
      </c>
      <c r="S526" s="39">
        <f>(VLOOKUP($A526,'The List'!$B1:$AH727,31,FALSE)-AVERAGE('The List'!AF2:AF727))/STDEV('The List'!AF2:AF727)</f>
        <v>-0.55804314905918151</v>
      </c>
      <c r="T526" s="39">
        <f>(VLOOKUP($A526,'The List'!$B1:$AH727,32,FALSE)-AVERAGE('The List'!AG2:AG727))/STDEV('The List'!AG2:AG727)</f>
        <v>-0.50823695289748272</v>
      </c>
      <c r="U526" s="39">
        <f>(VLOOKUP($A526,'The List'!$B1:$AH727,33,FALSE)-AVERAGE('The List'!AH2:AH727))/STDEV('The List'!AH2:AH727)</f>
        <v>-1.2395873372913611</v>
      </c>
      <c r="V526" s="39"/>
      <c r="W526" s="41"/>
      <c r="X526" s="39"/>
      <c r="Y526" s="39"/>
      <c r="Z526" s="39"/>
      <c r="AA526" s="39"/>
      <c r="AB526" s="39"/>
      <c r="AC526" s="39"/>
      <c r="AD526" s="39"/>
      <c r="AE526" s="39"/>
    </row>
    <row r="527" spans="1:31" ht="21.25" customHeight="1" x14ac:dyDescent="0.15">
      <c r="A527" s="8" t="s">
        <v>613</v>
      </c>
      <c r="B527" s="35" t="str">
        <f>VLOOKUP(A527,'Player Data'!A1:B734,2,FALSE)</f>
        <v>ARI</v>
      </c>
      <c r="C527" s="37">
        <f>((E527)*Settings!$C$12)+(F527*Settings!$C$2)+(G527*Settings!$C$3)+(H527*Settings!$C$4)+(I527*Settings!$C$5)+(K527*Settings!$C$9)+(N527*Settings!$C$6)+(J527*Settings!$C$8)+(O527*Settings!$C$7)+(P527*Settings!$C$14)+(Q527*Settings!$C$15)+(R527*Settings!$C$16)+(S527*Settings!$C$17)+(T527*Settings!$C$18)+(U527*Settings!$C$19)</f>
        <v>-4.1454547662772683</v>
      </c>
      <c r="D527" s="41">
        <f>IF(Settings!$E$12="YES",VLOOKUP(A527,'Player Data'!A1:E734,5,FALSE),82)</f>
        <v>56.110714285714302</v>
      </c>
      <c r="E527" s="39">
        <f>(VLOOKUP($A527,'The List'!$B1:$AH727,17,FALSE)-AVERAGE('The List'!R2:R727))/STDEV('The List'!R2:R727)</f>
        <v>1.2816673336240791E-2</v>
      </c>
      <c r="F527" s="39">
        <f>(VLOOKUP($A527,'The List'!$B1:$AH727,18,FALSE)-AVERAGE('The List'!S2:S727))/STDEV('The List'!S2:S727)</f>
        <v>-1.1110167775639865</v>
      </c>
      <c r="G527" s="39">
        <f>(VLOOKUP($A527,'The List'!$B1:$AH727,19,FALSE)-AVERAGE('The List'!T2:T727))/STDEV('The List'!T2:T727)</f>
        <v>-0.80546197595070146</v>
      </c>
      <c r="H527" s="39">
        <f>(VLOOKUP($A527,'The List'!$B1:$AH727,20,FALSE)-AVERAGE('The List'!U2:U727))/STDEV('The List'!U2:U727)</f>
        <v>-1.0019152433923166</v>
      </c>
      <c r="I527" s="39">
        <f>(VLOOKUP($A527,'The List'!$B1:$AH727,21,FALSE)-AVERAGE('The List'!V2:V727))/STDEV('The List'!V2:V727)</f>
        <v>-1.1826632133131927</v>
      </c>
      <c r="J527" s="39">
        <f>(VLOOKUP($A527,'The List'!$B1:$AH727,22,FALSE)-AVERAGE('The List'!W2:W727))/STDEV('The List'!W2:W727)</f>
        <v>-0.68805333157649318</v>
      </c>
      <c r="K527" s="39">
        <f>(VLOOKUP($A527,'The List'!$B1:$AH727,23,FALSE)-AVERAGE('The List'!X2:X727))/STDEV('The List'!X2:X727)</f>
        <v>-0.6536613518887967</v>
      </c>
      <c r="L527" s="39">
        <f>(VLOOKUP($A527,'The List'!$B1:$AH727,24,FALSE)-AVERAGE('The List'!Y2:Y727))/STDEV('The List'!Y2:Y727)</f>
        <v>-0.52020192896107376</v>
      </c>
      <c r="M527" s="39">
        <f>(VLOOKUP($A527,'The List'!$B1:$AH727,25,FALSE)-AVERAGE('The List'!Z2:Z727))/STDEV('The List'!Z2:Z727)</f>
        <v>-0.67135805310150942</v>
      </c>
      <c r="N527" s="39">
        <f>(VLOOKUP($A527,'The List'!$B1:$AH727,26,FALSE)-AVERAGE('The List'!AA2:AA727))/STDEV('The List'!AA2:AA727)</f>
        <v>0.31976339604256382</v>
      </c>
      <c r="O527" s="39">
        <f>(VLOOKUP($A527,'The List'!$B1:$AH727,27,FALSE)-AVERAGE('The List'!AB2:AB727))/STDEV('The List'!AB2:AB727)</f>
        <v>-0.76858698450843532</v>
      </c>
      <c r="P527" s="39">
        <f>(VLOOKUP($A527,'The List'!$B1:$AH727,28,FALSE)-AVERAGE('The List'!AC2:AC727))/STDEV('The List'!AC2:AC727)</f>
        <v>-0.71241484360315399</v>
      </c>
      <c r="Q527" s="39">
        <f>(VLOOKUP($A527,'The List'!$B1:$AH727,29,FALSE)-AVERAGE('The List'!AD2:AD727))/STDEV('The List'!AD2:AD727)</f>
        <v>-1.383717010524568E-2</v>
      </c>
      <c r="R527" s="39">
        <f>(VLOOKUP($A527,'The List'!$B1:$AH727,30,FALSE)-AVERAGE('The List'!AE2:AE727))/STDEV('The List'!AE2:AE727)</f>
        <v>-1.0448606084613183</v>
      </c>
      <c r="S527" s="39">
        <f>(VLOOKUP($A527,'The List'!$B1:$AH727,31,FALSE)-AVERAGE('The List'!AF2:AF727))/STDEV('The List'!AF2:AF727)</f>
        <v>-0.55804314905918151</v>
      </c>
      <c r="T527" s="39">
        <f>(VLOOKUP($A527,'The List'!$B1:$AH727,32,FALSE)-AVERAGE('The List'!AG2:AG727))/STDEV('The List'!AG2:AG727)</f>
        <v>-0.60188453558131205</v>
      </c>
      <c r="U527" s="39">
        <f>(VLOOKUP($A527,'The List'!$B1:$AH727,33,FALSE)-AVERAGE('The List'!AH2:AH727))/STDEV('The List'!AH2:AH727)</f>
        <v>-1.2395873372913611</v>
      </c>
      <c r="V527" s="39"/>
      <c r="W527" s="43"/>
      <c r="X527" s="41"/>
      <c r="Y527" s="41"/>
      <c r="Z527" s="41"/>
      <c r="AA527" s="41"/>
      <c r="AB527" s="41"/>
      <c r="AC527" s="44"/>
      <c r="AD527" s="45"/>
      <c r="AE527" s="39"/>
    </row>
    <row r="528" spans="1:31" ht="21.25" customHeight="1" x14ac:dyDescent="0.15">
      <c r="A528" s="8" t="s">
        <v>574</v>
      </c>
      <c r="B528" s="35" t="str">
        <f>VLOOKUP(A528,'Player Data'!A1:B734,2,FALSE)</f>
        <v>FLA</v>
      </c>
      <c r="C528" s="37">
        <f>((E528)*Settings!$C$12)+(F528*Settings!$C$2)+(G528*Settings!$C$3)+(H528*Settings!$C$4)+(I528*Settings!$C$5)+(K528*Settings!$C$9)+(N528*Settings!$C$6)+(J528*Settings!$C$8)+(O528*Settings!$C$7)+(P528*Settings!$C$14)+(Q528*Settings!$C$15)+(R528*Settings!$C$16)+(S528*Settings!$C$17)+(T528*Settings!$C$18)+(U528*Settings!$C$19)</f>
        <v>-2.075130888832696</v>
      </c>
      <c r="D528" s="41">
        <f>IF(Settings!$E$12="YES",VLOOKUP(A528,'Player Data'!A1:E734,5,FALSE),82)</f>
        <v>69.683571428571398</v>
      </c>
      <c r="E528" s="39">
        <f>(VLOOKUP($A528,'The List'!$B1:$AH727,17,FALSE)-AVERAGE('The List'!R2:R727))/STDEV('The List'!R2:R727)</f>
        <v>-0.15947616427886727</v>
      </c>
      <c r="F528" s="39">
        <f>(VLOOKUP($A528,'The List'!$B1:$AH727,18,FALSE)-AVERAGE('The List'!S2:S727))/STDEV('The List'!S2:S727)</f>
        <v>-0.86540348012516122</v>
      </c>
      <c r="G528" s="39">
        <f>(VLOOKUP($A528,'The List'!$B1:$AH727,19,FALSE)-AVERAGE('The List'!T2:T727))/STDEV('The List'!T2:T727)</f>
        <v>-0.76006181508722326</v>
      </c>
      <c r="H528" s="39">
        <f>(VLOOKUP($A528,'The List'!$B1:$AH727,20,FALSE)-AVERAGE('The List'!U2:U727))/STDEV('The List'!U2:U727)</f>
        <v>-0.86216982630654948</v>
      </c>
      <c r="I528" s="39">
        <f>(VLOOKUP($A528,'The List'!$B1:$AH727,21,FALSE)-AVERAGE('The List'!V2:V727))/STDEV('The List'!V2:V727)</f>
        <v>-0.91046151908890227</v>
      </c>
      <c r="J528" s="39">
        <f>(VLOOKUP($A528,'The List'!$B1:$AH727,22,FALSE)-AVERAGE('The List'!W2:W727))/STDEV('The List'!W2:W727)</f>
        <v>-0.70672849406809479</v>
      </c>
      <c r="K528" s="39">
        <f>(VLOOKUP($A528,'The List'!$B1:$AH727,23,FALSE)-AVERAGE('The List'!X2:X727))/STDEV('The List'!X2:X727)</f>
        <v>-0.78763695570936632</v>
      </c>
      <c r="L528" s="39">
        <f>(VLOOKUP($A528,'The List'!$B1:$AH727,24,FALSE)-AVERAGE('The List'!Y2:Y727))/STDEV('The List'!Y2:Y727)</f>
        <v>-0.51358858698978926</v>
      </c>
      <c r="M528" s="39">
        <f>(VLOOKUP($A528,'The List'!$B1:$AH727,25,FALSE)-AVERAGE('The List'!Z2:Z727))/STDEV('The List'!Z2:Z727)</f>
        <v>-0.65390516754784622</v>
      </c>
      <c r="N528" s="39">
        <f>(VLOOKUP($A528,'The List'!$B1:$AH727,26,FALSE)-AVERAGE('The List'!AA2:AA727))/STDEV('The List'!AA2:AA727)</f>
        <v>0.41682567064419984</v>
      </c>
      <c r="O528" s="39">
        <f>(VLOOKUP($A528,'The List'!$B1:$AH727,27,FALSE)-AVERAGE('The List'!AB2:AB727))/STDEV('The List'!AB2:AB727)</f>
        <v>0.15530409314990171</v>
      </c>
      <c r="P528" s="39">
        <f>(VLOOKUP($A528,'The List'!$B1:$AH727,28,FALSE)-AVERAGE('The List'!AC2:AC727))/STDEV('The List'!AC2:AC727)</f>
        <v>0.83160721053375708</v>
      </c>
      <c r="Q528" s="39">
        <f>(VLOOKUP($A528,'The List'!$B1:$AH727,29,FALSE)-AVERAGE('The List'!AD2:AD727))/STDEV('The List'!AD2:AD727)</f>
        <v>-0.32936953072695263</v>
      </c>
      <c r="R528" s="39">
        <f>(VLOOKUP($A528,'The List'!$B1:$AH727,30,FALSE)-AVERAGE('The List'!AE2:AE727))/STDEV('The List'!AE2:AE727)</f>
        <v>-0.79056072530467669</v>
      </c>
      <c r="S528" s="39">
        <f>(VLOOKUP($A528,'The List'!$B1:$AH727,31,FALSE)-AVERAGE('The List'!AF2:AF727))/STDEV('The List'!AF2:AF727)</f>
        <v>-0.55804314905918151</v>
      </c>
      <c r="T528" s="39">
        <f>(VLOOKUP($A528,'The List'!$B1:$AH727,32,FALSE)-AVERAGE('The List'!AG2:AG727))/STDEV('The List'!AG2:AG727)</f>
        <v>-0.60188453558131205</v>
      </c>
      <c r="U528" s="39">
        <f>(VLOOKUP($A528,'The List'!$B1:$AH727,33,FALSE)-AVERAGE('The List'!AH2:AH727))/STDEV('The List'!AH2:AH727)</f>
        <v>-1.2395873372913611</v>
      </c>
      <c r="V528" s="39"/>
      <c r="W528" s="43"/>
      <c r="X528" s="41"/>
      <c r="Y528" s="41"/>
      <c r="Z528" s="41"/>
      <c r="AA528" s="41"/>
      <c r="AB528" s="41"/>
      <c r="AC528" s="44"/>
      <c r="AD528" s="45"/>
      <c r="AE528" s="39"/>
    </row>
    <row r="529" spans="1:31" ht="21.25" customHeight="1" x14ac:dyDescent="0.15">
      <c r="A529" s="8" t="s">
        <v>547</v>
      </c>
      <c r="B529" s="35" t="str">
        <f>VLOOKUP(A529,'Player Data'!A1:B734,2,FALSE)</f>
        <v>STL</v>
      </c>
      <c r="C529" s="37">
        <f>((E529)*Settings!$C$12)+(F529*Settings!$C$2)+(G529*Settings!$C$3)+(H529*Settings!$C$4)+(I529*Settings!$C$5)+(K529*Settings!$C$9)+(N529*Settings!$C$6)+(J529*Settings!$C$8)+(O529*Settings!$C$7)+(P529*Settings!$C$14)+(Q529*Settings!$C$15)+(R529*Settings!$C$16)+(S529*Settings!$C$17)+(T529*Settings!$C$18)+(U529*Settings!$C$19)</f>
        <v>-3.9090353736113097</v>
      </c>
      <c r="D529" s="41">
        <f>IF(Settings!$E$12="YES",VLOOKUP(A529,'Player Data'!A1:E734,5,FALSE),82)</f>
        <v>80.357500000000002</v>
      </c>
      <c r="E529" s="39">
        <f>(VLOOKUP($A529,'The List'!$B1:$AH727,17,FALSE)-AVERAGE('The List'!R2:R727))/STDEV('The List'!R2:R727)</f>
        <v>0.32316386602970049</v>
      </c>
      <c r="F529" s="39">
        <f>(VLOOKUP($A529,'The List'!$B1:$AH727,18,FALSE)-AVERAGE('The List'!S2:S727))/STDEV('The List'!S2:S727)</f>
        <v>-1.0984839391723726</v>
      </c>
      <c r="G529" s="39">
        <f>(VLOOKUP($A529,'The List'!$B1:$AH727,19,FALSE)-AVERAGE('The List'!T2:T727))/STDEV('The List'!T2:T727)</f>
        <v>-0.4058573004063934</v>
      </c>
      <c r="H529" s="39">
        <f>(VLOOKUP($A529,'The List'!$B1:$AH727,20,FALSE)-AVERAGE('The List'!U2:U727))/STDEV('The List'!U2:U727)</f>
        <v>-0.74997193706296494</v>
      </c>
      <c r="I529" s="39">
        <f>(VLOOKUP($A529,'The List'!$B1:$AH727,21,FALSE)-AVERAGE('The List'!V2:V727))/STDEV('The List'!V2:V727)</f>
        <v>-1.0271458987488127</v>
      </c>
      <c r="J529" s="39">
        <f>(VLOOKUP($A529,'The List'!$B1:$AH727,22,FALSE)-AVERAGE('The List'!W2:W727))/STDEV('The List'!W2:W727)</f>
        <v>-0.69635536342393944</v>
      </c>
      <c r="K529" s="39">
        <f>(VLOOKUP($A529,'The List'!$B1:$AH727,23,FALSE)-AVERAGE('The List'!X2:X727))/STDEV('The List'!X2:X727)</f>
        <v>-0.70207809995531534</v>
      </c>
      <c r="L529" s="39">
        <f>(VLOOKUP($A529,'The List'!$B1:$AH727,24,FALSE)-AVERAGE('The List'!Y2:Y727))/STDEV('The List'!Y2:Y727)</f>
        <v>-0.48500758035723474</v>
      </c>
      <c r="M529" s="39">
        <f>(VLOOKUP($A529,'The List'!$B1:$AH727,25,FALSE)-AVERAGE('The List'!Z2:Z727))/STDEV('The List'!Z2:Z727)</f>
        <v>-0.56543310602016794</v>
      </c>
      <c r="N529" s="39">
        <f>(VLOOKUP($A529,'The List'!$B1:$AH727,26,FALSE)-AVERAGE('The List'!AA2:AA727))/STDEV('The List'!AA2:AA727)</f>
        <v>0.68259803284354736</v>
      </c>
      <c r="O529" s="39">
        <f>(VLOOKUP($A529,'The List'!$B1:$AH727,27,FALSE)-AVERAGE('The List'!AB2:AB727))/STDEV('The List'!AB2:AB727)</f>
        <v>-0.79887661062798587</v>
      </c>
      <c r="P529" s="39">
        <f>(VLOOKUP($A529,'The List'!$B1:$AH727,28,FALSE)-AVERAGE('The List'!AC2:AC727))/STDEV('The List'!AC2:AC727)</f>
        <v>-1.3580681681719629</v>
      </c>
      <c r="Q529" s="39">
        <f>(VLOOKUP($A529,'The List'!$B1:$AH727,29,FALSE)-AVERAGE('The List'!AD2:AD727))/STDEV('The List'!AD2:AD727)</f>
        <v>-0.80677231417718143</v>
      </c>
      <c r="R529" s="39">
        <f>(VLOOKUP($A529,'The List'!$B1:$AH727,30,FALSE)-AVERAGE('The List'!AE2:AE727))/STDEV('The List'!AE2:AE727)</f>
        <v>-1.0452139604083246</v>
      </c>
      <c r="S529" s="39">
        <f>(VLOOKUP($A529,'The List'!$B1:$AH727,31,FALSE)-AVERAGE('The List'!AF2:AF727))/STDEV('The List'!AF2:AF727)</f>
        <v>-0.55804314905918151</v>
      </c>
      <c r="T529" s="39">
        <f>(VLOOKUP($A529,'The List'!$B1:$AH727,32,FALSE)-AVERAGE('The List'!AG2:AG727))/STDEV('The List'!AG2:AG727)</f>
        <v>-0.60188453558131205</v>
      </c>
      <c r="U529" s="39">
        <f>(VLOOKUP($A529,'The List'!$B1:$AH727,33,FALSE)-AVERAGE('The List'!AH2:AH727))/STDEV('The List'!AH2:AH727)</f>
        <v>-1.2395873372913611</v>
      </c>
      <c r="V529" s="39"/>
      <c r="W529" s="41"/>
      <c r="X529" s="39"/>
      <c r="Y529" s="39"/>
      <c r="Z529" s="39"/>
      <c r="AA529" s="39"/>
      <c r="AB529" s="39"/>
      <c r="AC529" s="39"/>
      <c r="AD529" s="39"/>
      <c r="AE529" s="39"/>
    </row>
    <row r="530" spans="1:31" ht="21.25" customHeight="1" x14ac:dyDescent="0.15">
      <c r="A530" s="8" t="s">
        <v>498</v>
      </c>
      <c r="B530" s="35" t="str">
        <f>VLOOKUP(A530,'Player Data'!A1:B734,2,FALSE)</f>
        <v>EDM</v>
      </c>
      <c r="C530" s="37">
        <f>((E530)*Settings!$C$12)+(F530*Settings!$C$2)+(G530*Settings!$C$3)+(H530*Settings!$C$4)+(I530*Settings!$C$5)+(K530*Settings!$C$9)+(N530*Settings!$C$6)+(J530*Settings!$C$8)+(O530*Settings!$C$7)+(P530*Settings!$C$14)+(Q530*Settings!$C$15)+(R530*Settings!$C$16)+(S530*Settings!$C$17)+(T530*Settings!$C$18)+(U530*Settings!$C$19)</f>
        <v>-0.79174382856361869</v>
      </c>
      <c r="D530" s="41">
        <f>IF(Settings!$E$12="YES",VLOOKUP(A530,'Player Data'!A1:E734,5,FALSE),82)</f>
        <v>79.465714285714299</v>
      </c>
      <c r="E530" s="39">
        <f>(VLOOKUP($A530,'The List'!$B1:$AH727,17,FALSE)-AVERAGE('The List'!R2:R727))/STDEV('The List'!R2:R727)</f>
        <v>7.0700103299362882E-2</v>
      </c>
      <c r="F530" s="39">
        <f>(VLOOKUP($A530,'The List'!$B1:$AH727,18,FALSE)-AVERAGE('The List'!S2:S727))/STDEV('The List'!S2:S727)</f>
        <v>-0.92666308356485882</v>
      </c>
      <c r="G530" s="39">
        <f>(VLOOKUP($A530,'The List'!$B1:$AH727,19,FALSE)-AVERAGE('The List'!T2:T727))/STDEV('The List'!T2:T727)</f>
        <v>-0.548116227934763</v>
      </c>
      <c r="H530" s="39">
        <f>(VLOOKUP($A530,'The List'!$B1:$AH727,20,FALSE)-AVERAGE('The List'!U2:U727))/STDEV('The List'!U2:U727)</f>
        <v>-0.7594439568912611</v>
      </c>
      <c r="I530" s="39">
        <f>(VLOOKUP($A530,'The List'!$B1:$AH727,21,FALSE)-AVERAGE('The List'!V2:V727))/STDEV('The List'!V2:V727)</f>
        <v>-0.48903427905071234</v>
      </c>
      <c r="J530" s="39">
        <f>(VLOOKUP($A530,'The List'!$B1:$AH727,22,FALSE)-AVERAGE('The List'!W2:W727))/STDEV('The List'!W2:W727)</f>
        <v>-0.70652484057215759</v>
      </c>
      <c r="K530" s="39">
        <f>(VLOOKUP($A530,'The List'!$B1:$AH727,23,FALSE)-AVERAGE('The List'!X2:X727))/STDEV('The List'!X2:X727)</f>
        <v>-0.78691261365973031</v>
      </c>
      <c r="L530" s="39">
        <f>(VLOOKUP($A530,'The List'!$B1:$AH727,24,FALSE)-AVERAGE('The List'!Y2:Y727))/STDEV('The List'!Y2:Y727)</f>
        <v>-0.50680509708507138</v>
      </c>
      <c r="M530" s="39">
        <f>(VLOOKUP($A530,'The List'!$B1:$AH727,25,FALSE)-AVERAGE('The List'!Z2:Z727))/STDEV('The List'!Z2:Z727)</f>
        <v>0.27933900622157326</v>
      </c>
      <c r="N530" s="39">
        <f>(VLOOKUP($A530,'The List'!$B1:$AH727,26,FALSE)-AVERAGE('The List'!AA2:AA727))/STDEV('The List'!AA2:AA727)</f>
        <v>0.81414127409375647</v>
      </c>
      <c r="O530" s="39">
        <f>(VLOOKUP($A530,'The List'!$B1:$AH727,27,FALSE)-AVERAGE('The List'!AB2:AB727))/STDEV('The List'!AB2:AB727)</f>
        <v>0.19269038837399025</v>
      </c>
      <c r="P530" s="39">
        <f>(VLOOKUP($A530,'The List'!$B1:$AH727,28,FALSE)-AVERAGE('The List'!AC2:AC727))/STDEV('The List'!AC2:AC727)</f>
        <v>1.1448411015526896</v>
      </c>
      <c r="Q530" s="39">
        <f>(VLOOKUP($A530,'The List'!$B1:$AH727,29,FALSE)-AVERAGE('The List'!AD2:AD727))/STDEV('The List'!AD2:AD727)</f>
        <v>0.56139394006136911</v>
      </c>
      <c r="R530" s="39">
        <f>(VLOOKUP($A530,'The List'!$B1:$AH727,30,FALSE)-AVERAGE('The List'!AE2:AE727))/STDEV('The List'!AE2:AE727)</f>
        <v>-0.81236309385155059</v>
      </c>
      <c r="S530" s="39">
        <f>(VLOOKUP($A530,'The List'!$B1:$AH727,31,FALSE)-AVERAGE('The List'!AF2:AF727))/STDEV('The List'!AF2:AF727)</f>
        <v>-0.55804314905918151</v>
      </c>
      <c r="T530" s="39">
        <f>(VLOOKUP($A530,'The List'!$B1:$AH727,32,FALSE)-AVERAGE('The List'!AG2:AG727))/STDEV('The List'!AG2:AG727)</f>
        <v>-0.60188453558131205</v>
      </c>
      <c r="U530" s="39">
        <f>(VLOOKUP($A530,'The List'!$B1:$AH727,33,FALSE)-AVERAGE('The List'!AH2:AH727))/STDEV('The List'!AH2:AH727)</f>
        <v>-1.2395873372913611</v>
      </c>
      <c r="V530" s="39"/>
      <c r="W530" s="43"/>
      <c r="X530" s="41"/>
      <c r="Y530" s="41"/>
      <c r="Z530" s="41"/>
      <c r="AA530" s="41"/>
      <c r="AB530" s="41"/>
      <c r="AC530" s="44"/>
      <c r="AD530" s="45"/>
      <c r="AE530" s="39"/>
    </row>
    <row r="531" spans="1:31" ht="21.25" customHeight="1" x14ac:dyDescent="0.15">
      <c r="A531" s="8" t="s">
        <v>453</v>
      </c>
      <c r="B531" s="35" t="str">
        <f>VLOOKUP(A531,'Player Data'!A1:B734,2,FALSE)</f>
        <v>VGK</v>
      </c>
      <c r="C531" s="37">
        <f>((E531)*Settings!$C$12)+(F531*Settings!$C$2)+(G531*Settings!$C$3)+(H531*Settings!$C$4)+(I531*Settings!$C$5)+(K531*Settings!$C$9)+(N531*Settings!$C$6)+(J531*Settings!$C$8)+(O531*Settings!$C$7)+(P531*Settings!$C$14)+(Q531*Settings!$C$15)+(R531*Settings!$C$16)+(S531*Settings!$C$17)+(T531*Settings!$C$18)+(U531*Settings!$C$19)</f>
        <v>1.3772211162135588</v>
      </c>
      <c r="D531" s="41">
        <f>IF(Settings!$E$12="YES",VLOOKUP(A531,'Player Data'!A1:E734,5,FALSE),82)</f>
        <v>78.046071428571395</v>
      </c>
      <c r="E531" s="39">
        <f>(VLOOKUP($A531,'The List'!$B1:$AH727,17,FALSE)-AVERAGE('The List'!R2:R727))/STDEV('The List'!R2:R727)</f>
        <v>0.97620399732015761</v>
      </c>
      <c r="F531" s="39">
        <f>(VLOOKUP($A531,'The List'!$B1:$AH727,18,FALSE)-AVERAGE('The List'!S2:S727))/STDEV('The List'!S2:S727)</f>
        <v>-1.046331273681993</v>
      </c>
      <c r="G531" s="39">
        <f>(VLOOKUP($A531,'The List'!$B1:$AH727,19,FALSE)-AVERAGE('The List'!T2:T727))/STDEV('The List'!T2:T727)</f>
        <v>-0.48398747838718514</v>
      </c>
      <c r="H531" s="39">
        <f>(VLOOKUP($A531,'The List'!$B1:$AH727,20,FALSE)-AVERAGE('The List'!U2:U727))/STDEV('The List'!U2:U727)</f>
        <v>-0.77438374582986369</v>
      </c>
      <c r="I531" s="39">
        <f>(VLOOKUP($A531,'The List'!$B1:$AH727,21,FALSE)-AVERAGE('The List'!V2:V727))/STDEV('The List'!V2:V727)</f>
        <v>-0.652700327641903</v>
      </c>
      <c r="J531" s="39">
        <f>(VLOOKUP($A531,'The List'!$B1:$AH727,22,FALSE)-AVERAGE('The List'!W2:W727))/STDEV('The List'!W2:W727)</f>
        <v>-0.7066052193173199</v>
      </c>
      <c r="K531" s="39">
        <f>(VLOOKUP($A531,'The List'!$B1:$AH727,23,FALSE)-AVERAGE('The List'!X2:X727))/STDEV('The List'!X2:X727)</f>
        <v>-0.7859607924777432</v>
      </c>
      <c r="L531" s="39">
        <f>(VLOOKUP($A531,'The List'!$B1:$AH727,24,FALSE)-AVERAGE('The List'!Y2:Y727))/STDEV('The List'!Y2:Y727)</f>
        <v>-0.5078167753075078</v>
      </c>
      <c r="M531" s="39">
        <f>(VLOOKUP($A531,'The List'!$B1:$AH727,25,FALSE)-AVERAGE('The List'!Z2:Z727))/STDEV('The List'!Z2:Z727)</f>
        <v>0.38180631029303624</v>
      </c>
      <c r="N531" s="39">
        <f>(VLOOKUP($A531,'The List'!$B1:$AH727,26,FALSE)-AVERAGE('The List'!AA2:AA727))/STDEV('The List'!AA2:AA727)</f>
        <v>3.1400463025817169</v>
      </c>
      <c r="O531" s="39">
        <f>(VLOOKUP($A531,'The List'!$B1:$AH727,27,FALSE)-AVERAGE('The List'!AB2:AB727))/STDEV('The List'!AB2:AB727)</f>
        <v>1.8246508512442823</v>
      </c>
      <c r="P531" s="39">
        <f>(VLOOKUP($A531,'The List'!$B1:$AH727,28,FALSE)-AVERAGE('The List'!AC2:AC727))/STDEV('The List'!AC2:AC727)</f>
        <v>1.2061546858206662</v>
      </c>
      <c r="Q531" s="39">
        <f>(VLOOKUP($A531,'The List'!$B1:$AH727,29,FALSE)-AVERAGE('The List'!AD2:AD727))/STDEV('The List'!AD2:AD727)</f>
        <v>0.69271459454484297</v>
      </c>
      <c r="R531" s="39">
        <f>(VLOOKUP($A531,'The List'!$B1:$AH727,30,FALSE)-AVERAGE('The List'!AE2:AE727))/STDEV('The List'!AE2:AE727)</f>
        <v>-0.92778431655657478</v>
      </c>
      <c r="S531" s="39">
        <f>(VLOOKUP($A531,'The List'!$B1:$AH727,31,FALSE)-AVERAGE('The List'!AF2:AF727))/STDEV('The List'!AF2:AF727)</f>
        <v>-0.55804314905918151</v>
      </c>
      <c r="T531" s="39">
        <f>(VLOOKUP($A531,'The List'!$B1:$AH727,32,FALSE)-AVERAGE('The List'!AG2:AG727))/STDEV('The List'!AG2:AG727)</f>
        <v>-0.60188453558131205</v>
      </c>
      <c r="U531" s="39">
        <f>(VLOOKUP($A531,'The List'!$B1:$AH727,33,FALSE)-AVERAGE('The List'!AH2:AH727))/STDEV('The List'!AH2:AH727)</f>
        <v>-1.2395873372913611</v>
      </c>
      <c r="V531" s="39"/>
      <c r="W531" s="41"/>
      <c r="X531" s="39"/>
      <c r="Y531" s="39"/>
      <c r="Z531" s="39"/>
      <c r="AA531" s="39"/>
      <c r="AB531" s="39"/>
      <c r="AC531" s="39"/>
      <c r="AD531" s="39"/>
      <c r="AE531" s="39"/>
    </row>
    <row r="532" spans="1:31" ht="21.25" customHeight="1" x14ac:dyDescent="0.15">
      <c r="A532" s="8" t="s">
        <v>749</v>
      </c>
      <c r="B532" s="35" t="str">
        <f>VLOOKUP(A532,'Player Data'!A1:B734,2,FALSE)</f>
        <v>NSH</v>
      </c>
      <c r="C532" s="37">
        <f>((E532)*Settings!$C$12)+(F532*Settings!$C$2)+(G532*Settings!$C$3)+(H532*Settings!$C$4)+(I532*Settings!$C$5)+(K532*Settings!$C$9)+(N532*Settings!$C$6)+(J532*Settings!$C$8)+(O532*Settings!$C$7)+(P532*Settings!$C$14)+(Q532*Settings!$C$15)+(R532*Settings!$C$16)+(S532*Settings!$C$17)+(T532*Settings!$C$18)+(U532*Settings!$C$19)</f>
        <v>-4.9301912958619196</v>
      </c>
      <c r="D532" s="41">
        <f>IF(Settings!$E$12="YES",VLOOKUP(A532,'Player Data'!A1:E734,5,FALSE),82)</f>
        <v>69.172499999999999</v>
      </c>
      <c r="E532" s="39">
        <f>(VLOOKUP($A532,'The List'!$B1:$AH727,17,FALSE)-AVERAGE('The List'!R2:R727))/STDEV('The List'!R2:R727)</f>
        <v>-1.1382648746362249</v>
      </c>
      <c r="F532" s="39">
        <f>(VLOOKUP($A532,'The List'!$B1:$AH727,18,FALSE)-AVERAGE('The List'!S2:S727))/STDEV('The List'!S2:S727)</f>
        <v>-0.81938925236023175</v>
      </c>
      <c r="G532" s="39">
        <f>(VLOOKUP($A532,'The List'!$B1:$AH727,19,FALSE)-AVERAGE('The List'!T2:T727))/STDEV('The List'!T2:T727)</f>
        <v>-0.80410715891996754</v>
      </c>
      <c r="H532" s="39">
        <f>(VLOOKUP($A532,'The List'!$B1:$AH727,20,FALSE)-AVERAGE('The List'!U2:U727))/STDEV('The List'!U2:U727)</f>
        <v>-0.86837161970685184</v>
      </c>
      <c r="I532" s="39">
        <f>(VLOOKUP($A532,'The List'!$B1:$AH727,21,FALSE)-AVERAGE('The List'!V2:V727))/STDEV('The List'!V2:V727)</f>
        <v>-1.0900658086730408</v>
      </c>
      <c r="J532" s="39">
        <f>(VLOOKUP($A532,'The List'!$B1:$AH727,22,FALSE)-AVERAGE('The List'!W2:W727))/STDEV('The List'!W2:W727)</f>
        <v>-0.6973967855053097</v>
      </c>
      <c r="K532" s="39">
        <f>(VLOOKUP($A532,'The List'!$B1:$AH727,23,FALSE)-AVERAGE('The List'!X2:X727))/STDEV('The List'!X2:X727)</f>
        <v>-0.78675419428650062</v>
      </c>
      <c r="L532" s="39">
        <f>(VLOOKUP($A532,'The List'!$B1:$AH727,24,FALSE)-AVERAGE('The List'!Y2:Y727))/STDEV('The List'!Y2:Y727)</f>
        <v>-0.26950603613204338</v>
      </c>
      <c r="M532" s="39">
        <f>(VLOOKUP($A532,'The List'!$B1:$AH727,25,FALSE)-AVERAGE('The List'!Z2:Z727))/STDEV('The List'!Z2:Z727)</f>
        <v>0.92683701794385809</v>
      </c>
      <c r="N532" s="39">
        <f>(VLOOKUP($A532,'The List'!$B1:$AH727,26,FALSE)-AVERAGE('The List'!AA2:AA727))/STDEV('The List'!AA2:AA727)</f>
        <v>-0.8554905534953372</v>
      </c>
      <c r="O532" s="39">
        <f>(VLOOKUP($A532,'The List'!$B1:$AH727,27,FALSE)-AVERAGE('The List'!AB2:AB727))/STDEV('The List'!AB2:AB727)</f>
        <v>1.9072759856111479</v>
      </c>
      <c r="P532" s="39">
        <f>(VLOOKUP($A532,'The List'!$B1:$AH727,28,FALSE)-AVERAGE('The List'!AC2:AC727))/STDEV('The List'!AC2:AC727)</f>
        <v>-0.57438432812684159</v>
      </c>
      <c r="Q532" s="39">
        <f>(VLOOKUP($A532,'The List'!$B1:$AH727,29,FALSE)-AVERAGE('The List'!AD2:AD727))/STDEV('The List'!AD2:AD727)</f>
        <v>0.77036835949407323</v>
      </c>
      <c r="R532" s="39">
        <f>(VLOOKUP($A532,'The List'!$B1:$AH727,30,FALSE)-AVERAGE('The List'!AE2:AE727))/STDEV('The List'!AE2:AE727)</f>
        <v>-0.73946334398365587</v>
      </c>
      <c r="S532" s="39">
        <f>(VLOOKUP($A532,'The List'!$B1:$AH727,31,FALSE)-AVERAGE('The List'!AF2:AF727))/STDEV('The List'!AF2:AF727)</f>
        <v>-0.55804314905918151</v>
      </c>
      <c r="T532" s="39">
        <f>(VLOOKUP($A532,'The List'!$B1:$AH727,32,FALSE)-AVERAGE('The List'!AG2:AG727))/STDEV('The List'!AG2:AG727)</f>
        <v>-0.57638237138240722</v>
      </c>
      <c r="U532" s="39">
        <f>(VLOOKUP($A532,'The List'!$B1:$AH727,33,FALSE)-AVERAGE('The List'!AH2:AH727))/STDEV('The List'!AH2:AH727)</f>
        <v>-1.2395873372913611</v>
      </c>
      <c r="V532" s="39"/>
      <c r="W532" s="43"/>
      <c r="X532" s="41"/>
      <c r="Y532" s="41"/>
      <c r="Z532" s="41"/>
      <c r="AA532" s="41"/>
      <c r="AB532" s="41"/>
      <c r="AC532" s="44"/>
      <c r="AD532" s="45"/>
      <c r="AE532" s="39"/>
    </row>
    <row r="533" spans="1:31" ht="21.25" customHeight="1" x14ac:dyDescent="0.15">
      <c r="A533" s="8" t="s">
        <v>554</v>
      </c>
      <c r="B533" s="35" t="str">
        <f>VLOOKUP(A533,'Player Data'!A1:B734,2,FALSE)</f>
        <v>DAL</v>
      </c>
      <c r="C533" s="37">
        <f>((E533)*Settings!$C$12)+(F533*Settings!$C$2)+(G533*Settings!$C$3)+(H533*Settings!$C$4)+(I533*Settings!$C$5)+(K533*Settings!$C$9)+(N533*Settings!$C$6)+(J533*Settings!$C$8)+(O533*Settings!$C$7)+(P533*Settings!$C$14)+(Q533*Settings!$C$15)+(R533*Settings!$C$16)+(S533*Settings!$C$17)+(T533*Settings!$C$18)+(U533*Settings!$C$19)</f>
        <v>-1.9258228233985695</v>
      </c>
      <c r="D533" s="41">
        <f>IF(Settings!$E$12="YES",VLOOKUP(A533,'Player Data'!A1:E734,5,FALSE),82)</f>
        <v>66.387500000000003</v>
      </c>
      <c r="E533" s="39">
        <f>(VLOOKUP($A533,'The List'!$B1:$AH727,17,FALSE)-AVERAGE('The List'!R2:R727))/STDEV('The List'!R2:R727)</f>
        <v>-0.27530577866211636</v>
      </c>
      <c r="F533" s="39">
        <f>(VLOOKUP($A533,'The List'!$B1:$AH727,18,FALSE)-AVERAGE('The List'!S2:S727))/STDEV('The List'!S2:S727)</f>
        <v>-0.83406099194106786</v>
      </c>
      <c r="G533" s="39">
        <f>(VLOOKUP($A533,'The List'!$B1:$AH727,19,FALSE)-AVERAGE('The List'!T2:T727))/STDEV('The List'!T2:T727)</f>
        <v>-0.84360922454763132</v>
      </c>
      <c r="H533" s="39">
        <f>(VLOOKUP($A533,'The List'!$B1:$AH727,20,FALSE)-AVERAGE('The List'!U2:U727))/STDEV('The List'!U2:U727)</f>
        <v>-0.89938971589213024</v>
      </c>
      <c r="I533" s="39">
        <f>(VLOOKUP($A533,'The List'!$B1:$AH727,21,FALSE)-AVERAGE('The List'!V2:V727))/STDEV('The List'!V2:V727)</f>
        <v>-0.68594856238452273</v>
      </c>
      <c r="J533" s="39">
        <f>(VLOOKUP($A533,'The List'!$B1:$AH727,22,FALSE)-AVERAGE('The List'!W2:W727))/STDEV('The List'!W2:W727)</f>
        <v>-0.58436337752946432</v>
      </c>
      <c r="K533" s="39">
        <f>(VLOOKUP($A533,'The List'!$B1:$AH727,23,FALSE)-AVERAGE('The List'!X2:X727))/STDEV('The List'!X2:X727)</f>
        <v>-0.64043778575220844</v>
      </c>
      <c r="L533" s="39">
        <f>(VLOOKUP($A533,'The List'!$B1:$AH727,24,FALSE)-AVERAGE('The List'!Y2:Y727))/STDEV('The List'!Y2:Y727)</f>
        <v>-0.53989239316840654</v>
      </c>
      <c r="M533" s="39">
        <f>(VLOOKUP($A533,'The List'!$B1:$AH727,25,FALSE)-AVERAGE('The List'!Z2:Z727))/STDEV('The List'!Z2:Z727)</f>
        <v>-0.71419921753210402</v>
      </c>
      <c r="N533" s="39">
        <f>(VLOOKUP($A533,'The List'!$B1:$AH727,26,FALSE)-AVERAGE('The List'!AA2:AA727))/STDEV('The List'!AA2:AA727)</f>
        <v>0.30734663824534669</v>
      </c>
      <c r="O533" s="39">
        <f>(VLOOKUP($A533,'The List'!$B1:$AH727,27,FALSE)-AVERAGE('The List'!AB2:AB727))/STDEV('The List'!AB2:AB727)</f>
        <v>-0.61506666203481375</v>
      </c>
      <c r="P533" s="39">
        <f>(VLOOKUP($A533,'The List'!$B1:$AH727,28,FALSE)-AVERAGE('The List'!AC2:AC727))/STDEV('The List'!AC2:AC727)</f>
        <v>0.77088710298151419</v>
      </c>
      <c r="Q533" s="39">
        <f>(VLOOKUP($A533,'The List'!$B1:$AH727,29,FALSE)-AVERAGE('The List'!AD2:AD727))/STDEV('The List'!AD2:AD727)</f>
        <v>-0.57785070221518797</v>
      </c>
      <c r="R533" s="39">
        <f>(VLOOKUP($A533,'The List'!$B1:$AH727,30,FALSE)-AVERAGE('The List'!AE2:AE727))/STDEV('The List'!AE2:AE727)</f>
        <v>-0.71149676842765786</v>
      </c>
      <c r="S533" s="39">
        <f>(VLOOKUP($A533,'The List'!$B1:$AH727,31,FALSE)-AVERAGE('The List'!AF2:AF727))/STDEV('The List'!AF2:AF727)</f>
        <v>-0.55804314905918151</v>
      </c>
      <c r="T533" s="39">
        <f>(VLOOKUP($A533,'The List'!$B1:$AH727,32,FALSE)-AVERAGE('The List'!AG2:AG727))/STDEV('The List'!AG2:AG727)</f>
        <v>-0.60188453558131205</v>
      </c>
      <c r="U533" s="39">
        <f>(VLOOKUP($A533,'The List'!$B1:$AH727,33,FALSE)-AVERAGE('The List'!AH2:AH727))/STDEV('The List'!AH2:AH727)</f>
        <v>-1.2395873372913611</v>
      </c>
      <c r="V533" s="39"/>
      <c r="W533" s="43"/>
      <c r="X533" s="41"/>
      <c r="Y533" s="41"/>
      <c r="Z533" s="41"/>
      <c r="AA533" s="41"/>
      <c r="AB533" s="41"/>
      <c r="AC533" s="44"/>
      <c r="AD533" s="45"/>
      <c r="AE533" s="39"/>
    </row>
    <row r="534" spans="1:31" ht="21.25" customHeight="1" x14ac:dyDescent="0.15">
      <c r="A534" s="8" t="s">
        <v>821</v>
      </c>
      <c r="B534" s="35" t="str">
        <f>VLOOKUP(A534,'Player Data'!A1:B734,2,FALSE)</f>
        <v>TBL</v>
      </c>
      <c r="C534" s="37">
        <f>((E534)*Settings!$C$12)+(F534*Settings!$C$2)+(G534*Settings!$C$3)+(H534*Settings!$C$4)+(I534*Settings!$C$5)+(K534*Settings!$C$9)+(N534*Settings!$C$6)+(J534*Settings!$C$8)+(O534*Settings!$C$7)+(P534*Settings!$C$14)+(Q534*Settings!$C$15)+(R534*Settings!$C$16)+(S534*Settings!$C$17)+(T534*Settings!$C$18)+(U534*Settings!$C$19)</f>
        <v>-5.2117666407985874</v>
      </c>
      <c r="D534" s="41">
        <f>IF(Settings!$E$12="YES",VLOOKUP(A534,'Player Data'!A1:E734,5,FALSE),82)</f>
        <v>58.833928571428601</v>
      </c>
      <c r="E534" s="39">
        <f>(VLOOKUP($A534,'The List'!$B1:$AH727,17,FALSE)-AVERAGE('The List'!R2:R727))/STDEV('The List'!R2:R727)</f>
        <v>-1.7938649635631347</v>
      </c>
      <c r="F534" s="39">
        <f>(VLOOKUP($A534,'The List'!$B1:$AH727,18,FALSE)-AVERAGE('The List'!S2:S727))/STDEV('The List'!S2:S727)</f>
        <v>-0.76869557951933343</v>
      </c>
      <c r="G534" s="39">
        <f>(VLOOKUP($A534,'The List'!$B1:$AH727,19,FALSE)-AVERAGE('The List'!T2:T727))/STDEV('The List'!T2:T727)</f>
        <v>-1.0254620548474391</v>
      </c>
      <c r="H534" s="39">
        <f>(VLOOKUP($A534,'The List'!$B1:$AH727,20,FALSE)-AVERAGE('The List'!U2:U727))/STDEV('The List'!U2:U727)</f>
        <v>-0.98170375142945432</v>
      </c>
      <c r="I534" s="39">
        <f>(VLOOKUP($A534,'The List'!$B1:$AH727,21,FALSE)-AVERAGE('The List'!V2:V727))/STDEV('The List'!V2:V727)</f>
        <v>-1.4241867760115889</v>
      </c>
      <c r="J534" s="39">
        <f>(VLOOKUP($A534,'The List'!$B1:$AH727,22,FALSE)-AVERAGE('The List'!W2:W727))/STDEV('The List'!W2:W727)</f>
        <v>-0.66751502173393384</v>
      </c>
      <c r="K534" s="39">
        <f>(VLOOKUP($A534,'The List'!$B1:$AH727,23,FALSE)-AVERAGE('The List'!X2:X727))/STDEV('The List'!X2:X727)</f>
        <v>-0.74801056551602052</v>
      </c>
      <c r="L534" s="39">
        <f>(VLOOKUP($A534,'The List'!$B1:$AH727,24,FALSE)-AVERAGE('The List'!Y2:Y727))/STDEV('The List'!Y2:Y727)</f>
        <v>-0.5376683209134856</v>
      </c>
      <c r="M534" s="39">
        <f>(VLOOKUP($A534,'The List'!$B1:$AH727,25,FALSE)-AVERAGE('The List'!Z2:Z727))/STDEV('The List'!Z2:Z727)</f>
        <v>-0.71659267532931537</v>
      </c>
      <c r="N534" s="39">
        <f>(VLOOKUP($A534,'The List'!$B1:$AH727,26,FALSE)-AVERAGE('The List'!AA2:AA727))/STDEV('The List'!AA2:AA727)</f>
        <v>-1.0624490906481487</v>
      </c>
      <c r="O534" s="39">
        <f>(VLOOKUP($A534,'The List'!$B1:$AH727,27,FALSE)-AVERAGE('The List'!AB2:AB727))/STDEV('The List'!AB2:AB727)</f>
        <v>-0.79167793066009451</v>
      </c>
      <c r="P534" s="39">
        <f>(VLOOKUP($A534,'The List'!$B1:$AH727,28,FALSE)-AVERAGE('The List'!AC2:AC727))/STDEV('The List'!AC2:AC727)</f>
        <v>-0.18296257425605716</v>
      </c>
      <c r="Q534" s="39">
        <f>(VLOOKUP($A534,'The List'!$B1:$AH727,29,FALSE)-AVERAGE('The List'!AD2:AD727))/STDEV('The List'!AD2:AD727)</f>
        <v>-1.1855687254066842</v>
      </c>
      <c r="R534" s="39">
        <f>(VLOOKUP($A534,'The List'!$B1:$AH727,30,FALSE)-AVERAGE('The List'!AE2:AE727))/STDEV('The List'!AE2:AE727)</f>
        <v>-0.65516756142513366</v>
      </c>
      <c r="S534" s="39">
        <f>(VLOOKUP($A534,'The List'!$B1:$AH727,31,FALSE)-AVERAGE('The List'!AF2:AF727))/STDEV('The List'!AF2:AF727)</f>
        <v>-2.3553705733455291E-2</v>
      </c>
      <c r="T534" s="39">
        <f>(VLOOKUP($A534,'The List'!$B1:$AH727,32,FALSE)-AVERAGE('The List'!AG2:AG727))/STDEV('The List'!AG2:AG727)</f>
        <v>0.3702215268776638</v>
      </c>
      <c r="U534" s="39">
        <f>(VLOOKUP($A534,'The List'!$B1:$AH727,33,FALSE)-AVERAGE('The List'!AH2:AH727))/STDEV('The List'!AH2:AH727)</f>
        <v>0.41598485814759462</v>
      </c>
      <c r="V534" s="39"/>
      <c r="W534" s="43"/>
      <c r="X534" s="41"/>
      <c r="Y534" s="41"/>
      <c r="Z534" s="41"/>
      <c r="AA534" s="41"/>
      <c r="AB534" s="41"/>
      <c r="AC534" s="44"/>
      <c r="AD534" s="45"/>
      <c r="AE534" s="39"/>
    </row>
    <row r="535" spans="1:31" ht="21.25" customHeight="1" x14ac:dyDescent="0.15">
      <c r="A535" s="8" t="s">
        <v>585</v>
      </c>
      <c r="B535" s="35" t="str">
        <f>VLOOKUP(A535,'Player Data'!A1:B734,2,FALSE)</f>
        <v>SEA</v>
      </c>
      <c r="C535" s="37">
        <f>((E535)*Settings!$C$12)+(F535*Settings!$C$2)+(G535*Settings!$C$3)+(H535*Settings!$C$4)+(I535*Settings!$C$5)+(K535*Settings!$C$9)+(N535*Settings!$C$6)+(J535*Settings!$C$8)+(O535*Settings!$C$7)+(P535*Settings!$C$14)+(Q535*Settings!$C$15)+(R535*Settings!$C$16)+(S535*Settings!$C$17)+(T535*Settings!$C$18)+(U535*Settings!$C$19)</f>
        <v>-3.1565134711332048</v>
      </c>
      <c r="D535" s="41">
        <f>IF(Settings!$E$12="YES",VLOOKUP(A535,'Player Data'!A1:E734,5,FALSE),82)</f>
        <v>68.969285714285704</v>
      </c>
      <c r="E535" s="39">
        <f>(VLOOKUP($A535,'The List'!$B1:$AH727,17,FALSE)-AVERAGE('The List'!R2:R727))/STDEV('The List'!R2:R727)</f>
        <v>-5.2197137526008429E-2</v>
      </c>
      <c r="F535" s="39">
        <f>(VLOOKUP($A535,'The List'!$B1:$AH727,18,FALSE)-AVERAGE('The List'!S2:S727))/STDEV('The List'!S2:S727)</f>
        <v>-1.0007913307780691</v>
      </c>
      <c r="G535" s="39">
        <f>(VLOOKUP($A535,'The List'!$B1:$AH727,19,FALSE)-AVERAGE('The List'!T2:T727))/STDEV('The List'!T2:T727)</f>
        <v>-0.68930805059789135</v>
      </c>
      <c r="H535" s="39">
        <f>(VLOOKUP($A535,'The List'!$B1:$AH727,20,FALSE)-AVERAGE('The List'!U2:U727))/STDEV('The List'!U2:U727)</f>
        <v>-0.88018064925825656</v>
      </c>
      <c r="I535" s="39">
        <f>(VLOOKUP($A535,'The List'!$B1:$AH727,21,FALSE)-AVERAGE('The List'!V2:V727))/STDEV('The List'!V2:V727)</f>
        <v>-1.0260302189585064</v>
      </c>
      <c r="J535" s="39">
        <f>(VLOOKUP($A535,'The List'!$B1:$AH727,22,FALSE)-AVERAGE('The List'!W2:W727))/STDEV('The List'!W2:W727)</f>
        <v>-0.70613341511349348</v>
      </c>
      <c r="K535" s="39">
        <f>(VLOOKUP($A535,'The List'!$B1:$AH727,23,FALSE)-AVERAGE('The List'!X2:X727))/STDEV('The List'!X2:X727)</f>
        <v>-0.78613896550123741</v>
      </c>
      <c r="L535" s="39">
        <f>(VLOOKUP($A535,'The List'!$B1:$AH727,24,FALSE)-AVERAGE('The List'!Y2:Y727))/STDEV('The List'!Y2:Y727)</f>
        <v>-0.48524297759160634</v>
      </c>
      <c r="M535" s="39">
        <f>(VLOOKUP($A535,'The List'!$B1:$AH727,25,FALSE)-AVERAGE('The List'!Z2:Z727))/STDEV('The List'!Z2:Z727)</f>
        <v>-0.58510190528028494</v>
      </c>
      <c r="N535" s="39">
        <f>(VLOOKUP($A535,'The List'!$B1:$AH727,26,FALSE)-AVERAGE('The List'!AA2:AA727))/STDEV('The List'!AA2:AA727)</f>
        <v>0.48242283859404167</v>
      </c>
      <c r="O535" s="39">
        <f>(VLOOKUP($A535,'The List'!$B1:$AH727,27,FALSE)-AVERAGE('The List'!AB2:AB727))/STDEV('The List'!AB2:AB727)</f>
        <v>1.2571724485439659</v>
      </c>
      <c r="P535" s="39">
        <f>(VLOOKUP($A535,'The List'!$B1:$AH727,28,FALSE)-AVERAGE('The List'!AC2:AC727))/STDEV('The List'!AC2:AC727)</f>
        <v>-0.13666774389154226</v>
      </c>
      <c r="Q535" s="39">
        <f>(VLOOKUP($A535,'The List'!$B1:$AH727,29,FALSE)-AVERAGE('The List'!AD2:AD727))/STDEV('The List'!AD2:AD727)</f>
        <v>0.57310294336438705</v>
      </c>
      <c r="R535" s="39">
        <f>(VLOOKUP($A535,'The List'!$B1:$AH727,30,FALSE)-AVERAGE('The List'!AE2:AE727))/STDEV('The List'!AE2:AE727)</f>
        <v>-0.92296406718121926</v>
      </c>
      <c r="S535" s="39">
        <f>(VLOOKUP($A535,'The List'!$B1:$AH727,31,FALSE)-AVERAGE('The List'!AF2:AF727))/STDEV('The List'!AF2:AF727)</f>
        <v>-0.55804314905918151</v>
      </c>
      <c r="T535" s="39">
        <f>(VLOOKUP($A535,'The List'!$B1:$AH727,32,FALSE)-AVERAGE('The List'!AG2:AG727))/STDEV('The List'!AG2:AG727)</f>
        <v>-0.60188453558131205</v>
      </c>
      <c r="U535" s="39">
        <f>(VLOOKUP($A535,'The List'!$B1:$AH727,33,FALSE)-AVERAGE('The List'!AH2:AH727))/STDEV('The List'!AH2:AH727)</f>
        <v>-1.2395873372913611</v>
      </c>
      <c r="V535" s="39"/>
      <c r="W535" s="43"/>
      <c r="X535" s="41"/>
      <c r="Y535" s="41"/>
      <c r="Z535" s="41"/>
      <c r="AA535" s="41"/>
      <c r="AB535" s="41"/>
      <c r="AC535" s="44"/>
      <c r="AD535" s="45"/>
      <c r="AE535" s="39"/>
    </row>
    <row r="536" spans="1:31" ht="21.25" customHeight="1" x14ac:dyDescent="0.15">
      <c r="A536" s="8" t="s">
        <v>811</v>
      </c>
      <c r="B536" s="35" t="str">
        <f>VLOOKUP(A536,'Player Data'!A1:B734,2,FALSE)</f>
        <v>FLA</v>
      </c>
      <c r="C536" s="37">
        <f>((E536)*Settings!$C$12)+(F536*Settings!$C$2)+(G536*Settings!$C$3)+(H536*Settings!$C$4)+(I536*Settings!$C$5)+(K536*Settings!$C$9)+(N536*Settings!$C$6)+(J536*Settings!$C$8)+(O536*Settings!$C$7)+(P536*Settings!$C$14)+(Q536*Settings!$C$15)+(R536*Settings!$C$16)+(S536*Settings!$C$17)+(T536*Settings!$C$18)+(U536*Settings!$C$19)</f>
        <v>-4.5233288295144343</v>
      </c>
      <c r="D536" s="41">
        <f>IF(Settings!$E$12="YES",VLOOKUP(A536,'Player Data'!A1:E734,5,FALSE),82)</f>
        <v>60</v>
      </c>
      <c r="E536" s="39">
        <f>(VLOOKUP($A536,'The List'!$B1:$AH727,17,FALSE)-AVERAGE('The List'!R2:R727))/STDEV('The List'!R2:R727)</f>
        <v>-1.5042036990120746</v>
      </c>
      <c r="F536" s="39">
        <f>(VLOOKUP($A536,'The List'!$B1:$AH727,18,FALSE)-AVERAGE('The List'!S2:S727))/STDEV('The List'!S2:S727)</f>
        <v>-0.84082318703049441</v>
      </c>
      <c r="G536" s="39">
        <f>(VLOOKUP($A536,'The List'!$B1:$AH727,19,FALSE)-AVERAGE('The List'!T2:T727))/STDEV('The List'!T2:T727)</f>
        <v>-0.96072873998266417</v>
      </c>
      <c r="H536" s="39">
        <f>(VLOOKUP($A536,'The List'!$B1:$AH727,20,FALSE)-AVERAGE('The List'!U2:U727))/STDEV('The List'!U2:U727)</f>
        <v>-0.97463706165058095</v>
      </c>
      <c r="I536" s="39">
        <f>(VLOOKUP($A536,'The List'!$B1:$AH727,21,FALSE)-AVERAGE('The List'!V2:V727))/STDEV('The List'!V2:V727)</f>
        <v>-1.0373798588493259</v>
      </c>
      <c r="J536" s="39">
        <f>(VLOOKUP($A536,'The List'!$B1:$AH727,22,FALSE)-AVERAGE('The List'!W2:W727))/STDEV('The List'!W2:W727)</f>
        <v>-0.69526965106067629</v>
      </c>
      <c r="K536" s="39">
        <f>(VLOOKUP($A536,'The List'!$B1:$AH727,23,FALSE)-AVERAGE('The List'!X2:X727))/STDEV('The List'!X2:X727)</f>
        <v>-0.78680397473519792</v>
      </c>
      <c r="L536" s="39">
        <f>(VLOOKUP($A536,'The List'!$B1:$AH727,24,FALSE)-AVERAGE('The List'!Y2:Y727))/STDEV('The List'!Y2:Y727)</f>
        <v>0.91433283616187877</v>
      </c>
      <c r="M536" s="39">
        <f>(VLOOKUP($A536,'The List'!$B1:$AH727,25,FALSE)-AVERAGE('The List'!Z2:Z727))/STDEV('The List'!Z2:Z727)</f>
        <v>0.25975770188107805</v>
      </c>
      <c r="N536" s="39">
        <f>(VLOOKUP($A536,'The List'!$B1:$AH727,26,FALSE)-AVERAGE('The List'!AA2:AA727))/STDEV('The List'!AA2:AA727)</f>
        <v>-1.144636921350777</v>
      </c>
      <c r="O536" s="39">
        <f>(VLOOKUP($A536,'The List'!$B1:$AH727,27,FALSE)-AVERAGE('The List'!AB2:AB727))/STDEV('The List'!AB2:AB727)</f>
        <v>-1.1411493133907946</v>
      </c>
      <c r="P536" s="39">
        <f>(VLOOKUP($A536,'The List'!$B1:$AH727,28,FALSE)-AVERAGE('The List'!AC2:AC727))/STDEV('The List'!AC2:AC727)</f>
        <v>0.24704385243402535</v>
      </c>
      <c r="Q536" s="39">
        <f>(VLOOKUP($A536,'The List'!$B1:$AH727,29,FALSE)-AVERAGE('The List'!AD2:AD727))/STDEV('The List'!AD2:AD727)</f>
        <v>-1.6479675865998</v>
      </c>
      <c r="R536" s="39">
        <f>(VLOOKUP($A536,'The List'!$B1:$AH727,30,FALSE)-AVERAGE('The List'!AE2:AE727))/STDEV('The List'!AE2:AE727)</f>
        <v>-0.76752766660184479</v>
      </c>
      <c r="S536" s="39">
        <f>(VLOOKUP($A536,'The List'!$B1:$AH727,31,FALSE)-AVERAGE('The List'!AF2:AF727))/STDEV('The List'!AF2:AF727)</f>
        <v>-0.44159004324204598</v>
      </c>
      <c r="T536" s="39">
        <f>(VLOOKUP($A536,'The List'!$B1:$AH727,32,FALSE)-AVERAGE('The List'!AG2:AG727))/STDEV('The List'!AG2:AG727)</f>
        <v>-0.42867830127123302</v>
      </c>
      <c r="U536" s="39">
        <f>(VLOOKUP($A536,'The List'!$B1:$AH727,33,FALSE)-AVERAGE('The List'!AH2:AH727))/STDEV('The List'!AH2:AH727)</f>
        <v>0.63205442923900457</v>
      </c>
      <c r="V536" s="39"/>
      <c r="W536" s="43"/>
      <c r="X536" s="41"/>
      <c r="Y536" s="41"/>
      <c r="Z536" s="41"/>
      <c r="AA536" s="41"/>
      <c r="AB536" s="41"/>
      <c r="AC536" s="44"/>
      <c r="AD536" s="45"/>
      <c r="AE536" s="39"/>
    </row>
    <row r="537" spans="1:31" ht="21.25" customHeight="1" x14ac:dyDescent="0.15">
      <c r="A537" s="8" t="s">
        <v>525</v>
      </c>
      <c r="B537" s="35" t="str">
        <f>VLOOKUP(A537,'Player Data'!A1:B734,2,FALSE)</f>
        <v>SEA</v>
      </c>
      <c r="C537" s="37">
        <f>((E537)*Settings!$C$12)+(F537*Settings!$C$2)+(G537*Settings!$C$3)+(H537*Settings!$C$4)+(I537*Settings!$C$5)+(K537*Settings!$C$9)+(N537*Settings!$C$6)+(J537*Settings!$C$8)+(O537*Settings!$C$7)+(P537*Settings!$C$14)+(Q537*Settings!$C$15)+(R537*Settings!$C$16)+(S537*Settings!$C$17)+(T537*Settings!$C$18)+(U537*Settings!$C$19)</f>
        <v>-2.3408371346086096</v>
      </c>
      <c r="D537" s="41">
        <f>IF(Settings!$E$12="YES",VLOOKUP(A537,'Player Data'!A1:E734,5,FALSE),82)</f>
        <v>79.0085714285714</v>
      </c>
      <c r="E537" s="39">
        <f>(VLOOKUP($A537,'The List'!$B1:$AH727,17,FALSE)-AVERAGE('The List'!R2:R727))/STDEV('The List'!R2:R727)</f>
        <v>0.37206140841264584</v>
      </c>
      <c r="F537" s="39">
        <f>(VLOOKUP($A537,'The List'!$B1:$AH727,18,FALSE)-AVERAGE('The List'!S2:S727))/STDEV('The List'!S2:S727)</f>
        <v>-1.0625376257411272</v>
      </c>
      <c r="G537" s="39">
        <f>(VLOOKUP($A537,'The List'!$B1:$AH727,19,FALSE)-AVERAGE('The List'!T2:T727))/STDEV('The List'!T2:T727)</f>
        <v>-0.48225494263133267</v>
      </c>
      <c r="H537" s="39">
        <f>(VLOOKUP($A537,'The List'!$B1:$AH727,20,FALSE)-AVERAGE('The List'!U2:U727))/STDEV('The List'!U2:U727)</f>
        <v>-0.78069104566543257</v>
      </c>
      <c r="I537" s="39">
        <f>(VLOOKUP($A537,'The List'!$B1:$AH727,21,FALSE)-AVERAGE('The List'!V2:V727))/STDEV('The List'!V2:V727)</f>
        <v>-0.94128107647856585</v>
      </c>
      <c r="J537" s="39">
        <f>(VLOOKUP($A537,'The List'!$B1:$AH727,22,FALSE)-AVERAGE('The List'!W2:W727))/STDEV('The List'!W2:W727)</f>
        <v>-0.70666892236323453</v>
      </c>
      <c r="K537" s="39">
        <f>(VLOOKUP($A537,'The List'!$B1:$AH727,23,FALSE)-AVERAGE('The List'!X2:X727))/STDEV('The List'!X2:X727)</f>
        <v>-0.78641594540196302</v>
      </c>
      <c r="L537" s="39">
        <f>(VLOOKUP($A537,'The List'!$B1:$AH727,24,FALSE)-AVERAGE('The List'!Y2:Y727))/STDEV('The List'!Y2:Y727)</f>
        <v>-0.51545139439352927</v>
      </c>
      <c r="M537" s="39">
        <f>(VLOOKUP($A537,'The List'!$B1:$AH727,25,FALSE)-AVERAGE('The List'!Z2:Z727))/STDEV('The List'!Z2:Z727)</f>
        <v>0.26389651792720642</v>
      </c>
      <c r="N537" s="39">
        <f>(VLOOKUP($A537,'The List'!$B1:$AH727,26,FALSE)-AVERAGE('The List'!AA2:AA727))/STDEV('The List'!AA2:AA727)</f>
        <v>1.4432754813076438</v>
      </c>
      <c r="O537" s="39">
        <f>(VLOOKUP($A537,'The List'!$B1:$AH727,27,FALSE)-AVERAGE('The List'!AB2:AB727))/STDEV('The List'!AB2:AB727)</f>
        <v>0.15797466961059323</v>
      </c>
      <c r="P537" s="39">
        <f>(VLOOKUP($A537,'The List'!$B1:$AH727,28,FALSE)-AVERAGE('The List'!AC2:AC727))/STDEV('The List'!AC2:AC727)</f>
        <v>-0.51162302566326467</v>
      </c>
      <c r="Q537" s="39">
        <f>(VLOOKUP($A537,'The List'!$B1:$AH727,29,FALSE)-AVERAGE('The List'!AD2:AD727))/STDEV('The List'!AD2:AD727)</f>
        <v>-0.79111162388500977</v>
      </c>
      <c r="R537" s="39">
        <f>(VLOOKUP($A537,'The List'!$B1:$AH727,30,FALSE)-AVERAGE('The List'!AE2:AE727))/STDEV('The List'!AE2:AE727)</f>
        <v>-0.97965750161981979</v>
      </c>
      <c r="S537" s="39">
        <f>(VLOOKUP($A537,'The List'!$B1:$AH727,31,FALSE)-AVERAGE('The List'!AF2:AF727))/STDEV('The List'!AF2:AF727)</f>
        <v>-0.55804314905918151</v>
      </c>
      <c r="T537" s="39">
        <f>(VLOOKUP($A537,'The List'!$B1:$AH727,32,FALSE)-AVERAGE('The List'!AG2:AG727))/STDEV('The List'!AG2:AG727)</f>
        <v>-0.60188453558131205</v>
      </c>
      <c r="U537" s="39">
        <f>(VLOOKUP($A537,'The List'!$B1:$AH727,33,FALSE)-AVERAGE('The List'!AH2:AH727))/STDEV('The List'!AH2:AH727)</f>
        <v>-1.2395873372913611</v>
      </c>
      <c r="V537" s="39"/>
      <c r="W537" s="43"/>
      <c r="X537" s="41"/>
      <c r="Y537" s="41"/>
      <c r="Z537" s="41"/>
      <c r="AA537" s="41"/>
      <c r="AB537" s="41"/>
      <c r="AC537" s="44"/>
      <c r="AD537" s="45"/>
      <c r="AE537" s="39"/>
    </row>
    <row r="538" spans="1:31" ht="21.25" customHeight="1" x14ac:dyDescent="0.15">
      <c r="A538" s="8" t="s">
        <v>791</v>
      </c>
      <c r="B538" s="35" t="str">
        <f>VLOOKUP(A538,'Player Data'!A1:B734,2,FALSE)</f>
        <v>DET</v>
      </c>
      <c r="C538" s="37">
        <f>((E538)*Settings!$C$12)+(F538*Settings!$C$2)+(G538*Settings!$C$3)+(H538*Settings!$C$4)+(I538*Settings!$C$5)+(K538*Settings!$C$9)+(N538*Settings!$C$6)+(J538*Settings!$C$8)+(O538*Settings!$C$7)+(P538*Settings!$C$14)+(Q538*Settings!$C$15)+(R538*Settings!$C$16)+(S538*Settings!$C$17)+(T538*Settings!$C$18)+(U538*Settings!$C$19)</f>
        <v>-4.7848039725516243</v>
      </c>
      <c r="D538" s="41">
        <f>IF(Settings!$E$12="YES",VLOOKUP(A538,'Player Data'!A1:E734,5,FALSE),82)</f>
        <v>72</v>
      </c>
      <c r="E538" s="39">
        <f>(VLOOKUP($A538,'The List'!$B1:$AH727,17,FALSE)-AVERAGE('The List'!R2:R727))/STDEV('The List'!R2:R727)</f>
        <v>-1.322935747135723</v>
      </c>
      <c r="F538" s="39">
        <f>(VLOOKUP($A538,'The List'!$B1:$AH727,18,FALSE)-AVERAGE('The List'!S2:S727))/STDEV('The List'!S2:S727)</f>
        <v>-0.51266753384325048</v>
      </c>
      <c r="G538" s="39">
        <f>(VLOOKUP($A538,'The List'!$B1:$AH727,19,FALSE)-AVERAGE('The List'!T2:T727))/STDEV('The List'!T2:T727)</f>
        <v>-1.0055562746075377</v>
      </c>
      <c r="H538" s="39">
        <f>(VLOOKUP($A538,'The List'!$B1:$AH727,20,FALSE)-AVERAGE('The List'!U2:U727))/STDEV('The List'!U2:U727)</f>
        <v>-0.85292884426941185</v>
      </c>
      <c r="I538" s="39">
        <f>(VLOOKUP($A538,'The List'!$B1:$AH727,21,FALSE)-AVERAGE('The List'!V2:V727))/STDEV('The List'!V2:V727)</f>
        <v>-1.0150479368519785</v>
      </c>
      <c r="J538" s="39">
        <f>(VLOOKUP($A538,'The List'!$B1:$AH727,22,FALSE)-AVERAGE('The List'!W2:W727))/STDEV('The List'!W2:W727)</f>
        <v>-0.59353348932986172</v>
      </c>
      <c r="K538" s="39">
        <f>(VLOOKUP($A538,'The List'!$B1:$AH727,23,FALSE)-AVERAGE('The List'!X2:X727))/STDEV('The List'!X2:X727)</f>
        <v>-0.66610499188287142</v>
      </c>
      <c r="L538" s="39">
        <f>(VLOOKUP($A538,'The List'!$B1:$AH727,24,FALSE)-AVERAGE('The List'!Y2:Y727))/STDEV('The List'!Y2:Y727)</f>
        <v>-0.38214910721659257</v>
      </c>
      <c r="M538" s="39">
        <f>(VLOOKUP($A538,'The List'!$B1:$AH727,25,FALSE)-AVERAGE('The List'!Z2:Z727))/STDEV('The List'!Z2:Z727)</f>
        <v>-0.54056612491105493</v>
      </c>
      <c r="N538" s="39">
        <f>(VLOOKUP($A538,'The List'!$B1:$AH727,26,FALSE)-AVERAGE('The List'!AA2:AA727))/STDEV('The List'!AA2:AA727)</f>
        <v>-0.67108309544522116</v>
      </c>
      <c r="O538" s="39">
        <f>(VLOOKUP($A538,'The List'!$B1:$AH727,27,FALSE)-AVERAGE('The List'!AB2:AB727))/STDEV('The List'!AB2:AB727)</f>
        <v>0.62913398839477763</v>
      </c>
      <c r="P538" s="39">
        <f>(VLOOKUP($A538,'The List'!$B1:$AH727,28,FALSE)-AVERAGE('The List'!AC2:AC727))/STDEV('The List'!AC2:AC727)</f>
        <v>-0.91434413992076546</v>
      </c>
      <c r="Q538" s="39">
        <f>(VLOOKUP($A538,'The List'!$B1:$AH727,29,FALSE)-AVERAGE('The List'!AD2:AD727))/STDEV('The List'!AD2:AD727)</f>
        <v>-0.58702149355313904</v>
      </c>
      <c r="R538" s="39">
        <f>(VLOOKUP($A538,'The List'!$B1:$AH727,30,FALSE)-AVERAGE('The List'!AE2:AE727))/STDEV('The List'!AE2:AE727)</f>
        <v>-0.53322101097265362</v>
      </c>
      <c r="S538" s="39">
        <f>(VLOOKUP($A538,'The List'!$B1:$AH727,31,FALSE)-AVERAGE('The List'!AF2:AF727))/STDEV('The List'!AF2:AF727)</f>
        <v>0.56800526011272878</v>
      </c>
      <c r="T538" s="39">
        <f>(VLOOKUP($A538,'The List'!$B1:$AH727,32,FALSE)-AVERAGE('The List'!AG2:AG727))/STDEV('The List'!AG2:AG727)</f>
        <v>0.84962211658588604</v>
      </c>
      <c r="U538" s="39">
        <f>(VLOOKUP($A538,'The List'!$B1:$AH727,33,FALSE)-AVERAGE('The List'!AH2:AH727))/STDEV('The List'!AH2:AH727)</f>
        <v>0.79061237824542407</v>
      </c>
      <c r="V538" s="39"/>
      <c r="W538" s="43"/>
      <c r="X538" s="41"/>
      <c r="Y538" s="41"/>
      <c r="Z538" s="41"/>
      <c r="AA538" s="41"/>
      <c r="AB538" s="41"/>
      <c r="AC538" s="44"/>
      <c r="AD538" s="45"/>
      <c r="AE538" s="39"/>
    </row>
    <row r="539" spans="1:31" ht="21.25" customHeight="1" x14ac:dyDescent="0.15">
      <c r="A539" s="8" t="s">
        <v>787</v>
      </c>
      <c r="B539" s="35" t="str">
        <f>VLOOKUP(A539,'Player Data'!A1:B734,2,FALSE)</f>
        <v>MIN</v>
      </c>
      <c r="C539" s="37">
        <f>((E539)*Settings!$C$12)+(F539*Settings!$C$2)+(G539*Settings!$C$3)+(H539*Settings!$C$4)+(I539*Settings!$C$5)+(K539*Settings!$C$9)+(N539*Settings!$C$6)+(J539*Settings!$C$8)+(O539*Settings!$C$7)+(P539*Settings!$C$14)+(Q539*Settings!$C$15)+(R539*Settings!$C$16)+(S539*Settings!$C$17)+(T539*Settings!$C$18)+(U539*Settings!$C$19)</f>
        <v>-3.8421837150543983</v>
      </c>
      <c r="D539" s="41">
        <f>IF(Settings!$E$12="YES",VLOOKUP(A539,'Player Data'!A1:E734,5,FALSE),82)</f>
        <v>67.19</v>
      </c>
      <c r="E539" s="39">
        <f>(VLOOKUP($A539,'The List'!$B1:$AH727,17,FALSE)-AVERAGE('The List'!R2:R727))/STDEV('The List'!R2:R727)</f>
        <v>-1.4959204410044142</v>
      </c>
      <c r="F539" s="39">
        <f>(VLOOKUP($A539,'The List'!$B1:$AH727,18,FALSE)-AVERAGE('The List'!S2:S727))/STDEV('The List'!S2:S727)</f>
        <v>-0.70722323922809605</v>
      </c>
      <c r="G539" s="39">
        <f>(VLOOKUP($A539,'The List'!$B1:$AH727,19,FALSE)-AVERAGE('The List'!T2:T727))/STDEV('The List'!T2:T727)</f>
        <v>-0.94309897501806272</v>
      </c>
      <c r="H539" s="39">
        <f>(VLOOKUP($A539,'The List'!$B1:$AH727,20,FALSE)-AVERAGE('The List'!U2:U727))/STDEV('The List'!U2:U727)</f>
        <v>-0.90297710169754741</v>
      </c>
      <c r="I539" s="39">
        <f>(VLOOKUP($A539,'The List'!$B1:$AH727,21,FALSE)-AVERAGE('The List'!V2:V727))/STDEV('The List'!V2:V727)</f>
        <v>-0.94244973460400927</v>
      </c>
      <c r="J539" s="39">
        <f>(VLOOKUP($A539,'The List'!$B1:$AH727,22,FALSE)-AVERAGE('The List'!W2:W727))/STDEV('The List'!W2:W727)</f>
        <v>-0.69733253417956476</v>
      </c>
      <c r="K539" s="39">
        <f>(VLOOKUP($A539,'The List'!$B1:$AH727,23,FALSE)-AVERAGE('The List'!X2:X727))/STDEV('The List'!X2:X727)</f>
        <v>-0.7837612592408929</v>
      </c>
      <c r="L539" s="39">
        <f>(VLOOKUP($A539,'The List'!$B1:$AH727,24,FALSE)-AVERAGE('The List'!Y2:Y727))/STDEV('The List'!Y2:Y727)</f>
        <v>3.2277224812855771</v>
      </c>
      <c r="M539" s="39">
        <f>(VLOOKUP($A539,'The List'!$B1:$AH727,25,FALSE)-AVERAGE('The List'!Z2:Z727))/STDEV('The List'!Z2:Z727)</f>
        <v>2.4327093262159494</v>
      </c>
      <c r="N539" s="39">
        <f>(VLOOKUP($A539,'The List'!$B1:$AH727,26,FALSE)-AVERAGE('The List'!AA2:AA727))/STDEV('The List'!AA2:AA727)</f>
        <v>-0.49284887847558329</v>
      </c>
      <c r="O539" s="39">
        <f>(VLOOKUP($A539,'The List'!$B1:$AH727,27,FALSE)-AVERAGE('The List'!AB2:AB727))/STDEV('The List'!AB2:AB727)</f>
        <v>0.22200731237399535</v>
      </c>
      <c r="P539" s="39">
        <f>(VLOOKUP($A539,'The List'!$B1:$AH727,28,FALSE)-AVERAGE('The List'!AC2:AC727))/STDEV('The List'!AC2:AC727)</f>
        <v>2.7198371512246092E-2</v>
      </c>
      <c r="Q539" s="39">
        <f>(VLOOKUP($A539,'The List'!$B1:$AH727,29,FALSE)-AVERAGE('The List'!AD2:AD727))/STDEV('The List'!AD2:AD727)</f>
        <v>-0.52518844756966931</v>
      </c>
      <c r="R539" s="39">
        <f>(VLOOKUP($A539,'The List'!$B1:$AH727,30,FALSE)-AVERAGE('The List'!AE2:AE727))/STDEV('The List'!AE2:AE727)</f>
        <v>-0.57670211728854592</v>
      </c>
      <c r="S539" s="39">
        <f>(VLOOKUP($A539,'The List'!$B1:$AH727,31,FALSE)-AVERAGE('The List'!AF2:AF727))/STDEV('The List'!AF2:AF727)</f>
        <v>0.33464495186251114</v>
      </c>
      <c r="T539" s="39">
        <f>(VLOOKUP($A539,'The List'!$B1:$AH727,32,FALSE)-AVERAGE('The List'!AG2:AG727))/STDEV('The List'!AG2:AG727)</f>
        <v>0.55793548897390033</v>
      </c>
      <c r="U539" s="39">
        <f>(VLOOKUP($A539,'The List'!$B1:$AH727,33,FALSE)-AVERAGE('The List'!AH2:AH727))/STDEV('The List'!AH2:AH727)</f>
        <v>0.7817898863303463</v>
      </c>
      <c r="V539" s="39"/>
      <c r="W539" s="41"/>
      <c r="X539" s="39"/>
      <c r="Y539" s="39"/>
      <c r="Z539" s="39"/>
      <c r="AA539" s="39"/>
      <c r="AB539" s="39"/>
      <c r="AC539" s="39"/>
      <c r="AD539" s="39"/>
      <c r="AE539" s="39"/>
    </row>
    <row r="540" spans="1:31" ht="21.25" customHeight="1" x14ac:dyDescent="0.15">
      <c r="A540" s="8" t="s">
        <v>760</v>
      </c>
      <c r="B540" s="35" t="str">
        <f>VLOOKUP(A540,'Player Data'!A1:B734,2,FALSE)</f>
        <v>BOS</v>
      </c>
      <c r="C540" s="37">
        <f>((E540)*Settings!$C$12)+(F540*Settings!$C$2)+(G540*Settings!$C$3)+(H540*Settings!$C$4)+(I540*Settings!$C$5)+(K540*Settings!$C$9)+(N540*Settings!$C$6)+(J540*Settings!$C$8)+(O540*Settings!$C$7)+(P540*Settings!$C$14)+(Q540*Settings!$C$15)+(R540*Settings!$C$16)+(S540*Settings!$C$17)+(T540*Settings!$C$18)+(U540*Settings!$C$19)</f>
        <v>-3.7677796615682064</v>
      </c>
      <c r="D540" s="41">
        <f>IF(Settings!$E$12="YES",VLOOKUP(A540,'Player Data'!A1:E734,5,FALSE),82)</f>
        <v>60.211428571428598</v>
      </c>
      <c r="E540" s="39">
        <f>(VLOOKUP($A540,'The List'!$B1:$AH727,17,FALSE)-AVERAGE('The List'!R2:R727))/STDEV('The List'!R2:R727)</f>
        <v>-1.6720307671956989</v>
      </c>
      <c r="F540" s="39">
        <f>(VLOOKUP($A540,'The List'!$B1:$AH727,18,FALSE)-AVERAGE('The List'!S2:S727))/STDEV('The List'!S2:S727)</f>
        <v>-0.71745108603020347</v>
      </c>
      <c r="G540" s="39">
        <f>(VLOOKUP($A540,'The List'!$B1:$AH727,19,FALSE)-AVERAGE('The List'!T2:T727))/STDEV('The List'!T2:T727)</f>
        <v>-1.0576595693613635</v>
      </c>
      <c r="H540" s="39">
        <f>(VLOOKUP($A540,'The List'!$B1:$AH727,20,FALSE)-AVERAGE('The List'!U2:U727))/STDEV('The List'!U2:U727)</f>
        <v>-0.9782247051140408</v>
      </c>
      <c r="I540" s="39">
        <f>(VLOOKUP($A540,'The List'!$B1:$AH727,21,FALSE)-AVERAGE('The List'!V2:V727))/STDEV('The List'!V2:V727)</f>
        <v>-0.96458895123840893</v>
      </c>
      <c r="J540" s="39">
        <f>(VLOOKUP($A540,'The List'!$B1:$AH727,22,FALSE)-AVERAGE('The List'!W2:W727))/STDEV('The List'!W2:W727)</f>
        <v>-0.69843720349393146</v>
      </c>
      <c r="K540" s="39">
        <f>(VLOOKUP($A540,'The List'!$B1:$AH727,23,FALSE)-AVERAGE('The List'!X2:X727))/STDEV('The List'!X2:X727)</f>
        <v>-0.78795754796182715</v>
      </c>
      <c r="L540" s="39">
        <f>(VLOOKUP($A540,'The List'!$B1:$AH727,24,FALSE)-AVERAGE('The List'!Y2:Y727))/STDEV('The List'!Y2:Y727)</f>
        <v>-0.50306284793168154</v>
      </c>
      <c r="M540" s="39">
        <f>(VLOOKUP($A540,'The List'!$B1:$AH727,25,FALSE)-AVERAGE('The List'!Z2:Z727))/STDEV('The List'!Z2:Z727)</f>
        <v>-0.67750430149790408</v>
      </c>
      <c r="N540" s="39">
        <f>(VLOOKUP($A540,'The List'!$B1:$AH727,26,FALSE)-AVERAGE('The List'!AA2:AA727))/STDEV('The List'!AA2:AA727)</f>
        <v>-0.82612624254888001</v>
      </c>
      <c r="O540" s="39">
        <f>(VLOOKUP($A540,'The List'!$B1:$AH727,27,FALSE)-AVERAGE('The List'!AB2:AB727))/STDEV('The List'!AB2:AB727)</f>
        <v>0.3927183385420262</v>
      </c>
      <c r="P540" s="39">
        <f>(VLOOKUP($A540,'The List'!$B1:$AH727,28,FALSE)-AVERAGE('The List'!AC2:AC727))/STDEV('The List'!AC2:AC727)</f>
        <v>0.58600373557247676</v>
      </c>
      <c r="Q540" s="39">
        <f>(VLOOKUP($A540,'The List'!$B1:$AH727,29,FALSE)-AVERAGE('The List'!AD2:AD727))/STDEV('The List'!AD2:AD727)</f>
        <v>0.91919928768587034</v>
      </c>
      <c r="R540" s="39">
        <f>(VLOOKUP($A540,'The List'!$B1:$AH727,30,FALSE)-AVERAGE('The List'!AE2:AE727))/STDEV('The List'!AE2:AE727)</f>
        <v>-0.55992301430941582</v>
      </c>
      <c r="S540" s="39">
        <f>(VLOOKUP($A540,'The List'!$B1:$AH727,31,FALSE)-AVERAGE('The List'!AF2:AF727))/STDEV('The List'!AF2:AF727)</f>
        <v>-0.54532995505425907</v>
      </c>
      <c r="T540" s="39">
        <f>(VLOOKUP($A540,'The List'!$B1:$AH727,32,FALSE)-AVERAGE('The List'!AG2:AG727))/STDEV('The List'!AG2:AG727)</f>
        <v>-0.59503327984113108</v>
      </c>
      <c r="U540" s="39">
        <f>(VLOOKUP($A540,'The List'!$B1:$AH727,33,FALSE)-AVERAGE('The List'!AH2:AH727))/STDEV('The List'!AH2:AH727)</f>
        <v>1.747869214491883</v>
      </c>
      <c r="V540" s="39"/>
      <c r="W540" s="43"/>
      <c r="X540" s="41"/>
      <c r="Y540" s="41"/>
      <c r="Z540" s="41"/>
      <c r="AA540" s="41"/>
      <c r="AB540" s="41"/>
      <c r="AC540" s="44"/>
      <c r="AD540" s="45"/>
      <c r="AE540" s="39"/>
    </row>
    <row r="541" spans="1:31" ht="21.25" customHeight="1" x14ac:dyDescent="0.15">
      <c r="A541" s="8" t="s">
        <v>460</v>
      </c>
      <c r="B541" s="35" t="str">
        <f>VLOOKUP(A541,'Player Data'!A1:B734,2,FALSE)</f>
        <v>DET</v>
      </c>
      <c r="C541" s="37">
        <f>((E541)*Settings!$C$12)+(F541*Settings!$C$2)+(G541*Settings!$C$3)+(H541*Settings!$C$4)+(I541*Settings!$C$5)+(K541*Settings!$C$9)+(N541*Settings!$C$6)+(J541*Settings!$C$8)+(O541*Settings!$C$7)+(P541*Settings!$C$14)+(Q541*Settings!$C$15)+(R541*Settings!$C$16)+(S541*Settings!$C$17)+(T541*Settings!$C$18)+(U541*Settings!$C$19)</f>
        <v>-2.0169276778810308</v>
      </c>
      <c r="D541" s="41">
        <f>IF(Settings!$E$12="YES",VLOOKUP(A541,'Player Data'!A1:E734,5,FALSE),82)</f>
        <v>77.668571428571397</v>
      </c>
      <c r="E541" s="39">
        <f>(VLOOKUP($A541,'The List'!$B1:$AH727,17,FALSE)-AVERAGE('The List'!R2:R727))/STDEV('The List'!R2:R727)</f>
        <v>0.72305328801542923</v>
      </c>
      <c r="F541" s="39">
        <f>(VLOOKUP($A541,'The List'!$B1:$AH727,18,FALSE)-AVERAGE('The List'!S2:S727))/STDEV('The List'!S2:S727)</f>
        <v>-0.86168105982634946</v>
      </c>
      <c r="G541" s="39">
        <f>(VLOOKUP($A541,'The List'!$B1:$AH727,19,FALSE)-AVERAGE('The List'!T2:T727))/STDEV('The List'!T2:T727)</f>
        <v>-0.66748821719811224</v>
      </c>
      <c r="H541" s="39">
        <f>(VLOOKUP($A541,'The List'!$B1:$AH727,20,FALSE)-AVERAGE('The List'!U2:U727))/STDEV('The List'!U2:U727)</f>
        <v>-0.80343118870472097</v>
      </c>
      <c r="I541" s="39">
        <f>(VLOOKUP($A541,'The List'!$B1:$AH727,21,FALSE)-AVERAGE('The List'!V2:V727))/STDEV('The List'!V2:V727)</f>
        <v>-0.33715569110599586</v>
      </c>
      <c r="J541" s="39">
        <f>(VLOOKUP($A541,'The List'!$B1:$AH727,22,FALSE)-AVERAGE('The List'!W2:W727))/STDEV('The List'!W2:W727)</f>
        <v>-0.67866760739026355</v>
      </c>
      <c r="K541" s="39">
        <f>(VLOOKUP($A541,'The List'!$B1:$AH727,23,FALSE)-AVERAGE('The List'!X2:X727))/STDEV('The List'!X2:X727)</f>
        <v>-0.77328422614814674</v>
      </c>
      <c r="L541" s="39">
        <f>(VLOOKUP($A541,'The List'!$B1:$AH727,24,FALSE)-AVERAGE('The List'!Y2:Y727))/STDEV('The List'!Y2:Y727)</f>
        <v>-0.50915980760736368</v>
      </c>
      <c r="M541" s="39">
        <f>(VLOOKUP($A541,'The List'!$B1:$AH727,25,FALSE)-AVERAGE('The List'!Z2:Z727))/STDEV('The List'!Z2:Z727)</f>
        <v>-0.60744620343896594</v>
      </c>
      <c r="N541" s="39">
        <f>(VLOOKUP($A541,'The List'!$B1:$AH727,26,FALSE)-AVERAGE('The List'!AA2:AA727))/STDEV('The List'!AA2:AA727)</f>
        <v>2.0452975639134698</v>
      </c>
      <c r="O541" s="39">
        <f>(VLOOKUP($A541,'The List'!$B1:$AH727,27,FALSE)-AVERAGE('The List'!AB2:AB727))/STDEV('The List'!AB2:AB727)</f>
        <v>0.97636995705967422</v>
      </c>
      <c r="P541" s="39">
        <f>(VLOOKUP($A541,'The List'!$B1:$AH727,28,FALSE)-AVERAGE('The List'!AC2:AC727))/STDEV('The List'!AC2:AC727)</f>
        <v>-1.4226160475158967</v>
      </c>
      <c r="Q541" s="39">
        <f>(VLOOKUP($A541,'The List'!$B1:$AH727,29,FALSE)-AVERAGE('The List'!AD2:AD727))/STDEV('The List'!AD2:AD727)</f>
        <v>1.3047100251604653</v>
      </c>
      <c r="R541" s="39">
        <f>(VLOOKUP($A541,'The List'!$B1:$AH727,30,FALSE)-AVERAGE('The List'!AE2:AE727))/STDEV('The List'!AE2:AE727)</f>
        <v>-0.82757084854302543</v>
      </c>
      <c r="S541" s="39">
        <f>(VLOOKUP($A541,'The List'!$B1:$AH727,31,FALSE)-AVERAGE('The List'!AF2:AF727))/STDEV('The List'!AF2:AF727)</f>
        <v>-0.55804314905918151</v>
      </c>
      <c r="T541" s="39">
        <f>(VLOOKUP($A541,'The List'!$B1:$AH727,32,FALSE)-AVERAGE('The List'!AG2:AG727))/STDEV('The List'!AG2:AG727)</f>
        <v>-0.60188453558131205</v>
      </c>
      <c r="U541" s="39">
        <f>(VLOOKUP($A541,'The List'!$B1:$AH727,33,FALSE)-AVERAGE('The List'!AH2:AH727))/STDEV('The List'!AH2:AH727)</f>
        <v>-1.2395873372913611</v>
      </c>
      <c r="V541" s="39"/>
      <c r="W541" s="43"/>
      <c r="X541" s="41"/>
      <c r="Y541" s="41"/>
      <c r="Z541" s="41"/>
      <c r="AA541" s="41"/>
      <c r="AB541" s="41"/>
      <c r="AC541" s="44"/>
      <c r="AD541" s="45"/>
      <c r="AE541" s="39"/>
    </row>
    <row r="542" spans="1:31" ht="21.25" customHeight="1" x14ac:dyDescent="0.15">
      <c r="A542" s="8" t="s">
        <v>695</v>
      </c>
      <c r="B542" s="35" t="str">
        <f>VLOOKUP(A542,'Player Data'!A1:B734,2,FALSE)</f>
        <v>NYR</v>
      </c>
      <c r="C542" s="37">
        <f>((E542)*Settings!$C$12)+(F542*Settings!$C$2)+(G542*Settings!$C$3)+(H542*Settings!$C$4)+(I542*Settings!$C$5)+(K542*Settings!$C$9)+(N542*Settings!$C$6)+(J542*Settings!$C$8)+(O542*Settings!$C$7)+(P542*Settings!$C$14)+(Q542*Settings!$C$15)+(R542*Settings!$C$16)+(S542*Settings!$C$17)+(T542*Settings!$C$18)+(U542*Settings!$C$19)</f>
        <v>-2.4007001170436215</v>
      </c>
      <c r="D542" s="41">
        <f>IF(Settings!$E$12="YES",VLOOKUP(A542,'Player Data'!A1:E734,5,FALSE),82)</f>
        <v>79.048928571428604</v>
      </c>
      <c r="E542" s="39">
        <f>(VLOOKUP($A542,'The List'!$B1:$AH727,17,FALSE)-AVERAGE('The List'!R2:R727))/STDEV('The List'!R2:R727)</f>
        <v>-1.1485057997827506</v>
      </c>
      <c r="F542" s="39">
        <f>(VLOOKUP($A542,'The List'!$B1:$AH727,18,FALSE)-AVERAGE('The List'!S2:S727))/STDEV('The List'!S2:S727)</f>
        <v>-0.49511429059295092</v>
      </c>
      <c r="G542" s="39">
        <f>(VLOOKUP($A542,'The List'!$B1:$AH727,19,FALSE)-AVERAGE('The List'!T2:T727))/STDEV('The List'!T2:T727)</f>
        <v>-0.91545345136460243</v>
      </c>
      <c r="H542" s="39">
        <f>(VLOOKUP($A542,'The List'!$B1:$AH727,20,FALSE)-AVERAGE('The List'!U2:U727))/STDEV('The List'!U2:U727)</f>
        <v>-0.78941883082982089</v>
      </c>
      <c r="I542" s="39">
        <f>(VLOOKUP($A542,'The List'!$B1:$AH727,21,FALSE)-AVERAGE('The List'!V2:V727))/STDEV('The List'!V2:V727)</f>
        <v>-0.42792233278343772</v>
      </c>
      <c r="J542" s="39">
        <f>(VLOOKUP($A542,'The List'!$B1:$AH727,22,FALSE)-AVERAGE('The List'!W2:W727))/STDEV('The List'!W2:W727)</f>
        <v>-0.70024417896125357</v>
      </c>
      <c r="K542" s="39">
        <f>(VLOOKUP($A542,'The List'!$B1:$AH727,23,FALSE)-AVERAGE('The List'!X2:X727))/STDEV('The List'!X2:X727)</f>
        <v>-0.7896040402955361</v>
      </c>
      <c r="L542" s="39">
        <f>(VLOOKUP($A542,'The List'!$B1:$AH727,24,FALSE)-AVERAGE('The List'!Y2:Y727))/STDEV('The List'!Y2:Y727)</f>
        <v>0.92552151244317438</v>
      </c>
      <c r="M542" s="39">
        <f>(VLOOKUP($A542,'The List'!$B1:$AH727,25,FALSE)-AVERAGE('The List'!Z2:Z727))/STDEV('The List'!Z2:Z727)</f>
        <v>0.4030984640129866</v>
      </c>
      <c r="N542" s="39">
        <f>(VLOOKUP($A542,'The List'!$B1:$AH727,26,FALSE)-AVERAGE('The List'!AA2:AA727))/STDEV('The List'!AA2:AA727)</f>
        <v>-0.63886377481389289</v>
      </c>
      <c r="O542" s="39">
        <f>(VLOOKUP($A542,'The List'!$B1:$AH727,27,FALSE)-AVERAGE('The List'!AB2:AB727))/STDEV('The List'!AB2:AB727)</f>
        <v>3.6546871516044785E-2</v>
      </c>
      <c r="P542" s="39">
        <f>(VLOOKUP($A542,'The List'!$B1:$AH727,28,FALSE)-AVERAGE('The List'!AC2:AC727))/STDEV('The List'!AC2:AC727)</f>
        <v>0.86625777280679828</v>
      </c>
      <c r="Q542" s="39">
        <f>(VLOOKUP($A542,'The List'!$B1:$AH727,29,FALSE)-AVERAGE('The List'!AD2:AD727))/STDEV('The List'!AD2:AD727)</f>
        <v>-0.99441312249132485</v>
      </c>
      <c r="R542" s="39">
        <f>(VLOOKUP($A542,'The List'!$B1:$AH727,30,FALSE)-AVERAGE('The List'!AE2:AE727))/STDEV('The List'!AE2:AE727)</f>
        <v>-0.30296458701353218</v>
      </c>
      <c r="S542" s="39">
        <f>(VLOOKUP($A542,'The List'!$B1:$AH727,31,FALSE)-AVERAGE('The List'!AF2:AF727))/STDEV('The List'!AF2:AF727)</f>
        <v>-0.53043577339533809</v>
      </c>
      <c r="T542" s="39">
        <f>(VLOOKUP($A542,'The List'!$B1:$AH727,32,FALSE)-AVERAGE('The List'!AG2:AG727))/STDEV('The List'!AG2:AG727)</f>
        <v>-0.51597275822414512</v>
      </c>
      <c r="U542" s="39">
        <f>(VLOOKUP($A542,'The List'!$B1:$AH727,33,FALSE)-AVERAGE('The List'!AH2:AH727))/STDEV('The List'!AH2:AH727)</f>
        <v>-9.8177150157326962E-2</v>
      </c>
      <c r="V542" s="39"/>
      <c r="W542" s="43"/>
      <c r="X542" s="41"/>
      <c r="Y542" s="41"/>
      <c r="Z542" s="41"/>
      <c r="AA542" s="41"/>
      <c r="AB542" s="41"/>
      <c r="AC542" s="44"/>
      <c r="AD542" s="45"/>
      <c r="AE542" s="39"/>
    </row>
    <row r="543" spans="1:31" ht="21.25" customHeight="1" x14ac:dyDescent="0.15">
      <c r="A543" s="8" t="s">
        <v>484</v>
      </c>
      <c r="B543" s="35" t="str">
        <f>VLOOKUP(A543,'Player Data'!A1:B734,2,FALSE)</f>
        <v>NYI</v>
      </c>
      <c r="C543" s="37">
        <f>((E543)*Settings!$C$12)+(F543*Settings!$C$2)+(G543*Settings!$C$3)+(H543*Settings!$C$4)+(I543*Settings!$C$5)+(K543*Settings!$C$9)+(N543*Settings!$C$6)+(J543*Settings!$C$8)+(O543*Settings!$C$7)+(P543*Settings!$C$14)+(Q543*Settings!$C$15)+(R543*Settings!$C$16)+(S543*Settings!$C$17)+(T543*Settings!$C$18)+(U543*Settings!$C$19)</f>
        <v>-1.3212750466987717</v>
      </c>
      <c r="D543" s="41">
        <f>IF(Settings!$E$12="YES",VLOOKUP(A543,'Player Data'!A1:E734,5,FALSE),82)</f>
        <v>80.259642857142893</v>
      </c>
      <c r="E543" s="39">
        <f>(VLOOKUP($A543,'The List'!$B1:$AH727,17,FALSE)-AVERAGE('The List'!R2:R727))/STDEV('The List'!R2:R727)</f>
        <v>0.55193857840874194</v>
      </c>
      <c r="F543" s="39">
        <f>(VLOOKUP($A543,'The List'!$B1:$AH727,18,FALSE)-AVERAGE('The List'!S2:S727))/STDEV('The List'!S2:S727)</f>
        <v>-1.0196241193113946</v>
      </c>
      <c r="G543" s="39">
        <f>(VLOOKUP($A543,'The List'!$B1:$AH727,19,FALSE)-AVERAGE('The List'!T2:T727))/STDEV('The List'!T2:T727)</f>
        <v>-0.51539756596096098</v>
      </c>
      <c r="H543" s="39">
        <f>(VLOOKUP($A543,'The List'!$B1:$AH727,20,FALSE)-AVERAGE('The List'!U2:U727))/STDEV('The List'!U2:U727)</f>
        <v>-0.78158550453960318</v>
      </c>
      <c r="I543" s="39">
        <f>(VLOOKUP($A543,'The List'!$B1:$AH727,21,FALSE)-AVERAGE('The List'!V2:V727))/STDEV('The List'!V2:V727)</f>
        <v>-0.51711538854130168</v>
      </c>
      <c r="J543" s="39">
        <f>(VLOOKUP($A543,'The List'!$B1:$AH727,22,FALSE)-AVERAGE('The List'!W2:W727))/STDEV('The List'!W2:W727)</f>
        <v>-0.70864059799502965</v>
      </c>
      <c r="K543" s="39">
        <f>(VLOOKUP($A543,'The List'!$B1:$AH727,23,FALSE)-AVERAGE('The List'!X2:X727))/STDEV('The List'!X2:X727)</f>
        <v>-0.79088038190078758</v>
      </c>
      <c r="L543" s="39">
        <f>(VLOOKUP($A543,'The List'!$B1:$AH727,24,FALSE)-AVERAGE('The List'!Y2:Y727))/STDEV('The List'!Y2:Y727)</f>
        <v>-0.49722982667074989</v>
      </c>
      <c r="M543" s="39">
        <f>(VLOOKUP($A543,'The List'!$B1:$AH727,25,FALSE)-AVERAGE('The List'!Z2:Z727))/STDEV('The List'!Z2:Z727)</f>
        <v>-0.57566149046101611</v>
      </c>
      <c r="N543" s="39">
        <f>(VLOOKUP($A543,'The List'!$B1:$AH727,26,FALSE)-AVERAGE('The List'!AA2:AA727))/STDEV('The List'!AA2:AA727)</f>
        <v>1.7715606498739438</v>
      </c>
      <c r="O543" s="39">
        <f>(VLOOKUP($A543,'The List'!$B1:$AH727,27,FALSE)-AVERAGE('The List'!AB2:AB727))/STDEV('The List'!AB2:AB727)</f>
        <v>2.0233929111378073</v>
      </c>
      <c r="P543" s="39">
        <f>(VLOOKUP($A543,'The List'!$B1:$AH727,28,FALSE)-AVERAGE('The List'!AC2:AC727))/STDEV('The List'!AC2:AC727)</f>
        <v>-0.24981824085827053</v>
      </c>
      <c r="Q543" s="39">
        <f>(VLOOKUP($A543,'The List'!$B1:$AH727,29,FALSE)-AVERAGE('The List'!AD2:AD727))/STDEV('The List'!AD2:AD727)</f>
        <v>0.67143524033551916</v>
      </c>
      <c r="R543" s="39">
        <f>(VLOOKUP($A543,'The List'!$B1:$AH727,30,FALSE)-AVERAGE('The List'!AE2:AE727))/STDEV('The List'!AE2:AE727)</f>
        <v>-0.91523429763714048</v>
      </c>
      <c r="S543" s="39">
        <f>(VLOOKUP($A543,'The List'!$B1:$AH727,31,FALSE)-AVERAGE('The List'!AF2:AF727))/STDEV('The List'!AF2:AF727)</f>
        <v>-0.55804314905918151</v>
      </c>
      <c r="T543" s="39">
        <f>(VLOOKUP($A543,'The List'!$B1:$AH727,32,FALSE)-AVERAGE('The List'!AG2:AG727))/STDEV('The List'!AG2:AG727)</f>
        <v>-0.60188453558131205</v>
      </c>
      <c r="U543" s="39">
        <f>(VLOOKUP($A543,'The List'!$B1:$AH727,33,FALSE)-AVERAGE('The List'!AH2:AH727))/STDEV('The List'!AH2:AH727)</f>
        <v>-1.2395873372913611</v>
      </c>
      <c r="V543" s="39"/>
      <c r="W543" s="41"/>
      <c r="X543" s="39"/>
      <c r="Y543" s="39"/>
      <c r="Z543" s="39"/>
      <c r="AA543" s="39"/>
      <c r="AB543" s="39"/>
      <c r="AC543" s="39"/>
      <c r="AD543" s="39"/>
      <c r="AE543" s="39"/>
    </row>
    <row r="544" spans="1:31" ht="21.25" customHeight="1" x14ac:dyDescent="0.15">
      <c r="A544" s="8" t="s">
        <v>794</v>
      </c>
      <c r="B544" s="35" t="str">
        <f>VLOOKUP(A544,'Player Data'!A1:B734,2,FALSE)</f>
        <v>VAN</v>
      </c>
      <c r="C544" s="37">
        <f>((E544)*Settings!$C$12)+(F544*Settings!$C$2)+(G544*Settings!$C$3)+(H544*Settings!$C$4)+(I544*Settings!$C$5)+(K544*Settings!$C$9)+(N544*Settings!$C$6)+(J544*Settings!$C$8)+(O544*Settings!$C$7)+(P544*Settings!$C$14)+(Q544*Settings!$C$15)+(R544*Settings!$C$16)+(S544*Settings!$C$17)+(T544*Settings!$C$18)+(U544*Settings!$C$19)</f>
        <v>-3.9447536243326216</v>
      </c>
      <c r="D544" s="41">
        <f>IF(Settings!$E$12="YES",VLOOKUP(A544,'Player Data'!A1:E734,5,FALSE),82)</f>
        <v>61.134285714285703</v>
      </c>
      <c r="E544" s="39">
        <f>(VLOOKUP($A544,'The List'!$B1:$AH727,17,FALSE)-AVERAGE('The List'!R2:R727))/STDEV('The List'!R2:R727)</f>
        <v>-1.5495230765716907</v>
      </c>
      <c r="F544" s="39">
        <f>(VLOOKUP($A544,'The List'!$B1:$AH727,18,FALSE)-AVERAGE('The List'!S2:S727))/STDEV('The List'!S2:S727)</f>
        <v>-0.57516656184707504</v>
      </c>
      <c r="G544" s="39">
        <f>(VLOOKUP($A544,'The List'!$B1:$AH727,19,FALSE)-AVERAGE('The List'!T2:T727))/STDEV('The List'!T2:T727)</f>
        <v>-1.1816129244720353</v>
      </c>
      <c r="H544" s="39">
        <f>(VLOOKUP($A544,'The List'!$B1:$AH727,20,FALSE)-AVERAGE('The List'!U2:U727))/STDEV('The List'!U2:U727)</f>
        <v>-0.98985754173628349</v>
      </c>
      <c r="I544" s="39">
        <f>(VLOOKUP($A544,'The List'!$B1:$AH727,21,FALSE)-AVERAGE('The List'!V2:V727))/STDEV('The List'!V2:V727)</f>
        <v>-0.83032127687755686</v>
      </c>
      <c r="J544" s="39">
        <f>(VLOOKUP($A544,'The List'!$B1:$AH727,22,FALSE)-AVERAGE('The List'!W2:W727))/STDEV('The List'!W2:W727)</f>
        <v>-0.27480228674955148</v>
      </c>
      <c r="K544" s="39">
        <f>(VLOOKUP($A544,'The List'!$B1:$AH727,23,FALSE)-AVERAGE('The List'!X2:X727))/STDEV('The List'!X2:X727)</f>
        <v>-0.55621924140061252</v>
      </c>
      <c r="L544" s="39">
        <f>(VLOOKUP($A544,'The List'!$B1:$AH727,24,FALSE)-AVERAGE('The List'!Y2:Y727))/STDEV('The List'!Y2:Y727)</f>
        <v>9.9559444587162971E-3</v>
      </c>
      <c r="M544" s="39">
        <f>(VLOOKUP($A544,'The List'!$B1:$AH727,25,FALSE)-AVERAGE('The List'!Z2:Z727))/STDEV('The List'!Z2:Z727)</f>
        <v>-0.33137231916570864</v>
      </c>
      <c r="N544" s="39">
        <f>(VLOOKUP($A544,'The List'!$B1:$AH727,26,FALSE)-AVERAGE('The List'!AA2:AA727))/STDEV('The List'!AA2:AA727)</f>
        <v>-0.6364234962702574</v>
      </c>
      <c r="O544" s="39">
        <f>(VLOOKUP($A544,'The List'!$B1:$AH727,27,FALSE)-AVERAGE('The List'!AB2:AB727))/STDEV('The List'!AB2:AB727)</f>
        <v>-0.20683700016740733</v>
      </c>
      <c r="P544" s="39">
        <f>(VLOOKUP($A544,'The List'!$B1:$AH727,28,FALSE)-AVERAGE('The List'!AC2:AC727))/STDEV('The List'!AC2:AC727)</f>
        <v>-0.16501012346508442</v>
      </c>
      <c r="Q544" s="39">
        <f>(VLOOKUP($A544,'The List'!$B1:$AH727,29,FALSE)-AVERAGE('The List'!AD2:AD727))/STDEV('The List'!AD2:AD727)</f>
        <v>-0.67954775164446901</v>
      </c>
      <c r="R544" s="39">
        <f>(VLOOKUP($A544,'The List'!$B1:$AH727,30,FALSE)-AVERAGE('The List'!AE2:AE727))/STDEV('The List'!AE2:AE727)</f>
        <v>-0.52747999415832258</v>
      </c>
      <c r="S544" s="39">
        <f>(VLOOKUP($A544,'The List'!$B1:$AH727,31,FALSE)-AVERAGE('The List'!AF2:AF727))/STDEV('The List'!AF2:AF727)</f>
        <v>0.40076823741328121</v>
      </c>
      <c r="T544" s="39">
        <f>(VLOOKUP($A544,'The List'!$B1:$AH727,32,FALSE)-AVERAGE('The List'!AG2:AG727))/STDEV('The List'!AG2:AG727)</f>
        <v>0.52625724173189126</v>
      </c>
      <c r="U544" s="39">
        <f>(VLOOKUP($A544,'The List'!$B1:$AH727,33,FALSE)-AVERAGE('The List'!AH2:AH727))/STDEV('The List'!AH2:AH727)</f>
        <v>0.89302713832842417</v>
      </c>
      <c r="V544" s="39"/>
      <c r="W544" s="43"/>
      <c r="X544" s="41"/>
      <c r="Y544" s="41"/>
      <c r="Z544" s="41"/>
      <c r="AA544" s="41"/>
      <c r="AB544" s="41"/>
      <c r="AC544" s="44"/>
      <c r="AD544" s="45"/>
      <c r="AE544" s="39"/>
    </row>
    <row r="545" spans="1:31" ht="21.25" customHeight="1" x14ac:dyDescent="0.15">
      <c r="A545" s="8" t="s">
        <v>567</v>
      </c>
      <c r="B545" s="35" t="str">
        <f>VLOOKUP(A545,'Player Data'!A1:B734,2,FALSE)</f>
        <v>WSH</v>
      </c>
      <c r="C545" s="37">
        <f>((E545)*Settings!$C$12)+(F545*Settings!$C$2)+(G545*Settings!$C$3)+(H545*Settings!$C$4)+(I545*Settings!$C$5)+(K545*Settings!$C$9)+(N545*Settings!$C$6)+(J545*Settings!$C$8)+(O545*Settings!$C$7)+(P545*Settings!$C$14)+(Q545*Settings!$C$15)+(R545*Settings!$C$16)+(S545*Settings!$C$17)+(T545*Settings!$C$18)+(U545*Settings!$C$19)</f>
        <v>-3.1126635325572369</v>
      </c>
      <c r="D545" s="41">
        <f>IF(Settings!$E$12="YES",VLOOKUP(A545,'Player Data'!A1:E734,5,FALSE),82)</f>
        <v>62.4</v>
      </c>
      <c r="E545" s="39">
        <f>(VLOOKUP($A545,'The List'!$B1:$AH727,17,FALSE)-AVERAGE('The List'!R2:R727))/STDEV('The List'!R2:R727)</f>
        <v>0.69893892062330576</v>
      </c>
      <c r="F545" s="39">
        <f>(VLOOKUP($A545,'The List'!$B1:$AH727,18,FALSE)-AVERAGE('The List'!S2:S727))/STDEV('The List'!S2:S727)</f>
        <v>-0.980392980415558</v>
      </c>
      <c r="G545" s="39">
        <f>(VLOOKUP($A545,'The List'!$B1:$AH727,19,FALSE)-AVERAGE('The List'!T2:T727))/STDEV('The List'!T2:T727)</f>
        <v>-0.86312194254909236</v>
      </c>
      <c r="H545" s="39">
        <f>(VLOOKUP($A545,'The List'!$B1:$AH727,20,FALSE)-AVERAGE('The List'!U2:U727))/STDEV('The List'!U2:U727)</f>
        <v>-0.97800384407510843</v>
      </c>
      <c r="I545" s="39">
        <f>(VLOOKUP($A545,'The List'!$B1:$AH727,21,FALSE)-AVERAGE('The List'!V2:V727))/STDEV('The List'!V2:V727)</f>
        <v>-0.96899777144508803</v>
      </c>
      <c r="J545" s="39">
        <f>(VLOOKUP($A545,'The List'!$B1:$AH727,22,FALSE)-AVERAGE('The List'!W2:W727))/STDEV('The List'!W2:W727)</f>
        <v>-0.70743980611047819</v>
      </c>
      <c r="K545" s="39">
        <f>(VLOOKUP($A545,'The List'!$B1:$AH727,23,FALSE)-AVERAGE('The List'!X2:X727))/STDEV('The List'!X2:X727)</f>
        <v>-0.78929517711638664</v>
      </c>
      <c r="L545" s="39">
        <f>(VLOOKUP($A545,'The List'!$B1:$AH727,24,FALSE)-AVERAGE('The List'!Y2:Y727))/STDEV('The List'!Y2:Y727)</f>
        <v>-0.49937873455218357</v>
      </c>
      <c r="M545" s="39">
        <f>(VLOOKUP($A545,'The List'!$B1:$AH727,25,FALSE)-AVERAGE('The List'!Z2:Z727))/STDEV('The List'!Z2:Z727)</f>
        <v>-1.8065674908610378E-2</v>
      </c>
      <c r="N545" s="39">
        <f>(VLOOKUP($A545,'The List'!$B1:$AH727,26,FALSE)-AVERAGE('The List'!AA2:AA727))/STDEV('The List'!AA2:AA727)</f>
        <v>1.7729489034609072</v>
      </c>
      <c r="O545" s="39">
        <f>(VLOOKUP($A545,'The List'!$B1:$AH727,27,FALSE)-AVERAGE('The List'!AB2:AB727))/STDEV('The List'!AB2:AB727)</f>
        <v>0.41327514375506447</v>
      </c>
      <c r="P545" s="39">
        <f>(VLOOKUP($A545,'The List'!$B1:$AH727,28,FALSE)-AVERAGE('The List'!AC2:AC727))/STDEV('The List'!AC2:AC727)</f>
        <v>-1.2838045644920193</v>
      </c>
      <c r="Q545" s="39">
        <f>(VLOOKUP($A545,'The List'!$B1:$AH727,29,FALSE)-AVERAGE('The List'!AD2:AD727))/STDEV('The List'!AD2:AD727)</f>
        <v>0.40360576850771579</v>
      </c>
      <c r="R545" s="39">
        <f>(VLOOKUP($A545,'The List'!$B1:$AH727,30,FALSE)-AVERAGE('The List'!AE2:AE727))/STDEV('The List'!AE2:AE727)</f>
        <v>-0.94019685885156901</v>
      </c>
      <c r="S545" s="39">
        <f>(VLOOKUP($A545,'The List'!$B1:$AH727,31,FALSE)-AVERAGE('The List'!AF2:AF727))/STDEV('The List'!AF2:AF727)</f>
        <v>-0.55804314905918151</v>
      </c>
      <c r="T545" s="39">
        <f>(VLOOKUP($A545,'The List'!$B1:$AH727,32,FALSE)-AVERAGE('The List'!AG2:AG727))/STDEV('The List'!AG2:AG727)</f>
        <v>-0.60188453558131205</v>
      </c>
      <c r="U545" s="39">
        <f>(VLOOKUP($A545,'The List'!$B1:$AH727,33,FALSE)-AVERAGE('The List'!AH2:AH727))/STDEV('The List'!AH2:AH727)</f>
        <v>-1.2395873372913611</v>
      </c>
      <c r="V545" s="39"/>
      <c r="W545" s="41"/>
      <c r="X545" s="39"/>
      <c r="Y545" s="39"/>
      <c r="Z545" s="39"/>
      <c r="AA545" s="39"/>
      <c r="AB545" s="39"/>
      <c r="AC545" s="39"/>
      <c r="AD545" s="39"/>
      <c r="AE545" s="39"/>
    </row>
    <row r="546" spans="1:31" ht="21.25" customHeight="1" x14ac:dyDescent="0.15">
      <c r="A546" s="8" t="s">
        <v>775</v>
      </c>
      <c r="B546" s="35" t="str">
        <f>VLOOKUP(A546,'Player Data'!A1:B734,2,FALSE)</f>
        <v>NYR</v>
      </c>
      <c r="C546" s="37">
        <f>((E546)*Settings!$C$12)+(F546*Settings!$C$2)+(G546*Settings!$C$3)+(H546*Settings!$C$4)+(I546*Settings!$C$5)+(K546*Settings!$C$9)+(N546*Settings!$C$6)+(J546*Settings!$C$8)+(O546*Settings!$C$7)+(P546*Settings!$C$14)+(Q546*Settings!$C$15)+(R546*Settings!$C$16)+(S546*Settings!$C$17)+(T546*Settings!$C$18)+(U546*Settings!$C$19)</f>
        <v>-1.9147916365501825</v>
      </c>
      <c r="D546" s="41">
        <f>IF(Settings!$E$12="YES",VLOOKUP(A546,'Player Data'!A1:E734,5,FALSE),82)</f>
        <v>72</v>
      </c>
      <c r="E546" s="39">
        <f>(VLOOKUP($A546,'The List'!$B1:$AH727,17,FALSE)-AVERAGE('The List'!R2:R727))/STDEV('The List'!R2:R727)</f>
        <v>-0.95468540186759177</v>
      </c>
      <c r="F546" s="39">
        <f>(VLOOKUP($A546,'The List'!$B1:$AH727,18,FALSE)-AVERAGE('The List'!S2:S727))/STDEV('The List'!S2:S727)</f>
        <v>-0.44509940711551116</v>
      </c>
      <c r="G546" s="39">
        <f>(VLOOKUP($A546,'The List'!$B1:$AH727,19,FALSE)-AVERAGE('The List'!T2:T727))/STDEV('The List'!T2:T727)</f>
        <v>-1.1074291697536254</v>
      </c>
      <c r="H546" s="39">
        <f>(VLOOKUP($A546,'The List'!$B1:$AH727,20,FALSE)-AVERAGE('The List'!U2:U727))/STDEV('The List'!U2:U727)</f>
        <v>-0.88495613446839749</v>
      </c>
      <c r="I546" s="39">
        <f>(VLOOKUP($A546,'The List'!$B1:$AH727,21,FALSE)-AVERAGE('The List'!V2:V727))/STDEV('The List'!V2:V727)</f>
        <v>-0.73757929720399606</v>
      </c>
      <c r="J546" s="39">
        <f>(VLOOKUP($A546,'The List'!$B1:$AH727,22,FALSE)-AVERAGE('The List'!W2:W727))/STDEV('The List'!W2:W727)</f>
        <v>-0.65604814998376637</v>
      </c>
      <c r="K546" s="39">
        <f>(VLOOKUP($A546,'The List'!$B1:$AH727,23,FALSE)-AVERAGE('The List'!X2:X727))/STDEV('The List'!X2:X727)</f>
        <v>-0.74647898172358862</v>
      </c>
      <c r="L546" s="39">
        <f>(VLOOKUP($A546,'The List'!$B1:$AH727,24,FALSE)-AVERAGE('The List'!Y2:Y727))/STDEV('The List'!Y2:Y727)</f>
        <v>-7.0325076577418101E-3</v>
      </c>
      <c r="M546" s="39">
        <f>(VLOOKUP($A546,'The List'!$B1:$AH727,25,FALSE)-AVERAGE('The List'!Z2:Z727))/STDEV('The List'!Z2:Z727)</f>
        <v>-0.32563603835677357</v>
      </c>
      <c r="N546" s="39">
        <f>(VLOOKUP($A546,'The List'!$B1:$AH727,26,FALSE)-AVERAGE('The List'!AA2:AA727))/STDEV('The List'!AA2:AA727)</f>
        <v>0.36002138974004794</v>
      </c>
      <c r="O546" s="39">
        <f>(VLOOKUP($A546,'The List'!$B1:$AH727,27,FALSE)-AVERAGE('The List'!AB2:AB727))/STDEV('The List'!AB2:AB727)</f>
        <v>-1.2619603640987467</v>
      </c>
      <c r="P546" s="39">
        <f>(VLOOKUP($A546,'The List'!$B1:$AH727,28,FALSE)-AVERAGE('The List'!AC2:AC727))/STDEV('The List'!AC2:AC727)</f>
        <v>0.76177382950649075</v>
      </c>
      <c r="Q546" s="39">
        <f>(VLOOKUP($A546,'The List'!$B1:$AH727,29,FALSE)-AVERAGE('The List'!AD2:AD727))/STDEV('The List'!AD2:AD727)</f>
        <v>-1.0055613803525238</v>
      </c>
      <c r="R546" s="39">
        <f>(VLOOKUP($A546,'The List'!$B1:$AH727,30,FALSE)-AVERAGE('The List'!AE2:AE727))/STDEV('The List'!AE2:AE727)</f>
        <v>-0.24729459082441299</v>
      </c>
      <c r="S546" s="39">
        <f>(VLOOKUP($A546,'The List'!$B1:$AH727,31,FALSE)-AVERAGE('The List'!AF2:AF727))/STDEV('The List'!AF2:AF727)</f>
        <v>0.70497199771012131</v>
      </c>
      <c r="T546" s="39">
        <f>(VLOOKUP($A546,'The List'!$B1:$AH727,32,FALSE)-AVERAGE('The List'!AG2:AG727))/STDEV('The List'!AG2:AG727)</f>
        <v>0.7043379715827417</v>
      </c>
      <c r="U546" s="39">
        <f>(VLOOKUP($A546,'The List'!$B1:$AH727,33,FALSE)-AVERAGE('The List'!AH2:AH727))/STDEV('The List'!AH2:AH727)</f>
        <v>1.0385907358619766</v>
      </c>
      <c r="V546" s="39"/>
      <c r="W546" s="43"/>
      <c r="X546" s="41"/>
      <c r="Y546" s="41"/>
      <c r="Z546" s="41"/>
      <c r="AA546" s="41"/>
      <c r="AB546" s="41"/>
      <c r="AC546" s="44"/>
      <c r="AD546" s="45"/>
      <c r="AE546" s="39"/>
    </row>
    <row r="547" spans="1:31" ht="21.25" customHeight="1" x14ac:dyDescent="0.15">
      <c r="A547" s="8" t="s">
        <v>754</v>
      </c>
      <c r="B547" s="35" t="str">
        <f>VLOOKUP(A547,'Player Data'!A1:B734,2,FALSE)</f>
        <v>NYI</v>
      </c>
      <c r="C547" s="37">
        <f>((E547)*Settings!$C$12)+(F547*Settings!$C$2)+(G547*Settings!$C$3)+(H547*Settings!$C$4)+(I547*Settings!$C$5)+(K547*Settings!$C$9)+(N547*Settings!$C$6)+(J547*Settings!$C$8)+(O547*Settings!$C$7)+(P547*Settings!$C$14)+(Q547*Settings!$C$15)+(R547*Settings!$C$16)+(S547*Settings!$C$17)+(T547*Settings!$C$18)+(U547*Settings!$C$19)</f>
        <v>-3.4488663253507905</v>
      </c>
      <c r="D547" s="41">
        <f>IF(Settings!$E$12="YES",VLOOKUP(A547,'Player Data'!A1:E734,5,FALSE),82)</f>
        <v>80.752499999999998</v>
      </c>
      <c r="E547" s="39">
        <f>(VLOOKUP($A547,'The List'!$B1:$AH727,17,FALSE)-AVERAGE('The List'!R2:R727))/STDEV('The List'!R2:R727)</f>
        <v>-0.74943460463906109</v>
      </c>
      <c r="F547" s="39">
        <f>(VLOOKUP($A547,'The List'!$B1:$AH727,18,FALSE)-AVERAGE('The List'!S2:S727))/STDEV('The List'!S2:S727)</f>
        <v>-0.60576196669110915</v>
      </c>
      <c r="G547" s="39">
        <f>(VLOOKUP($A547,'The List'!$B1:$AH727,19,FALSE)-AVERAGE('The List'!T2:T727))/STDEV('The List'!T2:T727)</f>
        <v>-0.85341265694601431</v>
      </c>
      <c r="H547" s="39">
        <f>(VLOOKUP($A547,'The List'!$B1:$AH727,20,FALSE)-AVERAGE('The List'!U2:U727))/STDEV('The List'!U2:U727)</f>
        <v>-0.8015403385951021</v>
      </c>
      <c r="I547" s="39">
        <f>(VLOOKUP($A547,'The List'!$B1:$AH727,21,FALSE)-AVERAGE('The List'!V2:V727))/STDEV('The List'!V2:V727)</f>
        <v>-0.45309327811084832</v>
      </c>
      <c r="J547" s="39">
        <f>(VLOOKUP($A547,'The List'!$B1:$AH727,22,FALSE)-AVERAGE('The List'!W2:W727))/STDEV('The List'!W2:W727)</f>
        <v>-0.69967656343244822</v>
      </c>
      <c r="K547" s="39">
        <f>(VLOOKUP($A547,'The List'!$B1:$AH727,23,FALSE)-AVERAGE('The List'!X2:X727))/STDEV('The List'!X2:X727)</f>
        <v>-0.78872990701781853</v>
      </c>
      <c r="L547" s="39">
        <f>(VLOOKUP($A547,'The List'!$B1:$AH727,24,FALSE)-AVERAGE('The List'!Y2:Y727))/STDEV('The List'!Y2:Y727)</f>
        <v>0.14277297222624658</v>
      </c>
      <c r="M547" s="39">
        <f>(VLOOKUP($A547,'The List'!$B1:$AH727,25,FALSE)-AVERAGE('The List'!Z2:Z727))/STDEV('The List'!Z2:Z727)</f>
        <v>0.34827881952666356</v>
      </c>
      <c r="N547" s="39">
        <f>(VLOOKUP($A547,'The List'!$B1:$AH727,26,FALSE)-AVERAGE('The List'!AA2:AA727))/STDEV('The List'!AA2:AA727)</f>
        <v>-0.19291032616417431</v>
      </c>
      <c r="O547" s="39">
        <f>(VLOOKUP($A547,'The List'!$B1:$AH727,27,FALSE)-AVERAGE('The List'!AB2:AB727))/STDEV('The List'!AB2:AB727)</f>
        <v>1.4889855219845849</v>
      </c>
      <c r="P547" s="39">
        <f>(VLOOKUP($A547,'The List'!$B1:$AH727,28,FALSE)-AVERAGE('The List'!AC2:AC727))/STDEV('The List'!AC2:AC727)</f>
        <v>-0.55495819042082561</v>
      </c>
      <c r="Q547" s="39">
        <f>(VLOOKUP($A547,'The List'!$B1:$AH727,29,FALSE)-AVERAGE('The List'!AD2:AD727))/STDEV('The List'!AD2:AD727)</f>
        <v>0.69797368823981221</v>
      </c>
      <c r="R547" s="39">
        <f>(VLOOKUP($A547,'The List'!$B1:$AH727,30,FALSE)-AVERAGE('The List'!AE2:AE727))/STDEV('The List'!AE2:AE727)</f>
        <v>-0.49749750187433056</v>
      </c>
      <c r="S547" s="39">
        <f>(VLOOKUP($A547,'The List'!$B1:$AH727,31,FALSE)-AVERAGE('The List'!AF2:AF727))/STDEV('The List'!AF2:AF727)</f>
        <v>1.8553069196046041</v>
      </c>
      <c r="T547" s="39">
        <f>(VLOOKUP($A547,'The List'!$B1:$AH727,32,FALSE)-AVERAGE('The List'!AG2:AG727))/STDEV('The List'!AG2:AG727)</f>
        <v>1.5537175745849627</v>
      </c>
      <c r="U547" s="39">
        <f>(VLOOKUP($A547,'The List'!$B1:$AH727,33,FALSE)-AVERAGE('The List'!AH2:AH727))/STDEV('The List'!AH2:AH727)</f>
        <v>1.2037412528591529</v>
      </c>
      <c r="V547" s="39"/>
      <c r="W547" s="43"/>
      <c r="X547" s="41"/>
      <c r="Y547" s="41"/>
      <c r="Z547" s="41"/>
      <c r="AA547" s="41"/>
      <c r="AB547" s="41"/>
      <c r="AC547" s="44"/>
      <c r="AD547" s="45"/>
      <c r="AE547" s="39"/>
    </row>
    <row r="548" spans="1:31" ht="21.25" customHeight="1" x14ac:dyDescent="0.15">
      <c r="A548" s="8" t="s">
        <v>734</v>
      </c>
      <c r="B548" s="35" t="str">
        <f>VLOOKUP(A548,'Player Data'!A1:B734,2,FALSE)</f>
        <v>BOS</v>
      </c>
      <c r="C548" s="37">
        <f>((E548)*Settings!$C$12)+(F548*Settings!$C$2)+(G548*Settings!$C$3)+(H548*Settings!$C$4)+(I548*Settings!$C$5)+(K548*Settings!$C$9)+(N548*Settings!$C$6)+(J548*Settings!$C$8)+(O548*Settings!$C$7)+(P548*Settings!$C$14)+(Q548*Settings!$C$15)+(R548*Settings!$C$16)+(S548*Settings!$C$17)+(T548*Settings!$C$18)+(U548*Settings!$C$19)</f>
        <v>-4.0537904424896425</v>
      </c>
      <c r="D548" s="41">
        <f>IF(Settings!$E$12="YES",VLOOKUP(A548,'Player Data'!A1:E734,5,FALSE),82)</f>
        <v>81.142499999999998</v>
      </c>
      <c r="E548" s="39">
        <f>(VLOOKUP($A548,'The List'!$B1:$AH727,17,FALSE)-AVERAGE('The List'!R2:R727))/STDEV('The List'!R2:R727)</f>
        <v>-1.4381590521111636</v>
      </c>
      <c r="F548" s="39">
        <f>(VLOOKUP($A548,'The List'!$B1:$AH727,18,FALSE)-AVERAGE('The List'!S2:S727))/STDEV('The List'!S2:S727)</f>
        <v>-0.62258182216571278</v>
      </c>
      <c r="G548" s="39">
        <f>(VLOOKUP($A548,'The List'!$B1:$AH727,19,FALSE)-AVERAGE('The List'!T2:T727))/STDEV('The List'!T2:T727)</f>
        <v>-0.8363204634688971</v>
      </c>
      <c r="H548" s="39">
        <f>(VLOOKUP($A548,'The List'!$B1:$AH727,20,FALSE)-AVERAGE('The List'!U2:U727))/STDEV('The List'!U2:U727)</f>
        <v>-0.7986620583570414</v>
      </c>
      <c r="I548" s="39">
        <f>(VLOOKUP($A548,'The List'!$B1:$AH727,21,FALSE)-AVERAGE('The List'!V2:V727))/STDEV('The List'!V2:V727)</f>
        <v>-0.84480749745929073</v>
      </c>
      <c r="J548" s="39">
        <f>(VLOOKUP($A548,'The List'!$B1:$AH727,22,FALSE)-AVERAGE('The List'!W2:W727))/STDEV('The List'!W2:W727)</f>
        <v>-0.69518263843178674</v>
      </c>
      <c r="K548" s="39">
        <f>(VLOOKUP($A548,'The List'!$B1:$AH727,23,FALSE)-AVERAGE('The List'!X2:X727))/STDEV('The List'!X2:X727)</f>
        <v>-0.78941679519448738</v>
      </c>
      <c r="L548" s="39">
        <f>(VLOOKUP($A548,'The List'!$B1:$AH727,24,FALSE)-AVERAGE('The List'!Y2:Y727))/STDEV('The List'!Y2:Y727)</f>
        <v>-0.54003355897204641</v>
      </c>
      <c r="M548" s="39">
        <f>(VLOOKUP($A548,'The List'!$B1:$AH727,25,FALSE)-AVERAGE('The List'!Z2:Z727))/STDEV('The List'!Z2:Z727)</f>
        <v>-0.71904011410866364</v>
      </c>
      <c r="N548" s="39">
        <f>(VLOOKUP($A548,'The List'!$B1:$AH727,26,FALSE)-AVERAGE('The List'!AA2:AA727))/STDEV('The List'!AA2:AA727)</f>
        <v>-1.0186317855633498</v>
      </c>
      <c r="O548" s="39">
        <f>(VLOOKUP($A548,'The List'!$B1:$AH727,27,FALSE)-AVERAGE('The List'!AB2:AB727))/STDEV('The List'!AB2:AB727)</f>
        <v>1.7284178582306782</v>
      </c>
      <c r="P548" s="39">
        <f>(VLOOKUP($A548,'The List'!$B1:$AH727,28,FALSE)-AVERAGE('The List'!AC2:AC727))/STDEV('The List'!AC2:AC727)</f>
        <v>5.7967921362094811E-2</v>
      </c>
      <c r="Q548" s="39">
        <f>(VLOOKUP($A548,'The List'!$B1:$AH727,29,FALSE)-AVERAGE('The List'!AD2:AD727))/STDEV('The List'!AD2:AD727)</f>
        <v>0.99306556672422996</v>
      </c>
      <c r="R548" s="39">
        <f>(VLOOKUP($A548,'The List'!$B1:$AH727,30,FALSE)-AVERAGE('The List'!AE2:AE727))/STDEV('The List'!AE2:AE727)</f>
        <v>-0.45588730804038996</v>
      </c>
      <c r="S548" s="39">
        <f>(VLOOKUP($A548,'The List'!$B1:$AH727,31,FALSE)-AVERAGE('The List'!AF2:AF727))/STDEV('The List'!AF2:AF727)</f>
        <v>-0.47260418066945153</v>
      </c>
      <c r="T548" s="39">
        <f>(VLOOKUP($A548,'The List'!$B1:$AH727,32,FALSE)-AVERAGE('The List'!AG2:AG727))/STDEV('The List'!AG2:AG727)</f>
        <v>-0.49182998670469036</v>
      </c>
      <c r="U548" s="39">
        <f>(VLOOKUP($A548,'The List'!$B1:$AH727,33,FALSE)-AVERAGE('The List'!AH2:AH727))/STDEV('The List'!AH2:AH727)</f>
        <v>0.79141027225700555</v>
      </c>
      <c r="V548" s="39"/>
      <c r="W548" s="43"/>
      <c r="X548" s="41"/>
      <c r="Y548" s="41"/>
      <c r="Z548" s="41"/>
      <c r="AA548" s="41"/>
      <c r="AB548" s="41"/>
      <c r="AC548" s="44"/>
      <c r="AD548" s="45"/>
      <c r="AE548" s="39"/>
    </row>
    <row r="549" spans="1:31" ht="21.25" customHeight="1" x14ac:dyDescent="0.15">
      <c r="A549" s="8" t="s">
        <v>701</v>
      </c>
      <c r="B549" s="35" t="str">
        <f>VLOOKUP(A549,'Player Data'!A1:B734,2,FALSE)</f>
        <v>MIN</v>
      </c>
      <c r="C549" s="37">
        <f>((E549)*Settings!$C$12)+(F549*Settings!$C$2)+(G549*Settings!$C$3)+(H549*Settings!$C$4)+(I549*Settings!$C$5)+(K549*Settings!$C$9)+(N549*Settings!$C$6)+(J549*Settings!$C$8)+(O549*Settings!$C$7)+(P549*Settings!$C$14)+(Q549*Settings!$C$15)+(R549*Settings!$C$16)+(S549*Settings!$C$17)+(T549*Settings!$C$18)+(U549*Settings!$C$19)</f>
        <v>-3.6703319732229245</v>
      </c>
      <c r="D549" s="41">
        <f>IF(Settings!$E$12="YES",VLOOKUP(A549,'Player Data'!A1:E734,5,FALSE),82)</f>
        <v>68.052499999999995</v>
      </c>
      <c r="E549" s="39">
        <f>(VLOOKUP($A549,'The List'!$B1:$AH727,17,FALSE)-AVERAGE('The List'!R2:R727))/STDEV('The List'!R2:R727)</f>
        <v>-1.5266003195929572</v>
      </c>
      <c r="F549" s="39">
        <f>(VLOOKUP($A549,'The List'!$B1:$AH727,18,FALSE)-AVERAGE('The List'!S2:S727))/STDEV('The List'!S2:S727)</f>
        <v>-0.47138394558174801</v>
      </c>
      <c r="G549" s="39">
        <f>(VLOOKUP($A549,'The List'!$B1:$AH727,19,FALSE)-AVERAGE('The List'!T2:T727))/STDEV('The List'!T2:T727)</f>
        <v>-1.1582600892673158</v>
      </c>
      <c r="H549" s="39">
        <f>(VLOOKUP($A549,'The List'!$B1:$AH727,20,FALSE)-AVERAGE('The List'!U2:U727))/STDEV('The List'!U2:U727)</f>
        <v>-0.92823972491304041</v>
      </c>
      <c r="I549" s="39">
        <f>(VLOOKUP($A549,'The List'!$B1:$AH727,21,FALSE)-AVERAGE('The List'!V2:V727))/STDEV('The List'!V2:V727)</f>
        <v>-0.61185474452068278</v>
      </c>
      <c r="J549" s="39">
        <f>(VLOOKUP($A549,'The List'!$B1:$AH727,22,FALSE)-AVERAGE('The List'!W2:W727))/STDEV('The List'!W2:W727)</f>
        <v>-0.69730432548048493</v>
      </c>
      <c r="K549" s="39">
        <f>(VLOOKUP($A549,'The List'!$B1:$AH727,23,FALSE)-AVERAGE('The List'!X2:X727))/STDEV('The List'!X2:X727)</f>
        <v>-0.78680611744121298</v>
      </c>
      <c r="L549" s="39">
        <f>(VLOOKUP($A549,'The List'!$B1:$AH727,24,FALSE)-AVERAGE('The List'!Y2:Y727))/STDEV('The List'!Y2:Y727)</f>
        <v>0.76184662757764521</v>
      </c>
      <c r="M549" s="39">
        <f>(VLOOKUP($A549,'The List'!$B1:$AH727,25,FALSE)-AVERAGE('The List'!Z2:Z727))/STDEV('The List'!Z2:Z727)</f>
        <v>0.20703539937973375</v>
      </c>
      <c r="N549" s="39">
        <f>(VLOOKUP($A549,'The List'!$B1:$AH727,26,FALSE)-AVERAGE('The List'!AA2:AA727))/STDEV('The List'!AA2:AA727)</f>
        <v>-0.92273013071259946</v>
      </c>
      <c r="O549" s="39">
        <f>(VLOOKUP($A549,'The List'!$B1:$AH727,27,FALSE)-AVERAGE('The List'!AB2:AB727))/STDEV('The List'!AB2:AB727)</f>
        <v>1.7078349510672568</v>
      </c>
      <c r="P549" s="39">
        <f>(VLOOKUP($A549,'The List'!$B1:$AH727,28,FALSE)-AVERAGE('The List'!AC2:AC727))/STDEV('The List'!AC2:AC727)</f>
        <v>0.28070305430063458</v>
      </c>
      <c r="Q549" s="39">
        <f>(VLOOKUP($A549,'The List'!$B1:$AH727,29,FALSE)-AVERAGE('The List'!AD2:AD727))/STDEV('The List'!AD2:AD727)</f>
        <v>1.7697902948535948</v>
      </c>
      <c r="R549" s="39">
        <f>(VLOOKUP($A549,'The List'!$B1:$AH727,30,FALSE)-AVERAGE('The List'!AE2:AE727))/STDEV('The List'!AE2:AE727)</f>
        <v>-0.32932756354690934</v>
      </c>
      <c r="S549" s="39">
        <f>(VLOOKUP($A549,'The List'!$B1:$AH727,31,FALSE)-AVERAGE('The List'!AF2:AF727))/STDEV('The List'!AF2:AF727)</f>
        <v>-0.52955476965926607</v>
      </c>
      <c r="T549" s="39">
        <f>(VLOOKUP($A549,'The List'!$B1:$AH727,32,FALSE)-AVERAGE('The List'!AG2:AG727))/STDEV('The List'!AG2:AG727)</f>
        <v>-0.52696156266357752</v>
      </c>
      <c r="U549" s="39">
        <f>(VLOOKUP($A549,'The List'!$B1:$AH727,33,FALSE)-AVERAGE('The List'!AH2:AH727))/STDEV('The List'!AH2:AH727)</f>
        <v>5.1233750593539927E-2</v>
      </c>
      <c r="V549" s="39"/>
      <c r="W549" s="41"/>
      <c r="X549" s="39"/>
      <c r="Y549" s="39"/>
      <c r="Z549" s="39"/>
      <c r="AA549" s="39"/>
      <c r="AB549" s="39"/>
      <c r="AC549" s="39"/>
      <c r="AD549" s="39"/>
      <c r="AE549" s="39"/>
    </row>
    <row r="550" spans="1:31" ht="21.25" customHeight="1" x14ac:dyDescent="0.15">
      <c r="A550" s="8" t="s">
        <v>624</v>
      </c>
      <c r="B550" s="35" t="str">
        <f>VLOOKUP(A550,'Player Data'!A1:B734,2,FALSE)</f>
        <v>VAN</v>
      </c>
      <c r="C550" s="37">
        <f>((E550)*Settings!$C$12)+(F550*Settings!$C$2)+(G550*Settings!$C$3)+(H550*Settings!$C$4)+(I550*Settings!$C$5)+(K550*Settings!$C$9)+(N550*Settings!$C$6)+(J550*Settings!$C$8)+(O550*Settings!$C$7)+(P550*Settings!$C$14)+(Q550*Settings!$C$15)+(R550*Settings!$C$16)+(S550*Settings!$C$17)+(T550*Settings!$C$18)+(U550*Settings!$C$19)</f>
        <v>-3.8308362462534427</v>
      </c>
      <c r="D550" s="41">
        <f>IF(Settings!$E$12="YES",VLOOKUP(A550,'Player Data'!A1:E734,5,FALSE),82)</f>
        <v>58.938214285714302</v>
      </c>
      <c r="E550" s="39">
        <f>(VLOOKUP($A550,'The List'!$B1:$AH727,17,FALSE)-AVERAGE('The List'!R2:R727))/STDEV('The List'!R2:R727)</f>
        <v>-0.3067051443534361</v>
      </c>
      <c r="F550" s="39">
        <f>(VLOOKUP($A550,'The List'!$B1:$AH727,18,FALSE)-AVERAGE('The List'!S2:S727))/STDEV('The List'!S2:S727)</f>
        <v>-1.0611602976478722</v>
      </c>
      <c r="G550" s="39">
        <f>(VLOOKUP($A550,'The List'!$B1:$AH727,19,FALSE)-AVERAGE('The List'!T2:T727))/STDEV('The List'!T2:T727)</f>
        <v>-0.8682709931658813</v>
      </c>
      <c r="H550" s="39">
        <f>(VLOOKUP($A550,'The List'!$B1:$AH727,20,FALSE)-AVERAGE('The List'!U2:U727))/STDEV('The List'!U2:U727)</f>
        <v>-1.0179309199425091</v>
      </c>
      <c r="I550" s="39">
        <f>(VLOOKUP($A550,'The List'!$B1:$AH727,21,FALSE)-AVERAGE('The List'!V2:V727))/STDEV('The List'!V2:V727)</f>
        <v>-1.1699365093050822</v>
      </c>
      <c r="J550" s="39">
        <f>(VLOOKUP($A550,'The List'!$B1:$AH727,22,FALSE)-AVERAGE('The List'!W2:W727))/STDEV('The List'!W2:W727)</f>
        <v>-0.67865690991957117</v>
      </c>
      <c r="K550" s="39">
        <f>(VLOOKUP($A550,'The List'!$B1:$AH727,23,FALSE)-AVERAGE('The List'!X2:X727))/STDEV('The List'!X2:X727)</f>
        <v>-0.67042576683938682</v>
      </c>
      <c r="L550" s="39">
        <f>(VLOOKUP($A550,'The List'!$B1:$AH727,24,FALSE)-AVERAGE('The List'!Y2:Y727))/STDEV('The List'!Y2:Y727)</f>
        <v>-0.53250413256634266</v>
      </c>
      <c r="M550" s="39">
        <f>(VLOOKUP($A550,'The List'!$B1:$AH727,25,FALSE)-AVERAGE('The List'!Z2:Z727))/STDEV('The List'!Z2:Z727)</f>
        <v>-0.69705048497918753</v>
      </c>
      <c r="N550" s="39">
        <f>(VLOOKUP($A550,'The List'!$B1:$AH727,26,FALSE)-AVERAGE('The List'!AA2:AA727))/STDEV('The List'!AA2:AA727)</f>
        <v>-5.1572917081275302E-2</v>
      </c>
      <c r="O550" s="39">
        <f>(VLOOKUP($A550,'The List'!$B1:$AH727,27,FALSE)-AVERAGE('The List'!AB2:AB727))/STDEV('The List'!AB2:AB727)</f>
        <v>-0.85577378189567199</v>
      </c>
      <c r="P550" s="39">
        <f>(VLOOKUP($A550,'The List'!$B1:$AH727,28,FALSE)-AVERAGE('The List'!AC2:AC727))/STDEV('The List'!AC2:AC727)</f>
        <v>-9.4697622139444711E-3</v>
      </c>
      <c r="Q550" s="39">
        <f>(VLOOKUP($A550,'The List'!$B1:$AH727,29,FALSE)-AVERAGE('The List'!AD2:AD727))/STDEV('The List'!AD2:AD727)</f>
        <v>-0.72436188021483727</v>
      </c>
      <c r="R550" s="39">
        <f>(VLOOKUP($A550,'The List'!$B1:$AH727,30,FALSE)-AVERAGE('The List'!AE2:AE727))/STDEV('The List'!AE2:AE727)</f>
        <v>-0.97687397129062115</v>
      </c>
      <c r="S550" s="39">
        <f>(VLOOKUP($A550,'The List'!$B1:$AH727,31,FALSE)-AVERAGE('The List'!AF2:AF727))/STDEV('The List'!AF2:AF727)</f>
        <v>-0.55804314905918151</v>
      </c>
      <c r="T550" s="39">
        <f>(VLOOKUP($A550,'The List'!$B1:$AH727,32,FALSE)-AVERAGE('The List'!AG2:AG727))/STDEV('The List'!AG2:AG727)</f>
        <v>-0.60188453558131205</v>
      </c>
      <c r="U550" s="39">
        <f>(VLOOKUP($A550,'The List'!$B1:$AH727,33,FALSE)-AVERAGE('The List'!AH2:AH727))/STDEV('The List'!AH2:AH727)</f>
        <v>-1.2395873372913611</v>
      </c>
      <c r="V550" s="39"/>
      <c r="W550" s="41"/>
      <c r="X550" s="39"/>
      <c r="Y550" s="39"/>
      <c r="Z550" s="39"/>
      <c r="AA550" s="39"/>
      <c r="AB550" s="39"/>
      <c r="AC550" s="39"/>
      <c r="AD550" s="39"/>
      <c r="AE550" s="39"/>
    </row>
    <row r="551" spans="1:31" ht="21.25" customHeight="1" x14ac:dyDescent="0.15">
      <c r="A551" s="8" t="s">
        <v>762</v>
      </c>
      <c r="B551" s="35" t="str">
        <f>VLOOKUP(A551,'Player Data'!A1:B734,2,FALSE)</f>
        <v>DAL</v>
      </c>
      <c r="C551" s="37">
        <f>((E551)*Settings!$C$12)+(F551*Settings!$C$2)+(G551*Settings!$C$3)+(H551*Settings!$C$4)+(I551*Settings!$C$5)+(K551*Settings!$C$9)+(N551*Settings!$C$6)+(J551*Settings!$C$8)+(O551*Settings!$C$7)+(P551*Settings!$C$14)+(Q551*Settings!$C$15)+(R551*Settings!$C$16)+(S551*Settings!$C$17)+(T551*Settings!$C$18)+(U551*Settings!$C$19)</f>
        <v>-2.2586645148574886</v>
      </c>
      <c r="D551" s="41">
        <f>IF(Settings!$E$12="YES",VLOOKUP(A551,'Player Data'!A1:E734,5,FALSE),82)</f>
        <v>81.018571428571406</v>
      </c>
      <c r="E551" s="39">
        <f>(VLOOKUP($A551,'The List'!$B1:$AH727,17,FALSE)-AVERAGE('The List'!R2:R727))/STDEV('The List'!R2:R727)</f>
        <v>-0.89871767340268005</v>
      </c>
      <c r="F551" s="39">
        <f>(VLOOKUP($A551,'The List'!$B1:$AH727,18,FALSE)-AVERAGE('The List'!S2:S727))/STDEV('The List'!S2:S727)</f>
        <v>-0.56186574292564984</v>
      </c>
      <c r="G551" s="39">
        <f>(VLOOKUP($A551,'The List'!$B1:$AH727,19,FALSE)-AVERAGE('The List'!T2:T727))/STDEV('The List'!T2:T727)</f>
        <v>-0.88821606164698352</v>
      </c>
      <c r="H551" s="39">
        <f>(VLOOKUP($A551,'The List'!$B1:$AH727,20,FALSE)-AVERAGE('The List'!U2:U727))/STDEV('The List'!U2:U727)</f>
        <v>-0.80301098836002249</v>
      </c>
      <c r="I551" s="39">
        <f>(VLOOKUP($A551,'The List'!$B1:$AH727,21,FALSE)-AVERAGE('The List'!V2:V727))/STDEV('The List'!V2:V727)</f>
        <v>-0.7522927426038416</v>
      </c>
      <c r="J551" s="39">
        <f>(VLOOKUP($A551,'The List'!$B1:$AH727,22,FALSE)-AVERAGE('The List'!W2:W727))/STDEV('The List'!W2:W727)</f>
        <v>-0.69471824310749108</v>
      </c>
      <c r="K551" s="39">
        <f>(VLOOKUP($A551,'The List'!$B1:$AH727,23,FALSE)-AVERAGE('The List'!X2:X727))/STDEV('The List'!X2:X727)</f>
        <v>-0.78777243641506434</v>
      </c>
      <c r="L551" s="39">
        <f>(VLOOKUP($A551,'The List'!$B1:$AH727,24,FALSE)-AVERAGE('The List'!Y2:Y727))/STDEV('The List'!Y2:Y727)</f>
        <v>1.3318349066410331</v>
      </c>
      <c r="M551" s="39">
        <f>(VLOOKUP($A551,'The List'!$B1:$AH727,25,FALSE)-AVERAGE('The List'!Z2:Z727))/STDEV('The List'!Z2:Z727)</f>
        <v>1.4516578168163541</v>
      </c>
      <c r="N551" s="39">
        <f>(VLOOKUP($A551,'The List'!$B1:$AH727,26,FALSE)-AVERAGE('The List'!AA2:AA727))/STDEV('The List'!AA2:AA727)</f>
        <v>6.5400430769096227E-2</v>
      </c>
      <c r="O551" s="39">
        <f>(VLOOKUP($A551,'The List'!$B1:$AH727,27,FALSE)-AVERAGE('The List'!AB2:AB727))/STDEV('The List'!AB2:AB727)</f>
        <v>0.10414606055592045</v>
      </c>
      <c r="P551" s="39">
        <f>(VLOOKUP($A551,'The List'!$B1:$AH727,28,FALSE)-AVERAGE('The List'!AC2:AC727))/STDEV('The List'!AC2:AC727)</f>
        <v>0.66608203796495469</v>
      </c>
      <c r="Q551" s="39">
        <f>(VLOOKUP($A551,'The List'!$B1:$AH727,29,FALSE)-AVERAGE('The List'!AD2:AD727))/STDEV('The List'!AD2:AD727)</f>
        <v>0.41559258927713938</v>
      </c>
      <c r="R551" s="39">
        <f>(VLOOKUP($A551,'The List'!$B1:$AH727,30,FALSE)-AVERAGE('The List'!AE2:AE727))/STDEV('The List'!AE2:AE727)</f>
        <v>-0.42702551921991377</v>
      </c>
      <c r="S551" s="39">
        <f>(VLOOKUP($A551,'The List'!$B1:$AH727,31,FALSE)-AVERAGE('The List'!AF2:AF727))/STDEV('The List'!AF2:AF727)</f>
        <v>1.0329468971228144</v>
      </c>
      <c r="T551" s="39">
        <f>(VLOOKUP($A551,'The List'!$B1:$AH727,32,FALSE)-AVERAGE('The List'!AG2:AG727))/STDEV('The List'!AG2:AG727)</f>
        <v>0.73401955432690591</v>
      </c>
      <c r="U551" s="39">
        <f>(VLOOKUP($A551,'The List'!$B1:$AH727,33,FALSE)-AVERAGE('The List'!AH2:AH727))/STDEV('The List'!AH2:AH727)</f>
        <v>1.2728836436700408</v>
      </c>
      <c r="V551" s="39"/>
      <c r="W551" s="43"/>
      <c r="X551" s="41"/>
      <c r="Y551" s="41"/>
      <c r="Z551" s="41"/>
      <c r="AA551" s="41"/>
      <c r="AB551" s="41"/>
      <c r="AC551" s="44"/>
      <c r="AD551" s="45"/>
      <c r="AE551" s="39"/>
    </row>
    <row r="552" spans="1:31" ht="21.25" customHeight="1" x14ac:dyDescent="0.15">
      <c r="A552" s="8" t="s">
        <v>768</v>
      </c>
      <c r="B552" s="35" t="str">
        <f>VLOOKUP(A552,'Player Data'!A1:B734,2,FALSE)</f>
        <v>EDM</v>
      </c>
      <c r="C552" s="37">
        <f>((E552)*Settings!$C$12)+(F552*Settings!$C$2)+(G552*Settings!$C$3)+(H552*Settings!$C$4)+(I552*Settings!$C$5)+(K552*Settings!$C$9)+(N552*Settings!$C$6)+(J552*Settings!$C$8)+(O552*Settings!$C$7)+(P552*Settings!$C$14)+(Q552*Settings!$C$15)+(R552*Settings!$C$16)+(S552*Settings!$C$17)+(T552*Settings!$C$18)+(U552*Settings!$C$19)</f>
        <v>-3.5395694599838787</v>
      </c>
      <c r="D552" s="41">
        <f>IF(Settings!$E$12="YES",VLOOKUP(A552,'Player Data'!A1:E734,5,FALSE),82)</f>
        <v>69.165000000000006</v>
      </c>
      <c r="E552" s="39">
        <f>(VLOOKUP($A552,'The List'!$B1:$AH727,17,FALSE)-AVERAGE('The List'!R2:R727))/STDEV('The List'!R2:R727)</f>
        <v>-1.903933709477668</v>
      </c>
      <c r="F552" s="39">
        <f>(VLOOKUP($A552,'The List'!$B1:$AH727,18,FALSE)-AVERAGE('The List'!S2:S727))/STDEV('The List'!S2:S727)</f>
        <v>-0.72171760475997349</v>
      </c>
      <c r="G552" s="39">
        <f>(VLOOKUP($A552,'The List'!$B1:$AH727,19,FALSE)-AVERAGE('The List'!T2:T727))/STDEV('The List'!T2:T727)</f>
        <v>-0.96130466997348007</v>
      </c>
      <c r="H552" s="39">
        <f>(VLOOKUP($A552,'The List'!$B1:$AH727,20,FALSE)-AVERAGE('The List'!U2:U727))/STDEV('The List'!U2:U727)</f>
        <v>-0.92079146188742556</v>
      </c>
      <c r="I552" s="39">
        <f>(VLOOKUP($A552,'The List'!$B1:$AH727,21,FALSE)-AVERAGE('The List'!V2:V727))/STDEV('The List'!V2:V727)</f>
        <v>-1.1686870007504815</v>
      </c>
      <c r="J552" s="39">
        <f>(VLOOKUP($A552,'The List'!$B1:$AH727,22,FALSE)-AVERAGE('The List'!W2:W727))/STDEV('The List'!W2:W727)</f>
        <v>-0.60159469201206528</v>
      </c>
      <c r="K552" s="39">
        <f>(VLOOKUP($A552,'The List'!$B1:$AH727,23,FALSE)-AVERAGE('The List'!X2:X727))/STDEV('The List'!X2:X727)</f>
        <v>-0.69585074778978984</v>
      </c>
      <c r="L552" s="39">
        <f>(VLOOKUP($A552,'The List'!$B1:$AH727,24,FALSE)-AVERAGE('The List'!Y2:Y727))/STDEV('The List'!Y2:Y727)</f>
        <v>-0.53875923496342171</v>
      </c>
      <c r="M552" s="39">
        <f>(VLOOKUP($A552,'The List'!$B1:$AH727,25,FALSE)-AVERAGE('The List'!Z2:Z727))/STDEV('The List'!Z2:Z727)</f>
        <v>-0.71791197555860031</v>
      </c>
      <c r="N552" s="39">
        <f>(VLOOKUP($A552,'The List'!$B1:$AH727,26,FALSE)-AVERAGE('The List'!AA2:AA727))/STDEV('The List'!AA2:AA727)</f>
        <v>-0.93883282737106921</v>
      </c>
      <c r="O552" s="39">
        <f>(VLOOKUP($A552,'The List'!$B1:$AH727,27,FALSE)-AVERAGE('The List'!AB2:AB727))/STDEV('The List'!AB2:AB727)</f>
        <v>0.33444619312621915</v>
      </c>
      <c r="P552" s="39">
        <f>(VLOOKUP($A552,'The List'!$B1:$AH727,28,FALSE)-AVERAGE('The List'!AC2:AC727))/STDEV('The List'!AC2:AC727)</f>
        <v>0.94682339066091514</v>
      </c>
      <c r="Q552" s="39">
        <f>(VLOOKUP($A552,'The List'!$B1:$AH727,29,FALSE)-AVERAGE('The List'!AD2:AD727))/STDEV('The List'!AD2:AD727)</f>
        <v>-0.40009658394340286</v>
      </c>
      <c r="R552" s="39">
        <f>(VLOOKUP($A552,'The List'!$B1:$AH727,30,FALSE)-AVERAGE('The List'!AE2:AE727))/STDEV('The List'!AE2:AE727)</f>
        <v>-0.60045531373558259</v>
      </c>
      <c r="S552" s="39">
        <f>(VLOOKUP($A552,'The List'!$B1:$AH727,31,FALSE)-AVERAGE('The List'!AF2:AF727))/STDEV('The List'!AF2:AF727)</f>
        <v>-0.4141194551068681</v>
      </c>
      <c r="T552" s="39">
        <f>(VLOOKUP($A552,'The List'!$B1:$AH727,32,FALSE)-AVERAGE('The List'!AG2:AG727))/STDEV('The List'!AG2:AG727)</f>
        <v>-0.32660314330587409</v>
      </c>
      <c r="U552" s="39">
        <f>(VLOOKUP($A552,'The List'!$B1:$AH727,33,FALSE)-AVERAGE('The List'!AH2:AH727))/STDEV('The List'!AH2:AH727)</f>
        <v>0.36352917508181926</v>
      </c>
      <c r="V552" s="39"/>
      <c r="W552" s="43"/>
      <c r="X552" s="41"/>
      <c r="Y552" s="41"/>
      <c r="Z552" s="41"/>
      <c r="AA552" s="41"/>
      <c r="AB552" s="41"/>
      <c r="AC552" s="44"/>
      <c r="AD552" s="45"/>
      <c r="AE552" s="39"/>
    </row>
    <row r="553" spans="1:31" ht="21.25" customHeight="1" x14ac:dyDescent="0.15">
      <c r="A553" s="8" t="s">
        <v>799</v>
      </c>
      <c r="B553" s="35" t="str">
        <f>VLOOKUP(A553,'Player Data'!A1:B734,2,FALSE)</f>
        <v>BOS</v>
      </c>
      <c r="C553" s="37">
        <f>((E553)*Settings!$C$12)+(F553*Settings!$C$2)+(G553*Settings!$C$3)+(H553*Settings!$C$4)+(I553*Settings!$C$5)+(K553*Settings!$C$9)+(N553*Settings!$C$6)+(J553*Settings!$C$8)+(O553*Settings!$C$7)+(P553*Settings!$C$14)+(Q553*Settings!$C$15)+(R553*Settings!$C$16)+(S553*Settings!$C$17)+(T553*Settings!$C$18)+(U553*Settings!$C$19)</f>
        <v>-3.5700307418130102</v>
      </c>
      <c r="D553" s="41">
        <f>IF(Settings!$E$12="YES",VLOOKUP(A553,'Player Data'!A1:E734,5,FALSE),82)</f>
        <v>65.463214285714301</v>
      </c>
      <c r="E553" s="39">
        <f>(VLOOKUP($A553,'The List'!$B1:$AH727,17,FALSE)-AVERAGE('The List'!R2:R727))/STDEV('The List'!R2:R727)</f>
        <v>-1.1161937386048086</v>
      </c>
      <c r="F553" s="39">
        <f>(VLOOKUP($A553,'The List'!$B1:$AH727,18,FALSE)-AVERAGE('The List'!S2:S727))/STDEV('The List'!S2:S727)</f>
        <v>-0.77591668156573734</v>
      </c>
      <c r="G553" s="39">
        <f>(VLOOKUP($A553,'The List'!$B1:$AH727,19,FALSE)-AVERAGE('The List'!T2:T727))/STDEV('The List'!T2:T727)</f>
        <v>-0.97993402948131791</v>
      </c>
      <c r="H553" s="39">
        <f>(VLOOKUP($A553,'The List'!$B1:$AH727,20,FALSE)-AVERAGE('The List'!U2:U727))/STDEV('The List'!U2:U727)</f>
        <v>-0.95693501628141542</v>
      </c>
      <c r="I553" s="39">
        <f>(VLOOKUP($A553,'The List'!$B1:$AH727,21,FALSE)-AVERAGE('The List'!V2:V727))/STDEV('The List'!V2:V727)</f>
        <v>-0.95295754878732108</v>
      </c>
      <c r="J553" s="39">
        <f>(VLOOKUP($A553,'The List'!$B1:$AH727,22,FALSE)-AVERAGE('The List'!W2:W727))/STDEV('The List'!W2:W727)</f>
        <v>-0.69948075893049799</v>
      </c>
      <c r="K553" s="39">
        <f>(VLOOKUP($A553,'The List'!$B1:$AH727,23,FALSE)-AVERAGE('The List'!X2:X727))/STDEV('The List'!X2:X727)</f>
        <v>-0.78852112622545867</v>
      </c>
      <c r="L553" s="39">
        <f>(VLOOKUP($A553,'The List'!$B1:$AH727,24,FALSE)-AVERAGE('The List'!Y2:Y727))/STDEV('The List'!Y2:Y727)</f>
        <v>0.33810105943879754</v>
      </c>
      <c r="M553" s="39">
        <f>(VLOOKUP($A553,'The List'!$B1:$AH727,25,FALSE)-AVERAGE('The List'!Z2:Z727))/STDEV('The List'!Z2:Z727)</f>
        <v>-7.3415101621997256E-2</v>
      </c>
      <c r="N553" s="39">
        <f>(VLOOKUP($A553,'The List'!$B1:$AH727,26,FALSE)-AVERAGE('The List'!AA2:AA727))/STDEV('The List'!AA2:AA727)</f>
        <v>-0.34946579531548433</v>
      </c>
      <c r="O553" s="39">
        <f>(VLOOKUP($A553,'The List'!$B1:$AH727,27,FALSE)-AVERAGE('The List'!AB2:AB727))/STDEV('The List'!AB2:AB727)</f>
        <v>1.6400362018133599</v>
      </c>
      <c r="P553" s="39">
        <f>(VLOOKUP($A553,'The List'!$B1:$AH727,28,FALSE)-AVERAGE('The List'!AC2:AC727))/STDEV('The List'!AC2:AC727)</f>
        <v>0.27676443956230912</v>
      </c>
      <c r="Q553" s="39">
        <f>(VLOOKUP($A553,'The List'!$B1:$AH727,29,FALSE)-AVERAGE('The List'!AD2:AD727))/STDEV('The List'!AD2:AD727)</f>
        <v>-0.2481185814698211</v>
      </c>
      <c r="R553" s="39">
        <f>(VLOOKUP($A553,'The List'!$B1:$AH727,30,FALSE)-AVERAGE('The List'!AE2:AE727))/STDEV('The List'!AE2:AE727)</f>
        <v>-0.62403766299760843</v>
      </c>
      <c r="S553" s="39">
        <f>(VLOOKUP($A553,'The List'!$B1:$AH727,31,FALSE)-AVERAGE('The List'!AF2:AF727))/STDEV('The List'!AF2:AF727)</f>
        <v>0.59529041547332595</v>
      </c>
      <c r="T553" s="39">
        <f>(VLOOKUP($A553,'The List'!$B1:$AH727,32,FALSE)-AVERAGE('The List'!AG2:AG727))/STDEV('The List'!AG2:AG727)</f>
        <v>0.38569936985436626</v>
      </c>
      <c r="U553" s="39">
        <f>(VLOOKUP($A553,'The List'!$B1:$AH727,33,FALSE)-AVERAGE('The List'!AH2:AH727))/STDEV('The List'!AH2:AH727)</f>
        <v>1.2510039173218281</v>
      </c>
      <c r="V553" s="39"/>
      <c r="W553" s="41"/>
      <c r="X553" s="39"/>
      <c r="Y553" s="39"/>
      <c r="Z553" s="39"/>
      <c r="AA553" s="39"/>
      <c r="AB553" s="39"/>
      <c r="AC553" s="39"/>
      <c r="AD553" s="39"/>
      <c r="AE553" s="39"/>
    </row>
    <row r="554" spans="1:31" ht="21.25" customHeight="1" x14ac:dyDescent="0.15">
      <c r="A554" s="8" t="s">
        <v>797</v>
      </c>
      <c r="B554" s="35" t="str">
        <f>VLOOKUP(A554,'Player Data'!A1:B734,2,FALSE)</f>
        <v>FLA</v>
      </c>
      <c r="C554" s="37">
        <f>((E554)*Settings!$C$12)+(F554*Settings!$C$2)+(G554*Settings!$C$3)+(H554*Settings!$C$4)+(I554*Settings!$C$5)+(K554*Settings!$C$9)+(N554*Settings!$C$6)+(J554*Settings!$C$8)+(O554*Settings!$C$7)+(P554*Settings!$C$14)+(Q554*Settings!$C$15)+(R554*Settings!$C$16)+(S554*Settings!$C$17)+(T554*Settings!$C$18)+(U554*Settings!$C$19)</f>
        <v>-4.9603199548909602</v>
      </c>
      <c r="D554" s="41">
        <f>IF(Settings!$E$12="YES",VLOOKUP(A554,'Player Data'!A1:E734,5,FALSE),82)</f>
        <v>52.357500000000002</v>
      </c>
      <c r="E554" s="39">
        <f>(VLOOKUP($A554,'The List'!$B1:$AH727,17,FALSE)-AVERAGE('The List'!R2:R727))/STDEV('The List'!R2:R727)</f>
        <v>-1.8474400611301369</v>
      </c>
      <c r="F554" s="39">
        <f>(VLOOKUP($A554,'The List'!$B1:$AH727,18,FALSE)-AVERAGE('The List'!S2:S727))/STDEV('The List'!S2:S727)</f>
        <v>-0.96636098627943645</v>
      </c>
      <c r="G554" s="39">
        <f>(VLOOKUP($A554,'The List'!$B1:$AH727,19,FALSE)-AVERAGE('The List'!T2:T727))/STDEV('The List'!T2:T727)</f>
        <v>-1.0484494958105532</v>
      </c>
      <c r="H554" s="39">
        <f>(VLOOKUP($A554,'The List'!$B1:$AH727,20,FALSE)-AVERAGE('The List'!U2:U727))/STDEV('The List'!U2:U727)</f>
        <v>-1.0858189534747076</v>
      </c>
      <c r="I554" s="39">
        <f>(VLOOKUP($A554,'The List'!$B1:$AH727,21,FALSE)-AVERAGE('The List'!V2:V727))/STDEV('The List'!V2:V727)</f>
        <v>-1.3725758895685531</v>
      </c>
      <c r="J554" s="39">
        <f>(VLOOKUP($A554,'The List'!$B1:$AH727,22,FALSE)-AVERAGE('The List'!W2:W727))/STDEV('The List'!W2:W727)</f>
        <v>-0.68676926926216464</v>
      </c>
      <c r="K554" s="39">
        <f>(VLOOKUP($A554,'The List'!$B1:$AH727,23,FALSE)-AVERAGE('The List'!X2:X727))/STDEV('The List'!X2:X727)</f>
        <v>-0.77760004831860985</v>
      </c>
      <c r="L554" s="39">
        <f>(VLOOKUP($A554,'The List'!$B1:$AH727,24,FALSE)-AVERAGE('The List'!Y2:Y727))/STDEV('The List'!Y2:Y727)</f>
        <v>-0.54402834717551152</v>
      </c>
      <c r="M554" s="39">
        <f>(VLOOKUP($A554,'The List'!$B1:$AH727,25,FALSE)-AVERAGE('The List'!Z2:Z727))/STDEV('The List'!Z2:Z727)</f>
        <v>-0.72372514007823274</v>
      </c>
      <c r="N554" s="39">
        <f>(VLOOKUP($A554,'The List'!$B1:$AH727,26,FALSE)-AVERAGE('The List'!AA2:AA727))/STDEV('The List'!AA2:AA727)</f>
        <v>-0.96271900170871971</v>
      </c>
      <c r="O554" s="39">
        <f>(VLOOKUP($A554,'The List'!$B1:$AH727,27,FALSE)-AVERAGE('The List'!AB2:AB727))/STDEV('The List'!AB2:AB727)</f>
        <v>-0.50599599901803327</v>
      </c>
      <c r="P554" s="39">
        <f>(VLOOKUP($A554,'The List'!$B1:$AH727,28,FALSE)-AVERAGE('The List'!AC2:AC727))/STDEV('The List'!AC2:AC727)</f>
        <v>0.16738546679491217</v>
      </c>
      <c r="Q554" s="39">
        <f>(VLOOKUP($A554,'The List'!$B1:$AH727,29,FALSE)-AVERAGE('The List'!AD2:AD727))/STDEV('The List'!AD2:AD727)</f>
        <v>-1.2791398530482916</v>
      </c>
      <c r="R554" s="39">
        <f>(VLOOKUP($A554,'The List'!$B1:$AH727,30,FALSE)-AVERAGE('The List'!AE2:AE727))/STDEV('The List'!AE2:AE727)</f>
        <v>-0.88516334687584541</v>
      </c>
      <c r="S554" s="39">
        <f>(VLOOKUP($A554,'The List'!$B1:$AH727,31,FALSE)-AVERAGE('The List'!AF2:AF727))/STDEV('The List'!AF2:AF727)</f>
        <v>-0.55751715000772517</v>
      </c>
      <c r="T554" s="39">
        <f>(VLOOKUP($A554,'The List'!$B1:$AH727,32,FALSE)-AVERAGE('The List'!AG2:AG727))/STDEV('The List'!AG2:AG727)</f>
        <v>-0.59703463634374698</v>
      </c>
      <c r="U554" s="39">
        <f>(VLOOKUP($A554,'The List'!$B1:$AH727,33,FALSE)-AVERAGE('The List'!AH2:AH727))/STDEV('The List'!AH2:AH727)</f>
        <v>-0.77691653455738685</v>
      </c>
      <c r="V554" s="39"/>
      <c r="W554" s="43"/>
      <c r="X554" s="41"/>
      <c r="Y554" s="41"/>
      <c r="Z554" s="41"/>
      <c r="AA554" s="41"/>
      <c r="AB554" s="41"/>
      <c r="AC554" s="44"/>
      <c r="AD554" s="45"/>
      <c r="AE554" s="39"/>
    </row>
    <row r="555" spans="1:31" ht="21.25" customHeight="1" x14ac:dyDescent="0.15">
      <c r="A555" s="8" t="s">
        <v>784</v>
      </c>
      <c r="B555" s="35" t="str">
        <f>VLOOKUP(A555,'Player Data'!A1:B734,2,FALSE)</f>
        <v>EDM</v>
      </c>
      <c r="C555" s="37">
        <f>((E555)*Settings!$C$12)+(F555*Settings!$C$2)+(G555*Settings!$C$3)+(H555*Settings!$C$4)+(I555*Settings!$C$5)+(K555*Settings!$C$9)+(N555*Settings!$C$6)+(J555*Settings!$C$8)+(O555*Settings!$C$7)+(P555*Settings!$C$14)+(Q555*Settings!$C$15)+(R555*Settings!$C$16)+(S555*Settings!$C$17)+(T555*Settings!$C$18)+(U555*Settings!$C$19)</f>
        <v>-2.2040393275745007</v>
      </c>
      <c r="D555" s="41">
        <f>IF(Settings!$E$12="YES",VLOOKUP(A555,'Player Data'!A1:E734,5,FALSE),82)</f>
        <v>78.808928571428595</v>
      </c>
      <c r="E555" s="39">
        <f>(VLOOKUP($A555,'The List'!$B1:$AH727,17,FALSE)-AVERAGE('The List'!R2:R727))/STDEV('The List'!R2:R727)</f>
        <v>-1.5620196390846832</v>
      </c>
      <c r="F555" s="39">
        <f>(VLOOKUP($A555,'The List'!$B1:$AH727,18,FALSE)-AVERAGE('The List'!S2:S727))/STDEV('The List'!S2:S727)</f>
        <v>-0.42125982758439212</v>
      </c>
      <c r="G555" s="39">
        <f>(VLOOKUP($A555,'The List'!$B1:$AH727,19,FALSE)-AVERAGE('The List'!T2:T727))/STDEV('The List'!T2:T727)</f>
        <v>-1.0346478791155771</v>
      </c>
      <c r="H555" s="39">
        <f>(VLOOKUP($A555,'The List'!$B1:$AH727,20,FALSE)-AVERAGE('The List'!U2:U727))/STDEV('The List'!U2:U727)</f>
        <v>-0.82925913253157502</v>
      </c>
      <c r="I555" s="39">
        <f>(VLOOKUP($A555,'The List'!$B1:$AH727,21,FALSE)-AVERAGE('The List'!V2:V727))/STDEV('The List'!V2:V727)</f>
        <v>-0.80264360789753941</v>
      </c>
      <c r="J555" s="39">
        <f>(VLOOKUP($A555,'The List'!$B1:$AH727,22,FALSE)-AVERAGE('The List'!W2:W727))/STDEV('The List'!W2:W727)</f>
        <v>-0.69978548176083577</v>
      </c>
      <c r="K555" s="39">
        <f>(VLOOKUP($A555,'The List'!$B1:$AH727,23,FALSE)-AVERAGE('The List'!X2:X727))/STDEV('The List'!X2:X727)</f>
        <v>-0.78939854842584356</v>
      </c>
      <c r="L555" s="39">
        <f>(VLOOKUP($A555,'The List'!$B1:$AH727,24,FALSE)-AVERAGE('The List'!Y2:Y727))/STDEV('The List'!Y2:Y727)</f>
        <v>0.37584494640660121</v>
      </c>
      <c r="M555" s="39">
        <f>(VLOOKUP($A555,'The List'!$B1:$AH727,25,FALSE)-AVERAGE('The List'!Z2:Z727))/STDEV('The List'!Z2:Z727)</f>
        <v>0.28820654834458909</v>
      </c>
      <c r="N555" s="39">
        <f>(VLOOKUP($A555,'The List'!$B1:$AH727,26,FALSE)-AVERAGE('The List'!AA2:AA727))/STDEV('The List'!AA2:AA727)</f>
        <v>-0.54039731201842744</v>
      </c>
      <c r="O555" s="39">
        <f>(VLOOKUP($A555,'The List'!$B1:$AH727,27,FALSE)-AVERAGE('The List'!AB2:AB727))/STDEV('The List'!AB2:AB727)</f>
        <v>-0.68843045045813778</v>
      </c>
      <c r="P555" s="39">
        <f>(VLOOKUP($A555,'The List'!$B1:$AH727,28,FALSE)-AVERAGE('The List'!AC2:AC727))/STDEV('The List'!AC2:AC727)</f>
        <v>1.384307847467279</v>
      </c>
      <c r="Q555" s="39">
        <f>(VLOOKUP($A555,'The List'!$B1:$AH727,29,FALSE)-AVERAGE('The List'!AD2:AD727))/STDEV('The List'!AD2:AD727)</f>
        <v>-0.7688599373553795</v>
      </c>
      <c r="R555" s="39">
        <f>(VLOOKUP($A555,'The List'!$B1:$AH727,30,FALSE)-AVERAGE('The List'!AE2:AE727))/STDEV('The List'!AE2:AE727)</f>
        <v>-0.28979054107928154</v>
      </c>
      <c r="S555" s="39">
        <f>(VLOOKUP($A555,'The List'!$B1:$AH727,31,FALSE)-AVERAGE('The List'!AF2:AF727))/STDEV('The List'!AF2:AF727)</f>
        <v>0.55109969001129033</v>
      </c>
      <c r="T555" s="39">
        <f>(VLOOKUP($A555,'The List'!$B1:$AH727,32,FALSE)-AVERAGE('The List'!AG2:AG727))/STDEV('The List'!AG2:AG727)</f>
        <v>0.45339808396593034</v>
      </c>
      <c r="U555" s="39">
        <f>(VLOOKUP($A555,'The List'!$B1:$AH727,33,FALSE)-AVERAGE('The List'!AH2:AH727))/STDEV('The List'!AH2:AH727)</f>
        <v>1.132712125014582</v>
      </c>
      <c r="V555" s="39"/>
      <c r="W555" s="41"/>
      <c r="X555" s="39"/>
      <c r="Y555" s="39"/>
      <c r="Z555" s="39"/>
      <c r="AA555" s="39"/>
      <c r="AB555" s="39"/>
      <c r="AC555" s="39"/>
      <c r="AD555" s="39"/>
      <c r="AE555" s="39"/>
    </row>
    <row r="556" spans="1:31" ht="21.25" customHeight="1" x14ac:dyDescent="0.15">
      <c r="A556" s="8" t="s">
        <v>521</v>
      </c>
      <c r="B556" s="35" t="str">
        <f>VLOOKUP(A556,'Player Data'!A1:B734,2,FALSE)</f>
        <v>MTL</v>
      </c>
      <c r="C556" s="37">
        <f>((E556)*Settings!$C$12)+(F556*Settings!$C$2)+(G556*Settings!$C$3)+(H556*Settings!$C$4)+(I556*Settings!$C$5)+(K556*Settings!$C$9)+(N556*Settings!$C$6)+(J556*Settings!$C$8)+(O556*Settings!$C$7)+(P556*Settings!$C$14)+(Q556*Settings!$C$15)+(R556*Settings!$C$16)+(S556*Settings!$C$17)+(T556*Settings!$C$18)+(U556*Settings!$C$19)</f>
        <v>-3.3912297146353922</v>
      </c>
      <c r="D556" s="41">
        <f>IF(Settings!$E$12="YES",VLOOKUP(A556,'Player Data'!A1:E734,5,FALSE),82)</f>
        <v>75.437142857142902</v>
      </c>
      <c r="E556" s="39">
        <f>(VLOOKUP($A556,'The List'!$B1:$AH727,17,FALSE)-AVERAGE('The List'!R2:R727))/STDEV('The List'!R2:R727)</f>
        <v>0.61503251104709722</v>
      </c>
      <c r="F556" s="39">
        <f>(VLOOKUP($A556,'The List'!$B1:$AH727,18,FALSE)-AVERAGE('The List'!S2:S727))/STDEV('The List'!S2:S727)</f>
        <v>-1.0386889667408299</v>
      </c>
      <c r="G556" s="39">
        <f>(VLOOKUP($A556,'The List'!$B1:$AH727,19,FALSE)-AVERAGE('The List'!T2:T727))/STDEV('The List'!T2:T727)</f>
        <v>-0.63422493528413071</v>
      </c>
      <c r="H556" s="39">
        <f>(VLOOKUP($A556,'The List'!$B1:$AH727,20,FALSE)-AVERAGE('The List'!U2:U727))/STDEV('The List'!U2:U727)</f>
        <v>-0.86348372225959902</v>
      </c>
      <c r="I556" s="39">
        <f>(VLOOKUP($A556,'The List'!$B1:$AH727,21,FALSE)-AVERAGE('The List'!V2:V727))/STDEV('The List'!V2:V727)</f>
        <v>-0.97355788956982603</v>
      </c>
      <c r="J556" s="39">
        <f>(VLOOKUP($A556,'The List'!$B1:$AH727,22,FALSE)-AVERAGE('The List'!W2:W727))/STDEV('The List'!W2:W727)</f>
        <v>-0.70722144948899135</v>
      </c>
      <c r="K556" s="39">
        <f>(VLOOKUP($A556,'The List'!$B1:$AH727,23,FALSE)-AVERAGE('The List'!X2:X727))/STDEV('The List'!X2:X727)</f>
        <v>-0.78800766224790664</v>
      </c>
      <c r="L556" s="39">
        <f>(VLOOKUP($A556,'The List'!$B1:$AH727,24,FALSE)-AVERAGE('The List'!Y2:Y727))/STDEV('The List'!Y2:Y727)</f>
        <v>-0.50610391481803463</v>
      </c>
      <c r="M556" s="39">
        <f>(VLOOKUP($A556,'The List'!$B1:$AH727,25,FALSE)-AVERAGE('The List'!Z2:Z727))/STDEV('The List'!Z2:Z727)</f>
        <v>0.36935457711625547</v>
      </c>
      <c r="N556" s="39">
        <f>(VLOOKUP($A556,'The List'!$B1:$AH727,26,FALSE)-AVERAGE('The List'!AA2:AA727))/STDEV('The List'!AA2:AA727)</f>
        <v>2.4968006939617835</v>
      </c>
      <c r="O556" s="39">
        <f>(VLOOKUP($A556,'The List'!$B1:$AH727,27,FALSE)-AVERAGE('The List'!AB2:AB727))/STDEV('The List'!AB2:AB727)</f>
        <v>8.33744315009258E-2</v>
      </c>
      <c r="P556" s="39">
        <f>(VLOOKUP($A556,'The List'!$B1:$AH727,28,FALSE)-AVERAGE('The List'!AC2:AC727))/STDEV('The List'!AC2:AC727)</f>
        <v>-2.4535509547544825</v>
      </c>
      <c r="Q556" s="39">
        <f>(VLOOKUP($A556,'The List'!$B1:$AH727,29,FALSE)-AVERAGE('The List'!AD2:AD727))/STDEV('The List'!AD2:AD727)</f>
        <v>-8.7241969501631184E-2</v>
      </c>
      <c r="R556" s="39">
        <f>(VLOOKUP($A556,'The List'!$B1:$AH727,30,FALSE)-AVERAGE('The List'!AE2:AE727))/STDEV('The List'!AE2:AE727)</f>
        <v>-1.0114474040768426</v>
      </c>
      <c r="S556" s="39">
        <f>(VLOOKUP($A556,'The List'!$B1:$AH727,31,FALSE)-AVERAGE('The List'!AF2:AF727))/STDEV('The List'!AF2:AF727)</f>
        <v>-0.55804314905918151</v>
      </c>
      <c r="T556" s="39">
        <f>(VLOOKUP($A556,'The List'!$B1:$AH727,32,FALSE)-AVERAGE('The List'!AG2:AG727))/STDEV('The List'!AG2:AG727)</f>
        <v>-0.60188453558131205</v>
      </c>
      <c r="U556" s="39">
        <f>(VLOOKUP($A556,'The List'!$B1:$AH727,33,FALSE)-AVERAGE('The List'!AH2:AH727))/STDEV('The List'!AH2:AH727)</f>
        <v>-1.2395873372913611</v>
      </c>
      <c r="V556" s="39"/>
      <c r="W556" s="43"/>
      <c r="X556" s="41"/>
      <c r="Y556" s="41"/>
      <c r="Z556" s="41"/>
      <c r="AA556" s="41"/>
      <c r="AB556" s="41"/>
      <c r="AC556" s="44"/>
      <c r="AD556" s="45"/>
      <c r="AE556" s="39"/>
    </row>
    <row r="557" spans="1:31" ht="21.25" customHeight="1" x14ac:dyDescent="0.15">
      <c r="A557" s="8" t="s">
        <v>809</v>
      </c>
      <c r="B557" s="35" t="str">
        <f>VLOOKUP(A557,'Player Data'!A1:B734,2,FALSE)</f>
        <v>WPG</v>
      </c>
      <c r="C557" s="37">
        <f>((E557)*Settings!$C$12)+(F557*Settings!$C$2)+(G557*Settings!$C$3)+(H557*Settings!$C$4)+(I557*Settings!$C$5)+(K557*Settings!$C$9)+(N557*Settings!$C$6)+(J557*Settings!$C$8)+(O557*Settings!$C$7)+(P557*Settings!$C$14)+(Q557*Settings!$C$15)+(R557*Settings!$C$16)+(S557*Settings!$C$17)+(T557*Settings!$C$18)+(U557*Settings!$C$19)</f>
        <v>-4.4519657515613895</v>
      </c>
      <c r="D557" s="41">
        <f>IF(Settings!$E$12="YES",VLOOKUP(A557,'Player Data'!A1:E734,5,FALSE),82)</f>
        <v>68.577500000000001</v>
      </c>
      <c r="E557" s="39">
        <f>(VLOOKUP($A557,'The List'!$B1:$AH727,17,FALSE)-AVERAGE('The List'!R2:R727))/STDEV('The List'!R2:R727)</f>
        <v>-1.7215122272938888</v>
      </c>
      <c r="F557" s="39">
        <f>(VLOOKUP($A557,'The List'!$B1:$AH727,18,FALSE)-AVERAGE('The List'!S2:S727))/STDEV('The List'!S2:S727)</f>
        <v>-0.82211204445132813</v>
      </c>
      <c r="G557" s="39">
        <f>(VLOOKUP($A557,'The List'!$B1:$AH727,19,FALSE)-AVERAGE('The List'!T2:T727))/STDEV('The List'!T2:T727)</f>
        <v>-0.90325000234680819</v>
      </c>
      <c r="H557" s="39">
        <f>(VLOOKUP($A557,'The List'!$B1:$AH727,20,FALSE)-AVERAGE('The List'!U2:U727))/STDEV('The List'!U2:U727)</f>
        <v>-0.93070339351057141</v>
      </c>
      <c r="I557" s="39">
        <f>(VLOOKUP($A557,'The List'!$B1:$AH727,21,FALSE)-AVERAGE('The List'!V2:V727))/STDEV('The List'!V2:V727)</f>
        <v>-1.2384176198021464</v>
      </c>
      <c r="J557" s="39">
        <f>(VLOOKUP($A557,'The List'!$B1:$AH727,22,FALSE)-AVERAGE('The List'!W2:W727))/STDEV('The List'!W2:W727)</f>
        <v>-0.69115312754129254</v>
      </c>
      <c r="K557" s="39">
        <f>(VLOOKUP($A557,'The List'!$B1:$AH727,23,FALSE)-AVERAGE('The List'!X2:X727))/STDEV('The List'!X2:X727)</f>
        <v>-0.78010367137055947</v>
      </c>
      <c r="L557" s="39">
        <f>(VLOOKUP($A557,'The List'!$B1:$AH727,24,FALSE)-AVERAGE('The List'!Y2:Y727))/STDEV('The List'!Y2:Y727)</f>
        <v>0.4065628951784182</v>
      </c>
      <c r="M557" s="39">
        <f>(VLOOKUP($A557,'The List'!$B1:$AH727,25,FALSE)-AVERAGE('The List'!Z2:Z727))/STDEV('The List'!Z2:Z727)</f>
        <v>0.70348056879165044</v>
      </c>
      <c r="N557" s="39">
        <f>(VLOOKUP($A557,'The List'!$B1:$AH727,26,FALSE)-AVERAGE('The List'!AA2:AA727))/STDEV('The List'!AA2:AA727)</f>
        <v>-0.7290349597576965</v>
      </c>
      <c r="O557" s="39">
        <f>(VLOOKUP($A557,'The List'!$B1:$AH727,27,FALSE)-AVERAGE('The List'!AB2:AB727))/STDEV('The List'!AB2:AB727)</f>
        <v>-0.18615029616801376</v>
      </c>
      <c r="P557" s="39">
        <f>(VLOOKUP($A557,'The List'!$B1:$AH727,28,FALSE)-AVERAGE('The List'!AC2:AC727))/STDEV('The List'!AC2:AC727)</f>
        <v>2.0952546167149092E-2</v>
      </c>
      <c r="Q557" s="39">
        <f>(VLOOKUP($A557,'The List'!$B1:$AH727,29,FALSE)-AVERAGE('The List'!AD2:AD727))/STDEV('The List'!AD2:AD727)</f>
        <v>-1.0850062506492442</v>
      </c>
      <c r="R557" s="39">
        <f>(VLOOKUP($A557,'The List'!$B1:$AH727,30,FALSE)-AVERAGE('The List'!AE2:AE727))/STDEV('The List'!AE2:AE727)</f>
        <v>-0.71130648925442408</v>
      </c>
      <c r="S557" s="39">
        <f>(VLOOKUP($A557,'The List'!$B1:$AH727,31,FALSE)-AVERAGE('The List'!AF2:AF727))/STDEV('The List'!AF2:AF727)</f>
        <v>0.42511419807501155</v>
      </c>
      <c r="T557" s="39">
        <f>(VLOOKUP($A557,'The List'!$B1:$AH727,32,FALSE)-AVERAGE('The List'!AG2:AG727))/STDEV('The List'!AG2:AG727)</f>
        <v>0.45717331049141313</v>
      </c>
      <c r="U557" s="39">
        <f>(VLOOKUP($A557,'The List'!$B1:$AH727,33,FALSE)-AVERAGE('The List'!AH2:AH727))/STDEV('The List'!AH2:AH727)</f>
        <v>0.99259119250132466</v>
      </c>
      <c r="V557" s="39"/>
      <c r="W557" s="43"/>
      <c r="X557" s="41"/>
      <c r="Y557" s="41"/>
      <c r="Z557" s="41"/>
      <c r="AA557" s="41"/>
      <c r="AB557" s="41"/>
      <c r="AC557" s="44"/>
      <c r="AD557" s="45"/>
      <c r="AE557" s="39"/>
    </row>
    <row r="558" spans="1:31" ht="21.25" customHeight="1" x14ac:dyDescent="0.15">
      <c r="A558" s="8" t="s">
        <v>779</v>
      </c>
      <c r="B558" s="35" t="str">
        <f>VLOOKUP(A558,'Player Data'!A1:B734,2,FALSE)</f>
        <v>FLA</v>
      </c>
      <c r="C558" s="37">
        <f>((E558)*Settings!$C$12)+(F558*Settings!$C$2)+(G558*Settings!$C$3)+(H558*Settings!$C$4)+(I558*Settings!$C$5)+(K558*Settings!$C$9)+(N558*Settings!$C$6)+(J558*Settings!$C$8)+(O558*Settings!$C$7)+(P558*Settings!$C$14)+(Q558*Settings!$C$15)+(R558*Settings!$C$16)+(S558*Settings!$C$17)+(T558*Settings!$C$18)+(U558*Settings!$C$19)</f>
        <v>-3.2730992761183013</v>
      </c>
      <c r="D558" s="41">
        <f>IF(Settings!$E$12="YES",VLOOKUP(A558,'Player Data'!A1:E734,5,FALSE),82)</f>
        <v>75</v>
      </c>
      <c r="E558" s="39">
        <f>(VLOOKUP($A558,'The List'!$B1:$AH727,17,FALSE)-AVERAGE('The List'!R2:R727))/STDEV('The List'!R2:R727)</f>
        <v>-1.3880404359317535</v>
      </c>
      <c r="F558" s="39">
        <f>(VLOOKUP($A558,'The List'!$B1:$AH727,18,FALSE)-AVERAGE('The List'!S2:S727))/STDEV('The List'!S2:S727)</f>
        <v>-0.51672094681578373</v>
      </c>
      <c r="G558" s="39">
        <f>(VLOOKUP($A558,'The List'!$B1:$AH727,19,FALSE)-AVERAGE('The List'!T2:T727))/STDEV('The List'!T2:T727)</f>
        <v>-1.0279907102016781</v>
      </c>
      <c r="H558" s="39">
        <f>(VLOOKUP($A558,'The List'!$B1:$AH727,20,FALSE)-AVERAGE('The List'!U2:U727))/STDEV('The List'!U2:U727)</f>
        <v>-0.86859770660752889</v>
      </c>
      <c r="I558" s="39">
        <f>(VLOOKUP($A558,'The List'!$B1:$AH727,21,FALSE)-AVERAGE('The List'!V2:V727))/STDEV('The List'!V2:V727)</f>
        <v>-0.62406371386796711</v>
      </c>
      <c r="J558" s="39">
        <f>(VLOOKUP($A558,'The List'!$B1:$AH727,22,FALSE)-AVERAGE('The List'!W2:W727))/STDEV('The List'!W2:W727)</f>
        <v>-0.68724368264828528</v>
      </c>
      <c r="K558" s="39">
        <f>(VLOOKUP($A558,'The List'!$B1:$AH727,23,FALSE)-AVERAGE('The List'!X2:X727))/STDEV('The List'!X2:X727)</f>
        <v>-0.78429564713329791</v>
      </c>
      <c r="L558" s="39">
        <f>(VLOOKUP($A558,'The List'!$B1:$AH727,24,FALSE)-AVERAGE('The List'!Y2:Y727))/STDEV('The List'!Y2:Y727)</f>
        <v>0.55195751497958689</v>
      </c>
      <c r="M558" s="39">
        <f>(VLOOKUP($A558,'The List'!$B1:$AH727,25,FALSE)-AVERAGE('The List'!Z2:Z727))/STDEV('The List'!Z2:Z727)</f>
        <v>0.62132071435833203</v>
      </c>
      <c r="N558" s="39">
        <f>(VLOOKUP($A558,'The List'!$B1:$AH727,26,FALSE)-AVERAGE('The List'!AA2:AA727))/STDEV('The List'!AA2:AA727)</f>
        <v>-0.60922415957734311</v>
      </c>
      <c r="O558" s="39">
        <f>(VLOOKUP($A558,'The List'!$B1:$AH727,27,FALSE)-AVERAGE('The List'!AB2:AB727))/STDEV('The List'!AB2:AB727)</f>
        <v>0.44282278660024577</v>
      </c>
      <c r="P558" s="39">
        <f>(VLOOKUP($A558,'The List'!$B1:$AH727,28,FALSE)-AVERAGE('The List'!AC2:AC727))/STDEV('The List'!AC2:AC727)</f>
        <v>0.28919590147776847</v>
      </c>
      <c r="Q558" s="39">
        <f>(VLOOKUP($A558,'The List'!$B1:$AH727,29,FALSE)-AVERAGE('The List'!AD2:AD727))/STDEV('The List'!AD2:AD727)</f>
        <v>-1.1494712779882714</v>
      </c>
      <c r="R558" s="39">
        <f>(VLOOKUP($A558,'The List'!$B1:$AH727,30,FALSE)-AVERAGE('The List'!AE2:AE727))/STDEV('The List'!AE2:AE727)</f>
        <v>-0.4638264090198006</v>
      </c>
      <c r="S558" s="39">
        <f>(VLOOKUP($A558,'The List'!$B1:$AH727,31,FALSE)-AVERAGE('The List'!AF2:AF727))/STDEV('The List'!AF2:AF727)</f>
        <v>0.49735875116305134</v>
      </c>
      <c r="T558" s="39">
        <f>(VLOOKUP($A558,'The List'!$B1:$AH727,32,FALSE)-AVERAGE('The List'!AG2:AG727))/STDEV('The List'!AG2:AG727)</f>
        <v>0.62009943980521642</v>
      </c>
      <c r="U558" s="39">
        <f>(VLOOKUP($A558,'The List'!$B1:$AH727,33,FALSE)-AVERAGE('The List'!AH2:AH727))/STDEV('The List'!AH2:AH727)</f>
        <v>0.91113840549510372</v>
      </c>
      <c r="V558" s="39"/>
      <c r="W558" s="41"/>
      <c r="X558" s="39"/>
      <c r="Y558" s="39"/>
      <c r="Z558" s="39"/>
      <c r="AA558" s="39"/>
      <c r="AB558" s="39"/>
      <c r="AC558" s="39"/>
      <c r="AD558" s="39"/>
      <c r="AE558" s="39"/>
    </row>
    <row r="559" spans="1:31" ht="21.25" customHeight="1" x14ac:dyDescent="0.15">
      <c r="A559" s="8" t="s">
        <v>548</v>
      </c>
      <c r="B559" s="35" t="str">
        <f>VLOOKUP(A559,'Player Data'!A1:B734,2,FALSE)</f>
        <v>MIN</v>
      </c>
      <c r="C559" s="37">
        <f>((E559)*Settings!$C$12)+(F559*Settings!$C$2)+(G559*Settings!$C$3)+(H559*Settings!$C$4)+(I559*Settings!$C$5)+(K559*Settings!$C$9)+(N559*Settings!$C$6)+(J559*Settings!$C$8)+(O559*Settings!$C$7)+(P559*Settings!$C$14)+(Q559*Settings!$C$15)+(R559*Settings!$C$16)+(S559*Settings!$C$17)+(T559*Settings!$C$18)+(U559*Settings!$C$19)</f>
        <v>-1.8249925351597114</v>
      </c>
      <c r="D559" s="41">
        <f>IF(Settings!$E$12="YES",VLOOKUP(A559,'Player Data'!A1:E734,5,FALSE),82)</f>
        <v>74.265000000000001</v>
      </c>
      <c r="E559" s="39">
        <f>(VLOOKUP($A559,'The List'!$B1:$AH727,17,FALSE)-AVERAGE('The List'!R2:R727))/STDEV('The List'!R2:R727)</f>
        <v>7.5090631011497334E-3</v>
      </c>
      <c r="F559" s="39">
        <f>(VLOOKUP($A559,'The List'!$B1:$AH727,18,FALSE)-AVERAGE('The List'!S2:S727))/STDEV('The List'!S2:S727)</f>
        <v>-1.0990738396605304</v>
      </c>
      <c r="G559" s="39">
        <f>(VLOOKUP($A559,'The List'!$B1:$AH727,19,FALSE)-AVERAGE('The List'!T2:T727))/STDEV('The List'!T2:T727)</f>
        <v>-0.61068542567220296</v>
      </c>
      <c r="H559" s="39">
        <f>(VLOOKUP($A559,'The List'!$B1:$AH727,20,FALSE)-AVERAGE('The List'!U2:U727))/STDEV('The List'!U2:U727)</f>
        <v>-0.87645735553047843</v>
      </c>
      <c r="I559" s="39">
        <f>(VLOOKUP($A559,'The List'!$B1:$AH727,21,FALSE)-AVERAGE('The List'!V2:V727))/STDEV('The List'!V2:V727)</f>
        <v>-0.81271565073619578</v>
      </c>
      <c r="J559" s="39">
        <f>(VLOOKUP($A559,'The List'!$B1:$AH727,22,FALSE)-AVERAGE('The List'!W2:W727))/STDEV('The List'!W2:W727)</f>
        <v>-0.70493147692224045</v>
      </c>
      <c r="K559" s="39">
        <f>(VLOOKUP($A559,'The List'!$B1:$AH727,23,FALSE)-AVERAGE('The List'!X2:X727))/STDEV('The List'!X2:X727)</f>
        <v>-0.69868958209297594</v>
      </c>
      <c r="L559" s="39">
        <f>(VLOOKUP($A559,'The List'!$B1:$AH727,24,FALSE)-AVERAGE('The List'!Y2:Y727))/STDEV('The List'!Y2:Y727)</f>
        <v>-0.51358245924914525</v>
      </c>
      <c r="M559" s="39">
        <f>(VLOOKUP($A559,'The List'!$B1:$AH727,25,FALSE)-AVERAGE('The List'!Z2:Z727))/STDEV('The List'!Z2:Z727)</f>
        <v>-0.63777824121726867</v>
      </c>
      <c r="N559" s="39">
        <f>(VLOOKUP($A559,'The List'!$B1:$AH727,26,FALSE)-AVERAGE('The List'!AA2:AA727))/STDEV('The List'!AA2:AA727)</f>
        <v>0.91847319240606595</v>
      </c>
      <c r="O559" s="39">
        <f>(VLOOKUP($A559,'The List'!$B1:$AH727,27,FALSE)-AVERAGE('The List'!AB2:AB727))/STDEV('The List'!AB2:AB727)</f>
        <v>-0.54589378750399309</v>
      </c>
      <c r="P559" s="39">
        <f>(VLOOKUP($A559,'The List'!$B1:$AH727,28,FALSE)-AVERAGE('The List'!AC2:AC727))/STDEV('The List'!AC2:AC727)</f>
        <v>0.4776987705961277</v>
      </c>
      <c r="Q559" s="39">
        <f>(VLOOKUP($A559,'The List'!$B1:$AH727,29,FALSE)-AVERAGE('The List'!AD2:AD727))/STDEV('The List'!AD2:AD727)</f>
        <v>-0.39656123796111276</v>
      </c>
      <c r="R559" s="39">
        <f>(VLOOKUP($A559,'The List'!$B1:$AH727,30,FALSE)-AVERAGE('The List'!AE2:AE727))/STDEV('The List'!AE2:AE727)</f>
        <v>-0.98771872913746617</v>
      </c>
      <c r="S559" s="39">
        <f>(VLOOKUP($A559,'The List'!$B1:$AH727,31,FALSE)-AVERAGE('The List'!AF2:AF727))/STDEV('The List'!AF2:AF727)</f>
        <v>-0.55804314905918151</v>
      </c>
      <c r="T559" s="39">
        <f>(VLOOKUP($A559,'The List'!$B1:$AH727,32,FALSE)-AVERAGE('The List'!AG2:AG727))/STDEV('The List'!AG2:AG727)</f>
        <v>-0.60188453558131205</v>
      </c>
      <c r="U559" s="39">
        <f>(VLOOKUP($A559,'The List'!$B1:$AH727,33,FALSE)-AVERAGE('The List'!AH2:AH727))/STDEV('The List'!AH2:AH727)</f>
        <v>-1.2395873372913611</v>
      </c>
      <c r="V559" s="39"/>
      <c r="W559" s="41"/>
      <c r="X559" s="39"/>
      <c r="Y559" s="39"/>
      <c r="Z559" s="39"/>
      <c r="AA559" s="39"/>
      <c r="AB559" s="39"/>
      <c r="AC559" s="39"/>
      <c r="AD559" s="39"/>
      <c r="AE559" s="39"/>
    </row>
    <row r="560" spans="1:31" ht="21.25" customHeight="1" x14ac:dyDescent="0.15">
      <c r="A560" s="8" t="s">
        <v>528</v>
      </c>
      <c r="B560" s="35" t="str">
        <f>VLOOKUP(A560,'Player Data'!A1:B734,2,FALSE)</f>
        <v>FLA</v>
      </c>
      <c r="C560" s="37">
        <f>((E560)*Settings!$C$12)+(F560*Settings!$C$2)+(G560*Settings!$C$3)+(H560*Settings!$C$4)+(I560*Settings!$C$5)+(K560*Settings!$C$9)+(N560*Settings!$C$6)+(J560*Settings!$C$8)+(O560*Settings!$C$7)+(P560*Settings!$C$14)+(Q560*Settings!$C$15)+(R560*Settings!$C$16)+(S560*Settings!$C$17)+(T560*Settings!$C$18)+(U560*Settings!$C$19)</f>
        <v>-1.5403335350826364</v>
      </c>
      <c r="D560" s="41">
        <f>IF(Settings!$E$12="YES",VLOOKUP(A560,'Player Data'!A1:E734,5,FALSE),82)</f>
        <v>77.921071428571395</v>
      </c>
      <c r="E560" s="39">
        <f>(VLOOKUP($A560,'The List'!$B1:$AH727,17,FALSE)-AVERAGE('The List'!R2:R727))/STDEV('The List'!R2:R727)</f>
        <v>0.48424371026976931</v>
      </c>
      <c r="F560" s="39">
        <f>(VLOOKUP($A560,'The List'!$B1:$AH727,18,FALSE)-AVERAGE('The List'!S2:S727))/STDEV('The List'!S2:S727)</f>
        <v>-0.93035823228426395</v>
      </c>
      <c r="G560" s="39">
        <f>(VLOOKUP($A560,'The List'!$B1:$AH727,19,FALSE)-AVERAGE('The List'!T2:T727))/STDEV('The List'!T2:T727)</f>
        <v>-0.68180704392264191</v>
      </c>
      <c r="H560" s="39">
        <f>(VLOOKUP($A560,'The List'!$B1:$AH727,20,FALSE)-AVERAGE('The List'!U2:U727))/STDEV('The List'!U2:U727)</f>
        <v>-0.84350699261477957</v>
      </c>
      <c r="I560" s="39">
        <f>(VLOOKUP($A560,'The List'!$B1:$AH727,21,FALSE)-AVERAGE('The List'!V2:V727))/STDEV('The List'!V2:V727)</f>
        <v>-0.7579051668235115</v>
      </c>
      <c r="J560" s="39">
        <f>(VLOOKUP($A560,'The List'!$B1:$AH727,22,FALSE)-AVERAGE('The List'!W2:W727))/STDEV('The List'!W2:W727)</f>
        <v>-0.70634105218015075</v>
      </c>
      <c r="K560" s="39">
        <f>(VLOOKUP($A560,'The List'!$B1:$AH727,23,FALSE)-AVERAGE('The List'!X2:X727))/STDEV('The List'!X2:X727)</f>
        <v>-0.78615733140540089</v>
      </c>
      <c r="L560" s="39">
        <f>(VLOOKUP($A560,'The List'!$B1:$AH727,24,FALSE)-AVERAGE('The List'!Y2:Y727))/STDEV('The List'!Y2:Y727)</f>
        <v>-0.5005972801061056</v>
      </c>
      <c r="M560" s="39">
        <f>(VLOOKUP($A560,'The List'!$B1:$AH727,25,FALSE)-AVERAGE('The List'!Z2:Z727))/STDEV('The List'!Z2:Z727)</f>
        <v>-0.57710276116545434</v>
      </c>
      <c r="N560" s="39">
        <f>(VLOOKUP($A560,'The List'!$B1:$AH727,26,FALSE)-AVERAGE('The List'!AA2:AA727))/STDEV('The List'!AA2:AA727)</f>
        <v>1.3770897318942694</v>
      </c>
      <c r="O560" s="39">
        <f>(VLOOKUP($A560,'The List'!$B1:$AH727,27,FALSE)-AVERAGE('The List'!AB2:AB727))/STDEV('The List'!AB2:AB727)</f>
        <v>0.31625370355277738</v>
      </c>
      <c r="P560" s="39">
        <f>(VLOOKUP($A560,'The List'!$B1:$AH727,28,FALSE)-AVERAGE('The List'!AC2:AC727))/STDEV('The List'!AC2:AC727)</f>
        <v>0.23880450745891224</v>
      </c>
      <c r="Q560" s="39">
        <f>(VLOOKUP($A560,'The List'!$B1:$AH727,29,FALSE)-AVERAGE('The List'!AD2:AD727))/STDEV('The List'!AD2:AD727)</f>
        <v>0.49712919383075233</v>
      </c>
      <c r="R560" s="39">
        <f>(VLOOKUP($A560,'The List'!$B1:$AH727,30,FALSE)-AVERAGE('The List'!AE2:AE727))/STDEV('The List'!AE2:AE727)</f>
        <v>-0.85142682701252315</v>
      </c>
      <c r="S560" s="39">
        <f>(VLOOKUP($A560,'The List'!$B1:$AH727,31,FALSE)-AVERAGE('The List'!AF2:AF727))/STDEV('The List'!AF2:AF727)</f>
        <v>-0.55804314905918151</v>
      </c>
      <c r="T560" s="39">
        <f>(VLOOKUP($A560,'The List'!$B1:$AH727,32,FALSE)-AVERAGE('The List'!AG2:AG727))/STDEV('The List'!AG2:AG727)</f>
        <v>-0.60188453558131205</v>
      </c>
      <c r="U560" s="39">
        <f>(VLOOKUP($A560,'The List'!$B1:$AH727,33,FALSE)-AVERAGE('The List'!AH2:AH727))/STDEV('The List'!AH2:AH727)</f>
        <v>-1.2395873372913611</v>
      </c>
      <c r="V560" s="39"/>
      <c r="W560" s="41"/>
      <c r="X560" s="39"/>
      <c r="Y560" s="39"/>
      <c r="Z560" s="39"/>
      <c r="AA560" s="39"/>
      <c r="AB560" s="39"/>
      <c r="AC560" s="39"/>
      <c r="AD560" s="39"/>
      <c r="AE560" s="39"/>
    </row>
    <row r="561" spans="1:31" ht="21.25" customHeight="1" x14ac:dyDescent="0.15">
      <c r="A561" s="8" t="s">
        <v>516</v>
      </c>
      <c r="B561" s="35" t="str">
        <f>VLOOKUP(A561,'Player Data'!A1:B734,2,FALSE)</f>
        <v>DAL</v>
      </c>
      <c r="C561" s="37">
        <f>((E561)*Settings!$C$12)+(F561*Settings!$C$2)+(G561*Settings!$C$3)+(H561*Settings!$C$4)+(I561*Settings!$C$5)+(K561*Settings!$C$9)+(N561*Settings!$C$6)+(J561*Settings!$C$8)+(O561*Settings!$C$7)+(P561*Settings!$C$14)+(Q561*Settings!$C$15)+(R561*Settings!$C$16)+(S561*Settings!$C$17)+(T561*Settings!$C$18)+(U561*Settings!$C$19)</f>
        <v>-0.73370342212185746</v>
      </c>
      <c r="D561" s="41">
        <f>IF(Settings!$E$12="YES",VLOOKUP(A561,'Player Data'!A1:E734,5,FALSE),82)</f>
        <v>82.03</v>
      </c>
      <c r="E561" s="39">
        <f>(VLOOKUP($A561,'The List'!$B1:$AH727,17,FALSE)-AVERAGE('The List'!R2:R727))/STDEV('The List'!R2:R727)</f>
        <v>0.55475069506249997</v>
      </c>
      <c r="F561" s="39">
        <f>(VLOOKUP($A561,'The List'!$B1:$AH727,18,FALSE)-AVERAGE('The List'!S2:S727))/STDEV('The List'!S2:S727)</f>
        <v>-1.0625127482311687</v>
      </c>
      <c r="G561" s="39">
        <f>(VLOOKUP($A561,'The List'!$B1:$AH727,19,FALSE)-AVERAGE('The List'!T2:T727))/STDEV('The List'!T2:T727)</f>
        <v>-0.52254479700991419</v>
      </c>
      <c r="H561" s="39">
        <f>(VLOOKUP($A561,'The List'!$B1:$AH727,20,FALSE)-AVERAGE('The List'!U2:U727))/STDEV('The List'!U2:U727)</f>
        <v>-0.80550670409584813</v>
      </c>
      <c r="I561" s="39">
        <f>(VLOOKUP($A561,'The List'!$B1:$AH727,21,FALSE)-AVERAGE('The List'!V2:V727))/STDEV('The List'!V2:V727)</f>
        <v>-0.74288242577014829</v>
      </c>
      <c r="J561" s="39">
        <f>(VLOOKUP($A561,'The List'!$B1:$AH727,22,FALSE)-AVERAGE('The List'!W2:W727))/STDEV('The List'!W2:W727)</f>
        <v>-0.62121640948627599</v>
      </c>
      <c r="K561" s="39">
        <f>(VLOOKUP($A561,'The List'!$B1:$AH727,23,FALSE)-AVERAGE('The List'!X2:X727))/STDEV('The List'!X2:X727)</f>
        <v>-0.58181819695785997</v>
      </c>
      <c r="L561" s="39">
        <f>(VLOOKUP($A561,'The List'!$B1:$AH727,24,FALSE)-AVERAGE('The List'!Y2:Y727))/STDEV('The List'!Y2:Y727)</f>
        <v>-0.50726268494051951</v>
      </c>
      <c r="M561" s="39">
        <f>(VLOOKUP($A561,'The List'!$B1:$AH727,25,FALSE)-AVERAGE('The List'!Z2:Z727))/STDEV('The List'!Z2:Z727)</f>
        <v>-0.19299333394890764</v>
      </c>
      <c r="N561" s="39">
        <f>(VLOOKUP($A561,'The List'!$B1:$AH727,26,FALSE)-AVERAGE('The List'!AA2:AA727))/STDEV('The List'!AA2:AA727)</f>
        <v>1.0742043073567156</v>
      </c>
      <c r="O561" s="39">
        <f>(VLOOKUP($A561,'The List'!$B1:$AH727,27,FALSE)-AVERAGE('The List'!AB2:AB727))/STDEV('The List'!AB2:AB727)</f>
        <v>-0.34308611497176972</v>
      </c>
      <c r="P561" s="39">
        <f>(VLOOKUP($A561,'The List'!$B1:$AH727,28,FALSE)-AVERAGE('The List'!AC2:AC727))/STDEV('The List'!AC2:AC727)</f>
        <v>1.1018504384905181</v>
      </c>
      <c r="Q561" s="39">
        <f>(VLOOKUP($A561,'The List'!$B1:$AH727,29,FALSE)-AVERAGE('The List'!AD2:AD727))/STDEV('The List'!AD2:AD727)</f>
        <v>-0.29291314116746697</v>
      </c>
      <c r="R561" s="39">
        <f>(VLOOKUP($A561,'The List'!$B1:$AH727,30,FALSE)-AVERAGE('The List'!AE2:AE727))/STDEV('The List'!AE2:AE727)</f>
        <v>-0.95025169427820577</v>
      </c>
      <c r="S561" s="39">
        <f>(VLOOKUP($A561,'The List'!$B1:$AH727,31,FALSE)-AVERAGE('The List'!AF2:AF727))/STDEV('The List'!AF2:AF727)</f>
        <v>-0.55804314905918151</v>
      </c>
      <c r="T561" s="39">
        <f>(VLOOKUP($A561,'The List'!$B1:$AH727,32,FALSE)-AVERAGE('The List'!AG2:AG727))/STDEV('The List'!AG2:AG727)</f>
        <v>-0.60188453558131205</v>
      </c>
      <c r="U561" s="39">
        <f>(VLOOKUP($A561,'The List'!$B1:$AH727,33,FALSE)-AVERAGE('The List'!AH2:AH727))/STDEV('The List'!AH2:AH727)</f>
        <v>-1.2395873372913611</v>
      </c>
      <c r="V561" s="39"/>
      <c r="W561" s="43"/>
      <c r="X561" s="41"/>
      <c r="Y561" s="41"/>
      <c r="Z561" s="41"/>
      <c r="AA561" s="41"/>
      <c r="AB561" s="41"/>
      <c r="AC561" s="44"/>
      <c r="AD561" s="45"/>
      <c r="AE561" s="39"/>
    </row>
    <row r="562" spans="1:31" ht="21.25" customHeight="1" x14ac:dyDescent="0.15">
      <c r="A562" s="8" t="s">
        <v>496</v>
      </c>
      <c r="B562" s="35" t="str">
        <f>VLOOKUP(A562,'Player Data'!A1:B734,2,FALSE)</f>
        <v>VAN</v>
      </c>
      <c r="C562" s="37">
        <f>((E562)*Settings!$C$12)+(F562*Settings!$C$2)+(G562*Settings!$C$3)+(H562*Settings!$C$4)+(I562*Settings!$C$5)+(K562*Settings!$C$9)+(N562*Settings!$C$6)+(J562*Settings!$C$8)+(O562*Settings!$C$7)+(P562*Settings!$C$14)+(Q562*Settings!$C$15)+(R562*Settings!$C$16)+(S562*Settings!$C$17)+(T562*Settings!$C$18)+(U562*Settings!$C$19)</f>
        <v>-1.0835348334033459</v>
      </c>
      <c r="D562" s="41">
        <f>IF(Settings!$E$12="YES",VLOOKUP(A562,'Player Data'!A1:E734,5,FALSE),82)</f>
        <v>80.0646428571429</v>
      </c>
      <c r="E562" s="39">
        <f>(VLOOKUP($A562,'The List'!$B1:$AH727,17,FALSE)-AVERAGE('The List'!R2:R727))/STDEV('The List'!R2:R727)</f>
        <v>0.66431197382345253</v>
      </c>
      <c r="F562" s="39">
        <f>(VLOOKUP($A562,'The List'!$B1:$AH727,18,FALSE)-AVERAGE('The List'!S2:S727))/STDEV('The List'!S2:S727)</f>
        <v>-1.0698532658362736</v>
      </c>
      <c r="G562" s="39">
        <f>(VLOOKUP($A562,'The List'!$B1:$AH727,19,FALSE)-AVERAGE('The List'!T2:T727))/STDEV('The List'!T2:T727)</f>
        <v>-0.55011490712011013</v>
      </c>
      <c r="H562" s="39">
        <f>(VLOOKUP($A562,'The List'!$B1:$AH727,20,FALSE)-AVERAGE('The List'!U2:U727))/STDEV('The List'!U2:U727)</f>
        <v>-0.82583605466253973</v>
      </c>
      <c r="I562" s="39">
        <f>(VLOOKUP($A562,'The List'!$B1:$AH727,21,FALSE)-AVERAGE('The List'!V2:V727))/STDEV('The List'!V2:V727)</f>
        <v>-0.50578913538793091</v>
      </c>
      <c r="J562" s="39">
        <f>(VLOOKUP($A562,'The List'!$B1:$AH727,22,FALSE)-AVERAGE('The List'!W2:W727))/STDEV('The List'!W2:W727)</f>
        <v>-0.70715537309069298</v>
      </c>
      <c r="K562" s="39">
        <f>(VLOOKUP($A562,'The List'!$B1:$AH727,23,FALSE)-AVERAGE('The List'!X2:X727))/STDEV('The List'!X2:X727)</f>
        <v>-0.78689615641060495</v>
      </c>
      <c r="L562" s="39">
        <f>(VLOOKUP($A562,'The List'!$B1:$AH727,24,FALSE)-AVERAGE('The List'!Y2:Y727))/STDEV('The List'!Y2:Y727)</f>
        <v>-0.51177032548705093</v>
      </c>
      <c r="M562" s="39">
        <f>(VLOOKUP($A562,'The List'!$B1:$AH727,25,FALSE)-AVERAGE('The List'!Z2:Z727))/STDEV('The List'!Z2:Z727)</f>
        <v>-0.34212622970912704</v>
      </c>
      <c r="N562" s="39">
        <f>(VLOOKUP($A562,'The List'!$B1:$AH727,26,FALSE)-AVERAGE('The List'!AA2:AA727))/STDEV('The List'!AA2:AA727)</f>
        <v>1.6557029645866237</v>
      </c>
      <c r="O562" s="39">
        <f>(VLOOKUP($A562,'The List'!$B1:$AH727,27,FALSE)-AVERAGE('The List'!AB2:AB727))/STDEV('The List'!AB2:AB727)</f>
        <v>0.59775690314428886</v>
      </c>
      <c r="P562" s="39">
        <f>(VLOOKUP($A562,'The List'!$B1:$AH727,28,FALSE)-AVERAGE('The List'!AC2:AC727))/STDEV('The List'!AC2:AC727)</f>
        <v>0.17341566676494996</v>
      </c>
      <c r="Q562" s="39">
        <f>(VLOOKUP($A562,'The List'!$B1:$AH727,29,FALSE)-AVERAGE('The List'!AD2:AD727))/STDEV('The List'!AD2:AD727)</f>
        <v>2.3289111538927894</v>
      </c>
      <c r="R562" s="39">
        <f>(VLOOKUP($A562,'The List'!$B1:$AH727,30,FALSE)-AVERAGE('The List'!AE2:AE727))/STDEV('The List'!AE2:AE727)</f>
        <v>-0.98491227972855433</v>
      </c>
      <c r="S562" s="39">
        <f>(VLOOKUP($A562,'The List'!$B1:$AH727,31,FALSE)-AVERAGE('The List'!AF2:AF727))/STDEV('The List'!AF2:AF727)</f>
        <v>-0.55804314905918151</v>
      </c>
      <c r="T562" s="39">
        <f>(VLOOKUP($A562,'The List'!$B1:$AH727,32,FALSE)-AVERAGE('The List'!AG2:AG727))/STDEV('The List'!AG2:AG727)</f>
        <v>-0.60188453558131205</v>
      </c>
      <c r="U562" s="39">
        <f>(VLOOKUP($A562,'The List'!$B1:$AH727,33,FALSE)-AVERAGE('The List'!AH2:AH727))/STDEV('The List'!AH2:AH727)</f>
        <v>-1.2395873372913611</v>
      </c>
      <c r="V562" s="39"/>
      <c r="W562" s="41"/>
      <c r="X562" s="39"/>
      <c r="Y562" s="39"/>
      <c r="Z562" s="39"/>
      <c r="AA562" s="39"/>
      <c r="AB562" s="39"/>
      <c r="AC562" s="39"/>
      <c r="AD562" s="39"/>
      <c r="AE562" s="39"/>
    </row>
    <row r="563" spans="1:31" ht="21.25" customHeight="1" x14ac:dyDescent="0.15">
      <c r="A563" s="8" t="s">
        <v>676</v>
      </c>
      <c r="B563" s="35" t="str">
        <f>VLOOKUP(A563,'Player Data'!A1:B734,2,FALSE)</f>
        <v>NYR</v>
      </c>
      <c r="C563" s="37">
        <f>((E563)*Settings!$C$12)+(F563*Settings!$C$2)+(G563*Settings!$C$3)+(H563*Settings!$C$4)+(I563*Settings!$C$5)+(K563*Settings!$C$9)+(N563*Settings!$C$6)+(J563*Settings!$C$8)+(O563*Settings!$C$7)+(P563*Settings!$C$14)+(Q563*Settings!$C$15)+(R563*Settings!$C$16)+(S563*Settings!$C$17)+(T563*Settings!$C$18)+(U563*Settings!$C$19)</f>
        <v>-3.9208313594817334</v>
      </c>
      <c r="D563" s="41">
        <f>IF(Settings!$E$12="YES",VLOOKUP(A563,'Player Data'!A1:E734,5,FALSE),82)</f>
        <v>52.2</v>
      </c>
      <c r="E563" s="39">
        <f>(VLOOKUP($A563,'The List'!$B1:$AH727,17,FALSE)-AVERAGE('The List'!R2:R727))/STDEV('The List'!R2:R727)</f>
        <v>-0.4088057838767718</v>
      </c>
      <c r="F563" s="39">
        <f>(VLOOKUP($A563,'The List'!$B1:$AH727,18,FALSE)-AVERAGE('The List'!S2:S727))/STDEV('The List'!S2:S727)</f>
        <v>-1.0611813043256892</v>
      </c>
      <c r="G563" s="39">
        <f>(VLOOKUP($A563,'The List'!$B1:$AH727,19,FALSE)-AVERAGE('The List'!T2:T727))/STDEV('The List'!T2:T727)</f>
        <v>-0.99596756011508358</v>
      </c>
      <c r="H563" s="39">
        <f>(VLOOKUP($A563,'The List'!$B1:$AH727,20,FALSE)-AVERAGE('The List'!U2:U727))/STDEV('The List'!U2:U727)</f>
        <v>-1.0966282796704272</v>
      </c>
      <c r="I563" s="39">
        <f>(VLOOKUP($A563,'The List'!$B1:$AH727,21,FALSE)-AVERAGE('The List'!V2:V727))/STDEV('The List'!V2:V727)</f>
        <v>-1.3656930842516335</v>
      </c>
      <c r="J563" s="39">
        <f>(VLOOKUP($A563,'The List'!$B1:$AH727,22,FALSE)-AVERAGE('The List'!W2:W727))/STDEV('The List'!W2:W727)</f>
        <v>-0.69544998878697051</v>
      </c>
      <c r="K563" s="39">
        <f>(VLOOKUP($A563,'The List'!$B1:$AH727,23,FALSE)-AVERAGE('The List'!X2:X727))/STDEV('The List'!X2:X727)</f>
        <v>-0.74796748866401941</v>
      </c>
      <c r="L563" s="39">
        <f>(VLOOKUP($A563,'The List'!$B1:$AH727,24,FALSE)-AVERAGE('The List'!Y2:Y727))/STDEV('The List'!Y2:Y727)</f>
        <v>-0.53460942730709515</v>
      </c>
      <c r="M563" s="39">
        <f>(VLOOKUP($A563,'The List'!$B1:$AH727,25,FALSE)-AVERAGE('The List'!Z2:Z727))/STDEV('The List'!Z2:Z727)</f>
        <v>-0.70236151833620808</v>
      </c>
      <c r="N563" s="39">
        <f>(VLOOKUP($A563,'The List'!$B1:$AH727,26,FALSE)-AVERAGE('The List'!AA2:AA727))/STDEV('The List'!AA2:AA727)</f>
        <v>-0.1115361457115818</v>
      </c>
      <c r="O563" s="39">
        <f>(VLOOKUP($A563,'The List'!$B1:$AH727,27,FALSE)-AVERAGE('The List'!AB2:AB727))/STDEV('The List'!AB2:AB727)</f>
        <v>-0.96869776426535192</v>
      </c>
      <c r="P563" s="39">
        <f>(VLOOKUP($A563,'The List'!$B1:$AH727,28,FALSE)-AVERAGE('The List'!AC2:AC727))/STDEV('The List'!AC2:AC727)</f>
        <v>0.36151422358627416</v>
      </c>
      <c r="Q563" s="39">
        <f>(VLOOKUP($A563,'The List'!$B1:$AH727,29,FALSE)-AVERAGE('The List'!AD2:AD727))/STDEV('The List'!AD2:AD727)</f>
        <v>-1.1689130251588336</v>
      </c>
      <c r="R563" s="39">
        <f>(VLOOKUP($A563,'The List'!$B1:$AH727,30,FALSE)-AVERAGE('The List'!AE2:AE727))/STDEV('The List'!AE2:AE727)</f>
        <v>-0.93303600388493924</v>
      </c>
      <c r="S563" s="39">
        <f>(VLOOKUP($A563,'The List'!$B1:$AH727,31,FALSE)-AVERAGE('The List'!AF2:AF727))/STDEV('The List'!AF2:AF727)</f>
        <v>-0.55804314905918151</v>
      </c>
      <c r="T563" s="39">
        <f>(VLOOKUP($A563,'The List'!$B1:$AH727,32,FALSE)-AVERAGE('The List'!AG2:AG727))/STDEV('The List'!AG2:AG727)</f>
        <v>-0.60188453558131205</v>
      </c>
      <c r="U563" s="39">
        <f>(VLOOKUP($A563,'The List'!$B1:$AH727,33,FALSE)-AVERAGE('The List'!AH2:AH727))/STDEV('The List'!AH2:AH727)</f>
        <v>-1.2395873372913611</v>
      </c>
      <c r="V563" s="39"/>
      <c r="W563" s="43"/>
      <c r="X563" s="41"/>
      <c r="Y563" s="41"/>
      <c r="Z563" s="41"/>
      <c r="AA563" s="41"/>
      <c r="AB563" s="41"/>
      <c r="AC563" s="44"/>
      <c r="AD563" s="45"/>
      <c r="AE563" s="39"/>
    </row>
    <row r="564" spans="1:31" ht="21.25" customHeight="1" x14ac:dyDescent="0.15">
      <c r="A564" s="8" t="s">
        <v>711</v>
      </c>
      <c r="B564" s="35" t="str">
        <f>VLOOKUP(A564,'Player Data'!A1:B734,2,FALSE)</f>
        <v>BUF</v>
      </c>
      <c r="C564" s="37">
        <f>((E564)*Settings!$C$12)+(F564*Settings!$C$2)+(G564*Settings!$C$3)+(H564*Settings!$C$4)+(I564*Settings!$C$5)+(K564*Settings!$C$9)+(N564*Settings!$C$6)+(J564*Settings!$C$8)+(O564*Settings!$C$7)+(P564*Settings!$C$14)+(Q564*Settings!$C$15)+(R564*Settings!$C$16)+(S564*Settings!$C$17)+(T564*Settings!$C$18)+(U564*Settings!$C$19)</f>
        <v>-3.8453806222063456</v>
      </c>
      <c r="D564" s="41">
        <f>IF(Settings!$E$12="YES",VLOOKUP(A564,'Player Data'!A1:E734,5,FALSE),82)</f>
        <v>75.5</v>
      </c>
      <c r="E564" s="39">
        <f>(VLOOKUP($A564,'The List'!$B1:$AH727,17,FALSE)-AVERAGE('The List'!R2:R727))/STDEV('The List'!R2:R727)</f>
        <v>-1.0433998564823261</v>
      </c>
      <c r="F564" s="39">
        <f>(VLOOKUP($A564,'The List'!$B1:$AH727,18,FALSE)-AVERAGE('The List'!S2:S727))/STDEV('The List'!S2:S727)</f>
        <v>-0.45611171554953656</v>
      </c>
      <c r="G564" s="39">
        <f>(VLOOKUP($A564,'The List'!$B1:$AH727,19,FALSE)-AVERAGE('The List'!T2:T727))/STDEV('The List'!T2:T727)</f>
        <v>-1.0905827562411201</v>
      </c>
      <c r="H564" s="39">
        <f>(VLOOKUP($A564,'The List'!$B1:$AH727,20,FALSE)-AVERAGE('The List'!U2:U727))/STDEV('The List'!U2:U727)</f>
        <v>-0.87958650878905043</v>
      </c>
      <c r="I564" s="39">
        <f>(VLOOKUP($A564,'The List'!$B1:$AH727,21,FALSE)-AVERAGE('The List'!V2:V727))/STDEV('The List'!V2:V727)</f>
        <v>-0.48371231126593867</v>
      </c>
      <c r="J564" s="39">
        <f>(VLOOKUP($A564,'The List'!$B1:$AH727,22,FALSE)-AVERAGE('The List'!W2:W727))/STDEV('The List'!W2:W727)</f>
        <v>-0.68962956682251297</v>
      </c>
      <c r="K564" s="39">
        <f>(VLOOKUP($A564,'The List'!$B1:$AH727,23,FALSE)-AVERAGE('The List'!X2:X727))/STDEV('The List'!X2:X727)</f>
        <v>-0.7799976059703545</v>
      </c>
      <c r="L564" s="39">
        <f>(VLOOKUP($A564,'The List'!$B1:$AH727,24,FALSE)-AVERAGE('The List'!Y2:Y727))/STDEV('The List'!Y2:Y727)</f>
        <v>-0.26674332727313466</v>
      </c>
      <c r="M564" s="39">
        <f>(VLOOKUP($A564,'The List'!$B1:$AH727,25,FALSE)-AVERAGE('The List'!Z2:Z727))/STDEV('The List'!Z2:Z727)</f>
        <v>-0.43344697026610135</v>
      </c>
      <c r="N564" s="39">
        <f>(VLOOKUP($A564,'The List'!$B1:$AH727,26,FALSE)-AVERAGE('The List'!AA2:AA727))/STDEV('The List'!AA2:AA727)</f>
        <v>-0.43430983346301888</v>
      </c>
      <c r="O564" s="39">
        <f>(VLOOKUP($A564,'The List'!$B1:$AH727,27,FALSE)-AVERAGE('The List'!AB2:AB727))/STDEV('The List'!AB2:AB727)</f>
        <v>8.8420043793482991E-2</v>
      </c>
      <c r="P564" s="39">
        <f>(VLOOKUP($A564,'The List'!$B1:$AH727,28,FALSE)-AVERAGE('The List'!AC2:AC727))/STDEV('The List'!AC2:AC727)</f>
        <v>-0.60066639971637681</v>
      </c>
      <c r="Q564" s="39">
        <f>(VLOOKUP($A564,'The List'!$B1:$AH727,29,FALSE)-AVERAGE('The List'!AD2:AD727))/STDEV('The List'!AD2:AD727)</f>
        <v>-0.96740832116710584</v>
      </c>
      <c r="R564" s="39">
        <f>(VLOOKUP($A564,'The List'!$B1:$AH727,30,FALSE)-AVERAGE('The List'!AE2:AE727))/STDEV('The List'!AE2:AE727)</f>
        <v>-0.48685332930146197</v>
      </c>
      <c r="S564" s="39">
        <f>(VLOOKUP($A564,'The List'!$B1:$AH727,31,FALSE)-AVERAGE('The List'!AF2:AF727))/STDEV('The List'!AF2:AF727)</f>
        <v>-7.2045802337893303E-2</v>
      </c>
      <c r="T564" s="39">
        <f>(VLOOKUP($A564,'The List'!$B1:$AH727,32,FALSE)-AVERAGE('The List'!AG2:AG727))/STDEV('The List'!AG2:AG727)</f>
        <v>-2.9250288802519696E-2</v>
      </c>
      <c r="U564" s="39">
        <f>(VLOOKUP($A564,'The List'!$B1:$AH727,33,FALSE)-AVERAGE('The List'!AH2:AH727))/STDEV('The List'!AH2:AH727)</f>
        <v>0.89143816652839003</v>
      </c>
      <c r="V564" s="39"/>
      <c r="W564" s="43"/>
      <c r="X564" s="41"/>
      <c r="Y564" s="41"/>
      <c r="Z564" s="41"/>
      <c r="AA564" s="41"/>
      <c r="AB564" s="41"/>
      <c r="AC564" s="44"/>
      <c r="AD564" s="45"/>
      <c r="AE564" s="39"/>
    </row>
    <row r="565" spans="1:31" ht="21.25" customHeight="1" x14ac:dyDescent="0.15">
      <c r="A565" s="8" t="s">
        <v>523</v>
      </c>
      <c r="B565" s="35" t="str">
        <f>VLOOKUP(A565,'Player Data'!A1:B734,2,FALSE)</f>
        <v>MIN</v>
      </c>
      <c r="C565" s="37">
        <f>((E565)*Settings!$C$12)+(F565*Settings!$C$2)+(G565*Settings!$C$3)+(H565*Settings!$C$4)+(I565*Settings!$C$5)+(K565*Settings!$C$9)+(N565*Settings!$C$6)+(J565*Settings!$C$8)+(O565*Settings!$C$7)+(P565*Settings!$C$14)+(Q565*Settings!$C$15)+(R565*Settings!$C$16)+(S565*Settings!$C$17)+(T565*Settings!$C$18)+(U565*Settings!$C$19)</f>
        <v>-0.81444004844898532</v>
      </c>
      <c r="D565" s="41">
        <f>IF(Settings!$E$12="YES",VLOOKUP(A565,'Player Data'!A1:E734,5,FALSE),82)</f>
        <v>75.697500000000005</v>
      </c>
      <c r="E565" s="39">
        <f>(VLOOKUP($A565,'The List'!$B1:$AH727,17,FALSE)-AVERAGE('The List'!R2:R727))/STDEV('The List'!R2:R727)</f>
        <v>0.67014805594217841</v>
      </c>
      <c r="F565" s="39">
        <f>(VLOOKUP($A565,'The List'!$B1:$AH727,18,FALSE)-AVERAGE('The List'!S2:S727))/STDEV('The List'!S2:S727)</f>
        <v>-0.92453249999341958</v>
      </c>
      <c r="G565" s="39">
        <f>(VLOOKUP($A565,'The List'!$B1:$AH727,19,FALSE)-AVERAGE('The List'!T2:T727))/STDEV('The List'!T2:T727)</f>
        <v>-0.74426463047990521</v>
      </c>
      <c r="H565" s="39">
        <f>(VLOOKUP($A565,'The List'!$B1:$AH727,20,FALSE)-AVERAGE('The List'!U2:U727))/STDEV('The List'!U2:U727)</f>
        <v>-0.87934285981093052</v>
      </c>
      <c r="I565" s="39">
        <f>(VLOOKUP($A565,'The List'!$B1:$AH727,21,FALSE)-AVERAGE('The List'!V2:V727))/STDEV('The List'!V2:V727)</f>
        <v>-0.85512085501355939</v>
      </c>
      <c r="J565" s="39">
        <f>(VLOOKUP($A565,'The List'!$B1:$AH727,22,FALSE)-AVERAGE('The List'!W2:W727))/STDEV('The List'!W2:W727)</f>
        <v>-0.70653162830344973</v>
      </c>
      <c r="K565" s="39">
        <f>(VLOOKUP($A565,'The List'!$B1:$AH727,23,FALSE)-AVERAGE('The List'!X2:X727))/STDEV('The List'!X2:X727)</f>
        <v>-0.78230381870196752</v>
      </c>
      <c r="L565" s="39">
        <f>(VLOOKUP($A565,'The List'!$B1:$AH727,24,FALSE)-AVERAGE('The List'!Y2:Y727))/STDEV('The List'!Y2:Y727)</f>
        <v>-0.48093689497186121</v>
      </c>
      <c r="M565" s="39">
        <f>(VLOOKUP($A565,'The List'!$B1:$AH727,25,FALSE)-AVERAGE('The List'!Z2:Z727))/STDEV('The List'!Z2:Z727)</f>
        <v>0.36366770008461502</v>
      </c>
      <c r="N565" s="39">
        <f>(VLOOKUP($A565,'The List'!$B1:$AH727,26,FALSE)-AVERAGE('The List'!AA2:AA727))/STDEV('The List'!AA2:AA727)</f>
        <v>2.0830250319312187</v>
      </c>
      <c r="O565" s="39">
        <f>(VLOOKUP($A565,'The List'!$B1:$AH727,27,FALSE)-AVERAGE('The List'!AB2:AB727))/STDEV('The List'!AB2:AB727)</f>
        <v>0.54704210208566106</v>
      </c>
      <c r="P565" s="39">
        <f>(VLOOKUP($A565,'The List'!$B1:$AH727,28,FALSE)-AVERAGE('The List'!AC2:AC727))/STDEV('The List'!AC2:AC727)</f>
        <v>0.40875672380864742</v>
      </c>
      <c r="Q565" s="39">
        <f>(VLOOKUP($A565,'The List'!$B1:$AH727,29,FALSE)-AVERAGE('The List'!AD2:AD727))/STDEV('The List'!AD2:AD727)</f>
        <v>2.1370225048412519</v>
      </c>
      <c r="R565" s="39">
        <f>(VLOOKUP($A565,'The List'!$B1:$AH727,30,FALSE)-AVERAGE('The List'!AE2:AE727))/STDEV('The List'!AE2:AE727)</f>
        <v>-0.80464030593643499</v>
      </c>
      <c r="S565" s="39">
        <f>(VLOOKUP($A565,'The List'!$B1:$AH727,31,FALSE)-AVERAGE('The List'!AF2:AF727))/STDEV('The List'!AF2:AF727)</f>
        <v>-0.55804314905918151</v>
      </c>
      <c r="T565" s="39">
        <f>(VLOOKUP($A565,'The List'!$B1:$AH727,32,FALSE)-AVERAGE('The List'!AG2:AG727))/STDEV('The List'!AG2:AG727)</f>
        <v>-0.60188453558131205</v>
      </c>
      <c r="U565" s="39">
        <f>(VLOOKUP($A565,'The List'!$B1:$AH727,33,FALSE)-AVERAGE('The List'!AH2:AH727))/STDEV('The List'!AH2:AH727)</f>
        <v>-1.2395873372913611</v>
      </c>
      <c r="V565" s="39"/>
      <c r="W565" s="43"/>
      <c r="X565" s="41"/>
      <c r="Y565" s="41"/>
      <c r="Z565" s="41"/>
      <c r="AA565" s="41"/>
      <c r="AB565" s="41"/>
      <c r="AC565" s="44"/>
      <c r="AD565" s="45"/>
      <c r="AE565" s="39"/>
    </row>
    <row r="566" spans="1:31" ht="21.25" customHeight="1" x14ac:dyDescent="0.15">
      <c r="A566" s="8" t="s">
        <v>780</v>
      </c>
      <c r="B566" s="35" t="str">
        <f>VLOOKUP(A566,'Player Data'!A1:B734,2,FALSE)</f>
        <v>STL</v>
      </c>
      <c r="C566" s="37">
        <f>((E566)*Settings!$C$12)+(F566*Settings!$C$2)+(G566*Settings!$C$3)+(H566*Settings!$C$4)+(I566*Settings!$C$5)+(K566*Settings!$C$9)+(N566*Settings!$C$6)+(J566*Settings!$C$8)+(O566*Settings!$C$7)+(P566*Settings!$C$14)+(Q566*Settings!$C$15)+(R566*Settings!$C$16)+(S566*Settings!$C$17)+(T566*Settings!$C$18)+(U566*Settings!$C$19)</f>
        <v>-5.2838714573336372</v>
      </c>
      <c r="D566" s="41">
        <f>IF(Settings!$E$12="YES",VLOOKUP(A566,'Player Data'!A1:E734,5,FALSE),82)</f>
        <v>63.236428571428597</v>
      </c>
      <c r="E566" s="39">
        <f>(VLOOKUP($A566,'The List'!$B1:$AH727,17,FALSE)-AVERAGE('The List'!R2:R727))/STDEV('The List'!R2:R727)</f>
        <v>-1.6639234852286164</v>
      </c>
      <c r="F566" s="39">
        <f>(VLOOKUP($A566,'The List'!$B1:$AH727,18,FALSE)-AVERAGE('The List'!S2:S727))/STDEV('The List'!S2:S727)</f>
        <v>-0.75306626499954843</v>
      </c>
      <c r="G566" s="39">
        <f>(VLOOKUP($A566,'The List'!$B1:$AH727,19,FALSE)-AVERAGE('The List'!T2:T727))/STDEV('The List'!T2:T727)</f>
        <v>-1.0679560280669849</v>
      </c>
      <c r="H566" s="39">
        <f>(VLOOKUP($A566,'The List'!$B1:$AH727,20,FALSE)-AVERAGE('The List'!U2:U727))/STDEV('The List'!U2:U727)</f>
        <v>-1.000776612876737</v>
      </c>
      <c r="I566" s="39">
        <f>(VLOOKUP($A566,'The List'!$B1:$AH727,21,FALSE)-AVERAGE('The List'!V2:V727))/STDEV('The List'!V2:V727)</f>
        <v>-1.2558514882463516</v>
      </c>
      <c r="J566" s="39">
        <f>(VLOOKUP($A566,'The List'!$B1:$AH727,22,FALSE)-AVERAGE('The List'!W2:W727))/STDEV('The List'!W2:W727)</f>
        <v>-0.69949654582128262</v>
      </c>
      <c r="K566" s="39">
        <f>(VLOOKUP($A566,'The List'!$B1:$AH727,23,FALSE)-AVERAGE('The List'!X2:X727))/STDEV('The List'!X2:X727)</f>
        <v>-0.78884385896033871</v>
      </c>
      <c r="L566" s="39">
        <f>(VLOOKUP($A566,'The List'!$B1:$AH727,24,FALSE)-AVERAGE('The List'!Y2:Y727))/STDEV('The List'!Y2:Y727)</f>
        <v>-0.33108898695671901</v>
      </c>
      <c r="M566" s="39">
        <f>(VLOOKUP($A566,'The List'!$B1:$AH727,25,FALSE)-AVERAGE('The List'!Z2:Z727))/STDEV('The List'!Z2:Z727)</f>
        <v>-0.48053207874802595</v>
      </c>
      <c r="N566" s="39">
        <f>(VLOOKUP($A566,'The List'!$B1:$AH727,26,FALSE)-AVERAGE('The List'!AA2:AA727))/STDEV('The List'!AA2:AA727)</f>
        <v>-0.57532369619907631</v>
      </c>
      <c r="O566" s="39">
        <f>(VLOOKUP($A566,'The List'!$B1:$AH727,27,FALSE)-AVERAGE('The List'!AB2:AB727))/STDEV('The List'!AB2:AB727)</f>
        <v>7.644595439166052E-2</v>
      </c>
      <c r="P566" s="39">
        <f>(VLOOKUP($A566,'The List'!$B1:$AH727,28,FALSE)-AVERAGE('The List'!AC2:AC727))/STDEV('The List'!AC2:AC727)</f>
        <v>-0.84283012086133713</v>
      </c>
      <c r="Q566" s="39">
        <f>(VLOOKUP($A566,'The List'!$B1:$AH727,29,FALSE)-AVERAGE('The List'!AD2:AD727))/STDEV('The List'!AD2:AD727)</f>
        <v>-0.87836209536473719</v>
      </c>
      <c r="R566" s="39">
        <f>(VLOOKUP($A566,'The List'!$B1:$AH727,30,FALSE)-AVERAGE('The List'!AE2:AE727))/STDEV('The List'!AE2:AE727)</f>
        <v>-0.78557247952427733</v>
      </c>
      <c r="S566" s="39">
        <f>(VLOOKUP($A566,'The List'!$B1:$AH727,31,FALSE)-AVERAGE('The List'!AF2:AF727))/STDEV('The List'!AF2:AF727)</f>
        <v>-0.14828631857088576</v>
      </c>
      <c r="T566" s="39">
        <f>(VLOOKUP($A566,'The List'!$B1:$AH727,32,FALSE)-AVERAGE('The List'!AG2:AG727))/STDEV('The List'!AG2:AG727)</f>
        <v>-0.11346416669987408</v>
      </c>
      <c r="U566" s="39">
        <f>(VLOOKUP($A566,'The List'!$B1:$AH727,33,FALSE)-AVERAGE('The List'!AH2:AH727))/STDEV('The List'!AH2:AH727)</f>
        <v>0.87841818870290467</v>
      </c>
      <c r="V566" s="39"/>
      <c r="W566" s="43"/>
      <c r="X566" s="41"/>
      <c r="Y566" s="41"/>
      <c r="Z566" s="41"/>
      <c r="AA566" s="41"/>
      <c r="AB566" s="41"/>
      <c r="AC566" s="44"/>
      <c r="AD566" s="45"/>
      <c r="AE566" s="39"/>
    </row>
    <row r="567" spans="1:31" ht="21.25" customHeight="1" x14ac:dyDescent="0.15">
      <c r="A567" s="8" t="s">
        <v>569</v>
      </c>
      <c r="B567" s="35" t="str">
        <f>VLOOKUP(A567,'Player Data'!A1:B734,2,FALSE)</f>
        <v>MTL</v>
      </c>
      <c r="C567" s="37">
        <f>((E567)*Settings!$C$12)+(F567*Settings!$C$2)+(G567*Settings!$C$3)+(H567*Settings!$C$4)+(I567*Settings!$C$5)+(K567*Settings!$C$9)+(N567*Settings!$C$6)+(J567*Settings!$C$8)+(O567*Settings!$C$7)+(P567*Settings!$C$14)+(Q567*Settings!$C$15)+(R567*Settings!$C$16)+(S567*Settings!$C$17)+(T567*Settings!$C$18)+(U567*Settings!$C$19)</f>
        <v>-4.2685441938768331</v>
      </c>
      <c r="D567" s="41">
        <f>IF(Settings!$E$12="YES",VLOOKUP(A567,'Player Data'!A1:E734,5,FALSE),82)</f>
        <v>71.405000000000001</v>
      </c>
      <c r="E567" s="39">
        <f>(VLOOKUP($A567,'The List'!$B1:$AH727,17,FALSE)-AVERAGE('The List'!R2:R727))/STDEV('The List'!R2:R727)</f>
        <v>7.4876393302935829E-2</v>
      </c>
      <c r="F567" s="39">
        <f>(VLOOKUP($A567,'The List'!$B1:$AH727,18,FALSE)-AVERAGE('The List'!S2:S727))/STDEV('The List'!S2:S727)</f>
        <v>-0.99179288012726008</v>
      </c>
      <c r="G567" s="39">
        <f>(VLOOKUP($A567,'The List'!$B1:$AH727,19,FALSE)-AVERAGE('The List'!T2:T727))/STDEV('The List'!T2:T727)</f>
        <v>-0.76732153363949129</v>
      </c>
      <c r="H567" s="39">
        <f>(VLOOKUP($A567,'The List'!$B1:$AH727,20,FALSE)-AVERAGE('The List'!U2:U727))/STDEV('The List'!U2:U727)</f>
        <v>-0.9241584177146992</v>
      </c>
      <c r="I567" s="39">
        <f>(VLOOKUP($A567,'The List'!$B1:$AH727,21,FALSE)-AVERAGE('The List'!V2:V727))/STDEV('The List'!V2:V727)</f>
        <v>-0.75912106252098932</v>
      </c>
      <c r="J567" s="39">
        <f>(VLOOKUP($A567,'The List'!$B1:$AH727,22,FALSE)-AVERAGE('The List'!W2:W727))/STDEV('The List'!W2:W727)</f>
        <v>-0.70505645617359847</v>
      </c>
      <c r="K567" s="39">
        <f>(VLOOKUP($A567,'The List'!$B1:$AH727,23,FALSE)-AVERAGE('The List'!X2:X727))/STDEV('The List'!X2:X727)</f>
        <v>-0.78327391412632263</v>
      </c>
      <c r="L567" s="39">
        <f>(VLOOKUP($A567,'The List'!$B1:$AH727,24,FALSE)-AVERAGE('The List'!Y2:Y727))/STDEV('The List'!Y2:Y727)</f>
        <v>-0.49311562555988009</v>
      </c>
      <c r="M567" s="39">
        <f>(VLOOKUP($A567,'The List'!$B1:$AH727,25,FALSE)-AVERAGE('The List'!Z2:Z727))/STDEV('The List'!Z2:Z727)</f>
        <v>-0.6070344469909541</v>
      </c>
      <c r="N567" s="39">
        <f>(VLOOKUP($A567,'The List'!$B1:$AH727,26,FALSE)-AVERAGE('The List'!AA2:AA727))/STDEV('The List'!AA2:AA727)</f>
        <v>0.53543332579016156</v>
      </c>
      <c r="O567" s="39">
        <f>(VLOOKUP($A567,'The List'!$B1:$AH727,27,FALSE)-AVERAGE('The List'!AB2:AB727))/STDEV('The List'!AB2:AB727)</f>
        <v>-8.9983302292314216E-2</v>
      </c>
      <c r="P567" s="39">
        <f>(VLOOKUP($A567,'The List'!$B1:$AH727,28,FALSE)-AVERAGE('The List'!AC2:AC727))/STDEV('The List'!AC2:AC727)</f>
        <v>-1.5024681292529312</v>
      </c>
      <c r="Q567" s="39">
        <f>(VLOOKUP($A567,'The List'!$B1:$AH727,29,FALSE)-AVERAGE('The List'!AD2:AD727))/STDEV('The List'!AD2:AD727)</f>
        <v>-0.25324116495140508</v>
      </c>
      <c r="R567" s="39">
        <f>(VLOOKUP($A567,'The List'!$B1:$AH727,30,FALSE)-AVERAGE('The List'!AE2:AE727))/STDEV('The List'!AE2:AE727)</f>
        <v>-0.97825037963747141</v>
      </c>
      <c r="S567" s="39">
        <f>(VLOOKUP($A567,'The List'!$B1:$AH727,31,FALSE)-AVERAGE('The List'!AF2:AF727))/STDEV('The List'!AF2:AF727)</f>
        <v>-0.55804314905918151</v>
      </c>
      <c r="T567" s="39">
        <f>(VLOOKUP($A567,'The List'!$B1:$AH727,32,FALSE)-AVERAGE('The List'!AG2:AG727))/STDEV('The List'!AG2:AG727)</f>
        <v>-0.60188453558131205</v>
      </c>
      <c r="U567" s="39">
        <f>(VLOOKUP($A567,'The List'!$B1:$AH727,33,FALSE)-AVERAGE('The List'!AH2:AH727))/STDEV('The List'!AH2:AH727)</f>
        <v>-1.2395873372913611</v>
      </c>
      <c r="V567" s="39"/>
      <c r="W567" s="43"/>
      <c r="X567" s="41"/>
      <c r="Y567" s="41"/>
      <c r="Z567" s="41"/>
      <c r="AA567" s="41"/>
      <c r="AB567" s="41"/>
      <c r="AC567" s="44"/>
      <c r="AD567" s="45"/>
      <c r="AE567" s="39"/>
    </row>
    <row r="568" spans="1:31" ht="21.25" customHeight="1" x14ac:dyDescent="0.15">
      <c r="A568" s="8" t="s">
        <v>578</v>
      </c>
      <c r="B568" s="35" t="str">
        <f>VLOOKUP(A568,'Player Data'!A1:B734,2,FALSE)</f>
        <v>SJS</v>
      </c>
      <c r="C568" s="37">
        <f>((E568)*Settings!$C$12)+(F568*Settings!$C$2)+(G568*Settings!$C$3)+(H568*Settings!$C$4)+(I568*Settings!$C$5)+(K568*Settings!$C$9)+(N568*Settings!$C$6)+(J568*Settings!$C$8)+(O568*Settings!$C$7)+(P568*Settings!$C$14)+(Q568*Settings!$C$15)+(R568*Settings!$C$16)+(S568*Settings!$C$17)+(T568*Settings!$C$18)+(U568*Settings!$C$19)</f>
        <v>-2.3595295474717268</v>
      </c>
      <c r="D568" s="41">
        <f>IF(Settings!$E$12="YES",VLOOKUP(A568,'Player Data'!A1:E734,5,FALSE),82)</f>
        <v>63.027142857142898</v>
      </c>
      <c r="E568" s="39">
        <f>(VLOOKUP($A568,'The List'!$B1:$AH727,17,FALSE)-AVERAGE('The List'!R2:R727))/STDEV('The List'!R2:R727)</f>
        <v>0.71282143100191087</v>
      </c>
      <c r="F568" s="39">
        <f>(VLOOKUP($A568,'The List'!$B1:$AH727,18,FALSE)-AVERAGE('The List'!S2:S727))/STDEV('The List'!S2:S727)</f>
        <v>-0.97596835783630309</v>
      </c>
      <c r="G568" s="39">
        <f>(VLOOKUP($A568,'The List'!$B1:$AH727,19,FALSE)-AVERAGE('The List'!T2:T727))/STDEV('The List'!T2:T727)</f>
        <v>-0.91573886859118836</v>
      </c>
      <c r="H568" s="39">
        <f>(VLOOKUP($A568,'The List'!$B1:$AH727,20,FALSE)-AVERAGE('The List'!U2:U727))/STDEV('The List'!U2:U727)</f>
        <v>-1.008413398244828</v>
      </c>
      <c r="I568" s="39">
        <f>(VLOOKUP($A568,'The List'!$B1:$AH727,21,FALSE)-AVERAGE('The List'!V2:V727))/STDEV('The List'!V2:V727)</f>
        <v>-0.894167255480671</v>
      </c>
      <c r="J568" s="39">
        <f>(VLOOKUP($A568,'The List'!$B1:$AH727,22,FALSE)-AVERAGE('The List'!W2:W727))/STDEV('The List'!W2:W727)</f>
        <v>-0.68405875245563064</v>
      </c>
      <c r="K568" s="39">
        <f>(VLOOKUP($A568,'The List'!$B1:$AH727,23,FALSE)-AVERAGE('The List'!X2:X727))/STDEV('The List'!X2:X727)</f>
        <v>-0.72762179746947131</v>
      </c>
      <c r="L568" s="39">
        <f>(VLOOKUP($A568,'The List'!$B1:$AH727,24,FALSE)-AVERAGE('The List'!Y2:Y727))/STDEV('The List'!Y2:Y727)</f>
        <v>-0.47824213537070664</v>
      </c>
      <c r="M568" s="39">
        <f>(VLOOKUP($A568,'The List'!$B1:$AH727,25,FALSE)-AVERAGE('The List'!Z2:Z727))/STDEV('The List'!Z2:Z727)</f>
        <v>-0.5714242823278386</v>
      </c>
      <c r="N568" s="39">
        <f>(VLOOKUP($A568,'The List'!$B1:$AH727,26,FALSE)-AVERAGE('The List'!AA2:AA727))/STDEV('The List'!AA2:AA727)</f>
        <v>1.3490088946510046</v>
      </c>
      <c r="O568" s="39">
        <f>(VLOOKUP($A568,'The List'!$B1:$AH727,27,FALSE)-AVERAGE('The List'!AB2:AB727))/STDEV('The List'!AB2:AB727)</f>
        <v>2.1477082553678732</v>
      </c>
      <c r="P568" s="39">
        <f>(VLOOKUP($A568,'The List'!$B1:$AH727,28,FALSE)-AVERAGE('The List'!AC2:AC727))/STDEV('The List'!AC2:AC727)</f>
        <v>-0.19504216274509731</v>
      </c>
      <c r="Q568" s="39">
        <f>(VLOOKUP($A568,'The List'!$B1:$AH727,29,FALSE)-AVERAGE('The List'!AD2:AD727))/STDEV('The List'!AD2:AD727)</f>
        <v>2.8344703652591057</v>
      </c>
      <c r="R568" s="39">
        <f>(VLOOKUP($A568,'The List'!$B1:$AH727,30,FALSE)-AVERAGE('The List'!AE2:AE727))/STDEV('The List'!AE2:AE727)</f>
        <v>-0.93993262709164904</v>
      </c>
      <c r="S568" s="39">
        <f>(VLOOKUP($A568,'The List'!$B1:$AH727,31,FALSE)-AVERAGE('The List'!AF2:AF727))/STDEV('The List'!AF2:AF727)</f>
        <v>-0.55804314905918151</v>
      </c>
      <c r="T568" s="39">
        <f>(VLOOKUP($A568,'The List'!$B1:$AH727,32,FALSE)-AVERAGE('The List'!AG2:AG727))/STDEV('The List'!AG2:AG727)</f>
        <v>-0.5953536609019382</v>
      </c>
      <c r="U568" s="39">
        <f>(VLOOKUP($A568,'The List'!$B1:$AH727,33,FALSE)-AVERAGE('The List'!AH2:AH727))/STDEV('The List'!AH2:AH727)</f>
        <v>-1.2395873372913611</v>
      </c>
      <c r="V568" s="39"/>
      <c r="W568" s="41"/>
      <c r="X568" s="39"/>
      <c r="Y568" s="39"/>
      <c r="Z568" s="39"/>
      <c r="AA568" s="39"/>
      <c r="AB568" s="39"/>
      <c r="AC568" s="39"/>
      <c r="AD568" s="39"/>
      <c r="AE568" s="39"/>
    </row>
    <row r="569" spans="1:31" ht="21.25" customHeight="1" x14ac:dyDescent="0.15">
      <c r="A569" s="8" t="s">
        <v>748</v>
      </c>
      <c r="B569" s="35" t="str">
        <f>VLOOKUP(A569,'Player Data'!A1:B734,2,FALSE)</f>
        <v>ANA</v>
      </c>
      <c r="C569" s="37">
        <f>((E569)*Settings!$C$12)+(F569*Settings!$C$2)+(G569*Settings!$C$3)+(H569*Settings!$C$4)+(I569*Settings!$C$5)+(K569*Settings!$C$9)+(N569*Settings!$C$6)+(J569*Settings!$C$8)+(O569*Settings!$C$7)+(P569*Settings!$C$14)+(Q569*Settings!$C$15)+(R569*Settings!$C$16)+(S569*Settings!$C$17)+(T569*Settings!$C$18)+(U569*Settings!$C$19)</f>
        <v>-6.6419764034378836</v>
      </c>
      <c r="D569" s="41">
        <f>IF(Settings!$E$12="YES",VLOOKUP(A569,'Player Data'!A1:E734,5,FALSE),82)</f>
        <v>62.534999999999997</v>
      </c>
      <c r="E569" s="39">
        <f>(VLOOKUP($A569,'The List'!$B1:$AH727,17,FALSE)-AVERAGE('The List'!R2:R727))/STDEV('The List'!R2:R727)</f>
        <v>-1.5104026833410331</v>
      </c>
      <c r="F569" s="39">
        <f>(VLOOKUP($A569,'The List'!$B1:$AH727,18,FALSE)-AVERAGE('The List'!S2:S727))/STDEV('The List'!S2:S727)</f>
        <v>-0.60513429644602978</v>
      </c>
      <c r="G569" s="39">
        <f>(VLOOKUP($A569,'The List'!$B1:$AH727,19,FALSE)-AVERAGE('The List'!T2:T727))/STDEV('The List'!T2:T727)</f>
        <v>-1.1979000178661392</v>
      </c>
      <c r="H569" s="39">
        <f>(VLOOKUP($A569,'The List'!$B1:$AH727,20,FALSE)-AVERAGE('The List'!U2:U727))/STDEV('The List'!U2:U727)</f>
        <v>-1.0135309931703329</v>
      </c>
      <c r="I569" s="39">
        <f>(VLOOKUP($A569,'The List'!$B1:$AH727,21,FALSE)-AVERAGE('The List'!V2:V727))/STDEV('The List'!V2:V727)</f>
        <v>-1.0977524356742188</v>
      </c>
      <c r="J569" s="39">
        <f>(VLOOKUP($A569,'The List'!$B1:$AH727,22,FALSE)-AVERAGE('The List'!W2:W727))/STDEV('The List'!W2:W727)</f>
        <v>-0.69842310168851562</v>
      </c>
      <c r="K569" s="39">
        <f>(VLOOKUP($A569,'The List'!$B1:$AH727,23,FALSE)-AVERAGE('The List'!X2:X727))/STDEV('The List'!X2:X727)</f>
        <v>-0.7878219721983154</v>
      </c>
      <c r="L569" s="39">
        <f>(VLOOKUP($A569,'The List'!$B1:$AH727,24,FALSE)-AVERAGE('The List'!Y2:Y727))/STDEV('The List'!Y2:Y727)</f>
        <v>-0.50517135318344941</v>
      </c>
      <c r="M569" s="39">
        <f>(VLOOKUP($A569,'The List'!$B1:$AH727,25,FALSE)-AVERAGE('The List'!Z2:Z727))/STDEV('The List'!Z2:Z727)</f>
        <v>-0.67947570833450655</v>
      </c>
      <c r="N569" s="39">
        <f>(VLOOKUP($A569,'The List'!$B1:$AH727,26,FALSE)-AVERAGE('The List'!AA2:AA727))/STDEV('The List'!AA2:AA727)</f>
        <v>-0.91446172314018925</v>
      </c>
      <c r="O569" s="39">
        <f>(VLOOKUP($A569,'The List'!$B1:$AH727,27,FALSE)-AVERAGE('The List'!AB2:AB727))/STDEV('The List'!AB2:AB727)</f>
        <v>-0.81219174006898243</v>
      </c>
      <c r="P569" s="39">
        <f>(VLOOKUP($A569,'The List'!$B1:$AH727,28,FALSE)-AVERAGE('The List'!AC2:AC727))/STDEV('The List'!AC2:AC727)</f>
        <v>-2.0389059581129918</v>
      </c>
      <c r="Q569" s="39">
        <f>(VLOOKUP($A569,'The List'!$B1:$AH727,29,FALSE)-AVERAGE('The List'!AD2:AD727))/STDEV('The List'!AD2:AD727)</f>
        <v>-1.1255714533407799</v>
      </c>
      <c r="R569" s="39">
        <f>(VLOOKUP($A569,'The List'!$B1:$AH727,30,FALSE)-AVERAGE('The List'!AE2:AE727))/STDEV('The List'!AE2:AE727)</f>
        <v>-0.70435915894799483</v>
      </c>
      <c r="S569" s="39">
        <f>(VLOOKUP($A569,'The List'!$B1:$AH727,31,FALSE)-AVERAGE('The List'!AF2:AF727))/STDEV('The List'!AF2:AF727)</f>
        <v>-0.54451992295454943</v>
      </c>
      <c r="T569" s="39">
        <f>(VLOOKUP($A569,'The List'!$B1:$AH727,32,FALSE)-AVERAGE('The List'!AG2:AG727))/STDEV('The List'!AG2:AG727)</f>
        <v>-0.57503692182264021</v>
      </c>
      <c r="U569" s="39">
        <f>(VLOOKUP($A569,'The List'!$B1:$AH727,33,FALSE)-AVERAGE('The List'!AH2:AH727))/STDEV('The List'!AH2:AH727)</f>
        <v>0.32520637649480888</v>
      </c>
      <c r="V569" s="39"/>
      <c r="W569" s="43"/>
      <c r="X569" s="41"/>
      <c r="Y569" s="41"/>
      <c r="Z569" s="41"/>
      <c r="AA569" s="41"/>
      <c r="AB569" s="41"/>
      <c r="AC569" s="44"/>
      <c r="AD569" s="45"/>
      <c r="AE569" s="39"/>
    </row>
    <row r="570" spans="1:31" ht="21.25" customHeight="1" x14ac:dyDescent="0.15">
      <c r="A570" s="8" t="s">
        <v>513</v>
      </c>
      <c r="B570" s="35" t="str">
        <f>VLOOKUP(A570,'Player Data'!A1:B734,2,FALSE)</f>
        <v>BUF</v>
      </c>
      <c r="C570" s="37">
        <f>((E570)*Settings!$C$12)+(F570*Settings!$C$2)+(G570*Settings!$C$3)+(H570*Settings!$C$4)+(I570*Settings!$C$5)+(K570*Settings!$C$9)+(N570*Settings!$C$6)+(J570*Settings!$C$8)+(O570*Settings!$C$7)+(P570*Settings!$C$14)+(Q570*Settings!$C$15)+(R570*Settings!$C$16)+(S570*Settings!$C$17)+(T570*Settings!$C$18)+(U570*Settings!$C$19)</f>
        <v>-1.9458450750218201</v>
      </c>
      <c r="D570" s="41">
        <f>IF(Settings!$E$12="YES",VLOOKUP(A570,'Player Data'!A1:E734,5,FALSE),82)</f>
        <v>70.355714285714299</v>
      </c>
      <c r="E570" s="39">
        <f>(VLOOKUP($A570,'The List'!$B1:$AH727,17,FALSE)-AVERAGE('The List'!R2:R727))/STDEV('The List'!R2:R727)</f>
        <v>0.17621219249072415</v>
      </c>
      <c r="F570" s="39">
        <f>(VLOOKUP($A570,'The List'!$B1:$AH727,18,FALSE)-AVERAGE('The List'!S2:S727))/STDEV('The List'!S2:S727)</f>
        <v>-0.98274255559601376</v>
      </c>
      <c r="G570" s="39">
        <f>(VLOOKUP($A570,'The List'!$B1:$AH727,19,FALSE)-AVERAGE('The List'!T2:T727))/STDEV('The List'!T2:T727)</f>
        <v>-0.80288692391816052</v>
      </c>
      <c r="H570" s="39">
        <f>(VLOOKUP($A570,'The List'!$B1:$AH727,20,FALSE)-AVERAGE('The List'!U2:U727))/STDEV('The List'!U2:U727)</f>
        <v>-0.94195567468993213</v>
      </c>
      <c r="I570" s="39">
        <f>(VLOOKUP($A570,'The List'!$B1:$AH727,21,FALSE)-AVERAGE('The List'!V2:V727))/STDEV('The List'!V2:V727)</f>
        <v>-0.37303579352777555</v>
      </c>
      <c r="J570" s="39">
        <f>(VLOOKUP($A570,'The List'!$B1:$AH727,22,FALSE)-AVERAGE('The List'!W2:W727))/STDEV('The List'!W2:W727)</f>
        <v>-0.70752268744542246</v>
      </c>
      <c r="K570" s="39">
        <f>(VLOOKUP($A570,'The List'!$B1:$AH727,23,FALSE)-AVERAGE('The List'!X2:X727))/STDEV('The List'!X2:X727)</f>
        <v>-0.78507192627091082</v>
      </c>
      <c r="L570" s="39">
        <f>(VLOOKUP($A570,'The List'!$B1:$AH727,24,FALSE)-AVERAGE('The List'!Y2:Y727))/STDEV('The List'!Y2:Y727)</f>
        <v>-0.12710923669183105</v>
      </c>
      <c r="M570" s="39">
        <f>(VLOOKUP($A570,'The List'!$B1:$AH727,25,FALSE)-AVERAGE('The List'!Z2:Z727))/STDEV('The List'!Z2:Z727)</f>
        <v>0.30444969613024248</v>
      </c>
      <c r="N570" s="39">
        <f>(VLOOKUP($A570,'The List'!$B1:$AH727,26,FALSE)-AVERAGE('The List'!AA2:AA727))/STDEV('The List'!AA2:AA727)</f>
        <v>1.3060656946951981</v>
      </c>
      <c r="O570" s="39">
        <f>(VLOOKUP($A570,'The List'!$B1:$AH727,27,FALSE)-AVERAGE('The List'!AB2:AB727))/STDEV('The List'!AB2:AB727)</f>
        <v>0.78859352758314027</v>
      </c>
      <c r="P570" s="39">
        <f>(VLOOKUP($A570,'The List'!$B1:$AH727,28,FALSE)-AVERAGE('The List'!AC2:AC727))/STDEV('The List'!AC2:AC727)</f>
        <v>-0.30817357040415727</v>
      </c>
      <c r="Q570" s="39">
        <f>(VLOOKUP($A570,'The List'!$B1:$AH727,29,FALSE)-AVERAGE('The List'!AD2:AD727))/STDEV('The List'!AD2:AD727)</f>
        <v>-0.76363614136256297</v>
      </c>
      <c r="R570" s="39">
        <f>(VLOOKUP($A570,'The List'!$B1:$AH727,30,FALSE)-AVERAGE('The List'!AE2:AE727))/STDEV('The List'!AE2:AE727)</f>
        <v>-0.93016540770229594</v>
      </c>
      <c r="S570" s="39">
        <f>(VLOOKUP($A570,'The List'!$B1:$AH727,31,FALSE)-AVERAGE('The List'!AF2:AF727))/STDEV('The List'!AF2:AF727)</f>
        <v>-0.55804314905918151</v>
      </c>
      <c r="T570" s="39">
        <f>(VLOOKUP($A570,'The List'!$B1:$AH727,32,FALSE)-AVERAGE('The List'!AG2:AG727))/STDEV('The List'!AG2:AG727)</f>
        <v>-0.60188453558131205</v>
      </c>
      <c r="U570" s="39">
        <f>(VLOOKUP($A570,'The List'!$B1:$AH727,33,FALSE)-AVERAGE('The List'!AH2:AH727))/STDEV('The List'!AH2:AH727)</f>
        <v>-1.2395873372913611</v>
      </c>
      <c r="V570" s="39"/>
      <c r="W570" s="43"/>
      <c r="X570" s="41"/>
      <c r="Y570" s="41"/>
      <c r="Z570" s="41"/>
      <c r="AA570" s="41"/>
      <c r="AB570" s="41"/>
      <c r="AC570" s="44"/>
      <c r="AD570" s="45"/>
      <c r="AE570" s="39"/>
    </row>
    <row r="571" spans="1:31" ht="21.25" customHeight="1" x14ac:dyDescent="0.15">
      <c r="A571" s="8" t="s">
        <v>482</v>
      </c>
      <c r="B571" s="35" t="str">
        <f>VLOOKUP(A571,'Player Data'!A1:B734,2,FALSE)</f>
        <v>OTT</v>
      </c>
      <c r="C571" s="37">
        <f>((E571)*Settings!$C$12)+(F571*Settings!$C$2)+(G571*Settings!$C$3)+(H571*Settings!$C$4)+(I571*Settings!$C$5)+(K571*Settings!$C$9)+(N571*Settings!$C$6)+(J571*Settings!$C$8)+(O571*Settings!$C$7)+(P571*Settings!$C$14)+(Q571*Settings!$C$15)+(R571*Settings!$C$16)+(S571*Settings!$C$17)+(T571*Settings!$C$18)+(U571*Settings!$C$19)</f>
        <v>-1.2227966168016013</v>
      </c>
      <c r="D571" s="41">
        <f>IF(Settings!$E$12="YES",VLOOKUP(A571,'Player Data'!A1:E734,5,FALSE),82)</f>
        <v>72.789285714285697</v>
      </c>
      <c r="E571" s="39">
        <f>(VLOOKUP($A571,'The List'!$B1:$AH727,17,FALSE)-AVERAGE('The List'!R2:R727))/STDEV('The List'!R2:R727)</f>
        <v>0.24357703766933905</v>
      </c>
      <c r="F571" s="39">
        <f>(VLOOKUP($A571,'The List'!$B1:$AH727,18,FALSE)-AVERAGE('The List'!S2:S727))/STDEV('The List'!S2:S727)</f>
        <v>-0.86499889602359614</v>
      </c>
      <c r="G571" s="39">
        <f>(VLOOKUP($A571,'The List'!$B1:$AH727,19,FALSE)-AVERAGE('The List'!T2:T727))/STDEV('The List'!T2:T727)</f>
        <v>-0.8549612066796447</v>
      </c>
      <c r="H571" s="39">
        <f>(VLOOKUP($A571,'The List'!$B1:$AH727,20,FALSE)-AVERAGE('The List'!U2:U727))/STDEV('The List'!U2:U727)</f>
        <v>-0.92046359414902534</v>
      </c>
      <c r="I571" s="39">
        <f>(VLOOKUP($A571,'The List'!$B1:$AH727,21,FALSE)-AVERAGE('The List'!V2:V727))/STDEV('The List'!V2:V727)</f>
        <v>-0.26871178490894237</v>
      </c>
      <c r="J571" s="39">
        <f>(VLOOKUP($A571,'The List'!$B1:$AH727,22,FALSE)-AVERAGE('The List'!W2:W727))/STDEV('The List'!W2:W727)</f>
        <v>-0.70593011595041888</v>
      </c>
      <c r="K571" s="39">
        <f>(VLOOKUP($A571,'The List'!$B1:$AH727,23,FALSE)-AVERAGE('The List'!X2:X727))/STDEV('The List'!X2:X727)</f>
        <v>-0.77777917210521264</v>
      </c>
      <c r="L571" s="39">
        <f>(VLOOKUP($A571,'The List'!$B1:$AH727,24,FALSE)-AVERAGE('The List'!Y2:Y727))/STDEV('The List'!Y2:Y727)</f>
        <v>-0.49663123044220625</v>
      </c>
      <c r="M571" s="39">
        <f>(VLOOKUP($A571,'The List'!$B1:$AH727,25,FALSE)-AVERAGE('The List'!Z2:Z727))/STDEV('The List'!Z2:Z727)</f>
        <v>0.6035792724177016</v>
      </c>
      <c r="N571" s="39">
        <f>(VLOOKUP($A571,'The List'!$B1:$AH727,26,FALSE)-AVERAGE('The List'!AA2:AA727))/STDEV('The List'!AA2:AA727)</f>
        <v>1.7634687947471963</v>
      </c>
      <c r="O571" s="39">
        <f>(VLOOKUP($A571,'The List'!$B1:$AH727,27,FALSE)-AVERAGE('The List'!AB2:AB727))/STDEV('The List'!AB2:AB727)</f>
        <v>0.27623667081723363</v>
      </c>
      <c r="P571" s="39">
        <f>(VLOOKUP($A571,'The List'!$B1:$AH727,28,FALSE)-AVERAGE('The List'!AC2:AC727))/STDEV('The List'!AC2:AC727)</f>
        <v>-0.21981435183140174</v>
      </c>
      <c r="Q571" s="39">
        <f>(VLOOKUP($A571,'The List'!$B1:$AH727,29,FALSE)-AVERAGE('The List'!AD2:AD727))/STDEV('The List'!AD2:AD727)</f>
        <v>0.87688820557850333</v>
      </c>
      <c r="R571" s="39">
        <f>(VLOOKUP($A571,'The List'!$B1:$AH727,30,FALSE)-AVERAGE('The List'!AE2:AE727))/STDEV('The List'!AE2:AE727)</f>
        <v>-0.8029357851270732</v>
      </c>
      <c r="S571" s="39">
        <f>(VLOOKUP($A571,'The List'!$B1:$AH727,31,FALSE)-AVERAGE('The List'!AF2:AF727))/STDEV('The List'!AF2:AF727)</f>
        <v>-0.55804314905918151</v>
      </c>
      <c r="T571" s="39">
        <f>(VLOOKUP($A571,'The List'!$B1:$AH727,32,FALSE)-AVERAGE('The List'!AG2:AG727))/STDEV('The List'!AG2:AG727)</f>
        <v>-0.60109609177137691</v>
      </c>
      <c r="U571" s="39">
        <f>(VLOOKUP($A571,'The List'!$B1:$AH727,33,FALSE)-AVERAGE('The List'!AH2:AH727))/STDEV('The List'!AH2:AH727)</f>
        <v>-1.2395873372913611</v>
      </c>
      <c r="V571" s="39"/>
      <c r="W571" s="41"/>
      <c r="X571" s="39"/>
      <c r="Y571" s="39"/>
      <c r="Z571" s="39"/>
      <c r="AA571" s="39"/>
      <c r="AB571" s="39"/>
      <c r="AC571" s="39"/>
      <c r="AD571" s="39"/>
      <c r="AE571" s="39"/>
    </row>
    <row r="572" spans="1:31" ht="21.25" customHeight="1" x14ac:dyDescent="0.15">
      <c r="A572" s="8" t="s">
        <v>823</v>
      </c>
      <c r="B572" s="35" t="str">
        <f>VLOOKUP(A572,'Player Data'!A1:B734,2,FALSE)</f>
        <v>MIN</v>
      </c>
      <c r="C572" s="37">
        <f>((E572)*Settings!$C$12)+(F572*Settings!$C$2)+(G572*Settings!$C$3)+(H572*Settings!$C$4)+(I572*Settings!$C$5)+(K572*Settings!$C$9)+(N572*Settings!$C$6)+(J572*Settings!$C$8)+(O572*Settings!$C$7)+(P572*Settings!$C$14)+(Q572*Settings!$C$15)+(R572*Settings!$C$16)+(S572*Settings!$C$17)+(T572*Settings!$C$18)+(U572*Settings!$C$19)</f>
        <v>-4.8419834782325415</v>
      </c>
      <c r="D572" s="41">
        <f>IF(Settings!$E$12="YES",VLOOKUP(A572,'Player Data'!A1:E734,5,FALSE),82)</f>
        <v>53.274999999999999</v>
      </c>
      <c r="E572" s="39">
        <f>(VLOOKUP($A572,'The List'!$B1:$AH727,17,FALSE)-AVERAGE('The List'!R2:R727))/STDEV('The List'!R2:R727)</f>
        <v>-1.4976394194728504</v>
      </c>
      <c r="F572" s="39">
        <f>(VLOOKUP($A572,'The List'!$B1:$AH727,18,FALSE)-AVERAGE('The List'!S2:S727))/STDEV('The List'!S2:S727)</f>
        <v>-0.90126238752187005</v>
      </c>
      <c r="G572" s="39">
        <f>(VLOOKUP($A572,'The List'!$B1:$AH727,19,FALSE)-AVERAGE('The List'!T2:T727))/STDEV('The List'!T2:T727)</f>
        <v>-1.1225774411675558</v>
      </c>
      <c r="H572" s="39">
        <f>(VLOOKUP($A572,'The List'!$B1:$AH727,20,FALSE)-AVERAGE('The List'!U2:U727))/STDEV('The List'!U2:U727)</f>
        <v>-1.1018733399006324</v>
      </c>
      <c r="I572" s="39">
        <f>(VLOOKUP($A572,'The List'!$B1:$AH727,21,FALSE)-AVERAGE('The List'!V2:V727))/STDEV('The List'!V2:V727)</f>
        <v>-1.207251935783052</v>
      </c>
      <c r="J572" s="39">
        <f>(VLOOKUP($A572,'The List'!$B1:$AH727,22,FALSE)-AVERAGE('The List'!W2:W727))/STDEV('The List'!W2:W727)</f>
        <v>-0.69335690282631601</v>
      </c>
      <c r="K572" s="39">
        <f>(VLOOKUP($A572,'The List'!$B1:$AH727,23,FALSE)-AVERAGE('The List'!X2:X727))/STDEV('The List'!X2:X727)</f>
        <v>-0.77841666744845828</v>
      </c>
      <c r="L572" s="39">
        <f>(VLOOKUP($A572,'The List'!$B1:$AH727,24,FALSE)-AVERAGE('The List'!Y2:Y727))/STDEV('The List'!Y2:Y727)</f>
        <v>-0.54402834717551152</v>
      </c>
      <c r="M572" s="39">
        <f>(VLOOKUP($A572,'The List'!$B1:$AH727,25,FALSE)-AVERAGE('The List'!Z2:Z727))/STDEV('The List'!Z2:Z727)</f>
        <v>-0.72372514007823274</v>
      </c>
      <c r="N572" s="39">
        <f>(VLOOKUP($A572,'The List'!$B1:$AH727,26,FALSE)-AVERAGE('The List'!AA2:AA727))/STDEV('The List'!AA2:AA727)</f>
        <v>-0.97509113894812116</v>
      </c>
      <c r="O572" s="39">
        <f>(VLOOKUP($A572,'The List'!$B1:$AH727,27,FALSE)-AVERAGE('The List'!AB2:AB727))/STDEV('The List'!AB2:AB727)</f>
        <v>-0.7468528005174766</v>
      </c>
      <c r="P572" s="39">
        <f>(VLOOKUP($A572,'The List'!$B1:$AH727,28,FALSE)-AVERAGE('The List'!AC2:AC727))/STDEV('The List'!AC2:AC727)</f>
        <v>0.14261609263651578</v>
      </c>
      <c r="Q572" s="39">
        <f>(VLOOKUP($A572,'The List'!$B1:$AH727,29,FALSE)-AVERAGE('The List'!AD2:AD727))/STDEV('The List'!AD2:AD727)</f>
        <v>-1.1736080550971884</v>
      </c>
      <c r="R572" s="39">
        <f>(VLOOKUP($A572,'The List'!$B1:$AH727,30,FALSE)-AVERAGE('The List'!AE2:AE727))/STDEV('The List'!AE2:AE727)</f>
        <v>-0.78023201671894959</v>
      </c>
      <c r="S572" s="39">
        <f>(VLOOKUP($A572,'The List'!$B1:$AH727,31,FALSE)-AVERAGE('The List'!AF2:AF727))/STDEV('The List'!AF2:AF727)</f>
        <v>-0.50023235923531062</v>
      </c>
      <c r="T572" s="39">
        <f>(VLOOKUP($A572,'The List'!$B1:$AH727,32,FALSE)-AVERAGE('The List'!AG2:AG727))/STDEV('The List'!AG2:AG727)</f>
        <v>-0.44061577194925344</v>
      </c>
      <c r="U572" s="39">
        <f>(VLOOKUP($A572,'The List'!$B1:$AH727,33,FALSE)-AVERAGE('The List'!AH2:AH727))/STDEV('The List'!AH2:AH727)</f>
        <v>-2.4100200256464855E-3</v>
      </c>
      <c r="V572" s="39"/>
      <c r="W572" s="41"/>
      <c r="X572" s="39"/>
      <c r="Y572" s="39"/>
      <c r="Z572" s="39"/>
      <c r="AA572" s="39"/>
      <c r="AB572" s="39"/>
      <c r="AC572" s="39"/>
      <c r="AD572" s="39"/>
      <c r="AE572" s="39"/>
    </row>
    <row r="573" spans="1:31" ht="21.25" customHeight="1" x14ac:dyDescent="0.15">
      <c r="A573" s="8" t="s">
        <v>658</v>
      </c>
      <c r="B573" s="35" t="str">
        <f>VLOOKUP(A573,'Player Data'!A1:B734,2,FALSE)</f>
        <v>WSH</v>
      </c>
      <c r="C573" s="37">
        <f>((E573)*Settings!$C$12)+(F573*Settings!$C$2)+(G573*Settings!$C$3)+(H573*Settings!$C$4)+(I573*Settings!$C$5)+(K573*Settings!$C$9)+(N573*Settings!$C$6)+(J573*Settings!$C$8)+(O573*Settings!$C$7)+(P573*Settings!$C$14)+(Q573*Settings!$C$15)+(R573*Settings!$C$16)+(S573*Settings!$C$17)+(T573*Settings!$C$18)+(U573*Settings!$C$19)</f>
        <v>-4.5008283166535126</v>
      </c>
      <c r="D573" s="41">
        <f>IF(Settings!$E$12="YES",VLOOKUP(A573,'Player Data'!A1:E734,5,FALSE),82)</f>
        <v>53.817500000000003</v>
      </c>
      <c r="E573" s="39">
        <f>(VLOOKUP($A573,'The List'!$B1:$AH727,17,FALSE)-AVERAGE('The List'!R2:R727))/STDEV('The List'!R2:R727)</f>
        <v>1.7172849316599039E-2</v>
      </c>
      <c r="F573" s="39">
        <f>(VLOOKUP($A573,'The List'!$B1:$AH727,18,FALSE)-AVERAGE('The List'!S2:S727))/STDEV('The List'!S2:S727)</f>
        <v>-1.1459927465329838</v>
      </c>
      <c r="G573" s="39">
        <f>(VLOOKUP($A573,'The List'!$B1:$AH727,19,FALSE)-AVERAGE('The List'!T2:T727))/STDEV('The List'!T2:T727)</f>
        <v>-0.94178957030786703</v>
      </c>
      <c r="H573" s="39">
        <f>(VLOOKUP($A573,'The List'!$B1:$AH727,20,FALSE)-AVERAGE('The List'!U2:U727))/STDEV('The List'!U2:U727)</f>
        <v>-1.1018378168796215</v>
      </c>
      <c r="I573" s="39">
        <f>(VLOOKUP($A573,'The List'!$B1:$AH727,21,FALSE)-AVERAGE('The List'!V2:V727))/STDEV('The List'!V2:V727)</f>
        <v>-1.3102327956538053</v>
      </c>
      <c r="J573" s="39">
        <f>(VLOOKUP($A573,'The List'!$B1:$AH727,22,FALSE)-AVERAGE('The List'!W2:W727))/STDEV('The List'!W2:W727)</f>
        <v>-0.70797031925368081</v>
      </c>
      <c r="K573" s="39">
        <f>(VLOOKUP($A573,'The List'!$B1:$AH727,23,FALSE)-AVERAGE('The List'!X2:X727))/STDEV('The List'!X2:X727)</f>
        <v>-0.79132147118131524</v>
      </c>
      <c r="L573" s="39">
        <f>(VLOOKUP($A573,'The List'!$B1:$AH727,24,FALSE)-AVERAGE('The List'!Y2:Y727))/STDEV('The List'!Y2:Y727)</f>
        <v>-0.45976011122809429</v>
      </c>
      <c r="M573" s="39">
        <f>(VLOOKUP($A573,'The List'!$B1:$AH727,25,FALSE)-AVERAGE('The List'!Z2:Z727))/STDEV('The List'!Z2:Z727)</f>
        <v>-0.53869706570118403</v>
      </c>
      <c r="N573" s="39">
        <f>(VLOOKUP($A573,'The List'!$B1:$AH727,26,FALSE)-AVERAGE('The List'!AA2:AA727))/STDEV('The List'!AA2:AA727)</f>
        <v>0.37048307409092218</v>
      </c>
      <c r="O573" s="39">
        <f>(VLOOKUP($A573,'The List'!$B1:$AH727,27,FALSE)-AVERAGE('The List'!AB2:AB727))/STDEV('The List'!AB2:AB727)</f>
        <v>-0.58429867053470042</v>
      </c>
      <c r="P573" s="39">
        <f>(VLOOKUP($A573,'The List'!$B1:$AH727,28,FALSE)-AVERAGE('The List'!AC2:AC727))/STDEV('The List'!AC2:AC727)</f>
        <v>-0.68197480706846303</v>
      </c>
      <c r="Q573" s="39">
        <f>(VLOOKUP($A573,'The List'!$B1:$AH727,29,FALSE)-AVERAGE('The List'!AD2:AD727))/STDEV('The List'!AD2:AD727)</f>
        <v>-1.0789913310863568</v>
      </c>
      <c r="R573" s="39">
        <f>(VLOOKUP($A573,'The List'!$B1:$AH727,30,FALSE)-AVERAGE('The List'!AE2:AE727))/STDEV('The List'!AE2:AE727)</f>
        <v>-1.0732553867244441</v>
      </c>
      <c r="S573" s="39">
        <f>(VLOOKUP($A573,'The List'!$B1:$AH727,31,FALSE)-AVERAGE('The List'!AF2:AF727))/STDEV('The List'!AF2:AF727)</f>
        <v>-0.55804314905918151</v>
      </c>
      <c r="T573" s="39">
        <f>(VLOOKUP($A573,'The List'!$B1:$AH727,32,FALSE)-AVERAGE('The List'!AG2:AG727))/STDEV('The List'!AG2:AG727)</f>
        <v>-0.60188453558131205</v>
      </c>
      <c r="U573" s="39">
        <f>(VLOOKUP($A573,'The List'!$B1:$AH727,33,FALSE)-AVERAGE('The List'!AH2:AH727))/STDEV('The List'!AH2:AH727)</f>
        <v>-1.2395873372913611</v>
      </c>
      <c r="V573" s="39"/>
      <c r="W573" s="43"/>
      <c r="X573" s="41"/>
      <c r="Y573" s="41"/>
      <c r="Z573" s="41"/>
      <c r="AA573" s="41"/>
      <c r="AB573" s="41"/>
      <c r="AC573" s="44"/>
      <c r="AD573" s="45"/>
      <c r="AE573" s="39"/>
    </row>
    <row r="574" spans="1:31" ht="21.25" customHeight="1" x14ac:dyDescent="0.15">
      <c r="A574" s="8" t="s">
        <v>568</v>
      </c>
      <c r="B574" s="35" t="str">
        <f>VLOOKUP(A574,'Player Data'!A1:B734,2,FALSE)</f>
        <v>WPG</v>
      </c>
      <c r="C574" s="37">
        <f>((E574)*Settings!$C$12)+(F574*Settings!$C$2)+(G574*Settings!$C$3)+(H574*Settings!$C$4)+(I574*Settings!$C$5)+(K574*Settings!$C$9)+(N574*Settings!$C$6)+(J574*Settings!$C$8)+(O574*Settings!$C$7)+(P574*Settings!$C$14)+(Q574*Settings!$C$15)+(R574*Settings!$C$16)+(S574*Settings!$C$17)+(T574*Settings!$C$18)+(U574*Settings!$C$19)</f>
        <v>-1.7253169958303687</v>
      </c>
      <c r="D574" s="41">
        <f>IF(Settings!$E$12="YES",VLOOKUP(A574,'Player Data'!A1:E734,5,FALSE),82)</f>
        <v>74.144999999999996</v>
      </c>
      <c r="E574" s="39">
        <f>(VLOOKUP($A574,'The List'!$B1:$AH727,17,FALSE)-AVERAGE('The List'!R2:R727))/STDEV('The List'!R2:R727)</f>
        <v>5.3665108215653991E-2</v>
      </c>
      <c r="F574" s="39">
        <f>(VLOOKUP($A574,'The List'!$B1:$AH727,18,FALSE)-AVERAGE('The List'!S2:S727))/STDEV('The List'!S2:S727)</f>
        <v>-1.0044798080717472</v>
      </c>
      <c r="G574" s="39">
        <f>(VLOOKUP($A574,'The List'!$B1:$AH727,19,FALSE)-AVERAGE('The List'!T2:T727))/STDEV('The List'!T2:T727)</f>
        <v>-0.74867162774695883</v>
      </c>
      <c r="H574" s="39">
        <f>(VLOOKUP($A574,'The List'!$B1:$AH727,20,FALSE)-AVERAGE('The List'!U2:U727))/STDEV('The List'!U2:U727)</f>
        <v>-0.91843952009319973</v>
      </c>
      <c r="I574" s="39">
        <f>(VLOOKUP($A574,'The List'!$B1:$AH727,21,FALSE)-AVERAGE('The List'!V2:V727))/STDEV('The List'!V2:V727)</f>
        <v>-1.0065280605328752</v>
      </c>
      <c r="J574" s="39">
        <f>(VLOOKUP($A574,'The List'!$B1:$AH727,22,FALSE)-AVERAGE('The List'!W2:W727))/STDEV('The List'!W2:W727)</f>
        <v>-0.70454990671851425</v>
      </c>
      <c r="K574" s="39">
        <f>(VLOOKUP($A574,'The List'!$B1:$AH727,23,FALSE)-AVERAGE('The List'!X2:X727))/STDEV('The List'!X2:X727)</f>
        <v>-0.78214759991956984</v>
      </c>
      <c r="L574" s="39">
        <f>(VLOOKUP($A574,'The List'!$B1:$AH727,24,FALSE)-AVERAGE('The List'!Y2:Y727))/STDEV('The List'!Y2:Y727)</f>
        <v>-0.46121256980495529</v>
      </c>
      <c r="M574" s="39">
        <f>(VLOOKUP($A574,'The List'!$B1:$AH727,25,FALSE)-AVERAGE('The List'!Z2:Z727))/STDEV('The List'!Z2:Z727)</f>
        <v>0.23922694359829635</v>
      </c>
      <c r="N574" s="39">
        <f>(VLOOKUP($A574,'The List'!$B1:$AH727,26,FALSE)-AVERAGE('The List'!AA2:AA727))/STDEV('The List'!AA2:AA727)</f>
        <v>1.2800652659661627</v>
      </c>
      <c r="O574" s="39">
        <f>(VLOOKUP($A574,'The List'!$B1:$AH727,27,FALSE)-AVERAGE('The List'!AB2:AB727))/STDEV('The List'!AB2:AB727)</f>
        <v>0.46445343244050413</v>
      </c>
      <c r="P574" s="39">
        <f>(VLOOKUP($A574,'The List'!$B1:$AH727,28,FALSE)-AVERAGE('The List'!AC2:AC727))/STDEV('The List'!AC2:AC727)</f>
        <v>0.53644483447461955</v>
      </c>
      <c r="Q574" s="39">
        <f>(VLOOKUP($A574,'The List'!$B1:$AH727,29,FALSE)-AVERAGE('The List'!AD2:AD727))/STDEV('The List'!AD2:AD727)</f>
        <v>7.0691838194304572E-3</v>
      </c>
      <c r="R574" s="39">
        <f>(VLOOKUP($A574,'The List'!$B1:$AH727,30,FALSE)-AVERAGE('The List'!AE2:AE727))/STDEV('The List'!AE2:AE727)</f>
        <v>-0.89714644276165534</v>
      </c>
      <c r="S574" s="39">
        <f>(VLOOKUP($A574,'The List'!$B1:$AH727,31,FALSE)-AVERAGE('The List'!AF2:AF727))/STDEV('The List'!AF2:AF727)</f>
        <v>-0.55804314905918151</v>
      </c>
      <c r="T574" s="39">
        <f>(VLOOKUP($A574,'The List'!$B1:$AH727,32,FALSE)-AVERAGE('The List'!AG2:AG727))/STDEV('The List'!AG2:AG727)</f>
        <v>-0.60188453558131205</v>
      </c>
      <c r="U574" s="39">
        <f>(VLOOKUP($A574,'The List'!$B1:$AH727,33,FALSE)-AVERAGE('The List'!AH2:AH727))/STDEV('The List'!AH2:AH727)</f>
        <v>-1.2395873372913611</v>
      </c>
      <c r="V574" s="39"/>
      <c r="W574" s="43"/>
      <c r="X574" s="41"/>
      <c r="Y574" s="41"/>
      <c r="Z574" s="41"/>
      <c r="AA574" s="41"/>
      <c r="AB574" s="41"/>
      <c r="AC574" s="44"/>
      <c r="AD574" s="45"/>
      <c r="AE574" s="39"/>
    </row>
    <row r="575" spans="1:31" ht="21.25" customHeight="1" x14ac:dyDescent="0.15">
      <c r="A575" s="8" t="s">
        <v>555</v>
      </c>
      <c r="B575" s="35" t="str">
        <f>VLOOKUP(A575,'Player Data'!A1:B734,2,FALSE)</f>
        <v>PIT</v>
      </c>
      <c r="C575" s="37">
        <f>((E575)*Settings!$C$12)+(F575*Settings!$C$2)+(G575*Settings!$C$3)+(H575*Settings!$C$4)+(I575*Settings!$C$5)+(K575*Settings!$C$9)+(N575*Settings!$C$6)+(J575*Settings!$C$8)+(O575*Settings!$C$7)+(P575*Settings!$C$14)+(Q575*Settings!$C$15)+(R575*Settings!$C$16)+(S575*Settings!$C$17)+(T575*Settings!$C$18)+(U575*Settings!$C$19)</f>
        <v>-2.4870665883182781</v>
      </c>
      <c r="D575" s="41">
        <f>IF(Settings!$E$12="YES",VLOOKUP(A575,'Player Data'!A1:E734,5,FALSE),82)</f>
        <v>73.515000000000001</v>
      </c>
      <c r="E575" s="39">
        <f>(VLOOKUP($A575,'The List'!$B1:$AH727,17,FALSE)-AVERAGE('The List'!R2:R727))/STDEV('The List'!R2:R727)</f>
        <v>0.28127009981117862</v>
      </c>
      <c r="F575" s="39">
        <f>(VLOOKUP($A575,'The List'!$B1:$AH727,18,FALSE)-AVERAGE('The List'!S2:S727))/STDEV('The List'!S2:S727)</f>
        <v>-1.0275796268707083</v>
      </c>
      <c r="G575" s="39">
        <f>(VLOOKUP($A575,'The List'!$B1:$AH727,19,FALSE)-AVERAGE('The List'!T2:T727))/STDEV('The List'!T2:T727)</f>
        <v>-0.75003132292452013</v>
      </c>
      <c r="H575" s="39">
        <f>(VLOOKUP($A575,'The List'!$B1:$AH727,20,FALSE)-AVERAGE('The List'!U2:U727))/STDEV('The List'!U2:U727)</f>
        <v>-0.92978923983764283</v>
      </c>
      <c r="I575" s="39">
        <f>(VLOOKUP($A575,'The List'!$B1:$AH727,21,FALSE)-AVERAGE('The List'!V2:V727))/STDEV('The List'!V2:V727)</f>
        <v>-0.70875002015210642</v>
      </c>
      <c r="J575" s="39">
        <f>(VLOOKUP($A575,'The List'!$B1:$AH727,22,FALSE)-AVERAGE('The List'!W2:W727))/STDEV('The List'!W2:W727)</f>
        <v>-0.70920241584400445</v>
      </c>
      <c r="K575" s="39">
        <f>(VLOOKUP($A575,'The List'!$B1:$AH727,23,FALSE)-AVERAGE('The List'!X2:X727))/STDEV('The List'!X2:X727)</f>
        <v>-0.79364422258592993</v>
      </c>
      <c r="L575" s="39">
        <f>(VLOOKUP($A575,'The List'!$B1:$AH727,24,FALSE)-AVERAGE('The List'!Y2:Y727))/STDEV('The List'!Y2:Y727)</f>
        <v>-0.491276892184761</v>
      </c>
      <c r="M575" s="39">
        <f>(VLOOKUP($A575,'The List'!$B1:$AH727,25,FALSE)-AVERAGE('The List'!Z2:Z727))/STDEV('The List'!Z2:Z727)</f>
        <v>-0.22345207650517124</v>
      </c>
      <c r="N575" s="39">
        <f>(VLOOKUP($A575,'The List'!$B1:$AH727,26,FALSE)-AVERAGE('The List'!AA2:AA727))/STDEV('The List'!AA2:AA727)</f>
        <v>0.80683538766855578</v>
      </c>
      <c r="O575" s="39">
        <f>(VLOOKUP($A575,'The List'!$B1:$AH727,27,FALSE)-AVERAGE('The List'!AB2:AB727))/STDEV('The List'!AB2:AB727)</f>
        <v>0.13659197597624215</v>
      </c>
      <c r="P575" s="39">
        <f>(VLOOKUP($A575,'The List'!$B1:$AH727,28,FALSE)-AVERAGE('The List'!AC2:AC727))/STDEV('The List'!AC2:AC727)</f>
        <v>-1.389678345356894E-2</v>
      </c>
      <c r="Q575" s="39">
        <f>(VLOOKUP($A575,'The List'!$B1:$AH727,29,FALSE)-AVERAGE('The List'!AD2:AD727))/STDEV('The List'!AD2:AD727)</f>
        <v>0.8122598610010805</v>
      </c>
      <c r="R575" s="39">
        <f>(VLOOKUP($A575,'The List'!$B1:$AH727,30,FALSE)-AVERAGE('The List'!AE2:AE727))/STDEV('The List'!AE2:AE727)</f>
        <v>-0.91521110439563869</v>
      </c>
      <c r="S575" s="39">
        <f>(VLOOKUP($A575,'The List'!$B1:$AH727,31,FALSE)-AVERAGE('The List'!AF2:AF727))/STDEV('The List'!AF2:AF727)</f>
        <v>-0.55804314905918151</v>
      </c>
      <c r="T575" s="39">
        <f>(VLOOKUP($A575,'The List'!$B1:$AH727,32,FALSE)-AVERAGE('The List'!AG2:AG727))/STDEV('The List'!AG2:AG727)</f>
        <v>-0.60188453558131205</v>
      </c>
      <c r="U575" s="39">
        <f>(VLOOKUP($A575,'The List'!$B1:$AH727,33,FALSE)-AVERAGE('The List'!AH2:AH727))/STDEV('The List'!AH2:AH727)</f>
        <v>-1.2395873372913611</v>
      </c>
      <c r="V575" s="39"/>
      <c r="W575" s="43"/>
      <c r="X575" s="41"/>
      <c r="Y575" s="41"/>
      <c r="Z575" s="41"/>
      <c r="AA575" s="41"/>
      <c r="AB575" s="41"/>
      <c r="AC575" s="44"/>
      <c r="AD575" s="45"/>
      <c r="AE575" s="39"/>
    </row>
    <row r="576" spans="1:31" ht="21.25" customHeight="1" x14ac:dyDescent="0.15">
      <c r="A576" s="8" t="s">
        <v>597</v>
      </c>
      <c r="B576" s="35" t="str">
        <f>VLOOKUP(A576,'Player Data'!A1:B734,2,FALSE)</f>
        <v>BUF</v>
      </c>
      <c r="C576" s="37">
        <f>((E576)*Settings!$C$12)+(F576*Settings!$C$2)+(G576*Settings!$C$3)+(H576*Settings!$C$4)+(I576*Settings!$C$5)+(K576*Settings!$C$9)+(N576*Settings!$C$6)+(J576*Settings!$C$8)+(O576*Settings!$C$7)+(P576*Settings!$C$14)+(Q576*Settings!$C$15)+(R576*Settings!$C$16)+(S576*Settings!$C$17)+(T576*Settings!$C$18)+(U576*Settings!$C$19)</f>
        <v>-4.2126483134629682</v>
      </c>
      <c r="D576" s="41">
        <f>IF(Settings!$E$12="YES",VLOOKUP(A576,'Player Data'!A1:E734,5,FALSE),82)</f>
        <v>70.2</v>
      </c>
      <c r="E576" s="39">
        <f>(VLOOKUP($A576,'The List'!$B1:$AH727,17,FALSE)-AVERAGE('The List'!R2:R727))/STDEV('The List'!R2:R727)</f>
        <v>0.1521190527360157</v>
      </c>
      <c r="F576" s="39">
        <f>(VLOOKUP($A576,'The List'!$B1:$AH727,18,FALSE)-AVERAGE('The List'!S2:S727))/STDEV('The List'!S2:S727)</f>
        <v>-0.97443775422378698</v>
      </c>
      <c r="G576" s="39">
        <f>(VLOOKUP($A576,'The List'!$B1:$AH727,19,FALSE)-AVERAGE('The List'!T2:T727))/STDEV('The List'!T2:T727)</f>
        <v>-0.84474188384745807</v>
      </c>
      <c r="H576" s="39">
        <f>(VLOOKUP($A576,'The List'!$B1:$AH727,20,FALSE)-AVERAGE('The List'!U2:U727))/STDEV('The List'!U2:U727)</f>
        <v>-0.96396788208726936</v>
      </c>
      <c r="I576" s="39">
        <f>(VLOOKUP($A576,'The List'!$B1:$AH727,21,FALSE)-AVERAGE('The List'!V2:V727))/STDEV('The List'!V2:V727)</f>
        <v>-0.97449288024670877</v>
      </c>
      <c r="J576" s="39">
        <f>(VLOOKUP($A576,'The List'!$B1:$AH727,22,FALSE)-AVERAGE('The List'!W2:W727))/STDEV('The List'!W2:W727)</f>
        <v>-0.70887669839874334</v>
      </c>
      <c r="K576" s="39">
        <f>(VLOOKUP($A576,'The List'!$B1:$AH727,23,FALSE)-AVERAGE('The List'!X2:X727))/STDEV('The List'!X2:X727)</f>
        <v>-0.78279421724595211</v>
      </c>
      <c r="L576" s="39">
        <f>(VLOOKUP($A576,'The List'!$B1:$AH727,24,FALSE)-AVERAGE('The List'!Y2:Y727))/STDEV('The List'!Y2:Y727)</f>
        <v>-0.48083716762735867</v>
      </c>
      <c r="M576" s="39">
        <f>(VLOOKUP($A576,'The List'!$B1:$AH727,25,FALSE)-AVERAGE('The List'!Z2:Z727))/STDEV('The List'!Z2:Z727)</f>
        <v>-0.57446941088184023</v>
      </c>
      <c r="N576" s="39">
        <f>(VLOOKUP($A576,'The List'!$B1:$AH727,26,FALSE)-AVERAGE('The List'!AA2:AA727))/STDEV('The List'!AA2:AA727)</f>
        <v>0.20097667114748388</v>
      </c>
      <c r="O576" s="39">
        <f>(VLOOKUP($A576,'The List'!$B1:$AH727,27,FALSE)-AVERAGE('The List'!AB2:AB727))/STDEV('The List'!AB2:AB727)</f>
        <v>-0.46540339358117971</v>
      </c>
      <c r="P576" s="39">
        <f>(VLOOKUP($A576,'The List'!$B1:$AH727,28,FALSE)-AVERAGE('The List'!AC2:AC727))/STDEV('The List'!AC2:AC727)</f>
        <v>-0.83715824904654668</v>
      </c>
      <c r="Q576" s="39">
        <f>(VLOOKUP($A576,'The List'!$B1:$AH727,29,FALSE)-AVERAGE('The List'!AD2:AD727))/STDEV('The List'!AD2:AD727)</f>
        <v>-0.62649261981001914</v>
      </c>
      <c r="R576" s="39">
        <f>(VLOOKUP($A576,'The List'!$B1:$AH727,30,FALSE)-AVERAGE('The List'!AE2:AE727))/STDEV('The List'!AE2:AE727)</f>
        <v>-0.92317451678390017</v>
      </c>
      <c r="S576" s="39">
        <f>(VLOOKUP($A576,'The List'!$B1:$AH727,31,FALSE)-AVERAGE('The List'!AF2:AF727))/STDEV('The List'!AF2:AF727)</f>
        <v>-0.55804314905918151</v>
      </c>
      <c r="T576" s="39">
        <f>(VLOOKUP($A576,'The List'!$B1:$AH727,32,FALSE)-AVERAGE('The List'!AG2:AG727))/STDEV('The List'!AG2:AG727)</f>
        <v>-0.60188453558131205</v>
      </c>
      <c r="U576" s="39">
        <f>(VLOOKUP($A576,'The List'!$B1:$AH727,33,FALSE)-AVERAGE('The List'!AH2:AH727))/STDEV('The List'!AH2:AH727)</f>
        <v>-1.2395873372913611</v>
      </c>
      <c r="V576" s="39"/>
      <c r="W576" s="43"/>
      <c r="X576" s="41"/>
      <c r="Y576" s="41"/>
      <c r="Z576" s="41"/>
      <c r="AA576" s="41"/>
      <c r="AB576" s="41"/>
      <c r="AC576" s="44"/>
      <c r="AD576" s="45"/>
      <c r="AE576" s="39"/>
    </row>
    <row r="577" spans="1:31" ht="21.25" customHeight="1" x14ac:dyDescent="0.15">
      <c r="A577" s="8" t="s">
        <v>587</v>
      </c>
      <c r="B577" s="35" t="str">
        <f>VLOOKUP(A577,'Player Data'!A1:B734,2,FALSE)</f>
        <v>CAR</v>
      </c>
      <c r="C577" s="37">
        <f>((E577)*Settings!$C$12)+(F577*Settings!$C$2)+(G577*Settings!$C$3)+(H577*Settings!$C$4)+(I577*Settings!$C$5)+(K577*Settings!$C$9)+(N577*Settings!$C$6)+(J577*Settings!$C$8)+(O577*Settings!$C$7)+(P577*Settings!$C$14)+(Q577*Settings!$C$15)+(R577*Settings!$C$16)+(S577*Settings!$C$17)+(T577*Settings!$C$18)+(U577*Settings!$C$19)</f>
        <v>-3.4420627574231037</v>
      </c>
      <c r="D577" s="41">
        <f>IF(Settings!$E$12="YES",VLOOKUP(A577,'Player Data'!A1:E734,5,FALSE),82)</f>
        <v>63.376428571428598</v>
      </c>
      <c r="E577" s="39">
        <f>(VLOOKUP($A577,'The List'!$B1:$AH727,17,FALSE)-AVERAGE('The List'!R2:R727))/STDEV('The List'!R2:R727)</f>
        <v>-1.0082641679004452</v>
      </c>
      <c r="F577" s="39">
        <f>(VLOOKUP($A577,'The List'!$B1:$AH727,18,FALSE)-AVERAGE('The List'!S2:S727))/STDEV('The List'!S2:S727)</f>
        <v>-1.0119046578358184</v>
      </c>
      <c r="G577" s="39">
        <f>(VLOOKUP($A577,'The List'!$B1:$AH727,19,FALSE)-AVERAGE('The List'!T2:T727))/STDEV('The List'!T2:T727)</f>
        <v>-0.91913467576303132</v>
      </c>
      <c r="H577" s="39">
        <f>(VLOOKUP($A577,'The List'!$B1:$AH727,20,FALSE)-AVERAGE('The List'!U2:U727))/STDEV('The List'!U2:U727)</f>
        <v>-1.026859191155014</v>
      </c>
      <c r="I577" s="39">
        <f>(VLOOKUP($A577,'The List'!$B1:$AH727,21,FALSE)-AVERAGE('The List'!V2:V727))/STDEV('The List'!V2:V727)</f>
        <v>-0.71761520577374938</v>
      </c>
      <c r="J577" s="39">
        <f>(VLOOKUP($A577,'The List'!$B1:$AH727,22,FALSE)-AVERAGE('The List'!W2:W727))/STDEV('The List'!W2:W727)</f>
        <v>-0.43196339448430204</v>
      </c>
      <c r="K577" s="39">
        <f>(VLOOKUP($A577,'The List'!$B1:$AH727,23,FALSE)-AVERAGE('The List'!X2:X727))/STDEV('The List'!X2:X727)</f>
        <v>-0.49153087471558604</v>
      </c>
      <c r="L577" s="39">
        <f>(VLOOKUP($A577,'The List'!$B1:$AH727,24,FALSE)-AVERAGE('The List'!Y2:Y727))/STDEV('The List'!Y2:Y727)</f>
        <v>-0.53704318897957026</v>
      </c>
      <c r="M577" s="39">
        <f>(VLOOKUP($A577,'The List'!$B1:$AH727,25,FALSE)-AVERAGE('The List'!Z2:Z727))/STDEV('The List'!Z2:Z727)</f>
        <v>-0.70777784311450698</v>
      </c>
      <c r="N577" s="39">
        <f>(VLOOKUP($A577,'The List'!$B1:$AH727,26,FALSE)-AVERAGE('The List'!AA2:AA727))/STDEV('The List'!AA2:AA727)</f>
        <v>-0.19557182689663141</v>
      </c>
      <c r="O577" s="39">
        <f>(VLOOKUP($A577,'The List'!$B1:$AH727,27,FALSE)-AVERAGE('The List'!AB2:AB727))/STDEV('The List'!AB2:AB727)</f>
        <v>-0.59184268648533289</v>
      </c>
      <c r="P577" s="39">
        <f>(VLOOKUP($A577,'The List'!$B1:$AH727,28,FALSE)-AVERAGE('The List'!AC2:AC727))/STDEV('The List'!AC2:AC727)</f>
        <v>-0.10630551643828695</v>
      </c>
      <c r="Q577" s="39">
        <f>(VLOOKUP($A577,'The List'!$B1:$AH727,29,FALSE)-AVERAGE('The List'!AD2:AD727))/STDEV('The List'!AD2:AD727)</f>
        <v>-1.1309699158153603</v>
      </c>
      <c r="R577" s="39">
        <f>(VLOOKUP($A577,'The List'!$B1:$AH727,30,FALSE)-AVERAGE('The List'!AE2:AE727))/STDEV('The List'!AE2:AE727)</f>
        <v>-0.86155892038641879</v>
      </c>
      <c r="S577" s="39">
        <f>(VLOOKUP($A577,'The List'!$B1:$AH727,31,FALSE)-AVERAGE('The List'!AF2:AF727))/STDEV('The List'!AF2:AF727)</f>
        <v>-0.55804314905918151</v>
      </c>
      <c r="T577" s="39">
        <f>(VLOOKUP($A577,'The List'!$B1:$AH727,32,FALSE)-AVERAGE('The List'!AG2:AG727))/STDEV('The List'!AG2:AG727)</f>
        <v>-0.60005272635335705</v>
      </c>
      <c r="U577" s="39">
        <f>(VLOOKUP($A577,'The List'!$B1:$AH727,33,FALSE)-AVERAGE('The List'!AH2:AH727))/STDEV('The List'!AH2:AH727)</f>
        <v>-1.2395873372913611</v>
      </c>
      <c r="V577" s="39"/>
      <c r="W577" s="43"/>
      <c r="X577" s="41"/>
      <c r="Y577" s="41"/>
      <c r="Z577" s="41"/>
      <c r="AA577" s="41"/>
      <c r="AB577" s="41"/>
      <c r="AC577" s="44"/>
      <c r="AD577" s="45"/>
      <c r="AE577" s="39"/>
    </row>
    <row r="578" spans="1:31" ht="21.25" customHeight="1" x14ac:dyDescent="0.15">
      <c r="A578" s="8" t="s">
        <v>501</v>
      </c>
      <c r="B578" s="35" t="str">
        <f>VLOOKUP(A578,'Player Data'!A1:B734,2,FALSE)</f>
        <v>CHI</v>
      </c>
      <c r="C578" s="37">
        <f>((E578)*Settings!$C$12)+(F578*Settings!$C$2)+(G578*Settings!$C$3)+(H578*Settings!$C$4)+(I578*Settings!$C$5)+(K578*Settings!$C$9)+(N578*Settings!$C$6)+(J578*Settings!$C$8)+(O578*Settings!$C$7)+(P578*Settings!$C$14)+(Q578*Settings!$C$15)+(R578*Settings!$C$16)+(S578*Settings!$C$17)+(T578*Settings!$C$18)+(U578*Settings!$C$19)</f>
        <v>-2.5504049449991788</v>
      </c>
      <c r="D578" s="41">
        <f>IF(Settings!$E$12="YES",VLOOKUP(A578,'Player Data'!A1:E734,5,FALSE),82)</f>
        <v>77.358928571428606</v>
      </c>
      <c r="E578" s="39">
        <f>(VLOOKUP($A578,'The List'!$B1:$AH727,17,FALSE)-AVERAGE('The List'!R2:R727))/STDEV('The List'!R2:R727)</f>
        <v>0.88371276873759741</v>
      </c>
      <c r="F578" s="39">
        <f>(VLOOKUP($A578,'The List'!$B1:$AH727,18,FALSE)-AVERAGE('The List'!S2:S727))/STDEV('The List'!S2:S727)</f>
        <v>-0.76024267079216379</v>
      </c>
      <c r="G578" s="39">
        <f>(VLOOKUP($A578,'The List'!$B1:$AH727,19,FALSE)-AVERAGE('The List'!T2:T727))/STDEV('The List'!T2:T727)</f>
        <v>-0.90268027180877397</v>
      </c>
      <c r="H578" s="39">
        <f>(VLOOKUP($A578,'The List'!$B1:$AH727,20,FALSE)-AVERAGE('The List'!U2:U727))/STDEV('The List'!U2:U727)</f>
        <v>-0.90219788373201437</v>
      </c>
      <c r="I578" s="39">
        <f>(VLOOKUP($A578,'The List'!$B1:$AH727,21,FALSE)-AVERAGE('The List'!V2:V727))/STDEV('The List'!V2:V727)</f>
        <v>-0.69463396879658801</v>
      </c>
      <c r="J578" s="39">
        <f>(VLOOKUP($A578,'The List'!$B1:$AH727,22,FALSE)-AVERAGE('The List'!W2:W727))/STDEV('The List'!W2:W727)</f>
        <v>-0.69737933432326227</v>
      </c>
      <c r="K578" s="39">
        <f>(VLOOKUP($A578,'The List'!$B1:$AH727,23,FALSE)-AVERAGE('The List'!X2:X727))/STDEV('The List'!X2:X727)</f>
        <v>-0.78342826675411315</v>
      </c>
      <c r="L578" s="39">
        <f>(VLOOKUP($A578,'The List'!$B1:$AH727,24,FALSE)-AVERAGE('The List'!Y2:Y727))/STDEV('The List'!Y2:Y727)</f>
        <v>1.2996461195606006</v>
      </c>
      <c r="M578" s="39">
        <f>(VLOOKUP($A578,'The List'!$B1:$AH727,25,FALSE)-AVERAGE('The List'!Z2:Z727))/STDEV('The List'!Z2:Z727)</f>
        <v>0.54300486858865771</v>
      </c>
      <c r="N578" s="39">
        <f>(VLOOKUP($A578,'The List'!$B1:$AH727,26,FALSE)-AVERAGE('The List'!AA2:AA727))/STDEV('The List'!AA2:AA727)</f>
        <v>2.5685455255512815</v>
      </c>
      <c r="O578" s="39">
        <f>(VLOOKUP($A578,'The List'!$B1:$AH727,27,FALSE)-AVERAGE('The List'!AB2:AB727))/STDEV('The List'!AB2:AB727)</f>
        <v>1.2866892988101557</v>
      </c>
      <c r="P578" s="39">
        <f>(VLOOKUP($A578,'The List'!$B1:$AH727,28,FALSE)-AVERAGE('The List'!AC2:AC727))/STDEV('The List'!AC2:AC727)</f>
        <v>-1.9779652923988211</v>
      </c>
      <c r="Q578" s="39">
        <f>(VLOOKUP($A578,'The List'!$B1:$AH727,29,FALSE)-AVERAGE('The List'!AD2:AD727))/STDEV('The List'!AD2:AD727)</f>
        <v>1.5192387570263015</v>
      </c>
      <c r="R578" s="39">
        <f>(VLOOKUP($A578,'The List'!$B1:$AH727,30,FALSE)-AVERAGE('The List'!AE2:AE727))/STDEV('The List'!AE2:AE727)</f>
        <v>-0.78361423790970464</v>
      </c>
      <c r="S578" s="39">
        <f>(VLOOKUP($A578,'The List'!$B1:$AH727,31,FALSE)-AVERAGE('The List'!AF2:AF727))/STDEV('The List'!AF2:AF727)</f>
        <v>-0.55804314905918151</v>
      </c>
      <c r="T578" s="39">
        <f>(VLOOKUP($A578,'The List'!$B1:$AH727,32,FALSE)-AVERAGE('The List'!AG2:AG727))/STDEV('The List'!AG2:AG727)</f>
        <v>-0.60188453558131205</v>
      </c>
      <c r="U578" s="39">
        <f>(VLOOKUP($A578,'The List'!$B1:$AH727,33,FALSE)-AVERAGE('The List'!AH2:AH727))/STDEV('The List'!AH2:AH727)</f>
        <v>-1.2395873372913611</v>
      </c>
      <c r="V578" s="39"/>
      <c r="W578" s="43"/>
      <c r="X578" s="41"/>
      <c r="Y578" s="41"/>
      <c r="Z578" s="41"/>
      <c r="AA578" s="41"/>
      <c r="AB578" s="41"/>
      <c r="AC578" s="44"/>
      <c r="AD578" s="45"/>
      <c r="AE578" s="39"/>
    </row>
    <row r="579" spans="1:31" ht="21.25" customHeight="1" x14ac:dyDescent="0.15">
      <c r="A579" s="8" t="s">
        <v>522</v>
      </c>
      <c r="B579" s="35" t="str">
        <f>VLOOKUP(A579,'Player Data'!A1:B734,2,FALSE)</f>
        <v>BOS</v>
      </c>
      <c r="C579" s="37">
        <f>((E579)*Settings!$C$12)+(F579*Settings!$C$2)+(G579*Settings!$C$3)+(H579*Settings!$C$4)+(I579*Settings!$C$5)+(K579*Settings!$C$9)+(N579*Settings!$C$6)+(J579*Settings!$C$8)+(O579*Settings!$C$7)+(P579*Settings!$C$14)+(Q579*Settings!$C$15)+(R579*Settings!$C$16)+(S579*Settings!$C$17)+(T579*Settings!$C$18)+(U579*Settings!$C$19)</f>
        <v>-0.6151376938753399</v>
      </c>
      <c r="D579" s="41">
        <f>IF(Settings!$E$12="YES",VLOOKUP(A579,'Player Data'!A1:E734,5,FALSE),82)</f>
        <v>76.128571428571405</v>
      </c>
      <c r="E579" s="39">
        <f>(VLOOKUP($A579,'The List'!$B1:$AH727,17,FALSE)-AVERAGE('The List'!R2:R727))/STDEV('The List'!R2:R727)</f>
        <v>0.56781845797911901</v>
      </c>
      <c r="F579" s="39">
        <f>(VLOOKUP($A579,'The List'!$B1:$AH727,18,FALSE)-AVERAGE('The List'!S2:S727))/STDEV('The List'!S2:S727)</f>
        <v>-0.84839417550076923</v>
      </c>
      <c r="G579" s="39">
        <f>(VLOOKUP($A579,'The List'!$B1:$AH727,19,FALSE)-AVERAGE('The List'!T2:T727))/STDEV('The List'!T2:T727)</f>
        <v>-0.85717467703581007</v>
      </c>
      <c r="H579" s="39">
        <f>(VLOOKUP($A579,'The List'!$B1:$AH727,20,FALSE)-AVERAGE('The List'!U2:U727))/STDEV('The List'!U2:U727)</f>
        <v>-0.91427136806315323</v>
      </c>
      <c r="I579" s="39">
        <f>(VLOOKUP($A579,'The List'!$B1:$AH727,21,FALSE)-AVERAGE('The List'!V2:V727))/STDEV('The List'!V2:V727)</f>
        <v>-0.52483858494927915</v>
      </c>
      <c r="J579" s="39">
        <f>(VLOOKUP($A579,'The List'!$B1:$AH727,22,FALSE)-AVERAGE('The List'!W2:W727))/STDEV('The List'!W2:W727)</f>
        <v>-0.70920949354237606</v>
      </c>
      <c r="K579" s="39">
        <f>(VLOOKUP($A579,'The List'!$B1:$AH727,23,FALSE)-AVERAGE('The List'!X2:X727))/STDEV('The List'!X2:X727)</f>
        <v>-0.7917239924180518</v>
      </c>
      <c r="L579" s="39">
        <f>(VLOOKUP($A579,'The List'!$B1:$AH727,24,FALSE)-AVERAGE('The List'!Y2:Y727))/STDEV('The List'!Y2:Y727)</f>
        <v>1.7488257542501804E-2</v>
      </c>
      <c r="M579" s="39">
        <f>(VLOOKUP($A579,'The List'!$B1:$AH727,25,FALSE)-AVERAGE('The List'!Z2:Z727))/STDEV('The List'!Z2:Z727)</f>
        <v>-0.24877338041481376</v>
      </c>
      <c r="N579" s="39">
        <f>(VLOOKUP($A579,'The List'!$B1:$AH727,26,FALSE)-AVERAGE('The List'!AA2:AA727))/STDEV('The List'!AA2:AA727)</f>
        <v>1.3321058387102473</v>
      </c>
      <c r="O579" s="39">
        <f>(VLOOKUP($A579,'The List'!$B1:$AH727,27,FALSE)-AVERAGE('The List'!AB2:AB727))/STDEV('The List'!AB2:AB727)</f>
        <v>0.71140065591556167</v>
      </c>
      <c r="P579" s="39">
        <f>(VLOOKUP($A579,'The List'!$B1:$AH727,28,FALSE)-AVERAGE('The List'!AC2:AC727))/STDEV('The List'!AC2:AC727)</f>
        <v>1.0748878973183233</v>
      </c>
      <c r="Q579" s="39">
        <f>(VLOOKUP($A579,'The List'!$B1:$AH727,29,FALSE)-AVERAGE('The List'!AD2:AD727))/STDEV('The List'!AD2:AD727)</f>
        <v>0.20089642013939005</v>
      </c>
      <c r="R579" s="39">
        <f>(VLOOKUP($A579,'The List'!$B1:$AH727,30,FALSE)-AVERAGE('The List'!AE2:AE727))/STDEV('The List'!AE2:AE727)</f>
        <v>-0.70351806542710826</v>
      </c>
      <c r="S579" s="39">
        <f>(VLOOKUP($A579,'The List'!$B1:$AH727,31,FALSE)-AVERAGE('The List'!AF2:AF727))/STDEV('The List'!AF2:AF727)</f>
        <v>-0.55804314905918151</v>
      </c>
      <c r="T579" s="39">
        <f>(VLOOKUP($A579,'The List'!$B1:$AH727,32,FALSE)-AVERAGE('The List'!AG2:AG727))/STDEV('The List'!AG2:AG727)</f>
        <v>-0.60188453558131205</v>
      </c>
      <c r="U579" s="39">
        <f>(VLOOKUP($A579,'The List'!$B1:$AH727,33,FALSE)-AVERAGE('The List'!AH2:AH727))/STDEV('The List'!AH2:AH727)</f>
        <v>-1.2395873372913611</v>
      </c>
      <c r="V579" s="39"/>
      <c r="W579" s="43"/>
      <c r="X579" s="41"/>
      <c r="Y579" s="41"/>
      <c r="Z579" s="41"/>
      <c r="AA579" s="41"/>
      <c r="AB579" s="41"/>
      <c r="AC579" s="44"/>
      <c r="AD579" s="45"/>
      <c r="AE579" s="39"/>
    </row>
    <row r="580" spans="1:31" ht="21.25" customHeight="1" x14ac:dyDescent="0.15">
      <c r="A580" s="8" t="s">
        <v>550</v>
      </c>
      <c r="B580" s="35" t="str">
        <f>VLOOKUP(A580,'Player Data'!A1:B734,2,FALSE)</f>
        <v>ARI</v>
      </c>
      <c r="C580" s="37">
        <f>((E580)*Settings!$C$12)+(F580*Settings!$C$2)+(G580*Settings!$C$3)+(H580*Settings!$C$4)+(I580*Settings!$C$5)+(K580*Settings!$C$9)+(N580*Settings!$C$6)+(J580*Settings!$C$8)+(O580*Settings!$C$7)+(P580*Settings!$C$14)+(Q580*Settings!$C$15)+(R580*Settings!$C$16)+(S580*Settings!$C$17)+(T580*Settings!$C$18)+(U580*Settings!$C$19)</f>
        <v>-3.423095443431114</v>
      </c>
      <c r="D580" s="41">
        <f>IF(Settings!$E$12="YES",VLOOKUP(A580,'Player Data'!A1:E734,5,FALSE),82)</f>
        <v>72.807857142857102</v>
      </c>
      <c r="E580" s="39">
        <f>(VLOOKUP($A580,'The List'!$B1:$AH727,17,FALSE)-AVERAGE('The List'!R2:R727))/STDEV('The List'!R2:R727)</f>
        <v>0.47857136424144964</v>
      </c>
      <c r="F580" s="39">
        <f>(VLOOKUP($A580,'The List'!$B1:$AH727,18,FALSE)-AVERAGE('The List'!S2:S727))/STDEV('The List'!S2:S727)</f>
        <v>-0.96383455913074434</v>
      </c>
      <c r="G580" s="39">
        <f>(VLOOKUP($A580,'The List'!$B1:$AH727,19,FALSE)-AVERAGE('The List'!T2:T727))/STDEV('The List'!T2:T727)</f>
        <v>-0.8208250729823996</v>
      </c>
      <c r="H580" s="39">
        <f>(VLOOKUP($A580,'The List'!$B1:$AH727,20,FALSE)-AVERAGE('The List'!U2:U727))/STDEV('The List'!U2:U727)</f>
        <v>-0.94440500573126551</v>
      </c>
      <c r="I580" s="39">
        <f>(VLOOKUP($A580,'The List'!$B1:$AH727,21,FALSE)-AVERAGE('The List'!V2:V727))/STDEV('The List'!V2:V727)</f>
        <v>-0.63640731009963958</v>
      </c>
      <c r="J580" s="39">
        <f>(VLOOKUP($A580,'The List'!$B1:$AH727,22,FALSE)-AVERAGE('The List'!W2:W727))/STDEV('The List'!W2:W727)</f>
        <v>-0.70694423965632935</v>
      </c>
      <c r="K580" s="39">
        <f>(VLOOKUP($A580,'The List'!$B1:$AH727,23,FALSE)-AVERAGE('The List'!X2:X727))/STDEV('The List'!X2:X727)</f>
        <v>-0.78801040516017717</v>
      </c>
      <c r="L580" s="39">
        <f>(VLOOKUP($A580,'The List'!$B1:$AH727,24,FALSE)-AVERAGE('The List'!Y2:Y727))/STDEV('The List'!Y2:Y727)</f>
        <v>-0.49306666925456921</v>
      </c>
      <c r="M580" s="39">
        <f>(VLOOKUP($A580,'The List'!$B1:$AH727,25,FALSE)-AVERAGE('The List'!Z2:Z727))/STDEV('The List'!Z2:Z727)</f>
        <v>-0.55457694338450902</v>
      </c>
      <c r="N580" s="39">
        <f>(VLOOKUP($A580,'The List'!$B1:$AH727,26,FALSE)-AVERAGE('The List'!AA2:AA727))/STDEV('The List'!AA2:AA727)</f>
        <v>0.97281384511138869</v>
      </c>
      <c r="O580" s="39">
        <f>(VLOOKUP($A580,'The List'!$B1:$AH727,27,FALSE)-AVERAGE('The List'!AB2:AB727))/STDEV('The List'!AB2:AB727)</f>
        <v>-0.21212846776002689</v>
      </c>
      <c r="P580" s="39">
        <f>(VLOOKUP($A580,'The List'!$B1:$AH727,28,FALSE)-AVERAGE('The List'!AC2:AC727))/STDEV('The List'!AC2:AC727)</f>
        <v>-1.1868319411695418</v>
      </c>
      <c r="Q580" s="39">
        <f>(VLOOKUP($A580,'The List'!$B1:$AH727,29,FALSE)-AVERAGE('The List'!AD2:AD727))/STDEV('The List'!AD2:AD727)</f>
        <v>0.40964682447292888</v>
      </c>
      <c r="R580" s="39">
        <f>(VLOOKUP($A580,'The List'!$B1:$AH727,30,FALSE)-AVERAGE('The List'!AE2:AE727))/STDEV('The List'!AE2:AE727)</f>
        <v>-0.92636579083496162</v>
      </c>
      <c r="S580" s="39">
        <f>(VLOOKUP($A580,'The List'!$B1:$AH727,31,FALSE)-AVERAGE('The List'!AF2:AF727))/STDEV('The List'!AF2:AF727)</f>
        <v>-0.55804314905918151</v>
      </c>
      <c r="T580" s="39">
        <f>(VLOOKUP($A580,'The List'!$B1:$AH727,32,FALSE)-AVERAGE('The List'!AG2:AG727))/STDEV('The List'!AG2:AG727)</f>
        <v>-0.60188453558131205</v>
      </c>
      <c r="U580" s="39">
        <f>(VLOOKUP($A580,'The List'!$B1:$AH727,33,FALSE)-AVERAGE('The List'!AH2:AH727))/STDEV('The List'!AH2:AH727)</f>
        <v>-1.2395873372913611</v>
      </c>
      <c r="V580" s="39"/>
      <c r="W580" s="41"/>
      <c r="X580" s="39"/>
      <c r="Y580" s="39"/>
      <c r="Z580" s="39"/>
      <c r="AA580" s="39"/>
      <c r="AB580" s="39"/>
      <c r="AC580" s="39"/>
      <c r="AD580" s="39"/>
      <c r="AE580" s="39"/>
    </row>
    <row r="581" spans="1:31" ht="21.25" customHeight="1" x14ac:dyDescent="0.15">
      <c r="A581" s="8" t="s">
        <v>819</v>
      </c>
      <c r="B581" s="35" t="str">
        <f>VLOOKUP(A581,'Player Data'!A1:B734,2,FALSE)</f>
        <v>NYR</v>
      </c>
      <c r="C581" s="37">
        <f>((E581)*Settings!$C$12)+(F581*Settings!$C$2)+(G581*Settings!$C$3)+(H581*Settings!$C$4)+(I581*Settings!$C$5)+(K581*Settings!$C$9)+(N581*Settings!$C$6)+(J581*Settings!$C$8)+(O581*Settings!$C$7)+(P581*Settings!$C$14)+(Q581*Settings!$C$15)+(R581*Settings!$C$16)+(S581*Settings!$C$17)+(T581*Settings!$C$18)+(U581*Settings!$C$19)</f>
        <v>-4.0878351831140431</v>
      </c>
      <c r="D581" s="41">
        <f>IF(Settings!$E$12="YES",VLOOKUP(A581,'Player Data'!A1:E734,5,FALSE),82)</f>
        <v>62</v>
      </c>
      <c r="E581" s="39">
        <f>(VLOOKUP($A581,'The List'!$B1:$AH727,17,FALSE)-AVERAGE('The List'!R2:R727))/STDEV('The List'!R2:R727)</f>
        <v>-1.718361832821161</v>
      </c>
      <c r="F581" s="39">
        <f>(VLOOKUP($A581,'The List'!$B1:$AH727,18,FALSE)-AVERAGE('The List'!S2:S727))/STDEV('The List'!S2:S727)</f>
        <v>-0.78979899103701001</v>
      </c>
      <c r="G581" s="39">
        <f>(VLOOKUP($A581,'The List'!$B1:$AH727,19,FALSE)-AVERAGE('The List'!T2:T727))/STDEV('The List'!T2:T727)</f>
        <v>-1.1093199779616414</v>
      </c>
      <c r="H581" s="39">
        <f>(VLOOKUP($A581,'The List'!$B1:$AH727,20,FALSE)-AVERAGE('The List'!U2:U727))/STDEV('The List'!U2:U727)</f>
        <v>-1.0429811486253804</v>
      </c>
      <c r="I581" s="39">
        <f>(VLOOKUP($A581,'The List'!$B1:$AH727,21,FALSE)-AVERAGE('The List'!V2:V727))/STDEV('The List'!V2:V727)</f>
        <v>-1.2380743654676969</v>
      </c>
      <c r="J581" s="39">
        <f>(VLOOKUP($A581,'The List'!$B1:$AH727,22,FALSE)-AVERAGE('The List'!W2:W727))/STDEV('The List'!W2:W727)</f>
        <v>-0.70367327771255739</v>
      </c>
      <c r="K581" s="39">
        <f>(VLOOKUP($A581,'The List'!$B1:$AH727,23,FALSE)-AVERAGE('The List'!X2:X727))/STDEV('The List'!X2:X727)</f>
        <v>-0.79176177884309928</v>
      </c>
      <c r="L581" s="39">
        <f>(VLOOKUP($A581,'The List'!$B1:$AH727,24,FALSE)-AVERAGE('The List'!Y2:Y727))/STDEV('The List'!Y2:Y727)</f>
        <v>-0.40585634204459464</v>
      </c>
      <c r="M581" s="39">
        <f>(VLOOKUP($A581,'The List'!$B1:$AH727,25,FALSE)-AVERAGE('The List'!Z2:Z727))/STDEV('The List'!Z2:Z727)</f>
        <v>-0.60909760755169107</v>
      </c>
      <c r="N581" s="39">
        <f>(VLOOKUP($A581,'The List'!$B1:$AH727,26,FALSE)-AVERAGE('The List'!AA2:AA727))/STDEV('The List'!AA2:AA727)</f>
        <v>-0.73908224176957515</v>
      </c>
      <c r="O581" s="39">
        <f>(VLOOKUP($A581,'The List'!$B1:$AH727,27,FALSE)-AVERAGE('The List'!AB2:AB727))/STDEV('The List'!AB2:AB727)</f>
        <v>0.23692639246118422</v>
      </c>
      <c r="P581" s="39">
        <f>(VLOOKUP($A581,'The List'!$B1:$AH727,28,FALSE)-AVERAGE('The List'!AC2:AC727))/STDEV('The List'!AC2:AC727)</f>
        <v>0.58020217196497925</v>
      </c>
      <c r="Q581" s="39">
        <f>(VLOOKUP($A581,'The List'!$B1:$AH727,29,FALSE)-AVERAGE('The List'!AD2:AD727))/STDEV('The List'!AD2:AD727)</f>
        <v>-1.2023183476446573</v>
      </c>
      <c r="R581" s="39">
        <f>(VLOOKUP($A581,'The List'!$B1:$AH727,30,FALSE)-AVERAGE('The List'!AE2:AE727))/STDEV('The List'!AE2:AE727)</f>
        <v>-0.63096887313994021</v>
      </c>
      <c r="S581" s="39">
        <f>(VLOOKUP($A581,'The List'!$B1:$AH727,31,FALSE)-AVERAGE('The List'!AF2:AF727))/STDEV('The List'!AF2:AF727)</f>
        <v>-0.54291953007122373</v>
      </c>
      <c r="T581" s="39">
        <f>(VLOOKUP($A581,'The List'!$B1:$AH727,32,FALSE)-AVERAGE('The List'!AG2:AG727))/STDEV('The List'!AG2:AG727)</f>
        <v>-0.58212888022001996</v>
      </c>
      <c r="U581" s="39">
        <f>(VLOOKUP($A581,'The List'!$B1:$AH727,33,FALSE)-AVERAGE('The List'!AH2:AH727))/STDEV('The List'!AH2:AH727)</f>
        <v>0.775760793825511</v>
      </c>
      <c r="V581" s="39"/>
      <c r="W581" s="41"/>
      <c r="X581" s="39"/>
      <c r="Y581" s="39"/>
      <c r="Z581" s="39"/>
      <c r="AA581" s="39"/>
      <c r="AB581" s="39"/>
      <c r="AC581" s="39"/>
      <c r="AD581" s="39"/>
      <c r="AE581" s="39"/>
    </row>
    <row r="582" spans="1:31" ht="21.25" customHeight="1" x14ac:dyDescent="0.15">
      <c r="A582" s="8" t="s">
        <v>583</v>
      </c>
      <c r="B582" s="35" t="str">
        <f>VLOOKUP(A582,'Player Data'!A1:B734,2,FALSE)</f>
        <v>ANA</v>
      </c>
      <c r="C582" s="37">
        <f>((E582)*Settings!$C$12)+(F582*Settings!$C$2)+(G582*Settings!$C$3)+(H582*Settings!$C$4)+(I582*Settings!$C$5)+(K582*Settings!$C$9)+(N582*Settings!$C$6)+(J582*Settings!$C$8)+(O582*Settings!$C$7)+(P582*Settings!$C$14)+(Q582*Settings!$C$15)+(R582*Settings!$C$16)+(S582*Settings!$C$17)+(T582*Settings!$C$18)+(U582*Settings!$C$19)</f>
        <v>-4.1846635547028832</v>
      </c>
      <c r="D582" s="41">
        <f>IF(Settings!$E$12="YES",VLOOKUP(A582,'Player Data'!A1:E734,5,FALSE),82)</f>
        <v>68.523571428571401</v>
      </c>
      <c r="E582" s="39">
        <f>(VLOOKUP($A582,'The List'!$B1:$AH727,17,FALSE)-AVERAGE('The List'!R2:R727))/STDEV('The List'!R2:R727)</f>
        <v>0.23766050218875587</v>
      </c>
      <c r="F582" s="39">
        <f>(VLOOKUP($A582,'The List'!$B1:$AH727,18,FALSE)-AVERAGE('The List'!S2:S727))/STDEV('The List'!S2:S727)</f>
        <v>-1.0010584909850992</v>
      </c>
      <c r="G582" s="39">
        <f>(VLOOKUP($A582,'The List'!$B1:$AH727,19,FALSE)-AVERAGE('The List'!T2:T727))/STDEV('The List'!T2:T727)</f>
        <v>-0.86345995541117959</v>
      </c>
      <c r="H582" s="39">
        <f>(VLOOKUP($A582,'The List'!$B1:$AH727,20,FALSE)-AVERAGE('The List'!U2:U727))/STDEV('The List'!U2:U727)</f>
        <v>-0.98761623119464959</v>
      </c>
      <c r="I582" s="39">
        <f>(VLOOKUP($A582,'The List'!$B1:$AH727,21,FALSE)-AVERAGE('The List'!V2:V727))/STDEV('The List'!V2:V727)</f>
        <v>-0.8931366595713095</v>
      </c>
      <c r="J582" s="39">
        <f>(VLOOKUP($A582,'The List'!$B1:$AH727,22,FALSE)-AVERAGE('The List'!W2:W727))/STDEV('The List'!W2:W727)</f>
        <v>-0.70827909850384629</v>
      </c>
      <c r="K582" s="39">
        <f>(VLOOKUP($A582,'The List'!$B1:$AH727,23,FALSE)-AVERAGE('The List'!X2:X727))/STDEV('The List'!X2:X727)</f>
        <v>-0.79159543458311865</v>
      </c>
      <c r="L582" s="39">
        <f>(VLOOKUP($A582,'The List'!$B1:$AH727,24,FALSE)-AVERAGE('The List'!Y2:Y727))/STDEV('The List'!Y2:Y727)</f>
        <v>-0.50688214663219444</v>
      </c>
      <c r="M582" s="39">
        <f>(VLOOKUP($A582,'The List'!$B1:$AH727,25,FALSE)-AVERAGE('The List'!Z2:Z727))/STDEV('The List'!Z2:Z727)</f>
        <v>-0.63760987897278854</v>
      </c>
      <c r="N582" s="39">
        <f>(VLOOKUP($A582,'The List'!$B1:$AH727,26,FALSE)-AVERAGE('The List'!AA2:AA727))/STDEV('The List'!AA2:AA727)</f>
        <v>0.95358772182260676</v>
      </c>
      <c r="O582" s="39">
        <f>(VLOOKUP($A582,'The List'!$B1:$AH727,27,FALSE)-AVERAGE('The List'!AB2:AB727))/STDEV('The List'!AB2:AB727)</f>
        <v>1.5848313727901262</v>
      </c>
      <c r="P582" s="39">
        <f>(VLOOKUP($A582,'The List'!$B1:$AH727,28,FALSE)-AVERAGE('The List'!AC2:AC727))/STDEV('The List'!AC2:AC727)</f>
        <v>-1.5890007359747824</v>
      </c>
      <c r="Q582" s="39">
        <f>(VLOOKUP($A582,'The List'!$B1:$AH727,29,FALSE)-AVERAGE('The List'!AD2:AD727))/STDEV('The List'!AD2:AD727)</f>
        <v>0.69794038587292762</v>
      </c>
      <c r="R582" s="39">
        <f>(VLOOKUP($A582,'The List'!$B1:$AH727,30,FALSE)-AVERAGE('The List'!AE2:AE727))/STDEV('The List'!AE2:AE727)</f>
        <v>-0.98473217850902528</v>
      </c>
      <c r="S582" s="39">
        <f>(VLOOKUP($A582,'The List'!$B1:$AH727,31,FALSE)-AVERAGE('The List'!AF2:AF727))/STDEV('The List'!AF2:AF727)</f>
        <v>-0.55804314905918151</v>
      </c>
      <c r="T582" s="39">
        <f>(VLOOKUP($A582,'The List'!$B1:$AH727,32,FALSE)-AVERAGE('The List'!AG2:AG727))/STDEV('The List'!AG2:AG727)</f>
        <v>-0.60188453558131205</v>
      </c>
      <c r="U582" s="39">
        <f>(VLOOKUP($A582,'The List'!$B1:$AH727,33,FALSE)-AVERAGE('The List'!AH2:AH727))/STDEV('The List'!AH2:AH727)</f>
        <v>-1.2395873372913611</v>
      </c>
      <c r="V582" s="39"/>
      <c r="W582" s="43"/>
      <c r="X582" s="41"/>
      <c r="Y582" s="41"/>
      <c r="Z582" s="41"/>
      <c r="AA582" s="41"/>
      <c r="AB582" s="41"/>
      <c r="AC582" s="44"/>
      <c r="AD582" s="45"/>
      <c r="AE582" s="39"/>
    </row>
    <row r="583" spans="1:31" ht="21.25" customHeight="1" x14ac:dyDescent="0.15">
      <c r="A583" s="8" t="s">
        <v>729</v>
      </c>
      <c r="B583" s="35" t="str">
        <f>VLOOKUP(A583,'Player Data'!A1:B734,2,FALSE)</f>
        <v>NYI</v>
      </c>
      <c r="C583" s="37">
        <f>((E583)*Settings!$C$12)+(F583*Settings!$C$2)+(G583*Settings!$C$3)+(H583*Settings!$C$4)+(I583*Settings!$C$5)+(K583*Settings!$C$9)+(N583*Settings!$C$6)+(J583*Settings!$C$8)+(O583*Settings!$C$7)+(P583*Settings!$C$14)+(Q583*Settings!$C$15)+(R583*Settings!$C$16)+(S583*Settings!$C$17)+(T583*Settings!$C$18)+(U583*Settings!$C$19)</f>
        <v>-4.3152971866706826</v>
      </c>
      <c r="D583" s="41">
        <f>IF(Settings!$E$12="YES",VLOOKUP(A583,'Player Data'!A1:E734,5,FALSE),82)</f>
        <v>72.1314285714286</v>
      </c>
      <c r="E583" s="39">
        <f>(VLOOKUP($A583,'The List'!$B1:$AH727,17,FALSE)-AVERAGE('The List'!R2:R727))/STDEV('The List'!R2:R727)</f>
        <v>-1.1159494610996177</v>
      </c>
      <c r="F583" s="39">
        <f>(VLOOKUP($A583,'The List'!$B1:$AH727,18,FALSE)-AVERAGE('The List'!S2:S727))/STDEV('The List'!S2:S727)</f>
        <v>-0.68850418593211593</v>
      </c>
      <c r="G583" s="39">
        <f>(VLOOKUP($A583,'The List'!$B1:$AH727,19,FALSE)-AVERAGE('The List'!T2:T727))/STDEV('The List'!T2:T727)</f>
        <v>-1.047700334654817</v>
      </c>
      <c r="H583" s="39">
        <f>(VLOOKUP($A583,'The List'!$B1:$AH727,20,FALSE)-AVERAGE('The List'!U2:U727))/STDEV('The List'!U2:U727)</f>
        <v>-0.9589150820477359</v>
      </c>
      <c r="I583" s="39">
        <f>(VLOOKUP($A583,'The List'!$B1:$AH727,21,FALSE)-AVERAGE('The List'!V2:V727))/STDEV('The List'!V2:V727)</f>
        <v>-1.0121505673631055</v>
      </c>
      <c r="J583" s="39">
        <f>(VLOOKUP($A583,'The List'!$B1:$AH727,22,FALSE)-AVERAGE('The List'!W2:W727))/STDEV('The List'!W2:W727)</f>
        <v>-0.70036555650825649</v>
      </c>
      <c r="K583" s="39">
        <f>(VLOOKUP($A583,'The List'!$B1:$AH727,23,FALSE)-AVERAGE('The List'!X2:X727))/STDEV('The List'!X2:X727)</f>
        <v>-0.78956447130811258</v>
      </c>
      <c r="L583" s="39">
        <f>(VLOOKUP($A583,'The List'!$B1:$AH727,24,FALSE)-AVERAGE('The List'!Y2:Y727))/STDEV('The List'!Y2:Y727)</f>
        <v>0.50707749548351633</v>
      </c>
      <c r="M583" s="39">
        <f>(VLOOKUP($A583,'The List'!$B1:$AH727,25,FALSE)-AVERAGE('The List'!Z2:Z727))/STDEV('The List'!Z2:Z727)</f>
        <v>4.5122584646305537E-2</v>
      </c>
      <c r="N583" s="39">
        <f>(VLOOKUP($A583,'The List'!$B1:$AH727,26,FALSE)-AVERAGE('The List'!AA2:AA727))/STDEV('The List'!AA2:AA727)</f>
        <v>-0.50907762884919905</v>
      </c>
      <c r="O583" s="39">
        <f>(VLOOKUP($A583,'The List'!$B1:$AH727,27,FALSE)-AVERAGE('The List'!AB2:AB727))/STDEV('The List'!AB2:AB727)</f>
        <v>3.2000192939948349</v>
      </c>
      <c r="P583" s="39">
        <f>(VLOOKUP($A583,'The List'!$B1:$AH727,28,FALSE)-AVERAGE('The List'!AC2:AC727))/STDEV('The List'!AC2:AC727)</f>
        <v>-0.26829999856333225</v>
      </c>
      <c r="Q583" s="39">
        <f>(VLOOKUP($A583,'The List'!$B1:$AH727,29,FALSE)-AVERAGE('The List'!AD2:AD727))/STDEV('The List'!AD2:AD727)</f>
        <v>-0.82403014154541299</v>
      </c>
      <c r="R583" s="39">
        <f>(VLOOKUP($A583,'The List'!$B1:$AH727,30,FALSE)-AVERAGE('The List'!AE2:AE727))/STDEV('The List'!AE2:AE727)</f>
        <v>-0.58101436690101693</v>
      </c>
      <c r="S583" s="39">
        <f>(VLOOKUP($A583,'The List'!$B1:$AH727,31,FALSE)-AVERAGE('The List'!AF2:AF727))/STDEV('The List'!AF2:AF727)</f>
        <v>-0.5432134758291981</v>
      </c>
      <c r="T583" s="39">
        <f>(VLOOKUP($A583,'The List'!$B1:$AH727,32,FALSE)-AVERAGE('The List'!AG2:AG727))/STDEV('The List'!AG2:AG727)</f>
        <v>-0.57543140891014144</v>
      </c>
      <c r="U583" s="39">
        <f>(VLOOKUP($A583,'The List'!$B1:$AH727,33,FALSE)-AVERAGE('The List'!AH2:AH727))/STDEV('The List'!AH2:AH727)</f>
        <v>0.43639468341164156</v>
      </c>
      <c r="V583" s="39"/>
      <c r="W583" s="43"/>
      <c r="X583" s="41"/>
      <c r="Y583" s="41"/>
      <c r="Z583" s="41"/>
      <c r="AA583" s="41"/>
      <c r="AB583" s="41"/>
      <c r="AC583" s="44"/>
      <c r="AD583" s="45"/>
      <c r="AE583" s="39"/>
    </row>
    <row r="584" spans="1:31" ht="21.25" customHeight="1" x14ac:dyDescent="0.15">
      <c r="A584" s="8" t="s">
        <v>808</v>
      </c>
      <c r="B584" s="35" t="str">
        <f>VLOOKUP(A584,'Player Data'!A1:B734,2,FALSE)</f>
        <v>ANA</v>
      </c>
      <c r="C584" s="37">
        <f>((E584)*Settings!$C$12)+(F584*Settings!$C$2)+(G584*Settings!$C$3)+(H584*Settings!$C$4)+(I584*Settings!$C$5)+(K584*Settings!$C$9)+(N584*Settings!$C$6)+(J584*Settings!$C$8)+(O584*Settings!$C$7)+(P584*Settings!$C$14)+(Q584*Settings!$C$15)+(R584*Settings!$C$16)+(S584*Settings!$C$17)+(T584*Settings!$C$18)+(U584*Settings!$C$19)</f>
        <v>-6.3422301118345601</v>
      </c>
      <c r="D584" s="41">
        <f>IF(Settings!$E$12="YES",VLOOKUP(A584,'Player Data'!A1:E734,5,FALSE),82)</f>
        <v>67.933571428571398</v>
      </c>
      <c r="E584" s="39">
        <f>(VLOOKUP($A584,'The List'!$B1:$AH727,17,FALSE)-AVERAGE('The List'!R2:R727))/STDEV('The List'!R2:R727)</f>
        <v>-1.5934408764200803</v>
      </c>
      <c r="F584" s="39">
        <f>(VLOOKUP($A584,'The List'!$B1:$AH727,18,FALSE)-AVERAGE('The List'!S2:S727))/STDEV('The List'!S2:S727)</f>
        <v>-0.66185164055537249</v>
      </c>
      <c r="G584" s="39">
        <f>(VLOOKUP($A584,'The List'!$B1:$AH727,19,FALSE)-AVERAGE('The List'!T2:T727))/STDEV('The List'!T2:T727)</f>
        <v>-1.1295327932633332</v>
      </c>
      <c r="H584" s="39">
        <f>(VLOOKUP($A584,'The List'!$B1:$AH727,20,FALSE)-AVERAGE('The List'!U2:U727))/STDEV('The List'!U2:U727)</f>
        <v>-0.99721242058411896</v>
      </c>
      <c r="I584" s="39">
        <f>(VLOOKUP($A584,'The List'!$B1:$AH727,21,FALSE)-AVERAGE('The List'!V2:V727))/STDEV('The List'!V2:V727)</f>
        <v>-0.99553773590159922</v>
      </c>
      <c r="J584" s="39">
        <f>(VLOOKUP($A584,'The List'!$B1:$AH727,22,FALSE)-AVERAGE('The List'!W2:W727))/STDEV('The List'!W2:W727)</f>
        <v>-0.67076277619590896</v>
      </c>
      <c r="K584" s="39">
        <f>(VLOOKUP($A584,'The List'!$B1:$AH727,23,FALSE)-AVERAGE('The List'!X2:X727))/STDEV('The List'!X2:X727)</f>
        <v>-0.75504078806862951</v>
      </c>
      <c r="L584" s="39">
        <f>(VLOOKUP($A584,'The List'!$B1:$AH727,24,FALSE)-AVERAGE('The List'!Y2:Y727))/STDEV('The List'!Y2:Y727)</f>
        <v>-0.37842386177794524</v>
      </c>
      <c r="M584" s="39">
        <f>(VLOOKUP($A584,'The List'!$B1:$AH727,25,FALSE)-AVERAGE('The List'!Z2:Z727))/STDEV('The List'!Z2:Z727)</f>
        <v>-0.53592997582439472</v>
      </c>
      <c r="N584" s="39">
        <f>(VLOOKUP($A584,'The List'!$B1:$AH727,26,FALSE)-AVERAGE('The List'!AA2:AA727))/STDEV('The List'!AA2:AA727)</f>
        <v>-0.80961506570459663</v>
      </c>
      <c r="O584" s="39">
        <f>(VLOOKUP($A584,'The List'!$B1:$AH727,27,FALSE)-AVERAGE('The List'!AB2:AB727))/STDEV('The List'!AB2:AB727)</f>
        <v>0.59898088924846793</v>
      </c>
      <c r="P584" s="39">
        <f>(VLOOKUP($A584,'The List'!$B1:$AH727,28,FALSE)-AVERAGE('The List'!AC2:AC727))/STDEV('The List'!AC2:AC727)</f>
        <v>-1.9906520883410281</v>
      </c>
      <c r="Q584" s="39">
        <f>(VLOOKUP($A584,'The List'!$B1:$AH727,29,FALSE)-AVERAGE('The List'!AD2:AD727))/STDEV('The List'!AD2:AD727)</f>
        <v>2.2347383101110769</v>
      </c>
      <c r="R584" s="39">
        <f>(VLOOKUP($A584,'The List'!$B1:$AH727,30,FALSE)-AVERAGE('The List'!AE2:AE727))/STDEV('The List'!AE2:AE727)</f>
        <v>-0.74452344607354215</v>
      </c>
      <c r="S584" s="39">
        <f>(VLOOKUP($A584,'The List'!$B1:$AH727,31,FALSE)-AVERAGE('The List'!AF2:AF727))/STDEV('The List'!AF2:AF727)</f>
        <v>0.55334787721784906</v>
      </c>
      <c r="T584" s="39">
        <f>(VLOOKUP($A584,'The List'!$B1:$AH727,32,FALSE)-AVERAGE('The List'!AG2:AG727))/STDEV('The List'!AG2:AG727)</f>
        <v>0.58623393844385885</v>
      </c>
      <c r="U584" s="39">
        <f>(VLOOKUP($A584,'The List'!$B1:$AH727,33,FALSE)-AVERAGE('The List'!AH2:AH727))/STDEV('The List'!AH2:AH727)</f>
        <v>1.0011824901951742</v>
      </c>
      <c r="V584" s="39"/>
      <c r="W584" s="43"/>
      <c r="X584" s="41"/>
      <c r="Y584" s="41"/>
      <c r="Z584" s="41"/>
      <c r="AA584" s="41"/>
      <c r="AB584" s="41"/>
      <c r="AC584" s="44"/>
      <c r="AD584" s="45"/>
      <c r="AE584" s="39"/>
    </row>
    <row r="585" spans="1:31" ht="21.25" customHeight="1" x14ac:dyDescent="0.15">
      <c r="A585" s="8" t="s">
        <v>619</v>
      </c>
      <c r="B585" s="35" t="str">
        <f>VLOOKUP(A585,'Player Data'!A1:B734,2,FALSE)</f>
        <v>NJD</v>
      </c>
      <c r="C585" s="37">
        <f>((E585)*Settings!$C$12)+(F585*Settings!$C$2)+(G585*Settings!$C$3)+(H585*Settings!$C$4)+(I585*Settings!$C$5)+(K585*Settings!$C$9)+(N585*Settings!$C$6)+(J585*Settings!$C$8)+(O585*Settings!$C$7)+(P585*Settings!$C$14)+(Q585*Settings!$C$15)+(R585*Settings!$C$16)+(S585*Settings!$C$17)+(T585*Settings!$C$18)+(U585*Settings!$C$19)</f>
        <v>-3.5504234732169988</v>
      </c>
      <c r="D585" s="41">
        <f>IF(Settings!$E$12="YES",VLOOKUP(A585,'Player Data'!A1:E734,5,FALSE),82)</f>
        <v>72</v>
      </c>
      <c r="E585" s="39">
        <f>(VLOOKUP($A585,'The List'!$B1:$AH727,17,FALSE)-AVERAGE('The List'!R2:R727))/STDEV('The List'!R2:R727)</f>
        <v>-0.49211224784826396</v>
      </c>
      <c r="F585" s="39">
        <f>(VLOOKUP($A585,'The List'!$B1:$AH727,18,FALSE)-AVERAGE('The List'!S2:S727))/STDEV('The List'!S2:S727)</f>
        <v>-0.97924044819006961</v>
      </c>
      <c r="G585" s="39">
        <f>(VLOOKUP($A585,'The List'!$B1:$AH727,19,FALSE)-AVERAGE('The List'!T2:T727))/STDEV('The List'!T2:T727)</f>
        <v>-0.83885407203159967</v>
      </c>
      <c r="H585" s="39">
        <f>(VLOOKUP($A585,'The List'!$B1:$AH727,20,FALSE)-AVERAGE('The List'!U2:U727))/STDEV('The List'!U2:U727)</f>
        <v>-0.96252528452154018</v>
      </c>
      <c r="I585" s="39">
        <f>(VLOOKUP($A585,'The List'!$B1:$AH727,21,FALSE)-AVERAGE('The List'!V2:V727))/STDEV('The List'!V2:V727)</f>
        <v>-1.2759119170598399</v>
      </c>
      <c r="J585" s="39">
        <f>(VLOOKUP($A585,'The List'!$B1:$AH727,22,FALSE)-AVERAGE('The List'!W2:W727))/STDEV('The List'!W2:W727)</f>
        <v>-0.70520722343369613</v>
      </c>
      <c r="K585" s="39">
        <f>(VLOOKUP($A585,'The List'!$B1:$AH727,23,FALSE)-AVERAGE('The List'!X2:X727))/STDEV('The List'!X2:X727)</f>
        <v>-0.78376149574346887</v>
      </c>
      <c r="L585" s="39">
        <f>(VLOOKUP($A585,'The List'!$B1:$AH727,24,FALSE)-AVERAGE('The List'!Y2:Y727))/STDEV('The List'!Y2:Y727)</f>
        <v>-0.42595659954481419</v>
      </c>
      <c r="M585" s="39">
        <f>(VLOOKUP($A585,'The List'!$B1:$AH727,25,FALSE)-AVERAGE('The List'!Z2:Z727))/STDEV('The List'!Z2:Z727)</f>
        <v>-0.45455976334321824</v>
      </c>
      <c r="N585" s="39">
        <f>(VLOOKUP($A585,'The List'!$B1:$AH727,26,FALSE)-AVERAGE('The List'!AA2:AA727))/STDEV('The List'!AA2:AA727)</f>
        <v>0.41443996987798676</v>
      </c>
      <c r="O585" s="39">
        <f>(VLOOKUP($A585,'The List'!$B1:$AH727,27,FALSE)-AVERAGE('The List'!AB2:AB727))/STDEV('The List'!AB2:AB727)</f>
        <v>0.34481512431620359</v>
      </c>
      <c r="P585" s="39">
        <f>(VLOOKUP($A585,'The List'!$B1:$AH727,28,FALSE)-AVERAGE('The List'!AC2:AC727))/STDEV('The List'!AC2:AC727)</f>
        <v>-8.7095510070007709E-2</v>
      </c>
      <c r="Q585" s="39">
        <f>(VLOOKUP($A585,'The List'!$B1:$AH727,29,FALSE)-AVERAGE('The List'!AD2:AD727))/STDEV('The List'!AD2:AD727)</f>
        <v>0.24610508302243733</v>
      </c>
      <c r="R585" s="39">
        <f>(VLOOKUP($A585,'The List'!$B1:$AH727,30,FALSE)-AVERAGE('The List'!AE2:AE727))/STDEV('The List'!AE2:AE727)</f>
        <v>-0.88954593495640766</v>
      </c>
      <c r="S585" s="39">
        <f>(VLOOKUP($A585,'The List'!$B1:$AH727,31,FALSE)-AVERAGE('The List'!AF2:AF727))/STDEV('The List'!AF2:AF727)</f>
        <v>-0.55804314905918151</v>
      </c>
      <c r="T585" s="39">
        <f>(VLOOKUP($A585,'The List'!$B1:$AH727,32,FALSE)-AVERAGE('The List'!AG2:AG727))/STDEV('The List'!AG2:AG727)</f>
        <v>-0.60188453558131205</v>
      </c>
      <c r="U585" s="39">
        <f>(VLOOKUP($A585,'The List'!$B1:$AH727,33,FALSE)-AVERAGE('The List'!AH2:AH727))/STDEV('The List'!AH2:AH727)</f>
        <v>-1.2395873372913611</v>
      </c>
      <c r="V585" s="39"/>
      <c r="W585" s="43"/>
      <c r="X585" s="41"/>
      <c r="Y585" s="41"/>
      <c r="Z585" s="41"/>
      <c r="AA585" s="41"/>
      <c r="AB585" s="41"/>
      <c r="AC585" s="44"/>
      <c r="AD585" s="45"/>
      <c r="AE585" s="39"/>
    </row>
    <row r="586" spans="1:31" ht="21.25" customHeight="1" x14ac:dyDescent="0.15">
      <c r="A586" s="8" t="s">
        <v>545</v>
      </c>
      <c r="B586" s="35" t="str">
        <f>VLOOKUP(A586,'Player Data'!A1:B734,2,FALSE)</f>
        <v>SJS</v>
      </c>
      <c r="C586" s="37">
        <f>((E586)*Settings!$C$12)+(F586*Settings!$C$2)+(G586*Settings!$C$3)+(H586*Settings!$C$4)+(I586*Settings!$C$5)+(K586*Settings!$C$9)+(N586*Settings!$C$6)+(J586*Settings!$C$8)+(O586*Settings!$C$7)+(P586*Settings!$C$14)+(Q586*Settings!$C$15)+(R586*Settings!$C$16)+(S586*Settings!$C$17)+(T586*Settings!$C$18)+(U586*Settings!$C$19)</f>
        <v>-1.9950380840399717</v>
      </c>
      <c r="D586" s="41">
        <f>IF(Settings!$E$12="YES",VLOOKUP(A586,'Player Data'!A1:E734,5,FALSE),82)</f>
        <v>78.8</v>
      </c>
      <c r="E586" s="39">
        <f>(VLOOKUP($A586,'The List'!$B1:$AH727,17,FALSE)-AVERAGE('The List'!R2:R727))/STDEV('The List'!R2:R727)</f>
        <v>0.71329087201170349</v>
      </c>
      <c r="F586" s="39">
        <f>(VLOOKUP($A586,'The List'!$B1:$AH727,18,FALSE)-AVERAGE('The List'!S2:S727))/STDEV('The List'!S2:S727)</f>
        <v>-1.1364416571779583</v>
      </c>
      <c r="G586" s="39">
        <f>(VLOOKUP($A586,'The List'!$B1:$AH727,19,FALSE)-AVERAGE('The List'!T2:T727))/STDEV('The List'!T2:T727)</f>
        <v>-0.63543570775191405</v>
      </c>
      <c r="H586" s="39">
        <f>(VLOOKUP($A586,'The List'!$B1:$AH727,20,FALSE)-AVERAGE('The List'!U2:U727))/STDEV('The List'!U2:U727)</f>
        <v>-0.90871340255917932</v>
      </c>
      <c r="I586" s="39">
        <f>(VLOOKUP($A586,'The List'!$B1:$AH727,21,FALSE)-AVERAGE('The List'!V2:V727))/STDEV('The List'!V2:V727)</f>
        <v>-0.87302191458569511</v>
      </c>
      <c r="J586" s="39">
        <f>(VLOOKUP($A586,'The List'!$B1:$AH727,22,FALSE)-AVERAGE('The List'!W2:W727))/STDEV('The List'!W2:W727)</f>
        <v>-0.70115261098986803</v>
      </c>
      <c r="K586" s="39">
        <f>(VLOOKUP($A586,'The List'!$B1:$AH727,23,FALSE)-AVERAGE('The List'!X2:X727))/STDEV('The List'!X2:X727)</f>
        <v>-0.78393643710741634</v>
      </c>
      <c r="L586" s="39">
        <f>(VLOOKUP($A586,'The List'!$B1:$AH727,24,FALSE)-AVERAGE('The List'!Y2:Y727))/STDEV('The List'!Y2:Y727)</f>
        <v>-0.51104783517125296</v>
      </c>
      <c r="M586" s="39">
        <f>(VLOOKUP($A586,'The List'!$B1:$AH727,25,FALSE)-AVERAGE('The List'!Z2:Z727))/STDEV('The List'!Z2:Z727)</f>
        <v>-0.58234101150857331</v>
      </c>
      <c r="N586" s="39">
        <f>(VLOOKUP($A586,'The List'!$B1:$AH727,26,FALSE)-AVERAGE('The List'!AA2:AA727))/STDEV('The List'!AA2:AA727)</f>
        <v>1.6782890826824606</v>
      </c>
      <c r="O586" s="39">
        <f>(VLOOKUP($A586,'The List'!$B1:$AH727,27,FALSE)-AVERAGE('The List'!AB2:AB727))/STDEV('The List'!AB2:AB727)</f>
        <v>-0.43625879211538127</v>
      </c>
      <c r="P586" s="39">
        <f>(VLOOKUP($A586,'The List'!$B1:$AH727,28,FALSE)-AVERAGE('The List'!AC2:AC727))/STDEV('The List'!AC2:AC727)</f>
        <v>-0.24449145009944837</v>
      </c>
      <c r="Q586" s="39">
        <f>(VLOOKUP($A586,'The List'!$B1:$AH727,29,FALSE)-AVERAGE('The List'!AD2:AD727))/STDEV('The List'!AD2:AD727)</f>
        <v>-0.97267938332247184</v>
      </c>
      <c r="R586" s="39">
        <f>(VLOOKUP($A586,'The List'!$B1:$AH727,30,FALSE)-AVERAGE('The List'!AE2:AE727))/STDEV('The List'!AE2:AE727)</f>
        <v>-1.0672115073663646</v>
      </c>
      <c r="S586" s="39">
        <f>(VLOOKUP($A586,'The List'!$B1:$AH727,31,FALSE)-AVERAGE('The List'!AF2:AF727))/STDEV('The List'!AF2:AF727)</f>
        <v>-0.55804314905918151</v>
      </c>
      <c r="T586" s="39">
        <f>(VLOOKUP($A586,'The List'!$B1:$AH727,32,FALSE)-AVERAGE('The List'!AG2:AG727))/STDEV('The List'!AG2:AG727)</f>
        <v>-0.60188453558131205</v>
      </c>
      <c r="U586" s="39">
        <f>(VLOOKUP($A586,'The List'!$B1:$AH727,33,FALSE)-AVERAGE('The List'!AH2:AH727))/STDEV('The List'!AH2:AH727)</f>
        <v>-1.2395873372913611</v>
      </c>
      <c r="V586" s="39"/>
      <c r="W586" s="43"/>
      <c r="X586" s="41"/>
      <c r="Y586" s="41"/>
      <c r="Z586" s="41"/>
      <c r="AA586" s="41"/>
      <c r="AB586" s="41"/>
      <c r="AC586" s="44"/>
      <c r="AD586" s="45"/>
      <c r="AE586" s="39"/>
    </row>
    <row r="587" spans="1:31" ht="21.25" customHeight="1" x14ac:dyDescent="0.15">
      <c r="A587" s="8" t="s">
        <v>659</v>
      </c>
      <c r="B587" s="35" t="str">
        <f>VLOOKUP(A587,'Player Data'!A1:B734,2,FALSE)</f>
        <v>ANA</v>
      </c>
      <c r="C587" s="37">
        <f>((E587)*Settings!$C$12)+(F587*Settings!$C$2)+(G587*Settings!$C$3)+(H587*Settings!$C$4)+(I587*Settings!$C$5)+(K587*Settings!$C$9)+(N587*Settings!$C$6)+(J587*Settings!$C$8)+(O587*Settings!$C$7)+(P587*Settings!$C$14)+(Q587*Settings!$C$15)+(R587*Settings!$C$16)+(S587*Settings!$C$17)+(T587*Settings!$C$18)+(U587*Settings!$C$19)</f>
        <v>-5.8461246864423568</v>
      </c>
      <c r="D587" s="41">
        <f>IF(Settings!$E$12="YES",VLOOKUP(A587,'Player Data'!A1:E734,5,FALSE),82)</f>
        <v>60.1703571428571</v>
      </c>
      <c r="E587" s="39">
        <f>(VLOOKUP($A587,'The List'!$B1:$AH727,17,FALSE)-AVERAGE('The List'!R2:R727))/STDEV('The List'!R2:R727)</f>
        <v>1.22152013735842E-2</v>
      </c>
      <c r="F587" s="39">
        <f>(VLOOKUP($A587,'The List'!$B1:$AH727,18,FALSE)-AVERAGE('The List'!S2:S727))/STDEV('The List'!S2:S727)</f>
        <v>-1.1675731616459102</v>
      </c>
      <c r="G587" s="39">
        <f>(VLOOKUP($A587,'The List'!$B1:$AH727,19,FALSE)-AVERAGE('The List'!T2:T727))/STDEV('The List'!T2:T727)</f>
        <v>-0.87782134251123867</v>
      </c>
      <c r="H587" s="39">
        <f>(VLOOKUP($A587,'The List'!$B1:$AH727,20,FALSE)-AVERAGE('The List'!U2:U727))/STDEV('The List'!U2:U727)</f>
        <v>-1.0722404451966132</v>
      </c>
      <c r="I587" s="39">
        <f>(VLOOKUP($A587,'The List'!$B1:$AH727,21,FALSE)-AVERAGE('The List'!V2:V727))/STDEV('The List'!V2:V727)</f>
        <v>-1.3031406100249368</v>
      </c>
      <c r="J587" s="39">
        <f>(VLOOKUP($A587,'The List'!$B1:$AH727,22,FALSE)-AVERAGE('The List'!W2:W727))/STDEV('The List'!W2:W727)</f>
        <v>-0.70642295565088042</v>
      </c>
      <c r="K587" s="39">
        <f>(VLOOKUP($A587,'The List'!$B1:$AH727,23,FALSE)-AVERAGE('The List'!X2:X727))/STDEV('The List'!X2:X727)</f>
        <v>-0.78705840706448449</v>
      </c>
      <c r="L587" s="39">
        <f>(VLOOKUP($A587,'The List'!$B1:$AH727,24,FALSE)-AVERAGE('The List'!Y2:Y727))/STDEV('The List'!Y2:Y727)</f>
        <v>-0.48666430793387017</v>
      </c>
      <c r="M587" s="39">
        <f>(VLOOKUP($A587,'The List'!$B1:$AH727,25,FALSE)-AVERAGE('The List'!Z2:Z727))/STDEV('The List'!Z2:Z727)</f>
        <v>-0.59419681986484363</v>
      </c>
      <c r="N587" s="39">
        <f>(VLOOKUP($A587,'The List'!$B1:$AH727,26,FALSE)-AVERAGE('The List'!AA2:AA727))/STDEV('The List'!AA2:AA727)</f>
        <v>1.7244311067864667E-2</v>
      </c>
      <c r="O587" s="39">
        <f>(VLOOKUP($A587,'The List'!$B1:$AH727,27,FALSE)-AVERAGE('The List'!AB2:AB727))/STDEV('The List'!AB2:AB727)</f>
        <v>-0.57020635221503235</v>
      </c>
      <c r="P587" s="39">
        <f>(VLOOKUP($A587,'The List'!$B1:$AH727,28,FALSE)-AVERAGE('The List'!AC2:AC727))/STDEV('The List'!AC2:AC727)</f>
        <v>-1.7277754762636515</v>
      </c>
      <c r="Q587" s="39">
        <f>(VLOOKUP($A587,'The List'!$B1:$AH727,29,FALSE)-AVERAGE('The List'!AD2:AD727))/STDEV('The List'!AD2:AD727)</f>
        <v>-0.89998889514373026</v>
      </c>
      <c r="R587" s="39">
        <f>(VLOOKUP($A587,'The List'!$B1:$AH727,30,FALSE)-AVERAGE('The List'!AE2:AE727))/STDEV('The List'!AE2:AE727)</f>
        <v>-1.1026492486409314</v>
      </c>
      <c r="S587" s="39">
        <f>(VLOOKUP($A587,'The List'!$B1:$AH727,31,FALSE)-AVERAGE('The List'!AF2:AF727))/STDEV('The List'!AF2:AF727)</f>
        <v>-0.55804314905918151</v>
      </c>
      <c r="T587" s="39">
        <f>(VLOOKUP($A587,'The List'!$B1:$AH727,32,FALSE)-AVERAGE('The List'!AG2:AG727))/STDEV('The List'!AG2:AG727)</f>
        <v>-0.60188453558131205</v>
      </c>
      <c r="U587" s="39">
        <f>(VLOOKUP($A587,'The List'!$B1:$AH727,33,FALSE)-AVERAGE('The List'!AH2:AH727))/STDEV('The List'!AH2:AH727)</f>
        <v>-1.2395873372913611</v>
      </c>
      <c r="V587" s="39"/>
      <c r="W587" s="43"/>
      <c r="X587" s="41"/>
      <c r="Y587" s="41"/>
      <c r="Z587" s="41"/>
      <c r="AA587" s="41"/>
      <c r="AB587" s="41"/>
      <c r="AC587" s="44"/>
      <c r="AD587" s="45"/>
      <c r="AE587" s="39"/>
    </row>
    <row r="588" spans="1:31" ht="21.25" customHeight="1" x14ac:dyDescent="0.15">
      <c r="A588" s="8" t="s">
        <v>815</v>
      </c>
      <c r="B588" s="35" t="str">
        <f>VLOOKUP(A588,'Player Data'!A1:B734,2,FALSE)</f>
        <v>OTT</v>
      </c>
      <c r="C588" s="37">
        <f>((E588)*Settings!$C$12)+(F588*Settings!$C$2)+(G588*Settings!$C$3)+(H588*Settings!$C$4)+(I588*Settings!$C$5)+(K588*Settings!$C$9)+(N588*Settings!$C$6)+(J588*Settings!$C$8)+(O588*Settings!$C$7)+(P588*Settings!$C$14)+(Q588*Settings!$C$15)+(R588*Settings!$C$16)+(S588*Settings!$C$17)+(T588*Settings!$C$18)+(U588*Settings!$C$19)</f>
        <v>-4.3543703732550529</v>
      </c>
      <c r="D588" s="41">
        <f>IF(Settings!$E$12="YES",VLOOKUP(A588,'Player Data'!A1:E734,5,FALSE),82)</f>
        <v>63.337499999999999</v>
      </c>
      <c r="E588" s="39">
        <f>(VLOOKUP($A588,'The List'!$B1:$AH727,17,FALSE)-AVERAGE('The List'!R2:R727))/STDEV('The List'!R2:R727)</f>
        <v>-2.0771141076032453</v>
      </c>
      <c r="F588" s="39">
        <f>(VLOOKUP($A588,'The List'!$B1:$AH727,18,FALSE)-AVERAGE('The List'!S2:S727))/STDEV('The List'!S2:S727)</f>
        <v>-0.64429210188038577</v>
      </c>
      <c r="G588" s="39">
        <f>(VLOOKUP($A588,'The List'!$B1:$AH727,19,FALSE)-AVERAGE('The List'!T2:T727))/STDEV('The List'!T2:T727)</f>
        <v>-1.2233730171204202</v>
      </c>
      <c r="H588" s="39">
        <f>(VLOOKUP($A588,'The List'!$B1:$AH727,20,FALSE)-AVERAGE('The List'!U2:U727))/STDEV('The List'!U2:U727)</f>
        <v>-1.0470469416898587</v>
      </c>
      <c r="I588" s="39">
        <f>(VLOOKUP($A588,'The List'!$B1:$AH727,21,FALSE)-AVERAGE('The List'!V2:V727))/STDEV('The List'!V2:V727)</f>
        <v>-1.09174799822591</v>
      </c>
      <c r="J588" s="39">
        <f>(VLOOKUP($A588,'The List'!$B1:$AH727,22,FALSE)-AVERAGE('The List'!W2:W727))/STDEV('The List'!W2:W727)</f>
        <v>-0.69995161419383156</v>
      </c>
      <c r="K588" s="39">
        <f>(VLOOKUP($A588,'The List'!$B1:$AH727,23,FALSE)-AVERAGE('The List'!X2:X727))/STDEV('The List'!X2:X727)</f>
        <v>-0.78936371734093824</v>
      </c>
      <c r="L588" s="39">
        <f>(VLOOKUP($A588,'The List'!$B1:$AH727,24,FALSE)-AVERAGE('The List'!Y2:Y727))/STDEV('The List'!Y2:Y727)</f>
        <v>-0.30167360062895077</v>
      </c>
      <c r="M588" s="39">
        <f>(VLOOKUP($A588,'The List'!$B1:$AH727,25,FALSE)-AVERAGE('The List'!Z2:Z727))/STDEV('The List'!Z2:Z727)</f>
        <v>-0.44859534828092662</v>
      </c>
      <c r="N588" s="39">
        <f>(VLOOKUP($A588,'The List'!$B1:$AH727,26,FALSE)-AVERAGE('The List'!AA2:AA727))/STDEV('The List'!AA2:AA727)</f>
        <v>-0.67062355717038624</v>
      </c>
      <c r="O588" s="39">
        <f>(VLOOKUP($A588,'The List'!$B1:$AH727,27,FALSE)-AVERAGE('The List'!AB2:AB727))/STDEV('The List'!AB2:AB727)</f>
        <v>0.88059828840685916</v>
      </c>
      <c r="P588" s="39">
        <f>(VLOOKUP($A588,'The List'!$B1:$AH727,28,FALSE)-AVERAGE('The List'!AC2:AC727))/STDEV('The List'!AC2:AC727)</f>
        <v>6.5030018482987395E-2</v>
      </c>
      <c r="Q588" s="39">
        <f>(VLOOKUP($A588,'The List'!$B1:$AH727,29,FALSE)-AVERAGE('The List'!AD2:AD727))/STDEV('The List'!AD2:AD727)</f>
        <v>0.518184696182305</v>
      </c>
      <c r="R588" s="39">
        <f>(VLOOKUP($A588,'The List'!$B1:$AH727,30,FALSE)-AVERAGE('The List'!AE2:AE727))/STDEV('The List'!AE2:AE727)</f>
        <v>-0.60268326727121058</v>
      </c>
      <c r="S588" s="39">
        <f>(VLOOKUP($A588,'The List'!$B1:$AH727,31,FALSE)-AVERAGE('The List'!AF2:AF727))/STDEV('The List'!AF2:AF727)</f>
        <v>1.0158520369216817</v>
      </c>
      <c r="T588" s="39">
        <f>(VLOOKUP($A588,'The List'!$B1:$AH727,32,FALSE)-AVERAGE('The List'!AG2:AG727))/STDEV('The List'!AG2:AG727)</f>
        <v>0.64054508846795499</v>
      </c>
      <c r="U588" s="39">
        <f>(VLOOKUP($A588,'The List'!$B1:$AH727,33,FALSE)-AVERAGE('The List'!AH2:AH727))/STDEV('The List'!AH2:AH727)</f>
        <v>1.3414752861452306</v>
      </c>
      <c r="V588" s="39"/>
      <c r="W588" s="43"/>
      <c r="X588" s="41"/>
      <c r="Y588" s="41"/>
      <c r="Z588" s="41"/>
      <c r="AA588" s="41"/>
      <c r="AB588" s="41"/>
      <c r="AC588" s="44"/>
      <c r="AD588" s="45"/>
      <c r="AE588" s="39"/>
    </row>
    <row r="589" spans="1:31" ht="21.25" customHeight="1" x14ac:dyDescent="0.15">
      <c r="A589" s="8" t="s">
        <v>577</v>
      </c>
      <c r="B589" s="35" t="str">
        <f>VLOOKUP(A589,'Player Data'!A1:B734,2,FALSE)</f>
        <v>BOS</v>
      </c>
      <c r="C589" s="37">
        <f>((E589)*Settings!$C$12)+(F589*Settings!$C$2)+(G589*Settings!$C$3)+(H589*Settings!$C$4)+(I589*Settings!$C$5)+(K589*Settings!$C$9)+(N589*Settings!$C$6)+(J589*Settings!$C$8)+(O589*Settings!$C$7)+(P589*Settings!$C$14)+(Q589*Settings!$C$15)+(R589*Settings!$C$16)+(S589*Settings!$C$17)+(T589*Settings!$C$18)+(U589*Settings!$C$19)</f>
        <v>-1.8726720882690295</v>
      </c>
      <c r="D589" s="41">
        <f>IF(Settings!$E$12="YES",VLOOKUP(A589,'Player Data'!A1:E734,5,FALSE),82)</f>
        <v>76.234999999999999</v>
      </c>
      <c r="E589" s="39">
        <f>(VLOOKUP($A589,'The List'!$B1:$AH727,17,FALSE)-AVERAGE('The List'!R2:R727))/STDEV('The List'!R2:R727)</f>
        <v>0.29510285315240575</v>
      </c>
      <c r="F589" s="39">
        <f>(VLOOKUP($A589,'The List'!$B1:$AH727,18,FALSE)-AVERAGE('The List'!S2:S727))/STDEV('The List'!S2:S727)</f>
        <v>-0.86682829131283778</v>
      </c>
      <c r="G589" s="39">
        <f>(VLOOKUP($A589,'The List'!$B1:$AH727,19,FALSE)-AVERAGE('The List'!T2:T727))/STDEV('The List'!T2:T727)</f>
        <v>-0.88277356961992526</v>
      </c>
      <c r="H589" s="39">
        <f>(VLOOKUP($A589,'The List'!$B1:$AH727,20,FALSE)-AVERAGE('The List'!U2:U727))/STDEV('The List'!U2:U727)</f>
        <v>-0.93843431762058205</v>
      </c>
      <c r="I589" s="39">
        <f>(VLOOKUP($A589,'The List'!$B1:$AH727,21,FALSE)-AVERAGE('The List'!V2:V727))/STDEV('The List'!V2:V727)</f>
        <v>-1.1148197183507678</v>
      </c>
      <c r="J589" s="39">
        <f>(VLOOKUP($A589,'The List'!$B1:$AH727,22,FALSE)-AVERAGE('The List'!W2:W727))/STDEV('The List'!W2:W727)</f>
        <v>-0.70732252227576331</v>
      </c>
      <c r="K589" s="39">
        <f>(VLOOKUP($A589,'The List'!$B1:$AH727,23,FALSE)-AVERAGE('The List'!X2:X727))/STDEV('The List'!X2:X727)</f>
        <v>-0.7891300408321088</v>
      </c>
      <c r="L589" s="39">
        <f>(VLOOKUP($A589,'The List'!$B1:$AH727,24,FALSE)-AVERAGE('The List'!Y2:Y727))/STDEV('The List'!Y2:Y727)</f>
        <v>1.3082982330739927</v>
      </c>
      <c r="M589" s="39">
        <f>(VLOOKUP($A589,'The List'!$B1:$AH727,25,FALSE)-AVERAGE('The List'!Z2:Z727))/STDEV('The List'!Z2:Z727)</f>
        <v>0.88156651605033076</v>
      </c>
      <c r="N589" s="39">
        <f>(VLOOKUP($A589,'The List'!$B1:$AH727,26,FALSE)-AVERAGE('The List'!AA2:AA727))/STDEV('The List'!AA2:AA727)</f>
        <v>1.4351074090603808</v>
      </c>
      <c r="O589" s="39">
        <f>(VLOOKUP($A589,'The List'!$B1:$AH727,27,FALSE)-AVERAGE('The List'!AB2:AB727))/STDEV('The List'!AB2:AB727)</f>
        <v>0.82868340358177983</v>
      </c>
      <c r="P589" s="39">
        <f>(VLOOKUP($A589,'The List'!$B1:$AH727,28,FALSE)-AVERAGE('The List'!AC2:AC727))/STDEV('The List'!AC2:AC727)</f>
        <v>0.34577212278622904</v>
      </c>
      <c r="Q589" s="39">
        <f>(VLOOKUP($A589,'The List'!$B1:$AH727,29,FALSE)-AVERAGE('The List'!AD2:AD727))/STDEV('The List'!AD2:AD727)</f>
        <v>0.190608988690946</v>
      </c>
      <c r="R589" s="39">
        <f>(VLOOKUP($A589,'The List'!$B1:$AH727,30,FALSE)-AVERAGE('The List'!AE2:AE727))/STDEV('The List'!AE2:AE727)</f>
        <v>-0.72373331934425644</v>
      </c>
      <c r="S589" s="39">
        <f>(VLOOKUP($A589,'The List'!$B1:$AH727,31,FALSE)-AVERAGE('The List'!AF2:AF727))/STDEV('The List'!AF2:AF727)</f>
        <v>-0.55804314905918151</v>
      </c>
      <c r="T589" s="39">
        <f>(VLOOKUP($A589,'The List'!$B1:$AH727,32,FALSE)-AVERAGE('The List'!AG2:AG727))/STDEV('The List'!AG2:AG727)</f>
        <v>-0.60188453558131205</v>
      </c>
      <c r="U589" s="39">
        <f>(VLOOKUP($A589,'The List'!$B1:$AH727,33,FALSE)-AVERAGE('The List'!AH2:AH727))/STDEV('The List'!AH2:AH727)</f>
        <v>-1.2395873372913611</v>
      </c>
      <c r="V589" s="39"/>
      <c r="W589" s="41"/>
      <c r="X589" s="39"/>
      <c r="Y589" s="39"/>
      <c r="Z589" s="39"/>
      <c r="AA589" s="39"/>
      <c r="AB589" s="39"/>
      <c r="AC589" s="39"/>
      <c r="AD589" s="39"/>
      <c r="AE589" s="39"/>
    </row>
    <row r="590" spans="1:31" ht="21.25" customHeight="1" x14ac:dyDescent="0.15">
      <c r="A590" s="8" t="s">
        <v>517</v>
      </c>
      <c r="B590" s="35" t="str">
        <f>VLOOKUP(A590,'Player Data'!A1:B734,2,FALSE)</f>
        <v>VAN</v>
      </c>
      <c r="C590" s="37">
        <f>((E590)*Settings!$C$12)+(F590*Settings!$C$2)+(G590*Settings!$C$3)+(H590*Settings!$C$4)+(I590*Settings!$C$5)+(K590*Settings!$C$9)+(N590*Settings!$C$6)+(J590*Settings!$C$8)+(O590*Settings!$C$7)+(P590*Settings!$C$14)+(Q590*Settings!$C$15)+(R590*Settings!$C$16)+(S590*Settings!$C$17)+(T590*Settings!$C$18)+(U590*Settings!$C$19)</f>
        <v>-2.145139471490193</v>
      </c>
      <c r="D590" s="41">
        <f>IF(Settings!$E$12="YES",VLOOKUP(A590,'Player Data'!A1:E734,5,FALSE),82)</f>
        <v>81.173571428571407</v>
      </c>
      <c r="E590" s="39">
        <f>(VLOOKUP($A590,'The List'!$B1:$AH727,17,FALSE)-AVERAGE('The List'!R2:R727))/STDEV('The List'!R2:R727)</f>
        <v>0.2890963147814099</v>
      </c>
      <c r="F590" s="39">
        <f>(VLOOKUP($A590,'The List'!$B1:$AH727,18,FALSE)-AVERAGE('The List'!S2:S727))/STDEV('The List'!S2:S727)</f>
        <v>-1.1151145719277782</v>
      </c>
      <c r="G590" s="39">
        <f>(VLOOKUP($A590,'The List'!$B1:$AH727,19,FALSE)-AVERAGE('The List'!T2:T727))/STDEV('The List'!T2:T727)</f>
        <v>-0.63627287112207442</v>
      </c>
      <c r="H590" s="39">
        <f>(VLOOKUP($A590,'The List'!$B1:$AH727,20,FALSE)-AVERAGE('The List'!U2:U727))/STDEV('The List'!U2:U727)</f>
        <v>-0.89952411197626359</v>
      </c>
      <c r="I590" s="39">
        <f>(VLOOKUP($A590,'The List'!$B1:$AH727,21,FALSE)-AVERAGE('The List'!V2:V727))/STDEV('The List'!V2:V727)</f>
        <v>-0.58393942143066491</v>
      </c>
      <c r="J590" s="39">
        <f>(VLOOKUP($A590,'The List'!$B1:$AH727,22,FALSE)-AVERAGE('The List'!W2:W727))/STDEV('The List'!W2:W727)</f>
        <v>-0.70153663190353432</v>
      </c>
      <c r="K590" s="39">
        <f>(VLOOKUP($A590,'The List'!$B1:$AH727,23,FALSE)-AVERAGE('The List'!X2:X727))/STDEV('The List'!X2:X727)</f>
        <v>-0.73532457071175006</v>
      </c>
      <c r="L590" s="39">
        <f>(VLOOKUP($A590,'The List'!$B1:$AH727,24,FALSE)-AVERAGE('The List'!Y2:Y727))/STDEV('The List'!Y2:Y727)</f>
        <v>-0.35503236888908768</v>
      </c>
      <c r="M590" s="39">
        <f>(VLOOKUP($A590,'The List'!$B1:$AH727,25,FALSE)-AVERAGE('The List'!Z2:Z727))/STDEV('The List'!Z2:Z727)</f>
        <v>-0.19271936952766222</v>
      </c>
      <c r="N590" s="39">
        <f>(VLOOKUP($A590,'The List'!$B1:$AH727,26,FALSE)-AVERAGE('The List'!AA2:AA727))/STDEV('The List'!AA2:AA727)</f>
        <v>1.5285790581018974</v>
      </c>
      <c r="O590" s="39">
        <f>(VLOOKUP($A590,'The List'!$B1:$AH727,27,FALSE)-AVERAGE('The List'!AB2:AB727))/STDEV('The List'!AB2:AB727)</f>
        <v>8.5800780880876587E-2</v>
      </c>
      <c r="P590" s="39">
        <f>(VLOOKUP($A590,'The List'!$B1:$AH727,28,FALSE)-AVERAGE('The List'!AC2:AC727))/STDEV('The List'!AC2:AC727)</f>
        <v>-0.60306709439982253</v>
      </c>
      <c r="Q590" s="39">
        <f>(VLOOKUP($A590,'The List'!$B1:$AH727,29,FALSE)-AVERAGE('The List'!AD2:AD727))/STDEV('The List'!AD2:AD727)</f>
        <v>1.399581619987049</v>
      </c>
      <c r="R590" s="39">
        <f>(VLOOKUP($A590,'The List'!$B1:$AH727,30,FALSE)-AVERAGE('The List'!AE2:AE727))/STDEV('The List'!AE2:AE727)</f>
        <v>-1.0267649968652228</v>
      </c>
      <c r="S590" s="39">
        <f>(VLOOKUP($A590,'The List'!$B1:$AH727,31,FALSE)-AVERAGE('The List'!AF2:AF727))/STDEV('The List'!AF2:AF727)</f>
        <v>-0.55804314905918151</v>
      </c>
      <c r="T590" s="39">
        <f>(VLOOKUP($A590,'The List'!$B1:$AH727,32,FALSE)-AVERAGE('The List'!AG2:AG727))/STDEV('The List'!AG2:AG727)</f>
        <v>-0.60188453558131205</v>
      </c>
      <c r="U590" s="39">
        <f>(VLOOKUP($A590,'The List'!$B1:$AH727,33,FALSE)-AVERAGE('The List'!AH2:AH727))/STDEV('The List'!AH2:AH727)</f>
        <v>-1.2395873372913611</v>
      </c>
      <c r="V590" s="39"/>
      <c r="W590" s="43"/>
      <c r="X590" s="41"/>
      <c r="Y590" s="41"/>
      <c r="Z590" s="41"/>
      <c r="AA590" s="41"/>
      <c r="AB590" s="41"/>
      <c r="AC590" s="44"/>
      <c r="AD590" s="45"/>
      <c r="AE590" s="39"/>
    </row>
    <row r="591" spans="1:31" ht="21.25" customHeight="1" x14ac:dyDescent="0.15">
      <c r="A591" s="8" t="s">
        <v>596</v>
      </c>
      <c r="B591" s="35" t="str">
        <f>VLOOKUP(A591,'Player Data'!A1:B734,2,FALSE)</f>
        <v>DET</v>
      </c>
      <c r="C591" s="37">
        <f>((E591)*Settings!$C$12)+(F591*Settings!$C$2)+(G591*Settings!$C$3)+(H591*Settings!$C$4)+(I591*Settings!$C$5)+(K591*Settings!$C$9)+(N591*Settings!$C$6)+(J591*Settings!$C$8)+(O591*Settings!$C$7)+(P591*Settings!$C$14)+(Q591*Settings!$C$15)+(R591*Settings!$C$16)+(S591*Settings!$C$17)+(T591*Settings!$C$18)+(U591*Settings!$C$19)</f>
        <v>-3.7155722764208643</v>
      </c>
      <c r="D591" s="41">
        <f>IF(Settings!$E$12="YES",VLOOKUP(A591,'Player Data'!A1:E734,5,FALSE),82)</f>
        <v>76.923571428571407</v>
      </c>
      <c r="E591" s="39">
        <f>(VLOOKUP($A591,'The List'!$B1:$AH727,17,FALSE)-AVERAGE('The List'!R2:R727))/STDEV('The List'!R2:R727)</f>
        <v>-0.20407125595958087</v>
      </c>
      <c r="F591" s="39">
        <f>(VLOOKUP($A591,'The List'!$B1:$AH727,18,FALSE)-AVERAGE('The List'!S2:S727))/STDEV('The List'!S2:S727)</f>
        <v>-0.99632751486414051</v>
      </c>
      <c r="G591" s="39">
        <f>(VLOOKUP($A591,'The List'!$B1:$AH727,19,FALSE)-AVERAGE('The List'!T2:T727))/STDEV('The List'!T2:T727)</f>
        <v>-0.78375094117408706</v>
      </c>
      <c r="H591" s="39">
        <f>(VLOOKUP($A591,'The List'!$B1:$AH727,20,FALSE)-AVERAGE('The List'!U2:U727))/STDEV('The List'!U2:U727)</f>
        <v>-0.93634591248453758</v>
      </c>
      <c r="I591" s="39">
        <f>(VLOOKUP($A591,'The List'!$B1:$AH727,21,FALSE)-AVERAGE('The List'!V2:V727))/STDEV('The List'!V2:V727)</f>
        <v>-1.1457591487857612</v>
      </c>
      <c r="J591" s="39">
        <f>(VLOOKUP($A591,'The List'!$B1:$AH727,22,FALSE)-AVERAGE('The List'!W2:W727))/STDEV('The List'!W2:W727)</f>
        <v>-0.70592861057882761</v>
      </c>
      <c r="K591" s="39">
        <f>(VLOOKUP($A591,'The List'!$B1:$AH727,23,FALSE)-AVERAGE('The List'!X2:X727))/STDEV('The List'!X2:X727)</f>
        <v>-0.78537989859876389</v>
      </c>
      <c r="L591" s="39">
        <f>(VLOOKUP($A591,'The List'!$B1:$AH727,24,FALSE)-AVERAGE('The List'!Y2:Y727))/STDEV('The List'!Y2:Y727)</f>
        <v>-0.52809799530273527</v>
      </c>
      <c r="M591" s="39">
        <f>(VLOOKUP($A591,'The List'!$B1:$AH727,25,FALSE)-AVERAGE('The List'!Z2:Z727))/STDEV('The List'!Z2:Z727)</f>
        <v>-0.68680043710641647</v>
      </c>
      <c r="N591" s="39">
        <f>(VLOOKUP($A591,'The List'!$B1:$AH727,26,FALSE)-AVERAGE('The List'!AA2:AA727))/STDEV('The List'!AA2:AA727)</f>
        <v>0.91043115372726702</v>
      </c>
      <c r="O591" s="39">
        <f>(VLOOKUP($A591,'The List'!$B1:$AH727,27,FALSE)-AVERAGE('The List'!AB2:AB727))/STDEV('The List'!AB2:AB727)</f>
        <v>-0.42211277191518382</v>
      </c>
      <c r="P591" s="39">
        <f>(VLOOKUP($A591,'The List'!$B1:$AH727,28,FALSE)-AVERAGE('The List'!AC2:AC727))/STDEV('The List'!AC2:AC727)</f>
        <v>-0.91478592672537828</v>
      </c>
      <c r="Q591" s="39">
        <f>(VLOOKUP($A591,'The List'!$B1:$AH727,29,FALSE)-AVERAGE('The List'!AD2:AD727))/STDEV('The List'!AD2:AD727)</f>
        <v>-1.1934665460136737</v>
      </c>
      <c r="R591" s="39">
        <f>(VLOOKUP($A591,'The List'!$B1:$AH727,30,FALSE)-AVERAGE('The List'!AE2:AE727))/STDEV('The List'!AE2:AE727)</f>
        <v>-0.941128516711222</v>
      </c>
      <c r="S591" s="39">
        <f>(VLOOKUP($A591,'The List'!$B1:$AH727,31,FALSE)-AVERAGE('The List'!AF2:AF727))/STDEV('The List'!AF2:AF727)</f>
        <v>-0.55804314905918151</v>
      </c>
      <c r="T591" s="39">
        <f>(VLOOKUP($A591,'The List'!$B1:$AH727,32,FALSE)-AVERAGE('The List'!AG2:AG727))/STDEV('The List'!AG2:AG727)</f>
        <v>-0.60188453558131205</v>
      </c>
      <c r="U591" s="39">
        <f>(VLOOKUP($A591,'The List'!$B1:$AH727,33,FALSE)-AVERAGE('The List'!AH2:AH727))/STDEV('The List'!AH2:AH727)</f>
        <v>-1.2395873372913611</v>
      </c>
      <c r="V591" s="39"/>
      <c r="W591" s="43"/>
      <c r="X591" s="41"/>
      <c r="Y591" s="41"/>
      <c r="Z591" s="41"/>
      <c r="AA591" s="41"/>
      <c r="AB591" s="41"/>
      <c r="AC591" s="44"/>
      <c r="AD591" s="45"/>
      <c r="AE591" s="39"/>
    </row>
    <row r="592" spans="1:31" ht="21.25" customHeight="1" x14ac:dyDescent="0.15">
      <c r="A592" s="8" t="s">
        <v>592</v>
      </c>
      <c r="B592" s="35" t="str">
        <f>VLOOKUP(A592,'Player Data'!A1:B734,2,FALSE)</f>
        <v>MTL</v>
      </c>
      <c r="C592" s="37">
        <f>((E592)*Settings!$C$12)+(F592*Settings!$C$2)+(G592*Settings!$C$3)+(H592*Settings!$C$4)+(I592*Settings!$C$5)+(K592*Settings!$C$9)+(N592*Settings!$C$6)+(J592*Settings!$C$8)+(O592*Settings!$C$7)+(P592*Settings!$C$14)+(Q592*Settings!$C$15)+(R592*Settings!$C$16)+(S592*Settings!$C$17)+(T592*Settings!$C$18)+(U592*Settings!$C$19)</f>
        <v>-5.121377537104765</v>
      </c>
      <c r="D592" s="41">
        <f>IF(Settings!$E$12="YES",VLOOKUP(A592,'Player Data'!A1:E734,5,FALSE),82)</f>
        <v>69.165000000000006</v>
      </c>
      <c r="E592" s="39">
        <f>(VLOOKUP($A592,'The List'!$B1:$AH727,17,FALSE)-AVERAGE('The List'!R2:R727))/STDEV('The List'!R2:R727)</f>
        <v>-0.5079910359349068</v>
      </c>
      <c r="F592" s="39">
        <f>(VLOOKUP($A592,'The List'!$B1:$AH727,18,FALSE)-AVERAGE('The List'!S2:S727))/STDEV('The List'!S2:S727)</f>
        <v>-0.91655216625866787</v>
      </c>
      <c r="G592" s="39">
        <f>(VLOOKUP($A592,'The List'!$B1:$AH727,19,FALSE)-AVERAGE('The List'!T2:T727))/STDEV('The List'!T2:T727)</f>
        <v>-0.95232529774098917</v>
      </c>
      <c r="H592" s="39">
        <f>(VLOOKUP($A592,'The List'!$B1:$AH727,20,FALSE)-AVERAGE('The List'!U2:U727))/STDEV('The List'!U2:U727)</f>
        <v>-1.0039202075554816</v>
      </c>
      <c r="I592" s="39">
        <f>(VLOOKUP($A592,'The List'!$B1:$AH727,21,FALSE)-AVERAGE('The List'!V2:V727))/STDEV('The List'!V2:V727)</f>
        <v>-0.79386936387856466</v>
      </c>
      <c r="J592" s="39">
        <f>(VLOOKUP($A592,'The List'!$B1:$AH727,22,FALSE)-AVERAGE('The List'!W2:W727))/STDEV('The List'!W2:W727)</f>
        <v>-0.65651667771442479</v>
      </c>
      <c r="K592" s="39">
        <f>(VLOOKUP($A592,'The List'!$B1:$AH727,23,FALSE)-AVERAGE('The List'!X2:X727))/STDEV('The List'!X2:X727)</f>
        <v>-0.75356529501245617</v>
      </c>
      <c r="L592" s="39">
        <f>(VLOOKUP($A592,'The List'!$B1:$AH727,24,FALSE)-AVERAGE('The List'!Y2:Y727))/STDEV('The List'!Y2:Y727)</f>
        <v>-0.51688505306585597</v>
      </c>
      <c r="M592" s="39">
        <f>(VLOOKUP($A592,'The List'!$B1:$AH727,25,FALSE)-AVERAGE('The List'!Z2:Z727))/STDEV('The List'!Z2:Z727)</f>
        <v>-0.66104304035220574</v>
      </c>
      <c r="N592" s="39">
        <f>(VLOOKUP($A592,'The List'!$B1:$AH727,26,FALSE)-AVERAGE('The List'!AA2:AA727))/STDEV('The List'!AA2:AA727)</f>
        <v>0.21559466227736085</v>
      </c>
      <c r="O592" s="39">
        <f>(VLOOKUP($A592,'The List'!$B1:$AH727,27,FALSE)-AVERAGE('The List'!AB2:AB727))/STDEV('The List'!AB2:AB727)</f>
        <v>1.5891537959001212</v>
      </c>
      <c r="P592" s="39">
        <f>(VLOOKUP($A592,'The List'!$B1:$AH727,28,FALSE)-AVERAGE('The List'!AC2:AC727))/STDEV('The List'!AC2:AC727)</f>
        <v>-1.9206600764914472</v>
      </c>
      <c r="Q592" s="39">
        <f>(VLOOKUP($A592,'The List'!$B1:$AH727,29,FALSE)-AVERAGE('The List'!AD2:AD727))/STDEV('The List'!AD2:AD727)</f>
        <v>2.9784067072410387</v>
      </c>
      <c r="R592" s="39">
        <f>(VLOOKUP($A592,'The List'!$B1:$AH727,30,FALSE)-AVERAGE('The List'!AE2:AE727))/STDEV('The List'!AE2:AE727)</f>
        <v>-0.92498862588574948</v>
      </c>
      <c r="S592" s="39">
        <f>(VLOOKUP($A592,'The List'!$B1:$AH727,31,FALSE)-AVERAGE('The List'!AF2:AF727))/STDEV('The List'!AF2:AF727)</f>
        <v>-0.55804314905918151</v>
      </c>
      <c r="T592" s="39">
        <f>(VLOOKUP($A592,'The List'!$B1:$AH727,32,FALSE)-AVERAGE('The List'!AG2:AG727))/STDEV('The List'!AG2:AG727)</f>
        <v>-0.60188453558131205</v>
      </c>
      <c r="U592" s="39">
        <f>(VLOOKUP($A592,'The List'!$B1:$AH727,33,FALSE)-AVERAGE('The List'!AH2:AH727))/STDEV('The List'!AH2:AH727)</f>
        <v>-1.2395873372913611</v>
      </c>
      <c r="V592" s="39"/>
      <c r="W592" s="41"/>
      <c r="X592" s="41"/>
      <c r="Y592" s="41"/>
      <c r="Z592" s="41"/>
      <c r="AA592" s="41"/>
      <c r="AB592" s="41"/>
      <c r="AC592" s="44"/>
      <c r="AD592" s="45"/>
      <c r="AE592" s="39"/>
    </row>
    <row r="593" spans="1:31" ht="21.25" customHeight="1" x14ac:dyDescent="0.15">
      <c r="A593" s="8" t="s">
        <v>767</v>
      </c>
      <c r="B593" s="35" t="str">
        <f>VLOOKUP(A593,'Player Data'!A1:B734,2,FALSE)</f>
        <v>CBJ</v>
      </c>
      <c r="C593" s="37">
        <f>((E593)*Settings!$C$12)+(F593*Settings!$C$2)+(G593*Settings!$C$3)+(H593*Settings!$C$4)+(I593*Settings!$C$5)+(K593*Settings!$C$9)+(N593*Settings!$C$6)+(J593*Settings!$C$8)+(O593*Settings!$C$7)+(P593*Settings!$C$14)+(Q593*Settings!$C$15)+(R593*Settings!$C$16)+(S593*Settings!$C$17)+(T593*Settings!$C$18)+(U593*Settings!$C$19)</f>
        <v>-5.7359764741609327</v>
      </c>
      <c r="D593" s="41">
        <f>IF(Settings!$E$12="YES",VLOOKUP(A593,'Player Data'!A1:E734,5,FALSE),82)</f>
        <v>58.26</v>
      </c>
      <c r="E593" s="39">
        <f>(VLOOKUP($A593,'The List'!$B1:$AH727,17,FALSE)-AVERAGE('The List'!R2:R727))/STDEV('The List'!R2:R727)</f>
        <v>-1.741657880072828</v>
      </c>
      <c r="F593" s="39">
        <f>(VLOOKUP($A593,'The List'!$B1:$AH727,18,FALSE)-AVERAGE('The List'!S2:S727))/STDEV('The List'!S2:S727)</f>
        <v>-0.89351926570021012</v>
      </c>
      <c r="G593" s="39">
        <f>(VLOOKUP($A593,'The List'!$B1:$AH727,19,FALSE)-AVERAGE('The List'!T2:T727))/STDEV('The List'!T2:T727)</f>
        <v>-1.1207009181795842</v>
      </c>
      <c r="H593" s="39">
        <f>(VLOOKUP($A593,'The List'!$B1:$AH727,20,FALSE)-AVERAGE('The List'!U2:U727))/STDEV('The List'!U2:U727)</f>
        <v>-1.0971934041913374</v>
      </c>
      <c r="I593" s="39">
        <f>(VLOOKUP($A593,'The List'!$B1:$AH727,21,FALSE)-AVERAGE('The List'!V2:V727))/STDEV('The List'!V2:V727)</f>
        <v>-1.2610875059389914</v>
      </c>
      <c r="J593" s="39">
        <f>(VLOOKUP($A593,'The List'!$B1:$AH727,22,FALSE)-AVERAGE('The List'!W2:W727))/STDEV('The List'!W2:W727)</f>
        <v>-0.7075939306452097</v>
      </c>
      <c r="K593" s="39">
        <f>(VLOOKUP($A593,'The List'!$B1:$AH727,23,FALSE)-AVERAGE('The List'!X2:X727))/STDEV('The List'!X2:X727)</f>
        <v>-0.79754505406025189</v>
      </c>
      <c r="L593" s="39">
        <f>(VLOOKUP($A593,'The List'!$B1:$AH727,24,FALSE)-AVERAGE('The List'!Y2:Y727))/STDEV('The List'!Y2:Y727)</f>
        <v>-0.36411051306606679</v>
      </c>
      <c r="M593" s="39">
        <f>(VLOOKUP($A593,'The List'!$B1:$AH727,25,FALSE)-AVERAGE('The List'!Z2:Z727))/STDEV('The List'!Z2:Z727)</f>
        <v>-0.52054347620235331</v>
      </c>
      <c r="N593" s="39">
        <f>(VLOOKUP($A593,'The List'!$B1:$AH727,26,FALSE)-AVERAGE('The List'!AA2:AA727))/STDEV('The List'!AA2:AA727)</f>
        <v>-0.52642882001844105</v>
      </c>
      <c r="O593" s="39">
        <f>(VLOOKUP($A593,'The List'!$B1:$AH727,27,FALSE)-AVERAGE('The List'!AB2:AB727))/STDEV('The List'!AB2:AB727)</f>
        <v>0.66131777265821445</v>
      </c>
      <c r="P593" s="39">
        <f>(VLOOKUP($A593,'The List'!$B1:$AH727,28,FALSE)-AVERAGE('The List'!AC2:AC727))/STDEV('The List'!AC2:AC727)</f>
        <v>-1.1366949102634543</v>
      </c>
      <c r="Q593" s="39">
        <f>(VLOOKUP($A593,'The List'!$B1:$AH727,29,FALSE)-AVERAGE('The List'!AD2:AD727))/STDEV('The List'!AD2:AD727)</f>
        <v>1.3087351658757456</v>
      </c>
      <c r="R593" s="39">
        <f>(VLOOKUP($A593,'The List'!$B1:$AH727,30,FALSE)-AVERAGE('The List'!AE2:AE727))/STDEV('The List'!AE2:AE727)</f>
        <v>-0.91185512162037885</v>
      </c>
      <c r="S593" s="39">
        <f>(VLOOKUP($A593,'The List'!$B1:$AH727,31,FALSE)-AVERAGE('The List'!AF2:AF727))/STDEV('The List'!AF2:AF727)</f>
        <v>-0.54729915950560193</v>
      </c>
      <c r="T593" s="39">
        <f>(VLOOKUP($A593,'The List'!$B1:$AH727,32,FALSE)-AVERAGE('The List'!AG2:AG727))/STDEV('The List'!AG2:AG727)</f>
        <v>-0.55379957426110893</v>
      </c>
      <c r="U593" s="39">
        <f>(VLOOKUP($A593,'The List'!$B1:$AH727,33,FALSE)-AVERAGE('The List'!AH2:AH727))/STDEV('The List'!AH2:AH727)</f>
        <v>-0.3797575566232016</v>
      </c>
      <c r="V593" s="39"/>
      <c r="W593" s="43"/>
      <c r="X593" s="41"/>
      <c r="Y593" s="41"/>
      <c r="Z593" s="41"/>
      <c r="AA593" s="41"/>
      <c r="AB593" s="41"/>
      <c r="AC593" s="44"/>
      <c r="AD593" s="45"/>
      <c r="AE593" s="39"/>
    </row>
    <row r="594" spans="1:31" ht="21.25" customHeight="1" x14ac:dyDescent="0.15">
      <c r="A594" s="8" t="s">
        <v>792</v>
      </c>
      <c r="B594" s="35" t="str">
        <f>VLOOKUP(A594,'Player Data'!A1:B734,2,FALSE)</f>
        <v>UFA</v>
      </c>
      <c r="C594" s="37">
        <f>((E594)*Settings!$C$12)+(F594*Settings!$C$2)+(G594*Settings!$C$3)+(H594*Settings!$C$4)+(I594*Settings!$C$5)+(K594*Settings!$C$9)+(N594*Settings!$C$6)+(J594*Settings!$C$8)+(O594*Settings!$C$7)+(P594*Settings!$C$14)+(Q594*Settings!$C$15)+(R594*Settings!$C$16)+(S594*Settings!$C$17)+(T594*Settings!$C$18)+(U594*Settings!$C$19)</f>
        <v>-3.9884312443069945</v>
      </c>
      <c r="D594" s="41">
        <f>IF(Settings!$E$12="YES",VLOOKUP(A594,'Player Data'!A1:E734,5,FALSE),82)</f>
        <v>77.744285714285695</v>
      </c>
      <c r="E594" s="39">
        <f>(VLOOKUP($A594,'The List'!$B1:$AH727,17,FALSE)-AVERAGE('The List'!R2:R727))/STDEV('The List'!R2:R727)</f>
        <v>-1.7170486491143411</v>
      </c>
      <c r="F594" s="39">
        <f>(VLOOKUP($A594,'The List'!$B1:$AH727,18,FALSE)-AVERAGE('The List'!S2:S727))/STDEV('The List'!S2:S727)</f>
        <v>-0.52587546775411809</v>
      </c>
      <c r="G594" s="39">
        <f>(VLOOKUP($A594,'The List'!$B1:$AH727,19,FALSE)-AVERAGE('The List'!T2:T727))/STDEV('The List'!T2:T727)</f>
        <v>-1.1292019734408574</v>
      </c>
      <c r="H594" s="39">
        <f>(VLOOKUP($A594,'The List'!$B1:$AH727,20,FALSE)-AVERAGE('The List'!U2:U727))/STDEV('The List'!U2:U727)</f>
        <v>-0.93513089884513267</v>
      </c>
      <c r="I594" s="39">
        <f>(VLOOKUP($A594,'The List'!$B1:$AH727,21,FALSE)-AVERAGE('The List'!V2:V727))/STDEV('The List'!V2:V727)</f>
        <v>-0.77566842707436956</v>
      </c>
      <c r="J594" s="39">
        <f>(VLOOKUP($A594,'The List'!$B1:$AH727,22,FALSE)-AVERAGE('The List'!W2:W727))/STDEV('The List'!W2:W727)</f>
        <v>-0.69999915831933468</v>
      </c>
      <c r="K594" s="39">
        <f>(VLOOKUP($A594,'The List'!$B1:$AH727,23,FALSE)-AVERAGE('The List'!X2:X727))/STDEV('The List'!X2:X727)</f>
        <v>-0.7894939406059186</v>
      </c>
      <c r="L594" s="39">
        <f>(VLOOKUP($A594,'The List'!$B1:$AH727,24,FALSE)-AVERAGE('The List'!Y2:Y727))/STDEV('The List'!Y2:Y727)</f>
        <v>-0.54402834717551152</v>
      </c>
      <c r="M594" s="39">
        <f>(VLOOKUP($A594,'The List'!$B1:$AH727,25,FALSE)-AVERAGE('The List'!Z2:Z727))/STDEV('The List'!Z2:Z727)</f>
        <v>-0.72372514007823274</v>
      </c>
      <c r="N594" s="39">
        <f>(VLOOKUP($A594,'The List'!$B1:$AH727,26,FALSE)-AVERAGE('The List'!AA2:AA727))/STDEV('The List'!AA2:AA727)</f>
        <v>-0.58122952838864783</v>
      </c>
      <c r="O594" s="39">
        <f>(VLOOKUP($A594,'The List'!$B1:$AH727,27,FALSE)-AVERAGE('The List'!AB2:AB727))/STDEV('The List'!AB2:AB727)</f>
        <v>1.6370133274061924</v>
      </c>
      <c r="P594" s="39">
        <f>(VLOOKUP($A594,'The List'!$B1:$AH727,28,FALSE)-AVERAGE('The List'!AC2:AC727))/STDEV('The List'!AC2:AC727)</f>
        <v>-0.18696190704308235</v>
      </c>
      <c r="Q594" s="39">
        <f>(VLOOKUP($A594,'The List'!$B1:$AH727,29,FALSE)-AVERAGE('The List'!AD2:AD727))/STDEV('The List'!AD2:AD727)</f>
        <v>-0.65228862571645663</v>
      </c>
      <c r="R594" s="39">
        <f>(VLOOKUP($A594,'The List'!$B1:$AH727,30,FALSE)-AVERAGE('The List'!AE2:AE727))/STDEV('The List'!AE2:AE727)</f>
        <v>-1.1921764565772743</v>
      </c>
      <c r="S594" s="39">
        <f>(VLOOKUP($A594,'The List'!$B1:$AH727,31,FALSE)-AVERAGE('The List'!AF2:AF727))/STDEV('The List'!AF2:AF727)</f>
        <v>-0.52729421652261388</v>
      </c>
      <c r="T594" s="39">
        <f>(VLOOKUP($A594,'The List'!$B1:$AH727,32,FALSE)-AVERAGE('The List'!AG2:AG727))/STDEV('The List'!AG2:AG727)</f>
        <v>-0.56659258214854114</v>
      </c>
      <c r="U594" s="39">
        <f>(VLOOKUP($A594,'The List'!$B1:$AH727,33,FALSE)-AVERAGE('The List'!AH2:AH727))/STDEV('The List'!AH2:AH727)</f>
        <v>0.92100553352629788</v>
      </c>
      <c r="V594" s="39"/>
      <c r="W594" s="43"/>
      <c r="X594" s="41"/>
      <c r="Y594" s="41"/>
      <c r="Z594" s="41"/>
      <c r="AA594" s="41"/>
      <c r="AB594" s="41"/>
      <c r="AC594" s="44"/>
      <c r="AD594" s="45"/>
      <c r="AE594" s="39"/>
    </row>
    <row r="595" spans="1:31" ht="21.25" customHeight="1" x14ac:dyDescent="0.15">
      <c r="A595" s="8" t="s">
        <v>744</v>
      </c>
      <c r="B595" s="35" t="str">
        <f>VLOOKUP(A595,'Player Data'!A1:B734,2,FALSE)</f>
        <v>NSH</v>
      </c>
      <c r="C595" s="37">
        <f>((E595)*Settings!$C$12)+(F595*Settings!$C$2)+(G595*Settings!$C$3)+(H595*Settings!$C$4)+(I595*Settings!$C$5)+(K595*Settings!$C$9)+(N595*Settings!$C$6)+(J595*Settings!$C$8)+(O595*Settings!$C$7)+(P595*Settings!$C$14)+(Q595*Settings!$C$15)+(R595*Settings!$C$16)+(S595*Settings!$C$17)+(T595*Settings!$C$18)+(U595*Settings!$C$19)</f>
        <v>-4.6877409499632474</v>
      </c>
      <c r="D595" s="41">
        <f>IF(Settings!$E$12="YES",VLOOKUP(A595,'Player Data'!A1:E734,5,FALSE),82)</f>
        <v>61.5710714285714</v>
      </c>
      <c r="E595" s="39">
        <f>(VLOOKUP($A595,'The List'!$B1:$AH727,17,FALSE)-AVERAGE('The List'!R2:R727))/STDEV('The List'!R2:R727)</f>
        <v>-1.6612717379208553</v>
      </c>
      <c r="F595" s="39">
        <f>(VLOOKUP($A595,'The List'!$B1:$AH727,18,FALSE)-AVERAGE('The List'!S2:S727))/STDEV('The List'!S2:S727)</f>
        <v>-0.73973679402549208</v>
      </c>
      <c r="G595" s="39">
        <f>(VLOOKUP($A595,'The List'!$B1:$AH727,19,FALSE)-AVERAGE('The List'!T2:T727))/STDEV('The List'!T2:T727)</f>
        <v>-1.1940514335348953</v>
      </c>
      <c r="H595" s="39">
        <f>(VLOOKUP($A595,'The List'!$B1:$AH727,20,FALSE)-AVERAGE('The List'!U2:U727))/STDEV('The List'!U2:U727)</f>
        <v>-1.0724120194006337</v>
      </c>
      <c r="I595" s="39">
        <f>(VLOOKUP($A595,'The List'!$B1:$AH727,21,FALSE)-AVERAGE('The List'!V2:V727))/STDEV('The List'!V2:V727)</f>
        <v>-1.0547164997954199</v>
      </c>
      <c r="J595" s="39">
        <f>(VLOOKUP($A595,'The List'!$B1:$AH727,22,FALSE)-AVERAGE('The List'!W2:W727))/STDEV('The List'!W2:W727)</f>
        <v>-0.69933066841496838</v>
      </c>
      <c r="K595" s="39">
        <f>(VLOOKUP($A595,'The List'!$B1:$AH727,23,FALSE)-AVERAGE('The List'!X2:X727))/STDEV('The List'!X2:X727)</f>
        <v>-0.78591210475069406</v>
      </c>
      <c r="L595" s="39">
        <f>(VLOOKUP($A595,'The List'!$B1:$AH727,24,FALSE)-AVERAGE('The List'!Y2:Y727))/STDEV('The List'!Y2:Y727)</f>
        <v>0.2837253823253042</v>
      </c>
      <c r="M595" s="39">
        <f>(VLOOKUP($A595,'The List'!$B1:$AH727,25,FALSE)-AVERAGE('The List'!Z2:Z727))/STDEV('The List'!Z2:Z727)</f>
        <v>0.56665596341927649</v>
      </c>
      <c r="N595" s="39">
        <f>(VLOOKUP($A595,'The List'!$B1:$AH727,26,FALSE)-AVERAGE('The List'!AA2:AA727))/STDEV('The List'!AA2:AA727)</f>
        <v>-0.65209863638603505</v>
      </c>
      <c r="O595" s="39">
        <f>(VLOOKUP($A595,'The List'!$B1:$AH727,27,FALSE)-AVERAGE('The List'!AB2:AB727))/STDEV('The List'!AB2:AB727)</f>
        <v>0.7425643661042991</v>
      </c>
      <c r="P595" s="39">
        <f>(VLOOKUP($A595,'The List'!$B1:$AH727,28,FALSE)-AVERAGE('The List'!AC2:AC727))/STDEV('The List'!AC2:AC727)</f>
        <v>-0.26122548147071079</v>
      </c>
      <c r="Q595" s="39">
        <f>(VLOOKUP($A595,'The List'!$B1:$AH727,29,FALSE)-AVERAGE('The List'!AD2:AD727))/STDEV('The List'!AD2:AD727)</f>
        <v>0.69424973734358408</v>
      </c>
      <c r="R595" s="39">
        <f>(VLOOKUP($A595,'The List'!$B1:$AH727,30,FALSE)-AVERAGE('The List'!AE2:AE727))/STDEV('The List'!AE2:AE727)</f>
        <v>-0.66348550611543078</v>
      </c>
      <c r="S595" s="39">
        <f>(VLOOKUP($A595,'The List'!$B1:$AH727,31,FALSE)-AVERAGE('The List'!AF2:AF727))/STDEV('The List'!AF2:AF727)</f>
        <v>0.1544769119675774</v>
      </c>
      <c r="T595" s="39">
        <f>(VLOOKUP($A595,'The List'!$B1:$AH727,32,FALSE)-AVERAGE('The List'!AG2:AG727))/STDEV('The List'!AG2:AG727)</f>
        <v>-1.2179770772249835E-2</v>
      </c>
      <c r="U595" s="39">
        <f>(VLOOKUP($A595,'The List'!$B1:$AH727,33,FALSE)-AVERAGE('The List'!AH2:AH727))/STDEV('The List'!AH2:AH727)</f>
        <v>1.2889720004101566</v>
      </c>
      <c r="V595" s="39"/>
      <c r="W595" s="43"/>
      <c r="X595" s="41"/>
      <c r="Y595" s="41"/>
      <c r="Z595" s="41"/>
      <c r="AA595" s="41"/>
      <c r="AB595" s="41"/>
      <c r="AC595" s="44"/>
      <c r="AD595" s="45"/>
      <c r="AE595" s="39"/>
    </row>
    <row r="596" spans="1:31" ht="21.25" customHeight="1" x14ac:dyDescent="0.15">
      <c r="A596" s="8" t="s">
        <v>783</v>
      </c>
      <c r="B596" s="35" t="str">
        <f>VLOOKUP(A596,'Player Data'!A1:B734,2,FALSE)</f>
        <v>COL</v>
      </c>
      <c r="C596" s="37">
        <f>((E596)*Settings!$C$12)+(F596*Settings!$C$2)+(G596*Settings!$C$3)+(H596*Settings!$C$4)+(I596*Settings!$C$5)+(K596*Settings!$C$9)+(N596*Settings!$C$6)+(J596*Settings!$C$8)+(O596*Settings!$C$7)+(P596*Settings!$C$14)+(Q596*Settings!$C$15)+(R596*Settings!$C$16)+(S596*Settings!$C$17)+(T596*Settings!$C$18)+(U596*Settings!$C$19)</f>
        <v>-2.9620984141370537</v>
      </c>
      <c r="D596" s="41">
        <f>IF(Settings!$E$12="YES",VLOOKUP(A596,'Player Data'!A1:E734,5,FALSE),82)</f>
        <v>80.104642857142906</v>
      </c>
      <c r="E596" s="39">
        <f>(VLOOKUP($A596,'The List'!$B1:$AH727,17,FALSE)-AVERAGE('The List'!R2:R727))/STDEV('The List'!R2:R727)</f>
        <v>-1.043860508210003</v>
      </c>
      <c r="F596" s="39">
        <f>(VLOOKUP($A596,'The List'!$B1:$AH727,18,FALSE)-AVERAGE('The List'!S2:S727))/STDEV('The List'!S2:S727)</f>
        <v>-0.68191361885002699</v>
      </c>
      <c r="G596" s="39">
        <f>(VLOOKUP($A596,'The List'!$B1:$AH727,19,FALSE)-AVERAGE('The List'!T2:T727))/STDEV('The List'!T2:T727)</f>
        <v>-0.98321720663408196</v>
      </c>
      <c r="H596" s="39">
        <f>(VLOOKUP($A596,'The List'!$B1:$AH727,20,FALSE)-AVERAGE('The List'!U2:U727))/STDEV('The List'!U2:U727)</f>
        <v>-0.91618086436927559</v>
      </c>
      <c r="I596" s="39">
        <f>(VLOOKUP($A596,'The List'!$B1:$AH727,21,FALSE)-AVERAGE('The List'!V2:V727))/STDEV('The List'!V2:V727)</f>
        <v>-0.687886541121429</v>
      </c>
      <c r="J596" s="39">
        <f>(VLOOKUP($A596,'The List'!$B1:$AH727,22,FALSE)-AVERAGE('The List'!W2:W727))/STDEV('The List'!W2:W727)</f>
        <v>-0.70754786301794659</v>
      </c>
      <c r="K596" s="39">
        <f>(VLOOKUP($A596,'The List'!$B1:$AH727,23,FALSE)-AVERAGE('The List'!X2:X727))/STDEV('The List'!X2:X727)</f>
        <v>-0.79668939925705118</v>
      </c>
      <c r="L596" s="39">
        <f>(VLOOKUP($A596,'The List'!$B1:$AH727,24,FALSE)-AVERAGE('The List'!Y2:Y727))/STDEV('The List'!Y2:Y727)</f>
        <v>0.32744290948242621</v>
      </c>
      <c r="M596" s="39">
        <f>(VLOOKUP($A596,'The List'!$B1:$AH727,25,FALSE)-AVERAGE('The List'!Z2:Z727))/STDEV('The List'!Z2:Z727)</f>
        <v>1.1544023939125174</v>
      </c>
      <c r="N596" s="39">
        <f>(VLOOKUP($A596,'The List'!$B1:$AH727,26,FALSE)-AVERAGE('The List'!AA2:AA727))/STDEV('The List'!AA2:AA727)</f>
        <v>-0.30412743058465036</v>
      </c>
      <c r="O596" s="39">
        <f>(VLOOKUP($A596,'The List'!$B1:$AH727,27,FALSE)-AVERAGE('The List'!AB2:AB727))/STDEV('The List'!AB2:AB727)</f>
        <v>-0.19999411085455293</v>
      </c>
      <c r="P596" s="39">
        <f>(VLOOKUP($A596,'The List'!$B1:$AH727,28,FALSE)-AVERAGE('The List'!AC2:AC727))/STDEV('The List'!AC2:AC727)</f>
        <v>0.49173578231018605</v>
      </c>
      <c r="Q596" s="39">
        <f>(VLOOKUP($A596,'The List'!$B1:$AH727,29,FALSE)-AVERAGE('The List'!AD2:AD727))/STDEV('The List'!AD2:AD727)</f>
        <v>-0.12899280457692164</v>
      </c>
      <c r="R596" s="39">
        <f>(VLOOKUP($A596,'The List'!$B1:$AH727,30,FALSE)-AVERAGE('The List'!AE2:AE727))/STDEV('The List'!AE2:AE727)</f>
        <v>-0.55959578692626499</v>
      </c>
      <c r="S596" s="39">
        <f>(VLOOKUP($A596,'The List'!$B1:$AH727,31,FALSE)-AVERAGE('The List'!AF2:AF727))/STDEV('The List'!AF2:AF727)</f>
        <v>-0.4440503629533894</v>
      </c>
      <c r="T596" s="39">
        <f>(VLOOKUP($A596,'The List'!$B1:$AH727,32,FALSE)-AVERAGE('The List'!AG2:AG727))/STDEV('The List'!AG2:AG727)</f>
        <v>-0.42112768513517973</v>
      </c>
      <c r="U596" s="39">
        <f>(VLOOKUP($A596,'The List'!$B1:$AH727,33,FALSE)-AVERAGE('The List'!AH2:AH727))/STDEV('The List'!AH2:AH727)</f>
        <v>0.56227460961333042</v>
      </c>
      <c r="V596" s="39"/>
      <c r="W596" s="41"/>
      <c r="X596" s="39"/>
      <c r="Y596" s="39"/>
      <c r="Z596" s="39"/>
      <c r="AA596" s="39"/>
      <c r="AB596" s="39"/>
      <c r="AC596" s="39"/>
      <c r="AD596" s="39"/>
      <c r="AE596" s="39"/>
    </row>
    <row r="597" spans="1:31" ht="21.25" customHeight="1" x14ac:dyDescent="0.15">
      <c r="A597" s="8" t="s">
        <v>630</v>
      </c>
      <c r="B597" s="35" t="str">
        <f>VLOOKUP(A597,'Player Data'!A1:B734,2,FALSE)</f>
        <v>SEA</v>
      </c>
      <c r="C597" s="37">
        <f>((E597)*Settings!$C$12)+(F597*Settings!$C$2)+(G597*Settings!$C$3)+(H597*Settings!$C$4)+(I597*Settings!$C$5)+(K597*Settings!$C$9)+(N597*Settings!$C$6)+(J597*Settings!$C$8)+(O597*Settings!$C$7)+(P597*Settings!$C$14)+(Q597*Settings!$C$15)+(R597*Settings!$C$16)+(S597*Settings!$C$17)+(T597*Settings!$C$18)+(U597*Settings!$C$19)</f>
        <v>-3.5331751150683974</v>
      </c>
      <c r="D597" s="41">
        <f>IF(Settings!$E$12="YES",VLOOKUP(A597,'Player Data'!A1:E734,5,FALSE),82)</f>
        <v>63.634999999999998</v>
      </c>
      <c r="E597" s="39">
        <f>(VLOOKUP($A597,'The List'!$B1:$AH727,17,FALSE)-AVERAGE('The List'!R2:R727))/STDEV('The List'!R2:R727)</f>
        <v>-4.8356537807754611E-2</v>
      </c>
      <c r="F597" s="39">
        <f>(VLOOKUP($A597,'The List'!$B1:$AH727,18,FALSE)-AVERAGE('The List'!S2:S727))/STDEV('The List'!S2:S727)</f>
        <v>-1.1018090320442961</v>
      </c>
      <c r="G597" s="39">
        <f>(VLOOKUP($A597,'The List'!$B1:$AH727,19,FALSE)-AVERAGE('The List'!T2:T727))/STDEV('The List'!T2:T727)</f>
        <v>-0.90702743713209466</v>
      </c>
      <c r="H597" s="39">
        <f>(VLOOKUP($A597,'The List'!$B1:$AH727,20,FALSE)-AVERAGE('The List'!U2:U727))/STDEV('The List'!U2:U727)</f>
        <v>-1.0603107153811853</v>
      </c>
      <c r="I597" s="39">
        <f>(VLOOKUP($A597,'The List'!$B1:$AH727,21,FALSE)-AVERAGE('The List'!V2:V727))/STDEV('The List'!V2:V727)</f>
        <v>-1.1924048865402108</v>
      </c>
      <c r="J597" s="39">
        <f>(VLOOKUP($A597,'The List'!$B1:$AH727,22,FALSE)-AVERAGE('The List'!W2:W727))/STDEV('The List'!W2:W727)</f>
        <v>-0.70686323140946372</v>
      </c>
      <c r="K597" s="39">
        <f>(VLOOKUP($A597,'The List'!$B1:$AH727,23,FALSE)-AVERAGE('The List'!X2:X727))/STDEV('The List'!X2:X727)</f>
        <v>-0.78741587894955456</v>
      </c>
      <c r="L597" s="39">
        <f>(VLOOKUP($A597,'The List'!$B1:$AH727,24,FALSE)-AVERAGE('The List'!Y2:Y727))/STDEV('The List'!Y2:Y727)</f>
        <v>-0.5099279111119579</v>
      </c>
      <c r="M597" s="39">
        <f>(VLOOKUP($A597,'The List'!$B1:$AH727,25,FALSE)-AVERAGE('The List'!Z2:Z727))/STDEV('The List'!Z2:Z727)</f>
        <v>-0.30581695517947882</v>
      </c>
      <c r="N597" s="39">
        <f>(VLOOKUP($A597,'The List'!$B1:$AH727,26,FALSE)-AVERAGE('The List'!AA2:AA727))/STDEV('The List'!AA2:AA727)</f>
        <v>0.482575911326314</v>
      </c>
      <c r="O597" s="39">
        <f>(VLOOKUP($A597,'The List'!$B1:$AH727,27,FALSE)-AVERAGE('The List'!AB2:AB727))/STDEV('The List'!AB2:AB727)</f>
        <v>-9.8475354042279389E-2</v>
      </c>
      <c r="P597" s="39">
        <f>(VLOOKUP($A597,'The List'!$B1:$AH727,28,FALSE)-AVERAGE('The List'!AC2:AC727))/STDEV('The List'!AC2:AC727)</f>
        <v>-2.7093791728555475E-2</v>
      </c>
      <c r="Q597" s="39">
        <f>(VLOOKUP($A597,'The List'!$B1:$AH727,29,FALSE)-AVERAGE('The List'!AD2:AD727))/STDEV('The List'!AD2:AD727)</f>
        <v>-0.63871194746580295</v>
      </c>
      <c r="R597" s="39">
        <f>(VLOOKUP($A597,'The List'!$B1:$AH727,30,FALSE)-AVERAGE('The List'!AE2:AE727))/STDEV('The List'!AE2:AE727)</f>
        <v>-1.0157152262151559</v>
      </c>
      <c r="S597" s="39">
        <f>(VLOOKUP($A597,'The List'!$B1:$AH727,31,FALSE)-AVERAGE('The List'!AF2:AF727))/STDEV('The List'!AF2:AF727)</f>
        <v>-0.55804314905918151</v>
      </c>
      <c r="T597" s="39">
        <f>(VLOOKUP($A597,'The List'!$B1:$AH727,32,FALSE)-AVERAGE('The List'!AG2:AG727))/STDEV('The List'!AG2:AG727)</f>
        <v>-0.60188453558131205</v>
      </c>
      <c r="U597" s="39">
        <f>(VLOOKUP($A597,'The List'!$B1:$AH727,33,FALSE)-AVERAGE('The List'!AH2:AH727))/STDEV('The List'!AH2:AH727)</f>
        <v>-1.2395873372913611</v>
      </c>
      <c r="V597" s="39"/>
      <c r="W597" s="41"/>
      <c r="X597" s="39"/>
      <c r="Y597" s="39"/>
      <c r="Z597" s="39"/>
      <c r="AA597" s="39"/>
      <c r="AB597" s="39"/>
      <c r="AC597" s="39"/>
      <c r="AD597" s="39"/>
      <c r="AE597" s="39"/>
    </row>
    <row r="598" spans="1:31" ht="21.25" customHeight="1" x14ac:dyDescent="0.15">
      <c r="A598" s="8" t="s">
        <v>795</v>
      </c>
      <c r="B598" s="35" t="str">
        <f>VLOOKUP(A598,'Player Data'!A1:B734,2,FALSE)</f>
        <v>COL</v>
      </c>
      <c r="C598" s="37">
        <f>((E598)*Settings!$C$12)+(F598*Settings!$C$2)+(G598*Settings!$C$3)+(H598*Settings!$C$4)+(I598*Settings!$C$5)+(K598*Settings!$C$9)+(N598*Settings!$C$6)+(J598*Settings!$C$8)+(O598*Settings!$C$7)+(P598*Settings!$C$14)+(Q598*Settings!$C$15)+(R598*Settings!$C$16)+(S598*Settings!$C$17)+(T598*Settings!$C$18)+(U598*Settings!$C$19)</f>
        <v>-4.5827931395191532</v>
      </c>
      <c r="D598" s="41">
        <f>IF(Settings!$E$12="YES",VLOOKUP(A598,'Player Data'!A1:E734,5,FALSE),82)</f>
        <v>52.97</v>
      </c>
      <c r="E598" s="39">
        <f>(VLOOKUP($A598,'The List'!$B1:$AH727,17,FALSE)-AVERAGE('The List'!R2:R727))/STDEV('The List'!R2:R727)</f>
        <v>-1.6843311626986421</v>
      </c>
      <c r="F598" s="39">
        <f>(VLOOKUP($A598,'The List'!$B1:$AH727,18,FALSE)-AVERAGE('The List'!S2:S727))/STDEV('The List'!S2:S727)</f>
        <v>-0.94099930169523471</v>
      </c>
      <c r="G598" s="39">
        <f>(VLOOKUP($A598,'The List'!$B1:$AH727,19,FALSE)-AVERAGE('The List'!T2:T727))/STDEV('The List'!T2:T727)</f>
        <v>-1.1827429237855391</v>
      </c>
      <c r="H598" s="39">
        <f>(VLOOKUP($A598,'The List'!$B1:$AH727,20,FALSE)-AVERAGE('The List'!U2:U727))/STDEV('The List'!U2:U727)</f>
        <v>-1.1570306468295515</v>
      </c>
      <c r="I598" s="39">
        <f>(VLOOKUP($A598,'The List'!$B1:$AH727,21,FALSE)-AVERAGE('The List'!V2:V727))/STDEV('The List'!V2:V727)</f>
        <v>-1.153765416527341</v>
      </c>
      <c r="J598" s="39">
        <f>(VLOOKUP($A598,'The List'!$B1:$AH727,22,FALSE)-AVERAGE('The List'!W2:W727))/STDEV('The List'!W2:W727)</f>
        <v>-0.70296475736199726</v>
      </c>
      <c r="K598" s="39">
        <f>(VLOOKUP($A598,'The List'!$B1:$AH727,23,FALSE)-AVERAGE('The List'!X2:X727))/STDEV('The List'!X2:X727)</f>
        <v>-0.79229112515971511</v>
      </c>
      <c r="L598" s="39">
        <f>(VLOOKUP($A598,'The List'!$B1:$AH727,24,FALSE)-AVERAGE('The List'!Y2:Y727))/STDEV('The List'!Y2:Y727)</f>
        <v>-0.54402834717551152</v>
      </c>
      <c r="M598" s="39">
        <f>(VLOOKUP($A598,'The List'!$B1:$AH727,25,FALSE)-AVERAGE('The List'!Z2:Z727))/STDEV('The List'!Z2:Z727)</f>
        <v>-0.72372514007823274</v>
      </c>
      <c r="N598" s="39">
        <f>(VLOOKUP($A598,'The List'!$B1:$AH727,26,FALSE)-AVERAGE('The List'!AA2:AA727))/STDEV('The List'!AA2:AA727)</f>
        <v>-1.0642484765081164</v>
      </c>
      <c r="O598" s="39">
        <f>(VLOOKUP($A598,'The List'!$B1:$AH727,27,FALSE)-AVERAGE('The List'!AB2:AB727))/STDEV('The List'!AB2:AB727)</f>
        <v>-0.46384916057047171</v>
      </c>
      <c r="P598" s="39">
        <f>(VLOOKUP($A598,'The List'!$B1:$AH727,28,FALSE)-AVERAGE('The List'!AC2:AC727))/STDEV('The List'!AC2:AC727)</f>
        <v>0.55125410415679343</v>
      </c>
      <c r="Q598" s="39">
        <f>(VLOOKUP($A598,'The List'!$B1:$AH727,29,FALSE)-AVERAGE('The List'!AD2:AD727))/STDEV('The List'!AD2:AD727)</f>
        <v>-1.4749182446051605</v>
      </c>
      <c r="R598" s="39">
        <f>(VLOOKUP($A598,'The List'!$B1:$AH727,30,FALSE)-AVERAGE('The List'!AE2:AE727))/STDEV('The List'!AE2:AE727)</f>
        <v>-0.82735742260418021</v>
      </c>
      <c r="S598" s="39">
        <f>(VLOOKUP($A598,'The List'!$B1:$AH727,31,FALSE)-AVERAGE('The List'!AF2:AF727))/STDEV('The List'!AF2:AF727)</f>
        <v>-0.53009437084301059</v>
      </c>
      <c r="T598" s="39">
        <f>(VLOOKUP($A598,'The List'!$B1:$AH727,32,FALSE)-AVERAGE('The List'!AG2:AG727))/STDEV('The List'!AG2:AG727)</f>
        <v>-0.55288196921372723</v>
      </c>
      <c r="U598" s="39">
        <f>(VLOOKUP($A598,'The List'!$B1:$AH727,33,FALSE)-AVERAGE('The List'!AH2:AH727))/STDEV('The List'!AH2:AH727)</f>
        <v>0.45461534055756991</v>
      </c>
      <c r="V598" s="39"/>
      <c r="W598" s="43"/>
      <c r="X598" s="41"/>
      <c r="Y598" s="41"/>
      <c r="Z598" s="41"/>
      <c r="AA598" s="41"/>
      <c r="AB598" s="41"/>
      <c r="AC598" s="44"/>
      <c r="AD598" s="45"/>
      <c r="AE598" s="39"/>
    </row>
    <row r="599" spans="1:31" ht="21.25" customHeight="1" x14ac:dyDescent="0.15">
      <c r="A599" s="8" t="s">
        <v>700</v>
      </c>
      <c r="B599" s="35" t="str">
        <f>VLOOKUP(A599,'Player Data'!A1:B734,2,FALSE)</f>
        <v>PHI</v>
      </c>
      <c r="C599" s="37">
        <f>((E599)*Settings!$C$12)+(F599*Settings!$C$2)+(G599*Settings!$C$3)+(H599*Settings!$C$4)+(I599*Settings!$C$5)+(K599*Settings!$C$9)+(N599*Settings!$C$6)+(J599*Settings!$C$8)+(O599*Settings!$C$7)+(P599*Settings!$C$14)+(Q599*Settings!$C$15)+(R599*Settings!$C$16)+(S599*Settings!$C$17)+(T599*Settings!$C$18)+(U599*Settings!$C$19)</f>
        <v>-5.5241139399337511</v>
      </c>
      <c r="D599" s="41">
        <f>IF(Settings!$E$12="YES",VLOOKUP(A599,'Player Data'!A1:E734,5,FALSE),82)</f>
        <v>52.152857142857101</v>
      </c>
      <c r="E599" s="39">
        <f>(VLOOKUP($A599,'The List'!$B1:$AH727,17,FALSE)-AVERAGE('The List'!R2:R727))/STDEV('The List'!R2:R727)</f>
        <v>-0.63746275805825658</v>
      </c>
      <c r="F599" s="39">
        <f>(VLOOKUP($A599,'The List'!$B1:$AH727,18,FALSE)-AVERAGE('The List'!S2:S727))/STDEV('The List'!S2:S727)</f>
        <v>-1.1642003967019385</v>
      </c>
      <c r="G599" s="39">
        <f>(VLOOKUP($A599,'The List'!$B1:$AH727,19,FALSE)-AVERAGE('The List'!T2:T727))/STDEV('The List'!T2:T727)</f>
        <v>-1.0292132641327763</v>
      </c>
      <c r="H599" s="39">
        <f>(VLOOKUP($A599,'The List'!$B1:$AH727,20,FALSE)-AVERAGE('The List'!U2:U727))/STDEV('The List'!U2:U727)</f>
        <v>-1.1639947222009812</v>
      </c>
      <c r="I599" s="39">
        <f>(VLOOKUP($A599,'The List'!$B1:$AH727,21,FALSE)-AVERAGE('The List'!V2:V727))/STDEV('The List'!V2:V727)</f>
        <v>-1.5071680227181805</v>
      </c>
      <c r="J599" s="39">
        <f>(VLOOKUP($A599,'The List'!$B1:$AH727,22,FALSE)-AVERAGE('The List'!W2:W727))/STDEV('The List'!W2:W727)</f>
        <v>-0.70706316042674111</v>
      </c>
      <c r="K599" s="39">
        <f>(VLOOKUP($A599,'The List'!$B1:$AH727,23,FALSE)-AVERAGE('The List'!X2:X727))/STDEV('The List'!X2:X727)</f>
        <v>-0.78902451672058027</v>
      </c>
      <c r="L599" s="39">
        <f>(VLOOKUP($A599,'The List'!$B1:$AH727,24,FALSE)-AVERAGE('The List'!Y2:Y727))/STDEV('The List'!Y2:Y727)</f>
        <v>-0.53796015423088739</v>
      </c>
      <c r="M599" s="39">
        <f>(VLOOKUP($A599,'The List'!$B1:$AH727,25,FALSE)-AVERAGE('The List'!Z2:Z727))/STDEV('The List'!Z2:Z727)</f>
        <v>-0.71037458041873647</v>
      </c>
      <c r="N599" s="39">
        <f>(VLOOKUP($A599,'The List'!$B1:$AH727,26,FALSE)-AVERAGE('The List'!AA2:AA727))/STDEV('The List'!AA2:AA727)</f>
        <v>-7.213401704028885E-2</v>
      </c>
      <c r="O599" s="39">
        <f>(VLOOKUP($A599,'The List'!$B1:$AH727,27,FALSE)-AVERAGE('The List'!AB2:AB727))/STDEV('The List'!AB2:AB727)</f>
        <v>-0.67820174318680726</v>
      </c>
      <c r="P599" s="39">
        <f>(VLOOKUP($A599,'The List'!$B1:$AH727,28,FALSE)-AVERAGE('The List'!AC2:AC727))/STDEV('The List'!AC2:AC727)</f>
        <v>-0.96237372261998733</v>
      </c>
      <c r="Q599" s="39">
        <f>(VLOOKUP($A599,'The List'!$B1:$AH727,29,FALSE)-AVERAGE('The List'!AD2:AD727))/STDEV('The List'!AD2:AD727)</f>
        <v>-1.0869043898283521</v>
      </c>
      <c r="R599" s="39">
        <f>(VLOOKUP($A599,'The List'!$B1:$AH727,30,FALSE)-AVERAGE('The List'!AE2:AE727))/STDEV('The List'!AE2:AE727)</f>
        <v>-1.0925146391239211</v>
      </c>
      <c r="S599" s="39">
        <f>(VLOOKUP($A599,'The List'!$B1:$AH727,31,FALSE)-AVERAGE('The List'!AF2:AF727))/STDEV('The List'!AF2:AF727)</f>
        <v>-0.55804314905918151</v>
      </c>
      <c r="T599" s="39">
        <f>(VLOOKUP($A599,'The List'!$B1:$AH727,32,FALSE)-AVERAGE('The List'!AG2:AG727))/STDEV('The List'!AG2:AG727)</f>
        <v>-0.60188453558131205</v>
      </c>
      <c r="U599" s="39">
        <f>(VLOOKUP($A599,'The List'!$B1:$AH727,33,FALSE)-AVERAGE('The List'!AH2:AH727))/STDEV('The List'!AH2:AH727)</f>
        <v>-1.2395873372913611</v>
      </c>
      <c r="V599" s="39"/>
      <c r="W599" s="43"/>
      <c r="X599" s="41"/>
      <c r="Y599" s="41"/>
      <c r="Z599" s="41"/>
      <c r="AA599" s="41"/>
      <c r="AB599" s="41"/>
      <c r="AC599" s="44"/>
      <c r="AD599" s="45"/>
      <c r="AE599" s="39"/>
    </row>
    <row r="600" spans="1:31" ht="21.25" customHeight="1" x14ac:dyDescent="0.15">
      <c r="A600" s="8" t="s">
        <v>653</v>
      </c>
      <c r="B600" s="35" t="str">
        <f>VLOOKUP(A600,'Player Data'!A1:B734,2,FALSE)</f>
        <v>ANA</v>
      </c>
      <c r="C600" s="37">
        <f>((E600)*Settings!$C$12)+(F600*Settings!$C$2)+(G600*Settings!$C$3)+(H600*Settings!$C$4)+(I600*Settings!$C$5)+(K600*Settings!$C$9)+(N600*Settings!$C$6)+(J600*Settings!$C$8)+(O600*Settings!$C$7)+(P600*Settings!$C$14)+(Q600*Settings!$C$15)+(R600*Settings!$C$16)+(S600*Settings!$C$17)+(T600*Settings!$C$18)+(U600*Settings!$C$19)</f>
        <v>-5.8752019842204453</v>
      </c>
      <c r="D600" s="41">
        <f>IF(Settings!$E$12="YES",VLOOKUP(A600,'Player Data'!A1:E734,5,FALSE),82)</f>
        <v>57.387857142857101</v>
      </c>
      <c r="E600" s="39">
        <f>(VLOOKUP($A600,'The List'!$B1:$AH727,17,FALSE)-AVERAGE('The List'!R2:R727))/STDEV('The List'!R2:R727)</f>
        <v>8.3013512818671097E-3</v>
      </c>
      <c r="F600" s="39">
        <f>(VLOOKUP($A600,'The List'!$B1:$AH727,18,FALSE)-AVERAGE('The List'!S2:S727))/STDEV('The List'!S2:S727)</f>
        <v>-1.1670685236035661</v>
      </c>
      <c r="G600" s="39">
        <f>(VLOOKUP($A600,'The List'!$B1:$AH727,19,FALSE)-AVERAGE('The List'!T2:T727))/STDEV('The List'!T2:T727)</f>
        <v>-0.96376630907356975</v>
      </c>
      <c r="H600" s="39">
        <f>(VLOOKUP($A600,'The List'!$B1:$AH727,20,FALSE)-AVERAGE('The List'!U2:U727))/STDEV('The List'!U2:U727)</f>
        <v>-1.124970883079774</v>
      </c>
      <c r="I600" s="39">
        <f>(VLOOKUP($A600,'The List'!$B1:$AH727,21,FALSE)-AVERAGE('The List'!V2:V727))/STDEV('The List'!V2:V727)</f>
        <v>-1.1304504287596635</v>
      </c>
      <c r="J600" s="39">
        <f>(VLOOKUP($A600,'The List'!$B1:$AH727,22,FALSE)-AVERAGE('The List'!W2:W727))/STDEV('The List'!W2:W727)</f>
        <v>-0.70686082157810137</v>
      </c>
      <c r="K600" s="39">
        <f>(VLOOKUP($A600,'The List'!$B1:$AH727,23,FALSE)-AVERAGE('The List'!X2:X727))/STDEV('The List'!X2:X727)</f>
        <v>-0.78437012884981561</v>
      </c>
      <c r="L600" s="39">
        <f>(VLOOKUP($A600,'The List'!$B1:$AH727,24,FALSE)-AVERAGE('The List'!Y2:Y727))/STDEV('The List'!Y2:Y727)</f>
        <v>-0.51169154454211585</v>
      </c>
      <c r="M600" s="39">
        <f>(VLOOKUP($A600,'The List'!$B1:$AH727,25,FALSE)-AVERAGE('The List'!Z2:Z727))/STDEV('The List'!Z2:Z727)</f>
        <v>-0.65292561358756052</v>
      </c>
      <c r="N600" s="39">
        <f>(VLOOKUP($A600,'The List'!$B1:$AH727,26,FALSE)-AVERAGE('The List'!AA2:AA727))/STDEV('The List'!AA2:AA727)</f>
        <v>0.14166467532206134</v>
      </c>
      <c r="O600" s="39">
        <f>(VLOOKUP($A600,'The List'!$B1:$AH727,27,FALSE)-AVERAGE('The List'!AB2:AB727))/STDEV('The List'!AB2:AB727)</f>
        <v>-0.67511686762993528</v>
      </c>
      <c r="P600" s="39">
        <f>(VLOOKUP($A600,'The List'!$B1:$AH727,28,FALSE)-AVERAGE('The List'!AC2:AC727))/STDEV('The List'!AC2:AC727)</f>
        <v>-1.9712112692558919</v>
      </c>
      <c r="Q600" s="39">
        <f>(VLOOKUP($A600,'The List'!$B1:$AH727,29,FALSE)-AVERAGE('The List'!AD2:AD727))/STDEV('The List'!AD2:AD727)</f>
        <v>-1.159411754228922</v>
      </c>
      <c r="R600" s="39">
        <f>(VLOOKUP($A600,'The List'!$B1:$AH727,30,FALSE)-AVERAGE('The List'!AE2:AE727))/STDEV('The List'!AE2:AE727)</f>
        <v>-1.1022918901019261</v>
      </c>
      <c r="S600" s="39">
        <f>(VLOOKUP($A600,'The List'!$B1:$AH727,31,FALSE)-AVERAGE('The List'!AF2:AF727))/STDEV('The List'!AF2:AF727)</f>
        <v>-0.55804314905918151</v>
      </c>
      <c r="T600" s="39">
        <f>(VLOOKUP($A600,'The List'!$B1:$AH727,32,FALSE)-AVERAGE('The List'!AG2:AG727))/STDEV('The List'!AG2:AG727)</f>
        <v>-0.60188453558131205</v>
      </c>
      <c r="U600" s="39">
        <f>(VLOOKUP($A600,'The List'!$B1:$AH727,33,FALSE)-AVERAGE('The List'!AH2:AH727))/STDEV('The List'!AH2:AH727)</f>
        <v>-1.2395873372913611</v>
      </c>
      <c r="V600" s="39"/>
      <c r="W600" s="43"/>
      <c r="X600" s="41"/>
      <c r="Y600" s="41"/>
      <c r="Z600" s="41"/>
      <c r="AA600" s="41"/>
      <c r="AB600" s="41"/>
      <c r="AC600" s="44"/>
      <c r="AD600" s="45"/>
      <c r="AE600" s="39"/>
    </row>
    <row r="601" spans="1:31" ht="21.25" customHeight="1" x14ac:dyDescent="0.15">
      <c r="A601" s="8" t="s">
        <v>626</v>
      </c>
      <c r="B601" s="35" t="str">
        <f>VLOOKUP(A601,'Player Data'!A1:B734,2,FALSE)</f>
        <v>SJS</v>
      </c>
      <c r="C601" s="37">
        <f>((E601)*Settings!$C$12)+(F601*Settings!$C$2)+(G601*Settings!$C$3)+(H601*Settings!$C$4)+(I601*Settings!$C$5)+(K601*Settings!$C$9)+(N601*Settings!$C$6)+(J601*Settings!$C$8)+(O601*Settings!$C$7)+(P601*Settings!$C$14)+(Q601*Settings!$C$15)+(R601*Settings!$C$16)+(S601*Settings!$C$17)+(T601*Settings!$C$18)+(U601*Settings!$C$19)</f>
        <v>-3.9944000519012772</v>
      </c>
      <c r="D601" s="41">
        <f>IF(Settings!$E$12="YES",VLOOKUP(A601,'Player Data'!A1:E734,5,FALSE),82)</f>
        <v>55.7</v>
      </c>
      <c r="E601" s="39">
        <f>(VLOOKUP($A601,'The List'!$B1:$AH727,17,FALSE)-AVERAGE('The List'!R2:R727))/STDEV('The List'!R2:R727)</f>
        <v>-0.64682522433950029</v>
      </c>
      <c r="F601" s="39">
        <f>(VLOOKUP($A601,'The List'!$B1:$AH727,18,FALSE)-AVERAGE('The List'!S2:S727))/STDEV('The List'!S2:S727)</f>
        <v>-1.148156871246959</v>
      </c>
      <c r="G601" s="39">
        <f>(VLOOKUP($A601,'The List'!$B1:$AH727,19,FALSE)-AVERAGE('The List'!T2:T727))/STDEV('The List'!T2:T727)</f>
        <v>-1.000217750150949</v>
      </c>
      <c r="H601" s="39">
        <f>(VLOOKUP($A601,'The List'!$B1:$AH727,20,FALSE)-AVERAGE('The List'!U2:U727))/STDEV('The List'!U2:U727)</f>
        <v>-1.1388266114693473</v>
      </c>
      <c r="I601" s="39">
        <f>(VLOOKUP($A601,'The List'!$B1:$AH727,21,FALSE)-AVERAGE('The List'!V2:V727))/STDEV('The List'!V2:V727)</f>
        <v>-0.87270790085796768</v>
      </c>
      <c r="J601" s="39">
        <f>(VLOOKUP($A601,'The List'!$B1:$AH727,22,FALSE)-AVERAGE('The List'!W2:W727))/STDEV('The List'!W2:W727)</f>
        <v>-0.67547967622324867</v>
      </c>
      <c r="K601" s="39">
        <f>(VLOOKUP($A601,'The List'!$B1:$AH727,23,FALSE)-AVERAGE('The List'!X2:X727))/STDEV('The List'!X2:X727)</f>
        <v>-0.65251691575927873</v>
      </c>
      <c r="L601" s="39">
        <f>(VLOOKUP($A601,'The List'!$B1:$AH727,24,FALSE)-AVERAGE('The List'!Y2:Y727))/STDEV('The List'!Y2:Y727)</f>
        <v>-0.5396256909813486</v>
      </c>
      <c r="M601" s="39">
        <f>(VLOOKUP($A601,'The List'!$B1:$AH727,25,FALSE)-AVERAGE('The List'!Z2:Z727))/STDEV('The List'!Z2:Z727)</f>
        <v>-0.71314952931882702</v>
      </c>
      <c r="N601" s="39">
        <f>(VLOOKUP($A601,'The List'!$B1:$AH727,26,FALSE)-AVERAGE('The List'!AA2:AA727))/STDEV('The List'!AA2:AA727)</f>
        <v>-0.21005941975710254</v>
      </c>
      <c r="O601" s="39">
        <f>(VLOOKUP($A601,'The List'!$B1:$AH727,27,FALSE)-AVERAGE('The List'!AB2:AB727))/STDEV('The List'!AB2:AB727)</f>
        <v>-0.34355006081173622</v>
      </c>
      <c r="P601" s="39">
        <f>(VLOOKUP($A601,'The List'!$B1:$AH727,28,FALSE)-AVERAGE('The List'!AC2:AC727))/STDEV('The List'!AC2:AC727)</f>
        <v>-0.11074119412902045</v>
      </c>
      <c r="Q601" s="39">
        <f>(VLOOKUP($A601,'The List'!$B1:$AH727,29,FALSE)-AVERAGE('The List'!AD2:AD727))/STDEV('The List'!AD2:AD727)</f>
        <v>-0.64097147627068574</v>
      </c>
      <c r="R601" s="39">
        <f>(VLOOKUP($A601,'The List'!$B1:$AH727,30,FALSE)-AVERAGE('The List'!AE2:AE727))/STDEV('The List'!AE2:AE727)</f>
        <v>-1.0765033916548932</v>
      </c>
      <c r="S601" s="39">
        <f>(VLOOKUP($A601,'The List'!$B1:$AH727,31,FALSE)-AVERAGE('The List'!AF2:AF727))/STDEV('The List'!AF2:AF727)</f>
        <v>-0.55804314905918151</v>
      </c>
      <c r="T601" s="39">
        <f>(VLOOKUP($A601,'The List'!$B1:$AH727,32,FALSE)-AVERAGE('The List'!AG2:AG727))/STDEV('The List'!AG2:AG727)</f>
        <v>-0.60188453558131205</v>
      </c>
      <c r="U601" s="39">
        <f>(VLOOKUP($A601,'The List'!$B1:$AH727,33,FALSE)-AVERAGE('The List'!AH2:AH727))/STDEV('The List'!AH2:AH727)</f>
        <v>-1.2395873372913611</v>
      </c>
      <c r="V601" s="39"/>
      <c r="W601" s="43"/>
      <c r="X601" s="41"/>
      <c r="Y601" s="41"/>
      <c r="Z601" s="41"/>
      <c r="AA601" s="41"/>
      <c r="AB601" s="41"/>
      <c r="AC601" s="44"/>
      <c r="AD601" s="45"/>
      <c r="AE601" s="39"/>
    </row>
    <row r="602" spans="1:31" ht="21.25" customHeight="1" x14ac:dyDescent="0.15">
      <c r="A602" s="8" t="s">
        <v>822</v>
      </c>
      <c r="B602" s="35" t="str">
        <f>VLOOKUP(A602,'Player Data'!A1:B734,2,FALSE)</f>
        <v>NJD</v>
      </c>
      <c r="C602" s="37">
        <f>((E602)*Settings!$C$12)+(F602*Settings!$C$2)+(G602*Settings!$C$3)+(H602*Settings!$C$4)+(I602*Settings!$C$5)+(K602*Settings!$C$9)+(N602*Settings!$C$6)+(J602*Settings!$C$8)+(O602*Settings!$C$7)+(P602*Settings!$C$14)+(Q602*Settings!$C$15)+(R602*Settings!$C$16)+(S602*Settings!$C$17)+(T602*Settings!$C$18)+(U602*Settings!$C$19)</f>
        <v>-4.6852057912066574</v>
      </c>
      <c r="D602" s="41">
        <f>IF(Settings!$E$12="YES",VLOOKUP(A602,'Player Data'!A1:E734,5,FALSE),82)</f>
        <v>52</v>
      </c>
      <c r="E602" s="39">
        <f>(VLOOKUP($A602,'The List'!$B1:$AH727,17,FALSE)-AVERAGE('The List'!R2:R727))/STDEV('The List'!R2:R727)</f>
        <v>-1.2874360771155211</v>
      </c>
      <c r="F602" s="39">
        <f>(VLOOKUP($A602,'The List'!$B1:$AH727,18,FALSE)-AVERAGE('The List'!S2:S727))/STDEV('The List'!S2:S727)</f>
        <v>-0.82918092899110807</v>
      </c>
      <c r="G602" s="39">
        <f>(VLOOKUP($A602,'The List'!$B1:$AH727,19,FALSE)-AVERAGE('The List'!T2:T727))/STDEV('The List'!T2:T727)</f>
        <v>-1.288703946828476</v>
      </c>
      <c r="H602" s="39">
        <f>(VLOOKUP($A602,'The List'!$B1:$AH727,20,FALSE)-AVERAGE('The List'!U2:U727))/STDEV('The List'!U2:U727)</f>
        <v>-1.171440448143285</v>
      </c>
      <c r="I602" s="39">
        <f>(VLOOKUP($A602,'The List'!$B1:$AH727,21,FALSE)-AVERAGE('The List'!V2:V727))/STDEV('The List'!V2:V727)</f>
        <v>-1.197053454625296</v>
      </c>
      <c r="J602" s="39">
        <f>(VLOOKUP($A602,'The List'!$B1:$AH727,22,FALSE)-AVERAGE('The List'!W2:W727))/STDEV('The List'!W2:W727)</f>
        <v>-0.70181486666898896</v>
      </c>
      <c r="K602" s="39">
        <f>(VLOOKUP($A602,'The List'!$B1:$AH727,23,FALSE)-AVERAGE('The List'!X2:X727))/STDEV('The List'!X2:X727)</f>
        <v>-0.79119589676097968</v>
      </c>
      <c r="L602" s="39">
        <f>(VLOOKUP($A602,'The List'!$B1:$AH727,24,FALSE)-AVERAGE('The List'!Y2:Y727))/STDEV('The List'!Y2:Y727)</f>
        <v>-0.4066022639854196</v>
      </c>
      <c r="M602" s="39">
        <f>(VLOOKUP($A602,'The List'!$B1:$AH727,25,FALSE)-AVERAGE('The List'!Z2:Z727))/STDEV('The List'!Z2:Z727)</f>
        <v>-0.33653367755066055</v>
      </c>
      <c r="N602" s="39">
        <f>(VLOOKUP($A602,'The List'!$B1:$AH727,26,FALSE)-AVERAGE('The List'!AA2:AA727))/STDEV('The List'!AA2:AA727)</f>
        <v>-0.42116943404960444</v>
      </c>
      <c r="O602" s="39">
        <f>(VLOOKUP($A602,'The List'!$B1:$AH727,27,FALSE)-AVERAGE('The List'!AB2:AB727))/STDEV('The List'!AB2:AB727)</f>
        <v>0.73410940326694585</v>
      </c>
      <c r="P602" s="39">
        <f>(VLOOKUP($A602,'The List'!$B1:$AH727,28,FALSE)-AVERAGE('The List'!AC2:AC727))/STDEV('The List'!AC2:AC727)</f>
        <v>-0.15790212995119418</v>
      </c>
      <c r="Q602" s="39">
        <f>(VLOOKUP($A602,'The List'!$B1:$AH727,29,FALSE)-AVERAGE('The List'!AD2:AD727))/STDEV('The List'!AD2:AD727)</f>
        <v>-1.1958412260291584</v>
      </c>
      <c r="R602" s="39">
        <f>(VLOOKUP($A602,'The List'!$B1:$AH727,30,FALSE)-AVERAGE('The List'!AE2:AE727))/STDEV('The List'!AE2:AE727)</f>
        <v>-0.7452677273661954</v>
      </c>
      <c r="S602" s="39">
        <f>(VLOOKUP($A602,'The List'!$B1:$AH727,31,FALSE)-AVERAGE('The List'!AF2:AF727))/STDEV('The List'!AF2:AF727)</f>
        <v>0.1009400799311677</v>
      </c>
      <c r="T602" s="39">
        <f>(VLOOKUP($A602,'The List'!$B1:$AH727,32,FALSE)-AVERAGE('The List'!AG2:AG727))/STDEV('The List'!AG2:AG727)</f>
        <v>0.10628362495529123</v>
      </c>
      <c r="U602" s="39">
        <f>(VLOOKUP($A602,'The List'!$B1:$AH727,33,FALSE)-AVERAGE('The List'!AH2:AH727))/STDEV('The List'!AH2:AH727)</f>
        <v>0.99528158026068214</v>
      </c>
      <c r="V602" s="39"/>
      <c r="W602" s="43"/>
      <c r="X602" s="41"/>
      <c r="Y602" s="41"/>
      <c r="Z602" s="41"/>
      <c r="AA602" s="41"/>
      <c r="AB602" s="41"/>
      <c r="AC602" s="44"/>
      <c r="AD602" s="45"/>
      <c r="AE602" s="39"/>
    </row>
    <row r="603" spans="1:31" ht="21.25" customHeight="1" x14ac:dyDescent="0.15">
      <c r="A603" s="8" t="s">
        <v>680</v>
      </c>
      <c r="B603" s="35" t="str">
        <f>VLOOKUP(A603,'Player Data'!A1:B734,2,FALSE)</f>
        <v>BOS</v>
      </c>
      <c r="C603" s="37">
        <f>((E603)*Settings!$C$12)+(F603*Settings!$C$2)+(G603*Settings!$C$3)+(H603*Settings!$C$4)+(I603*Settings!$C$5)+(K603*Settings!$C$9)+(N603*Settings!$C$6)+(J603*Settings!$C$8)+(O603*Settings!$C$7)+(P603*Settings!$C$14)+(Q603*Settings!$C$15)+(R603*Settings!$C$16)+(S603*Settings!$C$17)+(T603*Settings!$C$18)+(U603*Settings!$C$19)</f>
        <v>-3.9257066902435107</v>
      </c>
      <c r="D603" s="41">
        <f>IF(Settings!$E$12="YES",VLOOKUP(A603,'Player Data'!A1:E734,5,FALSE),82)</f>
        <v>59.43</v>
      </c>
      <c r="E603" s="39">
        <f>(VLOOKUP($A603,'The List'!$B1:$AH727,17,FALSE)-AVERAGE('The List'!R2:R727))/STDEV('The List'!R2:R727)</f>
        <v>-0.53894917055471303</v>
      </c>
      <c r="F603" s="39">
        <f>(VLOOKUP($A603,'The List'!$B1:$AH727,18,FALSE)-AVERAGE('The List'!S2:S727))/STDEV('The List'!S2:S727)</f>
        <v>-1.1440459186645227</v>
      </c>
      <c r="G603" s="39">
        <f>(VLOOKUP($A603,'The List'!$B1:$AH727,19,FALSE)-AVERAGE('The List'!T2:T727))/STDEV('The List'!T2:T727)</f>
        <v>-0.95960071089691601</v>
      </c>
      <c r="H603" s="39">
        <f>(VLOOKUP($A603,'The List'!$B1:$AH727,20,FALSE)-AVERAGE('The List'!U2:U727))/STDEV('The List'!U2:U727)</f>
        <v>-1.1119272772087598</v>
      </c>
      <c r="I603" s="39">
        <f>(VLOOKUP($A603,'The List'!$B1:$AH727,21,FALSE)-AVERAGE('The List'!V2:V727))/STDEV('The List'!V2:V727)</f>
        <v>-1.3603672908077322</v>
      </c>
      <c r="J603" s="39">
        <f>(VLOOKUP($A603,'The List'!$B1:$AH727,22,FALSE)-AVERAGE('The List'!W2:W727))/STDEV('The List'!W2:W727)</f>
        <v>-0.71092209943664753</v>
      </c>
      <c r="K603" s="39">
        <f>(VLOOKUP($A603,'The List'!$B1:$AH727,23,FALSE)-AVERAGE('The List'!X2:X727))/STDEV('The List'!X2:X727)</f>
        <v>-0.79742644644244165</v>
      </c>
      <c r="L603" s="39">
        <f>(VLOOKUP($A603,'The List'!$B1:$AH727,24,FALSE)-AVERAGE('The List'!Y2:Y727))/STDEV('The List'!Y2:Y727)</f>
        <v>-0.49146583479274308</v>
      </c>
      <c r="M603" s="39">
        <f>(VLOOKUP($A603,'The List'!$B1:$AH727,25,FALSE)-AVERAGE('The List'!Z2:Z727))/STDEV('The List'!Z2:Z727)</f>
        <v>-0.60418597141694519</v>
      </c>
      <c r="N603" s="39">
        <f>(VLOOKUP($A603,'The List'!$B1:$AH727,26,FALSE)-AVERAGE('The List'!AA2:AA727))/STDEV('The List'!AA2:AA727)</f>
        <v>2.861205193691271E-2</v>
      </c>
      <c r="O603" s="39">
        <f>(VLOOKUP($A603,'The List'!$B1:$AH727,27,FALSE)-AVERAGE('The List'!AB2:AB727))/STDEV('The List'!AB2:AB727)</f>
        <v>-0.10403452538071979</v>
      </c>
      <c r="P603" s="39">
        <f>(VLOOKUP($A603,'The List'!$B1:$AH727,28,FALSE)-AVERAGE('The List'!AC2:AC727))/STDEV('The List'!AC2:AC727)</f>
        <v>0.3071216246311893</v>
      </c>
      <c r="Q603" s="39">
        <f>(VLOOKUP($A603,'The List'!$B1:$AH727,29,FALSE)-AVERAGE('The List'!AD2:AD727))/STDEV('The List'!AD2:AD727)</f>
        <v>-0.67841194586123976</v>
      </c>
      <c r="R603" s="39">
        <f>(VLOOKUP($A603,'The List'!$B1:$AH727,30,FALSE)-AVERAGE('The List'!AE2:AE727))/STDEV('The List'!AE2:AE727)</f>
        <v>-1.0277362226760727</v>
      </c>
      <c r="S603" s="39">
        <f>(VLOOKUP($A603,'The List'!$B1:$AH727,31,FALSE)-AVERAGE('The List'!AF2:AF727))/STDEV('The List'!AF2:AF727)</f>
        <v>-0.55804314905918151</v>
      </c>
      <c r="T603" s="39">
        <f>(VLOOKUP($A603,'The List'!$B1:$AH727,32,FALSE)-AVERAGE('The List'!AG2:AG727))/STDEV('The List'!AG2:AG727)</f>
        <v>-0.60188453558131205</v>
      </c>
      <c r="U603" s="39">
        <f>(VLOOKUP($A603,'The List'!$B1:$AH727,33,FALSE)-AVERAGE('The List'!AH2:AH727))/STDEV('The List'!AH2:AH727)</f>
        <v>-1.2395873372913611</v>
      </c>
      <c r="V603" s="39"/>
      <c r="W603" s="43"/>
      <c r="X603" s="41"/>
      <c r="Y603" s="41"/>
      <c r="Z603" s="41"/>
      <c r="AA603" s="41"/>
      <c r="AB603" s="41"/>
      <c r="AC603" s="44"/>
      <c r="AD603" s="45"/>
      <c r="AE603" s="39"/>
    </row>
    <row r="604" spans="1:31" ht="21.25" customHeight="1" x14ac:dyDescent="0.15">
      <c r="A604" s="8" t="s">
        <v>546</v>
      </c>
      <c r="B604" s="35" t="str">
        <f>VLOOKUP(A604,'Player Data'!A1:B734,2,FALSE)</f>
        <v>PHI</v>
      </c>
      <c r="C604" s="37">
        <f>((E604)*Settings!$C$12)+(F604*Settings!$C$2)+(G604*Settings!$C$3)+(H604*Settings!$C$4)+(I604*Settings!$C$5)+(K604*Settings!$C$9)+(N604*Settings!$C$6)+(J604*Settings!$C$8)+(O604*Settings!$C$7)+(P604*Settings!$C$14)+(Q604*Settings!$C$15)+(R604*Settings!$C$16)+(S604*Settings!$C$17)+(T604*Settings!$C$18)+(U604*Settings!$C$19)</f>
        <v>-2.6141441103873295</v>
      </c>
      <c r="D604" s="41">
        <f>IF(Settings!$E$12="YES",VLOOKUP(A604,'Player Data'!A1:E734,5,FALSE),82)</f>
        <v>71.88</v>
      </c>
      <c r="E604" s="39">
        <f>(VLOOKUP($A604,'The List'!$B1:$AH727,17,FALSE)-AVERAGE('The List'!R2:R727))/STDEV('The List'!R2:R727)</f>
        <v>-6.5441045457714534E-3</v>
      </c>
      <c r="F604" s="39">
        <f>(VLOOKUP($A604,'The List'!$B1:$AH727,18,FALSE)-AVERAGE('The List'!S2:S727))/STDEV('The List'!S2:S727)</f>
        <v>-0.96052954815863745</v>
      </c>
      <c r="G604" s="39">
        <f>(VLOOKUP($A604,'The List'!$B1:$AH727,19,FALSE)-AVERAGE('The List'!T2:T727))/STDEV('The List'!T2:T727)</f>
        <v>-0.93853171094141208</v>
      </c>
      <c r="H604" s="39">
        <f>(VLOOKUP($A604,'The List'!$B1:$AH727,20,FALSE)-AVERAGE('The List'!U2:U727))/STDEV('The List'!U2:U727)</f>
        <v>-1.0154329330680882</v>
      </c>
      <c r="I604" s="39">
        <f>(VLOOKUP($A604,'The List'!$B1:$AH727,21,FALSE)-AVERAGE('The List'!V2:V727))/STDEV('The List'!V2:V727)</f>
        <v>-0.76882331612274601</v>
      </c>
      <c r="J604" s="39">
        <f>(VLOOKUP($A604,'The List'!$B1:$AH727,22,FALSE)-AVERAGE('The List'!W2:W727))/STDEV('The List'!W2:W727)</f>
        <v>-0.70947274644985969</v>
      </c>
      <c r="K604" s="39">
        <f>(VLOOKUP($A604,'The List'!$B1:$AH727,23,FALSE)-AVERAGE('The List'!X2:X727))/STDEV('The List'!X2:X727)</f>
        <v>-0.79474694862392092</v>
      </c>
      <c r="L604" s="39">
        <f>(VLOOKUP($A604,'The List'!$B1:$AH727,24,FALSE)-AVERAGE('The List'!Y2:Y727))/STDEV('The List'!Y2:Y727)</f>
        <v>-0.49550349406840166</v>
      </c>
      <c r="M604" s="39">
        <f>(VLOOKUP($A604,'The List'!$B1:$AH727,25,FALSE)-AVERAGE('The List'!Z2:Z727))/STDEV('The List'!Z2:Z727)</f>
        <v>-0.14739768703607792</v>
      </c>
      <c r="N604" s="39">
        <f>(VLOOKUP($A604,'The List'!$B1:$AH727,26,FALSE)-AVERAGE('The List'!AA2:AA727))/STDEV('The List'!AA2:AA727)</f>
        <v>2.120083575287993</v>
      </c>
      <c r="O604" s="39">
        <f>(VLOOKUP($A604,'The List'!$B1:$AH727,27,FALSE)-AVERAGE('The List'!AB2:AB727))/STDEV('The List'!AB2:AB727)</f>
        <v>0.72578948375305863</v>
      </c>
      <c r="P604" s="39">
        <f>(VLOOKUP($A604,'The List'!$B1:$AH727,28,FALSE)-AVERAGE('The List'!AC2:AC727))/STDEV('The List'!AC2:AC727)</f>
        <v>-1.2715961618286062</v>
      </c>
      <c r="Q604" s="39">
        <f>(VLOOKUP($A604,'The List'!$B1:$AH727,29,FALSE)-AVERAGE('The List'!AD2:AD727))/STDEV('The List'!AD2:AD727)</f>
        <v>1.4554781782823605</v>
      </c>
      <c r="R604" s="39">
        <f>(VLOOKUP($A604,'The List'!$B1:$AH727,30,FALSE)-AVERAGE('The List'!AE2:AE727))/STDEV('The List'!AE2:AE727)</f>
        <v>-0.93613057128795962</v>
      </c>
      <c r="S604" s="39">
        <f>(VLOOKUP($A604,'The List'!$B1:$AH727,31,FALSE)-AVERAGE('The List'!AF2:AF727))/STDEV('The List'!AF2:AF727)</f>
        <v>-0.55804314905918151</v>
      </c>
      <c r="T604" s="39">
        <f>(VLOOKUP($A604,'The List'!$B1:$AH727,32,FALSE)-AVERAGE('The List'!AG2:AG727))/STDEV('The List'!AG2:AG727)</f>
        <v>-0.60188453558131205</v>
      </c>
      <c r="U604" s="39">
        <f>(VLOOKUP($A604,'The List'!$B1:$AH727,33,FALSE)-AVERAGE('The List'!AH2:AH727))/STDEV('The List'!AH2:AH727)</f>
        <v>-1.2395873372913611</v>
      </c>
      <c r="V604" s="39"/>
      <c r="W604" s="43"/>
      <c r="X604" s="41"/>
      <c r="Y604" s="41"/>
      <c r="Z604" s="41"/>
      <c r="AA604" s="41"/>
      <c r="AB604" s="41"/>
      <c r="AC604" s="44"/>
      <c r="AD604" s="45"/>
      <c r="AE604" s="39"/>
    </row>
    <row r="605" spans="1:31" ht="21.25" customHeight="1" x14ac:dyDescent="0.15">
      <c r="A605" s="8" t="s">
        <v>770</v>
      </c>
      <c r="B605" s="35" t="str">
        <f>VLOOKUP(A605,'Player Data'!A1:B734,2,FALSE)</f>
        <v>OTT</v>
      </c>
      <c r="C605" s="37">
        <f>((E605)*Settings!$C$12)+(F605*Settings!$C$2)+(G605*Settings!$C$3)+(H605*Settings!$C$4)+(I605*Settings!$C$5)+(K605*Settings!$C$9)+(N605*Settings!$C$6)+(J605*Settings!$C$8)+(O605*Settings!$C$7)+(P605*Settings!$C$14)+(Q605*Settings!$C$15)+(R605*Settings!$C$16)+(S605*Settings!$C$17)+(T605*Settings!$C$18)+(U605*Settings!$C$19)</f>
        <v>-4.4952756909062126</v>
      </c>
      <c r="D605" s="41">
        <f>IF(Settings!$E$12="YES",VLOOKUP(A605,'Player Data'!A1:E734,5,FALSE),82)</f>
        <v>67.5</v>
      </c>
      <c r="E605" s="39">
        <f>(VLOOKUP($A605,'The List'!$B1:$AH727,17,FALSE)-AVERAGE('The List'!R2:R727))/STDEV('The List'!R2:R727)</f>
        <v>-1.6062918447461192</v>
      </c>
      <c r="F605" s="39">
        <f>(VLOOKUP($A605,'The List'!$B1:$AH727,18,FALSE)-AVERAGE('The List'!S2:S727))/STDEV('The List'!S2:S727)</f>
        <v>-0.75845516070023833</v>
      </c>
      <c r="G605" s="39">
        <f>(VLOOKUP($A605,'The List'!$B1:$AH727,19,FALSE)-AVERAGE('The List'!T2:T727))/STDEV('The List'!T2:T727)</f>
        <v>-1.1522506089873028</v>
      </c>
      <c r="H605" s="39">
        <f>(VLOOKUP($A605,'The List'!$B1:$AH727,20,FALSE)-AVERAGE('The List'!U2:U727))/STDEV('The List'!U2:U727)</f>
        <v>-1.0551719945796123</v>
      </c>
      <c r="I605" s="39">
        <f>(VLOOKUP($A605,'The List'!$B1:$AH727,21,FALSE)-AVERAGE('The List'!V2:V727))/STDEV('The List'!V2:V727)</f>
        <v>-0.98639855275840238</v>
      </c>
      <c r="J605" s="39">
        <f>(VLOOKUP($A605,'The List'!$B1:$AH727,22,FALSE)-AVERAGE('The List'!W2:W727))/STDEV('The List'!W2:W727)</f>
        <v>-0.69477309504089702</v>
      </c>
      <c r="K605" s="39">
        <f>(VLOOKUP($A605,'The List'!$B1:$AH727,23,FALSE)-AVERAGE('The List'!X2:X727))/STDEV('The List'!X2:X727)</f>
        <v>-0.78436048455690888</v>
      </c>
      <c r="L605" s="39">
        <f>(VLOOKUP($A605,'The List'!$B1:$AH727,24,FALSE)-AVERAGE('The List'!Y2:Y727))/STDEV('The List'!Y2:Y727)</f>
        <v>-0.29745280036811655</v>
      </c>
      <c r="M605" s="39">
        <f>(VLOOKUP($A605,'The List'!$B1:$AH727,25,FALSE)-AVERAGE('The List'!Z2:Z727))/STDEV('The List'!Z2:Z727)</f>
        <v>0.6048626774803304</v>
      </c>
      <c r="N605" s="39">
        <f>(VLOOKUP($A605,'The List'!$B1:$AH727,26,FALSE)-AVERAGE('The List'!AA2:AA727))/STDEV('The List'!AA2:AA727)</f>
        <v>-0.62801883923277613</v>
      </c>
      <c r="O605" s="39">
        <f>(VLOOKUP($A605,'The List'!$B1:$AH727,27,FALSE)-AVERAGE('The List'!AB2:AB727))/STDEV('The List'!AB2:AB727)</f>
        <v>1.805852528813539</v>
      </c>
      <c r="P605" s="39">
        <f>(VLOOKUP($A605,'The List'!$B1:$AH727,28,FALSE)-AVERAGE('The List'!AC2:AC727))/STDEV('The List'!AC2:AC727)</f>
        <v>-0.18579204467058419</v>
      </c>
      <c r="Q605" s="39">
        <f>(VLOOKUP($A605,'The List'!$B1:$AH727,29,FALSE)-AVERAGE('The List'!AD2:AD727))/STDEV('The List'!AD2:AD727)</f>
        <v>0.30437393257017437</v>
      </c>
      <c r="R605" s="39">
        <f>(VLOOKUP($A605,'The List'!$B1:$AH727,30,FALSE)-AVERAGE('The List'!AE2:AE727))/STDEV('The List'!AE2:AE727)</f>
        <v>-0.70626612281288426</v>
      </c>
      <c r="S605" s="39">
        <f>(VLOOKUP($A605,'The List'!$B1:$AH727,31,FALSE)-AVERAGE('The List'!AF2:AF727))/STDEV('The List'!AF2:AF727)</f>
        <v>-0.53755349435078781</v>
      </c>
      <c r="T605" s="39">
        <f>(VLOOKUP($A605,'The List'!$B1:$AH727,32,FALSE)-AVERAGE('The List'!AG2:AG727))/STDEV('The List'!AG2:AG727)</f>
        <v>-0.5542622144299123</v>
      </c>
      <c r="U605" s="39">
        <f>(VLOOKUP($A605,'The List'!$B1:$AH727,33,FALSE)-AVERAGE('The List'!AH2:AH727))/STDEV('The List'!AH2:AH727)</f>
        <v>0.16812577845470597</v>
      </c>
      <c r="V605" s="39"/>
      <c r="W605" s="41"/>
      <c r="X605" s="39"/>
      <c r="Y605" s="39"/>
      <c r="Z605" s="39"/>
      <c r="AA605" s="39"/>
      <c r="AB605" s="39"/>
      <c r="AC605" s="39"/>
      <c r="AD605" s="39"/>
      <c r="AE605" s="39"/>
    </row>
    <row r="606" spans="1:31" ht="21.25" customHeight="1" x14ac:dyDescent="0.15">
      <c r="A606" s="8" t="s">
        <v>771</v>
      </c>
      <c r="B606" s="35" t="str">
        <f>VLOOKUP(A606,'Player Data'!A1:B734,2,FALSE)</f>
        <v>MIN</v>
      </c>
      <c r="C606" s="37">
        <f>((E606)*Settings!$C$12)+(F606*Settings!$C$2)+(G606*Settings!$C$3)+(H606*Settings!$C$4)+(I606*Settings!$C$5)+(K606*Settings!$C$9)+(N606*Settings!$C$6)+(J606*Settings!$C$8)+(O606*Settings!$C$7)+(P606*Settings!$C$14)+(Q606*Settings!$C$15)+(R606*Settings!$C$16)+(S606*Settings!$C$17)+(T606*Settings!$C$18)+(U606*Settings!$C$19)</f>
        <v>-4.4210069659326967</v>
      </c>
      <c r="D606" s="41">
        <f>IF(Settings!$E$12="YES",VLOOKUP(A606,'Player Data'!A1:E734,5,FALSE),82)</f>
        <v>81.391071428571394</v>
      </c>
      <c r="E606" s="39">
        <f>(VLOOKUP($A606,'The List'!$B1:$AH727,17,FALSE)-AVERAGE('The List'!R2:R727))/STDEV('The List'!R2:R727)</f>
        <v>-1.6574262507678545</v>
      </c>
      <c r="F606" s="39">
        <f>(VLOOKUP($A606,'The List'!$B1:$AH727,18,FALSE)-AVERAGE('The List'!S2:S727))/STDEV('The List'!S2:S727)</f>
        <v>-0.81236023584908801</v>
      </c>
      <c r="G606" s="39">
        <f>(VLOOKUP($A606,'The List'!$B1:$AH727,19,FALSE)-AVERAGE('The List'!T2:T727))/STDEV('The List'!T2:T727)</f>
        <v>-0.93777367693789704</v>
      </c>
      <c r="H606" s="39">
        <f>(VLOOKUP($A606,'The List'!$B1:$AH727,20,FALSE)-AVERAGE('The List'!U2:U727))/STDEV('The List'!U2:U727)</f>
        <v>-0.94753951653845336</v>
      </c>
      <c r="I606" s="39">
        <f>(VLOOKUP($A606,'The List'!$B1:$AH727,21,FALSE)-AVERAGE('The List'!V2:V727))/STDEV('The List'!V2:V727)</f>
        <v>-1.0219833623452197</v>
      </c>
      <c r="J606" s="39">
        <f>(VLOOKUP($A606,'The List'!$B1:$AH727,22,FALSE)-AVERAGE('The List'!W2:W727))/STDEV('The List'!W2:W727)</f>
        <v>-0.69333796376588797</v>
      </c>
      <c r="K606" s="39">
        <f>(VLOOKUP($A606,'The List'!$B1:$AH727,23,FALSE)-AVERAGE('The List'!X2:X727))/STDEV('The List'!X2:X727)</f>
        <v>-0.7834848139088606</v>
      </c>
      <c r="L606" s="39">
        <f>(VLOOKUP($A606,'The List'!$B1:$AH727,24,FALSE)-AVERAGE('The List'!Y2:Y727))/STDEV('The List'!Y2:Y727)</f>
        <v>-0.54321369799333274</v>
      </c>
      <c r="M606" s="39">
        <f>(VLOOKUP($A606,'The List'!$B1:$AH727,25,FALSE)-AVERAGE('The List'!Z2:Z727))/STDEV('The List'!Z2:Z727)</f>
        <v>-0.72273851139450773</v>
      </c>
      <c r="N606" s="39">
        <f>(VLOOKUP($A606,'The List'!$B1:$AH727,26,FALSE)-AVERAGE('The List'!AA2:AA727))/STDEV('The List'!AA2:AA727)</f>
        <v>-1.1414609522472179</v>
      </c>
      <c r="O606" s="39">
        <f>(VLOOKUP($A606,'The List'!$B1:$AH727,27,FALSE)-AVERAGE('The List'!AB2:AB727))/STDEV('The List'!AB2:AB727)</f>
        <v>1.4330622803325885</v>
      </c>
      <c r="P606" s="39">
        <f>(VLOOKUP($A606,'The List'!$B1:$AH727,28,FALSE)-AVERAGE('The List'!AC2:AC727))/STDEV('The List'!AC2:AC727)</f>
        <v>0.27605607535558618</v>
      </c>
      <c r="Q606" s="39">
        <f>(VLOOKUP($A606,'The List'!$B1:$AH727,29,FALSE)-AVERAGE('The List'!AD2:AD727))/STDEV('The List'!AD2:AD727)</f>
        <v>2.7028618163522475</v>
      </c>
      <c r="R606" s="39">
        <f>(VLOOKUP($A606,'The List'!$B1:$AH727,30,FALSE)-AVERAGE('The List'!AE2:AE727))/STDEV('The List'!AE2:AE727)</f>
        <v>-0.68698152501037424</v>
      </c>
      <c r="S606" s="39">
        <f>(VLOOKUP($A606,'The List'!$B1:$AH727,31,FALSE)-AVERAGE('The List'!AF2:AF727))/STDEV('The List'!AF2:AF727)</f>
        <v>-0.53587925947819548</v>
      </c>
      <c r="T606" s="39">
        <f>(VLOOKUP($A606,'The List'!$B1:$AH727,32,FALSE)-AVERAGE('The List'!AG2:AG727))/STDEV('The List'!AG2:AG727)</f>
        <v>-0.54825578442301648</v>
      </c>
      <c r="U606" s="39">
        <f>(VLOOKUP($A606,'The List'!$B1:$AH727,33,FALSE)-AVERAGE('The List'!AH2:AH727))/STDEV('The List'!AH2:AH727)</f>
        <v>0.12942881318492344</v>
      </c>
      <c r="V606" s="39"/>
      <c r="W606" s="43"/>
      <c r="X606" s="41"/>
      <c r="Y606" s="41"/>
      <c r="Z606" s="41"/>
      <c r="AA606" s="41"/>
      <c r="AB606" s="41"/>
      <c r="AC606" s="44"/>
      <c r="AD606" s="45"/>
      <c r="AE606" s="39"/>
    </row>
    <row r="607" spans="1:31" ht="21.25" customHeight="1" x14ac:dyDescent="0.15">
      <c r="A607" s="8" t="s">
        <v>825</v>
      </c>
      <c r="B607" s="35" t="str">
        <f>VLOOKUP(A607,'Player Data'!A1:B734,2,FALSE)</f>
        <v>EDM</v>
      </c>
      <c r="C607" s="37">
        <f>((E607)*Settings!$C$12)+(F607*Settings!$C$2)+(G607*Settings!$C$3)+(H607*Settings!$C$4)+(I607*Settings!$C$5)+(K607*Settings!$C$9)+(N607*Settings!$C$6)+(J607*Settings!$C$8)+(O607*Settings!$C$7)+(P607*Settings!$C$14)+(Q607*Settings!$C$15)+(R607*Settings!$C$16)+(S607*Settings!$C$17)+(T607*Settings!$C$18)+(U607*Settings!$C$19)</f>
        <v>-4.4233763071834007</v>
      </c>
      <c r="D607" s="41">
        <f>IF(Settings!$E$12="YES",VLOOKUP(A607,'Player Data'!A1:E734,5,FALSE),82)</f>
        <v>58.976428571428599</v>
      </c>
      <c r="E607" s="39">
        <f>(VLOOKUP($A607,'The List'!$B1:$AH727,17,FALSE)-AVERAGE('The List'!R2:R727))/STDEV('The List'!R2:R727)</f>
        <v>-1.7806812881143761</v>
      </c>
      <c r="F607" s="39">
        <f>(VLOOKUP($A607,'The List'!$B1:$AH727,18,FALSE)-AVERAGE('The List'!S2:S727))/STDEV('The List'!S2:S727)</f>
        <v>-0.85931358443845285</v>
      </c>
      <c r="G607" s="39">
        <f>(VLOOKUP($A607,'The List'!$B1:$AH727,19,FALSE)-AVERAGE('The List'!T2:T727))/STDEV('The List'!T2:T727)</f>
        <v>-1.1931184586747721</v>
      </c>
      <c r="H607" s="39">
        <f>(VLOOKUP($A607,'The List'!$B1:$AH727,20,FALSE)-AVERAGE('The List'!U2:U727))/STDEV('The List'!U2:U727)</f>
        <v>-1.1262520340189774</v>
      </c>
      <c r="I607" s="39">
        <f>(VLOOKUP($A607,'The List'!$B1:$AH727,21,FALSE)-AVERAGE('The List'!V2:V727))/STDEV('The List'!V2:V727)</f>
        <v>-1.325331847175393</v>
      </c>
      <c r="J607" s="39">
        <f>(VLOOKUP($A607,'The List'!$B1:$AH727,22,FALSE)-AVERAGE('The List'!W2:W727))/STDEV('The List'!W2:W727)</f>
        <v>-0.66958948487253844</v>
      </c>
      <c r="K607" s="39">
        <f>(VLOOKUP($A607,'The List'!$B1:$AH727,23,FALSE)-AVERAGE('The List'!X2:X727))/STDEV('The List'!X2:X727)</f>
        <v>-0.7538188283943712</v>
      </c>
      <c r="L607" s="39">
        <f>(VLOOKUP($A607,'The List'!$B1:$AH727,24,FALSE)-AVERAGE('The List'!Y2:Y727))/STDEV('The List'!Y2:Y727)</f>
        <v>-0.41513201047716802</v>
      </c>
      <c r="M607" s="39">
        <f>(VLOOKUP($A607,'The List'!$B1:$AH727,25,FALSE)-AVERAGE('The List'!Z2:Z727))/STDEV('The List'!Z2:Z727)</f>
        <v>-0.57784031388055979</v>
      </c>
      <c r="N607" s="39">
        <f>(VLOOKUP($A607,'The List'!$B1:$AH727,26,FALSE)-AVERAGE('The List'!AA2:AA727))/STDEV('The List'!AA2:AA727)</f>
        <v>-0.9805895754642483</v>
      </c>
      <c r="O607" s="39">
        <f>(VLOOKUP($A607,'The List'!$B1:$AH727,27,FALSE)-AVERAGE('The List'!AB2:AB727))/STDEV('The List'!AB2:AB727)</f>
        <v>0.37430493782901897</v>
      </c>
      <c r="P607" s="39">
        <f>(VLOOKUP($A607,'The List'!$B1:$AH727,28,FALSE)-AVERAGE('The List'!AC2:AC727))/STDEV('The List'!AC2:AC727)</f>
        <v>0.68879598696383548</v>
      </c>
      <c r="Q607" s="39">
        <f>(VLOOKUP($A607,'The List'!$B1:$AH727,29,FALSE)-AVERAGE('The List'!AD2:AD727))/STDEV('The List'!AD2:AD727)</f>
        <v>-0.53978700137920399</v>
      </c>
      <c r="R607" s="39">
        <f>(VLOOKUP($A607,'The List'!$B1:$AH727,30,FALSE)-AVERAGE('The List'!AE2:AE727))/STDEV('The List'!AE2:AE727)</f>
        <v>-0.74272563253733159</v>
      </c>
      <c r="S607" s="39">
        <f>(VLOOKUP($A607,'The List'!$B1:$AH727,31,FALSE)-AVERAGE('The List'!AF2:AF727))/STDEV('The List'!AF2:AF727)</f>
        <v>5.4385337348197907E-2</v>
      </c>
      <c r="T607" s="39">
        <f>(VLOOKUP($A607,'The List'!$B1:$AH727,32,FALSE)-AVERAGE('The List'!AG2:AG727))/STDEV('The List'!AG2:AG727)</f>
        <v>8.8067124300365715E-2</v>
      </c>
      <c r="U607" s="39">
        <f>(VLOOKUP($A607,'The List'!$B1:$AH727,33,FALSE)-AVERAGE('The List'!AH2:AH727))/STDEV('The List'!AH2:AH727)</f>
        <v>0.9419933960330733</v>
      </c>
      <c r="V607" s="39"/>
      <c r="W607" s="41"/>
      <c r="X607" s="39"/>
      <c r="Y607" s="39"/>
      <c r="Z607" s="39"/>
      <c r="AA607" s="39"/>
      <c r="AB607" s="39"/>
      <c r="AC607" s="39"/>
      <c r="AD607" s="39"/>
      <c r="AE607" s="39"/>
    </row>
    <row r="608" spans="1:31" ht="21.25" customHeight="1" x14ac:dyDescent="0.15">
      <c r="A608" s="8" t="s">
        <v>655</v>
      </c>
      <c r="B608" s="35" t="str">
        <f>VLOOKUP(A608,'Player Data'!A1:B734,2,FALSE)</f>
        <v>MTL</v>
      </c>
      <c r="C608" s="37">
        <f>((E608)*Settings!$C$12)+(F608*Settings!$C$2)+(G608*Settings!$C$3)+(H608*Settings!$C$4)+(I608*Settings!$C$5)+(K608*Settings!$C$9)+(N608*Settings!$C$6)+(J608*Settings!$C$8)+(O608*Settings!$C$7)+(P608*Settings!$C$14)+(Q608*Settings!$C$15)+(R608*Settings!$C$16)+(S608*Settings!$C$17)+(T608*Settings!$C$18)+(U608*Settings!$C$19)</f>
        <v>-5.6710997227482283</v>
      </c>
      <c r="D608" s="41">
        <f>IF(Settings!$E$12="YES",VLOOKUP(A608,'Player Data'!A1:E734,5,FALSE),82)</f>
        <v>64.965000000000003</v>
      </c>
      <c r="E608" s="39">
        <f>(VLOOKUP($A608,'The List'!$B1:$AH727,17,FALSE)-AVERAGE('The List'!R2:R727))/STDEV('The List'!R2:R727)</f>
        <v>-0.9970849391033948</v>
      </c>
      <c r="F608" s="39">
        <f>(VLOOKUP($A608,'The List'!$B1:$AH727,18,FALSE)-AVERAGE('The List'!S2:S727))/STDEV('The List'!S2:S727)</f>
        <v>-1.1001781879948709</v>
      </c>
      <c r="G608" s="39">
        <f>(VLOOKUP($A608,'The List'!$B1:$AH727,19,FALSE)-AVERAGE('The List'!T2:T727))/STDEV('The List'!T2:T727)</f>
        <v>-0.94026438296359383</v>
      </c>
      <c r="H608" s="39">
        <f>(VLOOKUP($A608,'The List'!$B1:$AH727,20,FALSE)-AVERAGE('The List'!U2:U727))/STDEV('The List'!U2:U727)</f>
        <v>-1.0800494913512151</v>
      </c>
      <c r="I608" s="39">
        <f>(VLOOKUP($A608,'The List'!$B1:$AH727,21,FALSE)-AVERAGE('The List'!V2:V727))/STDEV('The List'!V2:V727)</f>
        <v>-1.3265092257119591</v>
      </c>
      <c r="J608" s="39">
        <f>(VLOOKUP($A608,'The List'!$B1:$AH727,22,FALSE)-AVERAGE('The List'!W2:W727))/STDEV('The List'!W2:W727)</f>
        <v>-0.70082110683299215</v>
      </c>
      <c r="K608" s="39">
        <f>(VLOOKUP($A608,'The List'!$B1:$AH727,23,FALSE)-AVERAGE('The List'!X2:X727))/STDEV('The List'!X2:X727)</f>
        <v>-0.61600856883344857</v>
      </c>
      <c r="L608" s="39">
        <f>(VLOOKUP($A608,'The List'!$B1:$AH727,24,FALSE)-AVERAGE('The List'!Y2:Y727))/STDEV('The List'!Y2:Y727)</f>
        <v>-0.53720393239982989</v>
      </c>
      <c r="M608" s="39">
        <f>(VLOOKUP($A608,'The List'!$B1:$AH727,25,FALSE)-AVERAGE('The List'!Z2:Z727))/STDEV('The List'!Z2:Z727)</f>
        <v>-0.70708316316622044</v>
      </c>
      <c r="N608" s="39">
        <f>(VLOOKUP($A608,'The List'!$B1:$AH727,26,FALSE)-AVERAGE('The List'!AA2:AA727))/STDEV('The List'!AA2:AA727)</f>
        <v>5.3475787765149101E-2</v>
      </c>
      <c r="O608" s="39">
        <f>(VLOOKUP($A608,'The List'!$B1:$AH727,27,FALSE)-AVERAGE('The List'!AB2:AB727))/STDEV('The List'!AB2:AB727)</f>
        <v>-0.81173031354780256</v>
      </c>
      <c r="P608" s="39">
        <f>(VLOOKUP($A608,'The List'!$B1:$AH727,28,FALSE)-AVERAGE('The List'!AC2:AC727))/STDEV('The List'!AC2:AC727)</f>
        <v>-1.741615145009505</v>
      </c>
      <c r="Q608" s="39">
        <f>(VLOOKUP($A608,'The List'!$B1:$AH727,29,FALSE)-AVERAGE('The List'!AD2:AD727))/STDEV('The List'!AD2:AD727)</f>
        <v>0.59237934059884478</v>
      </c>
      <c r="R608" s="39">
        <f>(VLOOKUP($A608,'The List'!$B1:$AH727,30,FALSE)-AVERAGE('The List'!AE2:AE727))/STDEV('The List'!AE2:AE727)</f>
        <v>-1.0549746859489642</v>
      </c>
      <c r="S608" s="39">
        <f>(VLOOKUP($A608,'The List'!$B1:$AH727,31,FALSE)-AVERAGE('The List'!AF2:AF727))/STDEV('The List'!AF2:AF727)</f>
        <v>-0.55804314905918151</v>
      </c>
      <c r="T608" s="39">
        <f>(VLOOKUP($A608,'The List'!$B1:$AH727,32,FALSE)-AVERAGE('The List'!AG2:AG727))/STDEV('The List'!AG2:AG727)</f>
        <v>-0.60188453558131205</v>
      </c>
      <c r="U608" s="39">
        <f>(VLOOKUP($A608,'The List'!$B1:$AH727,33,FALSE)-AVERAGE('The List'!AH2:AH727))/STDEV('The List'!AH2:AH727)</f>
        <v>-1.2395873372913611</v>
      </c>
      <c r="V608" s="39"/>
      <c r="W608" s="43"/>
      <c r="X608" s="41"/>
      <c r="Y608" s="41"/>
      <c r="Z608" s="41"/>
      <c r="AA608" s="41"/>
      <c r="AB608" s="41"/>
      <c r="AC608" s="44"/>
      <c r="AD608" s="45"/>
      <c r="AE608" s="39"/>
    </row>
    <row r="609" spans="1:31" ht="21.25" customHeight="1" x14ac:dyDescent="0.15">
      <c r="A609" s="8" t="s">
        <v>609</v>
      </c>
      <c r="B609" s="35" t="str">
        <f>VLOOKUP(A609,'Player Data'!A1:B734,2,FALSE)</f>
        <v>MIN</v>
      </c>
      <c r="C609" s="37">
        <f>((E609)*Settings!$C$12)+(F609*Settings!$C$2)+(G609*Settings!$C$3)+(H609*Settings!$C$4)+(I609*Settings!$C$5)+(K609*Settings!$C$9)+(N609*Settings!$C$6)+(J609*Settings!$C$8)+(O609*Settings!$C$7)+(P609*Settings!$C$14)+(Q609*Settings!$C$15)+(R609*Settings!$C$16)+(S609*Settings!$C$17)+(T609*Settings!$C$18)+(U609*Settings!$C$19)</f>
        <v>-2.6666591535141446</v>
      </c>
      <c r="D609" s="41">
        <f>IF(Settings!$E$12="YES",VLOOKUP(A609,'Player Data'!A1:E734,5,FALSE),82)</f>
        <v>75.62</v>
      </c>
      <c r="E609" s="39">
        <f>(VLOOKUP($A609,'The List'!$B1:$AH727,17,FALSE)-AVERAGE('The List'!R2:R727))/STDEV('The List'!R2:R727)</f>
        <v>-0.36410050766378332</v>
      </c>
      <c r="F609" s="39">
        <f>(VLOOKUP($A609,'The List'!$B1:$AH727,18,FALSE)-AVERAGE('The List'!S2:S727))/STDEV('The List'!S2:S727)</f>
        <v>-1.0747238960361536</v>
      </c>
      <c r="G609" s="39">
        <f>(VLOOKUP($A609,'The List'!$B1:$AH727,19,FALSE)-AVERAGE('The List'!T2:T727))/STDEV('The List'!T2:T727)</f>
        <v>-0.82685076810842684</v>
      </c>
      <c r="H609" s="39">
        <f>(VLOOKUP($A609,'The List'!$B1:$AH727,20,FALSE)-AVERAGE('The List'!U2:U727))/STDEV('The List'!U2:U727)</f>
        <v>-0.99857968189487767</v>
      </c>
      <c r="I609" s="39">
        <f>(VLOOKUP($A609,'The List'!$B1:$AH727,21,FALSE)-AVERAGE('The List'!V2:V727))/STDEV('The List'!V2:V727)</f>
        <v>-1.2957763852035664</v>
      </c>
      <c r="J609" s="39">
        <f>(VLOOKUP($A609,'The List'!$B1:$AH727,22,FALSE)-AVERAGE('The List'!W2:W727))/STDEV('The List'!W2:W727)</f>
        <v>-0.70765201870863936</v>
      </c>
      <c r="K609" s="39">
        <f>(VLOOKUP($A609,'The List'!$B1:$AH727,23,FALSE)-AVERAGE('The List'!X2:X727))/STDEV('The List'!X2:X727)</f>
        <v>-0.78945872018667618</v>
      </c>
      <c r="L609" s="39">
        <f>(VLOOKUP($A609,'The List'!$B1:$AH727,24,FALSE)-AVERAGE('The List'!Y2:Y727))/STDEV('The List'!Y2:Y727)</f>
        <v>-0.51000364037969159</v>
      </c>
      <c r="M609" s="39">
        <f>(VLOOKUP($A609,'The List'!$B1:$AH727,25,FALSE)-AVERAGE('The List'!Z2:Z727))/STDEV('The List'!Z2:Z727)</f>
        <v>-0.64145431035173373</v>
      </c>
      <c r="N609" s="39">
        <f>(VLOOKUP($A609,'The List'!$B1:$AH727,26,FALSE)-AVERAGE('The List'!AA2:AA727))/STDEV('The List'!AA2:AA727)</f>
        <v>1.1283699446153641</v>
      </c>
      <c r="O609" s="39">
        <f>(VLOOKUP($A609,'The List'!$B1:$AH727,27,FALSE)-AVERAGE('The List'!AB2:AB727))/STDEV('The List'!AB2:AB727)</f>
        <v>-0.58627412439634152</v>
      </c>
      <c r="P609" s="39">
        <f>(VLOOKUP($A609,'The List'!$B1:$AH727,28,FALSE)-AVERAGE('The List'!AC2:AC727))/STDEV('The List'!AC2:AC727)</f>
        <v>0.19178067140531402</v>
      </c>
      <c r="Q609" s="39">
        <f>(VLOOKUP($A609,'The List'!$B1:$AH727,29,FALSE)-AVERAGE('The List'!AD2:AD727))/STDEV('The List'!AD2:AD727)</f>
        <v>-9.3782097635769154E-2</v>
      </c>
      <c r="R609" s="39">
        <f>(VLOOKUP($A609,'The List'!$B1:$AH727,30,FALSE)-AVERAGE('The List'!AE2:AE727))/STDEV('The List'!AE2:AE727)</f>
        <v>-0.96217779257603508</v>
      </c>
      <c r="S609" s="39">
        <f>(VLOOKUP($A609,'The List'!$B1:$AH727,31,FALSE)-AVERAGE('The List'!AF2:AF727))/STDEV('The List'!AF2:AF727)</f>
        <v>-0.55804314905918151</v>
      </c>
      <c r="T609" s="39">
        <f>(VLOOKUP($A609,'The List'!$B1:$AH727,32,FALSE)-AVERAGE('The List'!AG2:AG727))/STDEV('The List'!AG2:AG727)</f>
        <v>-0.60188453558131205</v>
      </c>
      <c r="U609" s="39">
        <f>(VLOOKUP($A609,'The List'!$B1:$AH727,33,FALSE)-AVERAGE('The List'!AH2:AH727))/STDEV('The List'!AH2:AH727)</f>
        <v>-1.2395873372913611</v>
      </c>
      <c r="V609" s="39"/>
      <c r="W609" s="43"/>
      <c r="X609" s="41"/>
      <c r="Y609" s="41"/>
      <c r="Z609" s="41"/>
      <c r="AA609" s="41"/>
      <c r="AB609" s="41"/>
      <c r="AC609" s="44"/>
      <c r="AD609" s="45"/>
      <c r="AE609" s="39"/>
    </row>
    <row r="610" spans="1:31" ht="21.25" customHeight="1" x14ac:dyDescent="0.15">
      <c r="A610" s="8" t="s">
        <v>672</v>
      </c>
      <c r="B610" s="35" t="str">
        <f>VLOOKUP(A610,'Player Data'!A1:B734,2,FALSE)</f>
        <v>COL</v>
      </c>
      <c r="C610" s="37">
        <f>((E610)*Settings!$C$12)+(F610*Settings!$C$2)+(G610*Settings!$C$3)+(H610*Settings!$C$4)+(I610*Settings!$C$5)+(K610*Settings!$C$9)+(N610*Settings!$C$6)+(J610*Settings!$C$8)+(O610*Settings!$C$7)+(P610*Settings!$C$14)+(Q610*Settings!$C$15)+(R610*Settings!$C$16)+(S610*Settings!$C$17)+(T610*Settings!$C$18)+(U610*Settings!$C$19)</f>
        <v>-3.8972313245942498</v>
      </c>
      <c r="D610" s="41">
        <f>IF(Settings!$E$12="YES",VLOOKUP(A610,'Player Data'!A1:E734,5,FALSE),82)</f>
        <v>64.974642857142896</v>
      </c>
      <c r="E610" s="39">
        <f>(VLOOKUP($A610,'The List'!$B1:$AH727,17,FALSE)-AVERAGE('The List'!R2:R727))/STDEV('The List'!R2:R727)</f>
        <v>-1.4141046925702809</v>
      </c>
      <c r="F610" s="39">
        <f>(VLOOKUP($A610,'The List'!$B1:$AH727,18,FALSE)-AVERAGE('The List'!S2:S727))/STDEV('The List'!S2:S727)</f>
        <v>-0.98827658432502186</v>
      </c>
      <c r="G610" s="39">
        <f>(VLOOKUP($A610,'The List'!$B1:$AH727,19,FALSE)-AVERAGE('The List'!T2:T727))/STDEV('The List'!T2:T727)</f>
        <v>-1.0314708057926567</v>
      </c>
      <c r="H610" s="39">
        <f>(VLOOKUP($A610,'The List'!$B1:$AH727,20,FALSE)-AVERAGE('The List'!U2:U727))/STDEV('The List'!U2:U727)</f>
        <v>-1.0853294968561575</v>
      </c>
      <c r="I610" s="39">
        <f>(VLOOKUP($A610,'The List'!$B1:$AH727,21,FALSE)-AVERAGE('The List'!V2:V727))/STDEV('The List'!V2:V727)</f>
        <v>-1.191143393673326</v>
      </c>
      <c r="J610" s="39">
        <f>(VLOOKUP($A610,'The List'!$B1:$AH727,22,FALSE)-AVERAGE('The List'!W2:W727))/STDEV('The List'!W2:W727)</f>
        <v>-0.7091543594568972</v>
      </c>
      <c r="K610" s="39">
        <f>(VLOOKUP($A610,'The List'!$B1:$AH727,23,FALSE)-AVERAGE('The List'!X2:X727))/STDEV('The List'!X2:X727)</f>
        <v>-0.78910997881968303</v>
      </c>
      <c r="L610" s="39">
        <f>(VLOOKUP($A610,'The List'!$B1:$AH727,24,FALSE)-AVERAGE('The List'!Y2:Y727))/STDEV('The List'!Y2:Y727)</f>
        <v>-0.54026263922462125</v>
      </c>
      <c r="M610" s="39">
        <f>(VLOOKUP($A610,'The List'!$B1:$AH727,25,FALSE)-AVERAGE('The List'!Z2:Z727))/STDEV('The List'!Z2:Z727)</f>
        <v>-0.71500542730739391</v>
      </c>
      <c r="N610" s="39">
        <f>(VLOOKUP($A610,'The List'!$B1:$AH727,26,FALSE)-AVERAGE('The List'!AA2:AA727))/STDEV('The List'!AA2:AA727)</f>
        <v>-0.57048519137647347</v>
      </c>
      <c r="O610" s="39">
        <f>(VLOOKUP($A610,'The List'!$B1:$AH727,27,FALSE)-AVERAGE('The List'!AB2:AB727))/STDEV('The List'!AB2:AB727)</f>
        <v>-1.061353885959657</v>
      </c>
      <c r="P610" s="39">
        <f>(VLOOKUP($A610,'The List'!$B1:$AH727,28,FALSE)-AVERAGE('The List'!AC2:AC727))/STDEV('The List'!AC2:AC727)</f>
        <v>0.67325462939291114</v>
      </c>
      <c r="Q610" s="39">
        <f>(VLOOKUP($A610,'The List'!$B1:$AH727,29,FALSE)-AVERAGE('The List'!AD2:AD727))/STDEV('The List'!AD2:AD727)</f>
        <v>-1.0943892446793486</v>
      </c>
      <c r="R610" s="39">
        <f>(VLOOKUP($A610,'The List'!$B1:$AH727,30,FALSE)-AVERAGE('The List'!AE2:AE727))/STDEV('The List'!AE2:AE727)</f>
        <v>-0.87621787057776424</v>
      </c>
      <c r="S610" s="39">
        <f>(VLOOKUP($A610,'The List'!$B1:$AH727,31,FALSE)-AVERAGE('The List'!AF2:AF727))/STDEV('The List'!AF2:AF727)</f>
        <v>-0.55804314905918151</v>
      </c>
      <c r="T610" s="39">
        <f>(VLOOKUP($A610,'The List'!$B1:$AH727,32,FALSE)-AVERAGE('The List'!AG2:AG727))/STDEV('The List'!AG2:AG727)</f>
        <v>-0.60188453558131205</v>
      </c>
      <c r="U610" s="39">
        <f>(VLOOKUP($A610,'The List'!$B1:$AH727,33,FALSE)-AVERAGE('The List'!AH2:AH727))/STDEV('The List'!AH2:AH727)</f>
        <v>-1.2395873372913611</v>
      </c>
      <c r="V610" s="39"/>
      <c r="W610" s="43"/>
      <c r="X610" s="41"/>
      <c r="Y610" s="41"/>
      <c r="Z610" s="41"/>
      <c r="AA610" s="41"/>
      <c r="AB610" s="41"/>
      <c r="AC610" s="44"/>
      <c r="AD610" s="45"/>
      <c r="AE610" s="39"/>
    </row>
    <row r="611" spans="1:31" ht="21.25" customHeight="1" x14ac:dyDescent="0.15">
      <c r="A611" s="8" t="s">
        <v>751</v>
      </c>
      <c r="B611" s="35" t="str">
        <f>VLOOKUP(A611,'Player Data'!A1:B734,2,FALSE)</f>
        <v>TBL</v>
      </c>
      <c r="C611" s="37">
        <f>((E611)*Settings!$C$12)+(F611*Settings!$C$2)+(G611*Settings!$C$3)+(H611*Settings!$C$4)+(I611*Settings!$C$5)+(K611*Settings!$C$9)+(N611*Settings!$C$6)+(J611*Settings!$C$8)+(O611*Settings!$C$7)+(P611*Settings!$C$14)+(Q611*Settings!$C$15)+(R611*Settings!$C$16)+(S611*Settings!$C$17)+(T611*Settings!$C$18)+(U611*Settings!$C$19)</f>
        <v>-4.6128875088000685</v>
      </c>
      <c r="D611" s="41">
        <f>IF(Settings!$E$12="YES",VLOOKUP(A611,'Player Data'!A1:E734,5,FALSE),82)</f>
        <v>67.719285714285704</v>
      </c>
      <c r="E611" s="39">
        <f>(VLOOKUP($A611,'The List'!$B1:$AH727,17,FALSE)-AVERAGE('The List'!R2:R727))/STDEV('The List'!R2:R727)</f>
        <v>-1.9337254101372223</v>
      </c>
      <c r="F611" s="39">
        <f>(VLOOKUP($A611,'The List'!$B1:$AH727,18,FALSE)-AVERAGE('The List'!S2:S727))/STDEV('The List'!S2:S727)</f>
        <v>-0.74791222919029576</v>
      </c>
      <c r="G611" s="39">
        <f>(VLOOKUP($A611,'The List'!$B1:$AH727,19,FALSE)-AVERAGE('The List'!T2:T727))/STDEV('The List'!T2:T727)</f>
        <v>-1.1748570937923022</v>
      </c>
      <c r="H611" s="39">
        <f>(VLOOKUP($A611,'The List'!$B1:$AH727,20,FALSE)-AVERAGE('The List'!U2:U727))/STDEV('The List'!U2:U727)</f>
        <v>-1.0643046251000763</v>
      </c>
      <c r="I611" s="39">
        <f>(VLOOKUP($A611,'The List'!$B1:$AH727,21,FALSE)-AVERAGE('The List'!V2:V727))/STDEV('The List'!V2:V727)</f>
        <v>-1.051030344885719</v>
      </c>
      <c r="J611" s="39">
        <f>(VLOOKUP($A611,'The List'!$B1:$AH727,22,FALSE)-AVERAGE('The List'!W2:W727))/STDEV('The List'!W2:W727)</f>
        <v>-0.70035283036786511</v>
      </c>
      <c r="K611" s="39">
        <f>(VLOOKUP($A611,'The List'!$B1:$AH727,23,FALSE)-AVERAGE('The List'!X2:X727))/STDEV('The List'!X2:X727)</f>
        <v>-0.78974879027873879</v>
      </c>
      <c r="L611" s="39">
        <f>(VLOOKUP($A611,'The List'!$B1:$AH727,24,FALSE)-AVERAGE('The List'!Y2:Y727))/STDEV('The List'!Y2:Y727)</f>
        <v>-0.41318216491722276</v>
      </c>
      <c r="M611" s="39">
        <f>(VLOOKUP($A611,'The List'!$B1:$AH727,25,FALSE)-AVERAGE('The List'!Z2:Z727))/STDEV('The List'!Z2:Z727)</f>
        <v>-0.57506776473002907</v>
      </c>
      <c r="N611" s="39">
        <f>(VLOOKUP($A611,'The List'!$B1:$AH727,26,FALSE)-AVERAGE('The List'!AA2:AA727))/STDEV('The List'!AA2:AA727)</f>
        <v>-0.83960757182280343</v>
      </c>
      <c r="O611" s="39">
        <f>(VLOOKUP($A611,'The List'!$B1:$AH727,27,FALSE)-AVERAGE('The List'!AB2:AB727))/STDEV('The List'!AB2:AB727)</f>
        <v>1.8091332010651833</v>
      </c>
      <c r="P611" s="39">
        <f>(VLOOKUP($A611,'The List'!$B1:$AH727,28,FALSE)-AVERAGE('The List'!AC2:AC727))/STDEV('The List'!AC2:AC727)</f>
        <v>-9.7314788302093422E-3</v>
      </c>
      <c r="Q611" s="39">
        <f>(VLOOKUP($A611,'The List'!$B1:$AH727,29,FALSE)-AVERAGE('The List'!AD2:AD727))/STDEV('The List'!AD2:AD727)</f>
        <v>-0.36294173201331953</v>
      </c>
      <c r="R611" s="39">
        <f>(VLOOKUP($A611,'The List'!$B1:$AH727,30,FALSE)-AVERAGE('The List'!AE2:AE727))/STDEV('The List'!AE2:AE727)</f>
        <v>-0.63392103159827795</v>
      </c>
      <c r="S611" s="39">
        <f>(VLOOKUP($A611,'The List'!$B1:$AH727,31,FALSE)-AVERAGE('The List'!AF2:AF727))/STDEV('The List'!AF2:AF727)</f>
        <v>-0.54882253661702152</v>
      </c>
      <c r="T611" s="39">
        <f>(VLOOKUP($A611,'The List'!$B1:$AH727,32,FALSE)-AVERAGE('The List'!AG2:AG727))/STDEV('The List'!AG2:AG727)</f>
        <v>-0.58452743827656684</v>
      </c>
      <c r="U611" s="39">
        <f>(VLOOKUP($A611,'The List'!$B1:$AH727,33,FALSE)-AVERAGE('The List'!AH2:AH727))/STDEV('The List'!AH2:AH727)</f>
        <v>0.3800642487748942</v>
      </c>
      <c r="V611" s="39"/>
      <c r="W611" s="43"/>
      <c r="X611" s="41"/>
      <c r="Y611" s="41"/>
      <c r="Z611" s="41"/>
      <c r="AA611" s="41"/>
      <c r="AB611" s="41"/>
      <c r="AC611" s="44"/>
      <c r="AD611" s="45"/>
      <c r="AE611" s="39"/>
    </row>
    <row r="612" spans="1:31" ht="21.25" customHeight="1" x14ac:dyDescent="0.15">
      <c r="A612" s="8" t="s">
        <v>824</v>
      </c>
      <c r="B612" s="35" t="str">
        <f>VLOOKUP(A612,'Player Data'!A1:B734,2,FALSE)</f>
        <v>WPG</v>
      </c>
      <c r="C612" s="37">
        <f>((E612)*Settings!$C$12)+(F612*Settings!$C$2)+(G612*Settings!$C$3)+(H612*Settings!$C$4)+(I612*Settings!$C$5)+(K612*Settings!$C$9)+(N612*Settings!$C$6)+(J612*Settings!$C$8)+(O612*Settings!$C$7)+(P612*Settings!$C$14)+(Q612*Settings!$C$15)+(R612*Settings!$C$16)+(S612*Settings!$C$17)+(T612*Settings!$C$18)+(U612*Settings!$C$19)</f>
        <v>-5.0935540678088751</v>
      </c>
      <c r="D612" s="41">
        <f>IF(Settings!$E$12="YES",VLOOKUP(A612,'Player Data'!A1:E734,5,FALSE),82)</f>
        <v>57.025714285714301</v>
      </c>
      <c r="E612" s="39">
        <f>(VLOOKUP($A612,'The List'!$B1:$AH727,17,FALSE)-AVERAGE('The List'!R2:R727))/STDEV('The List'!R2:R727)</f>
        <v>-1.8658377768045578</v>
      </c>
      <c r="F612" s="39">
        <f>(VLOOKUP($A612,'The List'!$B1:$AH727,18,FALSE)-AVERAGE('The List'!S2:S727))/STDEV('The List'!S2:S727)</f>
        <v>-1.0371131688475337</v>
      </c>
      <c r="G612" s="39">
        <f>(VLOOKUP($A612,'The List'!$B1:$AH727,19,FALSE)-AVERAGE('The List'!T2:T727))/STDEV('The List'!T2:T727)</f>
        <v>-1.1096976825391431</v>
      </c>
      <c r="H612" s="39">
        <f>(VLOOKUP($A612,'The List'!$B1:$AH727,20,FALSE)-AVERAGE('The List'!U2:U727))/STDEV('The List'!U2:U727)</f>
        <v>-1.1557573205881804</v>
      </c>
      <c r="I612" s="39">
        <f>(VLOOKUP($A612,'The List'!$B1:$AH727,21,FALSE)-AVERAGE('The List'!V2:V727))/STDEV('The List'!V2:V727)</f>
        <v>-1.2801478271192626</v>
      </c>
      <c r="J612" s="39">
        <f>(VLOOKUP($A612,'The List'!$B1:$AH727,22,FALSE)-AVERAGE('The List'!W2:W727))/STDEV('The List'!W2:W727)</f>
        <v>-0.69728581507517062</v>
      </c>
      <c r="K612" s="39">
        <f>(VLOOKUP($A612,'The List'!$B1:$AH727,23,FALSE)-AVERAGE('The List'!X2:X727))/STDEV('The List'!X2:X727)</f>
        <v>-0.78774648777248502</v>
      </c>
      <c r="L612" s="39">
        <f>(VLOOKUP($A612,'The List'!$B1:$AH727,24,FALSE)-AVERAGE('The List'!Y2:Y727))/STDEV('The List'!Y2:Y727)</f>
        <v>-0.28954760098539639</v>
      </c>
      <c r="M612" s="39">
        <f>(VLOOKUP($A612,'The List'!$B1:$AH727,25,FALSE)-AVERAGE('The List'!Z2:Z727))/STDEV('The List'!Z2:Z727)</f>
        <v>0.24209097633571242</v>
      </c>
      <c r="N612" s="39">
        <f>(VLOOKUP($A612,'The List'!$B1:$AH727,26,FALSE)-AVERAGE('The List'!AA2:AA727))/STDEV('The List'!AA2:AA727)</f>
        <v>-0.97663073446107407</v>
      </c>
      <c r="O612" s="39">
        <f>(VLOOKUP($A612,'The List'!$B1:$AH727,27,FALSE)-AVERAGE('The List'!AB2:AB727))/STDEV('The List'!AB2:AB727)</f>
        <v>-0.98480243238964682</v>
      </c>
      <c r="P612" s="39">
        <f>(VLOOKUP($A612,'The List'!$B1:$AH727,28,FALSE)-AVERAGE('The List'!AC2:AC727))/STDEV('The List'!AC2:AC727)</f>
        <v>9.7781832930623258E-2</v>
      </c>
      <c r="Q612" s="39">
        <f>(VLOOKUP($A612,'The List'!$B1:$AH727,29,FALSE)-AVERAGE('The List'!AD2:AD727))/STDEV('The List'!AD2:AD727)</f>
        <v>-1.4611524412064456</v>
      </c>
      <c r="R612" s="39">
        <f>(VLOOKUP($A612,'The List'!$B1:$AH727,30,FALSE)-AVERAGE('The List'!AE2:AE727))/STDEV('The List'!AE2:AE727)</f>
        <v>-0.93040112620439275</v>
      </c>
      <c r="S612" s="39">
        <f>(VLOOKUP($A612,'The List'!$B1:$AH727,31,FALSE)-AVERAGE('The List'!AF2:AF727))/STDEV('The List'!AF2:AF727)</f>
        <v>3.8439945937610014E-2</v>
      </c>
      <c r="T612" s="39">
        <f>(VLOOKUP($A612,'The List'!$B1:$AH727,32,FALSE)-AVERAGE('The List'!AG2:AG727))/STDEV('The List'!AG2:AG727)</f>
        <v>4.651161859167359E-2</v>
      </c>
      <c r="U612" s="39">
        <f>(VLOOKUP($A612,'The List'!$B1:$AH727,33,FALSE)-AVERAGE('The List'!AH2:AH727))/STDEV('The List'!AH2:AH727)</f>
        <v>0.98233184659472117</v>
      </c>
      <c r="V612" s="39"/>
      <c r="W612" s="43"/>
      <c r="X612" s="41"/>
      <c r="Y612" s="41"/>
      <c r="Z612" s="41"/>
      <c r="AA612" s="41"/>
      <c r="AB612" s="41"/>
      <c r="AC612" s="44"/>
      <c r="AD612" s="45"/>
      <c r="AE612" s="39"/>
    </row>
    <row r="613" spans="1:31" ht="21.25" customHeight="1" x14ac:dyDescent="0.15">
      <c r="A613" s="8" t="s">
        <v>656</v>
      </c>
      <c r="B613" s="35" t="str">
        <f>VLOOKUP(A613,'Player Data'!A1:B734,2,FALSE)</f>
        <v>CHI</v>
      </c>
      <c r="C613" s="37">
        <f>((E613)*Settings!$C$12)+(F613*Settings!$C$2)+(G613*Settings!$C$3)+(H613*Settings!$C$4)+(I613*Settings!$C$5)+(K613*Settings!$C$9)+(N613*Settings!$C$6)+(J613*Settings!$C$8)+(O613*Settings!$C$7)+(P613*Settings!$C$14)+(Q613*Settings!$C$15)+(R613*Settings!$C$16)+(S613*Settings!$C$17)+(T613*Settings!$C$18)+(U613*Settings!$C$19)</f>
        <v>-5.0331839984105375</v>
      </c>
      <c r="D613" s="41">
        <f>IF(Settings!$E$12="YES",VLOOKUP(A613,'Player Data'!A1:E734,5,FALSE),82)</f>
        <v>59.847499999999997</v>
      </c>
      <c r="E613" s="39">
        <f>(VLOOKUP($A613,'The List'!$B1:$AH727,17,FALSE)-AVERAGE('The List'!R2:R727))/STDEV('The List'!R2:R727)</f>
        <v>8.0319530304374026E-2</v>
      </c>
      <c r="F613" s="39">
        <f>(VLOOKUP($A613,'The List'!$B1:$AH727,18,FALSE)-AVERAGE('The List'!S2:S727))/STDEV('The List'!S2:S727)</f>
        <v>-1.0366286286838486</v>
      </c>
      <c r="G613" s="39">
        <f>(VLOOKUP($A613,'The List'!$B1:$AH727,19,FALSE)-AVERAGE('The List'!T2:T727))/STDEV('The List'!T2:T727)</f>
        <v>-1.0768266754279605</v>
      </c>
      <c r="H613" s="39">
        <f>(VLOOKUP($A613,'The List'!$B1:$AH727,20,FALSE)-AVERAGE('The List'!U2:U727))/STDEV('The List'!U2:U727)</f>
        <v>-1.1352814072371424</v>
      </c>
      <c r="I613" s="39">
        <f>(VLOOKUP($A613,'The List'!$B1:$AH727,21,FALSE)-AVERAGE('The List'!V2:V727))/STDEV('The List'!V2:V727)</f>
        <v>-1.2874929363157506</v>
      </c>
      <c r="J613" s="39">
        <f>(VLOOKUP($A613,'The List'!$B1:$AH727,22,FALSE)-AVERAGE('The List'!W2:W727))/STDEV('The List'!W2:W727)</f>
        <v>-0.70816738761509601</v>
      </c>
      <c r="K613" s="39">
        <f>(VLOOKUP($A613,'The List'!$B1:$AH727,23,FALSE)-AVERAGE('The List'!X2:X727))/STDEV('The List'!X2:X727)</f>
        <v>-0.79122480388440275</v>
      </c>
      <c r="L613" s="39">
        <f>(VLOOKUP($A613,'The List'!$B1:$AH727,24,FALSE)-AVERAGE('The List'!Y2:Y727))/STDEV('The List'!Y2:Y727)</f>
        <v>-0.46221440878391384</v>
      </c>
      <c r="M613" s="39">
        <f>(VLOOKUP($A613,'The List'!$B1:$AH727,25,FALSE)-AVERAGE('The List'!Z2:Z727))/STDEV('The List'!Z2:Z727)</f>
        <v>-0.5264430009661808</v>
      </c>
      <c r="N613" s="39">
        <f>(VLOOKUP($A613,'The List'!$B1:$AH727,26,FALSE)-AVERAGE('The List'!AA2:AA727))/STDEV('The List'!AA2:AA727)</f>
        <v>0.76864812022770035</v>
      </c>
      <c r="O613" s="39">
        <f>(VLOOKUP($A613,'The List'!$B1:$AH727,27,FALSE)-AVERAGE('The List'!AB2:AB727))/STDEV('The List'!AB2:AB727)</f>
        <v>1.1204697395653724</v>
      </c>
      <c r="P613" s="39">
        <f>(VLOOKUP($A613,'The List'!$B1:$AH727,28,FALSE)-AVERAGE('The List'!AC2:AC727))/STDEV('The List'!AC2:AC727)</f>
        <v>-1.6096590743262753</v>
      </c>
      <c r="Q613" s="39">
        <f>(VLOOKUP($A613,'The List'!$B1:$AH727,29,FALSE)-AVERAGE('The List'!AD2:AD727))/STDEV('The List'!AD2:AD727)</f>
        <v>0.87720987890143431</v>
      </c>
      <c r="R613" s="39">
        <f>(VLOOKUP($A613,'The List'!$B1:$AH727,30,FALSE)-AVERAGE('The List'!AE2:AE727))/STDEV('The List'!AE2:AE727)</f>
        <v>-0.99517363422781058</v>
      </c>
      <c r="S613" s="39">
        <f>(VLOOKUP($A613,'The List'!$B1:$AH727,31,FALSE)-AVERAGE('The List'!AF2:AF727))/STDEV('The List'!AF2:AF727)</f>
        <v>-0.55804314905918151</v>
      </c>
      <c r="T613" s="39">
        <f>(VLOOKUP($A613,'The List'!$B1:$AH727,32,FALSE)-AVERAGE('The List'!AG2:AG727))/STDEV('The List'!AG2:AG727)</f>
        <v>-0.60188453558131205</v>
      </c>
      <c r="U613" s="39">
        <f>(VLOOKUP($A613,'The List'!$B1:$AH727,33,FALSE)-AVERAGE('The List'!AH2:AH727))/STDEV('The List'!AH2:AH727)</f>
        <v>-1.2395873372913611</v>
      </c>
      <c r="V613" s="39"/>
      <c r="W613" s="41"/>
      <c r="X613" s="39"/>
      <c r="Y613" s="39"/>
      <c r="Z613" s="39"/>
      <c r="AA613" s="39"/>
      <c r="AB613" s="39"/>
      <c r="AC613" s="39"/>
      <c r="AD613" s="39"/>
      <c r="AE613" s="39"/>
    </row>
    <row r="614" spans="1:31" ht="21.25" customHeight="1" x14ac:dyDescent="0.15">
      <c r="A614" s="8" t="s">
        <v>615</v>
      </c>
      <c r="B614" s="35" t="str">
        <f>VLOOKUP(A614,'Player Data'!A1:B734,2,FALSE)</f>
        <v>CHI</v>
      </c>
      <c r="C614" s="37">
        <f>((E614)*Settings!$C$12)+(F614*Settings!$C$2)+(G614*Settings!$C$3)+(H614*Settings!$C$4)+(I614*Settings!$C$5)+(K614*Settings!$C$9)+(N614*Settings!$C$6)+(J614*Settings!$C$8)+(O614*Settings!$C$7)+(P614*Settings!$C$14)+(Q614*Settings!$C$15)+(R614*Settings!$C$16)+(S614*Settings!$C$17)+(T614*Settings!$C$18)+(U614*Settings!$C$19)</f>
        <v>-4.6465618511212465</v>
      </c>
      <c r="D614" s="41">
        <f>IF(Settings!$E$12="YES",VLOOKUP(A614,'Player Data'!A1:E734,5,FALSE),82)</f>
        <v>72.7435714285714</v>
      </c>
      <c r="E614" s="39">
        <f>(VLOOKUP($A614,'The List'!$B1:$AH727,17,FALSE)-AVERAGE('The List'!R2:R727))/STDEV('The List'!R2:R727)</f>
        <v>-1.2673482331895927E-2</v>
      </c>
      <c r="F614" s="39">
        <f>(VLOOKUP($A614,'The List'!$B1:$AH727,18,FALSE)-AVERAGE('The List'!S2:S727))/STDEV('The List'!S2:S727)</f>
        <v>-1.0699961122441357</v>
      </c>
      <c r="G614" s="39">
        <f>(VLOOKUP($A614,'The List'!$B1:$AH727,19,FALSE)-AVERAGE('The List'!T2:T727))/STDEV('The List'!T2:T727)</f>
        <v>-0.89819658720870255</v>
      </c>
      <c r="H614" s="39">
        <f>(VLOOKUP($A614,'The List'!$B1:$AH727,20,FALSE)-AVERAGE('The List'!U2:U727))/STDEV('The List'!U2:U727)</f>
        <v>-1.0403921950988291</v>
      </c>
      <c r="I614" s="39">
        <f>(VLOOKUP($A614,'The List'!$B1:$AH727,21,FALSE)-AVERAGE('The List'!V2:V727))/STDEV('The List'!V2:V727)</f>
        <v>-1.2802054598024366</v>
      </c>
      <c r="J614" s="39">
        <f>(VLOOKUP($A614,'The List'!$B1:$AH727,22,FALSE)-AVERAGE('The List'!W2:W727))/STDEV('The List'!W2:W727)</f>
        <v>-0.70825014349668225</v>
      </c>
      <c r="K614" s="39">
        <f>(VLOOKUP($A614,'The List'!$B1:$AH727,23,FALSE)-AVERAGE('The List'!X2:X727))/STDEV('The List'!X2:X727)</f>
        <v>-0.79114146398615504</v>
      </c>
      <c r="L614" s="39">
        <f>(VLOOKUP($A614,'The List'!$B1:$AH727,24,FALSE)-AVERAGE('The List'!Y2:Y727))/STDEV('The List'!Y2:Y727)</f>
        <v>-0.50420070246693893</v>
      </c>
      <c r="M614" s="39">
        <f>(VLOOKUP($A614,'The List'!$B1:$AH727,25,FALSE)-AVERAGE('The List'!Z2:Z727))/STDEV('The List'!Z2:Z727)</f>
        <v>-0.11567624777167186</v>
      </c>
      <c r="N614" s="39">
        <f>(VLOOKUP($A614,'The List'!$B1:$AH727,26,FALSE)-AVERAGE('The List'!AA2:AA727))/STDEV('The List'!AA2:AA727)</f>
        <v>1.2210202681632962</v>
      </c>
      <c r="O614" s="39">
        <f>(VLOOKUP($A614,'The List'!$B1:$AH727,27,FALSE)-AVERAGE('The List'!AB2:AB727))/STDEV('The List'!AB2:AB727)</f>
        <v>0.85424989797929529</v>
      </c>
      <c r="P614" s="39">
        <f>(VLOOKUP($A614,'The List'!$B1:$AH727,28,FALSE)-AVERAGE('The List'!AC2:AC727))/STDEV('The List'!AC2:AC727)</f>
        <v>-1.8280424960431128</v>
      </c>
      <c r="Q614" s="39">
        <f>(VLOOKUP($A614,'The List'!$B1:$AH727,29,FALSE)-AVERAGE('The List'!AD2:AD727))/STDEV('The List'!AD2:AD727)</f>
        <v>-0.17642820067546247</v>
      </c>
      <c r="R614" s="39">
        <f>(VLOOKUP($A614,'The List'!$B1:$AH727,30,FALSE)-AVERAGE('The List'!AE2:AE727))/STDEV('The List'!AE2:AE727)</f>
        <v>-1.0207147461298673</v>
      </c>
      <c r="S614" s="39">
        <f>(VLOOKUP($A614,'The List'!$B1:$AH727,31,FALSE)-AVERAGE('The List'!AF2:AF727))/STDEV('The List'!AF2:AF727)</f>
        <v>-0.55804314905918151</v>
      </c>
      <c r="T614" s="39">
        <f>(VLOOKUP($A614,'The List'!$B1:$AH727,32,FALSE)-AVERAGE('The List'!AG2:AG727))/STDEV('The List'!AG2:AG727)</f>
        <v>-0.60188453558131205</v>
      </c>
      <c r="U614" s="39">
        <f>(VLOOKUP($A614,'The List'!$B1:$AH727,33,FALSE)-AVERAGE('The List'!AH2:AH727))/STDEV('The List'!AH2:AH727)</f>
        <v>-1.2395873372913611</v>
      </c>
      <c r="V614" s="39"/>
      <c r="W614" s="41"/>
      <c r="X614" s="39"/>
      <c r="Y614" s="39"/>
      <c r="Z614" s="39"/>
      <c r="AA614" s="39"/>
      <c r="AB614" s="39"/>
      <c r="AC614" s="39"/>
      <c r="AD614" s="39"/>
      <c r="AE614" s="39"/>
    </row>
    <row r="615" spans="1:31" ht="21.25" customHeight="1" x14ac:dyDescent="0.15">
      <c r="A615" s="8" t="s">
        <v>633</v>
      </c>
      <c r="B615" s="35" t="str">
        <f>VLOOKUP(A615,'Player Data'!A1:B734,2,FALSE)</f>
        <v>WPG</v>
      </c>
      <c r="C615" s="37">
        <f>((E615)*Settings!$C$12)+(F615*Settings!$C$2)+(G615*Settings!$C$3)+(H615*Settings!$C$4)+(I615*Settings!$C$5)+(K615*Settings!$C$9)+(N615*Settings!$C$6)+(J615*Settings!$C$8)+(O615*Settings!$C$7)+(P615*Settings!$C$14)+(Q615*Settings!$C$15)+(R615*Settings!$C$16)+(S615*Settings!$C$17)+(T615*Settings!$C$18)+(U615*Settings!$C$19)</f>
        <v>-3.5082309453076652</v>
      </c>
      <c r="D615" s="41">
        <f>IF(Settings!$E$12="YES",VLOOKUP(A615,'Player Data'!A1:E734,5,FALSE),82)</f>
        <v>64.765357142857098</v>
      </c>
      <c r="E615" s="39">
        <f>(VLOOKUP($A615,'The List'!$B1:$AH727,17,FALSE)-AVERAGE('The List'!R2:R727))/STDEV('The List'!R2:R727)</f>
        <v>-0.77606428863182586</v>
      </c>
      <c r="F615" s="39">
        <f>(VLOOKUP($A615,'The List'!$B1:$AH727,18,FALSE)-AVERAGE('The List'!S2:S727))/STDEV('The List'!S2:S727)</f>
        <v>-1.0997101010217669</v>
      </c>
      <c r="G615" s="39">
        <f>(VLOOKUP($A615,'The List'!$B1:$AH727,19,FALSE)-AVERAGE('The List'!T2:T727))/STDEV('The List'!T2:T727)</f>
        <v>-0.9771440392603763</v>
      </c>
      <c r="H615" s="39">
        <f>(VLOOKUP($A615,'The List'!$B1:$AH727,20,FALSE)-AVERAGE('The List'!U2:U727))/STDEV('The List'!U2:U727)</f>
        <v>-1.1025620662826003</v>
      </c>
      <c r="I615" s="39">
        <f>(VLOOKUP($A615,'The List'!$B1:$AH727,21,FALSE)-AVERAGE('The List'!V2:V727))/STDEV('The List'!V2:V727)</f>
        <v>-1.0946526539526125</v>
      </c>
      <c r="J615" s="39">
        <f>(VLOOKUP($A615,'The List'!$B1:$AH727,22,FALSE)-AVERAGE('The List'!W2:W727))/STDEV('The List'!W2:W727)</f>
        <v>-0.71185167733002663</v>
      </c>
      <c r="K615" s="39">
        <f>(VLOOKUP($A615,'The List'!$B1:$AH727,23,FALSE)-AVERAGE('The List'!X2:X727))/STDEV('The List'!X2:X727)</f>
        <v>-0.80104668099183873</v>
      </c>
      <c r="L615" s="39">
        <f>(VLOOKUP($A615,'The List'!$B1:$AH727,24,FALSE)-AVERAGE('The List'!Y2:Y727))/STDEV('The List'!Y2:Y727)</f>
        <v>-0.48721406043249244</v>
      </c>
      <c r="M615" s="39">
        <f>(VLOOKUP($A615,'The List'!$B1:$AH727,25,FALSE)-AVERAGE('The List'!Z2:Z727))/STDEV('The List'!Z2:Z727)</f>
        <v>-0.29110108937905704</v>
      </c>
      <c r="N615" s="39">
        <f>(VLOOKUP($A615,'The List'!$B1:$AH727,26,FALSE)-AVERAGE('The List'!AA2:AA727))/STDEV('The List'!AA2:AA727)</f>
        <v>0.42394401679510374</v>
      </c>
      <c r="O615" s="39">
        <f>(VLOOKUP($A615,'The List'!$B1:$AH727,27,FALSE)-AVERAGE('The List'!AB2:AB727))/STDEV('The List'!AB2:AB727)</f>
        <v>0.40338282868115638</v>
      </c>
      <c r="P615" s="39">
        <f>(VLOOKUP($A615,'The List'!$B1:$AH727,28,FALSE)-AVERAGE('The List'!AC2:AC727))/STDEV('The List'!AC2:AC727)</f>
        <v>4.0378513123825732E-2</v>
      </c>
      <c r="Q615" s="39">
        <f>(VLOOKUP($A615,'The List'!$B1:$AH727,29,FALSE)-AVERAGE('The List'!AD2:AD727))/STDEV('The List'!AD2:AD727)</f>
        <v>0.69793426124341607</v>
      </c>
      <c r="R615" s="39">
        <f>(VLOOKUP($A615,'The List'!$B1:$AH727,30,FALSE)-AVERAGE('The List'!AE2:AE727))/STDEV('The List'!AE2:AE727)</f>
        <v>-0.99418987227449251</v>
      </c>
      <c r="S615" s="39">
        <f>(VLOOKUP($A615,'The List'!$B1:$AH727,31,FALSE)-AVERAGE('The List'!AF2:AF727))/STDEV('The List'!AF2:AF727)</f>
        <v>-0.55804314905918151</v>
      </c>
      <c r="T615" s="39">
        <f>(VLOOKUP($A615,'The List'!$B1:$AH727,32,FALSE)-AVERAGE('The List'!AG2:AG727))/STDEV('The List'!AG2:AG727)</f>
        <v>-0.60188453558131205</v>
      </c>
      <c r="U615" s="39">
        <f>(VLOOKUP($A615,'The List'!$B1:$AH727,33,FALSE)-AVERAGE('The List'!AH2:AH727))/STDEV('The List'!AH2:AH727)</f>
        <v>-1.2395873372913611</v>
      </c>
      <c r="V615" s="39"/>
      <c r="W615" s="43"/>
      <c r="X615" s="41"/>
      <c r="Y615" s="41"/>
      <c r="Z615" s="41"/>
      <c r="AA615" s="41"/>
      <c r="AB615" s="41"/>
      <c r="AC615" s="44"/>
      <c r="AD615" s="45"/>
      <c r="AE615" s="39"/>
    </row>
    <row r="616" spans="1:31" ht="21.25" customHeight="1" x14ac:dyDescent="0.15">
      <c r="A616" s="8" t="s">
        <v>604</v>
      </c>
      <c r="B616" s="35" t="str">
        <f>VLOOKUP(A616,'Player Data'!A1:B734,2,FALSE)</f>
        <v>STL</v>
      </c>
      <c r="C616" s="37">
        <f>((E616)*Settings!$C$12)+(F616*Settings!$C$2)+(G616*Settings!$C$3)+(H616*Settings!$C$4)+(I616*Settings!$C$5)+(K616*Settings!$C$9)+(N616*Settings!$C$6)+(J616*Settings!$C$8)+(O616*Settings!$C$7)+(P616*Settings!$C$14)+(Q616*Settings!$C$15)+(R616*Settings!$C$16)+(S616*Settings!$C$17)+(T616*Settings!$C$18)+(U616*Settings!$C$19)</f>
        <v>-4.0334514110785831</v>
      </c>
      <c r="D616" s="41">
        <f>IF(Settings!$E$12="YES",VLOOKUP(A616,'Player Data'!A1:E734,5,FALSE),82)</f>
        <v>68.349999999999994</v>
      </c>
      <c r="E616" s="39">
        <f>(VLOOKUP($A616,'The List'!$B1:$AH727,17,FALSE)-AVERAGE('The List'!R2:R727))/STDEV('The List'!R2:R727)</f>
        <v>0.33673943589866345</v>
      </c>
      <c r="F616" s="39">
        <f>(VLOOKUP($A616,'The List'!$B1:$AH727,18,FALSE)-AVERAGE('The List'!S2:S727))/STDEV('The List'!S2:S727)</f>
        <v>-1.0186580006236077</v>
      </c>
      <c r="G616" s="39">
        <f>(VLOOKUP($A616,'The List'!$B1:$AH727,19,FALSE)-AVERAGE('The List'!T2:T727))/STDEV('The List'!T2:T727)</f>
        <v>-0.99780980035261058</v>
      </c>
      <c r="H616" s="39">
        <f>(VLOOKUP($A616,'The List'!$B1:$AH727,20,FALSE)-AVERAGE('The List'!U2:U727))/STDEV('The List'!U2:U727)</f>
        <v>-1.0784127209300942</v>
      </c>
      <c r="I616" s="39">
        <f>(VLOOKUP($A616,'The List'!$B1:$AH727,21,FALSE)-AVERAGE('The List'!V2:V727))/STDEV('The List'!V2:V727)</f>
        <v>-1.023698314390225</v>
      </c>
      <c r="J616" s="39">
        <f>(VLOOKUP($A616,'The List'!$B1:$AH727,22,FALSE)-AVERAGE('The List'!W2:W727))/STDEV('The List'!W2:W727)</f>
        <v>-0.70661740808258222</v>
      </c>
      <c r="K616" s="39">
        <f>(VLOOKUP($A616,'The List'!$B1:$AH727,23,FALSE)-AVERAGE('The List'!X2:X727))/STDEV('The List'!X2:X727)</f>
        <v>-0.78685315107093168</v>
      </c>
      <c r="L616" s="39">
        <f>(VLOOKUP($A616,'The List'!$B1:$AH727,24,FALSE)-AVERAGE('The List'!Y2:Y727))/STDEV('The List'!Y2:Y727)</f>
        <v>-0.49169847066952627</v>
      </c>
      <c r="M616" s="39">
        <f>(VLOOKUP($A616,'The List'!$B1:$AH727,25,FALSE)-AVERAGE('The List'!Z2:Z727))/STDEV('The List'!Z2:Z727)</f>
        <v>0.44378097903419605</v>
      </c>
      <c r="N616" s="39">
        <f>(VLOOKUP($A616,'The List'!$B1:$AH727,26,FALSE)-AVERAGE('The List'!AA2:AA727))/STDEV('The List'!AA2:AA727)</f>
        <v>0.66459420383091283</v>
      </c>
      <c r="O616" s="39">
        <f>(VLOOKUP($A616,'The List'!$B1:$AH727,27,FALSE)-AVERAGE('The List'!AB2:AB727))/STDEV('The List'!AB2:AB727)</f>
        <v>8.1869317511347711E-2</v>
      </c>
      <c r="P616" s="39">
        <f>(VLOOKUP($A616,'The List'!$B1:$AH727,28,FALSE)-AVERAGE('The List'!AC2:AC727))/STDEV('The List'!AC2:AC727)</f>
        <v>-0.87102634847212113</v>
      </c>
      <c r="Q616" s="39">
        <f>(VLOOKUP($A616,'The List'!$B1:$AH727,29,FALSE)-AVERAGE('The List'!AD2:AD727))/STDEV('The List'!AD2:AD727)</f>
        <v>-0.52477006624901257</v>
      </c>
      <c r="R616" s="39">
        <f>(VLOOKUP($A616,'The List'!$B1:$AH727,30,FALSE)-AVERAGE('The List'!AE2:AE727))/STDEV('The List'!AE2:AE727)</f>
        <v>-0.98521087878433589</v>
      </c>
      <c r="S616" s="39">
        <f>(VLOOKUP($A616,'The List'!$B1:$AH727,31,FALSE)-AVERAGE('The List'!AF2:AF727))/STDEV('The List'!AF2:AF727)</f>
        <v>-0.55804314905918151</v>
      </c>
      <c r="T616" s="39">
        <f>(VLOOKUP($A616,'The List'!$B1:$AH727,32,FALSE)-AVERAGE('The List'!AG2:AG727))/STDEV('The List'!AG2:AG727)</f>
        <v>-0.60188453558131205</v>
      </c>
      <c r="U616" s="39">
        <f>(VLOOKUP($A616,'The List'!$B1:$AH727,33,FALSE)-AVERAGE('The List'!AH2:AH727))/STDEV('The List'!AH2:AH727)</f>
        <v>-1.2395873372913611</v>
      </c>
      <c r="V616" s="39"/>
      <c r="W616" s="43"/>
      <c r="X616" s="41"/>
      <c r="Y616" s="41"/>
      <c r="Z616" s="41"/>
      <c r="AA616" s="41"/>
      <c r="AB616" s="41"/>
      <c r="AC616" s="44"/>
      <c r="AD616" s="45"/>
      <c r="AE616" s="39"/>
    </row>
    <row r="617" spans="1:31" ht="21.25" customHeight="1" x14ac:dyDescent="0.15">
      <c r="A617" s="8" t="s">
        <v>830</v>
      </c>
      <c r="B617" s="35" t="str">
        <f>VLOOKUP(A617,'Player Data'!A1:B734,2,FALSE)</f>
        <v>PHI</v>
      </c>
      <c r="C617" s="37">
        <f>((E617)*Settings!$C$12)+(F617*Settings!$C$2)+(G617*Settings!$C$3)+(H617*Settings!$C$4)+(I617*Settings!$C$5)+(K617*Settings!$C$9)+(N617*Settings!$C$6)+(J617*Settings!$C$8)+(O617*Settings!$C$7)+(P617*Settings!$C$14)+(Q617*Settings!$C$15)+(R617*Settings!$C$16)+(S617*Settings!$C$17)+(T617*Settings!$C$18)+(U617*Settings!$C$19)</f>
        <v>-6.5003065467581589</v>
      </c>
      <c r="D617" s="41">
        <f>IF(Settings!$E$12="YES",VLOOKUP(A617,'Player Data'!A1:E734,5,FALSE),82)</f>
        <v>54.549642857142899</v>
      </c>
      <c r="E617" s="39">
        <f>(VLOOKUP($A617,'The List'!$B1:$AH727,17,FALSE)-AVERAGE('The List'!R2:R727))/STDEV('The List'!R2:R727)</f>
        <v>-1.8873571934316213</v>
      </c>
      <c r="F617" s="39">
        <f>(VLOOKUP($A617,'The List'!$B1:$AH727,18,FALSE)-AVERAGE('The List'!S2:S727))/STDEV('The List'!S2:S727)</f>
        <v>-0.88435957866791604</v>
      </c>
      <c r="G617" s="39">
        <f>(VLOOKUP($A617,'The List'!$B1:$AH727,19,FALSE)-AVERAGE('The List'!T2:T727))/STDEV('The List'!T2:T727)</f>
        <v>-1.2679152475958193</v>
      </c>
      <c r="H617" s="39">
        <f>(VLOOKUP($A617,'The List'!$B1:$AH727,20,FALSE)-AVERAGE('The List'!U2:U727))/STDEV('The List'!U2:U727)</f>
        <v>-1.1837399987371326</v>
      </c>
      <c r="I617" s="39">
        <f>(VLOOKUP($A617,'The List'!$B1:$AH727,21,FALSE)-AVERAGE('The List'!V2:V727))/STDEV('The List'!V2:V727)</f>
        <v>-1.4211358779585177</v>
      </c>
      <c r="J617" s="39">
        <f>(VLOOKUP($A617,'The List'!$B1:$AH727,22,FALSE)-AVERAGE('The List'!W2:W727))/STDEV('The List'!W2:W727)</f>
        <v>-0.67933823250072523</v>
      </c>
      <c r="K617" s="39">
        <f>(VLOOKUP($A617,'The List'!$B1:$AH727,23,FALSE)-AVERAGE('The List'!X2:X727))/STDEV('The List'!X2:X727)</f>
        <v>-0.76919698766257416</v>
      </c>
      <c r="L617" s="39">
        <f>(VLOOKUP($A617,'The List'!$B1:$AH727,24,FALSE)-AVERAGE('The List'!Y2:Y727))/STDEV('The List'!Y2:Y727)</f>
        <v>-0.45982854935704814</v>
      </c>
      <c r="M617" s="39">
        <f>(VLOOKUP($A617,'The List'!$B1:$AH727,25,FALSE)-AVERAGE('The List'!Z2:Z727))/STDEV('The List'!Z2:Z727)</f>
        <v>-0.62834989924874751</v>
      </c>
      <c r="N617" s="39">
        <f>(VLOOKUP($A617,'The List'!$B1:$AH727,26,FALSE)-AVERAGE('The List'!AA2:AA727))/STDEV('The List'!AA2:AA727)</f>
        <v>-1.0383993597942793</v>
      </c>
      <c r="O617" s="39">
        <f>(VLOOKUP($A617,'The List'!$B1:$AH727,27,FALSE)-AVERAGE('The List'!AB2:AB727))/STDEV('The List'!AB2:AB727)</f>
        <v>-0.61502172109452358</v>
      </c>
      <c r="P617" s="39">
        <f>(VLOOKUP($A617,'The List'!$B1:$AH727,28,FALSE)-AVERAGE('The List'!AC2:AC727))/STDEV('The List'!AC2:AC727)</f>
        <v>-1.1192994950790527</v>
      </c>
      <c r="Q617" s="39">
        <f>(VLOOKUP($A617,'The List'!$B1:$AH727,29,FALSE)-AVERAGE('The List'!AD2:AD727))/STDEV('The List'!AD2:AD727)</f>
        <v>-1.5511939297456714</v>
      </c>
      <c r="R617" s="39">
        <f>(VLOOKUP($A617,'The List'!$B1:$AH727,30,FALSE)-AVERAGE('The List'!AE2:AE727))/STDEV('The List'!AE2:AE727)</f>
        <v>-0.8776451780120158</v>
      </c>
      <c r="S617" s="39">
        <f>(VLOOKUP($A617,'The List'!$B1:$AH727,31,FALSE)-AVERAGE('The List'!AF2:AF727))/STDEV('The List'!AF2:AF727)</f>
        <v>-0.14024307530084063</v>
      </c>
      <c r="T617" s="39">
        <f>(VLOOKUP($A617,'The List'!$B1:$AH727,32,FALSE)-AVERAGE('The List'!AG2:AG727))/STDEV('The List'!AG2:AG727)</f>
        <v>-0.16855538307409512</v>
      </c>
      <c r="U617" s="39">
        <f>(VLOOKUP($A617,'The List'!$B1:$AH727,33,FALSE)-AVERAGE('The List'!AH2:AH727))/STDEV('The List'!AH2:AH727)</f>
        <v>1.0353640103339987</v>
      </c>
      <c r="V617" s="39"/>
      <c r="W617" s="41"/>
      <c r="X617" s="39"/>
      <c r="Y617" s="39"/>
      <c r="Z617" s="39"/>
      <c r="AA617" s="39"/>
      <c r="AB617" s="39"/>
      <c r="AC617" s="39"/>
      <c r="AD617" s="39"/>
      <c r="AE617" s="39"/>
    </row>
    <row r="618" spans="1:31" ht="21.25" customHeight="1" x14ac:dyDescent="0.15">
      <c r="A618" s="8" t="s">
        <v>677</v>
      </c>
      <c r="B618" s="35" t="str">
        <f>VLOOKUP(A618,'Player Data'!A1:B734,2,FALSE)</f>
        <v>OTT</v>
      </c>
      <c r="C618" s="37">
        <f>((E618)*Settings!$C$12)+(F618*Settings!$C$2)+(G618*Settings!$C$3)+(H618*Settings!$C$4)+(I618*Settings!$C$5)+(K618*Settings!$C$9)+(N618*Settings!$C$6)+(J618*Settings!$C$8)+(O618*Settings!$C$7)+(P618*Settings!$C$14)+(Q618*Settings!$C$15)+(R618*Settings!$C$16)+(S618*Settings!$C$17)+(T618*Settings!$C$18)+(U618*Settings!$C$19)</f>
        <v>-4.2503380003407392</v>
      </c>
      <c r="D618" s="41">
        <f>IF(Settings!$E$12="YES",VLOOKUP(A618,'Player Data'!A1:E734,5,FALSE),82)</f>
        <v>53.2046428571429</v>
      </c>
      <c r="E618" s="39">
        <f>(VLOOKUP($A618,'The List'!$B1:$AH727,17,FALSE)-AVERAGE('The List'!R2:R727))/STDEV('The List'!R2:R727)</f>
        <v>-0.12151497887770592</v>
      </c>
      <c r="F618" s="39">
        <f>(VLOOKUP($A618,'The List'!$B1:$AH727,18,FALSE)-AVERAGE('The List'!S2:S727))/STDEV('The List'!S2:S727)</f>
        <v>-1.1345527575918033</v>
      </c>
      <c r="G618" s="39">
        <f>(VLOOKUP($A618,'The List'!$B1:$AH727,19,FALSE)-AVERAGE('The List'!T2:T727))/STDEV('The List'!T2:T727)</f>
        <v>-1.1003942597727374</v>
      </c>
      <c r="H618" s="39">
        <f>(VLOOKUP($A618,'The List'!$B1:$AH727,20,FALSE)-AVERAGE('The List'!U2:U727))/STDEV('The List'!U2:U727)</f>
        <v>-1.1943655761074778</v>
      </c>
      <c r="I618" s="39">
        <f>(VLOOKUP($A618,'The List'!$B1:$AH727,21,FALSE)-AVERAGE('The List'!V2:V727))/STDEV('The List'!V2:V727)</f>
        <v>-1.1802705113896117</v>
      </c>
      <c r="J618" s="39">
        <f>(VLOOKUP($A618,'The List'!$B1:$AH727,22,FALSE)-AVERAGE('The List'!W2:W727))/STDEV('The List'!W2:W727)</f>
        <v>-0.70757096167155253</v>
      </c>
      <c r="K618" s="39">
        <f>(VLOOKUP($A618,'The List'!$B1:$AH727,23,FALSE)-AVERAGE('The List'!X2:X727))/STDEV('The List'!X2:X727)</f>
        <v>-0.79007090734324392</v>
      </c>
      <c r="L618" s="39">
        <f>(VLOOKUP($A618,'The List'!$B1:$AH727,24,FALSE)-AVERAGE('The List'!Y2:Y727))/STDEV('The List'!Y2:Y727)</f>
        <v>-0.50544457030804824</v>
      </c>
      <c r="M618" s="39">
        <f>(VLOOKUP($A618,'The List'!$B1:$AH727,25,FALSE)-AVERAGE('The List'!Z2:Z727))/STDEV('The List'!Z2:Z727)</f>
        <v>-0.63703255452314089</v>
      </c>
      <c r="N618" s="39">
        <f>(VLOOKUP($A618,'The List'!$B1:$AH727,26,FALSE)-AVERAGE('The List'!AA2:AA727))/STDEV('The List'!AA2:AA727)</f>
        <v>8.8180761020723794E-2</v>
      </c>
      <c r="O618" s="39">
        <f>(VLOOKUP($A618,'The List'!$B1:$AH727,27,FALSE)-AVERAGE('The List'!AB2:AB727))/STDEV('The List'!AB2:AB727)</f>
        <v>-0.55432677919844719</v>
      </c>
      <c r="P618" s="39">
        <f>(VLOOKUP($A618,'The List'!$B1:$AH727,28,FALSE)-AVERAGE('The List'!AC2:AC727))/STDEV('The List'!AC2:AC727)</f>
        <v>-0.13323032526406695</v>
      </c>
      <c r="Q618" s="39">
        <f>(VLOOKUP($A618,'The List'!$B1:$AH727,29,FALSE)-AVERAGE('The List'!AD2:AD727))/STDEV('The List'!AD2:AD727)</f>
        <v>-0.49616931775160089</v>
      </c>
      <c r="R618" s="39">
        <f>(VLOOKUP($A618,'The List'!$B1:$AH727,30,FALSE)-AVERAGE('The List'!AE2:AE727))/STDEV('The List'!AE2:AE727)</f>
        <v>-1.0475084077613304</v>
      </c>
      <c r="S618" s="39">
        <f>(VLOOKUP($A618,'The List'!$B1:$AH727,31,FALSE)-AVERAGE('The List'!AF2:AF727))/STDEV('The List'!AF2:AF727)</f>
        <v>-0.55804314905918151</v>
      </c>
      <c r="T618" s="39">
        <f>(VLOOKUP($A618,'The List'!$B1:$AH727,32,FALSE)-AVERAGE('The List'!AG2:AG727))/STDEV('The List'!AG2:AG727)</f>
        <v>-0.60188453558131205</v>
      </c>
      <c r="U618" s="39">
        <f>(VLOOKUP($A618,'The List'!$B1:$AH727,33,FALSE)-AVERAGE('The List'!AH2:AH727))/STDEV('The List'!AH2:AH727)</f>
        <v>-1.2395873372913611</v>
      </c>
      <c r="V618" s="39"/>
      <c r="W618" s="43"/>
      <c r="X618" s="41"/>
      <c r="Y618" s="41"/>
      <c r="Z618" s="41"/>
      <c r="AA618" s="41"/>
      <c r="AB618" s="41"/>
      <c r="AC618" s="44"/>
      <c r="AD618" s="45"/>
      <c r="AE618" s="39"/>
    </row>
    <row r="619" spans="1:31" ht="21.25" customHeight="1" x14ac:dyDescent="0.15">
      <c r="A619" s="8" t="s">
        <v>552</v>
      </c>
      <c r="B619" s="35" t="str">
        <f>VLOOKUP(A619,'Player Data'!A1:B734,2,FALSE)</f>
        <v>CBJ</v>
      </c>
      <c r="C619" s="37">
        <f>((E619)*Settings!$C$12)+(F619*Settings!$C$2)+(G619*Settings!$C$3)+(H619*Settings!$C$4)+(I619*Settings!$C$5)+(K619*Settings!$C$9)+(N619*Settings!$C$6)+(J619*Settings!$C$8)+(O619*Settings!$C$7)+(P619*Settings!$C$14)+(Q619*Settings!$C$15)+(R619*Settings!$C$16)+(S619*Settings!$C$17)+(T619*Settings!$C$18)+(U619*Settings!$C$19)</f>
        <v>-3.620579549968423</v>
      </c>
      <c r="D619" s="41">
        <f>IF(Settings!$E$12="YES",VLOOKUP(A619,'Player Data'!A1:E734,5,FALSE),82)</f>
        <v>75.55</v>
      </c>
      <c r="E619" s="39">
        <f>(VLOOKUP($A619,'The List'!$B1:$AH727,17,FALSE)-AVERAGE('The List'!R2:R727))/STDEV('The List'!R2:R727)</f>
        <v>0.26698551674113941</v>
      </c>
      <c r="F619" s="39">
        <f>(VLOOKUP($A619,'The List'!$B1:$AH727,18,FALSE)-AVERAGE('The List'!S2:S727))/STDEV('The List'!S2:S727)</f>
        <v>-1.0235783401135694</v>
      </c>
      <c r="G619" s="39">
        <f>(VLOOKUP($A619,'The List'!$B1:$AH727,19,FALSE)-AVERAGE('The List'!T2:T727))/STDEV('The List'!T2:T727)</f>
        <v>-0.91014131716994939</v>
      </c>
      <c r="H619" s="39">
        <f>(VLOOKUP($A619,'The List'!$B1:$AH727,20,FALSE)-AVERAGE('The List'!U2:U727))/STDEV('The List'!U2:U727)</f>
        <v>-1.0266296567126474</v>
      </c>
      <c r="I619" s="39">
        <f>(VLOOKUP($A619,'The List'!$B1:$AH727,21,FALSE)-AVERAGE('The List'!V2:V727))/STDEV('The List'!V2:V727)</f>
        <v>-0.56459156697788226</v>
      </c>
      <c r="J619" s="39">
        <f>(VLOOKUP($A619,'The List'!$B1:$AH727,22,FALSE)-AVERAGE('The List'!W2:W727))/STDEV('The List'!W2:W727)</f>
        <v>-0.70677651494712335</v>
      </c>
      <c r="K619" s="39">
        <f>(VLOOKUP($A619,'The List'!$B1:$AH727,23,FALSE)-AVERAGE('The List'!X2:X727))/STDEV('The List'!X2:X727)</f>
        <v>-0.78727714204796351</v>
      </c>
      <c r="L619" s="39">
        <f>(VLOOKUP($A619,'The List'!$B1:$AH727,24,FALSE)-AVERAGE('The List'!Y2:Y727))/STDEV('The List'!Y2:Y727)</f>
        <v>-0.50879018880125793</v>
      </c>
      <c r="M619" s="39">
        <f>(VLOOKUP($A619,'The List'!$B1:$AH727,25,FALSE)-AVERAGE('The List'!Z2:Z727))/STDEV('The List'!Z2:Z727)</f>
        <v>-0.604269251167046</v>
      </c>
      <c r="N619" s="39">
        <f>(VLOOKUP($A619,'The List'!$B1:$AH727,26,FALSE)-AVERAGE('The List'!AA2:AA727))/STDEV('The List'!AA2:AA727)</f>
        <v>1.343102607791498</v>
      </c>
      <c r="O619" s="39">
        <f>(VLOOKUP($A619,'The List'!$B1:$AH727,27,FALSE)-AVERAGE('The List'!AB2:AB727))/STDEV('The List'!AB2:AB727)</f>
        <v>0.46773951843933176</v>
      </c>
      <c r="P619" s="39">
        <f>(VLOOKUP($A619,'The List'!$B1:$AH727,28,FALSE)-AVERAGE('The List'!AC2:AC727))/STDEV('The List'!AC2:AC727)</f>
        <v>-1.6780937914505565</v>
      </c>
      <c r="Q619" s="39">
        <f>(VLOOKUP($A619,'The List'!$B1:$AH727,29,FALSE)-AVERAGE('The List'!AD2:AD727))/STDEV('The List'!AD2:AD727)</f>
        <v>1.7164137646606674</v>
      </c>
      <c r="R619" s="39">
        <f>(VLOOKUP($A619,'The List'!$B1:$AH727,30,FALSE)-AVERAGE('The List'!AE2:AE727))/STDEV('The List'!AE2:AE727)</f>
        <v>-1.0028921009844083</v>
      </c>
      <c r="S619" s="39">
        <f>(VLOOKUP($A619,'The List'!$B1:$AH727,31,FALSE)-AVERAGE('The List'!AF2:AF727))/STDEV('The List'!AF2:AF727)</f>
        <v>-0.55804314905918151</v>
      </c>
      <c r="T619" s="39">
        <f>(VLOOKUP($A619,'The List'!$B1:$AH727,32,FALSE)-AVERAGE('The List'!AG2:AG727))/STDEV('The List'!AG2:AG727)</f>
        <v>-0.60188453558131205</v>
      </c>
      <c r="U619" s="39">
        <f>(VLOOKUP($A619,'The List'!$B1:$AH727,33,FALSE)-AVERAGE('The List'!AH2:AH727))/STDEV('The List'!AH2:AH727)</f>
        <v>-1.2395873372913611</v>
      </c>
      <c r="V619" s="39"/>
      <c r="W619" s="43"/>
      <c r="X619" s="41"/>
      <c r="Y619" s="41"/>
      <c r="Z619" s="41"/>
      <c r="AA619" s="41"/>
      <c r="AB619" s="41"/>
      <c r="AC619" s="44"/>
      <c r="AD619" s="45"/>
      <c r="AE619" s="39"/>
    </row>
    <row r="620" spans="1:31" ht="21.25" customHeight="1" x14ac:dyDescent="0.15">
      <c r="A620" s="8" t="s">
        <v>607</v>
      </c>
      <c r="B620" s="35" t="str">
        <f>VLOOKUP(A620,'Player Data'!A1:B734,2,FALSE)</f>
        <v>PHI</v>
      </c>
      <c r="C620" s="37">
        <f>((E620)*Settings!$C$12)+(F620*Settings!$C$2)+(G620*Settings!$C$3)+(H620*Settings!$C$4)+(I620*Settings!$C$5)+(K620*Settings!$C$9)+(N620*Settings!$C$6)+(J620*Settings!$C$8)+(O620*Settings!$C$7)+(P620*Settings!$C$14)+(Q620*Settings!$C$15)+(R620*Settings!$C$16)+(S620*Settings!$C$17)+(T620*Settings!$C$18)+(U620*Settings!$C$19)</f>
        <v>-4.3210209240192281</v>
      </c>
      <c r="D620" s="41">
        <f>IF(Settings!$E$12="YES",VLOOKUP(A620,'Player Data'!A1:E734,5,FALSE),82)</f>
        <v>77</v>
      </c>
      <c r="E620" s="39">
        <f>(VLOOKUP($A620,'The List'!$B1:$AH727,17,FALSE)-AVERAGE('The List'!R2:R727))/STDEV('The List'!R2:R727)</f>
        <v>-2.771345377704889E-2</v>
      </c>
      <c r="F620" s="39">
        <f>(VLOOKUP($A620,'The List'!$B1:$AH727,18,FALSE)-AVERAGE('The List'!S2:S727))/STDEV('The List'!S2:S727)</f>
        <v>-1.0523592793941559</v>
      </c>
      <c r="G620" s="39">
        <f>(VLOOKUP($A620,'The List'!$B1:$AH727,19,FALSE)-AVERAGE('The List'!T2:T727))/STDEV('The List'!T2:T727)</f>
        <v>-0.87336204767013337</v>
      </c>
      <c r="H620" s="39">
        <f>(VLOOKUP($A620,'The List'!$B1:$AH727,20,FALSE)-AVERAGE('The List'!U2:U727))/STDEV('The List'!U2:U727)</f>
        <v>-1.0170630605649882</v>
      </c>
      <c r="I620" s="39">
        <f>(VLOOKUP($A620,'The List'!$B1:$AH727,21,FALSE)-AVERAGE('The List'!V2:V727))/STDEV('The List'!V2:V727)</f>
        <v>-1.1822328894001248</v>
      </c>
      <c r="J620" s="39">
        <f>(VLOOKUP($A620,'The List'!$B1:$AH727,22,FALSE)-AVERAGE('The List'!W2:W727))/STDEV('The List'!W2:W727)</f>
        <v>-0.70720823854904846</v>
      </c>
      <c r="K620" s="39">
        <f>(VLOOKUP($A620,'The List'!$B1:$AH727,23,FALSE)-AVERAGE('The List'!X2:X727))/STDEV('The List'!X2:X727)</f>
        <v>-0.78761982510854878</v>
      </c>
      <c r="L620" s="39">
        <f>(VLOOKUP($A620,'The List'!$B1:$AH727,24,FALSE)-AVERAGE('The List'!Y2:Y727))/STDEV('The List'!Y2:Y727)</f>
        <v>-0.5141237096471718</v>
      </c>
      <c r="M620" s="39">
        <f>(VLOOKUP($A620,'The List'!$B1:$AH727,25,FALSE)-AVERAGE('The List'!Z2:Z727))/STDEV('The List'!Z2:Z727)</f>
        <v>-0.64550962804813572</v>
      </c>
      <c r="N620" s="39">
        <f>(VLOOKUP($A620,'The List'!$B1:$AH727,26,FALSE)-AVERAGE('The List'!AA2:AA727))/STDEV('The List'!AA2:AA727)</f>
        <v>0.91308465170699649</v>
      </c>
      <c r="O620" s="39">
        <f>(VLOOKUP($A620,'The List'!$B1:$AH727,27,FALSE)-AVERAGE('The List'!AB2:AB727))/STDEV('The List'!AB2:AB727)</f>
        <v>0.51015874565262731</v>
      </c>
      <c r="P620" s="39">
        <f>(VLOOKUP($A620,'The List'!$B1:$AH727,28,FALSE)-AVERAGE('The List'!AC2:AC727))/STDEV('The List'!AC2:AC727)</f>
        <v>-1.3385315341532613</v>
      </c>
      <c r="Q620" s="39">
        <f>(VLOOKUP($A620,'The List'!$B1:$AH727,29,FALSE)-AVERAGE('The List'!AD2:AD727))/STDEV('The List'!AD2:AD727)</f>
        <v>-0.18902832906262645</v>
      </c>
      <c r="R620" s="39">
        <f>(VLOOKUP($A620,'The List'!$B1:$AH727,30,FALSE)-AVERAGE('The List'!AE2:AE727))/STDEV('The List'!AE2:AE727)</f>
        <v>-1.0066399594581588</v>
      </c>
      <c r="S620" s="39">
        <f>(VLOOKUP($A620,'The List'!$B1:$AH727,31,FALSE)-AVERAGE('The List'!AF2:AF727))/STDEV('The List'!AF2:AF727)</f>
        <v>-0.55804314905918151</v>
      </c>
      <c r="T620" s="39">
        <f>(VLOOKUP($A620,'The List'!$B1:$AH727,32,FALSE)-AVERAGE('The List'!AG2:AG727))/STDEV('The List'!AG2:AG727)</f>
        <v>-0.60188453558131205</v>
      </c>
      <c r="U620" s="39">
        <f>(VLOOKUP($A620,'The List'!$B1:$AH727,33,FALSE)-AVERAGE('The List'!AH2:AH727))/STDEV('The List'!AH2:AH727)</f>
        <v>-1.2395873372913611</v>
      </c>
      <c r="V620" s="39"/>
      <c r="W620" s="43"/>
      <c r="X620" s="41"/>
      <c r="Y620" s="41"/>
      <c r="Z620" s="41"/>
      <c r="AA620" s="41"/>
      <c r="AB620" s="41"/>
      <c r="AC620" s="44"/>
      <c r="AD620" s="45"/>
      <c r="AE620" s="39"/>
    </row>
    <row r="621" spans="1:31" ht="21.25" customHeight="1" x14ac:dyDescent="0.15">
      <c r="A621" s="8" t="s">
        <v>591</v>
      </c>
      <c r="B621" s="35" t="str">
        <f>VLOOKUP(A621,'Player Data'!A1:B734,2,FALSE)</f>
        <v>NSH</v>
      </c>
      <c r="C621" s="37">
        <f>((E621)*Settings!$C$12)+(F621*Settings!$C$2)+(G621*Settings!$C$3)+(H621*Settings!$C$4)+(I621*Settings!$C$5)+(K621*Settings!$C$9)+(N621*Settings!$C$6)+(J621*Settings!$C$8)+(O621*Settings!$C$7)+(P621*Settings!$C$14)+(Q621*Settings!$C$15)+(R621*Settings!$C$16)+(S621*Settings!$C$17)+(T621*Settings!$C$18)+(U621*Settings!$C$19)</f>
        <v>-3.789186032793745</v>
      </c>
      <c r="D621" s="41">
        <f>IF(Settings!$E$12="YES",VLOOKUP(A621,'Player Data'!A1:E734,5,FALSE),82)</f>
        <v>74.971071428571406</v>
      </c>
      <c r="E621" s="39">
        <f>(VLOOKUP($A621,'The List'!$B1:$AH727,17,FALSE)-AVERAGE('The List'!R2:R727))/STDEV('The List'!R2:R727)</f>
        <v>-7.7415929123984678E-2</v>
      </c>
      <c r="F621" s="39">
        <f>(VLOOKUP($A621,'The List'!$B1:$AH727,18,FALSE)-AVERAGE('The List'!S2:S727))/STDEV('The List'!S2:S727)</f>
        <v>-1.015699546203608</v>
      </c>
      <c r="G621" s="39">
        <f>(VLOOKUP($A621,'The List'!$B1:$AH727,19,FALSE)-AVERAGE('The List'!T2:T727))/STDEV('The List'!T2:T727)</f>
        <v>-0.92874386151548183</v>
      </c>
      <c r="H621" s="39">
        <f>(VLOOKUP($A621,'The List'!$B1:$AH727,20,FALSE)-AVERAGE('The List'!U2:U727))/STDEV('The List'!U2:U727)</f>
        <v>-1.0345073715740085</v>
      </c>
      <c r="I621" s="39">
        <f>(VLOOKUP($A621,'The List'!$B1:$AH727,21,FALSE)-AVERAGE('The List'!V2:V727))/STDEV('The List'!V2:V727)</f>
        <v>-0.79921484665158815</v>
      </c>
      <c r="J621" s="39">
        <f>(VLOOKUP($A621,'The List'!$B1:$AH727,22,FALSE)-AVERAGE('The List'!W2:W727))/STDEV('The List'!W2:W727)</f>
        <v>-0.70629404208671476</v>
      </c>
      <c r="K621" s="39">
        <f>(VLOOKUP($A621,'The List'!$B1:$AH727,23,FALSE)-AVERAGE('The List'!X2:X727))/STDEV('The List'!X2:X727)</f>
        <v>-0.7864362841204231</v>
      </c>
      <c r="L621" s="39">
        <f>(VLOOKUP($A621,'The List'!$B1:$AH727,24,FALSE)-AVERAGE('The List'!Y2:Y727))/STDEV('The List'!Y2:Y727)</f>
        <v>-0.50049004088036908</v>
      </c>
      <c r="M621" s="39">
        <f>(VLOOKUP($A621,'The List'!$B1:$AH727,25,FALSE)-AVERAGE('The List'!Z2:Z727))/STDEV('The List'!Z2:Z727)</f>
        <v>-6.7062633128322557E-2</v>
      </c>
      <c r="N621" s="39">
        <f>(VLOOKUP($A621,'The List'!$B1:$AH727,26,FALSE)-AVERAGE('The List'!AA2:AA727))/STDEV('The List'!AA2:AA727)</f>
        <v>0.5105310812597551</v>
      </c>
      <c r="O621" s="39">
        <f>(VLOOKUP($A621,'The List'!$B1:$AH727,27,FALSE)-AVERAGE('The List'!AB2:AB727))/STDEV('The List'!AB2:AB727)</f>
        <v>2.6614033452233765</v>
      </c>
      <c r="P621" s="39">
        <f>(VLOOKUP($A621,'The List'!$B1:$AH727,28,FALSE)-AVERAGE('The List'!AC2:AC727))/STDEV('The List'!AC2:AC727)</f>
        <v>-0.76962257556239966</v>
      </c>
      <c r="Q621" s="39">
        <f>(VLOOKUP($A621,'The List'!$B1:$AH727,29,FALSE)-AVERAGE('The List'!AD2:AD727))/STDEV('The List'!AD2:AD727)</f>
        <v>2.0876547596763482</v>
      </c>
      <c r="R621" s="39">
        <f>(VLOOKUP($A621,'The List'!$B1:$AH727,30,FALSE)-AVERAGE('The List'!AE2:AE727))/STDEV('The List'!AE2:AE727)</f>
        <v>-0.92671722150761404</v>
      </c>
      <c r="S621" s="39">
        <f>(VLOOKUP($A621,'The List'!$B1:$AH727,31,FALSE)-AVERAGE('The List'!AF2:AF727))/STDEV('The List'!AF2:AF727)</f>
        <v>-0.55804314905918151</v>
      </c>
      <c r="T621" s="39">
        <f>(VLOOKUP($A621,'The List'!$B1:$AH727,32,FALSE)-AVERAGE('The List'!AG2:AG727))/STDEV('The List'!AG2:AG727)</f>
        <v>-0.60188453558131205</v>
      </c>
      <c r="U621" s="39">
        <f>(VLOOKUP($A621,'The List'!$B1:$AH727,33,FALSE)-AVERAGE('The List'!AH2:AH727))/STDEV('The List'!AH2:AH727)</f>
        <v>-1.2395873372913611</v>
      </c>
      <c r="V621" s="39"/>
      <c r="W621" s="43"/>
      <c r="X621" s="41"/>
      <c r="Y621" s="41"/>
      <c r="Z621" s="41"/>
      <c r="AA621" s="41"/>
      <c r="AB621" s="41"/>
      <c r="AC621" s="44"/>
      <c r="AD621" s="45"/>
      <c r="AE621" s="39"/>
    </row>
    <row r="622" spans="1:31" ht="21.25" customHeight="1" x14ac:dyDescent="0.15">
      <c r="A622" s="8" t="s">
        <v>618</v>
      </c>
      <c r="B622" s="35" t="str">
        <f>VLOOKUP(A622,'Player Data'!A1:B734,2,FALSE)</f>
        <v>CGY</v>
      </c>
      <c r="C622" s="37">
        <f>((E622)*Settings!$C$12)+(F622*Settings!$C$2)+(G622*Settings!$C$3)+(H622*Settings!$C$4)+(I622*Settings!$C$5)+(K622*Settings!$C$9)+(N622*Settings!$C$6)+(J622*Settings!$C$8)+(O622*Settings!$C$7)+(P622*Settings!$C$14)+(Q622*Settings!$C$15)+(R622*Settings!$C$16)+(S622*Settings!$C$17)+(T622*Settings!$C$18)+(U622*Settings!$C$19)</f>
        <v>-3.3775451896162605</v>
      </c>
      <c r="D622" s="41">
        <f>IF(Settings!$E$12="YES",VLOOKUP(A622,'Player Data'!A1:E734,5,FALSE),82)</f>
        <v>69.713928571428596</v>
      </c>
      <c r="E622" s="39">
        <f>(VLOOKUP($A622,'The List'!$B1:$AH727,17,FALSE)-AVERAGE('The List'!R2:R727))/STDEV('The List'!R2:R727)</f>
        <v>-0.47295472318989762</v>
      </c>
      <c r="F622" s="39">
        <f>(VLOOKUP($A622,'The List'!$B1:$AH727,18,FALSE)-AVERAGE('The List'!S2:S727))/STDEV('The List'!S2:S727)</f>
        <v>-1.0800130422390173</v>
      </c>
      <c r="G622" s="39">
        <f>(VLOOKUP($A622,'The List'!$B1:$AH727,19,FALSE)-AVERAGE('The List'!T2:T727))/STDEV('The List'!T2:T727)</f>
        <v>-0.94528997208825116</v>
      </c>
      <c r="H622" s="39">
        <f>(VLOOKUP($A622,'The List'!$B1:$AH727,20,FALSE)-AVERAGE('The List'!U2:U727))/STDEV('The List'!U2:U727)</f>
        <v>-1.0739699024648066</v>
      </c>
      <c r="I622" s="39">
        <f>(VLOOKUP($A622,'The List'!$B1:$AH727,21,FALSE)-AVERAGE('The List'!V2:V727))/STDEV('The List'!V2:V727)</f>
        <v>-1.0191972905398472</v>
      </c>
      <c r="J622" s="39">
        <f>(VLOOKUP($A622,'The List'!$B1:$AH727,22,FALSE)-AVERAGE('The List'!W2:W727))/STDEV('The List'!W2:W727)</f>
        <v>-0.70953286087410217</v>
      </c>
      <c r="K622" s="39">
        <f>(VLOOKUP($A622,'The List'!$B1:$AH727,23,FALSE)-AVERAGE('The List'!X2:X727))/STDEV('The List'!X2:X727)</f>
        <v>-0.78995648389583284</v>
      </c>
      <c r="L622" s="39">
        <f>(VLOOKUP($A622,'The List'!$B1:$AH727,24,FALSE)-AVERAGE('The List'!Y2:Y727))/STDEV('The List'!Y2:Y727)</f>
        <v>-0.52791457766437067</v>
      </c>
      <c r="M622" s="39">
        <f>(VLOOKUP($A622,'The List'!$B1:$AH727,25,FALSE)-AVERAGE('The List'!Z2:Z727))/STDEV('The List'!Z2:Z727)</f>
        <v>-0.68515476305179224</v>
      </c>
      <c r="N622" s="39">
        <f>(VLOOKUP($A622,'The List'!$B1:$AH727,26,FALSE)-AVERAGE('The List'!AA2:AA727))/STDEV('The List'!AA2:AA727)</f>
        <v>0.47198096984494931</v>
      </c>
      <c r="O622" s="39">
        <f>(VLOOKUP($A622,'The List'!$B1:$AH727,27,FALSE)-AVERAGE('The List'!AB2:AB727))/STDEV('The List'!AB2:AB727)</f>
        <v>-0.56746384912059922</v>
      </c>
      <c r="P622" s="39">
        <f>(VLOOKUP($A622,'The List'!$B1:$AH727,28,FALSE)-AVERAGE('The List'!AC2:AC727))/STDEV('The List'!AC2:AC727)</f>
        <v>-1.5069370698261484E-2</v>
      </c>
      <c r="Q622" s="39">
        <f>(VLOOKUP($A622,'The List'!$B1:$AH727,29,FALSE)-AVERAGE('The List'!AD2:AD727))/STDEV('The List'!AD2:AD727)</f>
        <v>-0.94869919064315167</v>
      </c>
      <c r="R622" s="39">
        <f>(VLOOKUP($A622,'The List'!$B1:$AH727,30,FALSE)-AVERAGE('The List'!AE2:AE727))/STDEV('The List'!AE2:AE727)</f>
        <v>-0.95860953632212054</v>
      </c>
      <c r="S622" s="39">
        <f>(VLOOKUP($A622,'The List'!$B1:$AH727,31,FALSE)-AVERAGE('The List'!AF2:AF727))/STDEV('The List'!AF2:AF727)</f>
        <v>-0.5578317329967355</v>
      </c>
      <c r="T622" s="39">
        <f>(VLOOKUP($A622,'The List'!$B1:$AH727,32,FALSE)-AVERAGE('The List'!AG2:AG727))/STDEV('The List'!AG2:AG727)</f>
        <v>-0.60114938859361733</v>
      </c>
      <c r="U622" s="39">
        <f>(VLOOKUP($A622,'The List'!$B1:$AH727,33,FALSE)-AVERAGE('The List'!AH2:AH727))/STDEV('The List'!AH2:AH727)</f>
        <v>-0.19024594561612573</v>
      </c>
      <c r="V622" s="39"/>
      <c r="W622" s="43"/>
      <c r="X622" s="41"/>
      <c r="Y622" s="41"/>
      <c r="Z622" s="41"/>
      <c r="AA622" s="41"/>
      <c r="AB622" s="41"/>
      <c r="AC622" s="44"/>
      <c r="AD622" s="45"/>
      <c r="AE622" s="39"/>
    </row>
    <row r="623" spans="1:31" ht="21.25" customHeight="1" x14ac:dyDescent="0.15">
      <c r="A623" s="8" t="s">
        <v>802</v>
      </c>
      <c r="B623" s="35" t="str">
        <f>VLOOKUP(A623,'Player Data'!A1:B734,2,FALSE)</f>
        <v>OTT</v>
      </c>
      <c r="C623" s="37">
        <f>((E623)*Settings!$C$12)+(F623*Settings!$C$2)+(G623*Settings!$C$3)+(H623*Settings!$C$4)+(I623*Settings!$C$5)+(K623*Settings!$C$9)+(N623*Settings!$C$6)+(J623*Settings!$C$8)+(O623*Settings!$C$7)+(P623*Settings!$C$14)+(Q623*Settings!$C$15)+(R623*Settings!$C$16)+(S623*Settings!$C$17)+(T623*Settings!$C$18)+(U623*Settings!$C$19)</f>
        <v>-4.2294005313066876</v>
      </c>
      <c r="D623" s="41">
        <f>IF(Settings!$E$12="YES",VLOOKUP(A623,'Player Data'!A1:E734,5,FALSE),82)</f>
        <v>73.231071428571397</v>
      </c>
      <c r="E623" s="39">
        <f>(VLOOKUP($A623,'The List'!$B1:$AH727,17,FALSE)-AVERAGE('The List'!R2:R727))/STDEV('The List'!R2:R727)</f>
        <v>-1.5900054512943451</v>
      </c>
      <c r="F623" s="39">
        <f>(VLOOKUP($A623,'The List'!$B1:$AH727,18,FALSE)-AVERAGE('The List'!S2:S727))/STDEV('The List'!S2:S727)</f>
        <v>-0.82947520910338146</v>
      </c>
      <c r="G623" s="39">
        <f>(VLOOKUP($A623,'The List'!$B1:$AH727,19,FALSE)-AVERAGE('The List'!T2:T727))/STDEV('The List'!T2:T727)</f>
        <v>-1.0978631638918628</v>
      </c>
      <c r="H623" s="39">
        <f>(VLOOKUP($A623,'The List'!$B1:$AH727,20,FALSE)-AVERAGE('The List'!U2:U727))/STDEV('The List'!U2:U727)</f>
        <v>-1.0539765163154717</v>
      </c>
      <c r="I623" s="39">
        <f>(VLOOKUP($A623,'The List'!$B1:$AH727,21,FALSE)-AVERAGE('The List'!V2:V727))/STDEV('The List'!V2:V727)</f>
        <v>-0.72424307671230481</v>
      </c>
      <c r="J623" s="39">
        <f>(VLOOKUP($A623,'The List'!$B1:$AH727,22,FALSE)-AVERAGE('The List'!W2:W727))/STDEV('The List'!W2:W727)</f>
        <v>-0.70115616817073345</v>
      </c>
      <c r="K623" s="39">
        <f>(VLOOKUP($A623,'The List'!$B1:$AH727,23,FALSE)-AVERAGE('The List'!X2:X727))/STDEV('The List'!X2:X727)</f>
        <v>-0.79048833492018977</v>
      </c>
      <c r="L623" s="39">
        <f>(VLOOKUP($A623,'The List'!$B1:$AH727,24,FALSE)-AVERAGE('The List'!Y2:Y727))/STDEV('The List'!Y2:Y727)</f>
        <v>-0.52247009128680433</v>
      </c>
      <c r="M623" s="39">
        <f>(VLOOKUP($A623,'The List'!$B1:$AH727,25,FALSE)-AVERAGE('The List'!Z2:Z727))/STDEV('The List'!Z2:Z727)</f>
        <v>-0.69911634322786642</v>
      </c>
      <c r="N623" s="39">
        <f>(VLOOKUP($A623,'The List'!$B1:$AH727,26,FALSE)-AVERAGE('The List'!AA2:AA727))/STDEV('The List'!AA2:AA727)</f>
        <v>-0.6562974866893031</v>
      </c>
      <c r="O623" s="39">
        <f>(VLOOKUP($A623,'The List'!$B1:$AH727,27,FALSE)-AVERAGE('The List'!AB2:AB727))/STDEV('The List'!AB2:AB727)</f>
        <v>1.6516333299484232</v>
      </c>
      <c r="P623" s="39">
        <f>(VLOOKUP($A623,'The List'!$B1:$AH727,28,FALSE)-AVERAGE('The List'!AC2:AC727))/STDEV('The List'!AC2:AC727)</f>
        <v>-0.13103325998964521</v>
      </c>
      <c r="Q623" s="39">
        <f>(VLOOKUP($A623,'The List'!$B1:$AH727,29,FALSE)-AVERAGE('The List'!AD2:AD727))/STDEV('The List'!AD2:AD727)</f>
        <v>2.9592676312028732</v>
      </c>
      <c r="R623" s="39">
        <f>(VLOOKUP($A623,'The List'!$B1:$AH727,30,FALSE)-AVERAGE('The List'!AE2:AE727))/STDEV('The List'!AE2:AE727)</f>
        <v>-0.77070430001619583</v>
      </c>
      <c r="S623" s="39">
        <f>(VLOOKUP($A623,'The List'!$B1:$AH727,31,FALSE)-AVERAGE('The List'!AF2:AF727))/STDEV('The List'!AF2:AF727)</f>
        <v>-0.4757747996858725</v>
      </c>
      <c r="T623" s="39">
        <f>(VLOOKUP($A623,'The List'!$B1:$AH727,32,FALSE)-AVERAGE('The List'!AG2:AG727))/STDEV('The List'!AG2:AG727)</f>
        <v>-0.51171438539825786</v>
      </c>
      <c r="U623" s="39">
        <f>(VLOOKUP($A623,'The List'!$B1:$AH727,33,FALSE)-AVERAGE('The List'!AH2:AH727))/STDEV('The List'!AH2:AH727)</f>
        <v>0.97300446630477111</v>
      </c>
      <c r="V623" s="39"/>
      <c r="W623" s="43"/>
      <c r="X623" s="41"/>
      <c r="Y623" s="41"/>
      <c r="Z623" s="41"/>
      <c r="AA623" s="41"/>
      <c r="AB623" s="41"/>
      <c r="AC623" s="44"/>
      <c r="AD623" s="45"/>
      <c r="AE623" s="39"/>
    </row>
    <row r="624" spans="1:31" ht="21.25" customHeight="1" x14ac:dyDescent="0.15">
      <c r="A624" s="8" t="s">
        <v>829</v>
      </c>
      <c r="B624" s="35" t="str">
        <f>VLOOKUP(A624,'Player Data'!A1:B734,2,FALSE)</f>
        <v>COL</v>
      </c>
      <c r="C624" s="37">
        <f>((E624)*Settings!$C$12)+(F624*Settings!$C$2)+(G624*Settings!$C$3)+(H624*Settings!$C$4)+(I624*Settings!$C$5)+(K624*Settings!$C$9)+(N624*Settings!$C$6)+(J624*Settings!$C$8)+(O624*Settings!$C$7)+(P624*Settings!$C$14)+(Q624*Settings!$C$15)+(R624*Settings!$C$16)+(S624*Settings!$C$17)+(T624*Settings!$C$18)+(U624*Settings!$C$19)</f>
        <v>-4.7615233605702105</v>
      </c>
      <c r="D624" s="41">
        <f>IF(Settings!$E$12="YES",VLOOKUP(A624,'Player Data'!A1:E734,5,FALSE),82)</f>
        <v>55.61</v>
      </c>
      <c r="E624" s="39">
        <f>(VLOOKUP($A624,'The List'!$B1:$AH727,17,FALSE)-AVERAGE('The List'!R2:R727))/STDEV('The List'!R2:R727)</f>
        <v>-1.8961734462742643</v>
      </c>
      <c r="F624" s="39">
        <f>(VLOOKUP($A624,'The List'!$B1:$AH727,18,FALSE)-AVERAGE('The List'!S2:S727))/STDEV('The List'!S2:S727)</f>
        <v>-0.71716362750937757</v>
      </c>
      <c r="G624" s="39">
        <f>(VLOOKUP($A624,'The List'!$B1:$AH727,19,FALSE)-AVERAGE('The List'!T2:T727))/STDEV('The List'!T2:T727)</f>
        <v>-1.3927362899397662</v>
      </c>
      <c r="H624" s="39">
        <f>(VLOOKUP($A624,'The List'!$B1:$AH727,20,FALSE)-AVERAGE('The List'!U2:U727))/STDEV('The List'!U2:U727)</f>
        <v>-1.1845712540819424</v>
      </c>
      <c r="I624" s="39">
        <f>(VLOOKUP($A624,'The List'!$B1:$AH727,21,FALSE)-AVERAGE('The List'!V2:V727))/STDEV('The List'!V2:V727)</f>
        <v>-1.3204396494180459</v>
      </c>
      <c r="J624" s="39">
        <f>(VLOOKUP($A624,'The List'!$B1:$AH727,22,FALSE)-AVERAGE('The List'!W2:W727))/STDEV('The List'!W2:W727)</f>
        <v>-0.70010852367400789</v>
      </c>
      <c r="K624" s="39">
        <f>(VLOOKUP($A624,'The List'!$B1:$AH727,23,FALSE)-AVERAGE('The List'!X2:X727))/STDEV('The List'!X2:X727)</f>
        <v>-0.78935690771170874</v>
      </c>
      <c r="L624" s="39">
        <f>(VLOOKUP($A624,'The List'!$B1:$AH727,24,FALSE)-AVERAGE('The List'!Y2:Y727))/STDEV('The List'!Y2:Y727)</f>
        <v>-0.53430104547589585</v>
      </c>
      <c r="M624" s="39">
        <f>(VLOOKUP($A624,'The List'!$B1:$AH727,25,FALSE)-AVERAGE('The List'!Z2:Z727))/STDEV('The List'!Z2:Z727)</f>
        <v>-0.71252828491374764</v>
      </c>
      <c r="N624" s="39">
        <f>(VLOOKUP($A624,'The List'!$B1:$AH727,26,FALSE)-AVERAGE('The List'!AA2:AA727))/STDEV('The List'!AA2:AA727)</f>
        <v>-1.0302715747465014</v>
      </c>
      <c r="O624" s="39">
        <f>(VLOOKUP($A624,'The List'!$B1:$AH727,27,FALSE)-AVERAGE('The List'!AB2:AB727))/STDEV('The List'!AB2:AB727)</f>
        <v>-0.8757861085403843</v>
      </c>
      <c r="P624" s="39">
        <f>(VLOOKUP($A624,'The List'!$B1:$AH727,28,FALSE)-AVERAGE('The List'!AC2:AC727))/STDEV('The List'!AC2:AC727)</f>
        <v>0.48844468875518937</v>
      </c>
      <c r="Q624" s="39">
        <f>(VLOOKUP($A624,'The List'!$B1:$AH727,29,FALSE)-AVERAGE('The List'!AD2:AD727))/STDEV('The List'!AD2:AD727)</f>
        <v>-1.4352537775094476</v>
      </c>
      <c r="R624" s="39">
        <f>(VLOOKUP($A624,'The List'!$B1:$AH727,30,FALSE)-AVERAGE('The List'!AE2:AE727))/STDEV('The List'!AE2:AE727)</f>
        <v>-0.59602620590054689</v>
      </c>
      <c r="S624" s="39">
        <f>(VLOOKUP($A624,'The List'!$B1:$AH727,31,FALSE)-AVERAGE('The List'!AF2:AF727))/STDEV('The List'!AF2:AF727)</f>
        <v>9.5832721700767218E-2</v>
      </c>
      <c r="T624" s="39">
        <f>(VLOOKUP($A624,'The List'!$B1:$AH727,32,FALSE)-AVERAGE('The List'!AG2:AG727))/STDEV('The List'!AG2:AG727)</f>
        <v>6.4564903808687873E-2</v>
      </c>
      <c r="U624" s="39">
        <f>(VLOOKUP($A624,'The List'!$B1:$AH727,33,FALSE)-AVERAGE('The List'!AH2:AH727))/STDEV('The List'!AH2:AH727)</f>
        <v>1.0550680834257866</v>
      </c>
      <c r="V624" s="39"/>
      <c r="W624" s="41"/>
      <c r="X624" s="39"/>
      <c r="Y624" s="39"/>
      <c r="Z624" s="39"/>
      <c r="AA624" s="39"/>
      <c r="AB624" s="39"/>
      <c r="AC624" s="39"/>
      <c r="AD624" s="39"/>
      <c r="AE624" s="39"/>
    </row>
    <row r="625" spans="1:31" ht="21.25" customHeight="1" x14ac:dyDescent="0.15">
      <c r="A625" s="8" t="s">
        <v>689</v>
      </c>
      <c r="B625" s="35" t="str">
        <f>VLOOKUP(A625,'Player Data'!A1:B734,2,FALSE)</f>
        <v>EDM</v>
      </c>
      <c r="C625" s="37">
        <f>((E625)*Settings!$C$12)+(F625*Settings!$C$2)+(G625*Settings!$C$3)+(H625*Settings!$C$4)+(I625*Settings!$C$5)+(K625*Settings!$C$9)+(N625*Settings!$C$6)+(J625*Settings!$C$8)+(O625*Settings!$C$7)+(P625*Settings!$C$14)+(Q625*Settings!$C$15)+(R625*Settings!$C$16)+(S625*Settings!$C$17)+(T625*Settings!$C$18)+(U625*Settings!$C$19)</f>
        <v>-3.5652114455098758</v>
      </c>
      <c r="D625" s="41">
        <f>IF(Settings!$E$12="YES",VLOOKUP(A625,'Player Data'!A1:E734,5,FALSE),82)</f>
        <v>62.827500000000001</v>
      </c>
      <c r="E625" s="39">
        <f>(VLOOKUP($A625,'The List'!$B1:$AH727,17,FALSE)-AVERAGE('The List'!R2:R727))/STDEV('The List'!R2:R727)</f>
        <v>-1.1699796589166647</v>
      </c>
      <c r="F625" s="39">
        <f>(VLOOKUP($A625,'The List'!$B1:$AH727,18,FALSE)-AVERAGE('The List'!S2:S727))/STDEV('The List'!S2:S727)</f>
        <v>-1.1028118236406439</v>
      </c>
      <c r="G625" s="39">
        <f>(VLOOKUP($A625,'The List'!$B1:$AH727,19,FALSE)-AVERAGE('The List'!T2:T727))/STDEV('The List'!T2:T727)</f>
        <v>-1.0252312900551215</v>
      </c>
      <c r="H625" s="39">
        <f>(VLOOKUP($A625,'The List'!$B1:$AH727,20,FALSE)-AVERAGE('The List'!U2:U727))/STDEV('The List'!U2:U727)</f>
        <v>-1.1336053508923953</v>
      </c>
      <c r="I625" s="39">
        <f>(VLOOKUP($A625,'The List'!$B1:$AH727,21,FALSE)-AVERAGE('The List'!V2:V727))/STDEV('The List'!V2:V727)</f>
        <v>-1.3570692919464418</v>
      </c>
      <c r="J625" s="39">
        <f>(VLOOKUP($A625,'The List'!$B1:$AH727,22,FALSE)-AVERAGE('The List'!W2:W727))/STDEV('The List'!W2:W727)</f>
        <v>-0.70167587216105087</v>
      </c>
      <c r="K625" s="39">
        <f>(VLOOKUP($A625,'The List'!$B1:$AH727,23,FALSE)-AVERAGE('The List'!X2:X727))/STDEV('The List'!X2:X727)</f>
        <v>-0.77491686213289945</v>
      </c>
      <c r="L625" s="39">
        <f>(VLOOKUP($A625,'The List'!$B1:$AH727,24,FALSE)-AVERAGE('The List'!Y2:Y727))/STDEV('The List'!Y2:Y727)</f>
        <v>-0.50880313964395296</v>
      </c>
      <c r="M625" s="39">
        <f>(VLOOKUP($A625,'The List'!$B1:$AH727,25,FALSE)-AVERAGE('The List'!Z2:Z727))/STDEV('The List'!Z2:Z727)</f>
        <v>-0.64446047408652019</v>
      </c>
      <c r="N625" s="39">
        <f>(VLOOKUP($A625,'The List'!$B1:$AH727,26,FALSE)-AVERAGE('The List'!AA2:AA727))/STDEV('The List'!AA2:AA727)</f>
        <v>-0.26089682855630403</v>
      </c>
      <c r="O625" s="39">
        <f>(VLOOKUP($A625,'The List'!$B1:$AH727,27,FALSE)-AVERAGE('The List'!AB2:AB727))/STDEV('The List'!AB2:AB727)</f>
        <v>-0.81867878249574466</v>
      </c>
      <c r="P625" s="39">
        <f>(VLOOKUP($A625,'The List'!$B1:$AH727,28,FALSE)-AVERAGE('The List'!AC2:AC727))/STDEV('The List'!AC2:AC727)</f>
        <v>0.95571465082153462</v>
      </c>
      <c r="Q625" s="39">
        <f>(VLOOKUP($A625,'The List'!$B1:$AH727,29,FALSE)-AVERAGE('The List'!AD2:AD727))/STDEV('The List'!AD2:AD727)</f>
        <v>-1.3393408662125896</v>
      </c>
      <c r="R625" s="39">
        <f>(VLOOKUP($A625,'The List'!$B1:$AH727,30,FALSE)-AVERAGE('The List'!AE2:AE727))/STDEV('The List'!AE2:AE727)</f>
        <v>-0.99449586739383256</v>
      </c>
      <c r="S625" s="39">
        <f>(VLOOKUP($A625,'The List'!$B1:$AH727,31,FALSE)-AVERAGE('The List'!AF2:AF727))/STDEV('The List'!AF2:AF727)</f>
        <v>-0.55804314905918151</v>
      </c>
      <c r="T625" s="39">
        <f>(VLOOKUP($A625,'The List'!$B1:$AH727,32,FALSE)-AVERAGE('The List'!AG2:AG727))/STDEV('The List'!AG2:AG727)</f>
        <v>-0.60188453558131205</v>
      </c>
      <c r="U625" s="39">
        <f>(VLOOKUP($A625,'The List'!$B1:$AH727,33,FALSE)-AVERAGE('The List'!AH2:AH727))/STDEV('The List'!AH2:AH727)</f>
        <v>-1.2395873372913611</v>
      </c>
      <c r="V625" s="39"/>
      <c r="W625" s="41"/>
      <c r="X625" s="39"/>
      <c r="Y625" s="39"/>
      <c r="Z625" s="39"/>
      <c r="AA625" s="39"/>
      <c r="AB625" s="39"/>
      <c r="AC625" s="39"/>
      <c r="AD625" s="39"/>
      <c r="AE625" s="39"/>
    </row>
    <row r="626" spans="1:31" ht="21.25" customHeight="1" x14ac:dyDescent="0.15">
      <c r="A626" s="8" t="s">
        <v>632</v>
      </c>
      <c r="B626" s="35" t="str">
        <f>VLOOKUP(A626,'Player Data'!A1:B734,2,FALSE)</f>
        <v>FLA</v>
      </c>
      <c r="C626" s="37">
        <f>((E626)*Settings!$C$12)+(F626*Settings!$C$2)+(G626*Settings!$C$3)+(H626*Settings!$C$4)+(I626*Settings!$C$5)+(K626*Settings!$C$9)+(N626*Settings!$C$6)+(J626*Settings!$C$8)+(O626*Settings!$C$7)+(P626*Settings!$C$14)+(Q626*Settings!$C$15)+(R626*Settings!$C$16)+(S626*Settings!$C$17)+(T626*Settings!$C$18)+(U626*Settings!$C$19)</f>
        <v>-3.459970794944208</v>
      </c>
      <c r="D626" s="41">
        <f>IF(Settings!$E$12="YES",VLOOKUP(A626,'Player Data'!A1:E734,5,FALSE),82)</f>
        <v>67</v>
      </c>
      <c r="E626" s="39">
        <f>(VLOOKUP($A626,'The List'!$B1:$AH727,17,FALSE)-AVERAGE('The List'!R2:R727))/STDEV('The List'!R2:R727)</f>
        <v>0.27720929060796068</v>
      </c>
      <c r="F626" s="39">
        <f>(VLOOKUP($A626,'The List'!$B1:$AH727,18,FALSE)-AVERAGE('The List'!S2:S727))/STDEV('The List'!S2:S727)</f>
        <v>-1.0694378279207657</v>
      </c>
      <c r="G626" s="39">
        <f>(VLOOKUP($A626,'The List'!$B1:$AH727,19,FALSE)-AVERAGE('The List'!T2:T727))/STDEV('The List'!T2:T727)</f>
        <v>-1.0104907791368853</v>
      </c>
      <c r="H626" s="39">
        <f>(VLOOKUP($A626,'The List'!$B1:$AH727,20,FALSE)-AVERAGE('The List'!U2:U727))/STDEV('The List'!U2:U727)</f>
        <v>-1.1093348558593621</v>
      </c>
      <c r="I626" s="39">
        <f>(VLOOKUP($A626,'The List'!$B1:$AH727,21,FALSE)-AVERAGE('The List'!V2:V727))/STDEV('The List'!V2:V727)</f>
        <v>-1.1843385059876352</v>
      </c>
      <c r="J626" s="39">
        <f>(VLOOKUP($A626,'The List'!$B1:$AH727,22,FALSE)-AVERAGE('The List'!W2:W727))/STDEV('The List'!W2:W727)</f>
        <v>-0.70790729812537834</v>
      </c>
      <c r="K626" s="39">
        <f>(VLOOKUP($A626,'The List'!$B1:$AH727,23,FALSE)-AVERAGE('The List'!X2:X727))/STDEV('The List'!X2:X727)</f>
        <v>-0.7906069165568792</v>
      </c>
      <c r="L626" s="39">
        <f>(VLOOKUP($A626,'The List'!$B1:$AH727,24,FALSE)-AVERAGE('The List'!Y2:Y727))/STDEV('The List'!Y2:Y727)</f>
        <v>-2.8535942225801889E-2</v>
      </c>
      <c r="M626" s="39">
        <f>(VLOOKUP($A626,'The List'!$B1:$AH727,25,FALSE)-AVERAGE('The List'!Z2:Z727))/STDEV('The List'!Z2:Z727)</f>
        <v>-0.30440964715118501</v>
      </c>
      <c r="N626" s="39">
        <f>(VLOOKUP($A626,'The List'!$B1:$AH727,26,FALSE)-AVERAGE('The List'!AA2:AA727))/STDEV('The List'!AA2:AA727)</f>
        <v>0.84748726691147436</v>
      </c>
      <c r="O626" s="39">
        <f>(VLOOKUP($A626,'The List'!$B1:$AH727,27,FALSE)-AVERAGE('The List'!AB2:AB727))/STDEV('The List'!AB2:AB727)</f>
        <v>0.61964721991181826</v>
      </c>
      <c r="P626" s="39">
        <f>(VLOOKUP($A626,'The List'!$B1:$AH727,28,FALSE)-AVERAGE('The List'!AC2:AC727))/STDEV('The List'!AC2:AC727)</f>
        <v>-0.25258403225351639</v>
      </c>
      <c r="Q626" s="39">
        <f>(VLOOKUP($A626,'The List'!$B1:$AH727,29,FALSE)-AVERAGE('The List'!AD2:AD727))/STDEV('The List'!AD2:AD727)</f>
        <v>1.1929381378819024</v>
      </c>
      <c r="R626" s="39">
        <f>(VLOOKUP($A626,'The List'!$B1:$AH727,30,FALSE)-AVERAGE('The List'!AE2:AE727))/STDEV('The List'!AE2:AE727)</f>
        <v>-0.98175189996118695</v>
      </c>
      <c r="S626" s="39">
        <f>(VLOOKUP($A626,'The List'!$B1:$AH727,31,FALSE)-AVERAGE('The List'!AF2:AF727))/STDEV('The List'!AF2:AF727)</f>
        <v>-0.55804314905918151</v>
      </c>
      <c r="T626" s="39">
        <f>(VLOOKUP($A626,'The List'!$B1:$AH727,32,FALSE)-AVERAGE('The List'!AG2:AG727))/STDEV('The List'!AG2:AG727)</f>
        <v>-0.60188453558131205</v>
      </c>
      <c r="U626" s="39">
        <f>(VLOOKUP($A626,'The List'!$B1:$AH727,33,FALSE)-AVERAGE('The List'!AH2:AH727))/STDEV('The List'!AH2:AH727)</f>
        <v>-1.2395873372913611</v>
      </c>
      <c r="V626" s="39"/>
      <c r="W626" s="41"/>
      <c r="X626" s="39"/>
      <c r="Y626" s="39"/>
      <c r="Z626" s="39"/>
      <c r="AA626" s="39"/>
      <c r="AB626" s="39"/>
      <c r="AC626" s="39"/>
      <c r="AD626" s="39"/>
      <c r="AE626" s="39"/>
    </row>
    <row r="627" spans="1:31" ht="21.25" customHeight="1" x14ac:dyDescent="0.15">
      <c r="A627" s="8" t="s">
        <v>625</v>
      </c>
      <c r="B627" s="35" t="str">
        <f>VLOOKUP(A627,'Player Data'!A1:B734,2,FALSE)</f>
        <v>VGK</v>
      </c>
      <c r="C627" s="37">
        <f>((E627)*Settings!$C$12)+(F627*Settings!$C$2)+(G627*Settings!$C$3)+(H627*Settings!$C$4)+(I627*Settings!$C$5)+(K627*Settings!$C$9)+(N627*Settings!$C$6)+(J627*Settings!$C$8)+(O627*Settings!$C$7)+(P627*Settings!$C$14)+(Q627*Settings!$C$15)+(R627*Settings!$C$16)+(S627*Settings!$C$17)+(T627*Settings!$C$18)+(U627*Settings!$C$19)</f>
        <v>-2.9542764618230466</v>
      </c>
      <c r="D627" s="41">
        <f>IF(Settings!$E$12="YES",VLOOKUP(A627,'Player Data'!A1:E734,5,FALSE),82)</f>
        <v>67.041785714285695</v>
      </c>
      <c r="E627" s="39">
        <f>(VLOOKUP($A627,'The List'!$B1:$AH727,17,FALSE)-AVERAGE('The List'!R2:R727))/STDEV('The List'!R2:R727)</f>
        <v>-1.0885012659689062</v>
      </c>
      <c r="F627" s="39">
        <f>(VLOOKUP($A627,'The List'!$B1:$AH727,18,FALSE)-AVERAGE('The List'!S2:S727))/STDEV('The List'!S2:S727)</f>
        <v>-1.0236259716311447</v>
      </c>
      <c r="G627" s="39">
        <f>(VLOOKUP($A627,'The List'!$B1:$AH727,19,FALSE)-AVERAGE('The List'!T2:T727))/STDEV('The List'!T2:T727)</f>
        <v>-1.0496736169087979</v>
      </c>
      <c r="H627" s="39">
        <f>(VLOOKUP($A627,'The List'!$B1:$AH727,20,FALSE)-AVERAGE('The List'!U2:U727))/STDEV('The List'!U2:U727)</f>
        <v>-1.1126324199363054</v>
      </c>
      <c r="I627" s="39">
        <f>(VLOOKUP($A627,'The List'!$B1:$AH727,21,FALSE)-AVERAGE('The List'!V2:V727))/STDEV('The List'!V2:V727)</f>
        <v>-0.93753424725500922</v>
      </c>
      <c r="J627" s="39">
        <f>(VLOOKUP($A627,'The List'!$B1:$AH727,22,FALSE)-AVERAGE('The List'!W2:W727))/STDEV('The List'!W2:W727)</f>
        <v>-0.69422735737921826</v>
      </c>
      <c r="K627" s="39">
        <f>(VLOOKUP($A627,'The List'!$B1:$AH727,23,FALSE)-AVERAGE('The List'!X2:X727))/STDEV('The List'!X2:X727)</f>
        <v>-0.731701289756854</v>
      </c>
      <c r="L627" s="39">
        <f>(VLOOKUP($A627,'The List'!$B1:$AH727,24,FALSE)-AVERAGE('The List'!Y2:Y727))/STDEV('The List'!Y2:Y727)</f>
        <v>-0.53231411899870129</v>
      </c>
      <c r="M627" s="39">
        <f>(VLOOKUP($A627,'The List'!$B1:$AH727,25,FALSE)-AVERAGE('The List'!Z2:Z727))/STDEV('The List'!Z2:Z727)</f>
        <v>-0.69661303118577667</v>
      </c>
      <c r="N627" s="39">
        <f>(VLOOKUP($A627,'The List'!$B1:$AH727,26,FALSE)-AVERAGE('The List'!AA2:AA727))/STDEV('The List'!AA2:AA727)</f>
        <v>1.4804084825674114E-2</v>
      </c>
      <c r="O627" s="39">
        <f>(VLOOKUP($A627,'The List'!$B1:$AH727,27,FALSE)-AVERAGE('The List'!AB2:AB727))/STDEV('The List'!AB2:AB727)</f>
        <v>-0.77986773917824836</v>
      </c>
      <c r="P627" s="39">
        <f>(VLOOKUP($A627,'The List'!$B1:$AH727,28,FALSE)-AVERAGE('The List'!AC2:AC727))/STDEV('The List'!AC2:AC727)</f>
        <v>0.77345457890308467</v>
      </c>
      <c r="Q627" s="39">
        <f>(VLOOKUP($A627,'The List'!$B1:$AH727,29,FALSE)-AVERAGE('The List'!AD2:AD727))/STDEV('The List'!AD2:AD727)</f>
        <v>-0.81943613211642696</v>
      </c>
      <c r="R627" s="39">
        <f>(VLOOKUP($A627,'The List'!$B1:$AH727,30,FALSE)-AVERAGE('The List'!AE2:AE727))/STDEV('The List'!AE2:AE727)</f>
        <v>-0.90354563750625683</v>
      </c>
      <c r="S627" s="39">
        <f>(VLOOKUP($A627,'The List'!$B1:$AH727,31,FALSE)-AVERAGE('The List'!AF2:AF727))/STDEV('The List'!AF2:AF727)</f>
        <v>-0.55804314905918151</v>
      </c>
      <c r="T627" s="39">
        <f>(VLOOKUP($A627,'The List'!$B1:$AH727,32,FALSE)-AVERAGE('The List'!AG2:AG727))/STDEV('The List'!AG2:AG727)</f>
        <v>-0.60188453558131205</v>
      </c>
      <c r="U627" s="39">
        <f>(VLOOKUP($A627,'The List'!$B1:$AH727,33,FALSE)-AVERAGE('The List'!AH2:AH727))/STDEV('The List'!AH2:AH727)</f>
        <v>-1.2395873372913611</v>
      </c>
      <c r="V627" s="39"/>
      <c r="W627" s="41"/>
      <c r="X627" s="39"/>
      <c r="Y627" s="39"/>
      <c r="Z627" s="39"/>
      <c r="AA627" s="39"/>
      <c r="AB627" s="39"/>
      <c r="AC627" s="39"/>
      <c r="AD627" s="39"/>
      <c r="AE627" s="39"/>
    </row>
    <row r="628" spans="1:31" ht="21.25" customHeight="1" x14ac:dyDescent="0.15">
      <c r="A628" s="8" t="s">
        <v>826</v>
      </c>
      <c r="B628" s="35" t="str">
        <f>VLOOKUP(A628,'Player Data'!A1:B734,2,FALSE)</f>
        <v>BOS</v>
      </c>
      <c r="C628" s="37">
        <f>((E628)*Settings!$C$12)+(F628*Settings!$C$2)+(G628*Settings!$C$3)+(H628*Settings!$C$4)+(I628*Settings!$C$5)+(K628*Settings!$C$9)+(N628*Settings!$C$6)+(J628*Settings!$C$8)+(O628*Settings!$C$7)+(P628*Settings!$C$14)+(Q628*Settings!$C$15)+(R628*Settings!$C$16)+(S628*Settings!$C$17)+(T628*Settings!$C$18)+(U628*Settings!$C$19)</f>
        <v>-4.9711614098371157</v>
      </c>
      <c r="D628" s="41">
        <f>IF(Settings!$E$12="YES",VLOOKUP(A628,'Player Data'!A1:E734,5,FALSE),82)</f>
        <v>61.537500000000001</v>
      </c>
      <c r="E628" s="39">
        <f>(VLOOKUP($A628,'The List'!$B1:$AH727,17,FALSE)-AVERAGE('The List'!R2:R727))/STDEV('The List'!R2:R727)</f>
        <v>-1.5334014830282419</v>
      </c>
      <c r="F628" s="39">
        <f>(VLOOKUP($A628,'The List'!$B1:$AH727,18,FALSE)-AVERAGE('The List'!S2:S727))/STDEV('The List'!S2:S727)</f>
        <v>-1.0497993634653724</v>
      </c>
      <c r="G628" s="39">
        <f>(VLOOKUP($A628,'The List'!$B1:$AH727,19,FALSE)-AVERAGE('The List'!T2:T727))/STDEV('The List'!T2:T727)</f>
        <v>-1.0988262470688692</v>
      </c>
      <c r="H628" s="39">
        <f>(VLOOKUP($A628,'The List'!$B1:$AH727,20,FALSE)-AVERAGE('The List'!U2:U727))/STDEV('The List'!U2:U727)</f>
        <v>-1.1548312543549641</v>
      </c>
      <c r="I628" s="39">
        <f>(VLOOKUP($A628,'The List'!$B1:$AH727,21,FALSE)-AVERAGE('The List'!V2:V727))/STDEV('The List'!V2:V727)</f>
        <v>-1.307560254943618</v>
      </c>
      <c r="J628" s="39">
        <f>(VLOOKUP($A628,'The List'!$B1:$AH727,22,FALSE)-AVERAGE('The List'!W2:W727))/STDEV('The List'!W2:W727)</f>
        <v>-0.70863588046049175</v>
      </c>
      <c r="K628" s="39">
        <f>(VLOOKUP($A628,'The List'!$B1:$AH727,23,FALSE)-AVERAGE('The List'!X2:X727))/STDEV('The List'!X2:X727)</f>
        <v>-0.79742700065490313</v>
      </c>
      <c r="L628" s="39">
        <f>(VLOOKUP($A628,'The List'!$B1:$AH727,24,FALSE)-AVERAGE('The List'!Y2:Y727))/STDEV('The List'!Y2:Y727)</f>
        <v>-0.43923887563478703</v>
      </c>
      <c r="M628" s="39">
        <f>(VLOOKUP($A628,'The List'!$B1:$AH727,25,FALSE)-AVERAGE('The List'!Z2:Z727))/STDEV('The List'!Z2:Z727)</f>
        <v>-0.58733543495645979</v>
      </c>
      <c r="N628" s="39">
        <f>(VLOOKUP($A628,'The List'!$B1:$AH727,26,FALSE)-AVERAGE('The List'!AA2:AA727))/STDEV('The List'!AA2:AA727)</f>
        <v>-0.81595222945853296</v>
      </c>
      <c r="O628" s="39">
        <f>(VLOOKUP($A628,'The List'!$B1:$AH727,27,FALSE)-AVERAGE('The List'!AB2:AB727))/STDEV('The List'!AB2:AB727)</f>
        <v>-0.39905521146595258</v>
      </c>
      <c r="P628" s="39">
        <f>(VLOOKUP($A628,'The List'!$B1:$AH727,28,FALSE)-AVERAGE('The List'!AC2:AC727))/STDEV('The List'!AC2:AC727)</f>
        <v>9.8403685754179945E-2</v>
      </c>
      <c r="Q628" s="39">
        <f>(VLOOKUP($A628,'The List'!$B1:$AH727,29,FALSE)-AVERAGE('The List'!AD2:AD727))/STDEV('The List'!AD2:AD727)</f>
        <v>-1.3750752658585972</v>
      </c>
      <c r="R628" s="39">
        <f>(VLOOKUP($A628,'The List'!$B1:$AH727,30,FALSE)-AVERAGE('The List'!AE2:AE727))/STDEV('The List'!AE2:AE727)</f>
        <v>-0.92438339232659328</v>
      </c>
      <c r="S628" s="39">
        <f>(VLOOKUP($A628,'The List'!$B1:$AH727,31,FALSE)-AVERAGE('The List'!AF2:AF727))/STDEV('The List'!AF2:AF727)</f>
        <v>0.29299315707264245</v>
      </c>
      <c r="T628" s="39">
        <f>(VLOOKUP($A628,'The List'!$B1:$AH727,32,FALSE)-AVERAGE('The List'!AG2:AG727))/STDEV('The List'!AG2:AG727)</f>
        <v>0.23973436623007108</v>
      </c>
      <c r="U628" s="39">
        <f>(VLOOKUP($A628,'The List'!$B1:$AH727,33,FALSE)-AVERAGE('The List'!AH2:AH727))/STDEV('The List'!AH2:AH727)</f>
        <v>1.0891296965815771</v>
      </c>
      <c r="V628" s="39"/>
      <c r="W628" s="41"/>
      <c r="X628" s="39"/>
      <c r="Y628" s="39"/>
      <c r="Z628" s="39"/>
      <c r="AA628" s="39"/>
      <c r="AB628" s="39"/>
      <c r="AC628" s="39"/>
      <c r="AD628" s="39"/>
      <c r="AE628" s="39"/>
    </row>
    <row r="629" spans="1:31" ht="21.25" customHeight="1" x14ac:dyDescent="0.15">
      <c r="A629" s="8" t="s">
        <v>628</v>
      </c>
      <c r="B629" s="35" t="str">
        <f>VLOOKUP(A629,'Player Data'!A1:B734,2,FALSE)</f>
        <v>CAR</v>
      </c>
      <c r="C629" s="37">
        <f>((E629)*Settings!$C$12)+(F629*Settings!$C$2)+(G629*Settings!$C$3)+(H629*Settings!$C$4)+(I629*Settings!$C$5)+(K629*Settings!$C$9)+(N629*Settings!$C$6)+(J629*Settings!$C$8)+(O629*Settings!$C$7)+(P629*Settings!$C$14)+(Q629*Settings!$C$15)+(R629*Settings!$C$16)+(S629*Settings!$C$17)+(T629*Settings!$C$18)+(U629*Settings!$C$19)</f>
        <v>-2.4382040318625275</v>
      </c>
      <c r="D629" s="41">
        <f>IF(Settings!$E$12="YES",VLOOKUP(A629,'Player Data'!A1:E734,5,FALSE),82)</f>
        <v>68</v>
      </c>
      <c r="E629" s="39">
        <f>(VLOOKUP($A629,'The List'!$B1:$AH727,17,FALSE)-AVERAGE('The List'!R2:R727))/STDEV('The List'!R2:R727)</f>
        <v>-0.76384358390390361</v>
      </c>
      <c r="F629" s="39">
        <f>(VLOOKUP($A629,'The List'!$B1:$AH727,18,FALSE)-AVERAGE('The List'!S2:S727))/STDEV('The List'!S2:S727)</f>
        <v>-0.98551121860761604</v>
      </c>
      <c r="G629" s="39">
        <f>(VLOOKUP($A629,'The List'!$B1:$AH727,19,FALSE)-AVERAGE('The List'!T2:T727))/STDEV('The List'!T2:T727)</f>
        <v>-1.0796853815880594</v>
      </c>
      <c r="H629" s="39">
        <f>(VLOOKUP($A629,'The List'!$B1:$AH727,20,FALSE)-AVERAGE('The List'!U2:U727))/STDEV('The List'!U2:U727)</f>
        <v>-1.1137813479697298</v>
      </c>
      <c r="I629" s="39">
        <f>(VLOOKUP($A629,'The List'!$B1:$AH727,21,FALSE)-AVERAGE('The List'!V2:V727))/STDEV('The List'!V2:V727)</f>
        <v>-0.92249907871979553</v>
      </c>
      <c r="J629" s="39">
        <f>(VLOOKUP($A629,'The List'!$B1:$AH727,22,FALSE)-AVERAGE('The List'!W2:W727))/STDEV('The List'!W2:W727)</f>
        <v>-0.70933132218316663</v>
      </c>
      <c r="K629" s="39">
        <f>(VLOOKUP($A629,'The List'!$B1:$AH727,23,FALSE)-AVERAGE('The List'!X2:X727))/STDEV('The List'!X2:X727)</f>
        <v>-0.79441543585082841</v>
      </c>
      <c r="L629" s="39">
        <f>(VLOOKUP($A629,'The List'!$B1:$AH727,24,FALSE)-AVERAGE('The List'!Y2:Y727))/STDEV('The List'!Y2:Y727)</f>
        <v>-0.17079466942154098</v>
      </c>
      <c r="M629" s="39">
        <f>(VLOOKUP($A629,'The List'!$B1:$AH727,25,FALSE)-AVERAGE('The List'!Z2:Z727))/STDEV('The List'!Z2:Z727)</f>
        <v>-0.23195921854943813</v>
      </c>
      <c r="N629" s="39">
        <f>(VLOOKUP($A629,'The List'!$B1:$AH727,26,FALSE)-AVERAGE('The List'!AA2:AA727))/STDEV('The List'!AA2:AA727)</f>
        <v>-6.2483372221154798E-2</v>
      </c>
      <c r="O629" s="39">
        <f>(VLOOKUP($A629,'The List'!$B1:$AH727,27,FALSE)-AVERAGE('The List'!AB2:AB727))/STDEV('The List'!AB2:AB727)</f>
        <v>-0.31643124018835594</v>
      </c>
      <c r="P629" s="39">
        <f>(VLOOKUP($A629,'The List'!$B1:$AH727,28,FALSE)-AVERAGE('The List'!AC2:AC727))/STDEV('The List'!AC2:AC727)</f>
        <v>1.4063904551249264</v>
      </c>
      <c r="Q629" s="39">
        <f>(VLOOKUP($A629,'The List'!$B1:$AH727,29,FALSE)-AVERAGE('The List'!AD2:AD727))/STDEV('The List'!AD2:AD727)</f>
        <v>-0.14713609931321725</v>
      </c>
      <c r="R629" s="39">
        <f>(VLOOKUP($A629,'The List'!$B1:$AH727,30,FALSE)-AVERAGE('The List'!AE2:AE727))/STDEV('The List'!AE2:AE727)</f>
        <v>-0.8306253730639529</v>
      </c>
      <c r="S629" s="39">
        <f>(VLOOKUP($A629,'The List'!$B1:$AH727,31,FALSE)-AVERAGE('The List'!AF2:AF727))/STDEV('The List'!AF2:AF727)</f>
        <v>-0.55804314905918151</v>
      </c>
      <c r="T629" s="39">
        <f>(VLOOKUP($A629,'The List'!$B1:$AH727,32,FALSE)-AVERAGE('The List'!AG2:AG727))/STDEV('The List'!AG2:AG727)</f>
        <v>-0.60188453558131205</v>
      </c>
      <c r="U629" s="39">
        <f>(VLOOKUP($A629,'The List'!$B1:$AH727,33,FALSE)-AVERAGE('The List'!AH2:AH727))/STDEV('The List'!AH2:AH727)</f>
        <v>-1.2395873372913611</v>
      </c>
      <c r="V629" s="39"/>
      <c r="W629" s="41"/>
      <c r="X629" s="39"/>
      <c r="Y629" s="39"/>
      <c r="Z629" s="39"/>
      <c r="AA629" s="39"/>
      <c r="AB629" s="39"/>
      <c r="AC629" s="39"/>
      <c r="AD629" s="39"/>
      <c r="AE629" s="39"/>
    </row>
    <row r="630" spans="1:31" ht="21.25" customHeight="1" x14ac:dyDescent="0.15">
      <c r="A630" s="8" t="s">
        <v>773</v>
      </c>
      <c r="B630" s="35" t="str">
        <f>VLOOKUP(A630,'Player Data'!A1:B734,2,FALSE)</f>
        <v>TOR</v>
      </c>
      <c r="C630" s="37">
        <f>((E630)*Settings!$C$12)+(F630*Settings!$C$2)+(G630*Settings!$C$3)+(H630*Settings!$C$4)+(I630*Settings!$C$5)+(K630*Settings!$C$9)+(N630*Settings!$C$6)+(J630*Settings!$C$8)+(O630*Settings!$C$7)+(P630*Settings!$C$14)+(Q630*Settings!$C$15)+(R630*Settings!$C$16)+(S630*Settings!$C$17)+(T630*Settings!$C$18)+(U630*Settings!$C$19)</f>
        <v>-4.4437010961056114</v>
      </c>
      <c r="D630" s="41">
        <f>IF(Settings!$E$12="YES",VLOOKUP(A630,'Player Data'!A1:E734,5,FALSE),82)</f>
        <v>75.862857142857095</v>
      </c>
      <c r="E630" s="39">
        <f>(VLOOKUP($A630,'The List'!$B1:$AH727,17,FALSE)-AVERAGE('The List'!R2:R727))/STDEV('The List'!R2:R727)</f>
        <v>-1.9238532099451786</v>
      </c>
      <c r="F630" s="39">
        <f>(VLOOKUP($A630,'The List'!$B1:$AH727,18,FALSE)-AVERAGE('The List'!S2:S727))/STDEV('The List'!S2:S727)</f>
        <v>-0.90077193786195864</v>
      </c>
      <c r="G630" s="39">
        <f>(VLOOKUP($A630,'The List'!$B1:$AH727,19,FALSE)-AVERAGE('The List'!T2:T727))/STDEV('The List'!T2:T727)</f>
        <v>-1.0578290820399936</v>
      </c>
      <c r="H630" s="39">
        <f>(VLOOKUP($A630,'The List'!$B1:$AH727,20,FALSE)-AVERAGE('The List'!U2:U727))/STDEV('The List'!U2:U727)</f>
        <v>-1.0617516195221373</v>
      </c>
      <c r="I630" s="39">
        <f>(VLOOKUP($A630,'The List'!$B1:$AH727,21,FALSE)-AVERAGE('The List'!V2:V727))/STDEV('The List'!V2:V727)</f>
        <v>-1.3137129083766053</v>
      </c>
      <c r="J630" s="39">
        <f>(VLOOKUP($A630,'The List'!$B1:$AH727,22,FALSE)-AVERAGE('The List'!W2:W727))/STDEV('The List'!W2:W727)</f>
        <v>-0.70617844494694804</v>
      </c>
      <c r="K630" s="39">
        <f>(VLOOKUP($A630,'The List'!$B1:$AH727,23,FALSE)-AVERAGE('The List'!X2:X727))/STDEV('The List'!X2:X727)</f>
        <v>-0.79507282456955608</v>
      </c>
      <c r="L630" s="39">
        <f>(VLOOKUP($A630,'The List'!$B1:$AH727,24,FALSE)-AVERAGE('The List'!Y2:Y727))/STDEV('The List'!Y2:Y727)</f>
        <v>-0.53990169152755629</v>
      </c>
      <c r="M630" s="39">
        <f>(VLOOKUP($A630,'The List'!$B1:$AH727,25,FALSE)-AVERAGE('The List'!Z2:Z727))/STDEV('The List'!Z2:Z727)</f>
        <v>-0.71870050220756843</v>
      </c>
      <c r="N630" s="39">
        <f>(VLOOKUP($A630,'The List'!$B1:$AH727,26,FALSE)-AVERAGE('The List'!AA2:AA727))/STDEV('The List'!AA2:AA727)</f>
        <v>-0.91805149907559114</v>
      </c>
      <c r="O630" s="39">
        <f>(VLOOKUP($A630,'The List'!$B1:$AH727,27,FALSE)-AVERAGE('The List'!AB2:AB727))/STDEV('The List'!AB2:AB727)</f>
        <v>2.4377931289933712</v>
      </c>
      <c r="P630" s="39">
        <f>(VLOOKUP($A630,'The List'!$B1:$AH727,28,FALSE)-AVERAGE('The List'!AC2:AC727))/STDEV('The List'!AC2:AC727)</f>
        <v>0.5417371558180929</v>
      </c>
      <c r="Q630" s="39">
        <f>(VLOOKUP($A630,'The List'!$B1:$AH727,29,FALSE)-AVERAGE('The List'!AD2:AD727))/STDEV('The List'!AD2:AD727)</f>
        <v>0.41560961202199664</v>
      </c>
      <c r="R630" s="39">
        <f>(VLOOKUP($A630,'The List'!$B1:$AH727,30,FALSE)-AVERAGE('The List'!AE2:AE727))/STDEV('The List'!AE2:AE727)</f>
        <v>-0.77952925103392057</v>
      </c>
      <c r="S630" s="39">
        <f>(VLOOKUP($A630,'The List'!$B1:$AH727,31,FALSE)-AVERAGE('The List'!AF2:AF727))/STDEV('The List'!AF2:AF727)</f>
        <v>-0.53025531652947744</v>
      </c>
      <c r="T630" s="39">
        <f>(VLOOKUP($A630,'The List'!$B1:$AH727,32,FALSE)-AVERAGE('The List'!AG2:AG727))/STDEV('The List'!AG2:AG727)</f>
        <v>-0.55146511540138365</v>
      </c>
      <c r="U630" s="39">
        <f>(VLOOKUP($A630,'The List'!$B1:$AH727,33,FALSE)-AVERAGE('The List'!AH2:AH727))/STDEV('The List'!AH2:AH727)</f>
        <v>0.41847650702813805</v>
      </c>
      <c r="V630" s="39"/>
      <c r="W630" s="41"/>
      <c r="X630" s="39"/>
      <c r="Y630" s="39"/>
      <c r="Z630" s="39"/>
      <c r="AA630" s="39"/>
      <c r="AB630" s="39"/>
      <c r="AC630" s="39"/>
      <c r="AD630" s="39"/>
      <c r="AE630" s="39"/>
    </row>
    <row r="631" spans="1:31" ht="21.25" customHeight="1" x14ac:dyDescent="0.15">
      <c r="A631" s="8" t="s">
        <v>563</v>
      </c>
      <c r="B631" s="35" t="str">
        <f>VLOOKUP(A631,'Player Data'!A1:B734,2,FALSE)</f>
        <v>DAL</v>
      </c>
      <c r="C631" s="37">
        <f>((E631)*Settings!$C$12)+(F631*Settings!$C$2)+(G631*Settings!$C$3)+(H631*Settings!$C$4)+(I631*Settings!$C$5)+(K631*Settings!$C$9)+(N631*Settings!$C$6)+(J631*Settings!$C$8)+(O631*Settings!$C$7)+(P631*Settings!$C$14)+(Q631*Settings!$C$15)+(R631*Settings!$C$16)+(S631*Settings!$C$17)+(T631*Settings!$C$18)+(U631*Settings!$C$19)</f>
        <v>-1.0179443143085374</v>
      </c>
      <c r="D631" s="41">
        <f>IF(Settings!$E$12="YES",VLOOKUP(A631,'Player Data'!A1:E734,5,FALSE),82)</f>
        <v>81.901428571428596</v>
      </c>
      <c r="E631" s="39">
        <f>(VLOOKUP($A631,'The List'!$B1:$AH727,17,FALSE)-AVERAGE('The List'!R2:R727))/STDEV('The List'!R2:R727)</f>
        <v>0.49276495749127697</v>
      </c>
      <c r="F631" s="39">
        <f>(VLOOKUP($A631,'The List'!$B1:$AH727,18,FALSE)-AVERAGE('The List'!S2:S727))/STDEV('The List'!S2:S727)</f>
        <v>-0.8847279590611572</v>
      </c>
      <c r="G631" s="39">
        <f>(VLOOKUP($A631,'The List'!$B1:$AH727,19,FALSE)-AVERAGE('The List'!T2:T727))/STDEV('The List'!T2:T727)</f>
        <v>-1.0084110462180531</v>
      </c>
      <c r="H631" s="39">
        <f>(VLOOKUP($A631,'The List'!$B1:$AH727,20,FALSE)-AVERAGE('The List'!U2:U727))/STDEV('The List'!U2:U727)</f>
        <v>-1.0239987564827815</v>
      </c>
      <c r="I631" s="39">
        <f>(VLOOKUP($A631,'The List'!$B1:$AH727,21,FALSE)-AVERAGE('The List'!V2:V727))/STDEV('The List'!V2:V727)</f>
        <v>-0.82993468522954816</v>
      </c>
      <c r="J631" s="39">
        <f>(VLOOKUP($A631,'The List'!$B1:$AH727,22,FALSE)-AVERAGE('The List'!W2:W727))/STDEV('The List'!W2:W727)</f>
        <v>-0.7046561154699611</v>
      </c>
      <c r="K631" s="39">
        <f>(VLOOKUP($A631,'The List'!$B1:$AH727,23,FALSE)-AVERAGE('The List'!X2:X727))/STDEV('The List'!X2:X727)</f>
        <v>-0.78216442277150222</v>
      </c>
      <c r="L631" s="39">
        <f>(VLOOKUP($A631,'The List'!$B1:$AH727,24,FALSE)-AVERAGE('The List'!Y2:Y727))/STDEV('The List'!Y2:Y727)</f>
        <v>-0.49755305264436261</v>
      </c>
      <c r="M631" s="39">
        <f>(VLOOKUP($A631,'The List'!$B1:$AH727,25,FALSE)-AVERAGE('The List'!Z2:Z727))/STDEV('The List'!Z2:Z727)</f>
        <v>-4.6725007429416446E-2</v>
      </c>
      <c r="N631" s="39">
        <f>(VLOOKUP($A631,'The List'!$B1:$AH727,26,FALSE)-AVERAGE('The List'!AA2:AA727))/STDEV('The List'!AA2:AA727)</f>
        <v>1.7002259037674217</v>
      </c>
      <c r="O631" s="39">
        <f>(VLOOKUP($A631,'The List'!$B1:$AH727,27,FALSE)-AVERAGE('The List'!AB2:AB727))/STDEV('The List'!AB2:AB727)</f>
        <v>2.5281378419291216</v>
      </c>
      <c r="P631" s="39">
        <f>(VLOOKUP($A631,'The List'!$B1:$AH727,28,FALSE)-AVERAGE('The List'!AC2:AC727))/STDEV('The List'!AC2:AC727)</f>
        <v>0.78706789520430143</v>
      </c>
      <c r="Q631" s="39">
        <f>(VLOOKUP($A631,'The List'!$B1:$AH727,29,FALSE)-AVERAGE('The List'!AD2:AD727))/STDEV('The List'!AD2:AD727)</f>
        <v>1.2057331257193498</v>
      </c>
      <c r="R631" s="39">
        <f>(VLOOKUP($A631,'The List'!$B1:$AH727,30,FALSE)-AVERAGE('The List'!AE2:AE727))/STDEV('The List'!AE2:AE727)</f>
        <v>-0.76444881473395709</v>
      </c>
      <c r="S631" s="39">
        <f>(VLOOKUP($A631,'The List'!$B1:$AH727,31,FALSE)-AVERAGE('The List'!AF2:AF727))/STDEV('The List'!AF2:AF727)</f>
        <v>-0.55804314905918151</v>
      </c>
      <c r="T631" s="39">
        <f>(VLOOKUP($A631,'The List'!$B1:$AH727,32,FALSE)-AVERAGE('The List'!AG2:AG727))/STDEV('The List'!AG2:AG727)</f>
        <v>-0.60188453558131205</v>
      </c>
      <c r="U631" s="39">
        <f>(VLOOKUP($A631,'The List'!$B1:$AH727,33,FALSE)-AVERAGE('The List'!AH2:AH727))/STDEV('The List'!AH2:AH727)</f>
        <v>-1.2395873372913611</v>
      </c>
      <c r="V631" s="39"/>
      <c r="W631" s="41"/>
      <c r="X631" s="39"/>
      <c r="Y631" s="39"/>
      <c r="Z631" s="39"/>
      <c r="AA631" s="39"/>
      <c r="AB631" s="39"/>
      <c r="AC631" s="39"/>
      <c r="AD631" s="39"/>
      <c r="AE631" s="39"/>
    </row>
    <row r="632" spans="1:31" ht="21.25" customHeight="1" x14ac:dyDescent="0.15">
      <c r="A632" s="8" t="s">
        <v>807</v>
      </c>
      <c r="B632" s="35" t="str">
        <f>VLOOKUP(A632,'Player Data'!A1:B734,2,FALSE)</f>
        <v>LAK</v>
      </c>
      <c r="C632" s="37">
        <f>((E632)*Settings!$C$12)+(F632*Settings!$C$2)+(G632*Settings!$C$3)+(H632*Settings!$C$4)+(I632*Settings!$C$5)+(K632*Settings!$C$9)+(N632*Settings!$C$6)+(J632*Settings!$C$8)+(O632*Settings!$C$7)+(P632*Settings!$C$14)+(Q632*Settings!$C$15)+(R632*Settings!$C$16)+(S632*Settings!$C$17)+(T632*Settings!$C$18)+(U632*Settings!$C$19)</f>
        <v>-4.6838297444633659</v>
      </c>
      <c r="D632" s="41">
        <f>IF(Settings!$E$12="YES",VLOOKUP(A632,'Player Data'!A1:E734,5,FALSE),82)</f>
        <v>65</v>
      </c>
      <c r="E632" s="39">
        <f>(VLOOKUP($A632,'The List'!$B1:$AH727,17,FALSE)-AVERAGE('The List'!R2:R727))/STDEV('The List'!R2:R727)</f>
        <v>-1.5394954365146909</v>
      </c>
      <c r="F632" s="39">
        <f>(VLOOKUP($A632,'The List'!$B1:$AH727,18,FALSE)-AVERAGE('The List'!S2:S727))/STDEV('The List'!S2:S727)</f>
        <v>-0.86911499732785891</v>
      </c>
      <c r="G632" s="39">
        <f>(VLOOKUP($A632,'The List'!$B1:$AH727,19,FALSE)-AVERAGE('The List'!T2:T727))/STDEV('The List'!T2:T727)</f>
        <v>-1.2117200838257729</v>
      </c>
      <c r="H632" s="39">
        <f>(VLOOKUP($A632,'The List'!$B1:$AH727,20,FALSE)-AVERAGE('The List'!U2:U727))/STDEV('The List'!U2:U727)</f>
        <v>-1.1421747829208631</v>
      </c>
      <c r="I632" s="39">
        <f>(VLOOKUP($A632,'The List'!$B1:$AH727,21,FALSE)-AVERAGE('The List'!V2:V727))/STDEV('The List'!V2:V727)</f>
        <v>-0.68876357704262436</v>
      </c>
      <c r="J632" s="39">
        <f>(VLOOKUP($A632,'The List'!$B1:$AH727,22,FALSE)-AVERAGE('The List'!W2:W727))/STDEV('The List'!W2:W727)</f>
        <v>-0.67608932909697861</v>
      </c>
      <c r="K632" s="39">
        <f>(VLOOKUP($A632,'The List'!$B1:$AH727,23,FALSE)-AVERAGE('The List'!X2:X727))/STDEV('The List'!X2:X727)</f>
        <v>-0.77191306624318057</v>
      </c>
      <c r="L632" s="39">
        <f>(VLOOKUP($A632,'The List'!$B1:$AH727,24,FALSE)-AVERAGE('The List'!Y2:Y727))/STDEV('The List'!Y2:Y727)</f>
        <v>0.73637667553233721</v>
      </c>
      <c r="M632" s="39">
        <f>(VLOOKUP($A632,'The List'!$B1:$AH727,25,FALSE)-AVERAGE('The List'!Z2:Z727))/STDEV('The List'!Z2:Z727)</f>
        <v>0.15280537371643629</v>
      </c>
      <c r="N632" s="39">
        <f>(VLOOKUP($A632,'The List'!$B1:$AH727,26,FALSE)-AVERAGE('The List'!AA2:AA727))/STDEV('The List'!AA2:AA727)</f>
        <v>-0.86917735430249943</v>
      </c>
      <c r="O632" s="39">
        <f>(VLOOKUP($A632,'The List'!$B1:$AH727,27,FALSE)-AVERAGE('The List'!AB2:AB727))/STDEV('The List'!AB2:AB727)</f>
        <v>0.39224406288975444</v>
      </c>
      <c r="P632" s="39">
        <f>(VLOOKUP($A632,'The List'!$B1:$AH727,28,FALSE)-AVERAGE('The List'!AC2:AC727))/STDEV('The List'!AC2:AC727)</f>
        <v>-0.27314066572143053</v>
      </c>
      <c r="Q632" s="39">
        <f>(VLOOKUP($A632,'The List'!$B1:$AH727,29,FALSE)-AVERAGE('The List'!AD2:AD727))/STDEV('The List'!AD2:AD727)</f>
        <v>-1.4117313977273445</v>
      </c>
      <c r="R632" s="39">
        <f>(VLOOKUP($A632,'The List'!$B1:$AH727,30,FALSE)-AVERAGE('The List'!AE2:AE727))/STDEV('The List'!AE2:AE727)</f>
        <v>-0.78012954774038779</v>
      </c>
      <c r="S632" s="39">
        <f>(VLOOKUP($A632,'The List'!$B1:$AH727,31,FALSE)-AVERAGE('The List'!AF2:AF727))/STDEV('The List'!AF2:AF727)</f>
        <v>-0.1497726567336089</v>
      </c>
      <c r="T632" s="39">
        <f>(VLOOKUP($A632,'The List'!$B1:$AH727,32,FALSE)-AVERAGE('The List'!AG2:AG727))/STDEV('The List'!AG2:AG727)</f>
        <v>-6.9958199137970051E-2</v>
      </c>
      <c r="U632" s="39">
        <f>(VLOOKUP($A632,'The List'!$B1:$AH727,33,FALSE)-AVERAGE('The List'!AH2:AH727))/STDEV('The List'!AH2:AH727)</f>
        <v>0.77867150472744195</v>
      </c>
      <c r="V632" s="39"/>
      <c r="W632" s="41"/>
      <c r="X632" s="39"/>
      <c r="Y632" s="39"/>
      <c r="Z632" s="39"/>
      <c r="AA632" s="39"/>
      <c r="AB632" s="39"/>
      <c r="AC632" s="39"/>
      <c r="AD632" s="39"/>
      <c r="AE632" s="39"/>
    </row>
    <row r="633" spans="1:31" ht="21.25" customHeight="1" x14ac:dyDescent="0.15">
      <c r="A633" s="8" t="s">
        <v>757</v>
      </c>
      <c r="B633" s="35" t="str">
        <f>VLOOKUP(A633,'Player Data'!A1:B734,2,FALSE)</f>
        <v>NYI</v>
      </c>
      <c r="C633" s="37">
        <f>((E633)*Settings!$C$12)+(F633*Settings!$C$2)+(G633*Settings!$C$3)+(H633*Settings!$C$4)+(I633*Settings!$C$5)+(K633*Settings!$C$9)+(N633*Settings!$C$6)+(J633*Settings!$C$8)+(O633*Settings!$C$7)+(P633*Settings!$C$14)+(Q633*Settings!$C$15)+(R633*Settings!$C$16)+(S633*Settings!$C$17)+(T633*Settings!$C$18)+(U633*Settings!$C$19)</f>
        <v>-4.4863619056230997</v>
      </c>
      <c r="D633" s="41">
        <f>IF(Settings!$E$12="YES",VLOOKUP(A633,'Player Data'!A1:E734,5,FALSE),82)</f>
        <v>80.047142857142902</v>
      </c>
      <c r="E633" s="39">
        <f>(VLOOKUP($A633,'The List'!$B1:$AH727,17,FALSE)-AVERAGE('The List'!R2:R727))/STDEV('The List'!R2:R727)</f>
        <v>-1.5710583103946774</v>
      </c>
      <c r="F633" s="39">
        <f>(VLOOKUP($A633,'The List'!$B1:$AH727,18,FALSE)-AVERAGE('The List'!S2:S727))/STDEV('The List'!S2:S727)</f>
        <v>-0.83366017526219227</v>
      </c>
      <c r="G633" s="39">
        <f>(VLOOKUP($A633,'The List'!$B1:$AH727,19,FALSE)-AVERAGE('The List'!T2:T727))/STDEV('The List'!T2:T727)</f>
        <v>-1.0746457541164898</v>
      </c>
      <c r="H633" s="39">
        <f>(VLOOKUP($A633,'The List'!$B1:$AH727,20,FALSE)-AVERAGE('The List'!U2:U727))/STDEV('The List'!U2:U727)</f>
        <v>-1.0415741561098304</v>
      </c>
      <c r="I633" s="39">
        <f>(VLOOKUP($A633,'The List'!$B1:$AH727,21,FALSE)-AVERAGE('The List'!V2:V727))/STDEV('The List'!V2:V727)</f>
        <v>-0.85774333729694396</v>
      </c>
      <c r="J633" s="39">
        <f>(VLOOKUP($A633,'The List'!$B1:$AH727,22,FALSE)-AVERAGE('The List'!W2:W727))/STDEV('The List'!W2:W727)</f>
        <v>-0.69729556000561099</v>
      </c>
      <c r="K633" s="39">
        <f>(VLOOKUP($A633,'The List'!$B1:$AH727,23,FALSE)-AVERAGE('The List'!X2:X727))/STDEV('The List'!X2:X727)</f>
        <v>-0.78684546648886522</v>
      </c>
      <c r="L633" s="39">
        <f>(VLOOKUP($A633,'The List'!$B1:$AH727,24,FALSE)-AVERAGE('The List'!Y2:Y727))/STDEV('The List'!Y2:Y727)</f>
        <v>-0.48529050588537598</v>
      </c>
      <c r="M633" s="39">
        <f>(VLOOKUP($A633,'The List'!$B1:$AH727,25,FALSE)-AVERAGE('The List'!Z2:Z727))/STDEV('The List'!Z2:Z727)</f>
        <v>-0.65372438723592674</v>
      </c>
      <c r="N633" s="39">
        <f>(VLOOKUP($A633,'The List'!$B1:$AH727,26,FALSE)-AVERAGE('The List'!AA2:AA727))/STDEV('The List'!AA2:AA727)</f>
        <v>-0.58336481043761779</v>
      </c>
      <c r="O633" s="39">
        <f>(VLOOKUP($A633,'The List'!$B1:$AH727,27,FALSE)-AVERAGE('The List'!AB2:AB727))/STDEV('The List'!AB2:AB727)</f>
        <v>3.3796829663187928</v>
      </c>
      <c r="P633" s="39">
        <f>(VLOOKUP($A633,'The List'!$B1:$AH727,28,FALSE)-AVERAGE('The List'!AC2:AC727))/STDEV('The List'!AC2:AC727)</f>
        <v>-0.35010236202099043</v>
      </c>
      <c r="Q633" s="39">
        <f>(VLOOKUP($A633,'The List'!$B1:$AH727,29,FALSE)-AVERAGE('The List'!AD2:AD727))/STDEV('The List'!AD2:AD727)</f>
        <v>0.95021020362957731</v>
      </c>
      <c r="R633" s="39">
        <f>(VLOOKUP($A633,'The List'!$B1:$AH727,30,FALSE)-AVERAGE('The List'!AE2:AE727))/STDEV('The List'!AE2:AE727)</f>
        <v>-0.72752932963587091</v>
      </c>
      <c r="S633" s="39">
        <f>(VLOOKUP($A633,'The List'!$B1:$AH727,31,FALSE)-AVERAGE('The List'!AF2:AF727))/STDEV('The List'!AF2:AF727)</f>
        <v>-0.5171692493542871</v>
      </c>
      <c r="T633" s="39">
        <f>(VLOOKUP($A633,'The List'!$B1:$AH727,32,FALSE)-AVERAGE('The List'!AG2:AG727))/STDEV('The List'!AG2:AG727)</f>
        <v>-0.52160227815265148</v>
      </c>
      <c r="U633" s="39">
        <f>(VLOOKUP($A633,'The List'!$B1:$AH727,33,FALSE)-AVERAGE('The List'!AH2:AH727))/STDEV('The List'!AH2:AH727)</f>
        <v>0.33618009143065525</v>
      </c>
      <c r="V633" s="39"/>
      <c r="W633" s="41"/>
      <c r="X633" s="39"/>
      <c r="Y633" s="39"/>
      <c r="Z633" s="39"/>
      <c r="AA633" s="39"/>
      <c r="AB633" s="39"/>
      <c r="AC633" s="39"/>
      <c r="AD633" s="39"/>
      <c r="AE633" s="39"/>
    </row>
    <row r="634" spans="1:31" ht="21.25" customHeight="1" x14ac:dyDescent="0.15">
      <c r="A634" s="8" t="s">
        <v>785</v>
      </c>
      <c r="B634" s="35" t="str">
        <f>VLOOKUP(A634,'Player Data'!A1:B734,2,FALSE)</f>
        <v>SEA</v>
      </c>
      <c r="C634" s="37">
        <f>((E634)*Settings!$C$12)+(F634*Settings!$C$2)+(G634*Settings!$C$3)+(H634*Settings!$C$4)+(I634*Settings!$C$5)+(K634*Settings!$C$9)+(N634*Settings!$C$6)+(J634*Settings!$C$8)+(O634*Settings!$C$7)+(P634*Settings!$C$14)+(Q634*Settings!$C$15)+(R634*Settings!$C$16)+(S634*Settings!$C$17)+(T634*Settings!$C$18)+(U634*Settings!$C$19)</f>
        <v>-4.7338702896114224</v>
      </c>
      <c r="D634" s="41">
        <f>IF(Settings!$E$12="YES",VLOOKUP(A634,'Player Data'!A1:E734,5,FALSE),82)</f>
        <v>70</v>
      </c>
      <c r="E634" s="39">
        <f>(VLOOKUP($A634,'The List'!$B1:$AH727,17,FALSE)-AVERAGE('The List'!R2:R727))/STDEV('The List'!R2:R727)</f>
        <v>-1.3950333845112146</v>
      </c>
      <c r="F634" s="39">
        <f>(VLOOKUP($A634,'The List'!$B1:$AH727,18,FALSE)-AVERAGE('The List'!S2:S727))/STDEV('The List'!S2:S727)</f>
        <v>-0.87710053866779336</v>
      </c>
      <c r="G634" s="39">
        <f>(VLOOKUP($A634,'The List'!$B1:$AH727,19,FALSE)-AVERAGE('The List'!T2:T727))/STDEV('The List'!T2:T727)</f>
        <v>-1.163451413673918</v>
      </c>
      <c r="H634" s="39">
        <f>(VLOOKUP($A634,'The List'!$B1:$AH727,20,FALSE)-AVERAGE('The List'!U2:U727))/STDEV('The List'!U2:U727)</f>
        <v>-1.116065104934576</v>
      </c>
      <c r="I634" s="39">
        <f>(VLOOKUP($A634,'The List'!$B1:$AH727,21,FALSE)-AVERAGE('The List'!V2:V727))/STDEV('The List'!V2:V727)</f>
        <v>-1.2504912795709378</v>
      </c>
      <c r="J634" s="39">
        <f>(VLOOKUP($A634,'The List'!$B1:$AH727,22,FALSE)-AVERAGE('The List'!W2:W727))/STDEV('The List'!W2:W727)</f>
        <v>-0.70848297002067007</v>
      </c>
      <c r="K634" s="39">
        <f>(VLOOKUP($A634,'The List'!$B1:$AH727,23,FALSE)-AVERAGE('The List'!X2:X727))/STDEV('The List'!X2:X727)</f>
        <v>-0.7976060982919323</v>
      </c>
      <c r="L634" s="39">
        <f>(VLOOKUP($A634,'The List'!$B1:$AH727,24,FALSE)-AVERAGE('The List'!Y2:Y727))/STDEV('The List'!Y2:Y727)</f>
        <v>-0.11103532495042848</v>
      </c>
      <c r="M634" s="39">
        <f>(VLOOKUP($A634,'The List'!$B1:$AH727,25,FALSE)-AVERAGE('The List'!Z2:Z727))/STDEV('The List'!Z2:Z727)</f>
        <v>9.1502022106942429E-3</v>
      </c>
      <c r="N634" s="39">
        <f>(VLOOKUP($A634,'The List'!$B1:$AH727,26,FALSE)-AVERAGE('The List'!AA2:AA727))/STDEV('The List'!AA2:AA727)</f>
        <v>-0.46389512775086444</v>
      </c>
      <c r="O634" s="39">
        <f>(VLOOKUP($A634,'The List'!$B1:$AH727,27,FALSE)-AVERAGE('The List'!AB2:AB727))/STDEV('The List'!AB2:AB727)</f>
        <v>-0.47296393599368752</v>
      </c>
      <c r="P634" s="39">
        <f>(VLOOKUP($A634,'The List'!$B1:$AH727,28,FALSE)-AVERAGE('The List'!AC2:AC727))/STDEV('The List'!AC2:AC727)</f>
        <v>-0.18132583165597732</v>
      </c>
      <c r="Q634" s="39">
        <f>(VLOOKUP($A634,'The List'!$B1:$AH727,29,FALSE)-AVERAGE('The List'!AD2:AD727))/STDEV('The List'!AD2:AD727)</f>
        <v>-0.78767273128054482</v>
      </c>
      <c r="R634" s="39">
        <f>(VLOOKUP($A634,'The List'!$B1:$AH727,30,FALSE)-AVERAGE('The List'!AE2:AE727))/STDEV('The List'!AE2:AE727)</f>
        <v>-0.80939521552205718</v>
      </c>
      <c r="S634" s="39">
        <f>(VLOOKUP($A634,'The List'!$B1:$AH727,31,FALSE)-AVERAGE('The List'!AF2:AF727))/STDEV('The List'!AF2:AF727)</f>
        <v>1.0291688810121373</v>
      </c>
      <c r="T634" s="39">
        <f>(VLOOKUP($A634,'The List'!$B1:$AH727,32,FALSE)-AVERAGE('The List'!AG2:AG727))/STDEV('The List'!AG2:AG727)</f>
        <v>0.85308554439670881</v>
      </c>
      <c r="U634" s="39">
        <f>(VLOOKUP($A634,'The List'!$B1:$AH727,33,FALSE)-AVERAGE('The List'!AH2:AH727))/STDEV('The List'!AH2:AH727)</f>
        <v>1.1745952854733965</v>
      </c>
      <c r="V634" s="39"/>
      <c r="W634" s="41"/>
      <c r="X634" s="39"/>
      <c r="Y634" s="39"/>
      <c r="Z634" s="39"/>
      <c r="AA634" s="39"/>
      <c r="AB634" s="39"/>
      <c r="AC634" s="39"/>
      <c r="AD634" s="39"/>
      <c r="AE634" s="39"/>
    </row>
    <row r="635" spans="1:31" ht="21.25" customHeight="1" x14ac:dyDescent="0.15">
      <c r="A635" s="8" t="s">
        <v>629</v>
      </c>
      <c r="B635" s="35" t="str">
        <f>VLOOKUP(A635,'Player Data'!A1:B734,2,FALSE)</f>
        <v>ANA</v>
      </c>
      <c r="C635" s="37">
        <f>((E635)*Settings!$C$12)+(F635*Settings!$C$2)+(G635*Settings!$C$3)+(H635*Settings!$C$4)+(I635*Settings!$C$5)+(K635*Settings!$C$9)+(N635*Settings!$C$6)+(J635*Settings!$C$8)+(O635*Settings!$C$7)+(P635*Settings!$C$14)+(Q635*Settings!$C$15)+(R635*Settings!$C$16)+(S635*Settings!$C$17)+(T635*Settings!$C$18)+(U635*Settings!$C$19)</f>
        <v>-3.9435436639808015</v>
      </c>
      <c r="D635" s="41">
        <f>IF(Settings!$E$12="YES",VLOOKUP(A635,'Player Data'!A1:E734,5,FALSE),82)</f>
        <v>80</v>
      </c>
      <c r="E635" s="39">
        <f>(VLOOKUP($A635,'The List'!$B1:$AH727,17,FALSE)-AVERAGE('The List'!R2:R727))/STDEV('The List'!R2:R727)</f>
        <v>-0.6865917314715444</v>
      </c>
      <c r="F635" s="39">
        <f>(VLOOKUP($A635,'The List'!$B1:$AH727,18,FALSE)-AVERAGE('The List'!S2:S727))/STDEV('The List'!S2:S727)</f>
        <v>-1.1057443524038122</v>
      </c>
      <c r="G635" s="39">
        <f>(VLOOKUP($A635,'The List'!$B1:$AH727,19,FALSE)-AVERAGE('The List'!T2:T727))/STDEV('The List'!T2:T727)</f>
        <v>-0.90052732567989102</v>
      </c>
      <c r="H635" s="39">
        <f>(VLOOKUP($A635,'The List'!$B1:$AH727,20,FALSE)-AVERAGE('The List'!U2:U727))/STDEV('The List'!U2:U727)</f>
        <v>-1.0580961038733687</v>
      </c>
      <c r="I635" s="39">
        <f>(VLOOKUP($A635,'The List'!$B1:$AH727,21,FALSE)-AVERAGE('The List'!V2:V727))/STDEV('The List'!V2:V727)</f>
        <v>-1.3225798562735001</v>
      </c>
      <c r="J635" s="39">
        <f>(VLOOKUP($A635,'The List'!$B1:$AH727,22,FALSE)-AVERAGE('The List'!W2:W727))/STDEV('The List'!W2:W727)</f>
        <v>-0.70835236137719981</v>
      </c>
      <c r="K635" s="39">
        <f>(VLOOKUP($A635,'The List'!$B1:$AH727,23,FALSE)-AVERAGE('The List'!X2:X727))/STDEV('The List'!X2:X727)</f>
        <v>-0.79156204822147702</v>
      </c>
      <c r="L635" s="39">
        <f>(VLOOKUP($A635,'The List'!$B1:$AH727,24,FALSE)-AVERAGE('The List'!Y2:Y727))/STDEV('The List'!Y2:Y727)</f>
        <v>-7.3288913435542211E-2</v>
      </c>
      <c r="M635" s="39">
        <f>(VLOOKUP($A635,'The List'!$B1:$AH727,25,FALSE)-AVERAGE('The List'!Z2:Z727))/STDEV('The List'!Z2:Z727)</f>
        <v>7.8007853697625598E-2</v>
      </c>
      <c r="N635" s="39">
        <f>(VLOOKUP($A635,'The List'!$B1:$AH727,26,FALSE)-AVERAGE('The List'!AA2:AA727))/STDEV('The List'!AA2:AA727)</f>
        <v>0.91743014951941559</v>
      </c>
      <c r="O635" s="39">
        <f>(VLOOKUP($A635,'The List'!$B1:$AH727,27,FALSE)-AVERAGE('The List'!AB2:AB727))/STDEV('The List'!AB2:AB727)</f>
        <v>0.64627643989950545</v>
      </c>
      <c r="P635" s="39">
        <f>(VLOOKUP($A635,'The List'!$B1:$AH727,28,FALSE)-AVERAGE('The List'!AC2:AC727))/STDEV('The List'!AC2:AC727)</f>
        <v>-0.74056023092153644</v>
      </c>
      <c r="Q635" s="39">
        <f>(VLOOKUP($A635,'The List'!$B1:$AH727,29,FALSE)-AVERAGE('The List'!AD2:AD727))/STDEV('The List'!AD2:AD727)</f>
        <v>0.33907223129063296</v>
      </c>
      <c r="R635" s="39">
        <f>(VLOOKUP($A635,'The List'!$B1:$AH727,30,FALSE)-AVERAGE('The List'!AE2:AE727))/STDEV('The List'!AE2:AE727)</f>
        <v>-1.0588652865033021</v>
      </c>
      <c r="S635" s="39">
        <f>(VLOOKUP($A635,'The List'!$B1:$AH727,31,FALSE)-AVERAGE('The List'!AF2:AF727))/STDEV('The List'!AF2:AF727)</f>
        <v>-0.55804314905918151</v>
      </c>
      <c r="T635" s="39">
        <f>(VLOOKUP($A635,'The List'!$B1:$AH727,32,FALSE)-AVERAGE('The List'!AG2:AG727))/STDEV('The List'!AG2:AG727)</f>
        <v>-0.60188453558131205</v>
      </c>
      <c r="U635" s="39">
        <f>(VLOOKUP($A635,'The List'!$B1:$AH727,33,FALSE)-AVERAGE('The List'!AH2:AH727))/STDEV('The List'!AH2:AH727)</f>
        <v>-1.2395873372913611</v>
      </c>
      <c r="V635" s="39"/>
      <c r="W635" s="41"/>
      <c r="X635" s="39"/>
      <c r="Y635" s="39"/>
      <c r="Z635" s="39"/>
      <c r="AA635" s="39"/>
      <c r="AB635" s="39"/>
      <c r="AC635" s="39"/>
      <c r="AD635" s="39"/>
      <c r="AE635" s="39"/>
    </row>
    <row r="636" spans="1:31" ht="21.25" customHeight="1" x14ac:dyDescent="0.15">
      <c r="A636" s="8" t="s">
        <v>820</v>
      </c>
      <c r="B636" s="35" t="str">
        <f>VLOOKUP(A636,'Player Data'!A1:B734,2,FALSE)</f>
        <v>NYI</v>
      </c>
      <c r="C636" s="37">
        <f>((E636)*Settings!$C$12)+(F636*Settings!$C$2)+(G636*Settings!$C$3)+(H636*Settings!$C$4)+(I636*Settings!$C$5)+(K636*Settings!$C$9)+(N636*Settings!$C$6)+(J636*Settings!$C$8)+(O636*Settings!$C$7)+(P636*Settings!$C$14)+(Q636*Settings!$C$15)+(R636*Settings!$C$16)+(S636*Settings!$C$17)+(T636*Settings!$C$18)+(U636*Settings!$C$19)</f>
        <v>-6.0345985537270126</v>
      </c>
      <c r="D636" s="41">
        <f>IF(Settings!$E$12="YES",VLOOKUP(A636,'Player Data'!A1:E734,5,FALSE),82)</f>
        <v>56.997142857142897</v>
      </c>
      <c r="E636" s="39">
        <f>(VLOOKUP($A636,'The List'!$B1:$AH727,17,FALSE)-AVERAGE('The List'!R2:R727))/STDEV('The List'!R2:R727)</f>
        <v>-2.331975847688212</v>
      </c>
      <c r="F636" s="39">
        <f>(VLOOKUP($A636,'The List'!$B1:$AH727,18,FALSE)-AVERAGE('The List'!S2:S727))/STDEV('The List'!S2:S727)</f>
        <v>-1.0428094986486391</v>
      </c>
      <c r="G636" s="39">
        <f>(VLOOKUP($A636,'The List'!$B1:$AH727,19,FALSE)-AVERAGE('The List'!T2:T727))/STDEV('The List'!T2:T727)</f>
        <v>-1.2075543672980684</v>
      </c>
      <c r="H636" s="39">
        <f>(VLOOKUP($A636,'The List'!$B1:$AH727,20,FALSE)-AVERAGE('The List'!U2:U727))/STDEV('The List'!U2:U727)</f>
        <v>-1.2186496973090868</v>
      </c>
      <c r="I636" s="39">
        <f>(VLOOKUP($A636,'The List'!$B1:$AH727,21,FALSE)-AVERAGE('The List'!V2:V727))/STDEV('The List'!V2:V727)</f>
        <v>-1.7634273134884384</v>
      </c>
      <c r="J636" s="39">
        <f>(VLOOKUP($A636,'The List'!$B1:$AH727,22,FALSE)-AVERAGE('The List'!W2:W727))/STDEV('The List'!W2:W727)</f>
        <v>-0.70743581490281371</v>
      </c>
      <c r="K636" s="39">
        <f>(VLOOKUP($A636,'The List'!$B1:$AH727,23,FALSE)-AVERAGE('The List'!X2:X727))/STDEV('The List'!X2:X727)</f>
        <v>-0.79656714497177949</v>
      </c>
      <c r="L636" s="39">
        <f>(VLOOKUP($A636,'The List'!$B1:$AH727,24,FALSE)-AVERAGE('The List'!Y2:Y727))/STDEV('The List'!Y2:Y727)</f>
        <v>-0.54402834717551152</v>
      </c>
      <c r="M636" s="39">
        <f>(VLOOKUP($A636,'The List'!$B1:$AH727,25,FALSE)-AVERAGE('The List'!Z2:Z727))/STDEV('The List'!Z2:Z727)</f>
        <v>-0.72372514007823274</v>
      </c>
      <c r="N636" s="39">
        <f>(VLOOKUP($A636,'The List'!$B1:$AH727,26,FALSE)-AVERAGE('The List'!AA2:AA727))/STDEV('The List'!AA2:AA727)</f>
        <v>-1.034314135199788</v>
      </c>
      <c r="O636" s="39">
        <f>(VLOOKUP($A636,'The List'!$B1:$AH727,27,FALSE)-AVERAGE('The List'!AB2:AB727))/STDEV('The List'!AB2:AB727)</f>
        <v>0.1608207664185673</v>
      </c>
      <c r="P636" s="39">
        <f>(VLOOKUP($A636,'The List'!$B1:$AH727,28,FALSE)-AVERAGE('The List'!AC2:AC727))/STDEV('The List'!AC2:AC727)</f>
        <v>-0.18992609412029995</v>
      </c>
      <c r="Q636" s="39">
        <f>(VLOOKUP($A636,'The List'!$B1:$AH727,29,FALSE)-AVERAGE('The List'!AD2:AD727))/STDEV('The List'!AD2:AD727)</f>
        <v>0.18171643174739099</v>
      </c>
      <c r="R636" s="39">
        <f>(VLOOKUP($A636,'The List'!$B1:$AH727,30,FALSE)-AVERAGE('The List'!AE2:AE727))/STDEV('The List'!AE2:AE727)</f>
        <v>-0.9386367421746874</v>
      </c>
      <c r="S636" s="39">
        <f>(VLOOKUP($A636,'The List'!$B1:$AH727,31,FALSE)-AVERAGE('The List'!AF2:AF727))/STDEV('The List'!AF2:AF727)</f>
        <v>-0.5517051717727478</v>
      </c>
      <c r="T636" s="39">
        <f>(VLOOKUP($A636,'The List'!$B1:$AH727,32,FALSE)-AVERAGE('The List'!AG2:AG727))/STDEV('The List'!AG2:AG727)</f>
        <v>-0.58671865039423499</v>
      </c>
      <c r="U636" s="39">
        <f>(VLOOKUP($A636,'The List'!$B1:$AH727,33,FALSE)-AVERAGE('The List'!AH2:AH727))/STDEV('The List'!AH2:AH727)</f>
        <v>0.14007402840915634</v>
      </c>
      <c r="V636" s="39"/>
      <c r="W636" s="41"/>
      <c r="X636" s="39"/>
      <c r="Y636" s="39"/>
      <c r="Z636" s="39"/>
      <c r="AA636" s="39"/>
      <c r="AB636" s="39"/>
      <c r="AC636" s="39"/>
      <c r="AD636" s="39"/>
      <c r="AE636" s="39"/>
    </row>
    <row r="637" spans="1:31" ht="21.25" customHeight="1" x14ac:dyDescent="0.15">
      <c r="A637" s="8" t="s">
        <v>690</v>
      </c>
      <c r="B637" s="35" t="str">
        <f>VLOOKUP(A637,'Player Data'!A1:B734,2,FALSE)</f>
        <v>EDM</v>
      </c>
      <c r="C637" s="37">
        <f>((E637)*Settings!$C$12)+(F637*Settings!$C$2)+(G637*Settings!$C$3)+(H637*Settings!$C$4)+(I637*Settings!$C$5)+(K637*Settings!$C$9)+(N637*Settings!$C$6)+(J637*Settings!$C$8)+(O637*Settings!$C$7)+(P637*Settings!$C$14)+(Q637*Settings!$C$15)+(R637*Settings!$C$16)+(S637*Settings!$C$17)+(T637*Settings!$C$18)+(U637*Settings!$C$19)</f>
        <v>-3.0768956316424285</v>
      </c>
      <c r="D637" s="41">
        <f>IF(Settings!$E$12="YES",VLOOKUP(A637,'Player Data'!A1:E734,5,FALSE),82)</f>
        <v>62.94</v>
      </c>
      <c r="E637" s="39">
        <f>(VLOOKUP($A637,'The List'!$B1:$AH727,17,FALSE)-AVERAGE('The List'!R2:R727))/STDEV('The List'!R2:R727)</f>
        <v>-0.81954454606532579</v>
      </c>
      <c r="F637" s="39">
        <f>(VLOOKUP($A637,'The List'!$B1:$AH727,18,FALSE)-AVERAGE('The List'!S2:S727))/STDEV('The List'!S2:S727)</f>
        <v>-1.1767352974892993</v>
      </c>
      <c r="G637" s="39">
        <f>(VLOOKUP($A637,'The List'!$B1:$AH727,19,FALSE)-AVERAGE('The List'!T2:T727))/STDEV('The List'!T2:T727)</f>
        <v>-1.053250352018857</v>
      </c>
      <c r="H637" s="39">
        <f>(VLOOKUP($A637,'The List'!$B1:$AH727,20,FALSE)-AVERAGE('The List'!U2:U727))/STDEV('The List'!U2:U727)</f>
        <v>-1.1845107613348627</v>
      </c>
      <c r="I637" s="39">
        <f>(VLOOKUP($A637,'The List'!$B1:$AH727,21,FALSE)-AVERAGE('The List'!V2:V727))/STDEV('The List'!V2:V727)</f>
        <v>-1.5413709134745393</v>
      </c>
      <c r="J637" s="39">
        <f>(VLOOKUP($A637,'The List'!$B1:$AH727,22,FALSE)-AVERAGE('The List'!W2:W727))/STDEV('The List'!W2:W727)</f>
        <v>-0.70903710429711486</v>
      </c>
      <c r="K637" s="39">
        <f>(VLOOKUP($A637,'The List'!$B1:$AH727,23,FALSE)-AVERAGE('The List'!X2:X727))/STDEV('The List'!X2:X727)</f>
        <v>-0.79361609854264747</v>
      </c>
      <c r="L637" s="39">
        <f>(VLOOKUP($A637,'The List'!$B1:$AH727,24,FALSE)-AVERAGE('The List'!Y2:Y727))/STDEV('The List'!Y2:Y727)</f>
        <v>-0.46070384035772022</v>
      </c>
      <c r="M637" s="39">
        <f>(VLOOKUP($A637,'The List'!$B1:$AH727,25,FALSE)-AVERAGE('The List'!Z2:Z727))/STDEV('The List'!Z2:Z727)</f>
        <v>0.58151355930761284</v>
      </c>
      <c r="N637" s="39">
        <f>(VLOOKUP($A637,'The List'!$B1:$AH727,26,FALSE)-AVERAGE('The List'!AA2:AA727))/STDEV('The List'!AA2:AA727)</f>
        <v>0.48101408635113702</v>
      </c>
      <c r="O637" s="39">
        <f>(VLOOKUP($A637,'The List'!$B1:$AH727,27,FALSE)-AVERAGE('The List'!AB2:AB727))/STDEV('The List'!AB2:AB727)</f>
        <v>-0.28489366655275933</v>
      </c>
      <c r="P637" s="39">
        <f>(VLOOKUP($A637,'The List'!$B1:$AH727,28,FALSE)-AVERAGE('The List'!AC2:AC727))/STDEV('The List'!AC2:AC727)</f>
        <v>1.0070629435317775</v>
      </c>
      <c r="Q637" s="39">
        <f>(VLOOKUP($A637,'The List'!$B1:$AH727,29,FALSE)-AVERAGE('The List'!AD2:AD727))/STDEV('The List'!AD2:AD727)</f>
        <v>0.37360073493340396</v>
      </c>
      <c r="R637" s="39">
        <f>(VLOOKUP($A637,'The List'!$B1:$AH727,30,FALSE)-AVERAGE('The List'!AE2:AE727))/STDEV('The List'!AE2:AE727)</f>
        <v>-1.0709306310835607</v>
      </c>
      <c r="S637" s="39">
        <f>(VLOOKUP($A637,'The List'!$B1:$AH727,31,FALSE)-AVERAGE('The List'!AF2:AF727))/STDEV('The List'!AF2:AF727)</f>
        <v>-0.55804314905918151</v>
      </c>
      <c r="T637" s="39">
        <f>(VLOOKUP($A637,'The List'!$B1:$AH727,32,FALSE)-AVERAGE('The List'!AG2:AG727))/STDEV('The List'!AG2:AG727)</f>
        <v>-0.60188453558131205</v>
      </c>
      <c r="U637" s="39">
        <f>(VLOOKUP($A637,'The List'!$B1:$AH727,33,FALSE)-AVERAGE('The List'!AH2:AH727))/STDEV('The List'!AH2:AH727)</f>
        <v>-1.2395873372913611</v>
      </c>
      <c r="V637" s="39"/>
      <c r="W637" s="41"/>
      <c r="X637" s="39"/>
      <c r="Y637" s="39"/>
      <c r="Z637" s="39"/>
      <c r="AA637" s="39"/>
      <c r="AB637" s="39"/>
      <c r="AC637" s="39"/>
      <c r="AD637" s="39"/>
      <c r="AE637" s="39"/>
    </row>
    <row r="638" spans="1:31" ht="21.25" customHeight="1" x14ac:dyDescent="0.15">
      <c r="A638" s="8" t="s">
        <v>796</v>
      </c>
      <c r="B638" s="35" t="str">
        <f>VLOOKUP(A638,'Player Data'!A1:B734,2,FALSE)</f>
        <v>CGY</v>
      </c>
      <c r="C638" s="37">
        <f>((E638)*Settings!$C$12)+(F638*Settings!$C$2)+(G638*Settings!$C$3)+(H638*Settings!$C$4)+(I638*Settings!$C$5)+(K638*Settings!$C$9)+(N638*Settings!$C$6)+(J638*Settings!$C$8)+(O638*Settings!$C$7)+(P638*Settings!$C$14)+(Q638*Settings!$C$15)+(R638*Settings!$C$16)+(S638*Settings!$C$17)+(T638*Settings!$C$18)+(U638*Settings!$C$19)</f>
        <v>-4.8298491824512526</v>
      </c>
      <c r="D638" s="41">
        <f>IF(Settings!$E$12="YES",VLOOKUP(A638,'Player Data'!A1:E734,5,FALSE),82)</f>
        <v>67.312142857142902</v>
      </c>
      <c r="E638" s="39">
        <f>(VLOOKUP($A638,'The List'!$B1:$AH727,17,FALSE)-AVERAGE('The List'!R2:R727))/STDEV('The List'!R2:R727)</f>
        <v>-2.071998407341801</v>
      </c>
      <c r="F638" s="39">
        <f>(VLOOKUP($A638,'The List'!$B1:$AH727,18,FALSE)-AVERAGE('The List'!S2:S727))/STDEV('The List'!S2:S727)</f>
        <v>-0.85637244056298367</v>
      </c>
      <c r="G638" s="39">
        <f>(VLOOKUP($A638,'The List'!$B1:$AH727,19,FALSE)-AVERAGE('The List'!T2:T727))/STDEV('The List'!T2:T727)</f>
        <v>-1.2444046090837777</v>
      </c>
      <c r="H638" s="39">
        <f>(VLOOKUP($A638,'The List'!$B1:$AH727,20,FALSE)-AVERAGE('The List'!U2:U727))/STDEV('The List'!U2:U727)</f>
        <v>-1.1565166276308163</v>
      </c>
      <c r="I638" s="39">
        <f>(VLOOKUP($A638,'The List'!$B1:$AH727,21,FALSE)-AVERAGE('The List'!V2:V727))/STDEV('The List'!V2:V727)</f>
        <v>-1.254555373578141</v>
      </c>
      <c r="J638" s="39">
        <f>(VLOOKUP($A638,'The List'!$B1:$AH727,22,FALSE)-AVERAGE('The List'!W2:W727))/STDEV('The List'!W2:W727)</f>
        <v>-0.69894293990000145</v>
      </c>
      <c r="K638" s="39">
        <f>(VLOOKUP($A638,'The List'!$B1:$AH727,23,FALSE)-AVERAGE('The List'!X2:X727))/STDEV('The List'!X2:X727)</f>
        <v>-0.78829536955601442</v>
      </c>
      <c r="L638" s="39">
        <f>(VLOOKUP($A638,'The List'!$B1:$AH727,24,FALSE)-AVERAGE('The List'!Y2:Y727))/STDEV('The List'!Y2:Y727)</f>
        <v>-0.46260826184747211</v>
      </c>
      <c r="M638" s="39">
        <f>(VLOOKUP($A638,'The List'!$B1:$AH727,25,FALSE)-AVERAGE('The List'!Z2:Z727))/STDEV('The List'!Z2:Z727)</f>
        <v>-0.65662530125968921</v>
      </c>
      <c r="N638" s="39">
        <f>(VLOOKUP($A638,'The List'!$B1:$AH727,26,FALSE)-AVERAGE('The List'!AA2:AA727))/STDEV('The List'!AA2:AA727)</f>
        <v>-0.77451237258053462</v>
      </c>
      <c r="O638" s="39">
        <f>(VLOOKUP($A638,'The List'!$B1:$AH727,27,FALSE)-AVERAGE('The List'!AB2:AB727))/STDEV('The List'!AB2:AB727)</f>
        <v>-0.17786775276122585</v>
      </c>
      <c r="P638" s="39">
        <f>(VLOOKUP($A638,'The List'!$B1:$AH727,28,FALSE)-AVERAGE('The List'!AC2:AC727))/STDEV('The List'!AC2:AC727)</f>
        <v>8.8290982910199059E-2</v>
      </c>
      <c r="Q638" s="39">
        <f>(VLOOKUP($A638,'The List'!$B1:$AH727,29,FALSE)-AVERAGE('The List'!AD2:AD727))/STDEV('The List'!AD2:AD727)</f>
        <v>-0.88605161307464653</v>
      </c>
      <c r="R638" s="39">
        <f>(VLOOKUP($A638,'The List'!$B1:$AH727,30,FALSE)-AVERAGE('The List'!AE2:AE727))/STDEV('The List'!AE2:AE727)</f>
        <v>-0.71450286259552842</v>
      </c>
      <c r="S638" s="39">
        <f>(VLOOKUP($A638,'The List'!$B1:$AH727,31,FALSE)-AVERAGE('The List'!AF2:AF727))/STDEV('The List'!AF2:AF727)</f>
        <v>0.22111605738201479</v>
      </c>
      <c r="T638" s="39">
        <f>(VLOOKUP($A638,'The List'!$B1:$AH727,32,FALSE)-AVERAGE('The List'!AG2:AG727))/STDEV('The List'!AG2:AG727)</f>
        <v>0.42012758509414166</v>
      </c>
      <c r="U638" s="39">
        <f>(VLOOKUP($A638,'The List'!$B1:$AH727,33,FALSE)-AVERAGE('The List'!AH2:AH727))/STDEV('The List'!AH2:AH727)</f>
        <v>0.77115010473883738</v>
      </c>
      <c r="V638" s="39"/>
      <c r="W638" s="41"/>
      <c r="X638" s="39"/>
      <c r="Y638" s="39"/>
      <c r="Z638" s="39"/>
      <c r="AA638" s="39"/>
      <c r="AB638" s="39"/>
      <c r="AC638" s="39"/>
      <c r="AD638" s="39"/>
      <c r="AE638" s="39"/>
    </row>
    <row r="639" spans="1:31" ht="21.25" customHeight="1" x14ac:dyDescent="0.15">
      <c r="A639" s="8" t="s">
        <v>622</v>
      </c>
      <c r="B639" s="35" t="str">
        <f>VLOOKUP(A639,'Player Data'!A1:B734,2,FALSE)</f>
        <v>SJS</v>
      </c>
      <c r="C639" s="37">
        <f>((E639)*Settings!$C$12)+(F639*Settings!$C$2)+(G639*Settings!$C$3)+(H639*Settings!$C$4)+(I639*Settings!$C$5)+(K639*Settings!$C$9)+(N639*Settings!$C$6)+(J639*Settings!$C$8)+(O639*Settings!$C$7)+(P639*Settings!$C$14)+(Q639*Settings!$C$15)+(R639*Settings!$C$16)+(S639*Settings!$C$17)+(T639*Settings!$C$18)+(U639*Settings!$C$19)</f>
        <v>-3.0577709957018886</v>
      </c>
      <c r="D639" s="41">
        <f>IF(Settings!$E$12="YES",VLOOKUP(A639,'Player Data'!A1:E734,5,FALSE),82)</f>
        <v>66.617142857142895</v>
      </c>
      <c r="E639" s="39">
        <f>(VLOOKUP($A639,'The List'!$B1:$AH727,17,FALSE)-AVERAGE('The List'!R2:R727))/STDEV('The List'!R2:R727)</f>
        <v>5.2832700904472008E-2</v>
      </c>
      <c r="F639" s="39">
        <f>(VLOOKUP($A639,'The List'!$B1:$AH727,18,FALSE)-AVERAGE('The List'!S2:S727))/STDEV('The List'!S2:S727)</f>
        <v>-1.0327651337649324</v>
      </c>
      <c r="G639" s="39">
        <f>(VLOOKUP($A639,'The List'!$B1:$AH727,19,FALSE)-AVERAGE('The List'!T2:T727))/STDEV('The List'!T2:T727)</f>
        <v>-1.1243467905839777</v>
      </c>
      <c r="H639" s="39">
        <f>(VLOOKUP($A639,'The List'!$B1:$AH727,20,FALSE)-AVERAGE('The List'!U2:U727))/STDEV('The List'!U2:U727)</f>
        <v>-1.1628056078065678</v>
      </c>
      <c r="I639" s="39">
        <f>(VLOOKUP($A639,'The List'!$B1:$AH727,21,FALSE)-AVERAGE('The List'!V2:V727))/STDEV('The List'!V2:V727)</f>
        <v>-1.0677031808268591</v>
      </c>
      <c r="J639" s="39">
        <f>(VLOOKUP($A639,'The List'!$B1:$AH727,22,FALSE)-AVERAGE('The List'!W2:W727))/STDEV('The List'!W2:W727)</f>
        <v>-0.68596371732634376</v>
      </c>
      <c r="K639" s="39">
        <f>(VLOOKUP($A639,'The List'!$B1:$AH727,23,FALSE)-AVERAGE('The List'!X2:X727))/STDEV('The List'!X2:X727)</f>
        <v>-0.73227911932551037</v>
      </c>
      <c r="L639" s="39">
        <f>(VLOOKUP($A639,'The List'!$B1:$AH727,24,FALSE)-AVERAGE('The List'!Y2:Y727))/STDEV('The List'!Y2:Y727)</f>
        <v>-0.49127468623784681</v>
      </c>
      <c r="M639" s="39">
        <f>(VLOOKUP($A639,'The List'!$B1:$AH727,25,FALSE)-AVERAGE('The List'!Z2:Z727))/STDEV('The List'!Z2:Z727)</f>
        <v>-0.60092556674321551</v>
      </c>
      <c r="N639" s="39">
        <f>(VLOOKUP($A639,'The List'!$B1:$AH727,26,FALSE)-AVERAGE('The List'!AA2:AA727))/STDEV('The List'!AA2:AA727)</f>
        <v>1.1570257693143589</v>
      </c>
      <c r="O639" s="39">
        <f>(VLOOKUP($A639,'The List'!$B1:$AH727,27,FALSE)-AVERAGE('The List'!AB2:AB727))/STDEV('The List'!AB2:AB727)</f>
        <v>0.97688482039446667</v>
      </c>
      <c r="P639" s="39">
        <f>(VLOOKUP($A639,'The List'!$B1:$AH727,28,FALSE)-AVERAGE('The List'!AC2:AC727))/STDEV('The List'!AC2:AC727)</f>
        <v>-0.25770254051496816</v>
      </c>
      <c r="Q639" s="39">
        <f>(VLOOKUP($A639,'The List'!$B1:$AH727,29,FALSE)-AVERAGE('The List'!AD2:AD727))/STDEV('The List'!AD2:AD727)</f>
        <v>0.2050922806263806</v>
      </c>
      <c r="R639" s="39">
        <f>(VLOOKUP($A639,'The List'!$B1:$AH727,30,FALSE)-AVERAGE('The List'!AE2:AE727))/STDEV('The List'!AE2:AE727)</f>
        <v>-0.98498080690141843</v>
      </c>
      <c r="S639" s="39">
        <f>(VLOOKUP($A639,'The List'!$B1:$AH727,31,FALSE)-AVERAGE('The List'!AF2:AF727))/STDEV('The List'!AF2:AF727)</f>
        <v>-0.55804314905918151</v>
      </c>
      <c r="T639" s="39">
        <f>(VLOOKUP($A639,'The List'!$B1:$AH727,32,FALSE)-AVERAGE('The List'!AG2:AG727))/STDEV('The List'!AG2:AG727)</f>
        <v>-0.60188453558131205</v>
      </c>
      <c r="U639" s="39">
        <f>(VLOOKUP($A639,'The List'!$B1:$AH727,33,FALSE)-AVERAGE('The List'!AH2:AH727))/STDEV('The List'!AH2:AH727)</f>
        <v>-1.2395873372913611</v>
      </c>
      <c r="V639" s="39"/>
      <c r="W639" s="41"/>
      <c r="X639" s="39"/>
      <c r="Y639" s="39"/>
      <c r="Z639" s="39"/>
      <c r="AA639" s="39"/>
      <c r="AB639" s="39"/>
      <c r="AC639" s="39"/>
      <c r="AD639" s="39"/>
      <c r="AE639" s="39"/>
    </row>
    <row r="640" spans="1:31" ht="21.25" customHeight="1" x14ac:dyDescent="0.15">
      <c r="A640" s="8" t="s">
        <v>786</v>
      </c>
      <c r="B640" s="35" t="str">
        <f>VLOOKUP(A640,'Player Data'!A1:B734,2,FALSE)</f>
        <v>SJS</v>
      </c>
      <c r="C640" s="37">
        <f>((E640)*Settings!$C$12)+(F640*Settings!$C$2)+(G640*Settings!$C$3)+(H640*Settings!$C$4)+(I640*Settings!$C$5)+(K640*Settings!$C$9)+(N640*Settings!$C$6)+(J640*Settings!$C$8)+(O640*Settings!$C$7)+(P640*Settings!$C$14)+(Q640*Settings!$C$15)+(R640*Settings!$C$16)+(S640*Settings!$C$17)+(T640*Settings!$C$18)+(U640*Settings!$C$19)</f>
        <v>-5.5762940610399845</v>
      </c>
      <c r="D640" s="41">
        <f>IF(Settings!$E$12="YES",VLOOKUP(A640,'Player Data'!A1:E734,5,FALSE),82)</f>
        <v>63.057857142857102</v>
      </c>
      <c r="E640" s="39">
        <f>(VLOOKUP($A640,'The List'!$B1:$AH727,17,FALSE)-AVERAGE('The List'!R2:R727))/STDEV('The List'!R2:R727)</f>
        <v>-2.5436142518147538</v>
      </c>
      <c r="F640" s="39">
        <f>(VLOOKUP($A640,'The List'!$B1:$AH727,18,FALSE)-AVERAGE('The List'!S2:S727))/STDEV('The List'!S2:S727)</f>
        <v>-0.93048062373585394</v>
      </c>
      <c r="G640" s="39">
        <f>(VLOOKUP($A640,'The List'!$B1:$AH727,19,FALSE)-AVERAGE('The List'!T2:T727))/STDEV('The List'!T2:T727)</f>
        <v>-1.261175913140578</v>
      </c>
      <c r="H640" s="39">
        <f>(VLOOKUP($A640,'The List'!$B1:$AH727,20,FALSE)-AVERAGE('The List'!U2:U727))/STDEV('The List'!U2:U727)</f>
        <v>-1.2005751203834312</v>
      </c>
      <c r="I640" s="39">
        <f>(VLOOKUP($A640,'The List'!$B1:$AH727,21,FALSE)-AVERAGE('The List'!V2:V727))/STDEV('The List'!V2:V727)</f>
        <v>-1.3390366184422937</v>
      </c>
      <c r="J640" s="39">
        <f>(VLOOKUP($A640,'The List'!$B1:$AH727,22,FALSE)-AVERAGE('The List'!W2:W727))/STDEV('The List'!W2:W727)</f>
        <v>-0.69986320031492344</v>
      </c>
      <c r="K640" s="39">
        <f>(VLOOKUP($A640,'The List'!$B1:$AH727,23,FALSE)-AVERAGE('The List'!X2:X727))/STDEV('The List'!X2:X727)</f>
        <v>-0.78937247351567741</v>
      </c>
      <c r="L640" s="39">
        <f>(VLOOKUP($A640,'The List'!$B1:$AH727,24,FALSE)-AVERAGE('The List'!Y2:Y727))/STDEV('The List'!Y2:Y727)</f>
        <v>-0.53706566380819976</v>
      </c>
      <c r="M640" s="39">
        <f>(VLOOKUP($A640,'The List'!$B1:$AH727,25,FALSE)-AVERAGE('The List'!Z2:Z727))/STDEV('The List'!Z2:Z727)</f>
        <v>-0.71588502625249129</v>
      </c>
      <c r="N640" s="39">
        <f>(VLOOKUP($A640,'The List'!$B1:$AH727,26,FALSE)-AVERAGE('The List'!AA2:AA727))/STDEV('The List'!AA2:AA727)</f>
        <v>-1.0773052382616335</v>
      </c>
      <c r="O640" s="39">
        <f>(VLOOKUP($A640,'The List'!$B1:$AH727,27,FALSE)-AVERAGE('The List'!AB2:AB727))/STDEV('The List'!AB2:AB727)</f>
        <v>7.1209300262666128E-2</v>
      </c>
      <c r="P640" s="39">
        <f>(VLOOKUP($A640,'The List'!$B1:$AH727,28,FALSE)-AVERAGE('The List'!AC2:AC727))/STDEV('The List'!AC2:AC727)</f>
        <v>-0.17892319394394837</v>
      </c>
      <c r="Q640" s="39">
        <f>(VLOOKUP($A640,'The List'!$B1:$AH727,29,FALSE)-AVERAGE('The List'!AD2:AD727))/STDEV('The List'!AD2:AD727)</f>
        <v>1.3360121105868425</v>
      </c>
      <c r="R640" s="39">
        <f>(VLOOKUP($A640,'The List'!$B1:$AH727,30,FALSE)-AVERAGE('The List'!AE2:AE727))/STDEV('The List'!AE2:AE727)</f>
        <v>-0.90385417736642282</v>
      </c>
      <c r="S640" s="39">
        <f>(VLOOKUP($A640,'The List'!$B1:$AH727,31,FALSE)-AVERAGE('The List'!AF2:AF727))/STDEV('The List'!AF2:AF727)</f>
        <v>-0.55745937251722899</v>
      </c>
      <c r="T640" s="39">
        <f>(VLOOKUP($A640,'The List'!$B1:$AH727,32,FALSE)-AVERAGE('The List'!AG2:AG727))/STDEV('The List'!AG2:AG727)</f>
        <v>-0.59993240228820843</v>
      </c>
      <c r="U640" s="39">
        <f>(VLOOKUP($A640,'The List'!$B1:$AH727,33,FALSE)-AVERAGE('The List'!AH2:AH727))/STDEV('The List'!AH2:AH727)</f>
        <v>-0.15843146933889382</v>
      </c>
      <c r="V640" s="39"/>
      <c r="W640" s="41"/>
      <c r="X640" s="39"/>
      <c r="Y640" s="39"/>
      <c r="Z640" s="39"/>
      <c r="AA640" s="39"/>
      <c r="AB640" s="39"/>
      <c r="AC640" s="39"/>
      <c r="AD640" s="39"/>
      <c r="AE640" s="39"/>
    </row>
    <row r="641" spans="1:31" ht="21.25" customHeight="1" x14ac:dyDescent="0.15">
      <c r="A641" s="8" t="s">
        <v>693</v>
      </c>
      <c r="B641" s="35" t="str">
        <f>VLOOKUP(A641,'Player Data'!A1:B734,2,FALSE)</f>
        <v>LAK</v>
      </c>
      <c r="C641" s="37">
        <f>((E641)*Settings!$C$12)+(F641*Settings!$C$2)+(G641*Settings!$C$3)+(H641*Settings!$C$4)+(I641*Settings!$C$5)+(K641*Settings!$C$9)+(N641*Settings!$C$6)+(J641*Settings!$C$8)+(O641*Settings!$C$7)+(P641*Settings!$C$14)+(Q641*Settings!$C$15)+(R641*Settings!$C$16)+(S641*Settings!$C$17)+(T641*Settings!$C$18)+(U641*Settings!$C$19)</f>
        <v>-4.6247927499147199</v>
      </c>
      <c r="D641" s="41">
        <f>IF(Settings!$E$12="YES",VLOOKUP(A641,'Player Data'!A1:E734,5,FALSE),82)</f>
        <v>64.232142857142904</v>
      </c>
      <c r="E641" s="39">
        <f>(VLOOKUP($A641,'The List'!$B1:$AH727,17,FALSE)-AVERAGE('The List'!R2:R727))/STDEV('The List'!R2:R727)</f>
        <v>-0.61539589668266237</v>
      </c>
      <c r="F641" s="39">
        <f>(VLOOKUP($A641,'The List'!$B1:$AH727,18,FALSE)-AVERAGE('The List'!S2:S727))/STDEV('The List'!S2:S727)</f>
        <v>-1.1818654160246831</v>
      </c>
      <c r="G641" s="39">
        <f>(VLOOKUP($A641,'The List'!$B1:$AH727,19,FALSE)-AVERAGE('The List'!T2:T727))/STDEV('The List'!T2:T727)</f>
        <v>-1.0649340687341202</v>
      </c>
      <c r="H641" s="39">
        <f>(VLOOKUP($A641,'The List'!$B1:$AH727,20,FALSE)-AVERAGE('The List'!U2:U727))/STDEV('The List'!U2:U727)</f>
        <v>-1.1940449001153717</v>
      </c>
      <c r="I641" s="39">
        <f>(VLOOKUP($A641,'The List'!$B1:$AH727,21,FALSE)-AVERAGE('The List'!V2:V727))/STDEV('The List'!V2:V727)</f>
        <v>-1.3400731384283913</v>
      </c>
      <c r="J641" s="39">
        <f>(VLOOKUP($A641,'The List'!$B1:$AH727,22,FALSE)-AVERAGE('The List'!W2:W727))/STDEV('The List'!W2:W727)</f>
        <v>-0.70829135529877829</v>
      </c>
      <c r="K641" s="39">
        <f>(VLOOKUP($A641,'The List'!$B1:$AH727,23,FALSE)-AVERAGE('The List'!X2:X727))/STDEV('The List'!X2:X727)</f>
        <v>-0.79237097576181614</v>
      </c>
      <c r="L641" s="39">
        <f>(VLOOKUP($A641,'The List'!$B1:$AH727,24,FALSE)-AVERAGE('The List'!Y2:Y727))/STDEV('The List'!Y2:Y727)</f>
        <v>-0.49412830279496367</v>
      </c>
      <c r="M641" s="39">
        <f>(VLOOKUP($A641,'The List'!$B1:$AH727,25,FALSE)-AVERAGE('The List'!Z2:Z727))/STDEV('The List'!Z2:Z727)</f>
        <v>-0.61716987948436586</v>
      </c>
      <c r="N641" s="39">
        <f>(VLOOKUP($A641,'The List'!$B1:$AH727,26,FALSE)-AVERAGE('The List'!AA2:AA727))/STDEV('The List'!AA2:AA727)</f>
        <v>-5.5877871344716451E-3</v>
      </c>
      <c r="O641" s="39">
        <f>(VLOOKUP($A641,'The List'!$B1:$AH727,27,FALSE)-AVERAGE('The List'!AB2:AB727))/STDEV('The List'!AB2:AB727)</f>
        <v>-0.47232609712338458</v>
      </c>
      <c r="P641" s="39">
        <f>(VLOOKUP($A641,'The List'!$B1:$AH727,28,FALSE)-AVERAGE('The List'!AC2:AC727))/STDEV('The List'!AC2:AC727)</f>
        <v>-0.23996136383123803</v>
      </c>
      <c r="Q641" s="39">
        <f>(VLOOKUP($A641,'The List'!$B1:$AH727,29,FALSE)-AVERAGE('The List'!AD2:AD727))/STDEV('The List'!AD2:AD727)</f>
        <v>-1.0828089896217776</v>
      </c>
      <c r="R641" s="39">
        <f>(VLOOKUP($A641,'The List'!$B1:$AH727,30,FALSE)-AVERAGE('The List'!AE2:AE727))/STDEV('The List'!AE2:AE727)</f>
        <v>-1.0834318185762646</v>
      </c>
      <c r="S641" s="39">
        <f>(VLOOKUP($A641,'The List'!$B1:$AH727,31,FALSE)-AVERAGE('The List'!AF2:AF727))/STDEV('The List'!AF2:AF727)</f>
        <v>-0.55804314905918151</v>
      </c>
      <c r="T641" s="39">
        <f>(VLOOKUP($A641,'The List'!$B1:$AH727,32,FALSE)-AVERAGE('The List'!AG2:AG727))/STDEV('The List'!AG2:AG727)</f>
        <v>-0.60188453558131205</v>
      </c>
      <c r="U641" s="39">
        <f>(VLOOKUP($A641,'The List'!$B1:$AH727,33,FALSE)-AVERAGE('The List'!AH2:AH727))/STDEV('The List'!AH2:AH727)</f>
        <v>-1.2395873372913611</v>
      </c>
      <c r="V641" s="39"/>
      <c r="W641" s="41"/>
      <c r="X641" s="39"/>
      <c r="Y641" s="39"/>
      <c r="Z641" s="39"/>
      <c r="AA641" s="39"/>
      <c r="AB641" s="39"/>
      <c r="AC641" s="39"/>
      <c r="AD641" s="39"/>
      <c r="AE641" s="39"/>
    </row>
    <row r="642" spans="1:31" ht="21.25" customHeight="1" x14ac:dyDescent="0.15">
      <c r="A642" s="8" t="s">
        <v>778</v>
      </c>
      <c r="B642" s="35" t="str">
        <f>VLOOKUP(A642,'Player Data'!A1:B734,2,FALSE)</f>
        <v>PHI</v>
      </c>
      <c r="C642" s="37">
        <f>((E642)*Settings!$C$12)+(F642*Settings!$C$2)+(G642*Settings!$C$3)+(H642*Settings!$C$4)+(I642*Settings!$C$5)+(K642*Settings!$C$9)+(N642*Settings!$C$6)+(J642*Settings!$C$8)+(O642*Settings!$C$7)+(P642*Settings!$C$14)+(Q642*Settings!$C$15)+(R642*Settings!$C$16)+(S642*Settings!$C$17)+(T642*Settings!$C$18)+(U642*Settings!$C$19)</f>
        <v>-6.3201942266065778</v>
      </c>
      <c r="D642" s="41">
        <f>IF(Settings!$E$12="YES",VLOOKUP(A642,'Player Data'!A1:E734,5,FALSE),82)</f>
        <v>80.512500000000003</v>
      </c>
      <c r="E642" s="39">
        <f>(VLOOKUP($A642,'The List'!$B1:$AH727,17,FALSE)-AVERAGE('The List'!R2:R727))/STDEV('The List'!R2:R727)</f>
        <v>-1.8721196200889276</v>
      </c>
      <c r="F642" s="39">
        <f>(VLOOKUP($A642,'The List'!$B1:$AH727,18,FALSE)-AVERAGE('The List'!S2:S727))/STDEV('The List'!S2:S727)</f>
        <v>-0.75158615061981127</v>
      </c>
      <c r="G642" s="39">
        <f>(VLOOKUP($A642,'The List'!$B1:$AH727,19,FALSE)-AVERAGE('The List'!T2:T727))/STDEV('The List'!T2:T727)</f>
        <v>-1.2305464676868119</v>
      </c>
      <c r="H642" s="39">
        <f>(VLOOKUP($A642,'The List'!$B1:$AH727,20,FALSE)-AVERAGE('The List'!U2:U727))/STDEV('The List'!U2:U727)</f>
        <v>-1.1002927942287124</v>
      </c>
      <c r="I642" s="39">
        <f>(VLOOKUP($A642,'The List'!$B1:$AH727,21,FALSE)-AVERAGE('The List'!V2:V727))/STDEV('The List'!V2:V727)</f>
        <v>-0.95084420677703185</v>
      </c>
      <c r="J642" s="39">
        <f>(VLOOKUP($A642,'The List'!$B1:$AH727,22,FALSE)-AVERAGE('The List'!W2:W727))/STDEV('The List'!W2:W727)</f>
        <v>-0.69870517054234549</v>
      </c>
      <c r="K642" s="39">
        <f>(VLOOKUP($A642,'The List'!$B1:$AH727,23,FALSE)-AVERAGE('The List'!X2:X727))/STDEV('The List'!X2:X727)</f>
        <v>-0.78816292085530149</v>
      </c>
      <c r="L642" s="39">
        <f>(VLOOKUP($A642,'The List'!$B1:$AH727,24,FALSE)-AVERAGE('The List'!Y2:Y727))/STDEV('The List'!Y2:Y727)</f>
        <v>-0.30956557056959594</v>
      </c>
      <c r="M642" s="39">
        <f>(VLOOKUP($A642,'The List'!$B1:$AH727,25,FALSE)-AVERAGE('The List'!Z2:Z727))/STDEV('The List'!Z2:Z727)</f>
        <v>-0.55642384815817691</v>
      </c>
      <c r="N642" s="39">
        <f>(VLOOKUP($A642,'The List'!$B1:$AH727,26,FALSE)-AVERAGE('The List'!AA2:AA727))/STDEV('The List'!AA2:AA727)</f>
        <v>-0.78615845049463662</v>
      </c>
      <c r="O642" s="39">
        <f>(VLOOKUP($A642,'The List'!$B1:$AH727,27,FALSE)-AVERAGE('The List'!AB2:AB727))/STDEV('The List'!AB2:AB727)</f>
        <v>3.4791235798329927</v>
      </c>
      <c r="P642" s="39">
        <f>(VLOOKUP($A642,'The List'!$B1:$AH727,28,FALSE)-AVERAGE('The List'!AC2:AC727))/STDEV('The List'!AC2:AC727)</f>
        <v>-1.8128960301729842</v>
      </c>
      <c r="Q642" s="39">
        <f>(VLOOKUP($A642,'The List'!$B1:$AH727,29,FALSE)-AVERAGE('The List'!AD2:AD727))/STDEV('The List'!AD2:AD727)</f>
        <v>2.4507113779636405</v>
      </c>
      <c r="R642" s="39">
        <f>(VLOOKUP($A642,'The List'!$B1:$AH727,30,FALSE)-AVERAGE('The List'!AE2:AE727))/STDEV('The List'!AE2:AE727)</f>
        <v>-0.77569809561316427</v>
      </c>
      <c r="S642" s="39">
        <f>(VLOOKUP($A642,'The List'!$B1:$AH727,31,FALSE)-AVERAGE('The List'!AF2:AF727))/STDEV('The List'!AF2:AF727)</f>
        <v>-0.54690765984495737</v>
      </c>
      <c r="T642" s="39">
        <f>(VLOOKUP($A642,'The List'!$B1:$AH727,32,FALSE)-AVERAGE('The List'!AG2:AG727))/STDEV('The List'!AG2:AG727)</f>
        <v>-0.5684876757644014</v>
      </c>
      <c r="U642" s="39">
        <f>(VLOOKUP($A642,'The List'!$B1:$AH727,33,FALSE)-AVERAGE('The List'!AH2:AH727))/STDEV('The List'!AH2:AH727)</f>
        <v>-6.6402073707791165E-2</v>
      </c>
      <c r="V642" s="39"/>
      <c r="W642" s="41"/>
      <c r="X642" s="39"/>
      <c r="Y642" s="39"/>
      <c r="Z642" s="39"/>
      <c r="AA642" s="39"/>
      <c r="AB642" s="39"/>
      <c r="AC642" s="39"/>
      <c r="AD642" s="39"/>
      <c r="AE642" s="39"/>
    </row>
    <row r="643" spans="1:31" ht="21.25" customHeight="1" x14ac:dyDescent="0.15">
      <c r="A643" s="8" t="s">
        <v>666</v>
      </c>
      <c r="B643" s="35" t="str">
        <f>VLOOKUP(A643,'Player Data'!A1:B734,2,FALSE)</f>
        <v>NJD</v>
      </c>
      <c r="C643" s="37">
        <f>((E643)*Settings!$C$12)+(F643*Settings!$C$2)+(G643*Settings!$C$3)+(H643*Settings!$C$4)+(I643*Settings!$C$5)+(K643*Settings!$C$9)+(N643*Settings!$C$6)+(J643*Settings!$C$8)+(O643*Settings!$C$7)+(P643*Settings!$C$14)+(Q643*Settings!$C$15)+(R643*Settings!$C$16)+(S643*Settings!$C$17)+(T643*Settings!$C$18)+(U643*Settings!$C$19)</f>
        <v>-3.9441447739864408</v>
      </c>
      <c r="D643" s="41">
        <f>IF(Settings!$E$12="YES",VLOOKUP(A643,'Player Data'!A1:E734,5,FALSE),82)</f>
        <v>60</v>
      </c>
      <c r="E643" s="39">
        <f>(VLOOKUP($A643,'The List'!$B1:$AH727,17,FALSE)-AVERAGE('The List'!R2:R727))/STDEV('The List'!R2:R727)</f>
        <v>-0.2560015626025714</v>
      </c>
      <c r="F643" s="39">
        <f>(VLOOKUP($A643,'The List'!$B1:$AH727,18,FALSE)-AVERAGE('The List'!S2:S727))/STDEV('The List'!S2:S727)</f>
        <v>-1.044065159700106</v>
      </c>
      <c r="G643" s="39">
        <f>(VLOOKUP($A643,'The List'!$B1:$AH727,19,FALSE)-AVERAGE('The List'!T2:T727))/STDEV('The List'!T2:T727)</f>
        <v>-1.2274567650204362</v>
      </c>
      <c r="H643" s="39">
        <f>(VLOOKUP($A643,'The List'!$B1:$AH727,20,FALSE)-AVERAGE('The List'!U2:U727))/STDEV('The List'!U2:U727)</f>
        <v>-1.2314851423985831</v>
      </c>
      <c r="I643" s="39">
        <f>(VLOOKUP($A643,'The List'!$B1:$AH727,21,FALSE)-AVERAGE('The List'!V2:V727))/STDEV('The List'!V2:V727)</f>
        <v>-1.1024434480919554</v>
      </c>
      <c r="J643" s="39">
        <f>(VLOOKUP($A643,'The List'!$B1:$AH727,22,FALSE)-AVERAGE('The List'!W2:W727))/STDEV('The List'!W2:W727)</f>
        <v>-0.70774758026153883</v>
      </c>
      <c r="K643" s="39">
        <f>(VLOOKUP($A643,'The List'!$B1:$AH727,23,FALSE)-AVERAGE('The List'!X2:X727))/STDEV('The List'!X2:X727)</f>
        <v>-0.79023613487709021</v>
      </c>
      <c r="L643" s="39">
        <f>(VLOOKUP($A643,'The List'!$B1:$AH727,24,FALSE)-AVERAGE('The List'!Y2:Y727))/STDEV('The List'!Y2:Y727)</f>
        <v>-0.49833170549684463</v>
      </c>
      <c r="M643" s="39">
        <f>(VLOOKUP($A643,'The List'!$B1:$AH727,25,FALSE)-AVERAGE('The List'!Z2:Z727))/STDEV('The List'!Z2:Z727)</f>
        <v>-0.18297905289506713</v>
      </c>
      <c r="N643" s="39">
        <f>(VLOOKUP($A643,'The List'!$B1:$AH727,26,FALSE)-AVERAGE('The List'!AA2:AA727))/STDEV('The List'!AA2:AA727)</f>
        <v>0.34007980511018338</v>
      </c>
      <c r="O643" s="39">
        <f>(VLOOKUP($A643,'The List'!$B1:$AH727,27,FALSE)-AVERAGE('The List'!AB2:AB727))/STDEV('The List'!AB2:AB727)</f>
        <v>0.1569591200794177</v>
      </c>
      <c r="P643" s="39">
        <f>(VLOOKUP($A643,'The List'!$B1:$AH727,28,FALSE)-AVERAGE('The List'!AC2:AC727))/STDEV('The List'!AC2:AC727)</f>
        <v>-0.1200230714070363</v>
      </c>
      <c r="Q643" s="39">
        <f>(VLOOKUP($A643,'The List'!$B1:$AH727,29,FALSE)-AVERAGE('The List'!AD2:AD727))/STDEV('The List'!AD2:AD727)</f>
        <v>1.6821642766765266</v>
      </c>
      <c r="R643" s="39">
        <f>(VLOOKUP($A643,'The List'!$B1:$AH727,30,FALSE)-AVERAGE('The List'!AE2:AE727))/STDEV('The List'!AE2:AE727)</f>
        <v>-0.95187315840845632</v>
      </c>
      <c r="S643" s="39">
        <f>(VLOOKUP($A643,'The List'!$B1:$AH727,31,FALSE)-AVERAGE('The List'!AF2:AF727))/STDEV('The List'!AF2:AF727)</f>
        <v>-0.55804314905918151</v>
      </c>
      <c r="T643" s="39">
        <f>(VLOOKUP($A643,'The List'!$B1:$AH727,32,FALSE)-AVERAGE('The List'!AG2:AG727))/STDEV('The List'!AG2:AG727)</f>
        <v>-0.60188453558131205</v>
      </c>
      <c r="U643" s="39">
        <f>(VLOOKUP($A643,'The List'!$B1:$AH727,33,FALSE)-AVERAGE('The List'!AH2:AH727))/STDEV('The List'!AH2:AH727)</f>
        <v>-1.2395873372913611</v>
      </c>
      <c r="V643" s="39"/>
      <c r="W643" s="41"/>
      <c r="X643" s="39"/>
      <c r="Y643" s="39"/>
      <c r="Z643" s="39"/>
      <c r="AA643" s="39"/>
      <c r="AB643" s="39"/>
      <c r="AC643" s="39"/>
      <c r="AD643" s="39"/>
      <c r="AE643" s="39"/>
    </row>
    <row r="644" spans="1:31" ht="21.25" customHeight="1" x14ac:dyDescent="0.15">
      <c r="A644" s="8" t="s">
        <v>712</v>
      </c>
      <c r="B644" s="35" t="str">
        <f>VLOOKUP(A644,'Player Data'!A1:B734,2,FALSE)</f>
        <v>DAL</v>
      </c>
      <c r="C644" s="37">
        <f>((E644)*Settings!$C$12)+(F644*Settings!$C$2)+(G644*Settings!$C$3)+(H644*Settings!$C$4)+(I644*Settings!$C$5)+(K644*Settings!$C$9)+(N644*Settings!$C$6)+(J644*Settings!$C$8)+(O644*Settings!$C$7)+(P644*Settings!$C$14)+(Q644*Settings!$C$15)+(R644*Settings!$C$16)+(S644*Settings!$C$17)+(T644*Settings!$C$18)+(U644*Settings!$C$19)</f>
        <v>-3.8685539599956069</v>
      </c>
      <c r="D644" s="41">
        <f>IF(Settings!$E$12="YES",VLOOKUP(A644,'Player Data'!A1:E734,5,FALSE),82)</f>
        <v>63.79</v>
      </c>
      <c r="E644" s="39">
        <f>(VLOOKUP($A644,'The List'!$B1:$AH727,17,FALSE)-AVERAGE('The List'!R2:R727))/STDEV('The List'!R2:R727)</f>
        <v>-1.2998685115795685</v>
      </c>
      <c r="F644" s="39">
        <f>(VLOOKUP($A644,'The List'!$B1:$AH727,18,FALSE)-AVERAGE('The List'!S2:S727))/STDEV('The List'!S2:S727)</f>
        <v>-1.1602646131726813</v>
      </c>
      <c r="G644" s="39">
        <f>(VLOOKUP($A644,'The List'!$B1:$AH727,19,FALSE)-AVERAGE('The List'!T2:T727))/STDEV('The List'!T2:T727)</f>
        <v>-1.1313674014228332</v>
      </c>
      <c r="H644" s="39">
        <f>(VLOOKUP($A644,'The List'!$B1:$AH727,20,FALSE)-AVERAGE('The List'!U2:U727))/STDEV('The List'!U2:U727)</f>
        <v>-1.2251520144343226</v>
      </c>
      <c r="I644" s="39">
        <f>(VLOOKUP($A644,'The List'!$B1:$AH727,21,FALSE)-AVERAGE('The List'!V2:V727))/STDEV('The List'!V2:V727)</f>
        <v>-1.5361717831504618</v>
      </c>
      <c r="J644" s="39">
        <f>(VLOOKUP($A644,'The List'!$B1:$AH727,22,FALSE)-AVERAGE('The List'!W2:W727))/STDEV('The List'!W2:W727)</f>
        <v>-0.71017717118184454</v>
      </c>
      <c r="K644" s="39">
        <f>(VLOOKUP($A644,'The List'!$B1:$AH727,23,FALSE)-AVERAGE('The List'!X2:X727))/STDEV('The List'!X2:X727)</f>
        <v>-0.79634137015890072</v>
      </c>
      <c r="L644" s="39">
        <f>(VLOOKUP($A644,'The List'!$B1:$AH727,24,FALSE)-AVERAGE('The List'!Y2:Y727))/STDEV('The List'!Y2:Y727)</f>
        <v>-0.54032508772629562</v>
      </c>
      <c r="M644" s="39">
        <f>(VLOOKUP($A644,'The List'!$B1:$AH727,25,FALSE)-AVERAGE('The List'!Z2:Z727))/STDEV('The List'!Z2:Z727)</f>
        <v>-0.71460620405098474</v>
      </c>
      <c r="N644" s="39">
        <f>(VLOOKUP($A644,'The List'!$B1:$AH727,26,FALSE)-AVERAGE('The List'!AA2:AA727))/STDEV('The List'!AA2:AA727)</f>
        <v>1.3234330202483097E-2</v>
      </c>
      <c r="O644" s="39">
        <f>(VLOOKUP($A644,'The List'!$B1:$AH727,27,FALSE)-AVERAGE('The List'!AB2:AB727))/STDEV('The List'!AB2:AB727)</f>
        <v>-0.42916212995655423</v>
      </c>
      <c r="P644" s="39">
        <f>(VLOOKUP($A644,'The List'!$B1:$AH727,28,FALSE)-AVERAGE('The List'!AC2:AC727))/STDEV('The List'!AC2:AC727)</f>
        <v>0.74235687770678704</v>
      </c>
      <c r="Q644" s="39">
        <f>(VLOOKUP($A644,'The List'!$B1:$AH727,29,FALSE)-AVERAGE('The List'!AD2:AD727))/STDEV('The List'!AD2:AD727)</f>
        <v>-1.0076500615456185</v>
      </c>
      <c r="R644" s="39">
        <f>(VLOOKUP($A644,'The List'!$B1:$AH727,30,FALSE)-AVERAGE('The List'!AE2:AE727))/STDEV('The List'!AE2:AE727)</f>
        <v>-1.0524121663396557</v>
      </c>
      <c r="S644" s="39">
        <f>(VLOOKUP($A644,'The List'!$B1:$AH727,31,FALSE)-AVERAGE('The List'!AF2:AF727))/STDEV('The List'!AF2:AF727)</f>
        <v>-0.55804314905918151</v>
      </c>
      <c r="T644" s="39">
        <f>(VLOOKUP($A644,'The List'!$B1:$AH727,32,FALSE)-AVERAGE('The List'!AG2:AG727))/STDEV('The List'!AG2:AG727)</f>
        <v>-0.60188453558131205</v>
      </c>
      <c r="U644" s="39">
        <f>(VLOOKUP($A644,'The List'!$B1:$AH727,33,FALSE)-AVERAGE('The List'!AH2:AH727))/STDEV('The List'!AH2:AH727)</f>
        <v>-1.2395873372913611</v>
      </c>
      <c r="V644" s="39"/>
      <c r="W644" s="41"/>
      <c r="X644" s="39"/>
      <c r="Y644" s="39"/>
      <c r="Z644" s="39"/>
      <c r="AA644" s="39"/>
      <c r="AB644" s="39"/>
      <c r="AC644" s="39"/>
      <c r="AD644" s="39"/>
      <c r="AE644" s="39"/>
    </row>
    <row r="645" spans="1:31" ht="21.25" customHeight="1" x14ac:dyDescent="0.15">
      <c r="A645" s="8" t="s">
        <v>662</v>
      </c>
      <c r="B645" s="35" t="str">
        <f>VLOOKUP(A645,'Player Data'!A1:B734,2,FALSE)</f>
        <v>PIT</v>
      </c>
      <c r="C645" s="37">
        <f>((E645)*Settings!$C$12)+(F645*Settings!$C$2)+(G645*Settings!$C$3)+(H645*Settings!$C$4)+(I645*Settings!$C$5)+(K645*Settings!$C$9)+(N645*Settings!$C$6)+(J645*Settings!$C$8)+(O645*Settings!$C$7)+(P645*Settings!$C$14)+(Q645*Settings!$C$15)+(R645*Settings!$C$16)+(S645*Settings!$C$17)+(T645*Settings!$C$18)+(U645*Settings!$C$19)</f>
        <v>-3.3439350398940699</v>
      </c>
      <c r="D645" s="41">
        <f>IF(Settings!$E$12="YES",VLOOKUP(A645,'Player Data'!A1:E734,5,FALSE),82)</f>
        <v>69.556785714285695</v>
      </c>
      <c r="E645" s="39">
        <f>(VLOOKUP($A645,'The List'!$B1:$AH727,17,FALSE)-AVERAGE('The List'!R2:R727))/STDEV('The List'!R2:R727)</f>
        <v>-0.448550469772036</v>
      </c>
      <c r="F645" s="39">
        <f>(VLOOKUP($A645,'The List'!$B1:$AH727,18,FALSE)-AVERAGE('The List'!S2:S727))/STDEV('The List'!S2:S727)</f>
        <v>-1.0914018420729676</v>
      </c>
      <c r="G645" s="39">
        <f>(VLOOKUP($A645,'The List'!$B1:$AH727,19,FALSE)-AVERAGE('The List'!T2:T727))/STDEV('The List'!T2:T727)</f>
        <v>-1.1406833163104242</v>
      </c>
      <c r="H645" s="39">
        <f>(VLOOKUP($A645,'The List'!$B1:$AH727,20,FALSE)-AVERAGE('The List'!U2:U727))/STDEV('The List'!U2:U727)</f>
        <v>-1.1995556969365644</v>
      </c>
      <c r="I645" s="39">
        <f>(VLOOKUP($A645,'The List'!$B1:$AH727,21,FALSE)-AVERAGE('The List'!V2:V727))/STDEV('The List'!V2:V727)</f>
        <v>-1.1566238323605196</v>
      </c>
      <c r="J645" s="39">
        <f>(VLOOKUP($A645,'The List'!$B1:$AH727,22,FALSE)-AVERAGE('The List'!W2:W727))/STDEV('The List'!W2:W727)</f>
        <v>-0.71167286070678404</v>
      </c>
      <c r="K645" s="39">
        <f>(VLOOKUP($A645,'The List'!$B1:$AH727,23,FALSE)-AVERAGE('The List'!X2:X727))/STDEV('The List'!X2:X727)</f>
        <v>-0.80055646370787481</v>
      </c>
      <c r="L645" s="39">
        <f>(VLOOKUP($A645,'The List'!$B1:$AH727,24,FALSE)-AVERAGE('The List'!Y2:Y727))/STDEV('The List'!Y2:Y727)</f>
        <v>-0.49791828992089354</v>
      </c>
      <c r="M645" s="39">
        <f>(VLOOKUP($A645,'The List'!$B1:$AH727,25,FALSE)-AVERAGE('The List'!Z2:Z727))/STDEV('The List'!Z2:Z727)</f>
        <v>-0.56578180784567578</v>
      </c>
      <c r="N645" s="39">
        <f>(VLOOKUP($A645,'The List'!$B1:$AH727,26,FALSE)-AVERAGE('The List'!AA2:AA727))/STDEV('The List'!AA2:AA727)</f>
        <v>0.53778226427846598</v>
      </c>
      <c r="O645" s="39">
        <f>(VLOOKUP($A645,'The List'!$B1:$AH727,27,FALSE)-AVERAGE('The List'!AB2:AB727))/STDEV('The List'!AB2:AB727)</f>
        <v>0.64410596282546972</v>
      </c>
      <c r="P645" s="39">
        <f>(VLOOKUP($A645,'The List'!$B1:$AH727,28,FALSE)-AVERAGE('The List'!AC2:AC727))/STDEV('The List'!AC2:AC727)</f>
        <v>0.30754815027925053</v>
      </c>
      <c r="Q645" s="39">
        <f>(VLOOKUP($A645,'The List'!$B1:$AH727,29,FALSE)-AVERAGE('The List'!AD2:AD727))/STDEV('The List'!AD2:AD727)</f>
        <v>-0.57563033632850824</v>
      </c>
      <c r="R645" s="39">
        <f>(VLOOKUP($A645,'The List'!$B1:$AH727,30,FALSE)-AVERAGE('The List'!AE2:AE727))/STDEV('The List'!AE2:AE727)</f>
        <v>-0.98156002739482928</v>
      </c>
      <c r="S645" s="39">
        <f>(VLOOKUP($A645,'The List'!$B1:$AH727,31,FALSE)-AVERAGE('The List'!AF2:AF727))/STDEV('The List'!AF2:AF727)</f>
        <v>-0.55804314905918151</v>
      </c>
      <c r="T645" s="39">
        <f>(VLOOKUP($A645,'The List'!$B1:$AH727,32,FALSE)-AVERAGE('The List'!AG2:AG727))/STDEV('The List'!AG2:AG727)</f>
        <v>-0.60188453558131205</v>
      </c>
      <c r="U645" s="39">
        <f>(VLOOKUP($A645,'The List'!$B1:$AH727,33,FALSE)-AVERAGE('The List'!AH2:AH727))/STDEV('The List'!AH2:AH727)</f>
        <v>-1.2395873372913611</v>
      </c>
      <c r="V645" s="39"/>
      <c r="W645" s="41"/>
      <c r="X645" s="39"/>
      <c r="Y645" s="39"/>
      <c r="Z645" s="39"/>
      <c r="AA645" s="39"/>
      <c r="AB645" s="39"/>
      <c r="AC645" s="39"/>
      <c r="AD645" s="39"/>
      <c r="AE645" s="39"/>
    </row>
    <row r="646" spans="1:31" ht="21.25" customHeight="1" x14ac:dyDescent="0.15">
      <c r="A646" s="8" t="s">
        <v>828</v>
      </c>
      <c r="B646" s="35" t="str">
        <f>VLOOKUP(A646,'Player Data'!A1:B734,2,FALSE)</f>
        <v>SJS</v>
      </c>
      <c r="C646" s="37">
        <f>((E646)*Settings!$C$12)+(F646*Settings!$C$2)+(G646*Settings!$C$3)+(H646*Settings!$C$4)+(I646*Settings!$C$5)+(K646*Settings!$C$9)+(N646*Settings!$C$6)+(J646*Settings!$C$8)+(O646*Settings!$C$7)+(P646*Settings!$C$14)+(Q646*Settings!$C$15)+(R646*Settings!$C$16)+(S646*Settings!$C$17)+(T646*Settings!$C$18)+(U646*Settings!$C$19)</f>
        <v>-5.25428438130609</v>
      </c>
      <c r="D646" s="41">
        <f>IF(Settings!$E$12="YES",VLOOKUP(A646,'Player Data'!A1:E734,5,FALSE),82)</f>
        <v>66.974642857142896</v>
      </c>
      <c r="E646" s="39">
        <f>(VLOOKUP($A646,'The List'!$B1:$AH727,17,FALSE)-AVERAGE('The List'!R2:R727))/STDEV('The List'!R2:R727)</f>
        <v>-1.96849960083446</v>
      </c>
      <c r="F646" s="39">
        <f>(VLOOKUP($A646,'The List'!$B1:$AH727,18,FALSE)-AVERAGE('The List'!S2:S727))/STDEV('The List'!S2:S727)</f>
        <v>-1.0061274423638484</v>
      </c>
      <c r="G646" s="39">
        <f>(VLOOKUP($A646,'The List'!$B1:$AH727,19,FALSE)-AVERAGE('The List'!T2:T727))/STDEV('The List'!T2:T727)</f>
        <v>-1.2326111838096965</v>
      </c>
      <c r="H646" s="39">
        <f>(VLOOKUP($A646,'The List'!$B1:$AH727,20,FALSE)-AVERAGE('The List'!U2:U727))/STDEV('The List'!U2:U727)</f>
        <v>-1.217397307325875</v>
      </c>
      <c r="I646" s="39">
        <f>(VLOOKUP($A646,'The List'!$B1:$AH727,21,FALSE)-AVERAGE('The List'!V2:V727))/STDEV('The List'!V2:V727)</f>
        <v>-1.2664038198767176</v>
      </c>
      <c r="J646" s="39">
        <f>(VLOOKUP($A646,'The List'!$B1:$AH727,22,FALSE)-AVERAGE('The List'!W2:W727))/STDEV('The List'!W2:W727)</f>
        <v>-0.69939142138493582</v>
      </c>
      <c r="K646" s="39">
        <f>(VLOOKUP($A646,'The List'!$B1:$AH727,23,FALSE)-AVERAGE('The List'!X2:X727))/STDEV('The List'!X2:X727)</f>
        <v>-0.78785815901194201</v>
      </c>
      <c r="L646" s="39">
        <f>(VLOOKUP($A646,'The List'!$B1:$AH727,24,FALSE)-AVERAGE('The List'!Y2:Y727))/STDEV('The List'!Y2:Y727)</f>
        <v>-0.1949701508307298</v>
      </c>
      <c r="M646" s="39">
        <f>(VLOOKUP($A646,'The List'!$B1:$AH727,25,FALSE)-AVERAGE('The List'!Z2:Z727))/STDEV('The List'!Z2:Z727)</f>
        <v>-0.41982081440532582</v>
      </c>
      <c r="N646" s="39">
        <f>(VLOOKUP($A646,'The List'!$B1:$AH727,26,FALSE)-AVERAGE('The List'!AA2:AA727))/STDEV('The List'!AA2:AA727)</f>
        <v>-0.75256343807525672</v>
      </c>
      <c r="O646" s="39">
        <f>(VLOOKUP($A646,'The List'!$B1:$AH727,27,FALSE)-AVERAGE('The List'!AB2:AB727))/STDEV('The List'!AB2:AB727)</f>
        <v>0.17668546774132723</v>
      </c>
      <c r="P646" s="39">
        <f>(VLOOKUP($A646,'The List'!$B1:$AH727,28,FALSE)-AVERAGE('The List'!AC2:AC727))/STDEV('The List'!AC2:AC727)</f>
        <v>-0.20872033816862975</v>
      </c>
      <c r="Q646" s="39">
        <f>(VLOOKUP($A646,'The List'!$B1:$AH727,29,FALSE)-AVERAGE('The List'!AD2:AD727))/STDEV('The List'!AD2:AD727)</f>
        <v>-0.79843990226317685</v>
      </c>
      <c r="R646" s="39">
        <f>(VLOOKUP($A646,'The List'!$B1:$AH727,30,FALSE)-AVERAGE('The List'!AE2:AE727))/STDEV('The List'!AE2:AE727)</f>
        <v>-0.96385320780211314</v>
      </c>
      <c r="S646" s="39">
        <f>(VLOOKUP($A646,'The List'!$B1:$AH727,31,FALSE)-AVERAGE('The List'!AF2:AF727))/STDEV('The List'!AF2:AF727)</f>
        <v>0.1824863491076171</v>
      </c>
      <c r="T646" s="39">
        <f>(VLOOKUP($A646,'The List'!$B1:$AH727,32,FALSE)-AVERAGE('The List'!AG2:AG727))/STDEV('The List'!AG2:AG727)</f>
        <v>0.14111870976606011</v>
      </c>
      <c r="U646" s="39">
        <f>(VLOOKUP($A646,'The List'!$B1:$AH727,33,FALSE)-AVERAGE('The List'!AH2:AH727))/STDEV('The List'!AH2:AH727)</f>
        <v>1.0728070596998158</v>
      </c>
      <c r="V646" s="39"/>
      <c r="W646" s="41"/>
      <c r="X646" s="39"/>
      <c r="Y646" s="39"/>
      <c r="Z646" s="39"/>
      <c r="AA646" s="39"/>
      <c r="AB646" s="39"/>
      <c r="AC646" s="39"/>
      <c r="AD646" s="39"/>
      <c r="AE646" s="39"/>
    </row>
    <row r="647" spans="1:31" ht="21.25" customHeight="1" x14ac:dyDescent="0.15">
      <c r="A647" s="8" t="s">
        <v>645</v>
      </c>
      <c r="B647" s="35" t="str">
        <f>VLOOKUP(A647,'Player Data'!A1:B734,2,FALSE)</f>
        <v>TBL</v>
      </c>
      <c r="C647" s="37">
        <f>((E647)*Settings!$C$12)+(F647*Settings!$C$2)+(G647*Settings!$C$3)+(H647*Settings!$C$4)+(I647*Settings!$C$5)+(K647*Settings!$C$9)+(N647*Settings!$C$6)+(J647*Settings!$C$8)+(O647*Settings!$C$7)+(P647*Settings!$C$14)+(Q647*Settings!$C$15)+(R647*Settings!$C$16)+(S647*Settings!$C$17)+(T647*Settings!$C$18)+(U647*Settings!$C$19)</f>
        <v>-3.9358801283231331</v>
      </c>
      <c r="D647" s="41">
        <f>IF(Settings!$E$12="YES",VLOOKUP(A647,'Player Data'!A1:E734,5,FALSE),82)</f>
        <v>69.354285714285695</v>
      </c>
      <c r="E647" s="39">
        <f>(VLOOKUP($A647,'The List'!$B1:$AH727,17,FALSE)-AVERAGE('The List'!R2:R727))/STDEV('The List'!R2:R727)</f>
        <v>-0.43425890483252799</v>
      </c>
      <c r="F647" s="39">
        <f>(VLOOKUP($A647,'The List'!$B1:$AH727,18,FALSE)-AVERAGE('The List'!S2:S727))/STDEV('The List'!S2:S727)</f>
        <v>-1.0984712903574276</v>
      </c>
      <c r="G647" s="39">
        <f>(VLOOKUP($A647,'The List'!$B1:$AH727,19,FALSE)-AVERAGE('The List'!T2:T727))/STDEV('The List'!T2:T727)</f>
        <v>-1.1496439739613573</v>
      </c>
      <c r="H647" s="39">
        <f>(VLOOKUP($A647,'The List'!$B1:$AH727,20,FALSE)-AVERAGE('The List'!U2:U727))/STDEV('The List'!U2:U727)</f>
        <v>-1.2082943780399211</v>
      </c>
      <c r="I647" s="39">
        <f>(VLOOKUP($A647,'The List'!$B1:$AH727,21,FALSE)-AVERAGE('The List'!V2:V727))/STDEV('The List'!V2:V727)</f>
        <v>-0.91426615080417006</v>
      </c>
      <c r="J647" s="39">
        <f>(VLOOKUP($A647,'The List'!$B1:$AH727,22,FALSE)-AVERAGE('The List'!W2:W727))/STDEV('The List'!W2:W727)</f>
        <v>-0.7105827072462827</v>
      </c>
      <c r="K647" s="39">
        <f>(VLOOKUP($A647,'The List'!$B1:$AH727,23,FALSE)-AVERAGE('The List'!X2:X727))/STDEV('The List'!X2:X727)</f>
        <v>-0.79755619166128899</v>
      </c>
      <c r="L647" s="39">
        <f>(VLOOKUP($A647,'The List'!$B1:$AH727,24,FALSE)-AVERAGE('The List'!Y2:Y727))/STDEV('The List'!Y2:Y727)</f>
        <v>-0.51636084186265585</v>
      </c>
      <c r="M647" s="39">
        <f>(VLOOKUP($A647,'The List'!$B1:$AH727,25,FALSE)-AVERAGE('The List'!Z2:Z727))/STDEV('The List'!Z2:Z727)</f>
        <v>-0.65703472955694031</v>
      </c>
      <c r="N647" s="39">
        <f>(VLOOKUP($A647,'The List'!$B1:$AH727,26,FALSE)-AVERAGE('The List'!AA2:AA727))/STDEV('The List'!AA2:AA727)</f>
        <v>0.25003630363163815</v>
      </c>
      <c r="O647" s="39">
        <f>(VLOOKUP($A647,'The List'!$B1:$AH727,27,FALSE)-AVERAGE('The List'!AB2:AB727))/STDEV('The List'!AB2:AB727)</f>
        <v>1.0916293530851211</v>
      </c>
      <c r="P647" s="39">
        <f>(VLOOKUP($A647,'The List'!$B1:$AH727,28,FALSE)-AVERAGE('The List'!AC2:AC727))/STDEV('The List'!AC2:AC727)</f>
        <v>-0.22597882517052709</v>
      </c>
      <c r="Q647" s="39">
        <f>(VLOOKUP($A647,'The List'!$B1:$AH727,29,FALSE)-AVERAGE('The List'!AD2:AD727))/STDEV('The List'!AD2:AD727)</f>
        <v>0.63073542094617752</v>
      </c>
      <c r="R647" s="39">
        <f>(VLOOKUP($A647,'The List'!$B1:$AH727,30,FALSE)-AVERAGE('The List'!AE2:AE727))/STDEV('The List'!AE2:AE727)</f>
        <v>-0.99229268156060135</v>
      </c>
      <c r="S647" s="39">
        <f>(VLOOKUP($A647,'The List'!$B1:$AH727,31,FALSE)-AVERAGE('The List'!AF2:AF727))/STDEV('The List'!AF2:AF727)</f>
        <v>-0.55591750623232716</v>
      </c>
      <c r="T647" s="39">
        <f>(VLOOKUP($A647,'The List'!$B1:$AH727,32,FALSE)-AVERAGE('The List'!AG2:AG727))/STDEV('The List'!AG2:AG727)</f>
        <v>-0.59864931569888202</v>
      </c>
      <c r="U647" s="39">
        <f>(VLOOKUP($A647,'The List'!$B1:$AH727,33,FALSE)-AVERAGE('The List'!AH2:AH727))/STDEV('The List'!AH2:AH727)</f>
        <v>0.60686009165306032</v>
      </c>
      <c r="V647" s="39"/>
      <c r="W647" s="41"/>
      <c r="X647" s="39"/>
      <c r="Y647" s="39"/>
      <c r="Z647" s="39"/>
      <c r="AA647" s="39"/>
      <c r="AB647" s="39"/>
      <c r="AC647" s="39"/>
      <c r="AD647" s="39"/>
      <c r="AE647" s="39"/>
    </row>
    <row r="648" spans="1:31" ht="21.25" customHeight="1" x14ac:dyDescent="0.15">
      <c r="A648" s="8" t="s">
        <v>812</v>
      </c>
      <c r="B648" s="35" t="str">
        <f>VLOOKUP(A648,'Player Data'!A1:B734,2,FALSE)</f>
        <v>TBL</v>
      </c>
      <c r="C648" s="37">
        <f>((E648)*Settings!$C$12)+(F648*Settings!$C$2)+(G648*Settings!$C$3)+(H648*Settings!$C$4)+(I648*Settings!$C$5)+(K648*Settings!$C$9)+(N648*Settings!$C$6)+(J648*Settings!$C$8)+(O648*Settings!$C$7)+(P648*Settings!$C$14)+(Q648*Settings!$C$15)+(R648*Settings!$C$16)+(S648*Settings!$C$17)+(T648*Settings!$C$18)+(U648*Settings!$C$19)</f>
        <v>-4.279601747301407</v>
      </c>
      <c r="D648" s="41">
        <f>IF(Settings!$E$12="YES",VLOOKUP(A648,'Player Data'!A1:E734,5,FALSE),82)</f>
        <v>79.607142857142904</v>
      </c>
      <c r="E648" s="39">
        <f>(VLOOKUP($A648,'The List'!$B1:$AH727,17,FALSE)-AVERAGE('The List'!R2:R727))/STDEV('The List'!R2:R727)</f>
        <v>-1.323177478549318</v>
      </c>
      <c r="F648" s="39">
        <f>(VLOOKUP($A648,'The List'!$B1:$AH727,18,FALSE)-AVERAGE('The List'!S2:S727))/STDEV('The List'!S2:S727)</f>
        <v>-0.84992661621707755</v>
      </c>
      <c r="G648" s="39">
        <f>(VLOOKUP($A648,'The List'!$B1:$AH727,19,FALSE)-AVERAGE('The List'!T2:T727))/STDEV('The List'!T2:T727)</f>
        <v>-1.2907264721533001</v>
      </c>
      <c r="H648" s="39">
        <f>(VLOOKUP($A648,'The List'!$B1:$AH727,20,FALSE)-AVERAGE('The List'!U2:U727))/STDEV('The List'!U2:U727)</f>
        <v>-1.1821273327490733</v>
      </c>
      <c r="I648" s="39">
        <f>(VLOOKUP($A648,'The List'!$B1:$AH727,21,FALSE)-AVERAGE('The List'!V2:V727))/STDEV('The List'!V2:V727)</f>
        <v>-0.86860784207433317</v>
      </c>
      <c r="J648" s="39">
        <f>(VLOOKUP($A648,'The List'!$B1:$AH727,22,FALSE)-AVERAGE('The List'!W2:W727))/STDEV('The List'!W2:W727)</f>
        <v>-0.69918244952645758</v>
      </c>
      <c r="K648" s="39">
        <f>(VLOOKUP($A648,'The List'!$B1:$AH727,23,FALSE)-AVERAGE('The List'!X2:X727))/STDEV('The List'!X2:X727)</f>
        <v>-0.78854557154971761</v>
      </c>
      <c r="L648" s="39">
        <f>(VLOOKUP($A648,'The List'!$B1:$AH727,24,FALSE)-AVERAGE('The List'!Y2:Y727))/STDEV('The List'!Y2:Y727)</f>
        <v>0.74138413701784844</v>
      </c>
      <c r="M648" s="39">
        <f>(VLOOKUP($A648,'The List'!$B1:$AH727,25,FALSE)-AVERAGE('The List'!Z2:Z727))/STDEV('The List'!Z2:Z727)</f>
        <v>0.55647937767571065</v>
      </c>
      <c r="N648" s="39">
        <f>(VLOOKUP($A648,'The List'!$B1:$AH727,26,FALSE)-AVERAGE('The List'!AA2:AA727))/STDEV('The List'!AA2:AA727)</f>
        <v>-8.205385797019922E-2</v>
      </c>
      <c r="O648" s="39">
        <f>(VLOOKUP($A648,'The List'!$B1:$AH727,27,FALSE)-AVERAGE('The List'!AB2:AB727))/STDEV('The List'!AB2:AB727)</f>
        <v>0.81751029574853729</v>
      </c>
      <c r="P648" s="39">
        <f>(VLOOKUP($A648,'The List'!$B1:$AH727,28,FALSE)-AVERAGE('The List'!AC2:AC727))/STDEV('The List'!AC2:AC727)</f>
        <v>-0.399741387336779</v>
      </c>
      <c r="Q648" s="39">
        <f>(VLOOKUP($A648,'The List'!$B1:$AH727,29,FALSE)-AVERAGE('The List'!AD2:AD727))/STDEV('The List'!AD2:AD727)</f>
        <v>-0.60295470993840627</v>
      </c>
      <c r="R648" s="39">
        <f>(VLOOKUP($A648,'The List'!$B1:$AH727,30,FALSE)-AVERAGE('The List'!AE2:AE727))/STDEV('The List'!AE2:AE727)</f>
        <v>-0.73820891985586568</v>
      </c>
      <c r="S648" s="39">
        <f>(VLOOKUP($A648,'The List'!$B1:$AH727,31,FALSE)-AVERAGE('The List'!AF2:AF727))/STDEV('The List'!AF2:AF727)</f>
        <v>1.4513791562500713</v>
      </c>
      <c r="T648" s="39">
        <f>(VLOOKUP($A648,'The List'!$B1:$AH727,32,FALSE)-AVERAGE('The List'!AG2:AG727))/STDEV('The List'!AG2:AG727)</f>
        <v>0.85010456904890042</v>
      </c>
      <c r="U648" s="39">
        <f>(VLOOKUP($A648,'The List'!$B1:$AH727,33,FALSE)-AVERAGE('The List'!AH2:AH727))/STDEV('The List'!AH2:AH727)</f>
        <v>1.4386451291577544</v>
      </c>
      <c r="V648" s="39"/>
      <c r="W648" s="41"/>
      <c r="X648" s="39"/>
      <c r="Y648" s="39"/>
      <c r="Z648" s="39"/>
      <c r="AA648" s="39"/>
      <c r="AB648" s="39"/>
      <c r="AC648" s="39"/>
      <c r="AD648" s="39"/>
      <c r="AE648" s="39"/>
    </row>
    <row r="649" spans="1:31" ht="21.25" customHeight="1" x14ac:dyDescent="0.15">
      <c r="A649" s="8" t="s">
        <v>728</v>
      </c>
      <c r="B649" s="35" t="str">
        <f>VLOOKUP(A649,'Player Data'!A1:B734,2,FALSE)</f>
        <v>LAK</v>
      </c>
      <c r="C649" s="37">
        <f>((E649)*Settings!$C$12)+(F649*Settings!$C$2)+(G649*Settings!$C$3)+(H649*Settings!$C$4)+(I649*Settings!$C$5)+(K649*Settings!$C$9)+(N649*Settings!$C$6)+(J649*Settings!$C$8)+(O649*Settings!$C$7)+(P649*Settings!$C$14)+(Q649*Settings!$C$15)+(R649*Settings!$C$16)+(S649*Settings!$C$17)+(T649*Settings!$C$18)+(U649*Settings!$C$19)</f>
        <v>-5.1751213187401257</v>
      </c>
      <c r="D649" s="41">
        <f>IF(Settings!$E$12="YES",VLOOKUP(A649,'Player Data'!A1:E734,5,FALSE),82)</f>
        <v>56.342500000000001</v>
      </c>
      <c r="E649" s="39">
        <f>(VLOOKUP($A649,'The List'!$B1:$AH727,17,FALSE)-AVERAGE('The List'!R2:R727))/STDEV('The List'!R2:R727)</f>
        <v>-1.1544573800964335</v>
      </c>
      <c r="F649" s="39">
        <f>(VLOOKUP($A649,'The List'!$B1:$AH727,18,FALSE)-AVERAGE('The List'!S2:S727))/STDEV('The List'!S2:S727)</f>
        <v>-1.2010769593411321</v>
      </c>
      <c r="G649" s="39">
        <f>(VLOOKUP($A649,'The List'!$B1:$AH727,19,FALSE)-AVERAGE('The List'!T2:T727))/STDEV('The List'!T2:T727)</f>
        <v>-1.2283989337213042</v>
      </c>
      <c r="H649" s="39">
        <f>(VLOOKUP($A649,'The List'!$B1:$AH727,20,FALSE)-AVERAGE('The List'!U2:U727))/STDEV('The List'!U2:U727)</f>
        <v>-1.303515909490699</v>
      </c>
      <c r="I649" s="39">
        <f>(VLOOKUP($A649,'The List'!$B1:$AH727,21,FALSE)-AVERAGE('The List'!V2:V727))/STDEV('The List'!V2:V727)</f>
        <v>-1.5164200294159609</v>
      </c>
      <c r="J649" s="39">
        <f>(VLOOKUP($A649,'The List'!$B1:$AH727,22,FALSE)-AVERAGE('The List'!W2:W727))/STDEV('The List'!W2:W727)</f>
        <v>-0.71102602247094859</v>
      </c>
      <c r="K649" s="39">
        <f>(VLOOKUP($A649,'The List'!$B1:$AH727,23,FALSE)-AVERAGE('The List'!X2:X727))/STDEV('The List'!X2:X727)</f>
        <v>-0.79886031870557017</v>
      </c>
      <c r="L649" s="39">
        <f>(VLOOKUP($A649,'The List'!$B1:$AH727,24,FALSE)-AVERAGE('The List'!Y2:Y727))/STDEV('The List'!Y2:Y727)</f>
        <v>-0.4915530171857605</v>
      </c>
      <c r="M649" s="39">
        <f>(VLOOKUP($A649,'The List'!$B1:$AH727,25,FALSE)-AVERAGE('The List'!Z2:Z727))/STDEV('The List'!Z2:Z727)</f>
        <v>-0.60195600475863076</v>
      </c>
      <c r="N649" s="39">
        <f>(VLOOKUP($A649,'The List'!$B1:$AH727,26,FALSE)-AVERAGE('The List'!AA2:AA727))/STDEV('The List'!AA2:AA727)</f>
        <v>-0.33311855846915267</v>
      </c>
      <c r="O649" s="39">
        <f>(VLOOKUP($A649,'The List'!$B1:$AH727,27,FALSE)-AVERAGE('The List'!AB2:AB727))/STDEV('The List'!AB2:AB727)</f>
        <v>0.46195055658168793</v>
      </c>
      <c r="P649" s="39">
        <f>(VLOOKUP($A649,'The List'!$B1:$AH727,28,FALSE)-AVERAGE('The List'!AC2:AC727))/STDEV('The List'!AC2:AC727)</f>
        <v>-9.724651908700524E-2</v>
      </c>
      <c r="Q649" s="39">
        <f>(VLOOKUP($A649,'The List'!$B1:$AH727,29,FALSE)-AVERAGE('The List'!AD2:AD727))/STDEV('The List'!AD2:AD727)</f>
        <v>-8.993821913434831E-2</v>
      </c>
      <c r="R649" s="39">
        <f>(VLOOKUP($A649,'The List'!$B1:$AH727,30,FALSE)-AVERAGE('The List'!AE2:AE727))/STDEV('The List'!AE2:AE727)</f>
        <v>-1.1020629837667721</v>
      </c>
      <c r="S649" s="39">
        <f>(VLOOKUP($A649,'The List'!$B1:$AH727,31,FALSE)-AVERAGE('The List'!AF2:AF727))/STDEV('The List'!AF2:AF727)</f>
        <v>-0.55804314905918151</v>
      </c>
      <c r="T649" s="39">
        <f>(VLOOKUP($A649,'The List'!$B1:$AH727,32,FALSE)-AVERAGE('The List'!AG2:AG727))/STDEV('The List'!AG2:AG727)</f>
        <v>-0.60188453558131205</v>
      </c>
      <c r="U649" s="39">
        <f>(VLOOKUP($A649,'The List'!$B1:$AH727,33,FALSE)-AVERAGE('The List'!AH2:AH727))/STDEV('The List'!AH2:AH727)</f>
        <v>-1.2395873372913611</v>
      </c>
      <c r="V649" s="39"/>
      <c r="W649" s="41"/>
      <c r="X649" s="39"/>
      <c r="Y649" s="39"/>
      <c r="Z649" s="39"/>
      <c r="AA649" s="39"/>
      <c r="AB649" s="39"/>
      <c r="AC649" s="39"/>
      <c r="AD649" s="39"/>
      <c r="AE649" s="39"/>
    </row>
    <row r="650" spans="1:31" ht="21.25" customHeight="1" x14ac:dyDescent="0.15">
      <c r="A650" s="8" t="s">
        <v>638</v>
      </c>
      <c r="B650" s="35" t="str">
        <f>VLOOKUP(A650,'Player Data'!A1:B734,2,FALSE)</f>
        <v>ARI</v>
      </c>
      <c r="C650" s="37">
        <f>((E650)*Settings!$C$12)+(F650*Settings!$C$2)+(G650*Settings!$C$3)+(H650*Settings!$C$4)+(I650*Settings!$C$5)+(K650*Settings!$C$9)+(N650*Settings!$C$6)+(J650*Settings!$C$8)+(O650*Settings!$C$7)+(P650*Settings!$C$14)+(Q650*Settings!$C$15)+(R650*Settings!$C$16)+(S650*Settings!$C$17)+(T650*Settings!$C$18)+(U650*Settings!$C$19)</f>
        <v>-4.1315258307816007</v>
      </c>
      <c r="D650" s="41">
        <f>IF(Settings!$E$12="YES",VLOOKUP(A650,'Player Data'!A1:E734,5,FALSE),82)</f>
        <v>71.027142857142906</v>
      </c>
      <c r="E650" s="39">
        <f>(VLOOKUP($A650,'The List'!$B1:$AH727,17,FALSE)-AVERAGE('The List'!R2:R727))/STDEV('The List'!R2:R727)</f>
        <v>-0.27676697258564914</v>
      </c>
      <c r="F650" s="39">
        <f>(VLOOKUP($A650,'The List'!$B1:$AH727,18,FALSE)-AVERAGE('The List'!S2:S727))/STDEV('The List'!S2:S727)</f>
        <v>-1.0840382223169172</v>
      </c>
      <c r="G650" s="39">
        <f>(VLOOKUP($A650,'The List'!$B1:$AH727,19,FALSE)-AVERAGE('The List'!T2:T727))/STDEV('The List'!T2:T727)</f>
        <v>-1.1935453269099325</v>
      </c>
      <c r="H650" s="39">
        <f>(VLOOKUP($A650,'The List'!$B1:$AH727,20,FALSE)-AVERAGE('The List'!U2:U727))/STDEV('The List'!U2:U727)</f>
        <v>-1.2287788468401017</v>
      </c>
      <c r="I650" s="39">
        <f>(VLOOKUP($A650,'The List'!$B1:$AH727,21,FALSE)-AVERAGE('The List'!V2:V727))/STDEV('The List'!V2:V727)</f>
        <v>-1.076041335103729</v>
      </c>
      <c r="J650" s="39">
        <f>(VLOOKUP($A650,'The List'!$B1:$AH727,22,FALSE)-AVERAGE('The List'!W2:W727))/STDEV('The List'!W2:W727)</f>
        <v>-0.70886160879400328</v>
      </c>
      <c r="K650" s="39">
        <f>(VLOOKUP($A650,'The List'!$B1:$AH727,23,FALSE)-AVERAGE('The List'!X2:X727))/STDEV('The List'!X2:X727)</f>
        <v>-0.79305506676317949</v>
      </c>
      <c r="L650" s="39">
        <f>(VLOOKUP($A650,'The List'!$B1:$AH727,24,FALSE)-AVERAGE('The List'!Y2:Y727))/STDEV('The List'!Y2:Y727)</f>
        <v>-0.49793688177871043</v>
      </c>
      <c r="M650" s="39">
        <f>(VLOOKUP($A650,'The List'!$B1:$AH727,25,FALSE)-AVERAGE('The List'!Z2:Z727))/STDEV('The List'!Z2:Z727)</f>
        <v>-0.56980381647086842</v>
      </c>
      <c r="N650" s="39">
        <f>(VLOOKUP($A650,'The List'!$B1:$AH727,26,FALSE)-AVERAGE('The List'!AA2:AA727))/STDEV('The List'!AA2:AA727)</f>
        <v>1.2834138644298043</v>
      </c>
      <c r="O650" s="39">
        <f>(VLOOKUP($A650,'The List'!$B1:$AH727,27,FALSE)-AVERAGE('The List'!AB2:AB727))/STDEV('The List'!AB2:AB727)</f>
        <v>1.1105418431311251</v>
      </c>
      <c r="P650" s="39">
        <f>(VLOOKUP($A650,'The List'!$B1:$AH727,28,FALSE)-AVERAGE('The List'!AC2:AC727))/STDEV('The List'!AC2:AC727)</f>
        <v>-1.2682597441176469</v>
      </c>
      <c r="Q650" s="39">
        <f>(VLOOKUP($A650,'The List'!$B1:$AH727,29,FALSE)-AVERAGE('The List'!AD2:AD727))/STDEV('The List'!AD2:AD727)</f>
        <v>1.8832058784847492</v>
      </c>
      <c r="R650" s="39">
        <f>(VLOOKUP($A650,'The List'!$B1:$AH727,30,FALSE)-AVERAGE('The List'!AE2:AE727))/STDEV('The List'!AE2:AE727)</f>
        <v>-1.0231404644258888</v>
      </c>
      <c r="S650" s="39">
        <f>(VLOOKUP($A650,'The List'!$B1:$AH727,31,FALSE)-AVERAGE('The List'!AF2:AF727))/STDEV('The List'!AF2:AF727)</f>
        <v>-0.55804314905918151</v>
      </c>
      <c r="T650" s="39">
        <f>(VLOOKUP($A650,'The List'!$B1:$AH727,32,FALSE)-AVERAGE('The List'!AG2:AG727))/STDEV('The List'!AG2:AG727)</f>
        <v>-0.60188453558131205</v>
      </c>
      <c r="U650" s="39">
        <f>(VLOOKUP($A650,'The List'!$B1:$AH727,33,FALSE)-AVERAGE('The List'!AH2:AH727))/STDEV('The List'!AH2:AH727)</f>
        <v>-1.2395873372913611</v>
      </c>
      <c r="V650" s="39"/>
      <c r="W650" s="41"/>
      <c r="X650" s="39"/>
      <c r="Y650" s="39"/>
      <c r="Z650" s="39"/>
      <c r="AA650" s="39"/>
      <c r="AB650" s="39"/>
      <c r="AC650" s="39"/>
      <c r="AD650" s="39"/>
      <c r="AE650" s="39"/>
    </row>
    <row r="651" spans="1:31" ht="21.25" customHeight="1" x14ac:dyDescent="0.15">
      <c r="A651" s="8" t="s">
        <v>654</v>
      </c>
      <c r="B651" s="35" t="str">
        <f>VLOOKUP(A651,'Player Data'!A1:B734,2,FALSE)</f>
        <v>TBL</v>
      </c>
      <c r="C651" s="37">
        <f>((E651)*Settings!$C$12)+(F651*Settings!$C$2)+(G651*Settings!$C$3)+(H651*Settings!$C$4)+(I651*Settings!$C$5)+(K651*Settings!$C$9)+(N651*Settings!$C$6)+(J651*Settings!$C$8)+(O651*Settings!$C$7)+(P651*Settings!$C$14)+(Q651*Settings!$C$15)+(R651*Settings!$C$16)+(S651*Settings!$C$17)+(T651*Settings!$C$18)+(U651*Settings!$C$19)</f>
        <v>-3.8285946187481357</v>
      </c>
      <c r="D651" s="41">
        <f>IF(Settings!$E$12="YES",VLOOKUP(A651,'Player Data'!A1:E734,5,FALSE),82)</f>
        <v>64.979642857142906</v>
      </c>
      <c r="E651" s="39">
        <f>(VLOOKUP($A651,'The List'!$B1:$AH727,17,FALSE)-AVERAGE('The List'!R2:R727))/STDEV('The List'!R2:R727)</f>
        <v>-0.56698592712272466</v>
      </c>
      <c r="F651" s="39">
        <f>(VLOOKUP($A651,'The List'!$B1:$AH727,18,FALSE)-AVERAGE('The List'!S2:S727))/STDEV('The List'!S2:S727)</f>
        <v>-1.0386341517437425</v>
      </c>
      <c r="G651" s="39">
        <f>(VLOOKUP($A651,'The List'!$B1:$AH727,19,FALSE)-AVERAGE('The List'!T2:T727))/STDEV('The List'!T2:T727)</f>
        <v>-1.2985607575665594</v>
      </c>
      <c r="H651" s="39">
        <f>(VLOOKUP($A651,'The List'!$B1:$AH727,20,FALSE)-AVERAGE('The List'!U2:U727))/STDEV('The List'!U2:U727)</f>
        <v>-1.2728286288531596</v>
      </c>
      <c r="I651" s="39">
        <f>(VLOOKUP($A651,'The List'!$B1:$AH727,21,FALSE)-AVERAGE('The List'!V2:V727))/STDEV('The List'!V2:V727)</f>
        <v>-0.8833956888585891</v>
      </c>
      <c r="J651" s="39">
        <f>(VLOOKUP($A651,'The List'!$B1:$AH727,22,FALSE)-AVERAGE('The List'!W2:W727))/STDEV('The List'!W2:W727)</f>
        <v>-0.70919900994047247</v>
      </c>
      <c r="K651" s="39">
        <f>(VLOOKUP($A651,'The List'!$B1:$AH727,23,FALSE)-AVERAGE('The List'!X2:X727))/STDEV('The List'!X2:X727)</f>
        <v>-0.79399743970570869</v>
      </c>
      <c r="L651" s="39">
        <f>(VLOOKUP($A651,'The List'!$B1:$AH727,24,FALSE)-AVERAGE('The List'!Y2:Y727))/STDEV('The List'!Y2:Y727)</f>
        <v>-0.51447849410875379</v>
      </c>
      <c r="M651" s="39">
        <f>(VLOOKUP($A651,'The List'!$B1:$AH727,25,FALSE)-AVERAGE('The List'!Z2:Z727))/STDEV('The List'!Z2:Z727)</f>
        <v>-0.65491168547908429</v>
      </c>
      <c r="N651" s="39">
        <f>(VLOOKUP($A651,'The List'!$B1:$AH727,26,FALSE)-AVERAGE('The List'!AA2:AA727))/STDEV('The List'!AA2:AA727)</f>
        <v>0.436722052637872</v>
      </c>
      <c r="O651" s="39">
        <f>(VLOOKUP($A651,'The List'!$B1:$AH727,27,FALSE)-AVERAGE('The List'!AB2:AB727))/STDEV('The List'!AB2:AB727)</f>
        <v>-0.10807764327185936</v>
      </c>
      <c r="P651" s="39">
        <f>(VLOOKUP($A651,'The List'!$B1:$AH727,28,FALSE)-AVERAGE('The List'!AC2:AC727))/STDEV('The List'!AC2:AC727)</f>
        <v>-0.25072863351140834</v>
      </c>
      <c r="Q651" s="39">
        <f>(VLOOKUP($A651,'The List'!$B1:$AH727,29,FALSE)-AVERAGE('The List'!AD2:AD727))/STDEV('The List'!AD2:AD727)</f>
        <v>-1.0086430997187892</v>
      </c>
      <c r="R651" s="39">
        <f>(VLOOKUP($A651,'The List'!$B1:$AH727,30,FALSE)-AVERAGE('The List'!AE2:AE727))/STDEV('The List'!AE2:AE727)</f>
        <v>-0.93112200743049522</v>
      </c>
      <c r="S651" s="39">
        <f>(VLOOKUP($A651,'The List'!$B1:$AH727,31,FALSE)-AVERAGE('The List'!AF2:AF727))/STDEV('The List'!AF2:AF727)</f>
        <v>-0.55804314905918151</v>
      </c>
      <c r="T651" s="39">
        <f>(VLOOKUP($A651,'The List'!$B1:$AH727,32,FALSE)-AVERAGE('The List'!AG2:AG727))/STDEV('The List'!AG2:AG727)</f>
        <v>-0.60188453558131205</v>
      </c>
      <c r="U651" s="39">
        <f>(VLOOKUP($A651,'The List'!$B1:$AH727,33,FALSE)-AVERAGE('The List'!AH2:AH727))/STDEV('The List'!AH2:AH727)</f>
        <v>-1.2395873372913611</v>
      </c>
      <c r="V651" s="39"/>
      <c r="W651" s="41"/>
      <c r="X651" s="39"/>
      <c r="Y651" s="39"/>
      <c r="Z651" s="39"/>
      <c r="AA651" s="39"/>
      <c r="AB651" s="39"/>
      <c r="AC651" s="39"/>
      <c r="AD651" s="39"/>
      <c r="AE651" s="39"/>
    </row>
    <row r="652" spans="1:31" ht="21.25" customHeight="1" x14ac:dyDescent="0.15">
      <c r="A652" s="8" t="s">
        <v>670</v>
      </c>
      <c r="B652" s="35" t="str">
        <f>VLOOKUP(A652,'Player Data'!A1:B734,2,FALSE)</f>
        <v>VAN</v>
      </c>
      <c r="C652" s="37">
        <f>((E652)*Settings!$C$12)+(F652*Settings!$C$2)+(G652*Settings!$C$3)+(H652*Settings!$C$4)+(I652*Settings!$C$5)+(K652*Settings!$C$9)+(N652*Settings!$C$6)+(J652*Settings!$C$8)+(O652*Settings!$C$7)+(P652*Settings!$C$14)+(Q652*Settings!$C$15)+(R652*Settings!$C$16)+(S652*Settings!$C$17)+(T652*Settings!$C$18)+(U652*Settings!$C$19)</f>
        <v>-4.1100947400523191</v>
      </c>
      <c r="D652" s="41">
        <f>IF(Settings!$E$12="YES",VLOOKUP(A652,'Player Data'!A1:E734,5,FALSE),82)</f>
        <v>64.679285714285697</v>
      </c>
      <c r="E652" s="39">
        <f>(VLOOKUP($A652,'The List'!$B1:$AH727,17,FALSE)-AVERAGE('The List'!R2:R727))/STDEV('The List'!R2:R727)</f>
        <v>-1.1021720680589748</v>
      </c>
      <c r="F652" s="39">
        <f>(VLOOKUP($A652,'The List'!$B1:$AH727,18,FALSE)-AVERAGE('The List'!S2:S727))/STDEV('The List'!S2:S727)</f>
        <v>-1.1334343064703623</v>
      </c>
      <c r="G652" s="39">
        <f>(VLOOKUP($A652,'The List'!$B1:$AH727,19,FALSE)-AVERAGE('The List'!T2:T727))/STDEV('The List'!T2:T727)</f>
        <v>-1.2697522460201869</v>
      </c>
      <c r="H652" s="39">
        <f>(VLOOKUP($A652,'The List'!$B1:$AH727,20,FALSE)-AVERAGE('The List'!U2:U727))/STDEV('The List'!U2:U727)</f>
        <v>-1.2982165614205758</v>
      </c>
      <c r="I652" s="39">
        <f>(VLOOKUP($A652,'The List'!$B1:$AH727,21,FALSE)-AVERAGE('The List'!V2:V727))/STDEV('The List'!V2:V727)</f>
        <v>-0.90142742222872263</v>
      </c>
      <c r="J652" s="39">
        <f>(VLOOKUP($A652,'The List'!$B1:$AH727,22,FALSE)-AVERAGE('The List'!W2:W727))/STDEV('The List'!W2:W727)</f>
        <v>-0.71144110347580725</v>
      </c>
      <c r="K652" s="39">
        <f>(VLOOKUP($A652,'The List'!$B1:$AH727,23,FALSE)-AVERAGE('The List'!X2:X727))/STDEV('The List'!X2:X727)</f>
        <v>-0.79991460976213846</v>
      </c>
      <c r="L652" s="39">
        <f>(VLOOKUP($A652,'The List'!$B1:$AH727,24,FALSE)-AVERAGE('The List'!Y2:Y727))/STDEV('The List'!Y2:Y727)</f>
        <v>-0.53357757045205867</v>
      </c>
      <c r="M652" s="39">
        <f>(VLOOKUP($A652,'The List'!$B1:$AH727,25,FALSE)-AVERAGE('The List'!Z2:Z727))/STDEV('The List'!Z2:Z727)</f>
        <v>-0.69847350580214662</v>
      </c>
      <c r="N652" s="39">
        <f>(VLOOKUP($A652,'The List'!$B1:$AH727,26,FALSE)-AVERAGE('The List'!AA2:AA727))/STDEV('The List'!AA2:AA727)</f>
        <v>0.22399011950565054</v>
      </c>
      <c r="O652" s="39">
        <f>(VLOOKUP($A652,'The List'!$B1:$AH727,27,FALSE)-AVERAGE('The List'!AB2:AB727))/STDEV('The List'!AB2:AB727)</f>
        <v>0.32048869644880484</v>
      </c>
      <c r="P652" s="39">
        <f>(VLOOKUP($A652,'The List'!$B1:$AH727,28,FALSE)-AVERAGE('The List'!AC2:AC727))/STDEV('The List'!AC2:AC727)</f>
        <v>-0.2295562750765591</v>
      </c>
      <c r="Q652" s="39">
        <f>(VLOOKUP($A652,'The List'!$B1:$AH727,29,FALSE)-AVERAGE('The List'!AD2:AD727))/STDEV('The List'!AD2:AD727)</f>
        <v>-6.8179869824077907E-2</v>
      </c>
      <c r="R652" s="39">
        <f>(VLOOKUP($A652,'The List'!$B1:$AH727,30,FALSE)-AVERAGE('The List'!AE2:AE727))/STDEV('The List'!AE2:AE727)</f>
        <v>-1.0437050883923997</v>
      </c>
      <c r="S652" s="39">
        <f>(VLOOKUP($A652,'The List'!$B1:$AH727,31,FALSE)-AVERAGE('The List'!AF2:AF727))/STDEV('The List'!AF2:AF727)</f>
        <v>-0.55804314905918151</v>
      </c>
      <c r="T652" s="39">
        <f>(VLOOKUP($A652,'The List'!$B1:$AH727,32,FALSE)-AVERAGE('The List'!AG2:AG727))/STDEV('The List'!AG2:AG727)</f>
        <v>-0.60188453558131205</v>
      </c>
      <c r="U652" s="39">
        <f>(VLOOKUP($A652,'The List'!$B1:$AH727,33,FALSE)-AVERAGE('The List'!AH2:AH727))/STDEV('The List'!AH2:AH727)</f>
        <v>-1.2395873372913611</v>
      </c>
      <c r="V652" s="39"/>
      <c r="W652" s="41"/>
      <c r="X652" s="39"/>
      <c r="Y652" s="39"/>
      <c r="Z652" s="39"/>
      <c r="AA652" s="39"/>
      <c r="AB652" s="39"/>
      <c r="AC652" s="39"/>
      <c r="AD652" s="39"/>
      <c r="AE652" s="39"/>
    </row>
    <row r="653" spans="1:31" ht="21.25" customHeight="1" x14ac:dyDescent="0.15">
      <c r="A653" s="8" t="s">
        <v>699</v>
      </c>
      <c r="B653" s="35" t="str">
        <f>VLOOKUP(A653,'Player Data'!A1:B734,2,FALSE)</f>
        <v>STL</v>
      </c>
      <c r="C653" s="37">
        <f>((E653)*Settings!$C$12)+(F653*Settings!$C$2)+(G653*Settings!$C$3)+(H653*Settings!$C$4)+(I653*Settings!$C$5)+(K653*Settings!$C$9)+(N653*Settings!$C$6)+(J653*Settings!$C$8)+(O653*Settings!$C$7)+(P653*Settings!$C$14)+(Q653*Settings!$C$15)+(R653*Settings!$C$16)+(S653*Settings!$C$17)+(T653*Settings!$C$18)+(U653*Settings!$C$19)</f>
        <v>-4.8476938837548413</v>
      </c>
      <c r="D653" s="41">
        <f>IF(Settings!$E$12="YES",VLOOKUP(A653,'Player Data'!A1:E734,5,FALSE),82)</f>
        <v>71.527142857142906</v>
      </c>
      <c r="E653" s="39">
        <f>(VLOOKUP($A653,'The List'!$B1:$AH727,17,FALSE)-AVERAGE('The List'!R2:R727))/STDEV('The List'!R2:R727)</f>
        <v>-0.98800545382836702</v>
      </c>
      <c r="F653" s="39">
        <f>(VLOOKUP($A653,'The List'!$B1:$AH727,18,FALSE)-AVERAGE('The List'!S2:S727))/STDEV('The List'!S2:S727)</f>
        <v>-1.1522970625275724</v>
      </c>
      <c r="G653" s="39">
        <f>(VLOOKUP($A653,'The List'!$B1:$AH727,19,FALSE)-AVERAGE('The List'!T2:T727))/STDEV('The List'!T2:T727)</f>
        <v>-1.2676631896447654</v>
      </c>
      <c r="H653" s="39">
        <f>(VLOOKUP($A653,'The List'!$B1:$AH727,20,FALSE)-AVERAGE('The List'!U2:U727))/STDEV('The List'!U2:U727)</f>
        <v>-1.3055130000147614</v>
      </c>
      <c r="I653" s="39">
        <f>(VLOOKUP($A653,'The List'!$B1:$AH727,21,FALSE)-AVERAGE('The List'!V2:V727))/STDEV('The List'!V2:V727)</f>
        <v>-1.3689797860289585</v>
      </c>
      <c r="J653" s="39">
        <f>(VLOOKUP($A653,'The List'!$B1:$AH727,22,FALSE)-AVERAGE('The List'!W2:W727))/STDEV('The List'!W2:W727)</f>
        <v>-0.70919263811477995</v>
      </c>
      <c r="K653" s="39">
        <f>(VLOOKUP($A653,'The List'!$B1:$AH727,23,FALSE)-AVERAGE('The List'!X2:X727))/STDEV('The List'!X2:X727)</f>
        <v>-0.79354367294770989</v>
      </c>
      <c r="L653" s="39">
        <f>(VLOOKUP($A653,'The List'!$B1:$AH727,24,FALSE)-AVERAGE('The List'!Y2:Y727))/STDEV('The List'!Y2:Y727)</f>
        <v>-0.50214264977810219</v>
      </c>
      <c r="M653" s="39">
        <f>(VLOOKUP($A653,'The List'!$B1:$AH727,25,FALSE)-AVERAGE('The List'!Z2:Z727))/STDEV('The List'!Z2:Z727)</f>
        <v>-0.57605206263194442</v>
      </c>
      <c r="N653" s="39">
        <f>(VLOOKUP($A653,'The List'!$B1:$AH727,26,FALSE)-AVERAGE('The List'!AA2:AA727))/STDEV('The List'!AA2:AA727)</f>
        <v>0.61590817371063733</v>
      </c>
      <c r="O653" s="39">
        <f>(VLOOKUP($A653,'The List'!$B1:$AH727,27,FALSE)-AVERAGE('The List'!AB2:AB727))/STDEV('The List'!AB2:AB727)</f>
        <v>0.26687098343632759</v>
      </c>
      <c r="P653" s="39">
        <f>(VLOOKUP($A653,'The List'!$B1:$AH727,28,FALSE)-AVERAGE('The List'!AC2:AC727))/STDEV('The List'!AC2:AC727)</f>
        <v>-0.88111834631647223</v>
      </c>
      <c r="Q653" s="39">
        <f>(VLOOKUP($A653,'The List'!$B1:$AH727,29,FALSE)-AVERAGE('The List'!AD2:AD727))/STDEV('The List'!AD2:AD727)</f>
        <v>0.52180939778905777</v>
      </c>
      <c r="R653" s="39">
        <f>(VLOOKUP($A653,'The List'!$B1:$AH727,30,FALSE)-AVERAGE('The List'!AE2:AE727))/STDEV('The List'!AE2:AE727)</f>
        <v>-1.0856638854806278</v>
      </c>
      <c r="S653" s="39">
        <f>(VLOOKUP($A653,'The List'!$B1:$AH727,31,FALSE)-AVERAGE('The List'!AF2:AF727))/STDEV('The List'!AF2:AF727)</f>
        <v>-0.55804314905918151</v>
      </c>
      <c r="T653" s="39">
        <f>(VLOOKUP($A653,'The List'!$B1:$AH727,32,FALSE)-AVERAGE('The List'!AG2:AG727))/STDEV('The List'!AG2:AG727)</f>
        <v>-0.60188453558131205</v>
      </c>
      <c r="U653" s="39">
        <f>(VLOOKUP($A653,'The List'!$B1:$AH727,33,FALSE)-AVERAGE('The List'!AH2:AH727))/STDEV('The List'!AH2:AH727)</f>
        <v>-1.2395873372913611</v>
      </c>
      <c r="V653" s="39"/>
      <c r="W653" s="41"/>
      <c r="X653" s="39"/>
      <c r="Y653" s="39"/>
      <c r="Z653" s="39"/>
      <c r="AA653" s="39"/>
      <c r="AB653" s="39"/>
      <c r="AC653" s="39"/>
      <c r="AD653" s="39"/>
      <c r="AE653" s="39"/>
    </row>
    <row r="654" spans="1:31" ht="21.25" customHeight="1" x14ac:dyDescent="0.15">
      <c r="A654" s="8" t="s">
        <v>673</v>
      </c>
      <c r="B654" s="35" t="str">
        <f>VLOOKUP(A654,'Player Data'!A1:B734,2,FALSE)</f>
        <v>COL</v>
      </c>
      <c r="C654" s="37">
        <f>((E654)*Settings!$C$12)+(F654*Settings!$C$2)+(G654*Settings!$C$3)+(H654*Settings!$C$4)+(I654*Settings!$C$5)+(K654*Settings!$C$9)+(N654*Settings!$C$6)+(J654*Settings!$C$8)+(O654*Settings!$C$7)+(P654*Settings!$C$14)+(Q654*Settings!$C$15)+(R654*Settings!$C$16)+(S654*Settings!$C$17)+(T654*Settings!$C$18)+(U654*Settings!$C$19)</f>
        <v>-3.2971355852310533</v>
      </c>
      <c r="D654" s="41">
        <f>IF(Settings!$E$12="YES",VLOOKUP(A654,'Player Data'!A1:E734,5,FALSE),82)</f>
        <v>74.811071428571395</v>
      </c>
      <c r="E654" s="39">
        <f>(VLOOKUP($A654,'The List'!$B1:$AH727,17,FALSE)-AVERAGE('The List'!R2:R727))/STDEV('The List'!R2:R727)</f>
        <v>-0.27500737095856331</v>
      </c>
      <c r="F654" s="39">
        <f>(VLOOKUP($A654,'The List'!$B1:$AH727,18,FALSE)-AVERAGE('The List'!S2:S727))/STDEV('The List'!S2:S727)</f>
        <v>-1.1946590150237928</v>
      </c>
      <c r="G654" s="39">
        <f>(VLOOKUP($A654,'The List'!$B1:$AH727,19,FALSE)-AVERAGE('The List'!T2:T727))/STDEV('The List'!T2:T727)</f>
        <v>-1.2338999437637836</v>
      </c>
      <c r="H654" s="39">
        <f>(VLOOKUP($A654,'The List'!$B1:$AH727,20,FALSE)-AVERAGE('The List'!U2:U727))/STDEV('The List'!U2:U727)</f>
        <v>-1.3039851162558143</v>
      </c>
      <c r="I654" s="39">
        <f>(VLOOKUP($A654,'The List'!$B1:$AH727,21,FALSE)-AVERAGE('The List'!V2:V727))/STDEV('The List'!V2:V727)</f>
        <v>-1.1230682430438839</v>
      </c>
      <c r="J654" s="39">
        <f>(VLOOKUP($A654,'The List'!$B1:$AH727,22,FALSE)-AVERAGE('The List'!W2:W727))/STDEV('The List'!W2:W727)</f>
        <v>-0.70786780616797829</v>
      </c>
      <c r="K654" s="39">
        <f>(VLOOKUP($A654,'The List'!$B1:$AH727,23,FALSE)-AVERAGE('The List'!X2:X727))/STDEV('The List'!X2:X727)</f>
        <v>-0.78776480178177877</v>
      </c>
      <c r="L654" s="39">
        <f>(VLOOKUP($A654,'The List'!$B1:$AH727,24,FALSE)-AVERAGE('The List'!Y2:Y727))/STDEV('The List'!Y2:Y727)</f>
        <v>-0.51612874340750281</v>
      </c>
      <c r="M654" s="39">
        <f>(VLOOKUP($A654,'The List'!$B1:$AH727,25,FALSE)-AVERAGE('The List'!Z2:Z727))/STDEV('The List'!Z2:Z727)</f>
        <v>0.51281225757853077</v>
      </c>
      <c r="N654" s="39">
        <f>(VLOOKUP($A654,'The List'!$B1:$AH727,26,FALSE)-AVERAGE('The List'!AA2:AA727))/STDEV('The List'!AA2:AA727)</f>
        <v>0.75991840319411819</v>
      </c>
      <c r="O654" s="39">
        <f>(VLOOKUP($A654,'The List'!$B1:$AH727,27,FALSE)-AVERAGE('The List'!AB2:AB727))/STDEV('The List'!AB2:AB727)</f>
        <v>-2.3113936794020341E-2</v>
      </c>
      <c r="P654" s="39">
        <f>(VLOOKUP($A654,'The List'!$B1:$AH727,28,FALSE)-AVERAGE('The List'!AC2:AC727))/STDEV('The List'!AC2:AC727)</f>
        <v>0.28233801518806734</v>
      </c>
      <c r="Q654" s="39">
        <f>(VLOOKUP($A654,'The List'!$B1:$AH727,29,FALSE)-AVERAGE('The List'!AD2:AD727))/STDEV('The List'!AD2:AD727)</f>
        <v>-0.40312952683676723</v>
      </c>
      <c r="R654" s="39">
        <f>(VLOOKUP($A654,'The List'!$B1:$AH727,30,FALSE)-AVERAGE('The List'!AE2:AE727))/STDEV('The List'!AE2:AE727)</f>
        <v>-1.0895113903594162</v>
      </c>
      <c r="S654" s="39">
        <f>(VLOOKUP($A654,'The List'!$B1:$AH727,31,FALSE)-AVERAGE('The List'!AF2:AF727))/STDEV('The List'!AF2:AF727)</f>
        <v>-0.55804314905918151</v>
      </c>
      <c r="T654" s="39">
        <f>(VLOOKUP($A654,'The List'!$B1:$AH727,32,FALSE)-AVERAGE('The List'!AG2:AG727))/STDEV('The List'!AG2:AG727)</f>
        <v>-0.59871666199433238</v>
      </c>
      <c r="U654" s="39">
        <f>(VLOOKUP($A654,'The List'!$B1:$AH727,33,FALSE)-AVERAGE('The List'!AH2:AH727))/STDEV('The List'!AH2:AH727)</f>
        <v>-1.2395873372913611</v>
      </c>
      <c r="V654" s="39"/>
      <c r="W654" s="41"/>
      <c r="X654" s="39"/>
      <c r="Y654" s="39"/>
      <c r="Z654" s="39"/>
      <c r="AA654" s="39"/>
      <c r="AB654" s="39"/>
      <c r="AC654" s="39"/>
      <c r="AD654" s="39"/>
      <c r="AE654" s="39"/>
    </row>
    <row r="655" spans="1:31" ht="21.25" customHeight="1" x14ac:dyDescent="0.15">
      <c r="A655" s="23"/>
      <c r="B655" s="14"/>
      <c r="C655" s="37"/>
      <c r="D655" s="41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41"/>
      <c r="X655" s="39"/>
      <c r="Y655" s="39"/>
      <c r="Z655" s="39"/>
      <c r="AA655" s="39"/>
      <c r="AB655" s="39"/>
      <c r="AC655" s="39"/>
      <c r="AD655" s="39"/>
      <c r="AE655" s="39"/>
    </row>
    <row r="656" spans="1:31" ht="21.25" customHeight="1" x14ac:dyDescent="0.15">
      <c r="A656" s="8" t="s">
        <v>196</v>
      </c>
      <c r="B656" s="35" t="str">
        <f>VLOOKUP(A656,'Player Data'!A1:B734,2,FALSE)</f>
        <v>ANA</v>
      </c>
      <c r="C656" s="37">
        <f>(W656*Settings!$C$29)+(X656*Settings!$C$21)+(Y656*Settings!$C$22)+(AA656*Settings!$C$24)+(AB656*Settings!$C$25)+(Z656*Settings!$C$23)+(AC656*Settings!$C$26)+(AD656*Settings!$C$28)</f>
        <v>-0.70715467319472758</v>
      </c>
      <c r="D656" s="41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>
        <f>(VLOOKUP($A656,'The List'!$B1:$AR727,35,FALSE)-AVERAGE('The List'!AJ2:AJ727))/STDEV('The List'!AJ2:AJ727)</f>
        <v>1.2993582404103472</v>
      </c>
      <c r="X656" s="39">
        <f>(VLOOKUP($A656,'The List'!$B1:$AR727,36,FALSE)-AVERAGE('The List'!AK2:AK727))/STDEV('The List'!AK2:AK727)</f>
        <v>0.1671716046675247</v>
      </c>
      <c r="Y656" s="39">
        <f>(VLOOKUP($A656,'The List'!$B1:$AR727,37,FALSE)-AVERAGE('The List'!AL2:AL727))/STDEV('The List'!AL2:AL727)*-1</f>
        <v>-2.6729738224055941</v>
      </c>
      <c r="Z656" s="39">
        <f>(VLOOKUP($A656,'The List'!$B1:$AR727,38,FALSE)-AVERAGE('The List'!AM2:AM727))/STDEV('The List'!AM2:AM727)</f>
        <v>1.2993582404103472</v>
      </c>
      <c r="AA656" s="39">
        <f>(VLOOKUP($A656,'The List'!$B1:$AR727,39,FALSE)-AVERAGE('The List'!AN2:AN727))/STDEV('The List'!AN2:AN727)</f>
        <v>-0.10318333575996867</v>
      </c>
      <c r="AB656" s="39">
        <f>(VLOOKUP($A656,'The List'!$B1:$AR727,40,FALSE)-AVERAGE('The List'!AO2:AO727))/STDEV('The List'!AO2:AO727)</f>
        <v>1.6300458667792608</v>
      </c>
      <c r="AC656" s="39">
        <f>(VLOOKUP($A656,'The List'!$B1:$AR727,42,FALSE)-AVERAGE('The List'!AQ2:AQ727))/STDEV('The List'!AQ2:AQ727)</f>
        <v>0.34478272936079402</v>
      </c>
      <c r="AD656" s="39">
        <f>(VLOOKUP($A656,'The List'!$B1:$AR727,43,FALSE)-AVERAGE('The List'!AR2:AR727))/STDEV('The List'!AR2:AR727)*-1</f>
        <v>-1.1159256714630776</v>
      </c>
      <c r="AE656" s="39"/>
    </row>
    <row r="657" spans="1:31" ht="21.25" customHeight="1" x14ac:dyDescent="0.15">
      <c r="A657" s="8" t="s">
        <v>715</v>
      </c>
      <c r="B657" s="35" t="str">
        <f>VLOOKUP(A657,'Player Data'!A1:B734,2,FALSE)</f>
        <v>ANA</v>
      </c>
      <c r="C657" s="37">
        <f>(W657*Settings!$C$29)+(X657*Settings!$C$21)+(Y657*Settings!$C$22)+(AA657*Settings!$C$24)+(AB657*Settings!$C$25)+(Z657*Settings!$C$23)+(AC657*Settings!$C$26)+(AD657*Settings!$C$28)</f>
        <v>-4.8448545498067555</v>
      </c>
      <c r="D657" s="41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>
        <f>(VLOOKUP($A657,'The List'!$B1:$AR727,35,FALSE)-AVERAGE('The List'!AJ2:AJ727))/STDEV('The List'!AJ2:AJ727)</f>
        <v>-0.80565453776620077</v>
      </c>
      <c r="X657" s="39">
        <f>(VLOOKUP($A657,'The List'!$B1:$AR727,36,FALSE)-AVERAGE('The List'!AK2:AK727))/STDEV('The List'!AK2:AK727)</f>
        <v>-1.1404939720514586</v>
      </c>
      <c r="Y657" s="39">
        <f>(VLOOKUP($A657,'The List'!$B1:$AR727,37,FALSE)-AVERAGE('The List'!AL2:AL727))/STDEV('The List'!AL2:AL727)*-1</f>
        <v>9.4476653524794618E-2</v>
      </c>
      <c r="Z657" s="39">
        <f>(VLOOKUP($A657,'The List'!$B1:$AR727,38,FALSE)-AVERAGE('The List'!AM2:AM727))/STDEV('The List'!AM2:AM727)</f>
        <v>-0.80565453776620077</v>
      </c>
      <c r="AA657" s="39">
        <f>(VLOOKUP($A657,'The List'!$B1:$AR727,39,FALSE)-AVERAGE('The List'!AN2:AN727))/STDEV('The List'!AN2:AN727)</f>
        <v>-1.1211399225762675</v>
      </c>
      <c r="AB657" s="39">
        <f>(VLOOKUP($A657,'The List'!$B1:$AR727,40,FALSE)-AVERAGE('The List'!AO2:AO727))/STDEV('The List'!AO2:AO727)</f>
        <v>-0.66352150167071966</v>
      </c>
      <c r="AC657" s="39">
        <f>(VLOOKUP($A657,'The List'!$B1:$AR727,42,FALSE)-AVERAGE('The List'!AQ2:AQ727))/STDEV('The List'!AQ2:AQ727)</f>
        <v>-0.58364682077429697</v>
      </c>
      <c r="AD657" s="39">
        <f>(VLOOKUP($A657,'The List'!$B1:$AR727,43,FALSE)-AVERAGE('The List'!AR2:AR727))/STDEV('The List'!AR2:AR727)*-1</f>
        <v>-1.999573834404732</v>
      </c>
      <c r="AE657" s="39"/>
    </row>
    <row r="658" spans="1:31" ht="21.25" customHeight="1" x14ac:dyDescent="0.15">
      <c r="A658" s="8" t="s">
        <v>323</v>
      </c>
      <c r="B658" s="35" t="str">
        <f>VLOOKUP(A658,'Player Data'!A1:B734,2,FALSE)</f>
        <v>ARI</v>
      </c>
      <c r="C658" s="37">
        <f>(W658*Settings!$C$29)+(X658*Settings!$C$21)+(Y658*Settings!$C$22)+(AA658*Settings!$C$24)+(AB658*Settings!$C$25)+(Z658*Settings!$C$23)+(AC658*Settings!$C$26)+(AD658*Settings!$C$28)</f>
        <v>0.42659680657698673</v>
      </c>
      <c r="D658" s="41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>
        <f>(VLOOKUP($A658,'The List'!$B1:$AR727,35,FALSE)-AVERAGE('The List'!AJ2:AJ727))/STDEV('The List'!AJ2:AJ727)</f>
        <v>0.47011078234079795</v>
      </c>
      <c r="X658" s="39">
        <f>(VLOOKUP($A658,'The List'!$B1:$AR727,36,FALSE)-AVERAGE('The List'!AK2:AK727))/STDEV('The List'!AK2:AK727)</f>
        <v>0.10978505586231511</v>
      </c>
      <c r="Y658" s="39">
        <f>(VLOOKUP($A658,'The List'!$B1:$AR727,37,FALSE)-AVERAGE('The List'!AL2:AL727))/STDEV('The List'!AL2:AL727)*-1</f>
        <v>-0.89277302606279918</v>
      </c>
      <c r="Z658" s="39">
        <f>(VLOOKUP($A658,'The List'!$B1:$AR727,38,FALSE)-AVERAGE('The List'!AM2:AM727))/STDEV('The List'!AM2:AM727)</f>
        <v>0.47011078234079795</v>
      </c>
      <c r="AA658" s="39">
        <f>(VLOOKUP($A658,'The List'!$B1:$AR727,39,FALSE)-AVERAGE('The List'!AN2:AN727))/STDEV('The List'!AN2:AN727)</f>
        <v>0.18537711855220565</v>
      </c>
      <c r="AB658" s="39">
        <f>(VLOOKUP($A658,'The List'!$B1:$AR727,40,FALSE)-AVERAGE('The List'!AO2:AO727))/STDEV('The List'!AO2:AO727)</f>
        <v>0.45265933409051157</v>
      </c>
      <c r="AC658" s="39">
        <f>(VLOOKUP($A658,'The List'!$B1:$AR727,42,FALSE)-AVERAGE('The List'!AQ2:AQ727))/STDEV('The List'!AQ2:AQ727)</f>
        <v>5.8605539242822358E-2</v>
      </c>
      <c r="AD658" s="39">
        <f>(VLOOKUP($A658,'The List'!$B1:$AR727,43,FALSE)-AVERAGE('The List'!AR2:AR727))/STDEV('The List'!AR2:AR727)*-1</f>
        <v>7.2829092919643609E-2</v>
      </c>
      <c r="AE658" s="39"/>
    </row>
    <row r="659" spans="1:31" ht="21.25" customHeight="1" x14ac:dyDescent="0.15">
      <c r="A659" s="8" t="s">
        <v>422</v>
      </c>
      <c r="B659" s="35" t="str">
        <f>VLOOKUP(A659,'Player Data'!A1:B734,2,FALSE)</f>
        <v>ARI</v>
      </c>
      <c r="C659" s="37">
        <f>(W659*Settings!$C$29)+(X659*Settings!$C$21)+(Y659*Settings!$C$22)+(AA659*Settings!$C$24)+(AB659*Settings!$C$25)+(Z659*Settings!$C$23)+(AC659*Settings!$C$26)+(AD659*Settings!$C$28)</f>
        <v>-2.5425440641755837E-2</v>
      </c>
      <c r="D659" s="41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>
        <f>(VLOOKUP($A659,'The List'!$B1:$AR727,35,FALSE)-AVERAGE('The List'!AJ2:AJ727))/STDEV('The List'!AJ2:AJ727)</f>
        <v>2.3592920303348388E-2</v>
      </c>
      <c r="X659" s="39">
        <f>(VLOOKUP($A659,'The List'!$B1:$AR727,36,FALSE)-AVERAGE('The List'!AK2:AK727))/STDEV('The List'!AK2:AK727)</f>
        <v>-0.22910189447906659</v>
      </c>
      <c r="Y659" s="39">
        <f>(VLOOKUP($A659,'The List'!$B1:$AR727,37,FALSE)-AVERAGE('The List'!AL2:AL727))/STDEV('The List'!AL2:AL727)*-1</f>
        <v>-0.39844472227758432</v>
      </c>
      <c r="Z659" s="39">
        <f>(VLOOKUP($A659,'The List'!$B1:$AR727,38,FALSE)-AVERAGE('The List'!AM2:AM727))/STDEV('The List'!AM2:AM727)</f>
        <v>2.3592920303348388E-2</v>
      </c>
      <c r="AA659" s="39">
        <f>(VLOOKUP($A659,'The List'!$B1:$AR727,39,FALSE)-AVERAGE('The List'!AN2:AN727))/STDEV('The List'!AN2:AN727)</f>
        <v>-5.5939203203958641E-2</v>
      </c>
      <c r="AB659" s="39">
        <f>(VLOOKUP($A659,'The List'!$B1:$AR727,40,FALSE)-AVERAGE('The List'!AO2:AO727))/STDEV('The List'!AO2:AO727)</f>
        <v>1.5208049866031543E-2</v>
      </c>
      <c r="AC659" s="39">
        <f>(VLOOKUP($A659,'The List'!$B1:$AR727,42,FALSE)-AVERAGE('The List'!AQ2:AQ727))/STDEV('The List'!AQ2:AQ727)</f>
        <v>0.12742636048646444</v>
      </c>
      <c r="AD659" s="39">
        <f>(VLOOKUP($A659,'The List'!$B1:$AR727,43,FALSE)-AVERAGE('The List'!AR2:AR727))/STDEV('The List'!AR2:AR727)*-1</f>
        <v>0.13218929655480494</v>
      </c>
      <c r="AE659" s="39"/>
    </row>
    <row r="660" spans="1:31" ht="21.25" customHeight="1" x14ac:dyDescent="0.15">
      <c r="A660" s="8" t="s">
        <v>227</v>
      </c>
      <c r="B660" s="35" t="str">
        <f>VLOOKUP(A660,'Player Data'!A1:B734,2,FALSE)</f>
        <v>BOS</v>
      </c>
      <c r="C660" s="37">
        <f>(W660*Settings!$C$29)+(X660*Settings!$C$21)+(Y660*Settings!$C$22)+(AA660*Settings!$C$24)+(AB660*Settings!$C$25)+(Z660*Settings!$C$23)+(AC660*Settings!$C$26)+(AD660*Settings!$C$28)</f>
        <v>5.4468197254549562</v>
      </c>
      <c r="D660" s="41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>
        <f>(VLOOKUP($A660,'The List'!$B1:$AR727,35,FALSE)-AVERAGE('The List'!AJ2:AJ727))/STDEV('The List'!AJ2:AJ727)</f>
        <v>0.5976873143514978</v>
      </c>
      <c r="X660" s="39">
        <f>(VLOOKUP($A660,'The List'!$B1:$AR727,36,FALSE)-AVERAGE('The List'!AK2:AK727))/STDEV('The List'!AK2:AK727)</f>
        <v>0.8461382558974615</v>
      </c>
      <c r="Y660" s="39">
        <f>(VLOOKUP($A660,'The List'!$B1:$AR727,37,FALSE)-AVERAGE('The List'!AL2:AL727))/STDEV('The List'!AL2:AL727)*-1</f>
        <v>-7.0020968534768441E-2</v>
      </c>
      <c r="Z660" s="39">
        <f>(VLOOKUP($A660,'The List'!$B1:$AR727,38,FALSE)-AVERAGE('The List'!AM2:AM727))/STDEV('The List'!AM2:AM727)</f>
        <v>0.5976873143514978</v>
      </c>
      <c r="AA660" s="39">
        <f>(VLOOKUP($A660,'The List'!$B1:$AR727,39,FALSE)-AVERAGE('The List'!AN2:AN727))/STDEV('The List'!AN2:AN727)</f>
        <v>1.0646497648215614</v>
      </c>
      <c r="AB660" s="39">
        <f>(VLOOKUP($A660,'The List'!$B1:$AR727,40,FALSE)-AVERAGE('The List'!AO2:AO727))/STDEV('The List'!AO2:AO727)</f>
        <v>0.63223131619471051</v>
      </c>
      <c r="AC660" s="39">
        <f>(VLOOKUP($A660,'The List'!$B1:$AR727,42,FALSE)-AVERAGE('The List'!AQ2:AQ727))/STDEV('The List'!AQ2:AQ727)</f>
        <v>1.9387416376618369</v>
      </c>
      <c r="AD660" s="39">
        <f>(VLOOKUP($A660,'The List'!$B1:$AR727,43,FALSE)-AVERAGE('The List'!AR2:AR727))/STDEV('The List'!AR2:AR727)*-1</f>
        <v>1.5972900670740966</v>
      </c>
      <c r="AE660" s="39"/>
    </row>
    <row r="661" spans="1:31" ht="21.25" customHeight="1" x14ac:dyDescent="0.15">
      <c r="A661" s="8" t="s">
        <v>338</v>
      </c>
      <c r="B661" s="35" t="str">
        <f>VLOOKUP(A661,'Player Data'!A1:B734,2,FALSE)</f>
        <v>BOS</v>
      </c>
      <c r="C661" s="37">
        <f>(W661*Settings!$C$29)+(X661*Settings!$C$21)+(Y661*Settings!$C$22)+(AA661*Settings!$C$24)+(AB661*Settings!$C$25)+(Z661*Settings!$C$23)+(AC661*Settings!$C$26)+(AD661*Settings!$C$28)</f>
        <v>2.2720869392039127</v>
      </c>
      <c r="D661" s="41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>
        <f>(VLOOKUP($A661,'The List'!$B1:$AR727,35,FALSE)-AVERAGE('The List'!AJ2:AJ727))/STDEV('The List'!AJ2:AJ727)</f>
        <v>8.738118630869833E-2</v>
      </c>
      <c r="X661" s="39">
        <f>(VLOOKUP($A661,'The List'!$B1:$AR727,36,FALSE)-AVERAGE('The List'!AK2:AK727))/STDEV('The List'!AK2:AK727)</f>
        <v>0.26918496149380555</v>
      </c>
      <c r="Y661" s="39">
        <f>(VLOOKUP($A661,'The List'!$B1:$AR727,37,FALSE)-AVERAGE('The List'!AL2:AL727))/STDEV('The List'!AL2:AL727)*-1</f>
        <v>0.20905211513539074</v>
      </c>
      <c r="Z661" s="39">
        <f>(VLOOKUP($A661,'The List'!$B1:$AR727,38,FALSE)-AVERAGE('The List'!AM2:AM727))/STDEV('The List'!AM2:AM727)</f>
        <v>8.738118630869833E-2</v>
      </c>
      <c r="AA661" s="39">
        <f>(VLOOKUP($A661,'The List'!$B1:$AR727,39,FALSE)-AVERAGE('The List'!AN2:AN727))/STDEV('The List'!AN2:AN727)</f>
        <v>0.25577303732091933</v>
      </c>
      <c r="AB661" s="39">
        <f>(VLOOKUP($A661,'The List'!$B1:$AR727,40,FALSE)-AVERAGE('The List'!AO2:AO727))/STDEV('The List'!AO2:AO727)</f>
        <v>0.10763015952768804</v>
      </c>
      <c r="AC661" s="39">
        <f>(VLOOKUP($A661,'The List'!$B1:$AR727,42,FALSE)-AVERAGE('The List'!AQ2:AQ727))/STDEV('The List'!AQ2:AQ727)</f>
        <v>0.98172022926776659</v>
      </c>
      <c r="AD661" s="39">
        <f>(VLOOKUP($A661,'The List'!$B1:$AR727,43,FALSE)-AVERAGE('The List'!AR2:AR727))/STDEV('The List'!AR2:AR727)*-1</f>
        <v>0.76540871112142106</v>
      </c>
      <c r="AE661" s="39"/>
    </row>
    <row r="662" spans="1:31" ht="21.25" customHeight="1" x14ac:dyDescent="0.15">
      <c r="A662" s="8" t="s">
        <v>277</v>
      </c>
      <c r="B662" s="35" t="str">
        <f>VLOOKUP(A662,'Player Data'!A1:B734,2,FALSE)</f>
        <v>BUF</v>
      </c>
      <c r="C662" s="37">
        <f>(W662*Settings!$C$29)+(X662*Settings!$C$21)+(Y662*Settings!$C$22)+(AA662*Settings!$C$24)+(AB662*Settings!$C$25)+(Z662*Settings!$C$23)+(AC662*Settings!$C$26)+(AD662*Settings!$C$28)</f>
        <v>0.56052984219011248</v>
      </c>
      <c r="D662" s="41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>
        <f>(VLOOKUP($A662,'The List'!$B1:$AR727,35,FALSE)-AVERAGE('The List'!AJ2:AJ727))/STDEV('The List'!AJ2:AJ727)</f>
        <v>0.72526384636219765</v>
      </c>
      <c r="X662" s="39">
        <f>(VLOOKUP($A662,'The List'!$B1:$AR727,36,FALSE)-AVERAGE('The List'!AK2:AK727))/STDEV('The List'!AK2:AK727)</f>
        <v>0.5035140268050885</v>
      </c>
      <c r="Y662" s="39">
        <f>(VLOOKUP($A662,'The List'!$B1:$AR727,37,FALSE)-AVERAGE('The List'!AL2:AL727))/STDEV('The List'!AL2:AL727)*-1</f>
        <v>-0.87365819416337309</v>
      </c>
      <c r="Z662" s="39">
        <f>(VLOOKUP($A662,'The List'!$B1:$AR727,38,FALSE)-AVERAGE('The List'!AM2:AM727))/STDEV('The List'!AM2:AM727)</f>
        <v>0.72526384636219765</v>
      </c>
      <c r="AA662" s="39">
        <f>(VLOOKUP($A662,'The List'!$B1:$AR727,39,FALSE)-AVERAGE('The List'!AN2:AN727))/STDEV('The List'!AN2:AN727)</f>
        <v>0.21966562600422773</v>
      </c>
      <c r="AB662" s="39">
        <f>(VLOOKUP($A662,'The List'!$B1:$AR727,40,FALSE)-AVERAGE('The List'!AO2:AO727))/STDEV('The List'!AO2:AO727)</f>
        <v>0.73108465435799141</v>
      </c>
      <c r="AC662" s="39">
        <f>(VLOOKUP($A662,'The List'!$B1:$AR727,42,FALSE)-AVERAGE('The List'!AQ2:AQ727))/STDEV('The List'!AQ2:AQ727)</f>
        <v>-2.1580232922670858E-2</v>
      </c>
      <c r="AD662" s="39">
        <f>(VLOOKUP($A662,'The List'!$B1:$AR727,43,FALSE)-AVERAGE('The List'!AR2:AR727))/STDEV('The List'!AR2:AR727)*-1</f>
        <v>-0.14106957769653283</v>
      </c>
      <c r="AE662" s="39"/>
    </row>
    <row r="663" spans="1:31" ht="21.25" customHeight="1" x14ac:dyDescent="0.15">
      <c r="A663" s="8" t="s">
        <v>746</v>
      </c>
      <c r="B663" s="35" t="str">
        <f>VLOOKUP(A663,'Player Data'!A1:B734,2,FALSE)</f>
        <v>BUF</v>
      </c>
      <c r="C663" s="37">
        <f>(W663*Settings!$C$29)+(X663*Settings!$C$21)+(Y663*Settings!$C$22)+(AA663*Settings!$C$24)+(AB663*Settings!$C$25)+(Z663*Settings!$C$23)+(AC663*Settings!$C$26)+(AD663*Settings!$C$28)</f>
        <v>-3.3858168464424274</v>
      </c>
      <c r="D663" s="41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>
        <f>(VLOOKUP($A663,'The List'!$B1:$AR727,35,FALSE)-AVERAGE('The List'!AJ2:AJ727))/STDEV('The List'!AJ2:AJ727)</f>
        <v>-0.93323106977690062</v>
      </c>
      <c r="X663" s="39">
        <f>(VLOOKUP($A663,'The List'!$B1:$AR727,36,FALSE)-AVERAGE('The List'!AK2:AK727))/STDEV('The List'!AK2:AK727)</f>
        <v>-0.90208074289917473</v>
      </c>
      <c r="Y663" s="39">
        <f>(VLOOKUP($A663,'The List'!$B1:$AR727,37,FALSE)-AVERAGE('The List'!AL2:AL727))/STDEV('The List'!AL2:AL727)*-1</f>
        <v>0.74103213776178511</v>
      </c>
      <c r="Z663" s="39">
        <f>(VLOOKUP($A663,'The List'!$B1:$AR727,38,FALSE)-AVERAGE('The List'!AM2:AM727))/STDEV('The List'!AM2:AM727)</f>
        <v>-0.93323106977690062</v>
      </c>
      <c r="AA663" s="39">
        <f>(VLOOKUP($A663,'The List'!$B1:$AR727,39,FALSE)-AVERAGE('The List'!AN2:AN727))/STDEV('The List'!AN2:AN727)</f>
        <v>-0.86485224858984611</v>
      </c>
      <c r="AB663" s="39">
        <f>(VLOOKUP($A663,'The List'!$B1:$AR727,40,FALSE)-AVERAGE('The List'!AO2:AO727))/STDEV('The List'!AO2:AO727)</f>
        <v>-0.91924049149212739</v>
      </c>
      <c r="AC663" s="39">
        <f>(VLOOKUP($A663,'The List'!$B1:$AR727,42,FALSE)-AVERAGE('The List'!AQ2:AQ727))/STDEV('The List'!AQ2:AQ727)</f>
        <v>-0.79976203216295583</v>
      </c>
      <c r="AD663" s="39">
        <f>(VLOOKUP($A663,'The List'!$B1:$AR727,43,FALSE)-AVERAGE('The List'!AR2:AR727))/STDEV('The List'!AR2:AR727)*-1</f>
        <v>-0.81912182279045098</v>
      </c>
      <c r="AE663" s="39"/>
    </row>
    <row r="664" spans="1:31" ht="21.25" customHeight="1" x14ac:dyDescent="0.15">
      <c r="A664" s="8" t="s">
        <v>803</v>
      </c>
      <c r="B664" s="35" t="str">
        <f>VLOOKUP(A664,'Player Data'!A1:B734,2,FALSE)</f>
        <v>BUF</v>
      </c>
      <c r="C664" s="37">
        <f>(W664*Settings!$C$29)+(X664*Settings!$C$21)+(Y664*Settings!$C$22)+(AA664*Settings!$C$24)+(AB664*Settings!$C$25)+(Z664*Settings!$C$23)+(AC664*Settings!$C$26)+(AD664*Settings!$C$28)</f>
        <v>-4.2789079918420327</v>
      </c>
      <c r="D664" s="41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>
        <f>(VLOOKUP($A664,'The List'!$B1:$AR727,35,FALSE)-AVERAGE('The List'!AJ2:AJ727))/STDEV('The List'!AJ2:AJ727)</f>
        <v>-1.2521723998036502</v>
      </c>
      <c r="X664" s="39">
        <f>(VLOOKUP($A664,'The List'!$B1:$AR727,36,FALSE)-AVERAGE('The List'!AK2:AK727))/STDEV('The List'!AK2:AK727)</f>
        <v>-1.1727331628289852</v>
      </c>
      <c r="Y664" s="39">
        <f>(VLOOKUP($A664,'The List'!$B1:$AR727,37,FALSE)-AVERAGE('The List'!AL2:AL727))/STDEV('The List'!AL2:AL727)*-1</f>
        <v>1.0510283703260976</v>
      </c>
      <c r="Z664" s="39">
        <f>(VLOOKUP($A664,'The List'!$B1:$AR727,38,FALSE)-AVERAGE('The List'!AM2:AM727))/STDEV('The List'!AM2:AM727)</f>
        <v>-1.2521723998036502</v>
      </c>
      <c r="AA664" s="39">
        <f>(VLOOKUP($A664,'The List'!$B1:$AR727,39,FALSE)-AVERAGE('The List'!AN2:AN727))/STDEV('The List'!AN2:AN727)</f>
        <v>-1.039073953928991</v>
      </c>
      <c r="AB664" s="39">
        <f>(VLOOKUP($A664,'The List'!$B1:$AR727,40,FALSE)-AVERAGE('The List'!AO2:AO727))/STDEV('The List'!AO2:AO727)</f>
        <v>-1.2352992761800055</v>
      </c>
      <c r="AC664" s="39">
        <f>(VLOOKUP($A664,'The List'!$B1:$AR727,42,FALSE)-AVERAGE('The List'!AQ2:AQ727))/STDEV('The List'!AQ2:AQ727)</f>
        <v>-1.0392800742884454</v>
      </c>
      <c r="AD664" s="39">
        <f>(VLOOKUP($A664,'The List'!$B1:$AR727,43,FALSE)-AVERAGE('The List'!AR2:AR727))/STDEV('The List'!AR2:AR727)*-1</f>
        <v>-1.0278208007956118</v>
      </c>
      <c r="AE664" s="39"/>
    </row>
    <row r="665" spans="1:31" ht="21.25" customHeight="1" x14ac:dyDescent="0.15">
      <c r="A665" s="8" t="s">
        <v>297</v>
      </c>
      <c r="B665" s="35" t="str">
        <f>VLOOKUP(A665,'Player Data'!A1:B734,2,FALSE)</f>
        <v>CAR</v>
      </c>
      <c r="C665" s="37">
        <f>(W665*Settings!$C$29)+(X665*Settings!$C$21)+(Y665*Settings!$C$22)+(AA665*Settings!$C$24)+(AB665*Settings!$C$25)+(Z665*Settings!$C$23)+(AC665*Settings!$C$26)+(AD665*Settings!$C$28)</f>
        <v>2.8414399991309596</v>
      </c>
      <c r="D665" s="41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>
        <f>(VLOOKUP($A665,'The List'!$B1:$AR727,35,FALSE)-AVERAGE('The List'!AJ2:AJ727))/STDEV('The List'!AJ2:AJ727)</f>
        <v>0.40632251633544803</v>
      </c>
      <c r="X665" s="39">
        <f>(VLOOKUP($A665,'The List'!$B1:$AR727,36,FALSE)-AVERAGE('The List'!AK2:AK727))/STDEV('The List'!AK2:AK727)</f>
        <v>0.94730408010014633</v>
      </c>
      <c r="Y665" s="39">
        <f>(VLOOKUP($A665,'The List'!$B1:$AR727,37,FALSE)-AVERAGE('The List'!AL2:AL727))/STDEV('The List'!AL2:AL727)*-1</f>
        <v>0.51324803718046019</v>
      </c>
      <c r="Z665" s="39">
        <f>(VLOOKUP($A665,'The List'!$B1:$AR727,38,FALSE)-AVERAGE('The List'!AM2:AM727))/STDEV('The List'!AM2:AM727)</f>
        <v>0.40632251633544803</v>
      </c>
      <c r="AA665" s="39">
        <f>(VLOOKUP($A665,'The List'!$B1:$AR727,39,FALSE)-AVERAGE('The List'!AN2:AN727))/STDEV('The List'!AN2:AN727)</f>
        <v>0.56182687251752683</v>
      </c>
      <c r="AB665" s="39">
        <f>(VLOOKUP($A665,'The List'!$B1:$AR727,40,FALSE)-AVERAGE('The List'!AO2:AO727))/STDEV('The List'!AO2:AO727)</f>
        <v>0.29584433744189198</v>
      </c>
      <c r="AC665" s="39">
        <f>(VLOOKUP($A665,'The List'!$B1:$AR727,42,FALSE)-AVERAGE('The List'!AQ2:AQ727))/STDEV('The List'!AQ2:AQ727)</f>
        <v>0.41526439483871902</v>
      </c>
      <c r="AD665" s="39">
        <f>(VLOOKUP($A665,'The List'!$B1:$AR727,43,FALSE)-AVERAGE('The List'!AR2:AR727))/STDEV('The List'!AR2:AR727)*-1</f>
        <v>0.91704465167456728</v>
      </c>
      <c r="AE665" s="39"/>
    </row>
    <row r="666" spans="1:31" ht="21.25" customHeight="1" x14ac:dyDescent="0.15">
      <c r="A666" s="8" t="s">
        <v>721</v>
      </c>
      <c r="B666" s="35" t="str">
        <f>VLOOKUP(A666,'Player Data'!A1:B734,2,FALSE)</f>
        <v>CAR</v>
      </c>
      <c r="C666" s="37">
        <f>(W666*Settings!$C$29)+(X666*Settings!$C$21)+(Y666*Settings!$C$22)+(AA666*Settings!$C$24)+(AB666*Settings!$C$25)+(Z666*Settings!$C$23)+(AC666*Settings!$C$26)+(AD666*Settings!$C$28)</f>
        <v>-1.9465696650724023</v>
      </c>
      <c r="D666" s="41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>
        <f>(VLOOKUP($A666,'The List'!$B1:$AR727,35,FALSE)-AVERAGE('The List'!AJ2:AJ727))/STDEV('The List'!AJ2:AJ727)</f>
        <v>-0.8694428037715507</v>
      </c>
      <c r="X666" s="39">
        <f>(VLOOKUP($A666,'The List'!$B1:$AR727,36,FALSE)-AVERAGE('The List'!AK2:AK727))/STDEV('The List'!AK2:AK727)</f>
        <v>-0.50200496808431605</v>
      </c>
      <c r="Y666" s="39">
        <f>(VLOOKUP($A666,'The List'!$B1:$AR727,37,FALSE)-AVERAGE('The List'!AL2:AL727))/STDEV('The List'!AL2:AL727)*-1</f>
        <v>1.200491170517642</v>
      </c>
      <c r="Z666" s="39">
        <f>(VLOOKUP($A666,'The List'!$B1:$AR727,38,FALSE)-AVERAGE('The List'!AM2:AM727))/STDEV('The List'!AM2:AM727)</f>
        <v>-0.8694428037715507</v>
      </c>
      <c r="AA666" s="39">
        <f>(VLOOKUP($A666,'The List'!$B1:$AR727,39,FALSE)-AVERAGE('The List'!AN2:AN727))/STDEV('The List'!AN2:AN727)</f>
        <v>-0.64401978378105496</v>
      </c>
      <c r="AB666" s="39">
        <f>(VLOOKUP($A666,'The List'!$B1:$AR727,40,FALSE)-AVERAGE('The List'!AO2:AO727))/STDEV('The List'!AO2:AO727)</f>
        <v>-0.92007090575588413</v>
      </c>
      <c r="AC666" s="39">
        <f>(VLOOKUP($A666,'The List'!$B1:$AR727,42,FALSE)-AVERAGE('The List'!AQ2:AQ727))/STDEV('The List'!AQ2:AQ727)</f>
        <v>-0.75084599808708963</v>
      </c>
      <c r="AD666" s="39">
        <f>(VLOOKUP($A666,'The List'!$B1:$AR727,43,FALSE)-AVERAGE('The List'!AR2:AR727))/STDEV('The List'!AR2:AR727)*-1</f>
        <v>-4.9698915119941588E-2</v>
      </c>
      <c r="AE666" s="39"/>
    </row>
    <row r="667" spans="1:31" ht="21.25" customHeight="1" x14ac:dyDescent="0.15">
      <c r="A667" s="8" t="s">
        <v>717</v>
      </c>
      <c r="B667" s="35" t="str">
        <f>VLOOKUP(A667,'Player Data'!A1:B734,2,FALSE)</f>
        <v>CAR</v>
      </c>
      <c r="C667" s="37">
        <f>(W667*Settings!$C$29)+(X667*Settings!$C$21)+(Y667*Settings!$C$22)+(AA667*Settings!$C$24)+(AB667*Settings!$C$25)+(Z667*Settings!$C$23)+(AC667*Settings!$C$26)+(AD667*Settings!$C$28)</f>
        <v>-0.91501177524225619</v>
      </c>
      <c r="D667" s="41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>
        <f>(VLOOKUP($A667,'The List'!$B1:$AR727,35,FALSE)-AVERAGE('The List'!AJ2:AJ727))/STDEV('The List'!AJ2:AJ727)</f>
        <v>-0.93323106977690062</v>
      </c>
      <c r="X667" s="39">
        <f>(VLOOKUP($A667,'The List'!$B1:$AR727,36,FALSE)-AVERAGE('The List'!AK2:AK727))/STDEV('The List'!AK2:AK727)</f>
        <v>-0.52369766280712116</v>
      </c>
      <c r="Y667" s="39">
        <f>(VLOOKUP($A667,'The List'!$B1:$AR727,37,FALSE)-AVERAGE('The List'!AL2:AL727))/STDEV('The List'!AL2:AL727)*-1</f>
        <v>1.3113852978711089</v>
      </c>
      <c r="Z667" s="39">
        <f>(VLOOKUP($A667,'The List'!$B1:$AR727,38,FALSE)-AVERAGE('The List'!AM2:AM727))/STDEV('The List'!AM2:AM727)</f>
        <v>-0.93323106977690062</v>
      </c>
      <c r="AA667" s="39">
        <f>(VLOOKUP($A667,'The List'!$B1:$AR727,39,FALSE)-AVERAGE('The List'!AN2:AN727))/STDEV('The List'!AN2:AN727)</f>
        <v>-0.62807620295812705</v>
      </c>
      <c r="AB667" s="39">
        <f>(VLOOKUP($A667,'The List'!$B1:$AR727,40,FALSE)-AVERAGE('The List'!AO2:AO727))/STDEV('The List'!AO2:AO727)</f>
        <v>-0.96295776516612219</v>
      </c>
      <c r="AC667" s="39">
        <f>(VLOOKUP($A667,'The List'!$B1:$AR727,42,FALSE)-AVERAGE('The List'!AQ2:AQ727))/STDEV('The List'!AQ2:AQ727)</f>
        <v>-0.10810075144035189</v>
      </c>
      <c r="AD667" s="39">
        <f>(VLOOKUP($A667,'The List'!$B1:$AR727,43,FALSE)-AVERAGE('The List'!AR2:AR727))/STDEV('The List'!AR2:AR727)*-1</f>
        <v>0.34486284196334394</v>
      </c>
      <c r="AE667" s="39"/>
    </row>
    <row r="668" spans="1:31" ht="21.25" customHeight="1" x14ac:dyDescent="0.15">
      <c r="A668" s="8" t="s">
        <v>253</v>
      </c>
      <c r="B668" s="35" t="str">
        <f>VLOOKUP(A668,'Player Data'!A1:B734,2,FALSE)</f>
        <v>CBJ</v>
      </c>
      <c r="C668" s="37">
        <f>(W668*Settings!$C$29)+(X668*Settings!$C$21)+(Y668*Settings!$C$22)+(AA668*Settings!$C$24)+(AB668*Settings!$C$25)+(Z668*Settings!$C$23)+(AC668*Settings!$C$26)+(AD668*Settings!$C$28)</f>
        <v>-0.65119821050543081</v>
      </c>
      <c r="D668" s="41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>
        <f>(VLOOKUP($A668,'The List'!$B1:$AR727,35,FALSE)-AVERAGE('The List'!AJ2:AJ727))/STDEV('The List'!AJ2:AJ727)</f>
        <v>0.8528403783728975</v>
      </c>
      <c r="X668" s="39">
        <f>(VLOOKUP($A668,'The List'!$B1:$AR727,36,FALSE)-AVERAGE('The List'!AK2:AK727))/STDEV('The List'!AK2:AK727)</f>
        <v>0.34667541532019963</v>
      </c>
      <c r="Y668" s="39">
        <f>(VLOOKUP($A668,'The List'!$B1:$AR727,37,FALSE)-AVERAGE('The List'!AL2:AL727))/STDEV('The List'!AL2:AL727)*-1</f>
        <v>-1.3972527337408145</v>
      </c>
      <c r="Z668" s="39">
        <f>(VLOOKUP($A668,'The List'!$B1:$AR727,38,FALSE)-AVERAGE('The List'!AM2:AM727))/STDEV('The List'!AM2:AM727)</f>
        <v>0.8528403783728975</v>
      </c>
      <c r="AA668" s="39">
        <f>(VLOOKUP($A668,'The List'!$B1:$AR727,39,FALSE)-AVERAGE('The List'!AN2:AN727))/STDEV('The List'!AN2:AN727)</f>
        <v>-0.29397994328675764</v>
      </c>
      <c r="AB668" s="39">
        <f>(VLOOKUP($A668,'The List'!$B1:$AR727,40,FALSE)-AVERAGE('The List'!AO2:AO727))/STDEV('The List'!AO2:AO727)</f>
        <v>1.0944329528864871</v>
      </c>
      <c r="AC668" s="39">
        <f>(VLOOKUP($A668,'The List'!$B1:$AR727,42,FALSE)-AVERAGE('The List'!AQ2:AQ727))/STDEV('The List'!AQ2:AQ727)</f>
        <v>0.26228813429934666</v>
      </c>
      <c r="AD668" s="39">
        <f>(VLOOKUP($A668,'The List'!$B1:$AR727,43,FALSE)-AVERAGE('The List'!AR2:AR727))/STDEV('The List'!AR2:AR727)*-1</f>
        <v>-0.96618181683821946</v>
      </c>
      <c r="AE668" s="39"/>
    </row>
    <row r="669" spans="1:31" ht="21.25" customHeight="1" x14ac:dyDescent="0.15">
      <c r="A669" s="8" t="s">
        <v>647</v>
      </c>
      <c r="B669" s="35" t="str">
        <f>VLOOKUP(A669,'Player Data'!A1:B734,2,FALSE)</f>
        <v>CBJ</v>
      </c>
      <c r="C669" s="37">
        <f>(W669*Settings!$C$29)+(X669*Settings!$C$21)+(Y669*Settings!$C$22)+(AA669*Settings!$C$24)+(AB669*Settings!$C$25)+(Z669*Settings!$C$23)+(AC669*Settings!$C$26)+(AD669*Settings!$C$28)</f>
        <v>-3.888843831646315</v>
      </c>
      <c r="D669" s="41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>
        <f>(VLOOKUP($A669,'The List'!$B1:$AR727,35,FALSE)-AVERAGE('The List'!AJ2:AJ727))/STDEV('The List'!AJ2:AJ727)</f>
        <v>-0.614289739750151</v>
      </c>
      <c r="X669" s="39">
        <f>(VLOOKUP($A669,'The List'!$B1:$AR727,36,FALSE)-AVERAGE('The List'!AK2:AK727))/STDEV('The List'!AK2:AK727)</f>
        <v>-0.81739073966602149</v>
      </c>
      <c r="Y669" s="39">
        <f>(VLOOKUP($A669,'The List'!$B1:$AR727,37,FALSE)-AVERAGE('The List'!AL2:AL727))/STDEV('The List'!AL2:AL727)*-1</f>
        <v>0.15072672224272229</v>
      </c>
      <c r="Z669" s="39">
        <f>(VLOOKUP($A669,'The List'!$B1:$AR727,38,FALSE)-AVERAGE('The List'!AM2:AM727))/STDEV('The List'!AM2:AM727)</f>
        <v>-0.614289739750151</v>
      </c>
      <c r="AA669" s="39">
        <f>(VLOOKUP($A669,'The List'!$B1:$AR727,39,FALSE)-AVERAGE('The List'!AN2:AN727))/STDEV('The List'!AN2:AN727)</f>
        <v>-0.95244994698046415</v>
      </c>
      <c r="AB669" s="39">
        <f>(VLOOKUP($A669,'The List'!$B1:$AR727,40,FALSE)-AVERAGE('The List'!AO2:AO727))/STDEV('The List'!AO2:AO727)</f>
        <v>-0.49921963112469253</v>
      </c>
      <c r="AC669" s="39">
        <f>(VLOOKUP($A669,'The List'!$B1:$AR727,42,FALSE)-AVERAGE('The List'!AQ2:AQ727))/STDEV('The List'!AQ2:AQ727)</f>
        <v>-0.55052390760953274</v>
      </c>
      <c r="AD669" s="39">
        <f>(VLOOKUP($A669,'The List'!$B1:$AR727,43,FALSE)-AVERAGE('The List'!AR2:AR727))/STDEV('The List'!AR2:AR727)*-1</f>
        <v>-1.5684792373902967</v>
      </c>
      <c r="AE669" s="39"/>
    </row>
    <row r="670" spans="1:31" ht="21.25" customHeight="1" x14ac:dyDescent="0.15">
      <c r="A670" s="8" t="s">
        <v>212</v>
      </c>
      <c r="B670" s="35" t="str">
        <f>VLOOKUP(A670,'Player Data'!A1:B734,2,FALSE)</f>
        <v>CGY</v>
      </c>
      <c r="C670" s="37">
        <f>(W670*Settings!$C$29)+(X670*Settings!$C$21)+(Y670*Settings!$C$22)+(AA670*Settings!$C$24)+(AB670*Settings!$C$25)+(Z670*Settings!$C$23)+(AC670*Settings!$C$26)+(AD670*Settings!$C$28)</f>
        <v>3.8095844276199644</v>
      </c>
      <c r="D670" s="41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>
        <f>(VLOOKUP($A670,'The List'!$B1:$AR727,35,FALSE)-AVERAGE('The List'!AJ2:AJ727))/STDEV('The List'!AJ2:AJ727)</f>
        <v>1.2355699744049971</v>
      </c>
      <c r="X670" s="39">
        <f>(VLOOKUP($A670,'The List'!$B1:$AR727,36,FALSE)-AVERAGE('The List'!AK2:AK727))/STDEV('The List'!AK2:AK727)</f>
        <v>1.3654953019383629</v>
      </c>
      <c r="Y670" s="39">
        <f>(VLOOKUP($A670,'The List'!$B1:$AR727,37,FALSE)-AVERAGE('The List'!AL2:AL727))/STDEV('The List'!AL2:AL727)*-1</f>
        <v>-0.72309629127660713</v>
      </c>
      <c r="Z670" s="39">
        <f>(VLOOKUP($A670,'The List'!$B1:$AR727,38,FALSE)-AVERAGE('The List'!AM2:AM727))/STDEV('The List'!AM2:AM727)</f>
        <v>1.2355699744049971</v>
      </c>
      <c r="AA670" s="39">
        <f>(VLOOKUP($A670,'The List'!$B1:$AR727,39,FALSE)-AVERAGE('The List'!AN2:AN727))/STDEV('The List'!AN2:AN727)</f>
        <v>1.1768911080116553</v>
      </c>
      <c r="AB670" s="39">
        <f>(VLOOKUP($A670,'The List'!$B1:$AR727,40,FALSE)-AVERAGE('The List'!AO2:AO727))/STDEV('The List'!AO2:AO727)</f>
        <v>1.0733743452813045</v>
      </c>
      <c r="AC670" s="39">
        <f>(VLOOKUP($A670,'The List'!$B1:$AR727,42,FALSE)-AVERAGE('The List'!AQ2:AQ727))/STDEV('The List'!AQ2:AQ727)</f>
        <v>0.36672790292565233</v>
      </c>
      <c r="AD670" s="39">
        <f>(VLOOKUP($A670,'The List'!$B1:$AR727,43,FALSE)-AVERAGE('The List'!AR2:AR727))/STDEV('The List'!AR2:AR727)*-1</f>
        <v>0.9004701147442935</v>
      </c>
      <c r="AE670" s="39"/>
    </row>
    <row r="671" spans="1:31" ht="21.25" customHeight="1" x14ac:dyDescent="0.15">
      <c r="A671" s="8" t="s">
        <v>793</v>
      </c>
      <c r="B671" s="35" t="str">
        <f>VLOOKUP(A671,'Player Data'!A1:B734,2,FALSE)</f>
        <v>CGY</v>
      </c>
      <c r="C671" s="37">
        <f>(W671*Settings!$C$29)+(X671*Settings!$C$21)+(Y671*Settings!$C$22)+(AA671*Settings!$C$24)+(AB671*Settings!$C$25)+(Z671*Settings!$C$23)+(AC671*Settings!$C$26)+(AD671*Settings!$C$28)</f>
        <v>-2.7568642110507016</v>
      </c>
      <c r="D671" s="41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>
        <f>(VLOOKUP($A671,'The List'!$B1:$AR727,35,FALSE)-AVERAGE('The List'!AJ2:AJ727))/STDEV('The List'!AJ2:AJ727)</f>
        <v>-1.1883841337983003</v>
      </c>
      <c r="X671" s="39">
        <f>(VLOOKUP($A671,'The List'!$B1:$AR727,36,FALSE)-AVERAGE('The List'!AK2:AK727))/STDEV('The List'!AK2:AK727)</f>
        <v>-1.0204072098802099</v>
      </c>
      <c r="Y671" s="39">
        <f>(VLOOKUP($A671,'The List'!$B1:$AR727,37,FALSE)-AVERAGE('The List'!AL2:AL727))/STDEV('The List'!AL2:AL727)*-1</f>
        <v>1.1370433955341912</v>
      </c>
      <c r="Z671" s="39">
        <f>(VLOOKUP($A671,'The List'!$B1:$AR727,38,FALSE)-AVERAGE('The List'!AM2:AM727))/STDEV('The List'!AM2:AM727)</f>
        <v>-1.1883841337983003</v>
      </c>
      <c r="AA671" s="39">
        <f>(VLOOKUP($A671,'The List'!$B1:$AR727,39,FALSE)-AVERAGE('The List'!AN2:AN727))/STDEV('The List'!AN2:AN727)</f>
        <v>-0.83309017009260822</v>
      </c>
      <c r="AB671" s="39">
        <f>(VLOOKUP($A671,'The List'!$B1:$AR727,40,FALSE)-AVERAGE('The List'!AO2:AO727))/STDEV('The List'!AO2:AO727)</f>
        <v>-1.2216450968087169</v>
      </c>
      <c r="AC671" s="39">
        <f>(VLOOKUP($A671,'The List'!$B1:$AR727,42,FALSE)-AVERAGE('The List'!AQ2:AQ727))/STDEV('The List'!AQ2:AQ727)</f>
        <v>-0.82095686804936185</v>
      </c>
      <c r="AD671" s="39">
        <f>(VLOOKUP($A671,'The List'!$B1:$AR727,43,FALSE)-AVERAGE('The List'!AR2:AR727))/STDEV('The List'!AR2:AR727)*-1</f>
        <v>-8.2409963028521716E-2</v>
      </c>
      <c r="AE671" s="39"/>
    </row>
    <row r="672" spans="1:31" ht="21.25" customHeight="1" x14ac:dyDescent="0.15">
      <c r="A672" s="8" t="s">
        <v>818</v>
      </c>
      <c r="B672" s="35" t="str">
        <f>VLOOKUP(A672,'Player Data'!A1:B734,2,FALSE)</f>
        <v>CGY</v>
      </c>
      <c r="C672" s="37">
        <f>(W672*Settings!$C$29)+(X672*Settings!$C$21)+(Y672*Settings!$C$22)+(AA672*Settings!$C$24)+(AB672*Settings!$C$25)+(Z672*Settings!$C$23)+(AC672*Settings!$C$26)+(AD672*Settings!$C$28)</f>
        <v>-1.9337235276694118</v>
      </c>
      <c r="D672" s="41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>
        <f>(VLOOKUP($A672,'The List'!$B1:$AR727,35,FALSE)-AVERAGE('The List'!AJ2:AJ727))/STDEV('The List'!AJ2:AJ727)</f>
        <v>-1.4435371978197</v>
      </c>
      <c r="X672" s="39">
        <f>(VLOOKUP($A672,'The List'!$B1:$AR727,36,FALSE)-AVERAGE('The List'!AK2:AK727))/STDEV('The List'!AK2:AK727)</f>
        <v>-1.2072779643529765</v>
      </c>
      <c r="Y672" s="39">
        <f>(VLOOKUP($A672,'The List'!$B1:$AR727,37,FALSE)-AVERAGE('The List'!AL2:AL727))/STDEV('The List'!AL2:AL727)*-1</f>
        <v>1.4297348881394023</v>
      </c>
      <c r="Z672" s="39">
        <f>(VLOOKUP($A672,'The List'!$B1:$AR727,38,FALSE)-AVERAGE('The List'!AM2:AM727))/STDEV('The List'!AM2:AM727)</f>
        <v>-1.4435371978197</v>
      </c>
      <c r="AA672" s="39">
        <f>(VLOOKUP($A672,'The List'!$B1:$AR727,39,FALSE)-AVERAGE('The List'!AN2:AN727))/STDEV('The List'!AN2:AN727)</f>
        <v>-0.9072219363500853</v>
      </c>
      <c r="AB672" s="39">
        <f>(VLOOKUP($A672,'The List'!$B1:$AR727,40,FALSE)-AVERAGE('The List'!AO2:AO727))/STDEV('The List'!AO2:AO727)</f>
        <v>-1.4579770058932917</v>
      </c>
      <c r="AC672" s="39">
        <f>(VLOOKUP($A672,'The List'!$B1:$AR727,42,FALSE)-AVERAGE('The List'!AQ2:AQ727))/STDEV('The List'!AQ2:AQ727)</f>
        <v>-0.22773783853170565</v>
      </c>
      <c r="AD672" s="39">
        <f>(VLOOKUP($A672,'The List'!$B1:$AR727,43,FALSE)-AVERAGE('The List'!AR2:AR727))/STDEV('The List'!AR2:AR727)*-1</f>
        <v>0.40851421156535572</v>
      </c>
      <c r="AE672" s="39"/>
    </row>
    <row r="673" spans="1:31" ht="21.25" customHeight="1" x14ac:dyDescent="0.15">
      <c r="A673" s="8" t="s">
        <v>436</v>
      </c>
      <c r="B673" s="35" t="str">
        <f>VLOOKUP(A673,'Player Data'!A1:B734,2,FALSE)</f>
        <v>CHI</v>
      </c>
      <c r="C673" s="37">
        <f>(W673*Settings!$C$29)+(X673*Settings!$C$21)+(Y673*Settings!$C$22)+(AA673*Settings!$C$24)+(AB673*Settings!$C$25)+(Z673*Settings!$C$23)+(AC673*Settings!$C$26)+(AD673*Settings!$C$28)</f>
        <v>-2.4499873517748494</v>
      </c>
      <c r="D673" s="41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>
        <f>(VLOOKUP($A673,'The List'!$B1:$AR727,35,FALSE)-AVERAGE('The List'!AJ2:AJ727))/STDEV('The List'!AJ2:AJ727)</f>
        <v>0.34253425033009804</v>
      </c>
      <c r="X673" s="39">
        <f>(VLOOKUP($A673,'The List'!$B1:$AR727,36,FALSE)-AVERAGE('The List'!AK2:AK727))/STDEV('The List'!AK2:AK727)</f>
        <v>-0.3630168932214804</v>
      </c>
      <c r="Y673" s="39">
        <f>(VLOOKUP($A673,'The List'!$B1:$AR727,37,FALSE)-AVERAGE('The List'!AL2:AL727))/STDEV('The List'!AL2:AL727)*-1</f>
        <v>-1.3182628994722934</v>
      </c>
      <c r="Z673" s="39">
        <f>(VLOOKUP($A673,'The List'!$B1:$AR727,38,FALSE)-AVERAGE('The List'!AM2:AM727))/STDEV('The List'!AM2:AM727)</f>
        <v>0.34253425033009804</v>
      </c>
      <c r="AA673" s="39">
        <f>(VLOOKUP($A673,'The List'!$B1:$AR727,39,FALSE)-AVERAGE('The List'!AN2:AN727))/STDEV('The List'!AN2:AN727)</f>
        <v>-0.2420947982972764</v>
      </c>
      <c r="AB673" s="39">
        <f>(VLOOKUP($A673,'The List'!$B1:$AR727,40,FALSE)-AVERAGE('The List'!AO2:AO727))/STDEV('The List'!AO2:AO727)</f>
        <v>0.31200592674193728</v>
      </c>
      <c r="AC673" s="39">
        <f>(VLOOKUP($A673,'The List'!$B1:$AR727,42,FALSE)-AVERAGE('The List'!AQ2:AQ727))/STDEV('The List'!AQ2:AQ727)</f>
        <v>-0.99832831782397091</v>
      </c>
      <c r="AD673" s="39">
        <f>(VLOOKUP($A673,'The List'!$B1:$AR727,43,FALSE)-AVERAGE('The List'!AR2:AR727))/STDEV('The List'!AR2:AR727)*-1</f>
        <v>-0.84654734243212193</v>
      </c>
      <c r="AE673" s="39"/>
    </row>
    <row r="674" spans="1:31" ht="21.25" customHeight="1" x14ac:dyDescent="0.15">
      <c r="A674" s="8" t="s">
        <v>475</v>
      </c>
      <c r="B674" s="35" t="str">
        <f>VLOOKUP(A674,'Player Data'!A1:B734,2,FALSE)</f>
        <v>CHI</v>
      </c>
      <c r="C674" s="37">
        <f>(W674*Settings!$C$29)+(X674*Settings!$C$21)+(Y674*Settings!$C$22)+(AA674*Settings!$C$24)+(AB674*Settings!$C$25)+(Z674*Settings!$C$23)+(AC674*Settings!$C$26)+(AD674*Settings!$C$28)</f>
        <v>-1.7456944361748596</v>
      </c>
      <c r="D674" s="41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>
        <f>(VLOOKUP($A674,'The List'!$B1:$AR727,35,FALSE)-AVERAGE('The List'!AJ2:AJ727))/STDEV('The List'!AJ2:AJ727)</f>
        <v>2.3592920303348388E-2</v>
      </c>
      <c r="X674" s="39">
        <f>(VLOOKUP($A674,'The List'!$B1:$AR727,36,FALSE)-AVERAGE('The List'!AK2:AK727))/STDEV('The List'!AK2:AK727)</f>
        <v>-0.52006429531612919</v>
      </c>
      <c r="Y674" s="39">
        <f>(VLOOKUP($A674,'The List'!$B1:$AR727,37,FALSE)-AVERAGE('The List'!AL2:AL727))/STDEV('The List'!AL2:AL727)*-1</f>
        <v>-0.83702491658765132</v>
      </c>
      <c r="Z674" s="39">
        <f>(VLOOKUP($A674,'The List'!$B1:$AR727,38,FALSE)-AVERAGE('The List'!AM2:AM727))/STDEV('The List'!AM2:AM727)</f>
        <v>2.3592920303348388E-2</v>
      </c>
      <c r="AA674" s="39">
        <f>(VLOOKUP($A674,'The List'!$B1:$AR727,39,FALSE)-AVERAGE('The List'!AN2:AN727))/STDEV('The List'!AN2:AN727)</f>
        <v>-0.31753710679464364</v>
      </c>
      <c r="AB674" s="39">
        <f>(VLOOKUP($A674,'The List'!$B1:$AR727,40,FALSE)-AVERAGE('The List'!AO2:AO727))/STDEV('The List'!AO2:AO727)</f>
        <v>3.1065677142782459E-2</v>
      </c>
      <c r="AC674" s="39">
        <f>(VLOOKUP($A674,'The List'!$B1:$AR727,42,FALSE)-AVERAGE('The List'!AQ2:AQ727))/STDEV('The List'!AQ2:AQ727)</f>
        <v>-0.41611311180172017</v>
      </c>
      <c r="AD674" s="39">
        <f>(VLOOKUP($A674,'The List'!$B1:$AR727,43,FALSE)-AVERAGE('The List'!AR2:AR727))/STDEV('The List'!AR2:AR727)*-1</f>
        <v>-0.49197992226236664</v>
      </c>
      <c r="AE674" s="39"/>
    </row>
    <row r="675" spans="1:31" ht="21.25" customHeight="1" x14ac:dyDescent="0.15">
      <c r="A675" s="8" t="s">
        <v>152</v>
      </c>
      <c r="B675" s="35" t="str">
        <f>VLOOKUP(A675,'Player Data'!A1:B734,2,FALSE)</f>
        <v>COL</v>
      </c>
      <c r="C675" s="37">
        <f>(W675*Settings!$C$29)+(X675*Settings!$C$21)+(Y675*Settings!$C$22)+(AA675*Settings!$C$24)+(AB675*Settings!$C$25)+(Z675*Settings!$C$23)+(AC675*Settings!$C$26)+(AD675*Settings!$C$28)</f>
        <v>6.1453115298394483</v>
      </c>
      <c r="D675" s="41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>
        <f>(VLOOKUP($A675,'The List'!$B1:$AR727,35,FALSE)-AVERAGE('The List'!AJ2:AJ727))/STDEV('The List'!AJ2:AJ727)</f>
        <v>1.3631465064156971</v>
      </c>
      <c r="X675" s="39">
        <f>(VLOOKUP($A675,'The List'!$B1:$AR727,36,FALSE)-AVERAGE('The List'!AK2:AK727))/STDEV('The List'!AK2:AK727)</f>
        <v>1.7226416149218691</v>
      </c>
      <c r="Y675" s="39">
        <f>(VLOOKUP($A675,'The List'!$B1:$AR727,37,FALSE)-AVERAGE('The List'!AL2:AL727))/STDEV('The List'!AL2:AL727)*-1</f>
        <v>-0.47193915367074929</v>
      </c>
      <c r="Z675" s="39">
        <f>(VLOOKUP($A675,'The List'!$B1:$AR727,38,FALSE)-AVERAGE('The List'!AM2:AM727))/STDEV('The List'!AM2:AM727)</f>
        <v>1.3631465064156971</v>
      </c>
      <c r="AA675" s="39">
        <f>(VLOOKUP($A675,'The List'!$B1:$AR727,39,FALSE)-AVERAGE('The List'!AN2:AN727))/STDEV('The List'!AN2:AN727)</f>
        <v>1.6281934453023985</v>
      </c>
      <c r="AB675" s="39">
        <f>(VLOOKUP($A675,'The List'!$B1:$AR727,40,FALSE)-AVERAGE('The List'!AO2:AO727))/STDEV('The List'!AO2:AO727)</f>
        <v>1.2952507105137971</v>
      </c>
      <c r="AC675" s="39">
        <f>(VLOOKUP($A675,'The List'!$B1:$AR727,42,FALSE)-AVERAGE('The List'!AQ2:AQ727))/STDEV('The List'!AQ2:AQ727)</f>
        <v>1.3639814655005744</v>
      </c>
      <c r="AD675" s="39">
        <f>(VLOOKUP($A675,'The List'!$B1:$AR727,43,FALSE)-AVERAGE('The List'!AR2:AR727))/STDEV('The List'!AR2:AR727)*-1</f>
        <v>1.4304950041146058</v>
      </c>
      <c r="AE675" s="39"/>
    </row>
    <row r="676" spans="1:31" ht="21.25" customHeight="1" x14ac:dyDescent="0.15">
      <c r="A676" s="8" t="s">
        <v>667</v>
      </c>
      <c r="B676" s="35" t="str">
        <f>VLOOKUP(A676,'Player Data'!A1:B734,2,FALSE)</f>
        <v>COL</v>
      </c>
      <c r="C676" s="37">
        <f>(W676*Settings!$C$29)+(X676*Settings!$C$21)+(Y676*Settings!$C$22)+(AA676*Settings!$C$24)+(AB676*Settings!$C$25)+(Z676*Settings!$C$23)+(AC676*Settings!$C$26)+(AD676*Settings!$C$28)</f>
        <v>-1.7684267908626452</v>
      </c>
      <c r="D676" s="41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>
        <f>(VLOOKUP($A676,'The List'!$B1:$AR727,35,FALSE)-AVERAGE('The List'!AJ2:AJ727))/STDEV('The List'!AJ2:AJ727)</f>
        <v>-0.67807800575550092</v>
      </c>
      <c r="X676" s="39">
        <f>(VLOOKUP($A676,'The List'!$B1:$AR727,36,FALSE)-AVERAGE('The List'!AK2:AK727))/STDEV('The List'!AK2:AK727)</f>
        <v>-0.44501232034172122</v>
      </c>
      <c r="Y676" s="39">
        <f>(VLOOKUP($A676,'The List'!$B1:$AR727,37,FALSE)-AVERAGE('The List'!AL2:AL727))/STDEV('The List'!AL2:AL727)*-1</f>
        <v>0.85562126089864099</v>
      </c>
      <c r="Z676" s="39">
        <f>(VLOOKUP($A676,'The List'!$B1:$AR727,38,FALSE)-AVERAGE('The List'!AM2:AM727))/STDEV('The List'!AM2:AM727)</f>
        <v>-0.67807800575550092</v>
      </c>
      <c r="AA676" s="39">
        <f>(VLOOKUP($A676,'The List'!$B1:$AR727,39,FALSE)-AVERAGE('The List'!AN2:AN727))/STDEV('The List'!AN2:AN727)</f>
        <v>-0.57580845656513413</v>
      </c>
      <c r="AB676" s="39">
        <f>(VLOOKUP($A676,'The List'!$B1:$AR727,40,FALSE)-AVERAGE('The List'!AO2:AO727))/STDEV('The List'!AO2:AO727)</f>
        <v>-0.70715044869874244</v>
      </c>
      <c r="AC676" s="39">
        <f>(VLOOKUP($A676,'The List'!$B1:$AR727,42,FALSE)-AVERAGE('The List'!AQ2:AQ727))/STDEV('The List'!AQ2:AQ727)</f>
        <v>-0.55360766835285691</v>
      </c>
      <c r="AD676" s="39">
        <f>(VLOOKUP($A676,'The List'!$B1:$AR727,43,FALSE)-AVERAGE('The List'!AR2:AR727))/STDEV('The List'!AR2:AR727)*-1</f>
        <v>-0.19399834560293283</v>
      </c>
      <c r="AE676" s="39"/>
    </row>
    <row r="677" spans="1:31" ht="21.25" customHeight="1" x14ac:dyDescent="0.15">
      <c r="A677" s="8" t="s">
        <v>124</v>
      </c>
      <c r="B677" s="35" t="str">
        <f>VLOOKUP(A677,'Player Data'!A1:B734,2,FALSE)</f>
        <v>DAL</v>
      </c>
      <c r="C677" s="37">
        <f>(W677*Settings!$C$29)+(X677*Settings!$C$21)+(Y677*Settings!$C$22)+(AA677*Settings!$C$24)+(AB677*Settings!$C$25)+(Z677*Settings!$C$23)+(AC677*Settings!$C$26)+(AD677*Settings!$C$28)</f>
        <v>9.0268979731067436</v>
      </c>
      <c r="D677" s="41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>
        <f>(VLOOKUP($A677,'The List'!$B1:$AR727,35,FALSE)-AVERAGE('The List'!AJ2:AJ727))/STDEV('The List'!AJ2:AJ727)</f>
        <v>1.7458761024477967</v>
      </c>
      <c r="X677" s="39">
        <f>(VLOOKUP($A677,'The List'!$B1:$AR727,36,FALSE)-AVERAGE('The List'!AK2:AK727))/STDEV('The List'!AK2:AK727)</f>
        <v>2.1721510221179789</v>
      </c>
      <c r="Y677" s="39">
        <f>(VLOOKUP($A677,'The List'!$B1:$AR727,37,FALSE)-AVERAGE('The List'!AL2:AL727))/STDEV('The List'!AL2:AL727)*-1</f>
        <v>-0.65592898704616676</v>
      </c>
      <c r="Z677" s="39">
        <f>(VLOOKUP($A677,'The List'!$B1:$AR727,38,FALSE)-AVERAGE('The List'!AM2:AM727))/STDEV('The List'!AM2:AM727)</f>
        <v>1.7458761024477967</v>
      </c>
      <c r="AA677" s="39">
        <f>(VLOOKUP($A677,'The List'!$B1:$AR727,39,FALSE)-AVERAGE('The List'!AN2:AN727))/STDEV('The List'!AN2:AN727)</f>
        <v>2.6073763688400651</v>
      </c>
      <c r="AB677" s="39">
        <f>(VLOOKUP($A677,'The List'!$B1:$AR727,40,FALSE)-AVERAGE('The List'!AO2:AO727))/STDEV('The List'!AO2:AO727)</f>
        <v>1.5569943388729683</v>
      </c>
      <c r="AC677" s="39">
        <f>(VLOOKUP($A677,'The List'!$B1:$AR727,42,FALSE)-AVERAGE('The List'!AQ2:AQ727))/STDEV('The List'!AQ2:AQ727)</f>
        <v>1.9366982735732032</v>
      </c>
      <c r="AD677" s="39">
        <f>(VLOOKUP($A677,'The List'!$B1:$AR727,43,FALSE)-AVERAGE('The List'!AR2:AR727))/STDEV('The List'!AR2:AR727)*-1</f>
        <v>2.3106723085754957</v>
      </c>
      <c r="AE677" s="39"/>
    </row>
    <row r="678" spans="1:31" ht="21.25" customHeight="1" x14ac:dyDescent="0.15">
      <c r="A678" s="8" t="s">
        <v>758</v>
      </c>
      <c r="B678" s="35" t="str">
        <f>VLOOKUP(A678,'Player Data'!A1:B734,2,FALSE)</f>
        <v>DAL</v>
      </c>
      <c r="C678" s="37">
        <f>(W678*Settings!$C$29)+(X678*Settings!$C$21)+(Y678*Settings!$C$22)+(AA678*Settings!$C$24)+(AB678*Settings!$C$25)+(Z678*Settings!$C$23)+(AC678*Settings!$C$26)+(AD678*Settings!$C$28)</f>
        <v>-1.453476357388545</v>
      </c>
      <c r="D678" s="41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>
        <f>(VLOOKUP($A678,'The List'!$B1:$AR727,35,FALSE)-AVERAGE('The List'!AJ2:AJ727))/STDEV('The List'!AJ2:AJ727)</f>
        <v>-1.0608076017876005</v>
      </c>
      <c r="X678" s="39">
        <f>(VLOOKUP($A678,'The List'!$B1:$AR727,36,FALSE)-AVERAGE('The List'!AK2:AK727))/STDEV('The List'!AK2:AK727)</f>
        <v>-0.80086754998031073</v>
      </c>
      <c r="Y678" s="39">
        <f>(VLOOKUP($A678,'The List'!$B1:$AR727,37,FALSE)-AVERAGE('The List'!AL2:AL727))/STDEV('The List'!AL2:AL727)*-1</f>
        <v>1.180780081307983</v>
      </c>
      <c r="Z678" s="39">
        <f>(VLOOKUP($A678,'The List'!$B1:$AR727,38,FALSE)-AVERAGE('The List'!AM2:AM727))/STDEV('The List'!AM2:AM727)</f>
        <v>-1.0608076017876005</v>
      </c>
      <c r="AA678" s="39">
        <f>(VLOOKUP($A678,'The List'!$B1:$AR727,39,FALSE)-AVERAGE('The List'!AN2:AN727))/STDEV('The List'!AN2:AN727)</f>
        <v>-0.65696446012304288</v>
      </c>
      <c r="AB678" s="39">
        <f>(VLOOKUP($A678,'The List'!$B1:$AR727,40,FALSE)-AVERAGE('The List'!AO2:AO727))/STDEV('The List'!AO2:AO727)</f>
        <v>-1.1092042409896112</v>
      </c>
      <c r="AC678" s="39">
        <f>(VLOOKUP($A678,'The List'!$B1:$AR727,42,FALSE)-AVERAGE('The List'!AQ2:AQ727))/STDEV('The List'!AQ2:AQ727)</f>
        <v>-0.39474984103365707</v>
      </c>
      <c r="AD678" s="39">
        <f>(VLOOKUP($A678,'The List'!$B1:$AR727,43,FALSE)-AVERAGE('The List'!AR2:AR727))/STDEV('The List'!AR2:AR727)*-1</f>
        <v>0.39910549374846549</v>
      </c>
      <c r="AE678" s="39"/>
    </row>
    <row r="679" spans="1:31" ht="21.25" customHeight="1" x14ac:dyDescent="0.15">
      <c r="A679" s="8" t="s">
        <v>296</v>
      </c>
      <c r="B679" s="35" t="str">
        <f>VLOOKUP(A679,'Player Data'!A1:B734,2,FALSE)</f>
        <v>DET</v>
      </c>
      <c r="C679" s="37">
        <f>(W679*Settings!$C$29)+(X679*Settings!$C$21)+(Y679*Settings!$C$22)+(AA679*Settings!$C$24)+(AB679*Settings!$C$25)+(Z679*Settings!$C$23)+(AC679*Settings!$C$26)+(AD679*Settings!$C$28)</f>
        <v>1.8629764906713109</v>
      </c>
      <c r="D679" s="41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>
        <f>(VLOOKUP($A679,'The List'!$B1:$AR727,35,FALSE)-AVERAGE('The List'!AJ2:AJ727))/STDEV('The List'!AJ2:AJ727)</f>
        <v>0.5976873143514978</v>
      </c>
      <c r="X679" s="39">
        <f>(VLOOKUP($A679,'The List'!$B1:$AR727,36,FALSE)-AVERAGE('The List'!AK2:AK727))/STDEV('The List'!AK2:AK727)</f>
        <v>0.33500857347951613</v>
      </c>
      <c r="Y679" s="39">
        <f>(VLOOKUP($A679,'The List'!$B1:$AR727,37,FALSE)-AVERAGE('The List'!AL2:AL727))/STDEV('The List'!AL2:AL727)*-1</f>
        <v>-0.84046881604905954</v>
      </c>
      <c r="Z679" s="39">
        <f>(VLOOKUP($A679,'The List'!$B1:$AR727,38,FALSE)-AVERAGE('The List'!AM2:AM727))/STDEV('The List'!AM2:AM727)</f>
        <v>0.5976873143514978</v>
      </c>
      <c r="AA679" s="39">
        <f>(VLOOKUP($A679,'The List'!$B1:$AR727,39,FALSE)-AVERAGE('The List'!AN2:AN727))/STDEV('The List'!AN2:AN727)</f>
        <v>0.55935648478457678</v>
      </c>
      <c r="AB679" s="39">
        <f>(VLOOKUP($A679,'The List'!$B1:$AR727,40,FALSE)-AVERAGE('The List'!AO2:AO727))/STDEV('The List'!AO2:AO727)</f>
        <v>0.51683498844383213</v>
      </c>
      <c r="AC679" s="39">
        <f>(VLOOKUP($A679,'The List'!$B1:$AR727,42,FALSE)-AVERAGE('The List'!AQ2:AQ727))/STDEV('The List'!AQ2:AQ727)</f>
        <v>0.33033985099750868</v>
      </c>
      <c r="AD679" s="39">
        <f>(VLOOKUP($A679,'The List'!$B1:$AR727,43,FALSE)-AVERAGE('The List'!AR2:AR727))/STDEV('The List'!AR2:AR727)*-1</f>
        <v>0.6382715814097093</v>
      </c>
      <c r="AE679" s="39"/>
    </row>
    <row r="680" spans="1:31" ht="21.25" customHeight="1" x14ac:dyDescent="0.15">
      <c r="A680" s="8" t="s">
        <v>761</v>
      </c>
      <c r="B680" s="35" t="str">
        <f>VLOOKUP(A680,'Player Data'!A1:B734,2,FALSE)</f>
        <v>DET</v>
      </c>
      <c r="C680" s="37">
        <f>(W680*Settings!$C$29)+(X680*Settings!$C$21)+(Y680*Settings!$C$22)+(AA680*Settings!$C$24)+(AB680*Settings!$C$25)+(Z680*Settings!$C$23)+(AC680*Settings!$C$26)+(AD680*Settings!$C$28)</f>
        <v>-3.5422546133699693</v>
      </c>
      <c r="D680" s="41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>
        <f>(VLOOKUP($A680,'The List'!$B1:$AR727,35,FALSE)-AVERAGE('The List'!AJ2:AJ727))/STDEV('The List'!AJ2:AJ727)</f>
        <v>-0.93323106977690062</v>
      </c>
      <c r="X680" s="39">
        <f>(VLOOKUP($A680,'The List'!$B1:$AR727,36,FALSE)-AVERAGE('The List'!AK2:AK727))/STDEV('The List'!AK2:AK727)</f>
        <v>-0.91333964585282834</v>
      </c>
      <c r="Y680" s="39">
        <f>(VLOOKUP($A680,'The List'!$B1:$AR727,37,FALSE)-AVERAGE('The List'!AL2:AL727))/STDEV('The List'!AL2:AL727)*-1</f>
        <v>0.72406110703435866</v>
      </c>
      <c r="Z680" s="39">
        <f>(VLOOKUP($A680,'The List'!$B1:$AR727,38,FALSE)-AVERAGE('The List'!AM2:AM727))/STDEV('The List'!AM2:AM727)</f>
        <v>-0.93323106977690062</v>
      </c>
      <c r="AA680" s="39">
        <f>(VLOOKUP($A680,'The List'!$B1:$AR727,39,FALSE)-AVERAGE('The List'!AN2:AN727))/STDEV('The List'!AN2:AN727)</f>
        <v>-0.81989294650495403</v>
      </c>
      <c r="AB680" s="39">
        <f>(VLOOKUP($A680,'The List'!$B1:$AR727,40,FALSE)-AVERAGE('The List'!AO2:AO727))/STDEV('The List'!AO2:AO727)</f>
        <v>-0.96455098424462604</v>
      </c>
      <c r="AC680" s="39">
        <f>(VLOOKUP($A680,'The List'!$B1:$AR727,42,FALSE)-AVERAGE('The List'!AQ2:AQ727))/STDEV('The List'!AQ2:AQ727)</f>
        <v>-1.1776267477563223</v>
      </c>
      <c r="AD680" s="39">
        <f>(VLOOKUP($A680,'The List'!$B1:$AR727,43,FALSE)-AVERAGE('The List'!AR2:AR727))/STDEV('The List'!AR2:AR727)*-1</f>
        <v>-0.63139527325586453</v>
      </c>
      <c r="AE680" s="39"/>
    </row>
    <row r="681" spans="1:31" ht="21.25" customHeight="1" x14ac:dyDescent="0.15">
      <c r="A681" s="8" t="s">
        <v>781</v>
      </c>
      <c r="B681" s="35" t="str">
        <f>VLOOKUP(A681,'Player Data'!A1:B734,2,FALSE)</f>
        <v>DET</v>
      </c>
      <c r="C681" s="37">
        <f>(W681*Settings!$C$29)+(X681*Settings!$C$21)+(Y681*Settings!$C$22)+(AA681*Settings!$C$24)+(AB681*Settings!$C$25)+(Z681*Settings!$C$23)+(AC681*Settings!$C$26)+(AD681*Settings!$C$28)</f>
        <v>-3.0529959195584508</v>
      </c>
      <c r="D681" s="41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>
        <f>(VLOOKUP($A681,'The List'!$B1:$AR727,35,FALSE)-AVERAGE('The List'!AJ2:AJ727))/STDEV('The List'!AJ2:AJ727)</f>
        <v>-1.0608076017876005</v>
      </c>
      <c r="X681" s="39">
        <f>(VLOOKUP($A681,'The List'!$B1:$AR727,36,FALSE)-AVERAGE('The List'!AK2:AK727))/STDEV('The List'!AK2:AK727)</f>
        <v>-1.0186837845720678</v>
      </c>
      <c r="Y681" s="39">
        <f>(VLOOKUP($A681,'The List'!$B1:$AR727,37,FALSE)-AVERAGE('The List'!AL2:AL727))/STDEV('The List'!AL2:AL727)*-1</f>
        <v>0.85245626277915465</v>
      </c>
      <c r="Z681" s="39">
        <f>(VLOOKUP($A681,'The List'!$B1:$AR727,38,FALSE)-AVERAGE('The List'!AM2:AM727))/STDEV('The List'!AM2:AM727)</f>
        <v>-1.0608076017876005</v>
      </c>
      <c r="AA681" s="39">
        <f>(VLOOKUP($A681,'The List'!$B1:$AR727,39,FALSE)-AVERAGE('The List'!AN2:AN727))/STDEV('The List'!AN2:AN727)</f>
        <v>-0.8204446900534802</v>
      </c>
      <c r="AB681" s="39">
        <f>(VLOOKUP($A681,'The List'!$B1:$AR727,40,FALSE)-AVERAGE('The List'!AO2:AO727))/STDEV('The List'!AO2:AO727)</f>
        <v>-1.0836313816015986</v>
      </c>
      <c r="AC681" s="39">
        <f>(VLOOKUP($A681,'The List'!$B1:$AR727,42,FALSE)-AVERAGE('The List'!AQ2:AQ727))/STDEV('The List'!AQ2:AQ727)</f>
        <v>-0.85451960029660179</v>
      </c>
      <c r="AD681" s="39">
        <f>(VLOOKUP($A681,'The List'!$B1:$AR727,43,FALSE)-AVERAGE('The List'!AR2:AR727))/STDEV('The List'!AR2:AR727)*-1</f>
        <v>-0.35934784463630093</v>
      </c>
      <c r="AE681" s="39"/>
    </row>
    <row r="682" spans="1:31" ht="21.25" customHeight="1" x14ac:dyDescent="0.15">
      <c r="A682" s="8" t="s">
        <v>217</v>
      </c>
      <c r="B682" s="35" t="str">
        <f>VLOOKUP(A682,'Player Data'!A1:B734,2,FALSE)</f>
        <v>EDM</v>
      </c>
      <c r="C682" s="37">
        <f>(W682*Settings!$C$29)+(X682*Settings!$C$21)+(Y682*Settings!$C$22)+(AA682*Settings!$C$24)+(AB682*Settings!$C$25)+(Z682*Settings!$C$23)+(AC682*Settings!$C$26)+(AD682*Settings!$C$28)</f>
        <v>4.4221652649285614</v>
      </c>
      <c r="D682" s="41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>
        <f>(VLOOKUP($A682,'The List'!$B1:$AR727,35,FALSE)-AVERAGE('The List'!AJ2:AJ727))/STDEV('The List'!AJ2:AJ727)</f>
        <v>0.8528403783728975</v>
      </c>
      <c r="X682" s="39">
        <f>(VLOOKUP($A682,'The List'!$B1:$AR727,36,FALSE)-AVERAGE('The List'!AK2:AK727))/STDEV('The List'!AK2:AK727)</f>
        <v>1.3351317660993927</v>
      </c>
      <c r="Y682" s="39">
        <f>(VLOOKUP($A682,'The List'!$B1:$AR727,37,FALSE)-AVERAGE('The List'!AL2:AL727))/STDEV('The List'!AL2:AL727)*-1</f>
        <v>9.2690218147754189E-2</v>
      </c>
      <c r="Z682" s="39">
        <f>(VLOOKUP($A682,'The List'!$B1:$AR727,38,FALSE)-AVERAGE('The List'!AM2:AM727))/STDEV('The List'!AM2:AM727)</f>
        <v>0.8528403783728975</v>
      </c>
      <c r="AA682" s="39">
        <f>(VLOOKUP($A682,'The List'!$B1:$AR727,39,FALSE)-AVERAGE('The List'!AN2:AN727))/STDEV('The List'!AN2:AN727)</f>
        <v>0.97493189315246342</v>
      </c>
      <c r="AB682" s="39">
        <f>(VLOOKUP($A682,'The List'!$B1:$AR727,40,FALSE)-AVERAGE('The List'!AO2:AO727))/STDEV('The List'!AO2:AO727)</f>
        <v>0.82217301188349168</v>
      </c>
      <c r="AC682" s="39">
        <f>(VLOOKUP($A682,'The List'!$B1:$AR727,42,FALSE)-AVERAGE('The List'!AQ2:AQ727))/STDEV('The List'!AQ2:AQ727)</f>
        <v>1.0625802761277836</v>
      </c>
      <c r="AD682" s="39">
        <f>(VLOOKUP($A682,'The List'!$B1:$AR727,43,FALSE)-AVERAGE('The List'!AR2:AR727))/STDEV('The List'!AR2:AR727)*-1</f>
        <v>1.0495213295489219</v>
      </c>
      <c r="AE682" s="39"/>
    </row>
    <row r="683" spans="1:31" ht="21.25" customHeight="1" x14ac:dyDescent="0.15">
      <c r="A683" s="8" t="s">
        <v>473</v>
      </c>
      <c r="B683" s="35" t="str">
        <f>VLOOKUP(A683,'Player Data'!A1:B734,2,FALSE)</f>
        <v>EDM</v>
      </c>
      <c r="C683" s="37">
        <f>(W683*Settings!$C$29)+(X683*Settings!$C$21)+(Y683*Settings!$C$22)+(AA683*Settings!$C$24)+(AB683*Settings!$C$25)+(Z683*Settings!$C$23)+(AC683*Settings!$C$26)+(AD683*Settings!$C$28)</f>
        <v>-0.66291479705938061</v>
      </c>
      <c r="D683" s="41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>
        <f>(VLOOKUP($A683,'The List'!$B1:$AR727,35,FALSE)-AVERAGE('The List'!AJ2:AJ727))/STDEV('The List'!AJ2:AJ727)</f>
        <v>-0.16777187771270141</v>
      </c>
      <c r="X683" s="39">
        <f>(VLOOKUP($A683,'The List'!$B1:$AR727,36,FALSE)-AVERAGE('The List'!AK2:AK727))/STDEV('The List'!AK2:AK727)</f>
        <v>0.12896145761389646</v>
      </c>
      <c r="Y683" s="39">
        <f>(VLOOKUP($A683,'The List'!$B1:$AR727,37,FALSE)-AVERAGE('The List'!AL2:AL727))/STDEV('The List'!AL2:AL727)*-1</f>
        <v>0.57205702339220854</v>
      </c>
      <c r="Z683" s="39">
        <f>(VLOOKUP($A683,'The List'!$B1:$AR727,38,FALSE)-AVERAGE('The List'!AM2:AM727))/STDEV('The List'!AM2:AM727)</f>
        <v>-0.16777187771270141</v>
      </c>
      <c r="AA683" s="39">
        <f>(VLOOKUP($A683,'The List'!$B1:$AR727,39,FALSE)-AVERAGE('The List'!AN2:AN727))/STDEV('The List'!AN2:AN727)</f>
        <v>-0.28355399921851115</v>
      </c>
      <c r="AB683" s="39">
        <f>(VLOOKUP($A683,'The List'!$B1:$AR727,40,FALSE)-AVERAGE('The List'!AO2:AO727))/STDEV('The List'!AO2:AO727)</f>
        <v>-0.19547978062550966</v>
      </c>
      <c r="AC683" s="39">
        <f>(VLOOKUP($A683,'The List'!$B1:$AR727,42,FALSE)-AVERAGE('The List'!AQ2:AQ727))/STDEV('The List'!AQ2:AQ727)</f>
        <v>-0.34979715684315293</v>
      </c>
      <c r="AD683" s="39">
        <f>(VLOOKUP($A683,'The List'!$B1:$AR727,43,FALSE)-AVERAGE('The List'!AR2:AR727))/STDEV('The List'!AR2:AR727)*-1</f>
        <v>-0.15852509861161299</v>
      </c>
      <c r="AE683" s="39"/>
    </row>
    <row r="684" spans="1:31" ht="21.25" customHeight="1" x14ac:dyDescent="0.15">
      <c r="A684" s="8" t="s">
        <v>211</v>
      </c>
      <c r="B684" s="35" t="str">
        <f>VLOOKUP(A684,'Player Data'!A1:B734,2,FALSE)</f>
        <v>FLA</v>
      </c>
      <c r="C684" s="37">
        <f>(W684*Settings!$C$29)+(X684*Settings!$C$21)+(Y684*Settings!$C$22)+(AA684*Settings!$C$24)+(AB684*Settings!$C$25)+(Z684*Settings!$C$23)+(AC684*Settings!$C$26)+(AD684*Settings!$C$28)</f>
        <v>1.9339113702477124</v>
      </c>
      <c r="D684" s="41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>
        <f>(VLOOKUP($A684,'The List'!$B1:$AR727,35,FALSE)-AVERAGE('The List'!AJ2:AJ727))/STDEV('The List'!AJ2:AJ727)</f>
        <v>1.1079934423942972</v>
      </c>
      <c r="X684" s="39">
        <f>(VLOOKUP($A684,'The List'!$B1:$AR727,36,FALSE)-AVERAGE('The List'!AK2:AK727))/STDEV('The List'!AK2:AK727)</f>
        <v>1.3869239005923606</v>
      </c>
      <c r="Y684" s="39">
        <f>(VLOOKUP($A684,'The List'!$B1:$AR727,37,FALSE)-AVERAGE('The List'!AL2:AL727))/STDEV('The List'!AL2:AL727)*-1</f>
        <v>-0.40361111279891099</v>
      </c>
      <c r="Z684" s="39">
        <f>(VLOOKUP($A684,'The List'!$B1:$AR727,38,FALSE)-AVERAGE('The List'!AM2:AM727))/STDEV('The List'!AM2:AM727)</f>
        <v>1.1079934423942972</v>
      </c>
      <c r="AA684" s="39">
        <f>(VLOOKUP($A684,'The List'!$B1:$AR727,39,FALSE)-AVERAGE('The List'!AN2:AN727))/STDEV('The List'!AN2:AN727)</f>
        <v>0.45653810021102764</v>
      </c>
      <c r="AB684" s="39">
        <f>(VLOOKUP($A684,'The List'!$B1:$AR727,40,FALSE)-AVERAGE('The List'!AO2:AO727))/STDEV('The List'!AO2:AO727)</f>
        <v>1.1494229063755996</v>
      </c>
      <c r="AC684" s="39">
        <f>(VLOOKUP($A684,'The List'!$B1:$AR727,42,FALSE)-AVERAGE('The List'!AQ2:AQ727))/STDEV('The List'!AQ2:AQ727)</f>
        <v>0.19285797891757694</v>
      </c>
      <c r="AD684" s="39">
        <f>(VLOOKUP($A684,'The List'!$B1:$AR727,43,FALSE)-AVERAGE('The List'!AR2:AR727))/STDEV('The List'!AR2:AR727)*-1</f>
        <v>-0.10240860947325252</v>
      </c>
      <c r="AE684" s="39"/>
    </row>
    <row r="685" spans="1:31" ht="21.25" customHeight="1" x14ac:dyDescent="0.15">
      <c r="A685" s="8" t="s">
        <v>788</v>
      </c>
      <c r="B685" s="35" t="str">
        <f>VLOOKUP(A685,'Player Data'!A1:B734,2,FALSE)</f>
        <v>FLA</v>
      </c>
      <c r="C685" s="37">
        <f>(W685*Settings!$C$29)+(X685*Settings!$C$21)+(Y685*Settings!$C$22)+(AA685*Settings!$C$24)+(AB685*Settings!$C$25)+(Z685*Settings!$C$23)+(AC685*Settings!$C$26)+(AD685*Settings!$C$28)</f>
        <v>-3.253874635818665</v>
      </c>
      <c r="D685" s="41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>
        <f>(VLOOKUP($A685,'The List'!$B1:$AR727,35,FALSE)-AVERAGE('The List'!AJ2:AJ727))/STDEV('The List'!AJ2:AJ727)</f>
        <v>-1.2521723998036502</v>
      </c>
      <c r="X685" s="39">
        <f>(VLOOKUP($A685,'The List'!$B1:$AR727,36,FALSE)-AVERAGE('The List'!AK2:AK727))/STDEV('The List'!AK2:AK727)</f>
        <v>-1.0100682354664292</v>
      </c>
      <c r="Y685" s="39">
        <f>(VLOOKUP($A685,'The List'!$B1:$AR727,37,FALSE)-AVERAGE('The List'!AL2:AL727))/STDEV('The List'!AL2:AL727)*-1</f>
        <v>1.2962202413199502</v>
      </c>
      <c r="Z685" s="39">
        <f>(VLOOKUP($A685,'The List'!$B1:$AR727,38,FALSE)-AVERAGE('The List'!AM2:AM727))/STDEV('The List'!AM2:AM727)</f>
        <v>-1.2521723998036502</v>
      </c>
      <c r="AA685" s="39">
        <f>(VLOOKUP($A685,'The List'!$B1:$AR727,39,FALSE)-AVERAGE('The List'!AN2:AN727))/STDEV('The List'!AN2:AN727)</f>
        <v>-0.98622169468438925</v>
      </c>
      <c r="AB685" s="39">
        <f>(VLOOKUP($A685,'The List'!$B1:$AR727,40,FALSE)-AVERAGE('The List'!AO2:AO727))/STDEV('The List'!AO2:AO727)</f>
        <v>-1.222317624751752</v>
      </c>
      <c r="AC685" s="39">
        <f>(VLOOKUP($A685,'The List'!$B1:$AR727,42,FALSE)-AVERAGE('The List'!AQ2:AQ727))/STDEV('The List'!AQ2:AQ727)</f>
        <v>-0.52400845651473782</v>
      </c>
      <c r="AD685" s="39">
        <f>(VLOOKUP($A685,'The List'!$B1:$AR727,43,FALSE)-AVERAGE('The List'!AR2:AR727))/STDEV('The List'!AR2:AR727)*-1</f>
        <v>-0.73357624915310882</v>
      </c>
      <c r="AE685" s="39"/>
    </row>
    <row r="686" spans="1:31" ht="21.25" customHeight="1" x14ac:dyDescent="0.15">
      <c r="A686" s="8" t="s">
        <v>790</v>
      </c>
      <c r="B686" s="35" t="str">
        <f>VLOOKUP(A686,'Player Data'!A1:B734,2,FALSE)</f>
        <v>FLA</v>
      </c>
      <c r="C686" s="37">
        <f>(W686*Settings!$C$29)+(X686*Settings!$C$21)+(Y686*Settings!$C$22)+(AA686*Settings!$C$24)+(AB686*Settings!$C$25)+(Z686*Settings!$C$23)+(AC686*Settings!$C$26)+(AD686*Settings!$C$28)</f>
        <v>-3.6204257738571934</v>
      </c>
      <c r="D686" s="41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>
        <f>(VLOOKUP($A686,'The List'!$B1:$AR727,35,FALSE)-AVERAGE('The List'!AJ2:AJ727))/STDEV('The List'!AJ2:AJ727)</f>
        <v>-1.2521723998036502</v>
      </c>
      <c r="X686" s="39">
        <f>(VLOOKUP($A686,'The List'!$B1:$AR727,36,FALSE)-AVERAGE('The List'!AK2:AK727))/STDEV('The List'!AK2:AK727)</f>
        <v>-1.0236699079765099</v>
      </c>
      <c r="Y686" s="39">
        <f>(VLOOKUP($A686,'The List'!$B1:$AR727,37,FALSE)-AVERAGE('The List'!AL2:AL727))/STDEV('The List'!AL2:AL727)*-1</f>
        <v>1.2757178528489612</v>
      </c>
      <c r="Z686" s="39">
        <f>(VLOOKUP($A686,'The List'!$B1:$AR727,38,FALSE)-AVERAGE('The List'!AM2:AM727))/STDEV('The List'!AM2:AM727)</f>
        <v>-1.2521723998036502</v>
      </c>
      <c r="AA686" s="39">
        <f>(VLOOKUP($A686,'The List'!$B1:$AR727,39,FALSE)-AVERAGE('The List'!AN2:AN727))/STDEV('The List'!AN2:AN727)</f>
        <v>-1.0136022298991263</v>
      </c>
      <c r="AB686" s="39">
        <f>(VLOOKUP($A686,'The List'!$B1:$AR727,40,FALSE)-AVERAGE('The List'!AO2:AO727))/STDEV('The List'!AO2:AO727)</f>
        <v>-1.2233632977973725</v>
      </c>
      <c r="AC686" s="39">
        <f>(VLOOKUP($A686,'The List'!$B1:$AR727,42,FALSE)-AVERAGE('The List'!AQ2:AQ727))/STDEV('The List'!AQ2:AQ727)</f>
        <v>-0.69714164570514636</v>
      </c>
      <c r="AD686" s="39">
        <f>(VLOOKUP($A686,'The List'!$B1:$AR727,43,FALSE)-AVERAGE('The List'!AR2:AR727))/STDEV('The List'!AR2:AR727)*-1</f>
        <v>-0.88601199027641109</v>
      </c>
      <c r="AE686" s="39"/>
    </row>
    <row r="687" spans="1:31" ht="21.25" customHeight="1" x14ac:dyDescent="0.15">
      <c r="A687" s="8" t="s">
        <v>334</v>
      </c>
      <c r="B687" s="35" t="str">
        <f>VLOOKUP(A687,'Player Data'!A1:B734,2,FALSE)</f>
        <v>LAK</v>
      </c>
      <c r="C687" s="37">
        <f>(W687*Settings!$C$29)+(X687*Settings!$C$21)+(Y687*Settings!$C$22)+(AA687*Settings!$C$24)+(AB687*Settings!$C$25)+(Z687*Settings!$C$23)+(AC687*Settings!$C$26)+(AD687*Settings!$C$28)</f>
        <v>0.66370307918587335</v>
      </c>
      <c r="D687" s="41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>
        <f>(VLOOKUP($A687,'The List'!$B1:$AR727,35,FALSE)-AVERAGE('The List'!AJ2:AJ727))/STDEV('The List'!AJ2:AJ727)</f>
        <v>0.47011078234079795</v>
      </c>
      <c r="X687" s="39">
        <f>(VLOOKUP($A687,'The List'!$B1:$AR727,36,FALSE)-AVERAGE('The List'!AK2:AK727))/STDEV('The List'!AK2:AK727)</f>
        <v>0.51910460008408366</v>
      </c>
      <c r="Y687" s="39">
        <f>(VLOOKUP($A687,'The List'!$B1:$AR727,37,FALSE)-AVERAGE('The List'!AL2:AL727))/STDEV('The List'!AL2:AL727)*-1</f>
        <v>-0.27578799733318965</v>
      </c>
      <c r="Z687" s="39">
        <f>(VLOOKUP($A687,'The List'!$B1:$AR727,38,FALSE)-AVERAGE('The List'!AM2:AM727))/STDEV('The List'!AM2:AM727)</f>
        <v>0.47011078234079795</v>
      </c>
      <c r="AA687" s="39">
        <f>(VLOOKUP($A687,'The List'!$B1:$AR727,39,FALSE)-AVERAGE('The List'!AN2:AN727))/STDEV('The List'!AN2:AN727)</f>
        <v>0.24148801327076563</v>
      </c>
      <c r="AB687" s="39">
        <f>(VLOOKUP($A687,'The List'!$B1:$AR727,40,FALSE)-AVERAGE('The List'!AO2:AO727))/STDEV('The List'!AO2:AO727)</f>
        <v>0.37333903211731706</v>
      </c>
      <c r="AC687" s="39">
        <f>(VLOOKUP($A687,'The List'!$B1:$AR727,42,FALSE)-AVERAGE('The List'!AQ2:AQ727))/STDEV('The List'!AQ2:AQ727)</f>
        <v>-0.28128518541757014</v>
      </c>
      <c r="AD687" s="39">
        <f>(VLOOKUP($A687,'The List'!$B1:$AR727,43,FALSE)-AVERAGE('The List'!AR2:AR727))/STDEV('The List'!AR2:AR727)*-1</f>
        <v>0.18439565124859417</v>
      </c>
      <c r="AE687" s="39"/>
    </row>
    <row r="688" spans="1:31" ht="21.25" customHeight="1" x14ac:dyDescent="0.15">
      <c r="A688" s="8" t="s">
        <v>551</v>
      </c>
      <c r="B688" s="35" t="str">
        <f>VLOOKUP(A688,'Player Data'!A1:B734,2,FALSE)</f>
        <v>LAK</v>
      </c>
      <c r="C688" s="37">
        <f>(W688*Settings!$C$29)+(X688*Settings!$C$21)+(Y688*Settings!$C$22)+(AA688*Settings!$C$24)+(AB688*Settings!$C$25)+(Z688*Settings!$C$23)+(AC688*Settings!$C$26)+(AD688*Settings!$C$28)</f>
        <v>-2.0234350966084378</v>
      </c>
      <c r="D688" s="41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>
        <f>(VLOOKUP($A688,'The List'!$B1:$AR727,35,FALSE)-AVERAGE('The List'!AJ2:AJ727))/STDEV('The List'!AJ2:AJ727)</f>
        <v>-0.16777187771270141</v>
      </c>
      <c r="X688" s="39">
        <f>(VLOOKUP($A688,'The List'!$B1:$AR727,36,FALSE)-AVERAGE('The List'!AK2:AK727))/STDEV('The List'!AK2:AK727)</f>
        <v>-0.1017159421511856</v>
      </c>
      <c r="Y688" s="39">
        <f>(VLOOKUP($A688,'The List'!$B1:$AR727,37,FALSE)-AVERAGE('The List'!AL2:AL727))/STDEV('The List'!AL2:AL727)*-1</f>
        <v>0.2243470150857895</v>
      </c>
      <c r="Z688" s="39">
        <f>(VLOOKUP($A688,'The List'!$B1:$AR727,38,FALSE)-AVERAGE('The List'!AM2:AM727))/STDEV('The List'!AM2:AM727)</f>
        <v>-0.16777187771270141</v>
      </c>
      <c r="AA688" s="39">
        <f>(VLOOKUP($A688,'The List'!$B1:$AR727,39,FALSE)-AVERAGE('The List'!AN2:AN727))/STDEV('The List'!AN2:AN727)</f>
        <v>-0.40096231493601808</v>
      </c>
      <c r="AB688" s="39">
        <f>(VLOOKUP($A688,'The List'!$B1:$AR727,40,FALSE)-AVERAGE('The List'!AO2:AO727))/STDEV('The List'!AO2:AO727)</f>
        <v>-0.24356513644437941</v>
      </c>
      <c r="AC688" s="39">
        <f>(VLOOKUP($A688,'The List'!$B1:$AR727,42,FALSE)-AVERAGE('The List'!AQ2:AQ727))/STDEV('The List'!AQ2:AQ727)</f>
        <v>-1.0558343857708319</v>
      </c>
      <c r="AD688" s="39">
        <f>(VLOOKUP($A688,'The List'!$B1:$AR727,43,FALSE)-AVERAGE('The List'!AR2:AR727))/STDEV('The List'!AR2:AR727)*-1</f>
        <v>-0.46492245375040236</v>
      </c>
      <c r="AE688" s="39"/>
    </row>
    <row r="689" spans="1:31" ht="21.25" customHeight="1" x14ac:dyDescent="0.15">
      <c r="A689" s="8" t="s">
        <v>166</v>
      </c>
      <c r="B689" s="35" t="str">
        <f>VLOOKUP(A689,'Player Data'!A1:B734,2,FALSE)</f>
        <v>MIN</v>
      </c>
      <c r="C689" s="37">
        <f>(W689*Settings!$C$29)+(X689*Settings!$C$21)+(Y689*Settings!$C$22)+(AA689*Settings!$C$24)+(AB689*Settings!$C$25)+(Z689*Settings!$C$23)+(AC689*Settings!$C$26)+(AD689*Settings!$C$28)</f>
        <v>4.6841467727294592</v>
      </c>
      <c r="D689" s="41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>
        <f>(VLOOKUP($A689,'The List'!$B1:$AR727,35,FALSE)-AVERAGE('The List'!AJ2:AJ727))/STDEV('The List'!AJ2:AJ727)</f>
        <v>1.1079934423942972</v>
      </c>
      <c r="X689" s="39">
        <f>(VLOOKUP($A689,'The List'!$B1:$AR727,36,FALSE)-AVERAGE('The List'!AK2:AK727))/STDEV('The List'!AK2:AK727)</f>
        <v>1.2131587462585471</v>
      </c>
      <c r="Y689" s="39">
        <f>(VLOOKUP($A689,'The List'!$B1:$AR727,37,FALSE)-AVERAGE('The List'!AL2:AL727))/STDEV('The List'!AL2:AL727)*-1</f>
        <v>-0.66553483535823854</v>
      </c>
      <c r="Z689" s="39">
        <f>(VLOOKUP($A689,'The List'!$B1:$AR727,38,FALSE)-AVERAGE('The List'!AM2:AM727))/STDEV('The List'!AM2:AM727)</f>
        <v>1.1079934423942972</v>
      </c>
      <c r="AA689" s="39">
        <f>(VLOOKUP($A689,'The List'!$B1:$AR727,39,FALSE)-AVERAGE('The List'!AN2:AN727))/STDEV('The List'!AN2:AN727)</f>
        <v>1.0692623491813771</v>
      </c>
      <c r="AB689" s="39">
        <f>(VLOOKUP($A689,'The List'!$B1:$AR727,40,FALSE)-AVERAGE('The List'!AO2:AO727))/STDEV('The List'!AO2:AO727)</f>
        <v>1.2243803688397652</v>
      </c>
      <c r="AC689" s="39">
        <f>(VLOOKUP($A689,'The List'!$B1:$AR727,42,FALSE)-AVERAGE('The List'!AQ2:AQ727))/STDEV('The List'!AQ2:AQ727)</f>
        <v>1.5201280364828003</v>
      </c>
      <c r="AD689" s="39">
        <f>(VLOOKUP($A689,'The List'!$B1:$AR727,43,FALSE)-AVERAGE('The List'!AR2:AR727))/STDEV('The List'!AR2:AR727)*-1</f>
        <v>0.88159764080673531</v>
      </c>
      <c r="AE689" s="39"/>
    </row>
    <row r="690" spans="1:31" ht="21.25" customHeight="1" x14ac:dyDescent="0.15">
      <c r="A690" s="8" t="s">
        <v>559</v>
      </c>
      <c r="B690" s="35" t="str">
        <f>VLOOKUP(A690,'Player Data'!A1:B734,2,FALSE)</f>
        <v>MIN</v>
      </c>
      <c r="C690" s="37">
        <f>(W690*Settings!$C$29)+(X690*Settings!$C$21)+(Y690*Settings!$C$22)+(AA690*Settings!$C$24)+(AB690*Settings!$C$25)+(Z690*Settings!$C$23)+(AC690*Settings!$C$26)+(AD690*Settings!$C$28)</f>
        <v>-1.9595140076765065</v>
      </c>
      <c r="D690" s="41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>
        <f>(VLOOKUP($A690,'The List'!$B1:$AR727,35,FALSE)-AVERAGE('The List'!AJ2:AJ727))/STDEV('The List'!AJ2:AJ727)</f>
        <v>-0.42292494173410117</v>
      </c>
      <c r="X690" s="39">
        <f>(VLOOKUP($A690,'The List'!$B1:$AR727,36,FALSE)-AVERAGE('The List'!AK2:AK727))/STDEV('The List'!AK2:AK727)</f>
        <v>-0.33269957424417967</v>
      </c>
      <c r="Y690" s="39">
        <f>(VLOOKUP($A690,'The List'!$B1:$AR727,37,FALSE)-AVERAGE('The List'!AL2:AL727))/STDEV('The List'!AL2:AL727)*-1</f>
        <v>0.45054526188811816</v>
      </c>
      <c r="Z690" s="39">
        <f>(VLOOKUP($A690,'The List'!$B1:$AR727,38,FALSE)-AVERAGE('The List'!AM2:AM727))/STDEV('The List'!AM2:AM727)</f>
        <v>-0.42292494173410117</v>
      </c>
      <c r="AA690" s="39">
        <f>(VLOOKUP($A690,'The List'!$B1:$AR727,39,FALSE)-AVERAGE('The List'!AN2:AN727))/STDEV('The List'!AN2:AN727)</f>
        <v>-0.61560813893331978</v>
      </c>
      <c r="AB690" s="39">
        <f>(VLOOKUP($A690,'The List'!$B1:$AR727,40,FALSE)-AVERAGE('The List'!AO2:AO727))/STDEV('The List'!AO2:AO727)</f>
        <v>-0.36644719311355844</v>
      </c>
      <c r="AC690" s="39">
        <f>(VLOOKUP($A690,'The List'!$B1:$AR727,42,FALSE)-AVERAGE('The List'!AQ2:AQ727))/STDEV('The List'!AQ2:AQ727)</f>
        <v>-0.28295436566941751</v>
      </c>
      <c r="AD690" s="39">
        <f>(VLOOKUP($A690,'The List'!$B1:$AR727,43,FALSE)-AVERAGE('The List'!AR2:AR727))/STDEV('The List'!AR2:AR727)*-1</f>
        <v>-0.72825192882958956</v>
      </c>
      <c r="AE690" s="39"/>
    </row>
    <row r="691" spans="1:31" ht="21.25" customHeight="1" x14ac:dyDescent="0.15">
      <c r="A691" s="8" t="s">
        <v>481</v>
      </c>
      <c r="B691" s="35" t="str">
        <f>VLOOKUP(A691,'Player Data'!A1:B734,2,FALSE)</f>
        <v>MTL</v>
      </c>
      <c r="C691" s="37">
        <f>(W691*Settings!$C$29)+(X691*Settings!$C$21)+(Y691*Settings!$C$22)+(AA691*Settings!$C$24)+(AB691*Settings!$C$25)+(Z691*Settings!$C$23)+(AC691*Settings!$C$26)+(AD691*Settings!$C$28)</f>
        <v>-2.6212419460798149</v>
      </c>
      <c r="D691" s="41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>
        <f>(VLOOKUP($A691,'The List'!$B1:$AR727,35,FALSE)-AVERAGE('The List'!AJ2:AJ727))/STDEV('The List'!AJ2:AJ727)</f>
        <v>8.738118630869833E-2</v>
      </c>
      <c r="X691" s="39">
        <f>(VLOOKUP($A691,'The List'!$B1:$AR727,36,FALSE)-AVERAGE('The List'!AK2:AK727))/STDEV('The List'!AK2:AK727)</f>
        <v>-0.51639597586846309</v>
      </c>
      <c r="Y691" s="39">
        <f>(VLOOKUP($A691,'The List'!$B1:$AR727,37,FALSE)-AVERAGE('The List'!AL2:AL727))/STDEV('The List'!AL2:AL727)*-1</f>
        <v>-0.97508796331951908</v>
      </c>
      <c r="Z691" s="39">
        <f>(VLOOKUP($A691,'The List'!$B1:$AR727,38,FALSE)-AVERAGE('The List'!AM2:AM727))/STDEV('The List'!AM2:AM727)</f>
        <v>8.738118630869833E-2</v>
      </c>
      <c r="AA691" s="39">
        <f>(VLOOKUP($A691,'The List'!$B1:$AR727,39,FALSE)-AVERAGE('The List'!AN2:AN727))/STDEV('The List'!AN2:AN727)</f>
        <v>-0.46363939268829096</v>
      </c>
      <c r="AB691" s="39">
        <f>(VLOOKUP($A691,'The List'!$B1:$AR727,40,FALSE)-AVERAGE('The List'!AO2:AO727))/STDEV('The List'!AO2:AO727)</f>
        <v>0.10940372924302352</v>
      </c>
      <c r="AC691" s="39">
        <f>(VLOOKUP($A691,'The List'!$B1:$AR727,42,FALSE)-AVERAGE('The List'!AQ2:AQ727))/STDEV('The List'!AQ2:AQ727)</f>
        <v>-0.737787322571273</v>
      </c>
      <c r="AD691" s="39">
        <f>(VLOOKUP($A691,'The List'!$B1:$AR727,43,FALSE)-AVERAGE('The List'!AR2:AR727))/STDEV('The List'!AR2:AR727)*-1</f>
        <v>-0.90341925495178765</v>
      </c>
      <c r="AE691" s="39"/>
    </row>
    <row r="692" spans="1:31" ht="21.25" customHeight="1" x14ac:dyDescent="0.15">
      <c r="A692" s="8" t="s">
        <v>527</v>
      </c>
      <c r="B692" s="35" t="str">
        <f>VLOOKUP(A692,'Player Data'!A1:B734,2,FALSE)</f>
        <v>MTL</v>
      </c>
      <c r="C692" s="37">
        <f>(W692*Settings!$C$29)+(X692*Settings!$C$21)+(Y692*Settings!$C$22)+(AA692*Settings!$C$24)+(AB692*Settings!$C$25)+(Z692*Settings!$C$23)+(AC692*Settings!$C$26)+(AD692*Settings!$C$28)</f>
        <v>-1.9160614966889491</v>
      </c>
      <c r="D692" s="41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>
        <f>(VLOOKUP($A692,'The List'!$B1:$AR727,35,FALSE)-AVERAGE('The List'!AJ2:AJ727))/STDEV('The List'!AJ2:AJ727)</f>
        <v>-0.16777187771270141</v>
      </c>
      <c r="X692" s="39">
        <f>(VLOOKUP($A692,'The List'!$B1:$AR727,36,FALSE)-AVERAGE('The List'!AK2:AK727))/STDEV('The List'!AK2:AK727)</f>
        <v>-0.67330042926216305</v>
      </c>
      <c r="Y692" s="39">
        <f>(VLOOKUP($A692,'The List'!$B1:$AR727,37,FALSE)-AVERAGE('The List'!AL2:AL727))/STDEV('The List'!AL2:AL727)*-1</f>
        <v>-0.63722697076448187</v>
      </c>
      <c r="Z692" s="39">
        <f>(VLOOKUP($A692,'The List'!$B1:$AR727,38,FALSE)-AVERAGE('The List'!AM2:AM727))/STDEV('The List'!AM2:AM727)</f>
        <v>-0.16777187771270141</v>
      </c>
      <c r="AA692" s="39">
        <f>(VLOOKUP($A692,'The List'!$B1:$AR727,39,FALSE)-AVERAGE('The List'!AN2:AN727))/STDEV('The List'!AN2:AN727)</f>
        <v>-0.42190259077753778</v>
      </c>
      <c r="AB692" s="39">
        <f>(VLOOKUP($A692,'The List'!$B1:$AR727,40,FALSE)-AVERAGE('The List'!AO2:AO727))/STDEV('The List'!AO2:AO727)</f>
        <v>-0.13910705037330526</v>
      </c>
      <c r="AC692" s="39">
        <f>(VLOOKUP($A692,'The List'!$B1:$AR727,42,FALSE)-AVERAGE('The List'!AQ2:AQ727))/STDEV('The List'!AQ2:AQ727)</f>
        <v>-0.30128874264012723</v>
      </c>
      <c r="AD692" s="39">
        <f>(VLOOKUP($A692,'The List'!$B1:$AR727,43,FALSE)-AVERAGE('The List'!AR2:AR727))/STDEV('The List'!AR2:AR727)*-1</f>
        <v>-0.51956973400912121</v>
      </c>
      <c r="AE692" s="39"/>
    </row>
    <row r="693" spans="1:31" ht="21.25" customHeight="1" x14ac:dyDescent="0.15">
      <c r="A693" s="8" t="s">
        <v>816</v>
      </c>
      <c r="B693" s="35" t="str">
        <f>VLOOKUP(A693,'Player Data'!A1:B734,2,FALSE)</f>
        <v>MTL</v>
      </c>
      <c r="C693" s="37">
        <f>(W693*Settings!$C$29)+(X693*Settings!$C$21)+(Y693*Settings!$C$22)+(AA693*Settings!$C$24)+(AB693*Settings!$C$25)+(Z693*Settings!$C$23)+(AC693*Settings!$C$26)+(AD693*Settings!$C$28)</f>
        <v>-4.6956112630488187</v>
      </c>
      <c r="D693" s="41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>
        <f>(VLOOKUP($A693,'The List'!$B1:$AR727,35,FALSE)-AVERAGE('The List'!AJ2:AJ727))/STDEV('The List'!AJ2:AJ727)</f>
        <v>-1.3159606658090002</v>
      </c>
      <c r="X693" s="39">
        <f>(VLOOKUP($A693,'The List'!$B1:$AR727,36,FALSE)-AVERAGE('The List'!AK2:AK727))/STDEV('The List'!AK2:AK727)</f>
        <v>-1.37808427706127</v>
      </c>
      <c r="Y693" s="39">
        <f>(VLOOKUP($A693,'The List'!$B1:$AR727,37,FALSE)-AVERAGE('The List'!AL2:AL727))/STDEV('The List'!AL2:AL727)*-1</f>
        <v>0.88508622920151359</v>
      </c>
      <c r="Z693" s="39">
        <f>(VLOOKUP($A693,'The List'!$B1:$AR727,38,FALSE)-AVERAGE('The List'!AM2:AM727))/STDEV('The List'!AM2:AM727)</f>
        <v>-1.3159606658090002</v>
      </c>
      <c r="AA693" s="39">
        <f>(VLOOKUP($A693,'The List'!$B1:$AR727,39,FALSE)-AVERAGE('The List'!AN2:AN727))/STDEV('The List'!AN2:AN727)</f>
        <v>-1.0891277343498882</v>
      </c>
      <c r="AB693" s="39">
        <f>(VLOOKUP($A693,'The List'!$B1:$AR727,40,FALSE)-AVERAGE('The List'!AO2:AO727))/STDEV('The List'!AO2:AO727)</f>
        <v>-1.2900598899240636</v>
      </c>
      <c r="AC693" s="39">
        <f>(VLOOKUP($A693,'The List'!$B1:$AR727,42,FALSE)-AVERAGE('The List'!AQ2:AQ727))/STDEV('The List'!AQ2:AQ727)</f>
        <v>-1.0502263568348649</v>
      </c>
      <c r="AD693" s="39">
        <f>(VLOOKUP($A693,'The List'!$B1:$AR727,43,FALSE)-AVERAGE('The List'!AR2:AR727))/STDEV('The List'!AR2:AR727)*-1</f>
        <v>-1.1781728948027952</v>
      </c>
      <c r="AE693" s="39"/>
    </row>
    <row r="694" spans="1:31" ht="21.25" customHeight="1" x14ac:dyDescent="0.15">
      <c r="A694" s="8" t="s">
        <v>280</v>
      </c>
      <c r="B694" s="35" t="str">
        <f>VLOOKUP(A694,'Player Data'!A1:B734,2,FALSE)</f>
        <v>NJD</v>
      </c>
      <c r="C694" s="37">
        <f>(W694*Settings!$C$29)+(X694*Settings!$C$21)+(Y694*Settings!$C$22)+(AA694*Settings!$C$24)+(AB694*Settings!$C$25)+(Z694*Settings!$C$23)+(AC694*Settings!$C$26)+(AD694*Settings!$C$28)</f>
        <v>3.3303111373682279</v>
      </c>
      <c r="D694" s="41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>
        <f>(VLOOKUP($A694,'The List'!$B1:$AR727,35,FALSE)-AVERAGE('The List'!AJ2:AJ727))/STDEV('The List'!AJ2:AJ727)</f>
        <v>0.47011078234079795</v>
      </c>
      <c r="X694" s="39">
        <f>(VLOOKUP($A694,'The List'!$B1:$AR727,36,FALSE)-AVERAGE('The List'!AK2:AK727))/STDEV('The List'!AK2:AK727)</f>
        <v>0.78033797889006806</v>
      </c>
      <c r="Y694" s="39">
        <f>(VLOOKUP($A694,'The List'!$B1:$AR727,37,FALSE)-AVERAGE('The List'!AL2:AL727))/STDEV('The List'!AL2:AL727)*-1</f>
        <v>0.11798035798486925</v>
      </c>
      <c r="Z694" s="39">
        <f>(VLOOKUP($A694,'The List'!$B1:$AR727,38,FALSE)-AVERAGE('The List'!AM2:AM727))/STDEV('The List'!AM2:AM727)</f>
        <v>0.47011078234079795</v>
      </c>
      <c r="AA694" s="39">
        <f>(VLOOKUP($A694,'The List'!$B1:$AR727,39,FALSE)-AVERAGE('The List'!AN2:AN727))/STDEV('The List'!AN2:AN727)</f>
        <v>0.70594554363735407</v>
      </c>
      <c r="AB694" s="39">
        <f>(VLOOKUP($A694,'The List'!$B1:$AR727,40,FALSE)-AVERAGE('The List'!AO2:AO727))/STDEV('The List'!AO2:AO727)</f>
        <v>0.3759530358327331</v>
      </c>
      <c r="AC694" s="39">
        <f>(VLOOKUP($A694,'The List'!$B1:$AR727,42,FALSE)-AVERAGE('The List'!AQ2:AQ727))/STDEV('The List'!AQ2:AQ727)</f>
        <v>0.73614057367820351</v>
      </c>
      <c r="AD694" s="39">
        <f>(VLOOKUP($A694,'The List'!$B1:$AR727,43,FALSE)-AVERAGE('The List'!AR2:AR727))/STDEV('The List'!AR2:AR727)*-1</f>
        <v>1.1078870411626025</v>
      </c>
      <c r="AE694" s="39"/>
    </row>
    <row r="695" spans="1:31" ht="21.25" customHeight="1" x14ac:dyDescent="0.15">
      <c r="A695" s="8" t="s">
        <v>373</v>
      </c>
      <c r="B695" s="35" t="str">
        <f>VLOOKUP(A695,'Player Data'!A1:B734,2,FALSE)</f>
        <v>NJD</v>
      </c>
      <c r="C695" s="37">
        <f>(W695*Settings!$C$29)+(X695*Settings!$C$21)+(Y695*Settings!$C$22)+(AA695*Settings!$C$24)+(AB695*Settings!$C$25)+(Z695*Settings!$C$23)+(AC695*Settings!$C$26)+(AD695*Settings!$C$28)</f>
        <v>1.4000014800331824</v>
      </c>
      <c r="D695" s="41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>
        <f>(VLOOKUP($A695,'The List'!$B1:$AR727,35,FALSE)-AVERAGE('The List'!AJ2:AJ727))/STDEV('The List'!AJ2:AJ727)</f>
        <v>8.738118630869833E-2</v>
      </c>
      <c r="X695" s="39">
        <f>(VLOOKUP($A695,'The List'!$B1:$AR727,36,FALSE)-AVERAGE('The List'!AK2:AK727))/STDEV('The List'!AK2:AK727)</f>
        <v>0.433020147767185</v>
      </c>
      <c r="Y695" s="39">
        <f>(VLOOKUP($A695,'The List'!$B1:$AR727,37,FALSE)-AVERAGE('The List'!AL2:AL727))/STDEV('The List'!AL2:AL727)*-1</f>
        <v>0.45600796793247805</v>
      </c>
      <c r="Z695" s="39">
        <f>(VLOOKUP($A695,'The List'!$B1:$AR727,38,FALSE)-AVERAGE('The List'!AM2:AM727))/STDEV('The List'!AM2:AM727)</f>
        <v>8.738118630869833E-2</v>
      </c>
      <c r="AA695" s="39">
        <f>(VLOOKUP($A695,'The List'!$B1:$AR727,39,FALSE)-AVERAGE('The List'!AN2:AN727))/STDEV('The List'!AN2:AN727)</f>
        <v>0.10461547577805874</v>
      </c>
      <c r="AB695" s="39">
        <f>(VLOOKUP($A695,'The List'!$B1:$AR727,40,FALSE)-AVERAGE('The List'!AO2:AO727))/STDEV('The List'!AO2:AO727)</f>
        <v>2.6945763337335685E-2</v>
      </c>
      <c r="AC695" s="39">
        <f>(VLOOKUP($A695,'The List'!$B1:$AR727,42,FALSE)-AVERAGE('The List'!AQ2:AQ727))/STDEV('The List'!AQ2:AQ727)</f>
        <v>0.2753326111373412</v>
      </c>
      <c r="AD695" s="39">
        <f>(VLOOKUP($A695,'The List'!$B1:$AR727,43,FALSE)-AVERAGE('The List'!AR2:AR727))/STDEV('The List'!AR2:AR727)*-1</f>
        <v>0.58703324535059742</v>
      </c>
      <c r="AE695" s="39"/>
    </row>
    <row r="696" spans="1:31" ht="21.25" customHeight="1" x14ac:dyDescent="0.15">
      <c r="A696" s="8" t="s">
        <v>134</v>
      </c>
      <c r="B696" s="35" t="str">
        <f>VLOOKUP(A696,'Player Data'!A1:B734,2,FALSE)</f>
        <v>NSH</v>
      </c>
      <c r="C696" s="37">
        <f>(W696*Settings!$C$29)+(X696*Settings!$C$21)+(Y696*Settings!$C$22)+(AA696*Settings!$C$24)+(AB696*Settings!$C$25)+(Z696*Settings!$C$23)+(AC696*Settings!$C$26)+(AD696*Settings!$C$28)</f>
        <v>6.2804928572812972</v>
      </c>
      <c r="D696" s="41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>
        <f>(VLOOKUP($A696,'The List'!$B1:$AR727,35,FALSE)-AVERAGE('The List'!AJ2:AJ727))/STDEV('The List'!AJ2:AJ727)</f>
        <v>1.6182995704370968</v>
      </c>
      <c r="X696" s="39">
        <f>(VLOOKUP($A696,'The List'!$B1:$AR727,36,FALSE)-AVERAGE('The List'!AK2:AK727))/STDEV('The List'!AK2:AK727)</f>
        <v>1.1691453878685949</v>
      </c>
      <c r="Y696" s="39">
        <f>(VLOOKUP($A696,'The List'!$B1:$AR727,37,FALSE)-AVERAGE('The List'!AL2:AL727))/STDEV('The List'!AL2:AL727)*-1</f>
        <v>-1.8806177761741789</v>
      </c>
      <c r="Z696" s="39">
        <f>(VLOOKUP($A696,'The List'!$B1:$AR727,38,FALSE)-AVERAGE('The List'!AM2:AM727))/STDEV('The List'!AM2:AM727)</f>
        <v>1.6182995704370968</v>
      </c>
      <c r="AA696" s="39">
        <f>(VLOOKUP($A696,'The List'!$B1:$AR727,39,FALSE)-AVERAGE('The List'!AN2:AN727))/STDEV('The List'!AN2:AN727)</f>
        <v>1.9384033547450137</v>
      </c>
      <c r="AB696" s="39">
        <f>(VLOOKUP($A696,'The List'!$B1:$AR727,40,FALSE)-AVERAGE('The List'!AO2:AO727))/STDEV('The List'!AO2:AO727)</f>
        <v>1.6648410491124235</v>
      </c>
      <c r="AC696" s="39">
        <f>(VLOOKUP($A696,'The List'!$B1:$AR727,42,FALSE)-AVERAGE('The List'!AQ2:AQ727))/STDEV('The List'!AQ2:AQ727)</f>
        <v>1.7708650365994025</v>
      </c>
      <c r="AD696" s="39">
        <f>(VLOOKUP($A696,'The List'!$B1:$AR727,43,FALSE)-AVERAGE('The List'!AR2:AR727))/STDEV('The List'!AR2:AR727)*-1</f>
        <v>1.4020790780682861</v>
      </c>
      <c r="AE696" s="39"/>
    </row>
    <row r="697" spans="1:31" ht="21.25" customHeight="1" x14ac:dyDescent="0.15">
      <c r="A697" s="8" t="s">
        <v>810</v>
      </c>
      <c r="B697" s="35" t="str">
        <f>VLOOKUP(A697,'Player Data'!A1:B734,2,FALSE)</f>
        <v>NSH</v>
      </c>
      <c r="C697" s="37">
        <f>(W697*Settings!$C$29)+(X697*Settings!$C$21)+(Y697*Settings!$C$22)+(AA697*Settings!$C$24)+(AB697*Settings!$C$25)+(Z697*Settings!$C$23)+(AC697*Settings!$C$26)+(AD697*Settings!$C$28)</f>
        <v>-4.0677367072681676</v>
      </c>
      <c r="D697" s="41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>
        <f>(VLOOKUP($A697,'The List'!$B1:$AR727,35,FALSE)-AVERAGE('The List'!AJ2:AJ727))/STDEV('The List'!AJ2:AJ727)</f>
        <v>-1.3159606658090002</v>
      </c>
      <c r="X697" s="39">
        <f>(VLOOKUP($A697,'The List'!$B1:$AR727,36,FALSE)-AVERAGE('The List'!AK2:AK727))/STDEV('The List'!AK2:AK727)</f>
        <v>-1.2740837977910231</v>
      </c>
      <c r="Y697" s="39">
        <f>(VLOOKUP($A697,'The List'!$B1:$AR727,37,FALSE)-AVERAGE('The List'!AL2:AL727))/STDEV('The List'!AL2:AL727)*-1</f>
        <v>1.0418506436944628</v>
      </c>
      <c r="Z697" s="39">
        <f>(VLOOKUP($A697,'The List'!$B1:$AR727,38,FALSE)-AVERAGE('The List'!AM2:AM727))/STDEV('The List'!AM2:AM727)</f>
        <v>-1.3159606658090002</v>
      </c>
      <c r="AA697" s="39">
        <f>(VLOOKUP($A697,'The List'!$B1:$AR727,39,FALSE)-AVERAGE('The List'!AN2:AN727))/STDEV('The List'!AN2:AN727)</f>
        <v>-1.0544903856764911</v>
      </c>
      <c r="AB697" s="39">
        <f>(VLOOKUP($A697,'The List'!$B1:$AR727,40,FALSE)-AVERAGE('The List'!AO2:AO727))/STDEV('The List'!AO2:AO727)</f>
        <v>-1.2860037087613909</v>
      </c>
      <c r="AC697" s="39">
        <f>(VLOOKUP($A697,'The List'!$B1:$AR727,42,FALSE)-AVERAGE('The List'!AQ2:AQ727))/STDEV('The List'!AQ2:AQ727)</f>
        <v>-0.76760029527827522</v>
      </c>
      <c r="AD697" s="39">
        <f>(VLOOKUP($A697,'The List'!$B1:$AR727,43,FALSE)-AVERAGE('The List'!AR2:AR727))/STDEV('The List'!AR2:AR727)*-1</f>
        <v>-0.97156222852237806</v>
      </c>
      <c r="AE697" s="39"/>
    </row>
    <row r="698" spans="1:31" ht="21.25" customHeight="1" x14ac:dyDescent="0.15">
      <c r="A698" s="8" t="s">
        <v>122</v>
      </c>
      <c r="B698" s="35" t="str">
        <f>VLOOKUP(A698,'Player Data'!A1:B734,2,FALSE)</f>
        <v>NYI</v>
      </c>
      <c r="C698" s="37">
        <f>(W698*Settings!$C$29)+(X698*Settings!$C$21)+(Y698*Settings!$C$22)+(AA698*Settings!$C$24)+(AB698*Settings!$C$25)+(Z698*Settings!$C$23)+(AC698*Settings!$C$26)+(AD698*Settings!$C$28)</f>
        <v>8.7432076943011481</v>
      </c>
      <c r="D698" s="41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>
        <f>(VLOOKUP($A698,'The List'!$B1:$AR727,35,FALSE)-AVERAGE('The List'!AJ2:AJ727))/STDEV('The List'!AJ2:AJ727)</f>
        <v>1.6182995704370968</v>
      </c>
      <c r="X698" s="39">
        <f>(VLOOKUP($A698,'The List'!$B1:$AR727,36,FALSE)-AVERAGE('The List'!AK2:AK727))/STDEV('The List'!AK2:AK727)</f>
        <v>1.5541120097546548</v>
      </c>
      <c r="Y698" s="39">
        <f>(VLOOKUP($A698,'The List'!$B1:$AR727,37,FALSE)-AVERAGE('The List'!AL2:AL727))/STDEV('The List'!AL2:AL727)*-1</f>
        <v>-1.3003409591560688</v>
      </c>
      <c r="Z698" s="39">
        <f>(VLOOKUP($A698,'The List'!$B1:$AR727,38,FALSE)-AVERAGE('The List'!AM2:AM727))/STDEV('The List'!AM2:AM727)</f>
        <v>1.6182995704370968</v>
      </c>
      <c r="AA698" s="39">
        <f>(VLOOKUP($A698,'The List'!$B1:$AR727,39,FALSE)-AVERAGE('The List'!AN2:AN727))/STDEV('The List'!AN2:AN727)</f>
        <v>2.4437406756963949</v>
      </c>
      <c r="AB698" s="39">
        <f>(VLOOKUP($A698,'The List'!$B1:$AR727,40,FALSE)-AVERAGE('The List'!AO2:AO727))/STDEV('The List'!AO2:AO727)</f>
        <v>1.6055315806321764</v>
      </c>
      <c r="AC698" s="39">
        <f>(VLOOKUP($A698,'The List'!$B1:$AR727,42,FALSE)-AVERAGE('The List'!AQ2:AQ727))/STDEV('The List'!AQ2:AQ727)</f>
        <v>2.4819840006158032</v>
      </c>
      <c r="AD698" s="39">
        <f>(VLOOKUP($A698,'The List'!$B1:$AR727,43,FALSE)-AVERAGE('The List'!AR2:AR727))/STDEV('The List'!AR2:AR727)*-1</f>
        <v>2.2633710082342962</v>
      </c>
      <c r="AE698" s="39"/>
    </row>
    <row r="699" spans="1:31" ht="21.25" customHeight="1" x14ac:dyDescent="0.15">
      <c r="A699" s="8" t="s">
        <v>741</v>
      </c>
      <c r="B699" s="35" t="str">
        <f>VLOOKUP(A699,'Player Data'!A1:B734,2,FALSE)</f>
        <v>NYI</v>
      </c>
      <c r="C699" s="37">
        <f>(W699*Settings!$C$29)+(X699*Settings!$C$21)+(Y699*Settings!$C$22)+(AA699*Settings!$C$24)+(AB699*Settings!$C$25)+(Z699*Settings!$C$23)+(AC699*Settings!$C$26)+(AD699*Settings!$C$28)</f>
        <v>-2.4018099171432996</v>
      </c>
      <c r="D699" s="41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>
        <f>(VLOOKUP($A699,'The List'!$B1:$AR727,35,FALSE)-AVERAGE('The List'!AJ2:AJ727))/STDEV('The List'!AJ2:AJ727)</f>
        <v>-0.93323106977690062</v>
      </c>
      <c r="X699" s="39">
        <f>(VLOOKUP($A699,'The List'!$B1:$AR727,36,FALSE)-AVERAGE('The List'!AK2:AK727))/STDEV('The List'!AK2:AK727)</f>
        <v>-0.89790922247997962</v>
      </c>
      <c r="Y699" s="39">
        <f>(VLOOKUP($A699,'The List'!$B1:$AR727,37,FALSE)-AVERAGE('The List'!AL2:AL727))/STDEV('The List'!AL2:AL727)*-1</f>
        <v>0.7473200506699671</v>
      </c>
      <c r="Z699" s="39">
        <f>(VLOOKUP($A699,'The List'!$B1:$AR727,38,FALSE)-AVERAGE('The List'!AM2:AM727))/STDEV('The List'!AM2:AM727)</f>
        <v>-0.93323106977690062</v>
      </c>
      <c r="AA699" s="39">
        <f>(VLOOKUP($A699,'The List'!$B1:$AR727,39,FALSE)-AVERAGE('The List'!AN2:AN727))/STDEV('The List'!AN2:AN727)</f>
        <v>-0.73540185250469137</v>
      </c>
      <c r="AB699" s="39">
        <f>(VLOOKUP($A699,'The List'!$B1:$AR727,40,FALSE)-AVERAGE('The List'!AO2:AO727))/STDEV('The List'!AO2:AO727)</f>
        <v>-0.93990535882058512</v>
      </c>
      <c r="AC699" s="39">
        <f>(VLOOKUP($A699,'The List'!$B1:$AR727,42,FALSE)-AVERAGE('The List'!AQ2:AQ727))/STDEV('The List'!AQ2:AQ727)</f>
        <v>-0.48989422194988697</v>
      </c>
      <c r="AD699" s="39">
        <f>(VLOOKUP($A699,'The List'!$B1:$AR727,43,FALSE)-AVERAGE('The List'!AR2:AR727))/STDEV('The List'!AR2:AR727)*-1</f>
        <v>-0.2786046202087416</v>
      </c>
      <c r="AE699" s="39"/>
    </row>
    <row r="700" spans="1:31" ht="21.25" customHeight="1" x14ac:dyDescent="0.15">
      <c r="A700" s="8" t="s">
        <v>123</v>
      </c>
      <c r="B700" s="35" t="str">
        <f>VLOOKUP(A700,'Player Data'!A1:B734,2,FALSE)</f>
        <v>NYR</v>
      </c>
      <c r="C700" s="37">
        <f>(W700*Settings!$C$29)+(X700*Settings!$C$21)+(Y700*Settings!$C$22)+(AA700*Settings!$C$24)+(AB700*Settings!$C$25)+(Z700*Settings!$C$23)+(AC700*Settings!$C$26)+(AD700*Settings!$C$28)</f>
        <v>9.2980335023863709</v>
      </c>
      <c r="D700" s="41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>
        <f>(VLOOKUP($A700,'The List'!$B1:$AR727,35,FALSE)-AVERAGE('The List'!AJ2:AJ727))/STDEV('The List'!AJ2:AJ727)</f>
        <v>1.3631465064156971</v>
      </c>
      <c r="X700" s="39">
        <f>(VLOOKUP($A700,'The List'!$B1:$AR727,36,FALSE)-AVERAGE('The List'!AK2:AK727))/STDEV('The List'!AK2:AK727)</f>
        <v>2.0694625332728309</v>
      </c>
      <c r="Y700" s="39">
        <f>(VLOOKUP($A700,'The List'!$B1:$AR727,37,FALSE)-AVERAGE('The List'!AL2:AL727))/STDEV('The List'!AL2:AL727)*-1</f>
        <v>5.0838996782926929E-2</v>
      </c>
      <c r="Z700" s="39">
        <f>(VLOOKUP($A700,'The List'!$B1:$AR727,38,FALSE)-AVERAGE('The List'!AM2:AM727))/STDEV('The List'!AM2:AM727)</f>
        <v>1.3631465064156971</v>
      </c>
      <c r="AA700" s="39">
        <f>(VLOOKUP($A700,'The List'!$B1:$AR727,39,FALSE)-AVERAGE('The List'!AN2:AN727))/STDEV('The List'!AN2:AN727)</f>
        <v>2.1542918492119734</v>
      </c>
      <c r="AB700" s="39">
        <f>(VLOOKUP($A700,'The List'!$B1:$AR727,40,FALSE)-AVERAGE('The List'!AO2:AO727))/STDEV('The List'!AO2:AO727)</f>
        <v>1.3863606384071454</v>
      </c>
      <c r="AC700" s="39">
        <f>(VLOOKUP($A700,'The List'!$B1:$AR727,42,FALSE)-AVERAGE('The List'!AQ2:AQ727))/STDEV('The List'!AQ2:AQ727)</f>
        <v>2.7094812771815873</v>
      </c>
      <c r="AD700" s="39">
        <f>(VLOOKUP($A700,'The List'!$B1:$AR727,43,FALSE)-AVERAGE('The List'!AR2:AR727))/STDEV('The List'!AR2:AR727)*-1</f>
        <v>2.3647978427199798</v>
      </c>
      <c r="AE700" s="39"/>
    </row>
    <row r="701" spans="1:31" ht="21.25" customHeight="1" x14ac:dyDescent="0.15">
      <c r="A701" s="8" t="s">
        <v>707</v>
      </c>
      <c r="B701" s="35" t="str">
        <f>VLOOKUP(A701,'Player Data'!A1:B734,2,FALSE)</f>
        <v>NYR</v>
      </c>
      <c r="C701" s="37">
        <f>(W701*Settings!$C$29)+(X701*Settings!$C$21)+(Y701*Settings!$C$22)+(AA701*Settings!$C$24)+(AB701*Settings!$C$25)+(Z701*Settings!$C$23)+(AC701*Settings!$C$26)+(AD701*Settings!$C$28)</f>
        <v>-3.9377402341050201</v>
      </c>
      <c r="D701" s="41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>
        <f>(VLOOKUP($A701,'The List'!$B1:$AR727,35,FALSE)-AVERAGE('The List'!AJ2:AJ727))/STDEV('The List'!AJ2:AJ727)</f>
        <v>-0.67807800575550092</v>
      </c>
      <c r="X701" s="39">
        <f>(VLOOKUP($A701,'The List'!$B1:$AR727,36,FALSE)-AVERAGE('The List'!AK2:AK727))/STDEV('The List'!AK2:AK727)</f>
        <v>-0.46348232285550894</v>
      </c>
      <c r="Y701" s="39">
        <f>(VLOOKUP($A701,'The List'!$B1:$AR727,37,FALSE)-AVERAGE('The List'!AL2:AL727))/STDEV('The List'!AL2:AL727)*-1</f>
        <v>0.82778062833546417</v>
      </c>
      <c r="Z701" s="39">
        <f>(VLOOKUP($A701,'The List'!$B1:$AR727,38,FALSE)-AVERAGE('The List'!AM2:AM727))/STDEV('The List'!AM2:AM727)</f>
        <v>-0.67807800575550092</v>
      </c>
      <c r="AA701" s="39">
        <f>(VLOOKUP($A701,'The List'!$B1:$AR727,39,FALSE)-AVERAGE('The List'!AN2:AN727))/STDEV('The List'!AN2:AN727)</f>
        <v>-0.84114849733299735</v>
      </c>
      <c r="AB701" s="39">
        <f>(VLOOKUP($A701,'The List'!$B1:$AR727,40,FALSE)-AVERAGE('The List'!AO2:AO727))/STDEV('The List'!AO2:AO727)</f>
        <v>-0.70570531079688992</v>
      </c>
      <c r="AC701" s="39">
        <f>(VLOOKUP($A701,'The List'!$B1:$AR727,42,FALSE)-AVERAGE('The List'!AQ2:AQ727))/STDEV('The List'!AQ2:AQ727)</f>
        <v>-1.5158432832127349</v>
      </c>
      <c r="AD701" s="39">
        <f>(VLOOKUP($A701,'The List'!$B1:$AR727,43,FALSE)-AVERAGE('The List'!AR2:AR727))/STDEV('The List'!AR2:AR727)*-1</f>
        <v>-1.1172661307037788</v>
      </c>
      <c r="AE701" s="39"/>
    </row>
    <row r="702" spans="1:31" ht="21.25" customHeight="1" x14ac:dyDescent="0.15">
      <c r="A702" s="8" t="s">
        <v>287</v>
      </c>
      <c r="B702" s="35" t="str">
        <f>VLOOKUP(A702,'Player Data'!A1:B734,2,FALSE)</f>
        <v>OTT</v>
      </c>
      <c r="C702" s="37">
        <f>(W702*Settings!$C$29)+(X702*Settings!$C$21)+(Y702*Settings!$C$22)+(AA702*Settings!$C$24)+(AB702*Settings!$C$25)+(Z702*Settings!$C$23)+(AC702*Settings!$C$26)+(AD702*Settings!$C$28)</f>
        <v>1.4107229697070567</v>
      </c>
      <c r="D702" s="41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>
        <f>(VLOOKUP($A702,'The List'!$B1:$AR727,35,FALSE)-AVERAGE('The List'!AJ2:AJ727))/STDEV('The List'!AJ2:AJ727)</f>
        <v>0.5976873143514978</v>
      </c>
      <c r="X702" s="39">
        <f>(VLOOKUP($A702,'The List'!$B1:$AR727,36,FALSE)-AVERAGE('The List'!AK2:AK727))/STDEV('The List'!AK2:AK727)</f>
        <v>0.6286912804773237</v>
      </c>
      <c r="Y702" s="39">
        <f>(VLOOKUP($A702,'The List'!$B1:$AR727,37,FALSE)-AVERAGE('The List'!AL2:AL727))/STDEV('The List'!AL2:AL727)*-1</f>
        <v>-0.39778818676481698</v>
      </c>
      <c r="Z702" s="39">
        <f>(VLOOKUP($A702,'The List'!$B1:$AR727,38,FALSE)-AVERAGE('The List'!AM2:AM727))/STDEV('The List'!AM2:AM727)</f>
        <v>0.5976873143514978</v>
      </c>
      <c r="AA702" s="39">
        <f>(VLOOKUP($A702,'The List'!$B1:$AR727,39,FALSE)-AVERAGE('The List'!AN2:AN727))/STDEV('The List'!AN2:AN727)</f>
        <v>0.36523756904777815</v>
      </c>
      <c r="AB702" s="39">
        <f>(VLOOKUP($A702,'The List'!$B1:$AR727,40,FALSE)-AVERAGE('The List'!AO2:AO727))/STDEV('The List'!AO2:AO727)</f>
        <v>0.55573596643269085</v>
      </c>
      <c r="AC702" s="39">
        <f>(VLOOKUP($A702,'The List'!$B1:$AR727,42,FALSE)-AVERAGE('The List'!AQ2:AQ727))/STDEV('The List'!AQ2:AQ727)</f>
        <v>0.14694942265063082</v>
      </c>
      <c r="AD702" s="39">
        <f>(VLOOKUP($A702,'The List'!$B1:$AR727,43,FALSE)-AVERAGE('The List'!AR2:AR727))/STDEV('The List'!AR2:AR727)*-1</f>
        <v>0.26984469753132406</v>
      </c>
      <c r="AE702" s="39"/>
    </row>
    <row r="703" spans="1:31" ht="21.25" customHeight="1" x14ac:dyDescent="0.15">
      <c r="A703" s="8" t="s">
        <v>410</v>
      </c>
      <c r="B703" s="35" t="str">
        <f>VLOOKUP(A703,'Player Data'!A1:B734,2,FALSE)</f>
        <v>OTT</v>
      </c>
      <c r="C703" s="37">
        <f>(W703*Settings!$C$29)+(X703*Settings!$C$21)+(Y703*Settings!$C$22)+(AA703*Settings!$C$24)+(AB703*Settings!$C$25)+(Z703*Settings!$C$23)+(AC703*Settings!$C$26)+(AD703*Settings!$C$28)</f>
        <v>0.75823595501961316</v>
      </c>
      <c r="D703" s="41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>
        <f>(VLOOKUP($A703,'The List'!$B1:$AR727,35,FALSE)-AVERAGE('The List'!AJ2:AJ727))/STDEV('The List'!AJ2:AJ727)</f>
        <v>-4.0195345702001548E-2</v>
      </c>
      <c r="X703" s="39">
        <f>(VLOOKUP($A703,'The List'!$B1:$AR727,36,FALSE)-AVERAGE('The List'!AK2:AK727))/STDEV('The List'!AK2:AK727)</f>
        <v>6.674550724763384E-2</v>
      </c>
      <c r="Y703" s="39">
        <f>(VLOOKUP($A703,'The List'!$B1:$AR727,37,FALSE)-AVERAGE('The List'!AL2:AL727))/STDEV('The List'!AL2:AL727)*-1</f>
        <v>0.19109130795202128</v>
      </c>
      <c r="Z703" s="39">
        <f>(VLOOKUP($A703,'The List'!$B1:$AR727,38,FALSE)-AVERAGE('The List'!AM2:AM727))/STDEV('The List'!AM2:AM727)</f>
        <v>-4.0195345702001548E-2</v>
      </c>
      <c r="AA703" s="39">
        <f>(VLOOKUP($A703,'The List'!$B1:$AR727,39,FALSE)-AVERAGE('The List'!AN2:AN727))/STDEV('The List'!AN2:AN727)</f>
        <v>1.0877962731136214E-2</v>
      </c>
      <c r="AB703" s="39">
        <f>(VLOOKUP($A703,'The List'!$B1:$AR727,40,FALSE)-AVERAGE('The List'!AO2:AO727))/STDEV('The List'!AO2:AO727)</f>
        <v>-6.3619803990631607E-2</v>
      </c>
      <c r="AC703" s="39">
        <f>(VLOOKUP($A703,'The List'!$B1:$AR727,42,FALSE)-AVERAGE('The List'!AQ2:AQ727))/STDEV('The List'!AQ2:AQ727)</f>
        <v>0.28916081574311253</v>
      </c>
      <c r="AD703" s="39">
        <f>(VLOOKUP($A703,'The List'!$B1:$AR727,43,FALSE)-AVERAGE('The List'!AR2:AR727))/STDEV('The List'!AR2:AR727)*-1</f>
        <v>0.39145166929773051</v>
      </c>
      <c r="AE703" s="39"/>
    </row>
    <row r="704" spans="1:31" ht="21.25" customHeight="1" x14ac:dyDescent="0.15">
      <c r="A704" s="8" t="s">
        <v>266</v>
      </c>
      <c r="B704" s="35" t="str">
        <f>VLOOKUP(A704,'Player Data'!A1:B734,2,FALSE)</f>
        <v>PHI</v>
      </c>
      <c r="C704" s="37">
        <f>(W704*Settings!$C$29)+(X704*Settings!$C$21)+(Y704*Settings!$C$22)+(AA704*Settings!$C$24)+(AB704*Settings!$C$25)+(Z704*Settings!$C$23)+(AC704*Settings!$C$26)+(AD704*Settings!$C$28)</f>
        <v>1.2479157528191003</v>
      </c>
      <c r="D704" s="41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>
        <f>(VLOOKUP($A704,'The List'!$B1:$AR727,35,FALSE)-AVERAGE('The List'!AJ2:AJ727))/STDEV('The List'!AJ2:AJ727)</f>
        <v>0.8528403783728975</v>
      </c>
      <c r="X704" s="39">
        <f>(VLOOKUP($A704,'The List'!$B1:$AR727,36,FALSE)-AVERAGE('The List'!AK2:AK727))/STDEV('The List'!AK2:AK727)</f>
        <v>6.8381543017507901E-2</v>
      </c>
      <c r="Y704" s="39">
        <f>(VLOOKUP($A704,'The List'!$B1:$AR727,37,FALSE)-AVERAGE('The List'!AL2:AL727))/STDEV('The List'!AL2:AL727)*-1</f>
        <v>-1.8167371077997334</v>
      </c>
      <c r="Z704" s="39">
        <f>(VLOOKUP($A704,'The List'!$B1:$AR727,38,FALSE)-AVERAGE('The List'!AM2:AM727))/STDEV('The List'!AM2:AM727)</f>
        <v>0.8528403783728975</v>
      </c>
      <c r="AA704" s="39">
        <f>(VLOOKUP($A704,'The List'!$B1:$AR727,39,FALSE)-AVERAGE('The List'!AN2:AN727))/STDEV('The List'!AN2:AN727)</f>
        <v>0.58456138434012939</v>
      </c>
      <c r="AB704" s="39">
        <f>(VLOOKUP($A704,'The List'!$B1:$AR727,40,FALSE)-AVERAGE('The List'!AO2:AO727))/STDEV('The List'!AO2:AO727)</f>
        <v>0.87133949192899141</v>
      </c>
      <c r="AC704" s="39">
        <f>(VLOOKUP($A704,'The List'!$B1:$AR727,42,FALSE)-AVERAGE('The List'!AQ2:AQ727))/STDEV('The List'!AQ2:AQ727)</f>
        <v>0.39743243526006222</v>
      </c>
      <c r="AD704" s="39">
        <f>(VLOOKUP($A704,'The List'!$B1:$AR727,43,FALSE)-AVERAGE('The List'!AR2:AR727))/STDEV('The List'!AR2:AR727)*-1</f>
        <v>0.19754039020140074</v>
      </c>
      <c r="AE704" s="39"/>
    </row>
    <row r="705" spans="1:31" ht="21.25" customHeight="1" x14ac:dyDescent="0.15">
      <c r="A705" s="8" t="s">
        <v>710</v>
      </c>
      <c r="B705" s="35" t="str">
        <f>VLOOKUP(A705,'Player Data'!A1:B734,2,FALSE)</f>
        <v>PHI</v>
      </c>
      <c r="C705" s="37">
        <f>(W705*Settings!$C$29)+(X705*Settings!$C$21)+(Y705*Settings!$C$22)+(AA705*Settings!$C$24)+(AB705*Settings!$C$25)+(Z705*Settings!$C$23)+(AC705*Settings!$C$26)+(AD705*Settings!$C$28)</f>
        <v>-3.8834022427421355</v>
      </c>
      <c r="D705" s="41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>
        <f>(VLOOKUP($A705,'The List'!$B1:$AR727,35,FALSE)-AVERAGE('The List'!AJ2:AJ727))/STDEV('The List'!AJ2:AJ727)</f>
        <v>-0.67807800575550092</v>
      </c>
      <c r="X705" s="39">
        <f>(VLOOKUP($A705,'The List'!$B1:$AR727,36,FALSE)-AVERAGE('The List'!AK2:AK727))/STDEV('The List'!AK2:AK727)</f>
        <v>-0.96215585927639491</v>
      </c>
      <c r="Y705" s="39">
        <f>(VLOOKUP($A705,'The List'!$B1:$AR727,37,FALSE)-AVERAGE('The List'!AL2:AL727))/STDEV('The List'!AL2:AL727)*-1</f>
        <v>7.6108467700400348E-2</v>
      </c>
      <c r="Z705" s="39">
        <f>(VLOOKUP($A705,'The List'!$B1:$AR727,38,FALSE)-AVERAGE('The List'!AM2:AM727))/STDEV('The List'!AM2:AM727)</f>
        <v>-0.67807800575550092</v>
      </c>
      <c r="AA705" s="39">
        <f>(VLOOKUP($A705,'The List'!$B1:$AR727,39,FALSE)-AVERAGE('The List'!AN2:AN727))/STDEV('The List'!AN2:AN727)</f>
        <v>-0.84520496738427164</v>
      </c>
      <c r="AB705" s="39">
        <f>(VLOOKUP($A705,'The List'!$B1:$AR727,40,FALSE)-AVERAGE('The List'!AO2:AO727))/STDEV('The List'!AO2:AO727)</f>
        <v>-0.65038934524309622</v>
      </c>
      <c r="AC705" s="39">
        <f>(VLOOKUP($A705,'The List'!$B1:$AR727,42,FALSE)-AVERAGE('The List'!AQ2:AQ727))/STDEV('The List'!AQ2:AQ727)</f>
        <v>-0.9446605362100513</v>
      </c>
      <c r="AD705" s="39">
        <f>(VLOOKUP($A705,'The List'!$B1:$AR727,43,FALSE)-AVERAGE('The List'!AR2:AR727))/STDEV('The List'!AR2:AR727)*-1</f>
        <v>-1.1313808798714176</v>
      </c>
      <c r="AE705" s="39"/>
    </row>
    <row r="706" spans="1:31" ht="21.25" customHeight="1" x14ac:dyDescent="0.15">
      <c r="A706" s="8" t="s">
        <v>831</v>
      </c>
      <c r="B706" s="35" t="str">
        <f>VLOOKUP(A706,'Player Data'!A1:B734,2,FALSE)</f>
        <v>PHI</v>
      </c>
      <c r="C706" s="37">
        <f>(W706*Settings!$C$29)+(X706*Settings!$C$21)+(Y706*Settings!$C$22)+(AA706*Settings!$C$24)+(AB706*Settings!$C$25)+(Z706*Settings!$C$23)+(AC706*Settings!$C$26)+(AD706*Settings!$C$28)</f>
        <v>-5.8091497023076375</v>
      </c>
      <c r="D706" s="41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>
        <f>(VLOOKUP($A706,'The List'!$B1:$AR727,35,FALSE)-AVERAGE('The List'!AJ2:AJ727))/STDEV('The List'!AJ2:AJ727)</f>
        <v>-1.5711137298304001</v>
      </c>
      <c r="X706" s="39">
        <f>(VLOOKUP($A706,'The List'!$B1:$AR727,36,FALSE)-AVERAGE('The List'!AK2:AK727))/STDEV('The List'!AK2:AK727)</f>
        <v>-1.5267531486174004</v>
      </c>
      <c r="Y706" s="39">
        <f>(VLOOKUP($A706,'The List'!$B1:$AR727,37,FALSE)-AVERAGE('The List'!AL2:AL727))/STDEV('The List'!AL2:AL727)*-1</f>
        <v>1.2353610699795052</v>
      </c>
      <c r="Z706" s="39">
        <f>(VLOOKUP($A706,'The List'!$B1:$AR727,38,FALSE)-AVERAGE('The List'!AM2:AM727))/STDEV('The List'!AM2:AM727)</f>
        <v>-1.5711137298304001</v>
      </c>
      <c r="AA706" s="39">
        <f>(VLOOKUP($A706,'The List'!$B1:$AR727,39,FALSE)-AVERAGE('The List'!AN2:AN727))/STDEV('The List'!AN2:AN727)</f>
        <v>-1.2304811018205579</v>
      </c>
      <c r="AB706" s="39">
        <f>(VLOOKUP($A706,'The List'!$B1:$AR727,40,FALSE)-AVERAGE('The List'!AO2:AO727))/STDEV('The List'!AO2:AO727)</f>
        <v>-1.5434407728361836</v>
      </c>
      <c r="AC706" s="39">
        <f>(VLOOKUP($A706,'The List'!$B1:$AR727,42,FALSE)-AVERAGE('The List'!AQ2:AQ727))/STDEV('The List'!AQ2:AQ727)</f>
        <v>-1.4631818412744544</v>
      </c>
      <c r="AD706" s="39">
        <f>(VLOOKUP($A706,'The List'!$B1:$AR727,43,FALSE)-AVERAGE('The List'!AR2:AR727))/STDEV('The List'!AR2:AR727)*-1</f>
        <v>-1.5887336105952248</v>
      </c>
      <c r="AE706" s="39"/>
    </row>
    <row r="707" spans="1:31" ht="21.25" customHeight="1" x14ac:dyDescent="0.15">
      <c r="A707" s="8" t="s">
        <v>168</v>
      </c>
      <c r="B707" s="35" t="str">
        <f>VLOOKUP(A707,'Player Data'!A1:B734,2,FALSE)</f>
        <v>PIT</v>
      </c>
      <c r="C707" s="37">
        <f>(W707*Settings!$C$29)+(X707*Settings!$C$21)+(Y707*Settings!$C$22)+(AA707*Settings!$C$24)+(AB707*Settings!$C$25)+(Z707*Settings!$C$23)+(AC707*Settings!$C$26)+(AD707*Settings!$C$28)</f>
        <v>5.6434758006669608</v>
      </c>
      <c r="D707" s="41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>
        <f>(VLOOKUP($A707,'The List'!$B1:$AR727,35,FALSE)-AVERAGE('The List'!AJ2:AJ727))/STDEV('The List'!AJ2:AJ727)</f>
        <v>1.2355699744049971</v>
      </c>
      <c r="X707" s="39">
        <f>(VLOOKUP($A707,'The List'!$B1:$AR727,36,FALSE)-AVERAGE('The List'!AK2:AK727))/STDEV('The List'!AK2:AK727)</f>
        <v>1.3127477087785835</v>
      </c>
      <c r="Y707" s="39">
        <f>(VLOOKUP($A707,'The List'!$B1:$AR727,37,FALSE)-AVERAGE('The List'!AL2:AL727))/STDEV('The List'!AL2:AL727)*-1</f>
        <v>-0.8026050167712091</v>
      </c>
      <c r="Z707" s="39">
        <f>(VLOOKUP($A707,'The List'!$B1:$AR727,38,FALSE)-AVERAGE('The List'!AM2:AM727))/STDEV('The List'!AM2:AM727)</f>
        <v>1.2355699744049971</v>
      </c>
      <c r="AA707" s="39">
        <f>(VLOOKUP($A707,'The List'!$B1:$AR727,39,FALSE)-AVERAGE('The List'!AN2:AN727))/STDEV('The List'!AN2:AN727)</f>
        <v>1.4920839116675999</v>
      </c>
      <c r="AB707" s="39">
        <f>(VLOOKUP($A707,'The List'!$B1:$AR727,40,FALSE)-AVERAGE('The List'!AO2:AO727))/STDEV('The List'!AO2:AO727)</f>
        <v>1.2036765171959545</v>
      </c>
      <c r="AC707" s="39">
        <f>(VLOOKUP($A707,'The List'!$B1:$AR727,42,FALSE)-AVERAGE('The List'!AQ2:AQ727))/STDEV('The List'!AQ2:AQ727)</f>
        <v>1.4507368704317036</v>
      </c>
      <c r="AD707" s="39">
        <f>(VLOOKUP($A707,'The List'!$B1:$AR727,43,FALSE)-AVERAGE('The List'!AR2:AR727))/STDEV('The List'!AR2:AR727)*-1</f>
        <v>1.3879073097890733</v>
      </c>
      <c r="AE707" s="39"/>
    </row>
    <row r="708" spans="1:31" ht="21.25" customHeight="1" x14ac:dyDescent="0.15">
      <c r="A708" s="8" t="s">
        <v>663</v>
      </c>
      <c r="B708" s="35" t="str">
        <f>VLOOKUP(A708,'Player Data'!A1:B734,2,FALSE)</f>
        <v>PIT</v>
      </c>
      <c r="C708" s="37">
        <f>(W708*Settings!$C$29)+(X708*Settings!$C$21)+(Y708*Settings!$C$22)+(AA708*Settings!$C$24)+(AB708*Settings!$C$25)+(Z708*Settings!$C$23)+(AC708*Settings!$C$26)+(AD708*Settings!$C$28)</f>
        <v>-1.6426034766008486</v>
      </c>
      <c r="D708" s="41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>
        <f>(VLOOKUP($A708,'The List'!$B1:$AR727,35,FALSE)-AVERAGE('The List'!AJ2:AJ727))/STDEV('The List'!AJ2:AJ727)</f>
        <v>-0.67807800575550092</v>
      </c>
      <c r="X708" s="39">
        <f>(VLOOKUP($A708,'The List'!$B1:$AR727,36,FALSE)-AVERAGE('The List'!AK2:AK727))/STDEV('The List'!AK2:AK727)</f>
        <v>-0.56058223376379013</v>
      </c>
      <c r="Y708" s="39">
        <f>(VLOOKUP($A708,'The List'!$B1:$AR727,37,FALSE)-AVERAGE('The List'!AL2:AL727))/STDEV('The List'!AL2:AL727)*-1</f>
        <v>0.68141773859050314</v>
      </c>
      <c r="Z708" s="39">
        <f>(VLOOKUP($A708,'The List'!$B1:$AR727,38,FALSE)-AVERAGE('The List'!AM2:AM727))/STDEV('The List'!AM2:AM727)</f>
        <v>-0.67807800575550092</v>
      </c>
      <c r="AA708" s="39">
        <f>(VLOOKUP($A708,'The List'!$B1:$AR727,39,FALSE)-AVERAGE('The List'!AN2:AN727))/STDEV('The List'!AN2:AN727)</f>
        <v>-0.56558090514289561</v>
      </c>
      <c r="AB708" s="39">
        <f>(VLOOKUP($A708,'The List'!$B1:$AR727,40,FALSE)-AVERAGE('The List'!AO2:AO727))/STDEV('The List'!AO2:AO727)</f>
        <v>-0.69186508815216097</v>
      </c>
      <c r="AC708" s="39">
        <f>(VLOOKUP($A708,'The List'!$B1:$AR727,42,FALSE)-AVERAGE('The List'!AQ2:AQ727))/STDEV('The List'!AQ2:AQ727)</f>
        <v>-0.3580294168963527</v>
      </c>
      <c r="AD708" s="39">
        <f>(VLOOKUP($A708,'The List'!$B1:$AR727,43,FALSE)-AVERAGE('The List'!AR2:AR727))/STDEV('The List'!AR2:AR727)*-1</f>
        <v>-0.15841092079781008</v>
      </c>
      <c r="AE708" s="39"/>
    </row>
    <row r="709" spans="1:31" ht="21.25" customHeight="1" x14ac:dyDescent="0.15">
      <c r="A709" s="8" t="s">
        <v>281</v>
      </c>
      <c r="B709" s="35" t="str">
        <f>VLOOKUP(A709,'Player Data'!A1:B734,2,FALSE)</f>
        <v>SEA</v>
      </c>
      <c r="C709" s="37">
        <f>(W709*Settings!$C$29)+(X709*Settings!$C$21)+(Y709*Settings!$C$22)+(AA709*Settings!$C$24)+(AB709*Settings!$C$25)+(Z709*Settings!$C$23)+(AC709*Settings!$C$26)+(AD709*Settings!$C$28)</f>
        <v>1.5987869207147414</v>
      </c>
      <c r="D709" s="41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>
        <f>(VLOOKUP($A709,'The List'!$B1:$AR727,35,FALSE)-AVERAGE('The List'!AJ2:AJ727))/STDEV('The List'!AJ2:AJ727)</f>
        <v>0.78905211236754758</v>
      </c>
      <c r="X709" s="39">
        <f>(VLOOKUP($A709,'The List'!$B1:$AR727,36,FALSE)-AVERAGE('The List'!AK2:AK727))/STDEV('The List'!AK2:AK727)</f>
        <v>0.79271945246365338</v>
      </c>
      <c r="Y709" s="39">
        <f>(VLOOKUP($A709,'The List'!$B1:$AR727,37,FALSE)-AVERAGE('The List'!AL2:AL727))/STDEV('The List'!AL2:AL727)*-1</f>
        <v>-0.5813188275097434</v>
      </c>
      <c r="Z709" s="39">
        <f>(VLOOKUP($A709,'The List'!$B1:$AR727,38,FALSE)-AVERAGE('The List'!AM2:AM727))/STDEV('The List'!AM2:AM727)</f>
        <v>0.78905211236754758</v>
      </c>
      <c r="AA709" s="39">
        <f>(VLOOKUP($A709,'The List'!$B1:$AR727,39,FALSE)-AVERAGE('The List'!AN2:AN727))/STDEV('The List'!AN2:AN727)</f>
        <v>0.50836841632263485</v>
      </c>
      <c r="AB709" s="39">
        <f>(VLOOKUP($A709,'The List'!$B1:$AR727,40,FALSE)-AVERAGE('The List'!AO2:AO727))/STDEV('The List'!AO2:AO727)</f>
        <v>0.63424894848264624</v>
      </c>
      <c r="AC709" s="39">
        <f>(VLOOKUP($A709,'The List'!$B1:$AR727,42,FALSE)-AVERAGE('The List'!AQ2:AQ727))/STDEV('The List'!AQ2:AQ727)</f>
        <v>-0.18477112305950896</v>
      </c>
      <c r="AD709" s="39">
        <f>(VLOOKUP($A709,'The List'!$B1:$AR727,43,FALSE)-AVERAGE('The List'!AR2:AR727))/STDEV('The List'!AR2:AR727)*-1</f>
        <v>0.48247017498796241</v>
      </c>
      <c r="AE709" s="39"/>
    </row>
    <row r="710" spans="1:31" ht="21.25" customHeight="1" x14ac:dyDescent="0.15">
      <c r="A710" s="8" t="s">
        <v>763</v>
      </c>
      <c r="B710" s="35" t="str">
        <f>VLOOKUP(A710,'Player Data'!A1:B734,2,FALSE)</f>
        <v>SEA</v>
      </c>
      <c r="C710" s="37">
        <f>(W710*Settings!$C$29)+(X710*Settings!$C$21)+(Y710*Settings!$C$22)+(AA710*Settings!$C$24)+(AB710*Settings!$C$25)+(Z710*Settings!$C$23)+(AC710*Settings!$C$26)+(AD710*Settings!$C$28)</f>
        <v>-2.7935830045668264</v>
      </c>
      <c r="D710" s="41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>
        <f>(VLOOKUP($A710,'The List'!$B1:$AR727,35,FALSE)-AVERAGE('The List'!AJ2:AJ727))/STDEV('The List'!AJ2:AJ727)</f>
        <v>-0.93323106977690062</v>
      </c>
      <c r="X710" s="39">
        <f>(VLOOKUP($A710,'The List'!$B1:$AR727,36,FALSE)-AVERAGE('The List'!AK2:AK727))/STDEV('The List'!AK2:AK727)</f>
        <v>-0.86206365723046363</v>
      </c>
      <c r="Y710" s="39">
        <f>(VLOOKUP($A710,'The List'!$B1:$AR727,37,FALSE)-AVERAGE('The List'!AL2:AL727))/STDEV('The List'!AL2:AL727)*-1</f>
        <v>0.80135161944675437</v>
      </c>
      <c r="Z710" s="39">
        <f>(VLOOKUP($A710,'The List'!$B1:$AR727,38,FALSE)-AVERAGE('The List'!AM2:AM727))/STDEV('The List'!AM2:AM727)</f>
        <v>-0.93323106977690062</v>
      </c>
      <c r="AA710" s="39">
        <f>(VLOOKUP($A710,'The List'!$B1:$AR727,39,FALSE)-AVERAGE('The List'!AN2:AN727))/STDEV('The List'!AN2:AN727)</f>
        <v>-0.69980160682057402</v>
      </c>
      <c r="AB710" s="39">
        <f>(VLOOKUP($A710,'The List'!$B1:$AR727,40,FALSE)-AVERAGE('The List'!AO2:AO727))/STDEV('The List'!AO2:AO727)</f>
        <v>-0.99994073586512267</v>
      </c>
      <c r="AC710" s="39">
        <f>(VLOOKUP($A710,'The List'!$B1:$AR727,42,FALSE)-AVERAGE('The List'!AQ2:AQ727))/STDEV('The List'!AQ2:AQ727)</f>
        <v>-1.1017611414049719</v>
      </c>
      <c r="AD710" s="39">
        <f>(VLOOKUP($A710,'The List'!$B1:$AR727,43,FALSE)-AVERAGE('The List'!AR2:AR727))/STDEV('The List'!AR2:AR727)*-1</f>
        <v>-0.12995659911081711</v>
      </c>
      <c r="AE710" s="39"/>
    </row>
    <row r="711" spans="1:31" ht="21.25" customHeight="1" x14ac:dyDescent="0.15">
      <c r="A711" s="8" t="s">
        <v>805</v>
      </c>
      <c r="B711" s="35" t="str">
        <f>VLOOKUP(A711,'Player Data'!A1:B734,2,FALSE)</f>
        <v>SEA</v>
      </c>
      <c r="C711" s="37">
        <f>(W711*Settings!$C$29)+(X711*Settings!$C$21)+(Y711*Settings!$C$22)+(AA711*Settings!$C$24)+(AB711*Settings!$C$25)+(Z711*Settings!$C$23)+(AC711*Settings!$C$26)+(AD711*Settings!$C$28)</f>
        <v>-2.9088664527188324</v>
      </c>
      <c r="D711" s="41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>
        <f>(VLOOKUP($A711,'The List'!$B1:$AR727,35,FALSE)-AVERAGE('The List'!AJ2:AJ727))/STDEV('The List'!AJ2:AJ727)</f>
        <v>-1.2521723998036502</v>
      </c>
      <c r="X711" s="39">
        <f>(VLOOKUP($A711,'The List'!$B1:$AR727,36,FALSE)-AVERAGE('The List'!AK2:AK727))/STDEV('The List'!AK2:AK727)</f>
        <v>-1.1128982602528414</v>
      </c>
      <c r="Y711" s="39">
        <f>(VLOOKUP($A711,'The List'!$B1:$AR727,37,FALSE)-AVERAGE('The List'!AL2:AL727))/STDEV('The List'!AL2:AL727)*-1</f>
        <v>1.1412201034258826</v>
      </c>
      <c r="Z711" s="39">
        <f>(VLOOKUP($A711,'The List'!$B1:$AR727,38,FALSE)-AVERAGE('The List'!AM2:AM727))/STDEV('The List'!AM2:AM727)</f>
        <v>-1.2521723998036502</v>
      </c>
      <c r="AA711" s="39">
        <f>(VLOOKUP($A711,'The List'!$B1:$AR727,39,FALSE)-AVERAGE('The List'!AN2:AN727))/STDEV('The List'!AN2:AN727)</f>
        <v>-0.85436785211155741</v>
      </c>
      <c r="AB711" s="39">
        <f>(VLOOKUP($A711,'The List'!$B1:$AR727,40,FALSE)-AVERAGE('The List'!AO2:AO727))/STDEV('The List'!AO2:AO727)</f>
        <v>-1.2934979732867395</v>
      </c>
      <c r="AC711" s="39">
        <f>(VLOOKUP($A711,'The List'!$B1:$AR727,42,FALSE)-AVERAGE('The List'!AQ2:AQ727))/STDEV('The List'!AQ2:AQ727)</f>
        <v>-0.9420944099483235</v>
      </c>
      <c r="AD711" s="39">
        <f>(VLOOKUP($A711,'The List'!$B1:$AR727,43,FALSE)-AVERAGE('The List'!AR2:AR727))/STDEV('The List'!AR2:AR727)*-1</f>
        <v>4.9406959388981339E-4</v>
      </c>
      <c r="AE711" s="39"/>
    </row>
    <row r="712" spans="1:31" ht="21.25" customHeight="1" x14ac:dyDescent="0.15">
      <c r="A712" s="8" t="s">
        <v>341</v>
      </c>
      <c r="B712" s="35" t="str">
        <f>VLOOKUP(A712,'Player Data'!A1:B734,2,FALSE)</f>
        <v>SJS</v>
      </c>
      <c r="C712" s="37">
        <f>(W712*Settings!$C$29)+(X712*Settings!$C$21)+(Y712*Settings!$C$22)+(AA712*Settings!$C$24)+(AB712*Settings!$C$25)+(Z712*Settings!$C$23)+(AC712*Settings!$C$26)+(AD712*Settings!$C$28)</f>
        <v>-2.1430385030063417</v>
      </c>
      <c r="D712" s="41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>
        <f>(VLOOKUP($A712,'The List'!$B1:$AR727,35,FALSE)-AVERAGE('The List'!AJ2:AJ727))/STDEV('The List'!AJ2:AJ727)</f>
        <v>0.5976873143514978</v>
      </c>
      <c r="X712" s="39">
        <f>(VLOOKUP($A712,'The List'!$B1:$AR727,36,FALSE)-AVERAGE('The List'!AK2:AK727))/STDEV('The List'!AK2:AK727)</f>
        <v>-0.15764374021272184</v>
      </c>
      <c r="Y712" s="39">
        <f>(VLOOKUP($A712,'The List'!$B1:$AR727,37,FALSE)-AVERAGE('The List'!AL2:AL727))/STDEV('The List'!AL2:AL727)*-1</f>
        <v>-1.5830649275907787</v>
      </c>
      <c r="Z712" s="39">
        <f>(VLOOKUP($A712,'The List'!$B1:$AR727,38,FALSE)-AVERAGE('The List'!AM2:AM727))/STDEV('The List'!AM2:AM727)</f>
        <v>0.5976873143514978</v>
      </c>
      <c r="AA712" s="39">
        <f>(VLOOKUP($A712,'The List'!$B1:$AR727,39,FALSE)-AVERAGE('The List'!AN2:AN727))/STDEV('The List'!AN2:AN727)</f>
        <v>-0.26746251190708531</v>
      </c>
      <c r="AB712" s="39">
        <f>(VLOOKUP($A712,'The List'!$B1:$AR727,40,FALSE)-AVERAGE('The List'!AO2:AO727))/STDEV('The List'!AO2:AO727)</f>
        <v>0.68359915324185572</v>
      </c>
      <c r="AC712" s="39">
        <f>(VLOOKUP($A712,'The List'!$B1:$AR727,42,FALSE)-AVERAGE('The List'!AQ2:AQ727))/STDEV('The List'!AQ2:AQ727)</f>
        <v>-0.59785936633942349</v>
      </c>
      <c r="AD712" s="39">
        <f>(VLOOKUP($A712,'The List'!$B1:$AR727,43,FALSE)-AVERAGE('The List'!AR2:AR727))/STDEV('The List'!AR2:AR727)*-1</f>
        <v>-1.1200728845471111</v>
      </c>
      <c r="AE712" s="39"/>
    </row>
    <row r="713" spans="1:31" ht="21.25" customHeight="1" x14ac:dyDescent="0.15">
      <c r="A713" s="8" t="s">
        <v>557</v>
      </c>
      <c r="B713" s="35" t="str">
        <f>VLOOKUP(A713,'Player Data'!A1:B734,2,FALSE)</f>
        <v>SJS</v>
      </c>
      <c r="C713" s="37">
        <f>(W713*Settings!$C$29)+(X713*Settings!$C$21)+(Y713*Settings!$C$22)+(AA713*Settings!$C$24)+(AB713*Settings!$C$25)+(Z713*Settings!$C$23)+(AC713*Settings!$C$26)+(AD713*Settings!$C$28)</f>
        <v>-2.9725196248425498</v>
      </c>
      <c r="D713" s="41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>
        <f>(VLOOKUP($A713,'The List'!$B1:$AR727,35,FALSE)-AVERAGE('The List'!AJ2:AJ727))/STDEV('The List'!AJ2:AJ727)</f>
        <v>-0.29534840972340126</v>
      </c>
      <c r="X713" s="39">
        <f>(VLOOKUP($A713,'The List'!$B1:$AR727,36,FALSE)-AVERAGE('The List'!AK2:AK727))/STDEV('The List'!AK2:AK727)</f>
        <v>-0.66756527196967741</v>
      </c>
      <c r="Y713" s="39">
        <f>(VLOOKUP($A713,'The List'!$B1:$AR727,37,FALSE)-AVERAGE('The List'!AL2:AL727))/STDEV('The List'!AL2:AL727)*-1</f>
        <v>-0.34139719429723281</v>
      </c>
      <c r="Z713" s="39">
        <f>(VLOOKUP($A713,'The List'!$B1:$AR727,38,FALSE)-AVERAGE('The List'!AM2:AM727))/STDEV('The List'!AM2:AM727)</f>
        <v>-0.29534840972340126</v>
      </c>
      <c r="AA713" s="39">
        <f>(VLOOKUP($A713,'The List'!$B1:$AR727,39,FALSE)-AVERAGE('The List'!AN2:AN727))/STDEV('The List'!AN2:AN727)</f>
        <v>-0.70824839553544183</v>
      </c>
      <c r="AB713" s="39">
        <f>(VLOOKUP($A713,'The List'!$B1:$AR727,40,FALSE)-AVERAGE('The List'!AO2:AO727))/STDEV('The List'!AO2:AO727)</f>
        <v>-0.20506313223897049</v>
      </c>
      <c r="AC713" s="39">
        <f>(VLOOKUP($A713,'The List'!$B1:$AR727,42,FALSE)-AVERAGE('The List'!AQ2:AQ727))/STDEV('The List'!AQ2:AQ727)</f>
        <v>-0.45226862171368154</v>
      </c>
      <c r="AD713" s="39">
        <f>(VLOOKUP($A713,'The List'!$B1:$AR727,43,FALSE)-AVERAGE('The List'!AR2:AR727))/STDEV('The List'!AR2:AR727)*-1</f>
        <v>-1.1444373356237492</v>
      </c>
      <c r="AE713" s="39"/>
    </row>
    <row r="714" spans="1:31" ht="21.25" customHeight="1" x14ac:dyDescent="0.15">
      <c r="A714" s="8" t="s">
        <v>203</v>
      </c>
      <c r="B714" s="35" t="str">
        <f>VLOOKUP(A714,'Player Data'!A1:B734,2,FALSE)</f>
        <v>STL</v>
      </c>
      <c r="C714" s="37">
        <f>(W714*Settings!$C$29)+(X714*Settings!$C$21)+(Y714*Settings!$C$22)+(AA714*Settings!$C$24)+(AB714*Settings!$C$25)+(Z714*Settings!$C$23)+(AC714*Settings!$C$26)+(AD714*Settings!$C$28)</f>
        <v>0.90366819721695313</v>
      </c>
      <c r="D714" s="41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>
        <f>(VLOOKUP($A714,'The List'!$B1:$AR727,35,FALSE)-AVERAGE('The List'!AJ2:AJ727))/STDEV('The List'!AJ2:AJ727)</f>
        <v>1.6182995704370968</v>
      </c>
      <c r="X714" s="39">
        <f>(VLOOKUP($A714,'The List'!$B1:$AR727,36,FALSE)-AVERAGE('The List'!AK2:AK727))/STDEV('The List'!AK2:AK727)</f>
        <v>0.72573206200065132</v>
      </c>
      <c r="Y714" s="39">
        <f>(VLOOKUP($A714,'The List'!$B1:$AR727,37,FALSE)-AVERAGE('The List'!AL2:AL727))/STDEV('The List'!AL2:AL727)*-1</f>
        <v>-2.5489938345905347</v>
      </c>
      <c r="Z714" s="39">
        <f>(VLOOKUP($A714,'The List'!$B1:$AR727,38,FALSE)-AVERAGE('The List'!AM2:AM727))/STDEV('The List'!AM2:AM727)</f>
        <v>1.6182995704370968</v>
      </c>
      <c r="AA714" s="39">
        <f>(VLOOKUP($A714,'The List'!$B1:$AR727,39,FALSE)-AVERAGE('The List'!AN2:AN727))/STDEV('The List'!AN2:AN727)</f>
        <v>0.73621307988334417</v>
      </c>
      <c r="AB714" s="39">
        <f>(VLOOKUP($A714,'The List'!$B1:$AR727,40,FALSE)-AVERAGE('The List'!AO2:AO727))/STDEV('The List'!AO2:AO727)</f>
        <v>1.59435501564439</v>
      </c>
      <c r="AC714" s="39">
        <f>(VLOOKUP($A714,'The List'!$B1:$AR727,42,FALSE)-AVERAGE('The List'!AQ2:AQ727))/STDEV('The List'!AQ2:AQ727)</f>
        <v>-0.26620109083227395</v>
      </c>
      <c r="AD714" s="39">
        <f>(VLOOKUP($A714,'The List'!$B1:$AR727,43,FALSE)-AVERAGE('The List'!AR2:AR727))/STDEV('The List'!AR2:AR727)*-1</f>
        <v>-0.29207585383476825</v>
      </c>
      <c r="AE714" s="39"/>
    </row>
    <row r="715" spans="1:31" ht="21.25" customHeight="1" x14ac:dyDescent="0.15">
      <c r="A715" s="8" t="s">
        <v>756</v>
      </c>
      <c r="B715" s="35" t="str">
        <f>VLOOKUP(A715,'Player Data'!A1:B734,2,FALSE)</f>
        <v>STL</v>
      </c>
      <c r="C715" s="37">
        <f>(W715*Settings!$C$29)+(X715*Settings!$C$21)+(Y715*Settings!$C$22)+(AA715*Settings!$C$24)+(AB715*Settings!$C$25)+(Z715*Settings!$C$23)+(AC715*Settings!$C$26)+(AD715*Settings!$C$28)</f>
        <v>-3.8762846066502092</v>
      </c>
      <c r="D715" s="41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>
        <f>(VLOOKUP($A715,'The List'!$B1:$AR727,35,FALSE)-AVERAGE('The List'!AJ2:AJ727))/STDEV('The List'!AJ2:AJ727)</f>
        <v>-0.93323106977690062</v>
      </c>
      <c r="X715" s="39">
        <f>(VLOOKUP($A715,'The List'!$B1:$AR727,36,FALSE)-AVERAGE('The List'!AK2:AK727))/STDEV('The List'!AK2:AK727)</f>
        <v>-1.0528662020015496</v>
      </c>
      <c r="Y715" s="39">
        <f>(VLOOKUP($A715,'The List'!$B1:$AR727,37,FALSE)-AVERAGE('The List'!AL2:AL727))/STDEV('The List'!AL2:AL727)*-1</f>
        <v>0.51374670238594244</v>
      </c>
      <c r="Z715" s="39">
        <f>(VLOOKUP($A715,'The List'!$B1:$AR727,38,FALSE)-AVERAGE('The List'!AM2:AM727))/STDEV('The List'!AM2:AM727)</f>
        <v>-0.93323106977690062</v>
      </c>
      <c r="AA715" s="39">
        <f>(VLOOKUP($A715,'The List'!$B1:$AR727,39,FALSE)-AVERAGE('The List'!AN2:AN727))/STDEV('The List'!AN2:AN727)</f>
        <v>-0.90930025870537456</v>
      </c>
      <c r="AB715" s="39">
        <f>(VLOOKUP($A715,'The List'!$B1:$AR727,40,FALSE)-AVERAGE('The List'!AO2:AO727))/STDEV('The List'!AO2:AO727)</f>
        <v>-0.9126190328591931</v>
      </c>
      <c r="AC715" s="39">
        <f>(VLOOKUP($A715,'The List'!$B1:$AR727,42,FALSE)-AVERAGE('The List'!AQ2:AQ727))/STDEV('The List'!AQ2:AQ727)</f>
        <v>-0.90940466167839062</v>
      </c>
      <c r="AD715" s="39">
        <f>(VLOOKUP($A715,'The List'!$B1:$AR727,43,FALSE)-AVERAGE('The List'!AR2:AR727))/STDEV('The List'!AR2:AR727)*-1</f>
        <v>-1.0047134842648946</v>
      </c>
      <c r="AE715" s="39"/>
    </row>
    <row r="716" spans="1:31" ht="21.25" customHeight="1" x14ac:dyDescent="0.15">
      <c r="A716" s="8" t="s">
        <v>120</v>
      </c>
      <c r="B716" s="35" t="str">
        <f>VLOOKUP(A716,'Player Data'!A1:B734,2,FALSE)</f>
        <v>TBL</v>
      </c>
      <c r="C716" s="37">
        <f>(W716*Settings!$C$29)+(X716*Settings!$C$21)+(Y716*Settings!$C$22)+(AA716*Settings!$C$24)+(AB716*Settings!$C$25)+(Z716*Settings!$C$23)+(AC716*Settings!$C$26)+(AD716*Settings!$C$28)</f>
        <v>7.17227547212683</v>
      </c>
      <c r="D716" s="41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>
        <f>(VLOOKUP($A716,'The List'!$B1:$AR727,35,FALSE)-AVERAGE('The List'!AJ2:AJ727))/STDEV('The List'!AJ2:AJ727)</f>
        <v>1.7458761024477967</v>
      </c>
      <c r="X716" s="39">
        <f>(VLOOKUP($A716,'The List'!$B1:$AR727,36,FALSE)-AVERAGE('The List'!AK2:AK727))/STDEV('The List'!AK2:AK727)</f>
        <v>1.9330001856708154</v>
      </c>
      <c r="Y716" s="39">
        <f>(VLOOKUP($A716,'The List'!$B1:$AR727,37,FALSE)-AVERAGE('The List'!AL2:AL727))/STDEV('The List'!AL2:AL727)*-1</f>
        <v>-1.0164113724563286</v>
      </c>
      <c r="Z716" s="39">
        <f>(VLOOKUP($A716,'The List'!$B1:$AR727,38,FALSE)-AVERAGE('The List'!AM2:AM727))/STDEV('The List'!AM2:AM727)</f>
        <v>1.7458761024477967</v>
      </c>
      <c r="AA716" s="39">
        <f>(VLOOKUP($A716,'The List'!$B1:$AR727,39,FALSE)-AVERAGE('The List'!AN2:AN727))/STDEV('The List'!AN2:AN727)</f>
        <v>1.9530073278968114</v>
      </c>
      <c r="AB716" s="39">
        <f>(VLOOKUP($A716,'The List'!$B1:$AR727,40,FALSE)-AVERAGE('The List'!AO2:AO727))/STDEV('The List'!AO2:AO727)</f>
        <v>1.8100331390415516</v>
      </c>
      <c r="AC716" s="39">
        <f>(VLOOKUP($A716,'The List'!$B1:$AR727,42,FALSE)-AVERAGE('The List'!AQ2:AQ727))/STDEV('The List'!AQ2:AQ727)</f>
        <v>1.85698375908552</v>
      </c>
      <c r="AD716" s="39">
        <f>(VLOOKUP($A716,'The List'!$B1:$AR727,43,FALSE)-AVERAGE('The List'!AR2:AR727))/STDEV('The List'!AR2:AR727)*-1</f>
        <v>1.4292841994736827</v>
      </c>
      <c r="AE716" s="39"/>
    </row>
    <row r="717" spans="1:31" ht="21.25" customHeight="1" x14ac:dyDescent="0.15">
      <c r="A717" s="8" t="s">
        <v>782</v>
      </c>
      <c r="B717" s="35" t="str">
        <f>VLOOKUP(A717,'Player Data'!A1:B734,2,FALSE)</f>
        <v>TBL</v>
      </c>
      <c r="C717" s="37">
        <f>(W717*Settings!$C$29)+(X717*Settings!$C$21)+(Y717*Settings!$C$22)+(AA717*Settings!$C$24)+(AB717*Settings!$C$25)+(Z717*Settings!$C$23)+(AC717*Settings!$C$26)+(AD717*Settings!$C$28)</f>
        <v>-4.6299696648477839</v>
      </c>
      <c r="D717" s="41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>
        <f>(VLOOKUP($A717,'The List'!$B1:$AR727,35,FALSE)-AVERAGE('The List'!AJ2:AJ727))/STDEV('The List'!AJ2:AJ727)</f>
        <v>-1.0608076017876005</v>
      </c>
      <c r="X717" s="39">
        <f>(VLOOKUP($A717,'The List'!$B1:$AR727,36,FALSE)-AVERAGE('The List'!AK2:AK727))/STDEV('The List'!AK2:AK727)</f>
        <v>-0.95415454817208289</v>
      </c>
      <c r="Y717" s="39">
        <f>(VLOOKUP($A717,'The List'!$B1:$AR727,37,FALSE)-AVERAGE('The List'!AL2:AL727))/STDEV('The List'!AL2:AL727)*-1</f>
        <v>0.9497239680138051</v>
      </c>
      <c r="Z717" s="39">
        <f>(VLOOKUP($A717,'The List'!$B1:$AR727,38,FALSE)-AVERAGE('The List'!AM2:AM727))/STDEV('The List'!AM2:AM727)</f>
        <v>-1.0608076017876005</v>
      </c>
      <c r="AA717" s="39">
        <f>(VLOOKUP($A717,'The List'!$B1:$AR727,39,FALSE)-AVERAGE('The List'!AN2:AN727))/STDEV('The List'!AN2:AN727)</f>
        <v>-1.0317548216747263</v>
      </c>
      <c r="AB717" s="39">
        <f>(VLOOKUP($A717,'The List'!$B1:$AR727,40,FALSE)-AVERAGE('The List'!AO2:AO727))/STDEV('The List'!AO2:AO727)</f>
        <v>-1.042799413695735</v>
      </c>
      <c r="AC717" s="39">
        <f>(VLOOKUP($A717,'The List'!$B1:$AR727,42,FALSE)-AVERAGE('The List'!AQ2:AQ727))/STDEV('The List'!AQ2:AQ727)</f>
        <v>-1.3043561416485918</v>
      </c>
      <c r="AD717" s="39">
        <f>(VLOOKUP($A717,'The List'!$B1:$AR727,43,FALSE)-AVERAGE('The List'!AR2:AR727))/STDEV('The List'!AR2:AR727)*-1</f>
        <v>-1.339704153352383</v>
      </c>
      <c r="AE717" s="39"/>
    </row>
    <row r="718" spans="1:31" ht="21.25" customHeight="1" x14ac:dyDescent="0.15">
      <c r="A718" s="8" t="s">
        <v>220</v>
      </c>
      <c r="B718" s="35" t="str">
        <f>VLOOKUP(A718,'Player Data'!A1:B734,2,FALSE)</f>
        <v>TOR</v>
      </c>
      <c r="C718" s="37">
        <f>(W718*Settings!$C$29)+(X718*Settings!$C$21)+(Y718*Settings!$C$22)+(AA718*Settings!$C$24)+(AB718*Settings!$C$25)+(Z718*Settings!$C$23)+(AC718*Settings!$C$26)+(AD718*Settings!$C$28)</f>
        <v>3.4440364551940741</v>
      </c>
      <c r="D718" s="41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>
        <f>(VLOOKUP($A718,'The List'!$B1:$AR727,35,FALSE)-AVERAGE('The List'!AJ2:AJ727))/STDEV('The List'!AJ2:AJ727)</f>
        <v>0.8528403783728975</v>
      </c>
      <c r="X718" s="39">
        <f>(VLOOKUP($A718,'The List'!$B1:$AR727,36,FALSE)-AVERAGE('The List'!AK2:AK727))/STDEV('The List'!AK2:AK727)</f>
        <v>1.2800996270103395</v>
      </c>
      <c r="Y718" s="39">
        <f>(VLOOKUP($A718,'The List'!$B1:$AR727,37,FALSE)-AVERAGE('The List'!AL2:AL727))/STDEV('The List'!AL2:AL727)*-1</f>
        <v>9.7378978976488863E-3</v>
      </c>
      <c r="Z718" s="39">
        <f>(VLOOKUP($A718,'The List'!$B1:$AR727,38,FALSE)-AVERAGE('The List'!AM2:AM727))/STDEV('The List'!AM2:AM727)</f>
        <v>0.8528403783728975</v>
      </c>
      <c r="AA718" s="39">
        <f>(VLOOKUP($A718,'The List'!$B1:$AR727,39,FALSE)-AVERAGE('The List'!AN2:AN727))/STDEV('The List'!AN2:AN727)</f>
        <v>0.71700194025945208</v>
      </c>
      <c r="AB718" s="39">
        <f>(VLOOKUP($A718,'The List'!$B1:$AR727,40,FALSE)-AVERAGE('The List'!AO2:AO727))/STDEV('The List'!AO2:AO727)</f>
        <v>0.87735133512515773</v>
      </c>
      <c r="AC718" s="39">
        <f>(VLOOKUP($A718,'The List'!$B1:$AR727,42,FALSE)-AVERAGE('The List'!AQ2:AQ727))/STDEV('The List'!AQ2:AQ727)</f>
        <v>0.84615551158669877</v>
      </c>
      <c r="AD718" s="39">
        <f>(VLOOKUP($A718,'The List'!$B1:$AR727,43,FALSE)-AVERAGE('The List'!AR2:AR727))/STDEV('The List'!AR2:AR727)*-1</f>
        <v>0.60077937633758338</v>
      </c>
      <c r="AE718" s="39"/>
    </row>
    <row r="719" spans="1:31" ht="21.25" customHeight="1" x14ac:dyDescent="0.15">
      <c r="A719" s="8" t="s">
        <v>635</v>
      </c>
      <c r="B719" s="35" t="str">
        <f>VLOOKUP(A719,'Player Data'!A1:B734,2,FALSE)</f>
        <v>TOR</v>
      </c>
      <c r="C719" s="37">
        <f>(W719*Settings!$C$29)+(X719*Settings!$C$21)+(Y719*Settings!$C$22)+(AA719*Settings!$C$24)+(AB719*Settings!$C$25)+(Z719*Settings!$C$23)+(AC719*Settings!$C$26)+(AD719*Settings!$C$28)</f>
        <v>-1.6686796130744663</v>
      </c>
      <c r="D719" s="41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>
        <f>(VLOOKUP($A719,'The List'!$B1:$AR727,35,FALSE)-AVERAGE('The List'!AJ2:AJ727))/STDEV('The List'!AJ2:AJ727)</f>
        <v>-0.67807800575550092</v>
      </c>
      <c r="X719" s="39">
        <f>(VLOOKUP($A719,'The List'!$B1:$AR727,36,FALSE)-AVERAGE('The List'!AK2:AK727))/STDEV('The List'!AK2:AK727)</f>
        <v>-0.39671928313533544</v>
      </c>
      <c r="Y719" s="39">
        <f>(VLOOKUP($A719,'The List'!$B1:$AR727,37,FALSE)-AVERAGE('The List'!AL2:AL727))/STDEV('The List'!AL2:AL727)*-1</f>
        <v>0.9284154417992202</v>
      </c>
      <c r="Z719" s="39">
        <f>(VLOOKUP($A719,'The List'!$B1:$AR727,38,FALSE)-AVERAGE('The List'!AM2:AM727))/STDEV('The List'!AM2:AM727)</f>
        <v>-0.67807800575550092</v>
      </c>
      <c r="AA719" s="39">
        <f>(VLOOKUP($A719,'The List'!$B1:$AR727,39,FALSE)-AVERAGE('The List'!AN2:AN727))/STDEV('The List'!AN2:AN727)</f>
        <v>-0.62742385837782688</v>
      </c>
      <c r="AB719" s="39">
        <f>(VLOOKUP($A719,'The List'!$B1:$AR727,40,FALSE)-AVERAGE('The List'!AO2:AO727))/STDEV('The List'!AO2:AO727)</f>
        <v>-0.6608932871490546</v>
      </c>
      <c r="AC719" s="39">
        <f>(VLOOKUP($A719,'The List'!$B1:$AR727,42,FALSE)-AVERAGE('The List'!AQ2:AQ727))/STDEV('The List'!AQ2:AQ727)</f>
        <v>-0.27093900638791729</v>
      </c>
      <c r="AD719" s="39">
        <f>(VLOOKUP($A719,'The List'!$B1:$AR727,43,FALSE)-AVERAGE('The List'!AR2:AR727))/STDEV('The List'!AR2:AR727)*-1</f>
        <v>-0.37359746517338666</v>
      </c>
      <c r="AE719" s="39"/>
    </row>
    <row r="720" spans="1:31" ht="21.25" customHeight="1" x14ac:dyDescent="0.15">
      <c r="A720" s="8" t="s">
        <v>827</v>
      </c>
      <c r="B720" s="35" t="str">
        <f>VLOOKUP(A720,'Player Data'!A1:B734,2,FALSE)</f>
        <v>TOR</v>
      </c>
      <c r="C720" s="37">
        <f>(W720*Settings!$C$29)+(X720*Settings!$C$21)+(Y720*Settings!$C$22)+(AA720*Settings!$C$24)+(AB720*Settings!$C$25)+(Z720*Settings!$C$23)+(AC720*Settings!$C$26)+(AD720*Settings!$C$28)</f>
        <v>-4.1648337251628664</v>
      </c>
      <c r="D720" s="41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>
        <f>(VLOOKUP($A720,'The List'!$B1:$AR727,35,FALSE)-AVERAGE('The List'!AJ2:AJ727))/STDEV('The List'!AJ2:AJ727)</f>
        <v>-1.5711137298304001</v>
      </c>
      <c r="X720" s="39">
        <f>(VLOOKUP($A720,'The List'!$B1:$AR727,36,FALSE)-AVERAGE('The List'!AK2:AK727))/STDEV('The List'!AK2:AK727)</f>
        <v>-1.2845067782192043</v>
      </c>
      <c r="Y720" s="39">
        <f>(VLOOKUP($A720,'The List'!$B1:$AR727,37,FALSE)-AVERAGE('The List'!AL2:AL727))/STDEV('The List'!AL2:AL727)*-1</f>
        <v>1.6005094874193433</v>
      </c>
      <c r="Z720" s="39">
        <f>(VLOOKUP($A720,'The List'!$B1:$AR727,38,FALSE)-AVERAGE('The List'!AM2:AM727))/STDEV('The List'!AM2:AM727)</f>
        <v>-1.5711137298304001</v>
      </c>
      <c r="AA720" s="39">
        <f>(VLOOKUP($A720,'The List'!$B1:$AR727,39,FALSE)-AVERAGE('The List'!AN2:AN727))/STDEV('The List'!AN2:AN727)</f>
        <v>-1.1457816031664076</v>
      </c>
      <c r="AB720" s="39">
        <f>(VLOOKUP($A720,'The List'!$B1:$AR727,40,FALSE)-AVERAGE('The List'!AO2:AO727))/STDEV('The List'!AO2:AO727)</f>
        <v>-1.5480481856369201</v>
      </c>
      <c r="AC720" s="39">
        <f>(VLOOKUP($A720,'The List'!$B1:$AR727,42,FALSE)-AVERAGE('The List'!AQ2:AQ727))/STDEV('The List'!AQ2:AQ727)</f>
        <v>-0.85313341711876711</v>
      </c>
      <c r="AD720" s="39">
        <f>(VLOOKUP($A720,'The List'!$B1:$AR727,43,FALSE)-AVERAGE('The List'!AR2:AR727))/STDEV('The List'!AR2:AR727)*-1</f>
        <v>-0.88141192665848678</v>
      </c>
      <c r="AE720" s="39"/>
    </row>
    <row r="721" spans="1:31" ht="21.25" customHeight="1" x14ac:dyDescent="0.15">
      <c r="A721" s="8" t="s">
        <v>155</v>
      </c>
      <c r="B721" s="35" t="str">
        <f>VLOOKUP(A721,'Player Data'!A1:B734,2,FALSE)</f>
        <v>VAN</v>
      </c>
      <c r="C721" s="37">
        <f>(W721*Settings!$C$29)+(X721*Settings!$C$21)+(Y721*Settings!$C$22)+(AA721*Settings!$C$24)+(AB721*Settings!$C$25)+(Z721*Settings!$C$23)+(AC721*Settings!$C$26)+(AD721*Settings!$C$28)</f>
        <v>5.5594732822185495</v>
      </c>
      <c r="D721" s="41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>
        <f>(VLOOKUP($A721,'The List'!$B1:$AR727,35,FALSE)-AVERAGE('The List'!AJ2:AJ727))/STDEV('The List'!AJ2:AJ727)</f>
        <v>1.2993582404103472</v>
      </c>
      <c r="X721" s="39">
        <f>(VLOOKUP($A721,'The List'!$B1:$AR727,36,FALSE)-AVERAGE('The List'!AK2:AK727))/STDEV('The List'!AK2:AK727)</f>
        <v>1.3581449322416885</v>
      </c>
      <c r="Y721" s="39">
        <f>(VLOOKUP($A721,'The List'!$B1:$AR727,37,FALSE)-AVERAGE('The List'!AL2:AL727))/STDEV('The List'!AL2:AL727)*-1</f>
        <v>-0.87776828408557728</v>
      </c>
      <c r="Z721" s="39">
        <f>(VLOOKUP($A721,'The List'!$B1:$AR727,38,FALSE)-AVERAGE('The List'!AM2:AM727))/STDEV('The List'!AM2:AM727)</f>
        <v>1.2993582404103472</v>
      </c>
      <c r="AA721" s="39">
        <f>(VLOOKUP($A721,'The List'!$B1:$AR727,39,FALSE)-AVERAGE('The List'!AN2:AN727))/STDEV('The List'!AN2:AN727)</f>
        <v>1.3866567614670593</v>
      </c>
      <c r="AB721" s="39">
        <f>(VLOOKUP($A721,'The List'!$B1:$AR727,40,FALSE)-AVERAGE('The List'!AO2:AO727))/STDEV('The List'!AO2:AO727)</f>
        <v>1.3012991966777594</v>
      </c>
      <c r="AC721" s="39">
        <f>(VLOOKUP($A721,'The List'!$B1:$AR727,42,FALSE)-AVERAGE('The List'!AQ2:AQ727))/STDEV('The List'!AQ2:AQ727)</f>
        <v>1.5053669642258323</v>
      </c>
      <c r="AD721" s="39">
        <f>(VLOOKUP($A721,'The List'!$B1:$AR727,43,FALSE)-AVERAGE('The List'!AR2:AR727))/STDEV('The List'!AR2:AR727)*-1</f>
        <v>1.3093046242839697</v>
      </c>
      <c r="AE721" s="39"/>
    </row>
    <row r="722" spans="1:31" ht="21.25" customHeight="1" x14ac:dyDescent="0.15">
      <c r="A722" s="8" t="s">
        <v>764</v>
      </c>
      <c r="B722" s="35" t="str">
        <f>VLOOKUP(A722,'Player Data'!A1:B734,2,FALSE)</f>
        <v>VAN</v>
      </c>
      <c r="C722" s="37">
        <f>(W722*Settings!$C$29)+(X722*Settings!$C$21)+(Y722*Settings!$C$22)+(AA722*Settings!$C$24)+(AB722*Settings!$C$25)+(Z722*Settings!$C$23)+(AC722*Settings!$C$26)+(AD722*Settings!$C$28)</f>
        <v>-4.1203919967916383</v>
      </c>
      <c r="D722" s="41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>
        <f>(VLOOKUP($A722,'The List'!$B1:$AR727,35,FALSE)-AVERAGE('The List'!AJ2:AJ727))/STDEV('The List'!AJ2:AJ727)</f>
        <v>-0.93323106977690062</v>
      </c>
      <c r="X722" s="39">
        <f>(VLOOKUP($A722,'The List'!$B1:$AR727,36,FALSE)-AVERAGE('The List'!AK2:AK727))/STDEV('The List'!AK2:AK727)</f>
        <v>-0.88514684841207936</v>
      </c>
      <c r="Y722" s="39">
        <f>(VLOOKUP($A722,'The List'!$B1:$AR727,37,FALSE)-AVERAGE('The List'!AL2:AL727))/STDEV('The List'!AL2:AL727)*-1</f>
        <v>0.76655732834727064</v>
      </c>
      <c r="Z722" s="39">
        <f>(VLOOKUP($A722,'The List'!$B1:$AR727,38,FALSE)-AVERAGE('The List'!AM2:AM727))/STDEV('The List'!AM2:AM727)</f>
        <v>-0.93323106977690062</v>
      </c>
      <c r="AA722" s="39">
        <f>(VLOOKUP($A722,'The List'!$B1:$AR727,39,FALSE)-AVERAGE('The List'!AN2:AN727))/STDEV('The List'!AN2:AN727)</f>
        <v>-0.90576619019122107</v>
      </c>
      <c r="AB722" s="39">
        <f>(VLOOKUP($A722,'The List'!$B1:$AR727,40,FALSE)-AVERAGE('The List'!AO2:AO727))/STDEV('The List'!AO2:AO727)</f>
        <v>-0.94779713822581946</v>
      </c>
      <c r="AC722" s="39">
        <f>(VLOOKUP($A722,'The List'!$B1:$AR727,42,FALSE)-AVERAGE('The List'!AQ2:AQ727))/STDEV('The List'!AQ2:AQ727)</f>
        <v>-1.3395218971154241</v>
      </c>
      <c r="AD722" s="39">
        <f>(VLOOKUP($A722,'The List'!$B1:$AR727,43,FALSE)-AVERAGE('The List'!AR2:AR727))/STDEV('The List'!AR2:AR727)*-1</f>
        <v>-0.98995706107291404</v>
      </c>
      <c r="AE722" s="39"/>
    </row>
    <row r="723" spans="1:31" ht="21.25" customHeight="1" x14ac:dyDescent="0.15">
      <c r="A723" s="8" t="s">
        <v>207</v>
      </c>
      <c r="B723" s="35" t="str">
        <f>VLOOKUP(A723,'Player Data'!A1:B734,2,FALSE)</f>
        <v>VGK</v>
      </c>
      <c r="C723" s="37">
        <f>(W723*Settings!$C$29)+(X723*Settings!$C$21)+(Y723*Settings!$C$22)+(AA723*Settings!$C$24)+(AB723*Settings!$C$25)+(Z723*Settings!$C$23)+(AC723*Settings!$C$26)+(AD723*Settings!$C$28)</f>
        <v>4.1969943315328537</v>
      </c>
      <c r="D723" s="41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>
        <f>(VLOOKUP($A723,'The List'!$B1:$AR727,35,FALSE)-AVERAGE('The List'!AJ2:AJ727))/STDEV('The List'!AJ2:AJ727)</f>
        <v>0.8528403783728975</v>
      </c>
      <c r="X723" s="39">
        <f>(VLOOKUP($A723,'The List'!$B1:$AR727,36,FALSE)-AVERAGE('The List'!AK2:AK727))/STDEV('The List'!AK2:AK727)</f>
        <v>1.3497889278058326</v>
      </c>
      <c r="Y723" s="39">
        <f>(VLOOKUP($A723,'The List'!$B1:$AR727,37,FALSE)-AVERAGE('The List'!AL2:AL727))/STDEV('The List'!AL2:AL727)*-1</f>
        <v>0.11478359107412212</v>
      </c>
      <c r="Z723" s="39">
        <f>(VLOOKUP($A723,'The List'!$B1:$AR727,38,FALSE)-AVERAGE('The List'!AM2:AM727))/STDEV('The List'!AM2:AM727)</f>
        <v>0.8528403783728975</v>
      </c>
      <c r="AA723" s="39">
        <f>(VLOOKUP($A723,'The List'!$B1:$AR727,39,FALSE)-AVERAGE('The List'!AN2:AN727))/STDEV('The List'!AN2:AN727)</f>
        <v>0.79422794965650234</v>
      </c>
      <c r="AB723" s="39">
        <f>(VLOOKUP($A723,'The List'!$B1:$AR727,40,FALSE)-AVERAGE('The List'!AO2:AO727))/STDEV('The List'!AO2:AO727)</f>
        <v>0.87444513566683268</v>
      </c>
      <c r="AC723" s="39">
        <f>(VLOOKUP($A723,'The List'!$B1:$AR727,42,FALSE)-AVERAGE('The List'!AQ2:AQ727))/STDEV('The List'!AQ2:AQ727)</f>
        <v>1.1495800565584693</v>
      </c>
      <c r="AD723" s="39">
        <f>(VLOOKUP($A723,'The List'!$B1:$AR727,43,FALSE)-AVERAGE('The List'!AR2:AR727))/STDEV('The List'!AR2:AR727)*-1</f>
        <v>0.9033973975120495</v>
      </c>
      <c r="AE723" s="39"/>
    </row>
    <row r="724" spans="1:31" ht="21.25" customHeight="1" x14ac:dyDescent="0.15">
      <c r="A724" s="8" t="s">
        <v>417</v>
      </c>
      <c r="B724" s="35" t="str">
        <f>VLOOKUP(A724,'Player Data'!A1:B734,2,FALSE)</f>
        <v>VGK</v>
      </c>
      <c r="C724" s="37">
        <f>(W724*Settings!$C$29)+(X724*Settings!$C$21)+(Y724*Settings!$C$22)+(AA724*Settings!$C$24)+(AB724*Settings!$C$25)+(Z724*Settings!$C$23)+(AC724*Settings!$C$26)+(AD724*Settings!$C$28)</f>
        <v>1.2912045464523811</v>
      </c>
      <c r="D724" s="41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>
        <f>(VLOOKUP($A724,'The List'!$B1:$AR727,35,FALSE)-AVERAGE('The List'!AJ2:AJ727))/STDEV('The List'!AJ2:AJ727)</f>
        <v>-0.16777187771270141</v>
      </c>
      <c r="X724" s="39">
        <f>(VLOOKUP($A724,'The List'!$B1:$AR727,36,FALSE)-AVERAGE('The List'!AK2:AK727))/STDEV('The List'!AK2:AK727)</f>
        <v>0.11289349601856487</v>
      </c>
      <c r="Y724" s="39">
        <f>(VLOOKUP($A724,'The List'!$B1:$AR727,37,FALSE)-AVERAGE('The List'!AL2:AL727))/STDEV('The List'!AL2:AL727)*-1</f>
        <v>0.5478370908566863</v>
      </c>
      <c r="Z724" s="39">
        <f>(VLOOKUP($A724,'The List'!$B1:$AR727,38,FALSE)-AVERAGE('The List'!AM2:AM727))/STDEV('The List'!AM2:AM727)</f>
        <v>-0.16777187771270141</v>
      </c>
      <c r="AA724" s="39">
        <f>(VLOOKUP($A724,'The List'!$B1:$AR727,39,FALSE)-AVERAGE('The List'!AN2:AN727))/STDEV('The List'!AN2:AN727)</f>
        <v>-3.289791890392608E-3</v>
      </c>
      <c r="AB724" s="39">
        <f>(VLOOKUP($A724,'The List'!$B1:$AR727,40,FALSE)-AVERAGE('The List'!AO2:AO727))/STDEV('The List'!AO2:AO727)</f>
        <v>-0.17044847377153716</v>
      </c>
      <c r="AC724" s="39">
        <f>(VLOOKUP($A724,'The List'!$B1:$AR727,42,FALSE)-AVERAGE('The List'!AQ2:AQ727))/STDEV('The List'!AQ2:AQ727)</f>
        <v>0.60872790204374239</v>
      </c>
      <c r="AD724" s="39">
        <f>(VLOOKUP($A724,'The List'!$B1:$AR727,43,FALSE)-AVERAGE('The List'!AR2:AR727))/STDEV('The List'!AR2:AR727)*-1</f>
        <v>0.57287294028046643</v>
      </c>
      <c r="AE724" s="39"/>
    </row>
    <row r="725" spans="1:31" ht="21.25" customHeight="1" x14ac:dyDescent="0.15">
      <c r="A725" s="8" t="s">
        <v>128</v>
      </c>
      <c r="B725" s="35" t="str">
        <f>VLOOKUP(A725,'Player Data'!A1:B734,2,FALSE)</f>
        <v>WPG</v>
      </c>
      <c r="C725" s="37">
        <f>(W725*Settings!$C$29)+(X725*Settings!$C$21)+(Y725*Settings!$C$22)+(AA725*Settings!$C$24)+(AB725*Settings!$C$25)+(Z725*Settings!$C$23)+(AC725*Settings!$C$26)+(AD725*Settings!$C$28)</f>
        <v>7.8396572508143949</v>
      </c>
      <c r="D725" s="41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>
        <f>(VLOOKUP($A725,'The List'!$B1:$AR727,35,FALSE)-AVERAGE('The List'!AJ2:AJ727))/STDEV('The List'!AJ2:AJ727)</f>
        <v>1.7458761024477967</v>
      </c>
      <c r="X725" s="39">
        <f>(VLOOKUP($A725,'The List'!$B1:$AR727,36,FALSE)-AVERAGE('The List'!AK2:AK727))/STDEV('The List'!AK2:AK727)</f>
        <v>1.752820969876653</v>
      </c>
      <c r="Y725" s="39">
        <f>(VLOOKUP($A725,'The List'!$B1:$AR727,37,FALSE)-AVERAGE('The List'!AL2:AL727))/STDEV('The List'!AL2:AL727)*-1</f>
        <v>-1.2880032868971627</v>
      </c>
      <c r="Z725" s="39">
        <f>(VLOOKUP($A725,'The List'!$B1:$AR727,38,FALSE)-AVERAGE('The List'!AM2:AM727))/STDEV('The List'!AM2:AM727)</f>
        <v>1.7458761024477967</v>
      </c>
      <c r="AA725" s="39">
        <f>(VLOOKUP($A725,'The List'!$B1:$AR727,39,FALSE)-AVERAGE('The List'!AN2:AN727))/STDEV('The List'!AN2:AN727)</f>
        <v>2.3718600449589289</v>
      </c>
      <c r="AB725" s="39">
        <f>(VLOOKUP($A725,'The List'!$B1:$AR727,40,FALSE)-AVERAGE('The List'!AO2:AO727))/STDEV('The List'!AO2:AO727)</f>
        <v>1.5955314414484585</v>
      </c>
      <c r="AC725" s="39">
        <f>(VLOOKUP($A725,'The List'!$B1:$AR727,42,FALSE)-AVERAGE('The List'!AQ2:AQ727))/STDEV('The List'!AQ2:AQ727)</f>
        <v>1.7215275036730409</v>
      </c>
      <c r="AD725" s="39">
        <f>(VLOOKUP($A725,'The List'!$B1:$AR727,43,FALSE)-AVERAGE('The List'!AR2:AR727))/STDEV('The List'!AR2:AR727)*-1</f>
        <v>1.9934487323057715</v>
      </c>
      <c r="AE725" s="39"/>
    </row>
    <row r="726" spans="1:31" ht="21.25" customHeight="1" x14ac:dyDescent="0.15">
      <c r="A726" s="8" t="s">
        <v>777</v>
      </c>
      <c r="B726" s="35" t="str">
        <f>VLOOKUP(A726,'Player Data'!A1:B734,2,FALSE)</f>
        <v>WPG</v>
      </c>
      <c r="C726" s="37">
        <f>(W726*Settings!$C$29)+(X726*Settings!$C$21)+(Y726*Settings!$C$22)+(AA726*Settings!$C$24)+(AB726*Settings!$C$25)+(Z726*Settings!$C$23)+(AC726*Settings!$C$26)+(AD726*Settings!$C$28)</f>
        <v>-2.4423347385540639</v>
      </c>
      <c r="D726" s="41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>
        <f>(VLOOKUP($A726,'The List'!$B1:$AR727,35,FALSE)-AVERAGE('The List'!AJ2:AJ727))/STDEV('The List'!AJ2:AJ727)</f>
        <v>-1.0608076017876005</v>
      </c>
      <c r="X726" s="39">
        <f>(VLOOKUP($A726,'The List'!$B1:$AR727,36,FALSE)-AVERAGE('The List'!AK2:AK727))/STDEV('The List'!AK2:AK727)</f>
        <v>-0.95633230248483792</v>
      </c>
      <c r="Y726" s="39">
        <f>(VLOOKUP($A726,'The List'!$B1:$AR727,37,FALSE)-AVERAGE('The List'!AL2:AL727))/STDEV('The List'!AL2:AL727)*-1</f>
        <v>0.94644134487452702</v>
      </c>
      <c r="Z726" s="39">
        <f>(VLOOKUP($A726,'The List'!$B1:$AR727,38,FALSE)-AVERAGE('The List'!AM2:AM727))/STDEV('The List'!AM2:AM727)</f>
        <v>-1.0608076017876005</v>
      </c>
      <c r="AA726" s="39">
        <f>(VLOOKUP($A726,'The List'!$B1:$AR727,39,FALSE)-AVERAGE('The List'!AN2:AN727))/STDEV('The List'!AN2:AN727)</f>
        <v>-0.7484448414920517</v>
      </c>
      <c r="AB726" s="39">
        <f>(VLOOKUP($A726,'The List'!$B1:$AR727,40,FALSE)-AVERAGE('The List'!AO2:AO727))/STDEV('The List'!AO2:AO727)</f>
        <v>-1.0988984262167703</v>
      </c>
      <c r="AC726" s="39">
        <f>(VLOOKUP($A726,'The List'!$B1:$AR727,42,FALSE)-AVERAGE('The List'!AQ2:AQ727))/STDEV('The List'!AQ2:AQ727)</f>
        <v>-0.7122472389256217</v>
      </c>
      <c r="AD726" s="39">
        <f>(VLOOKUP($A726,'The List'!$B1:$AR727,43,FALSE)-AVERAGE('The List'!AR2:AR727))/STDEV('The List'!AR2:AR727)*-1</f>
        <v>-2.5310355651552638E-2</v>
      </c>
      <c r="AE726" s="39"/>
    </row>
    <row r="727" spans="1:31" ht="21.25" customHeight="1" x14ac:dyDescent="0.15">
      <c r="A727" s="8" t="s">
        <v>193</v>
      </c>
      <c r="B727" s="35" t="str">
        <f>VLOOKUP(A727,'Player Data'!A1:B734,2,FALSE)</f>
        <v>WSH</v>
      </c>
      <c r="C727" s="37">
        <f>(W727*Settings!$C$29)+(X727*Settings!$C$21)+(Y727*Settings!$C$22)+(AA727*Settings!$C$24)+(AB727*Settings!$C$25)+(Z727*Settings!$C$23)+(AC727*Settings!$C$26)+(AD727*Settings!$C$28)</f>
        <v>2.5806058151477922</v>
      </c>
      <c r="D727" s="41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>
        <f>(VLOOKUP($A727,'The List'!$B1:$AR727,35,FALSE)-AVERAGE('The List'!AJ2:AJ727))/STDEV('The List'!AJ2:AJ727)</f>
        <v>1.2355699744049971</v>
      </c>
      <c r="X727" s="39">
        <f>(VLOOKUP($A727,'The List'!$B1:$AR727,36,FALSE)-AVERAGE('The List'!AK2:AK727))/STDEV('The List'!AK2:AK727)</f>
        <v>0.69224748592636243</v>
      </c>
      <c r="Y727" s="39">
        <f>(VLOOKUP($A727,'The List'!$B1:$AR727,37,FALSE)-AVERAGE('The List'!AL2:AL727))/STDEV('The List'!AL2:AL727)*-1</f>
        <v>-1.7379118039198462</v>
      </c>
      <c r="Z727" s="39">
        <f>(VLOOKUP($A727,'The List'!$B1:$AR727,38,FALSE)-AVERAGE('The List'!AM2:AM727))/STDEV('The List'!AM2:AM727)</f>
        <v>1.2355699744049971</v>
      </c>
      <c r="AA727" s="39">
        <f>(VLOOKUP($A727,'The List'!$B1:$AR727,39,FALSE)-AVERAGE('The List'!AN2:AN727))/STDEV('The List'!AN2:AN727)</f>
        <v>0.87609711732726014</v>
      </c>
      <c r="AB727" s="39">
        <f>(VLOOKUP($A727,'The List'!$B1:$AR727,40,FALSE)-AVERAGE('The List'!AO2:AO727))/STDEV('The List'!AO2:AO727)</f>
        <v>1.3206003545867577</v>
      </c>
      <c r="AC727" s="39">
        <f>(VLOOKUP($A727,'The List'!$B1:$AR727,42,FALSE)-AVERAGE('The List'!AQ2:AQ727))/STDEV('The List'!AQ2:AQ727)</f>
        <v>0.74897044008753444</v>
      </c>
      <c r="AD727" s="39">
        <f>(VLOOKUP($A727,'The List'!$B1:$AR727,43,FALSE)-AVERAGE('The List'!AR2:AR727))/STDEV('The List'!AR2:AR727)*-1</f>
        <v>0.26329077180663518</v>
      </c>
      <c r="AE727" s="39"/>
    </row>
    <row r="728" spans="1:31" ht="21.25" customHeight="1" x14ac:dyDescent="0.15">
      <c r="A728" s="8" t="s">
        <v>682</v>
      </c>
      <c r="B728" s="35" t="str">
        <f>VLOOKUP(A728,'Player Data'!A1:B734,2,FALSE)</f>
        <v>WSH</v>
      </c>
      <c r="C728" s="37">
        <f>(W728*Settings!$C$29)+(X728*Settings!$C$21)+(Y728*Settings!$C$22)+(AA728*Settings!$C$24)+(AB728*Settings!$C$25)+(Z728*Settings!$C$23)+(AC728*Settings!$C$26)+(AD728*Settings!$C$28)</f>
        <v>-3.2320402224249047</v>
      </c>
      <c r="D728" s="41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>
        <f>(VLOOKUP($A728,'The List'!$B1:$AR727,35,FALSE)-AVERAGE('The List'!AJ2:AJ727))/STDEV('The List'!AJ2:AJ727)</f>
        <v>-0.67807800575550092</v>
      </c>
      <c r="X728" s="39">
        <f>(VLOOKUP($A728,'The List'!$B1:$AR727,36,FALSE)-AVERAGE('The List'!AK2:AK727))/STDEV('The List'!AK2:AK727)</f>
        <v>-0.82147099410259228</v>
      </c>
      <c r="Y728" s="39">
        <f>(VLOOKUP($A728,'The List'!$B1:$AR727,37,FALSE)-AVERAGE('The List'!AL2:AL727))/STDEV('The List'!AL2:AL727)*-1</f>
        <v>0.28816884157312106</v>
      </c>
      <c r="Z728" s="39">
        <f>(VLOOKUP($A728,'The List'!$B1:$AR727,38,FALSE)-AVERAGE('The List'!AM2:AM727))/STDEV('The List'!AM2:AM727)</f>
        <v>-0.67807800575550092</v>
      </c>
      <c r="AA728" s="39">
        <f>(VLOOKUP($A728,'The List'!$B1:$AR727,39,FALSE)-AVERAGE('The List'!AN2:AN727))/STDEV('The List'!AN2:AN727)</f>
        <v>-0.82018390352987069</v>
      </c>
      <c r="AB728" s="39">
        <f>(VLOOKUP($A728,'The List'!$B1:$AR727,40,FALSE)-AVERAGE('The List'!AO2:AO727))/STDEV('The List'!AO2:AO727)</f>
        <v>-0.6194855791924504</v>
      </c>
      <c r="AC728" s="39">
        <f>(VLOOKUP($A728,'The List'!$B1:$AR727,42,FALSE)-AVERAGE('The List'!AQ2:AQ727))/STDEV('The List'!AQ2:AQ727)</f>
        <v>-0.54606685034942692</v>
      </c>
      <c r="AD728" s="39">
        <f>(VLOOKUP($A728,'The List'!$B1:$AR727,43,FALSE)-AVERAGE('The List'!AR2:AR727))/STDEV('The List'!AR2:AR727)*-1</f>
        <v>-1.0443184744430147</v>
      </c>
      <c r="AE728" s="39"/>
    </row>
  </sheetData>
  <pageMargins left="0.5" right="0.5" top="0.75" bottom="0.75" header="0.27777800000000002" footer="0.27777800000000002"/>
  <pageSetup orientation="portrait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Settings</vt:lpstr>
      <vt:lpstr>The List</vt:lpstr>
      <vt:lpstr>Team Comparison</vt:lpstr>
      <vt:lpstr>F</vt:lpstr>
      <vt:lpstr>C</vt:lpstr>
      <vt:lpstr>LW</vt:lpstr>
      <vt:lpstr>RW</vt:lpstr>
      <vt:lpstr>D</vt:lpstr>
      <vt:lpstr>G</vt:lpstr>
      <vt:lpstr>ADP</vt:lpstr>
      <vt:lpstr>Player Data</vt:lpstr>
      <vt:lpstr>Standard Deviations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 Luszczyszyn</cp:lastModifiedBy>
  <dcterms:modified xsi:type="dcterms:W3CDTF">2023-09-05T15:01:06Z</dcterms:modified>
</cp:coreProperties>
</file>